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ách đọc file" sheetId="1" r:id="rId5"/>
    <sheet state="visible" name="Kế hoạch chèn link (mới)" sheetId="2" r:id="rId6"/>
    <sheet state="hidden" name="Kế hoạch chèn link (bản cũ – kh" sheetId="3" r:id="rId7"/>
    <sheet state="visible" name="Tổng hợp 75 trang đích" sheetId="4" r:id="rId8"/>
    <sheet state="visible" name="Link đi từ bài nào" sheetId="5" r:id="rId9"/>
    <sheet state="visible" name="Inlink đã chèn" sheetId="6" r:id="rId10"/>
    <sheet state="visible" name="Trang tính3" sheetId="7" r:id="rId11"/>
    <sheet state="hidden" name="Inlink - Đề xuất 5 bài trang đí" sheetId="8" r:id="rId12"/>
  </sheets>
  <definedNames>
    <definedName hidden="1" localSheetId="1" name="_xlnm._FilterDatabase">'Kế hoạch chèn link (mới)'!$A$2:$L$3385</definedName>
    <definedName hidden="1" localSheetId="4" name="_xlnm._FilterDatabase">'Link đi từ bài nào'!$A$1:$C$1000</definedName>
    <definedName hidden="1" localSheetId="6" name="_xlnm._FilterDatabase">'Trang tính3'!$A$1:$T$81</definedName>
  </definedNames>
  <calcPr/>
</workbook>
</file>

<file path=xl/sharedStrings.xml><?xml version="1.0" encoding="utf-8"?>
<sst xmlns="http://schemas.openxmlformats.org/spreadsheetml/2006/main" count="70897" uniqueCount="6664">
  <si>
    <t>MỞ TAB NÀO ĐỂ LÀM GÌ</t>
  </si>
  <si>
    <t>CÁCH ĐỌC TAB NÀY
Mỗi dòng = 1 link cần chèn</t>
  </si>
  <si>
    <t>Tên tab</t>
  </si>
  <si>
    <t>Ví dụ dòng 1: mở bài ở cột F → tìm mục ở cột G → gắn chữ ở cột D thành link trỏ về trang đích ở cột B. Trang đích cần 30 link thì có 30 dòng (Link số 1 → 30), mỗi dòng chèn vào một bài khác nhau. ★ = anchor sếp chọn ưu tiên. Màu cột Mức độ: xanh mint = Phù hợp cao · xanh nhạt = Có thể đi · vàng = Cần soát (phải sửa câu) · xám = Nên bỏ (bài không có đoạn liên quan). Làm xong dòng nào thì đổi cột Tình trạng.</t>
  </si>
  <si>
    <t>Dùng để</t>
  </si>
  <si>
    <t>Kế hoạch chèn link (mới)</t>
  </si>
  <si>
    <t>STT</t>
  </si>
  <si>
    <t>TAB LÀM VIỆC CHÍNH. Mỗi dòng = 1 link: anchor X (cột D) của trang đích (cột B) được chèn vào bài ở cột F, dưới mục ở cột G. Ví dụ trang lai-suat-vay-mua-o-to: Link số 1 chèn vào bài A, Link số 2 chèn vào bài B… Lọc theo cột B để xem 1 trang đích; đổi cột Tình trạng khi làm xong.</t>
  </si>
  <si>
    <t>Tổng hợp 75 trang đích</t>
  </si>
  <si>
    <t>Cùng dữ liệu nhưng có thêm cột thống kê bên trái (mỗi trang đích có bao nhiêu link, anchor nào dùng mấy lần) và cột Lý do.</t>
  </si>
  <si>
    <t>Link đi từ bài nào</t>
  </si>
  <si>
    <t>Xem ngược lại: một bài blog sẽ đặt link sang những trang đích nào (bản trước, chưa cập nhật theo lần đọc nội dung này).</t>
  </si>
  <si>
    <t>Inlink đã chèn</t>
  </si>
  <si>
    <t>Các link đang có sẵn trên web.</t>
  </si>
  <si>
    <t>Trang đích (link trỏ VỀ đây)</t>
  </si>
  <si>
    <t>Inlink - Đề xuất 5 bài/ trang đích, 3 link/ nguồn</t>
  </si>
  <si>
    <t>Bản rút gọn cũ, chỉ để so sánh.</t>
  </si>
  <si>
    <t>Ý nghĩa màu (cột Mức độ)</t>
  </si>
  <si>
    <t>Link số</t>
  </si>
  <si>
    <t>Xanh mint = Phù hợp cao.   Xanh nhạt = Có thể đi.   Vàng = Cần soát (phải sửa câu cho chứa anchor).   Xám cả dòng = Nên bỏ.   ★ cam = anchor sếp chọn ưu tiên (tab Trang tính3).</t>
  </si>
  <si>
    <t>Cách chọn anchor</t>
  </si>
  <si>
    <t>Anchor text (chữ gắn link)</t>
  </si>
  <si>
    <t>Sếp chọn</t>
  </si>
  <si>
    <t>Chèn vào bài (mở bài này để sửa)</t>
  </si>
  <si>
    <t>Đã tải và đọc nội dung 875 bài đặt link trên techcombank.com. Với mỗi bài, chọn anchor (ưu tiên anchor sếp giao) khớp nhất với đoạn văn trong bài. 621 link: bài đã có sẵn nguyên cụm anchor → chỉ cần bôi đen gắn link. 2.622 link: bài có đoạn gần chủ đề → cần sửa câu gợi ý cho chứa anchor.</t>
  </si>
  <si>
    <t>Đặt dưới mục</t>
  </si>
  <si>
    <t>Nhóm</t>
  </si>
  <si>
    <t>Bài đặt link đã thay</t>
  </si>
  <si>
    <t>Câu gợi ý trong bài</t>
  </si>
  <si>
    <t>Từ khoá chính</t>
  </si>
  <si>
    <t>Cách chèn</t>
  </si>
  <si>
    <t>Mức độ</t>
  </si>
  <si>
    <t>886 bài trong bản cũ đã được thay bằng bài khác vì: bài cũ đã có sẵn link về trang đích, hoặc nội dung bài không có đoạn nào liên quan.</t>
  </si>
  <si>
    <t>Landingpage (trang đích)</t>
  </si>
  <si>
    <t>Tình trạng</t>
  </si>
  <si>
    <t>Link nên bỏ</t>
  </si>
  <si>
    <t>140 link không tìm được bài phù hợp (nhiều nhất là trang nộp thuế đất: 75 link) → để màu xám, tình trạng "Đề xuất bỏ".</t>
  </si>
  <si>
    <t>Số inlink mục tiêu</t>
  </si>
  <si>
    <t>Anchor sếp giao</t>
  </si>
  <si>
    <t>Ghi chú</t>
  </si>
  <si>
    <t>Đã dùng hết 61/61 anchor ưu tiên của sếp (mỗi anchor ít nhất 1 link).</t>
  </si>
  <si>
    <t>Bản cũ</t>
  </si>
  <si>
    <t>Tổng số link</t>
  </si>
  <si>
    <t>Tab "Kế hoạch chèn link (bản cũ – không dùng)" đã được ẩn, không xóa, để đối chiếu khi cần.</t>
  </si>
  <si>
    <t>Phù hợp cao</t>
  </si>
  <si>
    <t>nhóm</t>
  </si>
  <si>
    <t>Có thể đi</t>
  </si>
  <si>
    <t>Cần soát</t>
  </si>
  <si>
    <t>thứ tự</t>
  </si>
  <si>
    <t>Hoàn thiện</t>
  </si>
  <si>
    <t>https://techcombank.com/thong-tin/blog/lai-suat-vay-mua-o-to</t>
  </si>
  <si>
    <t>lãi suất vay mua ô tô</t>
  </si>
  <si>
    <t/>
  </si>
  <si>
    <t>https://techcombank.com/thong-tin/blog/nen-mua-xe-tra-gop-hay-tra-thang</t>
  </si>
  <si>
    <t>2. Ưu và nhược điểm khi vay ngân hàng mua xe trả góp</t>
  </si>
  <si>
    <t>Để cập nhật mức lãi suất vay mua ô tô của Techcombank chính xác nhất, vui lòng truy cập các …</t>
  </si>
  <si>
    <t>Có sẵn cụm anchor trong câu này → bôi đen cụm đó, gắn link.</t>
  </si>
  <si>
    <t>PHÙ HỢP CAO</t>
  </si>
  <si>
    <t>Chưa làm</t>
  </si>
  <si>
    <t>lãi suất vay mua xe ô tô</t>
  </si>
  <si>
    <t>https://techcombank.com/thong-tin/blog/thu-tuc-mua-xe-tra-gop</t>
  </si>
  <si>
    <t>(Mở bài)</t>
  </si>
  <si>
    <t>Cùng tìm hiểu những thông tin cần biết khi mua xe máy, ô tô trả góp và tham khảo giải pháp vay tại Techcombank trong bà…</t>
  </si>
  <si>
    <t>Chưa có cụm anchor nguyên văn → sửa câu này (hoặc thêm 1 câu ngay sau) cho chứa anchor rồi gắn link.</t>
  </si>
  <si>
    <t>https://techcombank.com/thong-tin/blog/vay-the-chap-xe-o-to-cu</t>
  </si>
  <si>
    <t>3. Lãi suất vay thế chấp xe ô tô của các ngân hàng</t>
  </si>
  <si>
    <t>Với Techcombank, quý Khách hàng vui lòng tham khảo Biểu phí lãi suất vay mua ô tô mới nhất .</t>
  </si>
  <si>
    <t>CÓ THỂ ĐI</t>
  </si>
  <si>
    <t>https://techcombank.com/thong-tin/blog/lai-suat-vay-the-chap-so-do</t>
  </si>
  <si>
    <t>2. Lưu ý cách tính lãi suất khi vay thế chấp sổ đỏ/ sổ…</t>
  </si>
  <si>
    <t>…n đang cân nhắc vay mua xe, đừng quên tìm hiểu thêm về lãi suất vay mua xe ô tô tại ngân hàng để có quyết định phù hợp…</t>
  </si>
  <si>
    <t>CẦN SOÁT</t>
  </si>
  <si>
    <t>https://techcombank.com/thong-tin/blog/doi-xe-xang-lay-xe-dien</t>
  </si>
  <si>
    <t>3. Lưu ý khi tham gia chương trình đổi xe xăng lấy xe…</t>
  </si>
  <si>
    <t>Vay mua ô tô với lãi suất hấp dẫn tại Techcombank.</t>
  </si>
  <si>
    <t>https://techcombank.com/thong-tin/blog/co-100-trieu-co-mua-nen-mua-tra-gop</t>
  </si>
  <si>
    <t>3. Cách tính khoản trả góp hàng tháng khi mua ô tô</t>
  </si>
  <si>
    <t>Giả sử khách hàng muốn mua một chiếc ô tô VinFast có giá lăn bánh khoảng 800 triệu VND, lãi suất giả định cho khoản vay…</t>
  </si>
  <si>
    <t>https://techcombank.com/thong-tin/blog/vay-the-chap-so-hong</t>
  </si>
  <si>
    <t>5. Hợp đồng vay thế chấp sổ hồng có cần phải công chứn…</t>
  </si>
  <si>
    <t>Hiện nay, Techcombank có các giải pháp cho vay mua nhà , Vay mua nhà ở đã có Giấy chứng nhận với chính sách lãi suất vô…</t>
  </si>
  <si>
    <t>https://techcombank.com/thong-tin/blog/vay-tra-gop</t>
  </si>
  <si>
    <t>4. Lưu ý khi vay tiền trả góp</t>
  </si>
  <si>
    <t>Tài khoản thấu chi MyCash , Vay tiêu dùng tín chấp trả góp , Vay thế chấp mua nhà , Vay thế chấp xây/sửa nhà , Vay tiêu…</t>
  </si>
  <si>
    <t>lãi suất vay mua ô tô các ngân hàng</t>
  </si>
  <si>
    <t>https://techcombank.com/thong-tin/blog/tai-khoan-ngan-hang-la-gi</t>
  </si>
  <si>
    <t>3. Nên mở loại tài khoản ngân hàng nào?</t>
  </si>
  <si>
    <t>Có thể mở tài khoản tín dụng (thẻ tín dụng) để sử dụng tính năng chi tiêu trước trả tiền sau, trả góp lãi suất 0%, tiện…</t>
  </si>
  <si>
    <t>https://techcombank.com/thong-tin/blog/mua-bao-hiem-o-to-dien</t>
  </si>
  <si>
    <t>3. Mua bảo hiểm ô tô điện ở đâu?</t>
  </si>
  <si>
    <t>Mua qua chi nhánh, phòng giao dịch của các ngân hàng có phân phối bảo hiểm ô tô</t>
  </si>
  <si>
    <t>https://techcombank.com/thong-tin/blog/tin-chap-doanh-nghiep</t>
  </si>
  <si>
    <t>2. Lợi ích cho doanh nghiệp khi vay tín chấp</t>
  </si>
  <si>
    <t>Hiện nay, rất nhiều ngân hàng đang cung cấp các gói vay tín chấp với nhiều chương trình ưu đãi và lãi suất hấp dẫn để c…</t>
  </si>
  <si>
    <t>https://techcombank.com/thong-tin/blog/cach-tinh-lai-vay-ngan-hang</t>
  </si>
  <si>
    <t>Việc hiểu rõ cách tính lãi suất vay ngân hàng sẽ giúp bạn chủ động hơn trong việc quản lý tài chính, lên kế hoạch trả n…</t>
  </si>
  <si>
    <t>https://techcombank.com/thong-tin/blog/lai-suat-vay-tin-chap</t>
  </si>
  <si>
    <t>Trong bài viết dưới đây, hãy cùng tìm hiểu chi tiết hơn về mức lãi suất vay tín chấp hiện đang được các ngân hàng áp dụ…</t>
  </si>
  <si>
    <t>https://techcombank.com/thong-tin/blog/cac-hinh-thuc-vay-von-ngan-hang</t>
  </si>
  <si>
    <t>1.2. Vay thế chấp</t>
  </si>
  <si>
    <t>Do có tài sản đảm bảo, các ngân hàng thường áp dụng mức lãi suất thấp hơn, giúp doanh nghiệp tiết kiệm chi phí vay.</t>
  </si>
  <si>
    <t>https://techcombank.com/thong-tin/blog/vay-tin-chap-va-vay-the-chap</t>
  </si>
  <si>
    <t>2. Nên lựa chọn hình thức vay tín chấp hay vay thế chấ…</t>
  </si>
  <si>
    <t>Việc vay ngân hàng có cần thế chấp không còn phụ thuộc vào hình thức và mục đích vay khác nhau như phục vụ tiêu dùng cá…</t>
  </si>
  <si>
    <t>https://techcombank.com/thong-tin/blog/vay-the-chap-kinh-doanh</t>
  </si>
  <si>
    <t>3. Lãi suất và hạn mức vay kinh doanh thế chấp</t>
  </si>
  <si>
    <t>Lãi suất vay thế chấp sẽ tùy thuộc vào từng gói vay, từng thời điểm cụ thể cũng như các chính sách cho vay của ngân hàn…</t>
  </si>
  <si>
    <t>https://techcombank.com/thong-tin/blog/lai-suat-vay-the-chap</t>
  </si>
  <si>
    <t>Nắm rõ về lãi suất vay thế chấp và cách tính lãi của ngân hàng giúp khách hàng xác định được số tiền gốc và lãi cần trả…</t>
  </si>
  <si>
    <t>https://techcombank.com/thong-tin/blog/lai-suat-vay-thau-chi</t>
  </si>
  <si>
    <t>1. Lãi suất vay thấu chi hiện nay</t>
  </si>
  <si>
    <t>Mức lãi suất vay thấu chi của các ngân hàng hiện nay đang dao động từ 5% - 18%/năm, phụ thuộc vào sản phẩm và hạn mức đ…</t>
  </si>
  <si>
    <t>URL 001 (bài đặt link)</t>
  </si>
  <si>
    <t>Anchortext 002</t>
  </si>
  <si>
    <t>URL 002 (bài đặt link)</t>
  </si>
  <si>
    <t>https://techcombank.com/thong-tin/blog/cho-vay-tung-lan</t>
  </si>
  <si>
    <t>Anchortext 003</t>
  </si>
  <si>
    <t>4. Khám phá các giải pháp vay dành cho khách hàng cá n…</t>
  </si>
  <si>
    <t>Rước xe yêu với hạn mức vay tới 80% giá trị xe, lãi suất chỉ từ 6.89%/năm, áp dụng cho cả ô tô mới và cũ, thời gian vay…</t>
  </si>
  <si>
    <t>URL 003 (bài đặt link)</t>
  </si>
  <si>
    <t>Anchortext 004</t>
  </si>
  <si>
    <t>URL 004 (bài đặt link)</t>
  </si>
  <si>
    <t>Anchortext 005</t>
  </si>
  <si>
    <t>mua xe trả góp lãi suất bao nhiêu</t>
  </si>
  <si>
    <t>https://techcombank.com/thong-tin/blog/lam-ho-so-tra-gop-dien-thoai</t>
  </si>
  <si>
    <t>URL 005 (bài đặt link)</t>
  </si>
  <si>
    <t>4.1. Đối với hình thức mua trả góp điện thoại online</t>
  </si>
  <si>
    <t>Anchortext 006</t>
  </si>
  <si>
    <t>&gt;&gt;&gt; Để tìm hiểu về trả góp trên Lazada, khách hàng có thể tham khảo bài viết Bật mí cách mua hàng trả góp Lazada lãi su…</t>
  </si>
  <si>
    <t>URL 006 (bài đặt link)</t>
  </si>
  <si>
    <t>Anchortext 007</t>
  </si>
  <si>
    <t>URL 007 (bài đặt link)</t>
  </si>
  <si>
    <t>https://techcombank.com/thong-tin/blog/nen-mua-xe-o-to-dien-hay-xe-xang</t>
  </si>
  <si>
    <t>Anchortext 008</t>
  </si>
  <si>
    <t>3. Nên mua xe ô tô điện hay xe xăng?</t>
  </si>
  <si>
    <t>Techcombank - Lựa chọn hàng đầu cho nhu cầu mua xe trả góp</t>
  </si>
  <si>
    <t>URL 008 (bài đặt link)</t>
  </si>
  <si>
    <t>Anchortext 009</t>
  </si>
  <si>
    <t>URL 009 (bài đặt link)</t>
  </si>
  <si>
    <t>Anchortext 010</t>
  </si>
  <si>
    <t>https://techcombank.com/thong-tin/blog/vay-mua-nha-o-xa-hoi</t>
  </si>
  <si>
    <t>3. Lãi suất cho vay mua nhà ở xã hội trả góp</t>
  </si>
  <si>
    <t>URL 010 (bài đặt link)</t>
  </si>
  <si>
    <t>Đây là lãi suất mua nhà ở xã hội trả góp vô cùng ưu đãi và tạo điều kiện thuận lợi cho các đối tượng chính sách có cơ h…</t>
  </si>
  <si>
    <t>Anchortext 011</t>
  </si>
  <si>
    <t>URL 011 (bài đặt link)</t>
  </si>
  <si>
    <t>Anchortext 012</t>
  </si>
  <si>
    <t>Link trỏ về (trang đích)</t>
  </si>
  <si>
    <t>URL 012 (bài đặt link)</t>
  </si>
  <si>
    <t>Anchortext 013</t>
  </si>
  <si>
    <t>https://techcombank.com/thong-tin/blog/mo-the-tin-dung-co-loi-ich-gi</t>
  </si>
  <si>
    <t>2. Chức năng mua trả góp lãi suất từ 0%</t>
  </si>
  <si>
    <t>Tổng số link trỏ về trang này</t>
  </si>
  <si>
    <t>Nhìn chung, mua hàng trả góp thông qua thẻ tín dụng sẽ giúp giải quyết bài toán mua sắm trong điều kiện không đủ tài ch…</t>
  </si>
  <si>
    <t>URL 013 (bài đặt link)</t>
  </si>
  <si>
    <t>Anchortext 014</t>
  </si>
  <si>
    <t>URL 014 (bài đặt link)</t>
  </si>
  <si>
    <t>Anchortext 015</t>
  </si>
  <si>
    <t>URL 015 (bài đặt link)</t>
  </si>
  <si>
    <t>Anchortext 016</t>
  </si>
  <si>
    <t>https://techcombank.com/thong-tin/blog/nen-vay-tin-chap-o-dau</t>
  </si>
  <si>
    <t>1. Ngân hàng Thương mại cổ phần Kỹ Thương Việt Nam - T…</t>
  </si>
  <si>
    <t>Thống kê anchor text (anchor – số link)</t>
  </si>
  <si>
    <t>URL 016 (bài đặt link)</t>
  </si>
  <si>
    <t>Vay tiêu dùng tín chấp trả góp với hạn mức vay lên đến 1,000,000,000 VND cùng mức lãi suất ưu đãi chỉ từ 12.9%/năm (Mức…</t>
  </si>
  <si>
    <t>Anchortext 017</t>
  </si>
  <si>
    <t>Link đi từ bài (bài nguồn – nơi đặt link)</t>
  </si>
  <si>
    <t>URL 017 (bài đặt link)</t>
  </si>
  <si>
    <t>Anchor text</t>
  </si>
  <si>
    <t>Anchortext 018</t>
  </si>
  <si>
    <t>Mức độ phù hợp</t>
  </si>
  <si>
    <t>URL 018 (bài đặt link)</t>
  </si>
  <si>
    <t>Lý do</t>
  </si>
  <si>
    <t>Anchortext 019</t>
  </si>
  <si>
    <t>https://techcombank.com/thong-tin/blog/mua-nha-tra-gop-dua-truoc-100-trieu</t>
  </si>
  <si>
    <t>Vị trí chèn (dưới mục)</t>
  </si>
  <si>
    <t>URL 019 (bài đặt link)</t>
  </si>
  <si>
    <t>4. Có 100 triệu VND vốn ban đầu, có thể tham khảo giải…</t>
  </si>
  <si>
    <t>Anchortext 020</t>
  </si>
  <si>
    <t>Với 100 triệu VND vốn ban đầu, khách hàng có thể tham khảo một số giải pháp vay mua nhà trả góp Techcombank - chính sác…</t>
  </si>
  <si>
    <t>URL 020 (bài đặt link)</t>
  </si>
  <si>
    <t>Anchortext 021</t>
  </si>
  <si>
    <t>Ghi chú biên tập</t>
  </si>
  <si>
    <t>URL 021 (bài đặt link)</t>
  </si>
  <si>
    <t>Anchortext 022</t>
  </si>
  <si>
    <t>URL 022 (bài đặt link)</t>
  </si>
  <si>
    <t>https://techcombank.com/thong-tin/blog/vay-300-trieu</t>
  </si>
  <si>
    <t>Anchortext 023</t>
  </si>
  <si>
    <t>Techcombank mang đến giải pháp vay tiêu dùng tín chấp trả góp với hạn mức lên tới 1 tỷ VND, lãi suất chỉ từ 12.9%/năm v…</t>
  </si>
  <si>
    <t>URL 023 (bài đặt link)</t>
  </si>
  <si>
    <t>Anchortext 024</t>
  </si>
  <si>
    <t>URL 024 (bài đặt link)</t>
  </si>
  <si>
    <t>Anchortext 025</t>
  </si>
  <si>
    <t>https://techcombank.com/thong-tin/blog/vay-100-trieu</t>
  </si>
  <si>
    <t>URL 025 (bài đặt link)</t>
  </si>
  <si>
    <t>1. Lợi ích khi vay online trên Techcombank Mobile</t>
  </si>
  <si>
    <t>Auto Loan</t>
  </si>
  <si>
    <t>Anchortext 026</t>
  </si>
  <si>
    <t>Giảm bớt áp lực trả góp với lãi suất cạnh tranh</t>
  </si>
  <si>
    <t>URL 026 (bài đặt link)</t>
  </si>
  <si>
    <t>Anchortext 027</t>
  </si>
  <si>
    <t>https://techcombank.com/thong-tin/blog/vay-30-trieu</t>
  </si>
  <si>
    <t>2. Lợi ích khi vay 30 triệu trên Techcombank Mobile</t>
  </si>
  <si>
    <t>URL 027 (bài đặt link)</t>
  </si>
  <si>
    <t>Anchortext 028</t>
  </si>
  <si>
    <t>URL 028 (bài đặt link)</t>
  </si>
  <si>
    <t>https://techcombank.com/thong-tin/blog/vay-200-trieu</t>
  </si>
  <si>
    <t>Techcombank mang đến giải pháp vay tiêu dùng tín chấp trả góp, không cần tài sản đảm bảo, lãi suất chỉ từ 12.9%/năm, th…</t>
  </si>
  <si>
    <t>Anchortext 029</t>
  </si>
  <si>
    <t>URL 029 (bài đặt link)</t>
  </si>
  <si>
    <t>mua xe trả góp lãi suất bao nhiêu – 11 link
lãi suất vay mua ô tô các ngân hàng – 10 link
lãi suất vay mua ô tô – 6 link
lãi suất vay mua xe ô tô – 3 link</t>
  </si>
  <si>
    <t>Anchortext 030</t>
  </si>
  <si>
    <t>https://techcombank.com/thong-tin/blog/cach-su-dung-the-tin-dung</t>
  </si>
  <si>
    <t>4. 4 cách dùng thẻ tín dụng thông thái</t>
  </si>
  <si>
    <t>URL 030 (bài đặt link)</t>
  </si>
  <si>
    <t>Tận dụng chính sách trả góp với lãi suất từ 0%, khách hàng sẽ được hưởng lợi rất nhiều so với các hình thức mua trả góp…</t>
  </si>
  <si>
    <t>Anchortext 031</t>
  </si>
  <si>
    <t>URL 031 (bài đặt link)</t>
  </si>
  <si>
    <t>https://techcombank.com/thong-tin/blog/nop-thue-dat-qua-ngan-hang</t>
  </si>
  <si>
    <t>cách nộp thuế đất online</t>
  </si>
  <si>
    <t>Anchortext 032</t>
  </si>
  <si>
    <t>★</t>
  </si>
  <si>
    <t>https://techcombank.com/thong-tin/blog/cach-nop-thue-dien-tu</t>
  </si>
  <si>
    <t>URL 032 (bài đặt link)</t>
  </si>
  <si>
    <t>Cách nộp thuế điện tử online giúp rút ngắn thủ tục, minh bạch nghĩa vụ và hạn chế sai sót trong quá trình kê khai - nộp…</t>
  </si>
  <si>
    <t>Anchortext 033</t>
  </si>
  <si>
    <t>Thay thế (bài cũ đã có link về trang đích). Đã đọc nội dung: bài có đoạn gần chủ đề, cần sửa câu.</t>
  </si>
  <si>
    <t>URL 033 (bài đặt link)</t>
  </si>
  <si>
    <t>Anchortext 034</t>
  </si>
  <si>
    <t>URL 034 (bài đặt link)</t>
  </si>
  <si>
    <t>Anchortext 035</t>
  </si>
  <si>
    <t>https://techcombank.com/thong-tin/blog/vay-tin-chap-cho-doanh-nghiep-moi-thanh-lap</t>
  </si>
  <si>
    <t>URL 035 (bài đặt link)</t>
  </si>
  <si>
    <t>1. Có vay tín chấp cho doanh nghiệp mới thành lập được…</t>
  </si>
  <si>
    <t>Anchortext 036</t>
  </si>
  <si>
    <t>Một trong những cách thể hiện uy tín tài chính là thực hiện đúng nghĩa vụ thuế, đặc biệt là chuyển khoản nộp thuế cho n…</t>
  </si>
  <si>
    <t>URL 036 (bài đặt link)</t>
  </si>
  <si>
    <t>Anchortext 037</t>
  </si>
  <si>
    <t>URL 037 (bài đặt link)</t>
  </si>
  <si>
    <t>Anchortext 038</t>
  </si>
  <si>
    <t>https://techcombank.com/thong-tin/blog/thue-vat-la-gi</t>
  </si>
  <si>
    <t>URL 038 (bài đặt link)</t>
  </si>
  <si>
    <t>Cách tính thuế giá trị gia tăng (VAT) như thế nào, đối tượng và nhóm hàng hóa nào phải nộp thuế VAT?</t>
  </si>
  <si>
    <t>Anchortext 039</t>
  </si>
  <si>
    <t>URL 039 (bài đặt link)</t>
  </si>
  <si>
    <t>Anchortext 040</t>
  </si>
  <si>
    <t>URL 040 (bài đặt link)</t>
  </si>
  <si>
    <t>https://techcombank.com/thong-tin/blog/tra-cuu-no-thue-hai-quan</t>
  </si>
  <si>
    <t>Anchortext 041</t>
  </si>
  <si>
    <t>4.1. Cách 1: Qua cổng thông tin của Tổng cục Hải quan</t>
  </si>
  <si>
    <t>Dưới đây là hướng dẫn chi tiết cách nộp thuế hải quan điện tử qua Techcombank Business (bản web).</t>
  </si>
  <si>
    <t>URL 041 (bài đặt link)</t>
  </si>
  <si>
    <t>Anchortext 042</t>
  </si>
  <si>
    <t>Năm cũ: không ghi năm.</t>
  </si>
  <si>
    <t>URL 042 (bài đặt link)</t>
  </si>
  <si>
    <t>Anchortext 043</t>
  </si>
  <si>
    <t>Bài hướng dẫn hồ sơ, thủ tục mua xe trả góp — bước sau khi người đọc so sánh lãi suất.</t>
  </si>
  <si>
    <t>https://techcombank.com/thong-tin/blog/tra-cuu-no-thue-ho-kinh-doanh</t>
  </si>
  <si>
    <t>URL 043 (bài đặt link)</t>
  </si>
  <si>
    <t>Bài viết dưới đây hướng dẫn chi tiết cách cách tra cứu nợ thuế hộ kinh doanh online và cách xử lý khi kiểm tra nợ thuế…</t>
  </si>
  <si>
    <t>Anchortext 044</t>
  </si>
  <si>
    <t>URL 044 (bài đặt link)</t>
  </si>
  <si>
    <t>Anchortext 045</t>
  </si>
  <si>
    <t>URL 045 (bài đặt link)</t>
  </si>
  <si>
    <t>Anchortext 046</t>
  </si>
  <si>
    <t>https://techcombank.com/thong-tin/blog/thue-thuong-mai-dien-tu</t>
  </si>
  <si>
    <t>3.3. Nộp thuế hộ kinh doanh</t>
  </si>
  <si>
    <t>Nộp trực tiếp bằng cách nhập mã số thuế và chọn kỳ hạn</t>
  </si>
  <si>
    <t>URL 046 (bài đặt link)</t>
  </si>
  <si>
    <t>Anchortext 047</t>
  </si>
  <si>
    <t>https://techcombank.com/thong-tin/blog/thue-thu-nhap-doanh-nghiep</t>
  </si>
  <si>
    <t>4. Cách tính thuế thu nhập doanh nghiệp 2026 chuẩn xác</t>
  </si>
  <si>
    <t>Sau khi biết mức thuế thu nhập doanh nghiệp (TNDN) năm 2026 là bao nhiêu, doanh nghiệp cần hiểu cách tính thuế để xác đ…</t>
  </si>
  <si>
    <t>So sánh trả góp và trả thẳng — phần chi phí trả góp cần dẫn sang lãi suất vay mua ô tô.</t>
  </si>
  <si>
    <t>https://techcombank.com/thong-tin/blog/nop-thue-hai-quan</t>
  </si>
  <si>
    <t>Bài viết dưới đây sẽ hướng dẫn chi tiết cách tra cứu nộp thuế hải quan và các phương thức đóng lệ phí hải quan online m…</t>
  </si>
  <si>
    <t>Chủ đề vay thế chấp mua xe cũ; chèn được ở đoạn nói về chi phí/lãi vay.</t>
  </si>
  <si>
    <t>URL 047 (bài đặt link)</t>
  </si>
  <si>
    <t>https://techcombank.com/thong-tin/blog/giai-dap-ve-thue-doanh-nghiep</t>
  </si>
  <si>
    <t>Bài viết tổng hợp các khái niệm quan trọng, kỳ khai thuế, phương pháp kê khai và cách xác định số thuế phải nộp nhằm gi…</t>
  </si>
  <si>
    <t>Anchortext 048</t>
  </si>
  <si>
    <t>URL 048 (bài đặt link)</t>
  </si>
  <si>
    <t>Anchortext 049</t>
  </si>
  <si>
    <t>https://techcombank.com/thong-tin/blog/ho-kinh-doanh-ca-the</t>
  </si>
  <si>
    <t>4.3. Nộp thuế hộ kinh doanh</t>
  </si>
  <si>
    <t>Nhắc: ô tô.</t>
  </si>
  <si>
    <t>URL 049 (bài đặt link)</t>
  </si>
  <si>
    <t>Anchortext 050</t>
  </si>
  <si>
    <t>URL 050 (bài đặt link)</t>
  </si>
  <si>
    <t>https://techcombank.com/thong-tin/blog/cach-dang-ky-ma-so-thue-ho-kinh-doanh-online</t>
  </si>
  <si>
    <t>Anchortext 051</t>
  </si>
  <si>
    <t>Bài viết dưới đây hướng dẫn hồ sơ, thủ tục cách đăng ký mã số thuế hộ kinh doanh online theo quy định mới nhất.</t>
  </si>
  <si>
    <t>Thay thế (bài cũ không có đoạn liên quan). Đã đọc nội dung: bài có đoạn gần chủ đề, cần sửa câu.</t>
  </si>
  <si>
    <t>URL 051 (bài đặt link)</t>
  </si>
  <si>
    <t>Anchortext 052</t>
  </si>
  <si>
    <t>URL 052 (bài đặt link)</t>
  </si>
  <si>
    <t>https://techcombank.com/thong-tin/blog/kiem-tra-ma-so-thue-doanh-nghiep</t>
  </si>
  <si>
    <t>4. Những lưu ý "vàng" khi tra cứu mã số thuế doanh ngh…</t>
  </si>
  <si>
    <t>Khi kết quả hiển thị thông tin dạng "Người nộp thuế tạm ngừng hoạt động" hoặc "Người nộp thuế không hoạt động tại địa c…</t>
  </si>
  <si>
    <t>Anchortext 053</t>
  </si>
  <si>
    <t>URL 053 (bài đặt link)</t>
  </si>
  <si>
    <t>Anchortext 054</t>
  </si>
  <si>
    <t>https://techcombank.com/thong-tin/blog/tra-cuu-ma-so-thue-ho-kinh-doanh</t>
  </si>
  <si>
    <t>Cùng tìm hiểu 3 cách tra cứu mã số thuế hộ kinh doanh online nhanh chóng, chính xác qua hệ thống của Tổng cục Thuế và ứ…</t>
  </si>
  <si>
    <t>URL 054 (bài đặt link)</t>
  </si>
  <si>
    <t>Anchortext 055</t>
  </si>
  <si>
    <t>Mở rộng chủ đề (theo plan): bài nhắc ô tô, mua xe.</t>
  </si>
  <si>
    <t>URL 055 (bài đặt link)</t>
  </si>
  <si>
    <t>https://techcombank.com/thong-tin/blog/quyet-toan-thue-doanh-nghiep</t>
  </si>
  <si>
    <t>Anchortext 056</t>
  </si>
  <si>
    <t>1. Quyết toán thuế doanh nghiệp là gì? Gồm các sắc thu…</t>
  </si>
  <si>
    <t>Hiểu một cách bản chất, quyết toán thuế doanh nghiệp là quá trình doanh nghiệp tiến hành khai báo, tính toán lại một cá…</t>
  </si>
  <si>
    <t>URL 056 (bài đặt link)</t>
  </si>
  <si>
    <t>Anchortext 057</t>
  </si>
  <si>
    <t>https://techcombank.com/thong-tin/blog/ho-kinh-doanh-dong-thue-nhu-nao</t>
  </si>
  <si>
    <t>Mở rộng chủ đề (theo plan): bài nhắc vay, tín chấp, giải ngân. Liên quan rộng – đọc bài trước khi chèn.</t>
  </si>
  <si>
    <t>3.3. Nộp thuế</t>
  </si>
  <si>
    <t>URL 057 (bài đặt link)</t>
  </si>
  <si>
    <t>Anchortext 058</t>
  </si>
  <si>
    <t>URL 058 (bài đặt link)</t>
  </si>
  <si>
    <t>https://techcombank.com/thong-tin/blog/thue-khoan-ho-kinh-doanh-la-gi</t>
  </si>
  <si>
    <t>Anchortext 059</t>
  </si>
  <si>
    <t>Do đó, không ít chủ hộ băn khoăn thuế khoán hộ kinh doanh là gì , còn được áp dụng hay không, hộ kinh doanh sẽ phải nộp…</t>
  </si>
  <si>
    <t>URL 059 (bài đặt link)</t>
  </si>
  <si>
    <t>Anchortext 060</t>
  </si>
  <si>
    <t>Mở rộng chủ đề (theo plan): bài nhắc vay, trả góp, mua nhà. Liên quan rộng – đọc bài trước khi chèn.</t>
  </si>
  <si>
    <t>URL 060 (bài đặt link)</t>
  </si>
  <si>
    <t>https://techcombank.com/thong-tin/blog/nop-tien-mat-vao-tai-khoan-cong-ty</t>
  </si>
  <si>
    <t>3.3. Có nộp tiền mặt vào tài khoản công ty online được…</t>
  </si>
  <si>
    <t>Doanh nghiệp chỉ có thể thực hiện việc nộp tiền mặt vào tài khoản công ty thông qua hai cách đã đề cập trong bài viết,…</t>
  </si>
  <si>
    <t>Anchortext 061</t>
  </si>
  <si>
    <t>URL 061 (bài đặt link)</t>
  </si>
  <si>
    <t>Anchortext 062</t>
  </si>
  <si>
    <t>URL 062 (bài đặt link)</t>
  </si>
  <si>
    <t>https://techcombank.com/thong-tin/blog/cach-tra-cuu-hoa-don-dien-tu</t>
  </si>
  <si>
    <t>3. Cách 3: Sử dụng phần mềm tra hóa đơn điện tử hợp lệ…</t>
  </si>
  <si>
    <t>Anchortext 063</t>
  </si>
  <si>
    <t>Việc nắm rõ cách tra cứu hóa đơn điện tử Tổng cục thuế đúng quy trình sẽ giúp người nộp thuế xác minh tính hợp lệ của c…</t>
  </si>
  <si>
    <t>Mở rộng chủ đề (theo plan): bài nhắc vay, lãi suất vay, thấu chi. Liên quan rộng – đọc bài trước khi chèn.</t>
  </si>
  <si>
    <t>URL 063 (bài đặt link)</t>
  </si>
  <si>
    <t>Anchortext 064</t>
  </si>
  <si>
    <t>https://techcombank.com/thong-tin/blog/cach-tinh-thue-thu-nhap-doanh-nghiep</t>
  </si>
  <si>
    <t>URL 064 (bài đặt link)</t>
  </si>
  <si>
    <t>6. Ví dụ minh họa cách tính thuế thu nhập doanh nghiệp…</t>
  </si>
  <si>
    <t>Cách tính thuế thu nhập doanh nghiệp phải nộp</t>
  </si>
  <si>
    <t>Anchortext 065</t>
  </si>
  <si>
    <t>URL 065 (bài đặt link)</t>
  </si>
  <si>
    <t>Bài nguồn (nơi đặt link)</t>
  </si>
  <si>
    <t>Anchortext 066</t>
  </si>
  <si>
    <t>đóng thuế đất online</t>
  </si>
  <si>
    <t>https://techcombank.com/thong-tin/blog/thue-thu-nhap-ca-nhan</t>
  </si>
  <si>
    <t>Cùng Techcombank tìm hiểu chi tiết cách tính thuế thu nhập cá nhân, quy định mới và cách đóng thuế thu nhập cá nhân 202…</t>
  </si>
  <si>
    <t>URL 066 (bài đặt link)</t>
  </si>
  <si>
    <t>Số link đi ra</t>
  </si>
  <si>
    <t>Anchortext 067</t>
  </si>
  <si>
    <t>Mở rộng chủ đề (theo plan): bài nhắc vay, tín chấp, lãi suất vay. Liên quan rộng – đọc bài trước khi chèn.</t>
  </si>
  <si>
    <t>URL 067 (bài đặt link)</t>
  </si>
  <si>
    <t>Trỏ về các trang đích</t>
  </si>
  <si>
    <t>nộp thuế đất online</t>
  </si>
  <si>
    <t>Anchortext 068</t>
  </si>
  <si>
    <t>https://techcombank.com/thong-tin/blog/kinh-doanh-online</t>
  </si>
  <si>
    <t>5.3. Các loại thuế cần đóng khi kinh doanh online?</t>
  </si>
  <si>
    <t>URL 068 (bài đặt link)</t>
  </si>
  <si>
    <t>Các loại thuế người kinh doanh online cần nộp bao gồm:</t>
  </si>
  <si>
    <t>Anchortext 069</t>
  </si>
  <si>
    <t>Mở rộng chủ đề (theo plan): bài nhắc vay, khoản vay, tín chấp. Liên quan rộng – đọc bài trước khi chèn.</t>
  </si>
  <si>
    <t>URL 069 (bài đặt link)</t>
  </si>
  <si>
    <t>https://techcombank.com/thong-tin/blog/ke-khai-thue-ho-kinh-doanh-ca-the-online</t>
  </si>
  <si>
    <t>Anchortext 070</t>
  </si>
  <si>
    <t>Việc nắm rõ thời hạn nộp tờ khai và quy trình kê khai thuế hộ kinh doanh cá thể online giúp chủ hộ hạn chế sai sót, trá…</t>
  </si>
  <si>
    <t>URL 070 (bài đặt link)</t>
  </si>
  <si>
    <t>Anchortext 071</t>
  </si>
  <si>
    <t>Mở rộng chủ đề (theo plan): bài nhắc vay, tín chấp, thế chấp. Liên quan rộng – đọc bài trước khi chèn.</t>
  </si>
  <si>
    <t>URL 071 (bài đặt link)</t>
  </si>
  <si>
    <t>Anchortext 072</t>
  </si>
  <si>
    <t>https://techcombank.com/thong-tin/blog/cach-tinh-thue-thu-nhap-ca-nhan-2025</t>
  </si>
  <si>
    <t>URL 072 (bài đặt link)</t>
  </si>
  <si>
    <t>4.3. Làm thế nào để nhận hoàn thuế thu nhập cá nhân (T…</t>
  </si>
  <si>
    <t>Anchortext 073</t>
  </si>
  <si>
    <t>Người nộp thuế nên thường xuyên cập nhật thông tin từ Tổng cục Thuế và sử dụng ứng dụng eTax Mobile để tính thuế thu nh…</t>
  </si>
  <si>
    <t>URL 073 (bài đặt link)</t>
  </si>
  <si>
    <t>Mở rộng chủ đề (theo plan): bài nhắc vay, thế chấp, lãi suất vay. Liên quan rộng – đọc bài trước khi chèn.</t>
  </si>
  <si>
    <t>Anchortext 074</t>
  </si>
  <si>
    <t>URL 074 (bài đặt link)</t>
  </si>
  <si>
    <t>Anchortext 075</t>
  </si>
  <si>
    <t>URL 075 (bài đặt link)</t>
  </si>
  <si>
    <t>Anchortext 076</t>
  </si>
  <si>
    <t>Mở rộng chủ đề (theo plan): bài nhắc vay, khoản vay, trả góp. Liên quan rộng – đọc bài trước khi chèn.</t>
  </si>
  <si>
    <t>URL 076 (bài đặt link)</t>
  </si>
  <si>
    <t>Anchortext 077</t>
  </si>
  <si>
    <t>URL 077 (bài đặt link)</t>
  </si>
  <si>
    <t>https://techcombank.com/thong-tin/blog/kiem-tra-thue-thu-nhap-ca-nhan</t>
  </si>
  <si>
    <t>3. Cách 2: Tra cứu thuế thu nhập cá nhân qua ứng dụng…</t>
  </si>
  <si>
    <t>Anchortext 078</t>
  </si>
  <si>
    <t>Nhờ vậy, việc tra cứu hay kiểm tra thuế thu nhập cá nhân (TNCN) online không chỉ giúp người nộp thuế chủ động nắm bắt n…</t>
  </si>
  <si>
    <t>URL 078 (bài đặt link)</t>
  </si>
  <si>
    <t>Anchortext 079</t>
  </si>
  <si>
    <t>URL 079 (bài đặt link)</t>
  </si>
  <si>
    <t>Anchortext 080</t>
  </si>
  <si>
    <t>URL 080 (bài đặt link)</t>
  </si>
  <si>
    <t>Anchortext 081</t>
  </si>
  <si>
    <t>URL 081 (bài đặt link)</t>
  </si>
  <si>
    <t>Anchortext 082</t>
  </si>
  <si>
    <t>https://techcombank.com/thong-tin/blog/dang-ky-thue-ho-kinh-doanh-ca-the-online</t>
  </si>
  <si>
    <t>2. Cách đăng ký tài khoản thuế hộ kinh doanh online tr…</t>
  </si>
  <si>
    <t>URL 082 (bài đặt link)</t>
  </si>
  <si>
    <t>Sau khi được cấp mã số thuế, hộ kinh doanh nên đăng ký tài khoản Thuế điện tử và eTax Mobile để tra cứu và thực hiện cá…</t>
  </si>
  <si>
    <t>Anchortext 083</t>
  </si>
  <si>
    <t>URL 083 (bài đặt link)</t>
  </si>
  <si>
    <t>Mở rộng chủ đề (theo plan): bài nhắc vay, thế chấp, hạn mức. Liên quan rộng – đọc bài trước khi chèn.</t>
  </si>
  <si>
    <t>Anchortext 084</t>
  </si>
  <si>
    <t>URL 084 (bài đặt link)</t>
  </si>
  <si>
    <t>Anchortext 085</t>
  </si>
  <si>
    <t>https://techcombank.com/thong-tin/blog/han-muc-vay-the-chap-so-do</t>
  </si>
  <si>
    <t>URL 085 (bài đặt link)</t>
  </si>
  <si>
    <t>—</t>
  </si>
  <si>
    <t>Bài không có đoạn liên quan → nên bỏ link này.</t>
  </si>
  <si>
    <t>Anchortext 086</t>
  </si>
  <si>
    <t>NÊN BỎ</t>
  </si>
  <si>
    <t>URL 086 (bài đặt link)</t>
  </si>
  <si>
    <t>Đề xuất bỏ</t>
  </si>
  <si>
    <t>Anchortext 087</t>
  </si>
  <si>
    <t>URL 087 (bài đặt link)</t>
  </si>
  <si>
    <t>https://techcombank.com/thong-tin/blog/khach-hang-vip-bat-dong-san</t>
  </si>
  <si>
    <t>Anchortext 088</t>
  </si>
  <si>
    <t>URL 088 (bài đặt link)</t>
  </si>
  <si>
    <t>Anchortext 089</t>
  </si>
  <si>
    <t>Mở rộng chủ đề (theo plan): bài nhắc vay, trả góp, giải ngân. Liên quan rộng – đọc bài trước khi chèn.</t>
  </si>
  <si>
    <t>URL 089 (bài đặt link)</t>
  </si>
  <si>
    <t>Anchortext 090</t>
  </si>
  <si>
    <t>URL 090 (bài đặt link)</t>
  </si>
  <si>
    <t>Anchortext 091</t>
  </si>
  <si>
    <t>URL 091 (bài đặt link)</t>
  </si>
  <si>
    <t>https://techcombank.com/thong-tin/blog/eco-card</t>
  </si>
  <si>
    <t>Anchortext 092</t>
  </si>
  <si>
    <t>URL 092 (bài đặt link)</t>
  </si>
  <si>
    <t>Anchortext 093</t>
  </si>
  <si>
    <t>URL 093 (bài đặt link)</t>
  </si>
  <si>
    <t>Anchortext 094</t>
  </si>
  <si>
    <t>URL 094 (bài đặt link)</t>
  </si>
  <si>
    <t>Anchortext 095</t>
  </si>
  <si>
    <t>URL 095 (bài đặt link)</t>
  </si>
  <si>
    <t>Anchortext 096</t>
  </si>
  <si>
    <t>URL 096 (bài đặt link)</t>
  </si>
  <si>
    <t>https://techcombank.com/thong-tin/blog/dieu-kien-vay-von-ngan-hang</t>
  </si>
  <si>
    <t>Anchortext 097</t>
  </si>
  <si>
    <t>URL 097 (bài đặt link)</t>
  </si>
  <si>
    <t>Anchortext 098</t>
  </si>
  <si>
    <t>URL 098 (bài đặt link)</t>
  </si>
  <si>
    <t>Anchortext 099</t>
  </si>
  <si>
    <t>URL 099 (bài đặt link)</t>
  </si>
  <si>
    <t>https://techcombank.com/thong-tin/blog/cach-tao-ma-qr</t>
  </si>
  <si>
    <t>Anchortext 100</t>
  </si>
  <si>
    <t>URL 100 (bài đặt link)</t>
  </si>
  <si>
    <t>Anchortext 101</t>
  </si>
  <si>
    <t>URL 101 (bài đặt link)</t>
  </si>
  <si>
    <t>Anchortext 102</t>
  </si>
  <si>
    <t>https://techcombank.com/thong-tin/blog/lai-suat-vay-kinh-doanh</t>
  </si>
  <si>
    <t>URL 102 (bài đặt link)</t>
  </si>
  <si>
    <t>Anchortext 103</t>
  </si>
  <si>
    <t>URL 103 (bài đặt link)</t>
  </si>
  <si>
    <t>Anchortext 104</t>
  </si>
  <si>
    <t>URL 104 (bài đặt link)</t>
  </si>
  <si>
    <t>https://techcombank.com/thong-tin/blog/bao-lanh-ngan-hang-infographic</t>
  </si>
  <si>
    <t>Anchortext 105</t>
  </si>
  <si>
    <t>Mở rộng chủ đề (theo plan): bài nhắc vay, tín chấp, trả góp. Liên quan rộng – đọc bài trước khi chèn.</t>
  </si>
  <si>
    <t>URL 105 (bài đặt link)</t>
  </si>
  <si>
    <t>Anchortext 106</t>
  </si>
  <si>
    <t>URL 106 (bài đặt link)</t>
  </si>
  <si>
    <t>Anchortext 107</t>
  </si>
  <si>
    <t>URL 107 (bài đặt link)</t>
  </si>
  <si>
    <t>https://techcombank.com/thong-tin/blog/ebitda-la-gi</t>
  </si>
  <si>
    <t>Anchortext 108</t>
  </si>
  <si>
    <t>URL 108 (bài đặt link)</t>
  </si>
  <si>
    <t>Anchortext 109</t>
  </si>
  <si>
    <t>https://techcombank.com/thong-tin/blog/tra-cuu-no-thue-ca-nhan</t>
  </si>
  <si>
    <t>URL 109 (bài đặt link)</t>
  </si>
  <si>
    <t>Anchortext 110</t>
  </si>
  <si>
    <t>URL 110 (bài đặt link)</t>
  </si>
  <si>
    <t>Anchortext 111</t>
  </si>
  <si>
    <t>URL 111 (bài đặt link)</t>
  </si>
  <si>
    <t>Anchortext 112</t>
  </si>
  <si>
    <t>URL 112 (bài đặt link)</t>
  </si>
  <si>
    <t>Anchortext 113</t>
  </si>
  <si>
    <t>URL 113 (bài đặt link)</t>
  </si>
  <si>
    <t>Anchortext 114</t>
  </si>
  <si>
    <t>URL 114 (bài đặt link)</t>
  </si>
  <si>
    <t>Business Account</t>
  </si>
  <si>
    <t>Anchortext 115</t>
  </si>
  <si>
    <t>https://techcombank.com/thong-tin/blog/tim-hieu-ve-chinh-sach-thue-moi</t>
  </si>
  <si>
    <t>URL 115 (bài đặt link)</t>
  </si>
  <si>
    <t>Anchortext 116</t>
  </si>
  <si>
    <t>URL 116 (bài đặt link)</t>
  </si>
  <si>
    <t>cách nộp thuế đất online – 19 link
nộp thuế đất online – 5 link
đóng thuế đất online – 1 link
(+75 link nên bỏ: bài không có đoạn liên quan)</t>
  </si>
  <si>
    <t>Anchortext 117</t>
  </si>
  <si>
    <t>https://techcombank.com/thong-tin/blog/chuyen-doi-ho-kinh-doanh-len-doanh-nghiep</t>
  </si>
  <si>
    <t>URL 117 (bài đặt link)</t>
  </si>
  <si>
    <t>Anchortext 118</t>
  </si>
  <si>
    <t>URL 118 (bài đặt link)</t>
  </si>
  <si>
    <t>Anchortext 119</t>
  </si>
  <si>
    <t>Bài hướng dẫn nộp thuế online chung — có thể dẫn sang trường hợp cụ thể là thuế đất.</t>
  </si>
  <si>
    <t>https://techcombank.com/thong-tin/blog/nen-thanh-lap-ho-kinh-doanh-ke-khai-hay-doanh-nghiep</t>
  </si>
  <si>
    <t>URL 119 (bài đặt link)</t>
  </si>
  <si>
    <t>Anchortext 120</t>
  </si>
  <si>
    <t>URL 120 (bài đặt link)</t>
  </si>
  <si>
    <t>Anchortext 121</t>
  </si>
  <si>
    <t>https://techcombank.com/thong-tin/blog/dong-ma-so-thue-ho-kinh-doanh</t>
  </si>
  <si>
    <t>URL 121 (bài đặt link)</t>
  </si>
  <si>
    <t>Anchortext 122</t>
  </si>
  <si>
    <t>URL 122 (bài đặt link)</t>
  </si>
  <si>
    <t>Anchortext 123</t>
  </si>
  <si>
    <t>URL 123 (bài đặt link)</t>
  </si>
  <si>
    <t>https://techcombank.com/thong-tin/blog/cach-dau-tu</t>
  </si>
  <si>
    <t>Anchortext 124</t>
  </si>
  <si>
    <t>URL 124 (bài đặt link)</t>
  </si>
  <si>
    <t>Anchortext 125</t>
  </si>
  <si>
    <t>URL 125 (bài đặt link)</t>
  </si>
  <si>
    <t>Anchortext 126</t>
  </si>
  <si>
    <t>https://techcombank.com/thong-tin/blog/chuyen-gia-du-doan-gia-bat-dong-san-2025-va-cac-no-luc-tu-ngan-hang</t>
  </si>
  <si>
    <t>URL 126 (bài đặt link)</t>
  </si>
  <si>
    <t>Nhắc: nộp thuế.</t>
  </si>
  <si>
    <t>Anchortext 127</t>
  </si>
  <si>
    <t>URL 127 (bài đặt link)</t>
  </si>
  <si>
    <t>Anchortext 128</t>
  </si>
  <si>
    <t>Title/URL còn năm cũ: câu chèn không ghi năm.</t>
  </si>
  <si>
    <t>URL 128 (bài đặt link)</t>
  </si>
  <si>
    <t>Anchortext 129</t>
  </si>
  <si>
    <t>URL 129 (bài đặt link)</t>
  </si>
  <si>
    <t>Nhắc: etax.</t>
  </si>
  <si>
    <t>Anchortext 130</t>
  </si>
  <si>
    <t>https://techcombank.com/thong-tin/blog/thue-phi-co-dinh-khi-chuyen-doi-tu-ho-kinh-doanh-len-doanh-nghiep</t>
  </si>
  <si>
    <t>URL 130 (bài đặt link)</t>
  </si>
  <si>
    <t>Anchortext 131</t>
  </si>
  <si>
    <t>URL 131 (bài đặt link)</t>
  </si>
  <si>
    <t>Anchortext 132</t>
  </si>
  <si>
    <t>https://techcombank.com/thong-tin/blog/truy-thu-thue-ho-kinh-doanh</t>
  </si>
  <si>
    <t>URL 132 (bài đặt link)</t>
  </si>
  <si>
    <t>Đã đọc nội dung: bài không có đoạn nào liên quan tới anchor này.</t>
  </si>
  <si>
    <t>Anchortext 133</t>
  </si>
  <si>
    <t>URL 133 (bài đặt link)</t>
  </si>
  <si>
    <t>Anchortext 134</t>
  </si>
  <si>
    <t>https://techcombank.com/thong-tin/blog/nhung-chi-phi-khong-duoc-tru-khi-tinh-thue-tndn</t>
  </si>
  <si>
    <t>URL 134 (bài đặt link)</t>
  </si>
  <si>
    <t>Anchortext 135</t>
  </si>
  <si>
    <t>https://techcombank.com/thong-tin/blog/kiem-tra-thue-ho-kinh-doanh</t>
  </si>
  <si>
    <t>URL 135 (bài đặt link)</t>
  </si>
  <si>
    <t>Anchortext 136</t>
  </si>
  <si>
    <t>URL 136 (bài đặt link)</t>
  </si>
  <si>
    <t>Anchortext 137</t>
  </si>
  <si>
    <t>URL 137 (bài đặt link)</t>
  </si>
  <si>
    <t>Anchortext 138</t>
  </si>
  <si>
    <t>URL 138 (bài đặt link)</t>
  </si>
  <si>
    <t>https://techcombank.com/thong-tin/blog/cac-sai-lam-pho-bien-khi-chuyen-doi-ho-kinh-doanh-len-sme</t>
  </si>
  <si>
    <t>Anchortext 139</t>
  </si>
  <si>
    <t>URL 139 (bài đặt link)</t>
  </si>
  <si>
    <t>Anchortext 140</t>
  </si>
  <si>
    <t>URL 140 (bài đặt link)</t>
  </si>
  <si>
    <t>https://techcombank.com/thong-tin/blog/hoan-thue-thu-nhap-ca-nhan</t>
  </si>
  <si>
    <t>Anchortext 141</t>
  </si>
  <si>
    <t>URL 141 (bài đặt link)</t>
  </si>
  <si>
    <t>Anchortext 142</t>
  </si>
  <si>
    <t>https://techcombank.com/thong-tin/blog/cong-ty-su-dung-tai-khoan-ca-nhan</t>
  </si>
  <si>
    <t>URL 142 (bài đặt link)</t>
  </si>
  <si>
    <t>Anchortext 143</t>
  </si>
  <si>
    <t>URL 143 (bài đặt link)</t>
  </si>
  <si>
    <t>Anchortext 144</t>
  </si>
  <si>
    <t>URL 144 (bài đặt link)</t>
  </si>
  <si>
    <t>Anchortext 145</t>
  </si>
  <si>
    <t>URL 145 (bài đặt link)</t>
  </si>
  <si>
    <t>Anchortext 146</t>
  </si>
  <si>
    <t>https://techcombank.com/thong-tin/blog/kinh-nghiem-chuyen-doi-tu-ho-kinh-doanh-len-doanh-nghiep</t>
  </si>
  <si>
    <t>URL 146 (bài đặt link)</t>
  </si>
  <si>
    <t>Anchortext 147</t>
  </si>
  <si>
    <t>URL 147 (bài đặt link)</t>
  </si>
  <si>
    <t>Anchortext 148</t>
  </si>
  <si>
    <t>URL 148 (bài đặt link)</t>
  </si>
  <si>
    <t>https://techcombank.com/thong-tin/blog/dieu-kien-thanh-lap-doanh-nghiep</t>
  </si>
  <si>
    <t>Anchortext 149</t>
  </si>
  <si>
    <t>URL 149 (bài đặt link)</t>
  </si>
  <si>
    <t>Anchortext 150</t>
  </si>
  <si>
    <t>URL 150 (bài đặt link)</t>
  </si>
  <si>
    <t>Anchortext 151</t>
  </si>
  <si>
    <t>https://techcombank.com/thong-tin/blog/luat-thuong-mai-dien-tu</t>
  </si>
  <si>
    <t>URL 151 (bài đặt link)</t>
  </si>
  <si>
    <t>Anchortext 152</t>
  </si>
  <si>
    <t>URL 152 (bài đặt link)</t>
  </si>
  <si>
    <t>https://techcombank.com/thong-tin/blog/ke-khai-thue-doanh-nghiep</t>
  </si>
  <si>
    <t>Anchortext 153</t>
  </si>
  <si>
    <t>URL 153 (bài đặt link)</t>
  </si>
  <si>
    <t>Anchortext 154</t>
  </si>
  <si>
    <t>URL 154 (bài đặt link)</t>
  </si>
  <si>
    <t>Anchortext 155</t>
  </si>
  <si>
    <t>https://techcombank.com/thong-tin/blog/phat-cham-dang-ky-thue-ho-kinh-doanh</t>
  </si>
  <si>
    <t>https://techcombank.com/thong-tin/blog/tra-cuu-no-thue-doanh-nghiep</t>
  </si>
  <si>
    <t>URL 155 (bài đặt link)</t>
  </si>
  <si>
    <t>Anchortext 156</t>
  </si>
  <si>
    <t>URL 156 (bài đặt link)</t>
  </si>
  <si>
    <t>Anchortext 157</t>
  </si>
  <si>
    <t>URL 157 (bài đặt link)</t>
  </si>
  <si>
    <t>Anchortext 158</t>
  </si>
  <si>
    <t>URL 158 (bài đặt link)</t>
  </si>
  <si>
    <t>Anchortext 159</t>
  </si>
  <si>
    <t>https://techcombank.com/thong-tin/blog/thu-tuc-thanh-lap-doanh-nghiep</t>
  </si>
  <si>
    <t>URL 159 (bài đặt link)</t>
  </si>
  <si>
    <t>Anchortext 160</t>
  </si>
  <si>
    <t>https://techcombank.com/thong-tin/blog/tien-chuyen-vao-tai-khoan-co-bi-tinh-thue-khong</t>
  </si>
  <si>
    <t>URL 160 (bài đặt link)</t>
  </si>
  <si>
    <t>Anchortext 161</t>
  </si>
  <si>
    <t>URL 161 (bài đặt link)</t>
  </si>
  <si>
    <t>Anchortext 162</t>
  </si>
  <si>
    <t>URL 162 (bài đặt link)</t>
  </si>
  <si>
    <t>Anchortext 163</t>
  </si>
  <si>
    <t>https://techcombank.com/thong-tin/blog/thue-doanh-nghiep-2025</t>
  </si>
  <si>
    <t>URL 163 (bài đặt link)</t>
  </si>
  <si>
    <t>Anchortext 164</t>
  </si>
  <si>
    <t>Nhắc: nộp thuế, etax.</t>
  </si>
  <si>
    <t>URL 164 (bài đặt link)</t>
  </si>
  <si>
    <t>Anchortext 165</t>
  </si>
  <si>
    <t>URL 165 (bài đặt link)</t>
  </si>
  <si>
    <t>Anchortext 166</t>
  </si>
  <si>
    <t>URL 166 (bài đặt link)</t>
  </si>
  <si>
    <t>Anchortext 167</t>
  </si>
  <si>
    <t>URL 167 (bài đặt link)</t>
  </si>
  <si>
    <t>https://techcombank.com/thong-tin/blog/dong-tai-khoan-ngan-hang-cong-ty</t>
  </si>
  <si>
    <t>Anchortext 168</t>
  </si>
  <si>
    <t>URL 168 (bài đặt link)</t>
  </si>
  <si>
    <t>Anchortext 169</t>
  </si>
  <si>
    <t>URL 169 (bài đặt link)</t>
  </si>
  <si>
    <t>Anchortext 170</t>
  </si>
  <si>
    <t>URL 170 (bài đặt link)</t>
  </si>
  <si>
    <t>Anchortext 171</t>
  </si>
  <si>
    <t>URL 171 (bài đặt link)</t>
  </si>
  <si>
    <t>https://techcombank.com/thong-tin/blog/hieu-hiet-ve-tuan-thu-thue-cho-cac-doanh-nghiep-khoi-nghiep</t>
  </si>
  <si>
    <t>Anchortext 172</t>
  </si>
  <si>
    <t>URL 172 (bài đặt link)</t>
  </si>
  <si>
    <t>Anchortext 173</t>
  </si>
  <si>
    <t>URL 173 (bài đặt link)</t>
  </si>
  <si>
    <t>Anchortext 174</t>
  </si>
  <si>
    <t>URL 174 (bài đặt link)</t>
  </si>
  <si>
    <t>Mở rộng chủ đề (theo plan): bài nhắc nộp thuế, thuế, etax.</t>
  </si>
  <si>
    <t>Anchortext 175</t>
  </si>
  <si>
    <t>URL 175 (bài đặt link)</t>
  </si>
  <si>
    <t>https://techcombank.com/thong-tin/blog/hoa-don-dien-tu-ho-kinh-doanh</t>
  </si>
  <si>
    <t>Anchortext 176</t>
  </si>
  <si>
    <t>URL 176 (bài đặt link)</t>
  </si>
  <si>
    <t>Anchortext 177</t>
  </si>
  <si>
    <t>URL 177 (bài đặt link)</t>
  </si>
  <si>
    <t>Anchortext 178</t>
  </si>
  <si>
    <t>URL 178 (bài đặt link)</t>
  </si>
  <si>
    <t>Anchortext 179</t>
  </si>
  <si>
    <t>URL 179 (bài đặt link)</t>
  </si>
  <si>
    <t>https://techcombank.com/thong-tin/blog/ho-kinh-doanh-la-gi</t>
  </si>
  <si>
    <t>Anchortext 180</t>
  </si>
  <si>
    <t>URL 180 (bài đặt link)</t>
  </si>
  <si>
    <t>Anchortext 181</t>
  </si>
  <si>
    <t>URL 181 (bài đặt link)</t>
  </si>
  <si>
    <t>Anchortext 182</t>
  </si>
  <si>
    <t>URL 182 (bài đặt link)</t>
  </si>
  <si>
    <t>https://techcombank.com/thong-tin/blog/thue-ho-kinh-doanh-2025</t>
  </si>
  <si>
    <t>Anchortext 183</t>
  </si>
  <si>
    <t>https://techcombank.com/thong-tin/blog/loi-ich-khi-ho-kinh-doanh-chuyen-len-doanh-nghiep</t>
  </si>
  <si>
    <t>URL 183 (bài đặt link)</t>
  </si>
  <si>
    <t>Anchortext 184</t>
  </si>
  <si>
    <t>URL 184 (bài đặt link)</t>
  </si>
  <si>
    <t>Anchortext 185</t>
  </si>
  <si>
    <t>URL 185 (bài đặt link)</t>
  </si>
  <si>
    <t>Anchortext 186</t>
  </si>
  <si>
    <t>URL 186 (bài đặt link)</t>
  </si>
  <si>
    <t>Anchortext 187</t>
  </si>
  <si>
    <t>URL 187 (bài đặt link)</t>
  </si>
  <si>
    <t>Anchortext 188</t>
  </si>
  <si>
    <t>URL 188 (bài đặt link)</t>
  </si>
  <si>
    <t>https://techcombank.com/thong-tin/blog/tiem-nang-chuyen-doi-tu-ho-kinh-doanh-len-doanh-nghiep-sme</t>
  </si>
  <si>
    <t>Mở rộng chủ đề (theo plan): bài nhắc thuế, doanh nghiệp, kê khai. Liên quan rộng – đọc bài trước khi chèn.</t>
  </si>
  <si>
    <t>Anchortext 189</t>
  </si>
  <si>
    <t>URL 189 (bài đặt link)</t>
  </si>
  <si>
    <t>Anchortext 190</t>
  </si>
  <si>
    <t>URL 190 (bài đặt link)</t>
  </si>
  <si>
    <t>Anchortext 191</t>
  </si>
  <si>
    <t>URL 191 (bài đặt link)</t>
  </si>
  <si>
    <t>Anchortext 192</t>
  </si>
  <si>
    <t>URL 192 (bài đặt link)</t>
  </si>
  <si>
    <t>Anchortext 193</t>
  </si>
  <si>
    <t>https://techcombank.com/thong-tin/blog/giay-phep-kinh-doanh</t>
  </si>
  <si>
    <t>URL 193 (bài đặt link)</t>
  </si>
  <si>
    <t>Anchortext 194</t>
  </si>
  <si>
    <t>URL 194 (bài đặt link)</t>
  </si>
  <si>
    <t>Anchortext 195</t>
  </si>
  <si>
    <t>URL 195 (bài đặt link)</t>
  </si>
  <si>
    <t>Anchortext 196</t>
  </si>
  <si>
    <t>URL 196 (bài đặt link)</t>
  </si>
  <si>
    <t>Anchortext 197</t>
  </si>
  <si>
    <t>https://techcombank.com/thong-tin/blog/dang-ky-kinh-doanh-la-gi</t>
  </si>
  <si>
    <t>URL 197 (bài đặt link)</t>
  </si>
  <si>
    <t>Anchortext 198</t>
  </si>
  <si>
    <t>URL 198 (bài đặt link)</t>
  </si>
  <si>
    <t>Anchortext 199</t>
  </si>
  <si>
    <t>URL 199 (bài đặt link)</t>
  </si>
  <si>
    <t>Anchortext 200</t>
  </si>
  <si>
    <t>URL 200 (bài đặt link)</t>
  </si>
  <si>
    <t>https://techcombank.com/thong-tin/blog/chuan-bi-cho-doanh-nghiep-khoi-nghiep-truoc-nhung-thay-doi-ve-thue</t>
  </si>
  <si>
    <t>https://techcombank.com/thong-tin/blog/thue-doanh-nghiep</t>
  </si>
  <si>
    <t>Mở rộng chủ đề (theo plan): bài nhắc thuế, doanh nghiệp, hộ kinh doanh. Liên quan rộng – đọc bài trước khi chèn.</t>
  </si>
  <si>
    <t>https://techcombank.com/thong-tin/blog/chuyen-doi-hoa-don-dien-tu</t>
  </si>
  <si>
    <t>https://techcombank.com/thong-tin/blog/hoa-don-dien-tu</t>
  </si>
  <si>
    <t>https://techcombank.com/thong-tin/blog/nhung-ho-kinh-doanh-duoc-mien-thue</t>
  </si>
  <si>
    <t>https://techcombank.com/thong-tin/blog/one-stop-shop</t>
  </si>
  <si>
    <t>https://techcombank.com/thong-tin/blog/vay-bo-sung-von-luu-dong</t>
  </si>
  <si>
    <t>https://techcombank.com/thong-tin/blog/roa</t>
  </si>
  <si>
    <t>Mở rộng chủ đề (theo plan): bài nhắc thuế, hộ kinh doanh, mã số thuế. Liên quan rộng – đọc bài trước khi chèn.</t>
  </si>
  <si>
    <t>Mở rộng chủ đề (theo plan): bài nhắc thuế, doanh nghiệp, mã số thuế. Liên quan rộng – đọc bài trước khi chèn.</t>
  </si>
  <si>
    <t>https://techcombank.com/thong-tin/blog/vay-von-doanh-nghiep-nho</t>
  </si>
  <si>
    <t>https://techcombank.com/thong-tin/blog/von-luu-dong-la-gi</t>
  </si>
  <si>
    <t>Mở rộng chủ đề (theo plan): bài nhắc thuế, doanh nghiệp, quyết toán. Liên quan rộng – đọc bài trước khi chèn.</t>
  </si>
  <si>
    <t>Chưa hoàn thành</t>
  </si>
  <si>
    <t>Mở rộng chủ đề (theo plan): bài nhắc thuế, kê khai, hộ kinh doanh. Liên quan rộng – đọc bài trước khi chèn.</t>
  </si>
  <si>
    <t>https://techcombank.com/thong-tin/blog/hoan-thue-doanh-nghiep</t>
  </si>
  <si>
    <t>https://techcombank.com/thong-tin/blog/top-phan-mem-ban-hang</t>
  </si>
  <si>
    <t>Mở rộng chủ đề (theo plan): bài nhắc thuế, hộ kinh doanh. Liên quan rộng – đọc bài trước khi chèn.</t>
  </si>
  <si>
    <t>https://techcombank.com/thong-tin/blog/ho-so-dang-ky-thanh-lap-doanh-nghiep</t>
  </si>
  <si>
    <t>https://techcombank.com/thong-tin/blog/doanh-nghiep-moi-thanh-lap-duoc-uu-dai-gi</t>
  </si>
  <si>
    <t>https://techcombank.com/thong-tin/blog/chi-phi-mo-tai-khoan-ngan-hang-cho-cong-ty</t>
  </si>
  <si>
    <t>https://techcombank.com/thong-tin/blog/khoi-nghiep-truoc-chinh-sach-thue-moi</t>
  </si>
  <si>
    <t>https://techcombank.com/thong-tin/blog/luu-y-khi-chuyen-tien-vao-tai-khoan-cong-ty</t>
  </si>
  <si>
    <t>https://techcombank.com/thong-tin/blog/khai-bao-tai-khoan-ngan-hang-voi-co-quan-thue</t>
  </si>
  <si>
    <t>https://techcombank.com/thong-tin/blog/may-tinh-tien</t>
  </si>
  <si>
    <t>https://techcombank.com/thong-tin/blog/phan-mem-xuat-hoa-don-dien-tu</t>
  </si>
  <si>
    <t>https://techcombank.com/thong-tin/blog/thanh-lap-ho-kinh-doanh-ca-the</t>
  </si>
  <si>
    <t>https://techcombank.com/thong-tin/blog/mo-tai-khoan-doanh-nghiep</t>
  </si>
  <si>
    <t>Mở rộng chủ đề (theo plan): bài nhắc doanh nghiệp, công ty. Liên quan rộng – đọc bài trước khi chèn.</t>
  </si>
  <si>
    <t>https://techcombank.com/thong-tin/blog/due-diligence</t>
  </si>
  <si>
    <t>https://techcombank.com/thong-tin/blog/thay-doi-dia-chi-ho-kinh-doanh</t>
  </si>
  <si>
    <t>https://techcombank.com/thong-tin/blog/luu-y-khi-chuyen-doi-tu-ho-kinh-doanh-len-doanh-nghiep</t>
  </si>
  <si>
    <t>https://techcombank.com/thong-tin/blog/cach-kiem-tra-tai-khoan-ngan-hang-cua-cong-ty</t>
  </si>
  <si>
    <t>https://techcombank.com/thong-tin/blog/dang-ky-ma-so-thue-ca-nhan</t>
  </si>
  <si>
    <t>https://techcombank.com/thong-tin/blog/chinh-sach-thue-moi</t>
  </si>
  <si>
    <t>Mở rộng chủ đề (theo plan): bài nhắc thuế, hóa đơn. Liên quan rộng – đọc bài trước khi chèn.</t>
  </si>
  <si>
    <t>https://techcombank.com/thong-tin/blog/cach-su-dung-tai-khoan-cong-ty</t>
  </si>
  <si>
    <t>https://techcombank.com/thong-tin/blog/cach-tinh-thue-ho-kinh-doanh-nho-le</t>
  </si>
  <si>
    <t>https://techcombank.com/thong-tin/blog/bao-lanh-bao-hanh</t>
  </si>
  <si>
    <t>https://techcombank.com/thong-tin/blog/tin-dung-doanh-nghiep</t>
  </si>
  <si>
    <t>https://techcombank.com/thong-tin/blog/bao-lanh-thuc-hien-hop-dong</t>
  </si>
  <si>
    <t>Mở rộng chủ đề (theo plan): bài nhắc thuế, doanh nghiệp. Liên quan rộng – đọc bài trước khi chèn.</t>
  </si>
  <si>
    <t>nộp thuế hộ trên etax</t>
  </si>
  <si>
    <t>https://techcombank.com/thong-tin/blog/lien-ket-tai-khoan-ngan-hang-voi-etax-mobile</t>
  </si>
  <si>
    <t>Người nộp thuế hiện có thể liên kết và khai báo tài khoản ngân hàng trên eTax Mobile để thực hiện các giao dịch với cơ…</t>
  </si>
  <si>
    <t>https://techcombank.com/thong-tin/blog/quyet-toan-thue-thu-nhap-ca-nhan</t>
  </si>
  <si>
    <t>5. Hướng dẫn nộp thuế thu nhập cá nhân sau khi quyết t…</t>
  </si>
  <si>
    <t>Để quá trình quyết toán diễn ra thuận lợi, bạn nên chuẩn bị sẵn chứng từ khấu trừ, kiểm tra dữ liệu thu nhập, và liên k…</t>
  </si>
  <si>
    <t>Title/URL còn năm cũ (2025): nên cập nhật; câu chèn không ghi năm.</t>
  </si>
  <si>
    <t>nộp thuế online</t>
  </si>
  <si>
    <t>Thời điểm quyết toán thuế hàng năm là lúc nhiều người lao động quan tâm đến việc hoàn thuế thu nhập cá nhân (TNCN) – đặ…</t>
  </si>
  <si>
    <t>…a cứu và thực hiện các nghĩa vụ thuế như kê khai thuế, nộp thuế online…</t>
  </si>
  <si>
    <t>2.2. Cách tra cứu nợ thuế hộ kinh doanh trên Cổng Thuế…</t>
  </si>
  <si>
    <t>Ngoài eTax Mobile, hộ kinh doanh cũng có thể tra cứu thông tin nợ thuế trên Cổng Thuế điện tử của Tổng cục Thuế:</t>
  </si>
  <si>
    <t>4.2. Kiểm tra thuế hộ kinh doanh trên điện thoại được…</t>
  </si>
  <si>
    <t>Hộ kinh doanh có thể sử dụng ứng dụng eTax Mobile để kiểm tra thông tin đăng ký thuế, tra cứu nghĩa vụ thuế và theo dõi…</t>
  </si>
  <si>
    <t>3.2. Khai thuế hộ kinh doanh</t>
  </si>
  <si>
    <t>Hộ kinh doanh, cá nhân kinh doanh có thể nộp tờ khai thuế qua ứng dụng eTax Mobile hoặc Trang thông tin điện tử của Cục…</t>
  </si>
  <si>
    <t>3.2. Hướng dẫn cá nhân nộp thuế trên eTax Mobile</t>
  </si>
  <si>
    <t>Nộp thuế trên eTax Mobile chỉ với 1 phút thực hiện.</t>
  </si>
  <si>
    <t>2. Cách nộp thuế thu nhập cá nhân (TNCN) trên eTax Mob…</t>
  </si>
  <si>
    <t>1.4. Sàn thương mại điện tử phải khai và nộp thuế thay…</t>
  </si>
  <si>
    <t>Các sàn thương mại điện tử sẽ phải kê khai và nộp thuế cho hộ kinh doanh bán hàng trên nền sàn.</t>
  </si>
  <si>
    <t>4.1. Đăng ký tài khoản thuế điện tử và eTax Mobile</t>
  </si>
  <si>
    <t>Đây là việc cần làm ngay sau khi hoàn tất thủ tục đăng ký hộ kinh doanh, bởi mọi khâu kê khai và nộp thuế về sau đều th…</t>
  </si>
  <si>
    <t>1.2. Khó khăn trong việc xác định doanh thu trên các n…</t>
  </si>
  <si>
    <t>Từ 17/01/2025 , theo Nghị định 117/2025/NĐ-CP , sàn thương mại điện tử có trách nhiệm kê khai và nộp thuế thay cho hộ k…</t>
  </si>
  <si>
    <t>1. Cách 1: Tra cứu mã số thuế hộ kinh doanh trên eTax…</t>
  </si>
  <si>
    <t>Cách tra cứu mã số thuế hộ kinh doanh trên eTax Mobile khi quên được thực hiện như sau:</t>
  </si>
  <si>
    <t>3. Hướng dẫn hộ kinh doanh khai báo tài khoản ngân hàn…</t>
  </si>
  <si>
    <t>Chủ hộ kinh doanh có thể linh hoạt lựa chọn thực hiện trên máy tính qua Dịch vụ công Tổng cục Thuế hoặc thao tác nhanh…</t>
  </si>
  <si>
    <t>4.2. Nghĩa vụ về tài khoản thanh toán và nghĩa vụ thuế</t>
  </si>
  <si>
    <t>Song song với Luật Thương mại điện tử, việc khấu trừ, kê khai, nộp thuế thay cho hộ kinh doanh, cá nhân kinh doanh trên…</t>
  </si>
  <si>
    <t>1. Quy định mới nhất về mã số thuế cá nhân</t>
  </si>
  <si>
    <t>Người nộp thuế không cần đăng ký mã số thuế riêng — chỉ cần sử dụng số định danh cá nhân để kê khai, nộp hoặc quyết toá…</t>
  </si>
  <si>
    <t>1. Thuế khoán hộ kinh doanh là gì?</t>
  </si>
  <si>
    <t>Trên cơ sở đó, cơ quan thuế tính số thuế phải nộp và thông báo cho hộ kinh doanh thực hiện nghĩa vụ thuế theo quy định.</t>
  </si>
  <si>
    <t>3. Kể từ 01/01/2026, hộ kinh doanh đóng thuế như thế…</t>
  </si>
  <si>
    <t>Hộ kinh doanh có doanh thu trên 1 tỷ VND sẽ cần nộp 2 loại thuế:</t>
  </si>
  <si>
    <t>1. Chủ động cập nhật và tìm hiểu chính sách thuế mới</t>
  </si>
  <si>
    <t>Từ ngày 01/01/2026, hộ kinh doanh và cá nhân kinh doanh sẽ phải nộp thuế dựa trên doanh thu thực tế thay vì khoán thuế.</t>
  </si>
  <si>
    <t>Hoàn thuế doanh nghiệp là việc ngân sách nhà nước trả lại cho doanh nghiệp số tiền thuế nộp thừa, nộp nhầm hoặc số thuế…</t>
  </si>
  <si>
    <t>Thay vì phải trực tiếp đến cơ quan hải quan, người nộp thuế có thể dễ dàng kiểm tra cứu nợ thuế hải quan và hoàn tất th…</t>
  </si>
  <si>
    <t>1. Truy thu thuế hộ kinh doanh là gì?</t>
  </si>
  <si>
    <t>Tuy nhiên, truy thu thuế được hiểu là việc cơ quan thuế yêu cầu nộp bổ sung phần thuế còn thiếu.</t>
  </si>
  <si>
    <t>Hiện nay, việc quản lý và tra cứu nghĩa vụ thuế thu nhập cá nhân (TNCN) của người lao động được thực hiện hoàn toàn trê…</t>
  </si>
  <si>
    <t>1. Đối tượng nộp thuế thuế thu nhập doanh nghiệp 2026…</t>
  </si>
  <si>
    <t>Điều 2 Luật thuế thu nhập doanh nghiệp (TNDN) 2025 có quy định rõ về đối tượng nộp thuế gồm:</t>
  </si>
  <si>
    <t>nộp thuế online – 32 link
nộp thuế hộ trên etax – 18 link</t>
  </si>
  <si>
    <t>Bài liên kết tài khoản với eTax Mobile — người đọc làm xong sẽ cần bước nộp thuế.</t>
  </si>
  <si>
    <t>Bài viết dưới đây sẽ cung cấp lộ trình từ A-Z chỉ dẫn chi tiết các bước kê khai thuế doanh nghiệp, các sắc thuế cốt lõi…</t>
  </si>
  <si>
    <t>Hiện tại, hầu hết thủ tục thuế của doanh nghiệp đã được số hóa, cho phép tra cứu nợ thuế doanh nghiệp theo mã số thuế h…</t>
  </si>
  <si>
    <t>Quyết toán TNCN online → nếu còn thiếu thuế phải nộp qua cổng thuế điện tử.</t>
  </si>
  <si>
    <t>Bài viết dưới đây sẽ hướng dẫn chi tiết cách nộp thuế đất qua ngân hàng và trên Etax online đúng quy định , kèm theo cá…</t>
  </si>
  <si>
    <t>Kê khai thuế HKD online, sau khi kê khai là bước nộp thuế điện tử.</t>
  </si>
  <si>
    <t>1. Tại sao nên chuyển đổi từ hộ kinh doanh lên doanh n…</t>
  </si>
  <si>
    <t>chấm dứt nộp thuế môn bài từ 1/1/2026;</t>
  </si>
  <si>
    <t>1. So sánh chi tiết hộ kinh doanh kê khai và doanh ngh…</t>
  </si>
  <si>
    <t>Ngoài ra, đối với hộ kinh doanh, theo Nghị định 117/2025/NĐ-CP , các sàn thương mại điện tử có chức năng thanh toán (nh…</t>
  </si>
  <si>
    <t>Làm thủ tục hoàn thuế trên eTax Mobile — cùng công cụ, chèn ở đoạn giới thiệu eTax.</t>
  </si>
  <si>
    <t>1. Trường hợp phải đóng mã số thuế hộ kinh doanh</t>
  </si>
  <si>
    <t>Căn cứ Điều 39 Luật Quản lý thuế 2019 và Điều 29, Điều 32 Thông tư 86/2024/TT-BTC , mã số thuế của người nộp thuế bị ch…</t>
  </si>
  <si>
    <t>Bài nộp thuế hải quan online — có thể dẫn sang hướng dẫn nộp thuế điện tử nội địa.</t>
  </si>
  <si>
    <t>2. Các loại thuế doanh nghiệp cần lưu ý</t>
  </si>
  <si>
    <t>Thuế GTGT phải nộp = Thuế GTGT đầu ra - Thuế GTGT đầu vào được khấu trừ.</t>
  </si>
  <si>
    <t>Để xác định chính xác nghĩa vụ thuế thu nhập doanh nghiệp (TNDN) phải nộp, doanh nghiệp phải tuân thủ công thức:</t>
  </si>
  <si>
    <t>3. Lợi ích hộ kinh doanh nhận được khi mở Tài khoản Hộ…</t>
  </si>
  <si>
    <t>Nhắc: quyết toán thuế, hoàn thuế.</t>
  </si>
  <si>
    <t>NHIỀU ƯU ĐÃI THUẾ, HOÁ ĐƠN ĐIỆN TỬ như miễn phí 5,000 hoá đơn điện tử, miễn phí 1 năm chữ ký số, miễn phí xuất hóa đơn…</t>
  </si>
  <si>
    <t>3. Thiếu chuẩn bị về sổ sách kế toán và quản lý tài ch…</t>
  </si>
  <si>
    <t>Doanh nghiệp có nghĩa vụ nộp báo cáo thuế, báo cáo tài chính đúng hạn và theo chuẩn mực kế toán Việt Nam;</t>
  </si>
  <si>
    <t>Cách 1: Tra cứu mã số thuế doanh nghiệp tại Cổng thông…</t>
  </si>
  <si>
    <t>Nhập các thông tin yêu cầu (Mã số thuế hoặc Tên tổ chức cá nhân nộp thuế), điền đúng "Mã xác nhận" (Captcha) hiển thị t…</t>
  </si>
  <si>
    <t>2. Lưu ý khi công ty sử dụng tài khoản cá nhân</t>
  </si>
  <si>
    <t>Nhắc: etax, thuế điện tử.</t>
  </si>
  <si>
    <t>Đặc biệt đối với những giao dịch như nộp tiền vào tài khoản công ty bằng tài khoản cá nhân, việc có chứng từ giải trình…</t>
  </si>
  <si>
    <t>1. Xác định thời điểm chuyển đổi</t>
  </si>
  <si>
    <t>Ngày 10/12/2025, Quốc hội chính thức thông qua Luật Thuế thu nhập cá nhân (sửa đổi) và Luật Thuế giá trị gia tăng 2025,…</t>
  </si>
  <si>
    <t>1. Techcombank T-Shop - Phần mềm bán hàng, xuất hóa đơ…</t>
  </si>
  <si>
    <t>Miễn phí 3 tháng kê khai thuế và nộp thuế trực tiếp qua ứng dụng</t>
  </si>
  <si>
    <t>1.1. Ưu đãi về thuế và lệ phí từ Nhà nước</t>
  </si>
  <si>
    <t>Doanh nghiệp khởi nghiệp sáng tạo, công ty quản lý quỹ đầu tư khởi nghiệp sáng tạo được miễn thuế thu nhập doanh nghiệp…</t>
  </si>
  <si>
    <t>Nhắc: nộp thuế, etax, thuế điện tử.</t>
  </si>
  <si>
    <t>Khi đó, người nộp thuế có thể bị xử phạt vi phạm hành chính theo quy định hiện hành.</t>
  </si>
  <si>
    <t>5.3 Mua chữ ký số (Token) và hóa đơn điện tử</t>
  </si>
  <si>
    <t>Dùng để ký điện tử các văn bản, hồ sơ giao dịch với cơ quan nhà nước, đặc biệt là nộp tờ khai thuế trực tuyến, khai hải…</t>
  </si>
  <si>
    <t>4. Doanh nghiệp khởi nghiệp được miễn thuế 2 năm đầu,…</t>
  </si>
  <si>
    <t>Giảm 50% số thuế TNDN phải nộp trong 4 năm tiếp theo</t>
  </si>
  <si>
    <t>thuế thu nhập doanh nghiệp</t>
  </si>
  <si>
    <t>Quyết toán Thuế thu nhập doanh nghiệp (TNDN):</t>
  </si>
  <si>
    <t>… dụng cho doanh nghiệp mới thành lập trải rộng từ miễn thuế thu nhập doanh nghiệp, bãi bỏ lệ phí môn bài đến hỗ trợ lã…</t>
  </si>
  <si>
    <t>Nhắc: kê khai thuế.</t>
  </si>
  <si>
    <t>https://techcombank.com/thong-tin/blog/loi-nhuan</t>
  </si>
  <si>
    <t>2.2. Lợi nhuận ròng (Net Profit)</t>
  </si>
  <si>
    <t>Lợi nhuận ròng = Tổng doanh thu - (Chi phí hoạt động + Chi phí tài chính + Thuế thu nhập doanh nghiệp)</t>
  </si>
  <si>
    <t>https://techcombank.com/thong-tin/blog/tra-luong-tien-mat</t>
  </si>
  <si>
    <t>…p luật lao động không cấm hình thức này, song quy định thuế thu nhập doanh nghiệp từ năm 2025 đã bổ sung điều kiện về…</t>
  </si>
  <si>
    <t>1. EBITDA phản ánh điều gì trong hoạt động kinh doanh?</t>
  </si>
  <si>
    <t>… yếu tố như chi phí lãi vay (phụ thuộc vào cơ cấu nợ), thuế thu nhập doanh nghiệp (phụ thuộc vào chính sách thuế từng…</t>
  </si>
  <si>
    <t>1.2. Thuế giá trị gia tăng, thuế thu nhập doanh nghiệp…</t>
  </si>
  <si>
    <t>Thuế thu nhập doanh nghiệp (TNDN):</t>
  </si>
  <si>
    <t>Nhắc: quyết toán thuế.</t>
  </si>
  <si>
    <t>2. Ưu điểm vượt trội của mô hình doanh nghiệp trong dà…</t>
  </si>
  <si>
    <t>Miễn thuế thu nhập doanh nghiệp nhỏ và vừa trong 3 năm đầu thành lập</t>
  </si>
  <si>
    <t>https://techcombank.com/thong-tin/blog/wacc-la-gi</t>
  </si>
  <si>
    <t>2. Công thức tính WACC</t>
  </si>
  <si>
    <t>T là thuế suất thuế thu nhập doanh nghiệp dùng để điều chỉnh phần chi phí nợ vay sau thuế</t>
  </si>
  <si>
    <t>Nhắc: nộp thuế, thuế điện tử, kê khai thuế.</t>
  </si>
  <si>
    <t>1.1. Thanh toán và chuyển tiền</t>
  </si>
  <si>
    <t>Đóng thuế thu nhập doanh nghiệp, thuế giá trị gia tăng…</t>
  </si>
  <si>
    <t>https://techcombank.com/thong-tin/blog/khau-hao</t>
  </si>
  <si>
    <t>5. Giải đáp thắc mắc về khấu hao</t>
  </si>
  <si>
    <t>Đây là cơ sở để tính giá thành sản phẩm, xác định lợi nhuận và nghĩa vụ thuế thu nhập doanh nghiệp.</t>
  </si>
  <si>
    <t>Nhắc: nộp thuế, thuế điện tử.</t>
  </si>
  <si>
    <t>Bước 2: Nộp hồ sơ qua Cổng Dịch vụ công Thuế điện tử</t>
  </si>
  <si>
    <t>Truy cập Cổng Dịch vụ công Thuế tại địa chỉ dichvucong.gdt.gov.vn và đăng nhập bằng tài khoản thuế điện tử hoặc tài kho…</t>
  </si>
  <si>
    <t>Thuế thu nhập doanh nghiệp (TNDN) là một nghĩa vụ quan trọng mà bất kỳ doanh nghiệp nào cũng cần nắm rõ.</t>
  </si>
  <si>
    <t>1. Đối tượng nộp thuế</t>
  </si>
  <si>
    <t>Điều 2 Luật thuế thu nhập doanh nghiệp 2025 có quy định rõ về đối tượng nộp thuế gồm:</t>
  </si>
  <si>
    <t>https://techcombank.com/thong-tin/blog/loi-nhuan-rong</t>
  </si>
  <si>
    <t>1. Lợi nhuận ròng là gì?</t>
  </si>
  <si>
    <t>…ất - kinh doanh, chi phí tài chính, chi phí quản lý và thuế thu nhập doanh nghiệp (TNDN).</t>
  </si>
  <si>
    <t>…ế doanh nghiệp phải nộp và mức thuế mới như thuế suất, thuế thu nhập doanh nghiệp năm 2026 là bao nhiêu?</t>
  </si>
  <si>
    <t>2.1. Miễn thuế thu nhập doanh nghiệp (TNDN) trong 3 nă…</t>
  </si>
  <si>
    <t>…quy định mới, doanh nghiệp nhỏ và vừa (SMEs) được miễn thuế thu nhập doanh nghiệp trong vòng 03 năm kể từ ngày được cấ…</t>
  </si>
  <si>
    <t>1. Các loại thuế cốt lõi doanh nghiệp bắt buộc phải kê…</t>
  </si>
  <si>
    <t>miễn 100% thuế thu nhập doanh nghiệp cho doanh nghiệp nhỏ và vừa trong 3 năm đầu;</t>
  </si>
  <si>
    <t>Miễn thuế thu nhập doanh nghiệp vừa và nhỏ trong 3 năm đầu thành lập</t>
  </si>
  <si>
    <t>nộp thuế đất qua ngân hàng</t>
  </si>
  <si>
    <t>4. Không tính toán lại chi phí thuế và nghĩa vụ pháp lý</t>
  </si>
  <si>
    <t>Thuế thu nhập doanh nghiệp (TNDN) 15 - 50% trên lợi nhuận tùy ngành nghề.</t>
  </si>
  <si>
    <t>4. Chuẩn bị các công cụ tài chính cần thiết</t>
  </si>
  <si>
    <t>…rình kế toán, lưu trữ chứng từ, tính toán thuế GTGT và thuế thu nhập doanh nghiệp.</t>
  </si>
  <si>
    <t>1. Xác định mục đích chuyển tiền</t>
  </si>
  <si>
    <t>…phí này sẽ được coi là chi phí hợp lý, hợp lệ khi tính thuế Thu nhập doanh nghiệp và khấu trừ thuế Giá trị gia tăng</t>
  </si>
  <si>
    <t>Mở rộng chủ đề (theo plan): bài nhắc thuế, doanh nghiệp, hóa đơn. Liên quan rộng – đọc bài trước khi chèn.</t>
  </si>
  <si>
    <t>2.2. Thuế thu nhập doanh nghiệp (CIT)</t>
  </si>
  <si>
    <t>…ẫn được áp dụng ở mức 20%, tuy nhiên theo Điều 10 Luật Thuế thu nhập doanh nghiệp 2025 (có hiệu lực từ ngày 01/10/2025…</t>
  </si>
  <si>
    <t>1. Doanh nghiệp vừa và nhỏ mới thành lập được miễn thu…</t>
  </si>
  <si>
    <t>…cả doanh nghiệp chuyển đổi từ hộ kinh doanh, được miễn thuế thu nhập doanh nghiệp (TNDN) trong 3 năm đầu kể từ ngày đư…</t>
  </si>
  <si>
    <t>Mở rộng chủ đề (theo plan): bài nhắc thuế, doanh nghiệp, kế toán. Liên quan rộng – đọc bài trước khi chèn.</t>
  </si>
  <si>
    <t>1. Ưu đãi về thủ tục hành chính, thuế và lệ phí</t>
  </si>
  <si>
    <t>Luật 67/2025/QH15 về thuế Thu nhập Doanh nghiệp).</t>
  </si>
  <si>
    <t>Cách 2: Tra cứu mã số thuế doanh nghiệp tại Cổng thông…</t>
  </si>
  <si>
    <t>Tại ô tìm kiếm ở góc trên cùng, nhập tên doanh nghiệp hoặc mã số doanh nghiệp (Theo quy định hiện hành, mã số doanh ngh…</t>
  </si>
  <si>
    <t>3.4. Kê khai Thu nhập doanh nghiệp (TNDN) tạm nộp hàng…</t>
  </si>
  <si>
    <t>Theo Sổ tay thuế , trình tự thực hiện kê khai Thu nhập doanh nghiệp (TNDN) tạm nộp hàng quý như sau:</t>
  </si>
  <si>
    <t>https://techcombank.com/thong-tin/blog/quan-ly-tai-chinh-doanh-nghiep-la-gi</t>
  </si>
  <si>
    <t>1. Tổng quan về quản lý tài chính doanh nghiệp</t>
  </si>
  <si>
    <t>Ở cấp độ vận hành hằng ngày, quản lý tài chính doanh nghiệp gắn liền với việc kiểm soát dòng tiền ra - vào, quản lý côn…</t>
  </si>
  <si>
    <t>https://techcombank.com/thong-tin/blog/gia-chung-chi-quy-la-gi</t>
  </si>
  <si>
    <t>2. Cách tính giá chứng chỉ quỹ</t>
  </si>
  <si>
    <t>Thuế thu nhập cá nhân :</t>
  </si>
  <si>
    <t>https://techcombank.com/thong-tin/blog/lai-suat-chung-chi-quy</t>
  </si>
  <si>
    <t>2. Cách tính lợi nhuận chứng chỉ quỹ</t>
  </si>
  <si>
    <t>3. Tận dụng các ưu đãi thuế dành cho doanh nghiệp khởi…</t>
  </si>
  <si>
    <t>Miễn thuế TNCN trong 2 năm và giảm 50% trong 4 năm tiếp theo đối với thu nhập từ tiền lương, tiền công của chuyên gia,…</t>
  </si>
  <si>
    <t>2.1. Công thức tính ROA</t>
  </si>
  <si>
    <t>Lợi nhuận sau thuế là lợi nhuận ròng của doanh nghiệp sau khi đã trừ đi tất cả các chi phí và thuế thu nhập</t>
  </si>
  <si>
    <t>https://techcombank.com/thong-tin/blog/toi-uu-hoa-chi-phi-trong-doanh-nghiep</t>
  </si>
  <si>
    <t>1. Tầm quan trọng của việc tối ưu hóa chi phí đối với…</t>
  </si>
  <si>
    <t>Nhờ vậy, tối ưu hóa chi phí không chỉ là bài toán tiết kiệm mà còn là nền tảng để doanh nghiệp tăng trưởng bền vững, th…</t>
  </si>
  <si>
    <t>3.1. Quy định chung về thành lập hộ kinh doanh</t>
  </si>
  <si>
    <t>“Hộ gia đình sản xuất nông, lâm, ngư nghiệp, làm muối và những người bán hàng rong, quà vặt, buôn chuyến, kinh doanh lư…</t>
  </si>
  <si>
    <t>1. Hướng dẫn tra cứu nợ thuế hải quan</t>
  </si>
  <si>
    <t>Hiện nay, doanh nghiệp có thể tra cứu nợ thuế hải quan thông qua website Tổng cục Hải quan.</t>
  </si>
  <si>
    <t>1. Công ty có thể sử dụng tài khoản cá nhân không?</t>
  </si>
  <si>
    <t>Theo luật doanh nghiệp và luật quản lý thuế, các giao dịch liên quan đến hoạt động kinh doanh của doanh nghiệp phải thự…</t>
  </si>
  <si>
    <t>Techcombank T-Shop là ứng dụng quản lý bán hàng đột phá đến từ Techcombank, giúp các chủ hộ kinh doanh cùng doanh nghiệ…</t>
  </si>
  <si>
    <t>Mở rộng chủ đề (theo plan): bài nhắc thuế, hóa đơn, hộ kinh doanh. Liên quan rộng – đọc bài trước khi chèn.</t>
  </si>
  <si>
    <t>1. Khi nào cần đóng tài khoản ngân hàng công ty?</t>
  </si>
  <si>
    <t>Căn cứ Điều 201, Luật Doanh nghiệp 2020, công ty bị sáp nhập phải chuyển toàn bộ tài sản, quyền, nghĩa vụ cho công ty n…</t>
  </si>
  <si>
    <t>1.1. Điều kiện về chủ thể thành lập (Người đại diện &amp;…</t>
  </si>
  <si>
    <t>a) Cơ quan nhà nước, đơn vị lực lượng vũ trang nhân dân sử dụng tài sản nhà nước để thành lập doanh nghiệp kinh doanh t…</t>
  </si>
  <si>
    <t>4. Quy trình, thủ tục thành lập doanh nghiệp</t>
  </si>
  <si>
    <t>Sau khi có Giấy chứng nhận và mã số thuế, doanh nghiệp tiến hành khắc dấu tròn tại các cơ sở khắc dấu.</t>
  </si>
  <si>
    <t>2.2. Gói BusinessOne Plus</t>
  </si>
  <si>
    <t>BussinessOne Plus là gói giải pháp đặc biệt, phù hợp với doanh nghiệp xuất nhập khẩu, thường xuyên có các giao dịch tha…</t>
  </si>
  <si>
    <t>https://techcombank.com/thong-tin/blog/tien-dai-loan</t>
  </si>
  <si>
    <t>6.2. Chuyển tiền từ Việt Nam sang Đài Loan</t>
  </si>
  <si>
    <t>Ưu đãi tỷ giá giao dịch ngoại tệ lên đến 215 điểm (*) , thêm tầng ưu đãi áp dụng cho KH “Lần đầu giao dịch ngoại tệ tại…</t>
  </si>
  <si>
    <t>2. Lợi ích khi doanh nghiệp sở hữu tài khoản ngân hàng</t>
  </si>
  <si>
    <t>Tất cả các giao dịch thu, chi của doanh nghiệp đều được ghi nhận rõ ràng trong một tài khoản duy nhất, giúp doanh nghiệ…</t>
  </si>
  <si>
    <t>thuế thu nhập doanh nghiệp 2026</t>
  </si>
  <si>
    <t>2. Hộ kinh doanh được miễn thuế kể từ 01/01/2026</t>
  </si>
  <si>
    <t>Theo Nghị định số 141/2026/NĐ-CP vừa được Quốc hội thông qua, từ 01/01/2026, ngưỡng doanh thu miễn thuế thu nhập cá nhâ…</t>
  </si>
  <si>
    <t>1. 2 loại thuế hộ kinh doanh nhỏ lẻ cần nộp và kê khai…</t>
  </si>
  <si>
    <t>Theo luật Thuế thu nhập cá nhân (sửa đổi) vừa được Quốc hội thông qua, từ năm 2026, ngưỡng doanh thu miễn thuế thu nhập…</t>
  </si>
  <si>
    <t>Bài viết tổng hợp cách kê khai thuế thu nhập cá nhân online, cách đăng ký nộp thuế điện tử online cho doanh nghiệp, hộ…</t>
  </si>
  <si>
    <t>6. Câu hỏi thường gặp về Luật Thương mại điện tử</t>
  </si>
  <si>
    <t>Luật Thương mại điện tử số 122/2025/QH15 có hiệu lực từ 01/7/2026, đặt ra yêu cầu về xác thực danh tính, công khai thôn…</t>
  </si>
  <si>
    <t>1. Nắm vững và cập nhật các quy định thuế mới</t>
  </si>
  <si>
    <t>Hộ kinh doanh, cá nhân kinh doanh có doanh thu từ hoạt động sản xuất, kinh doanh trong năm dương lịch từ 500 triệu VND…</t>
  </si>
  <si>
    <t>thuế giá trị gia tăng</t>
  </si>
  <si>
    <t>Thuế giá trị gia tăng (GTGT):</t>
  </si>
  <si>
    <t>thuế VAT</t>
  </si>
  <si>
    <t>1. Các trường hợp được áp dụng hoàn thuế doanh nghiệp</t>
  </si>
  <si>
    <t>9 Trường hợp doanh nghiệp được áp dụng hoàn thuế VAT.</t>
  </si>
  <si>
    <t>7. Các khoản khi không được khấu trừ khi tính thuế thu…</t>
  </si>
  <si>
    <t>l) Phần thuế giá trị gia tăng đầu vào đã được khấu trừ;</t>
  </si>
  <si>
    <t>1.2. Nâng ngưỡng chịu thuế GTGT</t>
  </si>
  <si>
    <t>Theo Luật Thuế giá trị gia tăng 2024 , từ ngày 01/01/2026, cá nhân kinh doanh và hộ ki…</t>
  </si>
  <si>
    <t>Mở rộng chủ đề (theo plan): bài nhắc doanh nghiệp, hộ kinh doanh. Liên quan rộng – đọc bài trước khi chèn.</t>
  </si>
  <si>
    <t>2. 15 Khoản khi không được khấu trừ khi tính thuế thu…</t>
  </si>
  <si>
    <t>…thông qua Luật Thuế thu nhập cá nhân (sửa đổi) và Luật Thuế giá trị gia tăng 2025, trong đó quy định hộ/cá nhân có doa…</t>
  </si>
  <si>
    <t>Thuế Giá trị gia tăng (GTGT) và Thuế Thu nhập cá nhân (TNCN).</t>
  </si>
  <si>
    <t>https://techcombank.com/thong-tin/blog/gia-dien-sinh-hoat</t>
  </si>
  <si>
    <t>2. Công thức tính tiền điện sinh hoạt hiện nay</t>
  </si>
  <si>
    <t>Tổng tiền điện phải trả = Tổng tiền điện của các bậc thang + Thuế giá trị gia tăng (VAT)</t>
  </si>
  <si>
    <t>1.2. Điều kiện để khoản chi lương tiền mặt được tính l…</t>
  </si>
  <si>
    <t>…7/2025 quy định chi tiết thi hành một số điều của Luật Thuế giá trị gia tăng, cùng các văn bản sửa đổi, bổ sung…</t>
  </si>
  <si>
    <t>Cần có chứng từ thanh toán không tiền mặt cho hóa đơn từ 5 triệu đồng trở lên để khấu trừ thuế giá trị gia tăng (GTGT):</t>
  </si>
  <si>
    <t>https://techcombank.com/thong-tin/blog/vi-dien-tu</t>
  </si>
  <si>
    <t>1.5. Chính sách tạo đòn bẩy</t>
  </si>
  <si>
    <t>Một cột mốc quan trọng là từ 1/7/2024, Luật Thuế Giá trị gia tăng sửa đổi quy định chỉ giao dịch không tiền mặt mới đượ…</t>
  </si>
  <si>
    <t>3. Các mốc thời gian quan trọng trong năm tài chính</t>
  </si>
  <si>
    <t>Thuế giá trị gia tăng (VAT):</t>
  </si>
  <si>
    <t>1. 5 loại thuế hộ kinh doanh cần nộp</t>
  </si>
  <si>
    <t>Thuế giá trị gia tăng (GTGT) và thuế thu nhập cá nhân (TNCN) là hai loại thu…</t>
  </si>
  <si>
    <t>2. Quyền và nghĩa vụ của hộ kinh doanh cá thể</t>
  </si>
  <si>
    <t>Kê khai, nộp thuế đúng hạn (thuế giá trị gia tăng, thuế thu nhập cá nhân, lệ phí môn bài…)</t>
  </si>
  <si>
    <t>https://techcombank.com/thong-tin/blog/cach-tinh-tien-dien-sinh-hoat</t>
  </si>
  <si>
    <t>1. Công thức tính tiền điện sinh hoạt hiện nay</t>
  </si>
  <si>
    <t>Tổng tiền điện = (Số kWh bậc 1 × Giá bậc 1) + (Số kWh bậc 2 × Giá bậc 2) + … + (Số kWh bậc 6 × Giá bậc 6) + 8% thuế VAT</t>
  </si>
  <si>
    <t>https://techcombank.com/thong-tin/blog/thanh-toan-khi-du-lich-thai-lan</t>
  </si>
  <si>
    <t>3. Du hí Thái Lan, tận hưởng ưu đãi du lịch cho di chu…</t>
  </si>
  <si>
    <t>…ngoại tệ, chuẩn bị đầy đủ chứng từ nếu có nhu cầu hoàn thuế VAT, và đừng quên tra cứu trước các chương trình ưu đãi củ…</t>
  </si>
  <si>
    <t>1. Hộ kinh doanh được miễn thuế trong năm 2025</t>
  </si>
  <si>
    <t>…g không chịu thuế và Điều 18 về Hiệu lực thi hành Luật Thuế giá trị gia tăng 2024, trước ngày 31/12/2025, hộ kinh doan…</t>
  </si>
  <si>
    <t>3. Các khoản thuế doanh nghiệp phải nộp năm 2026</t>
  </si>
  <si>
    <t>3.3. Khai thuế Giá trị gia tăng (GTGT) định kỳ</t>
  </si>
  <si>
    <t>Khai thuế Giá trị gia tăng (GTGT) định kỳ.</t>
  </si>
  <si>
    <t>2.3. Câu hỏi 3: Nghĩa vụ thuế sẽ thay đổi như thế nào?</t>
  </si>
  <si>
    <t>…n sang doanh nghiệp, mô hình sẽ chịu các loại thuế như thuế giá trị gia tăng (GTGT), thuế thu nhập doanh nghiệp (TNDN)…</t>
  </si>
  <si>
    <t>3. Khi nào nên chọn doanh nghiệp?</t>
  </si>
  <si>
    <t>Đồng thời, doanh nghiệp còn được khấu trừ thuế giá trị gia tăng (GTGT) đầu vào - một lợi thế mà hộ kinh doanh không có.</t>
  </si>
  <si>
    <t>7. Hóa đơn đầu ra</t>
  </si>
  <si>
    <t>Số thuế VAT phải nộp = Số thuế VAT đầu ra - Số thuế VAT đầu vào được khấu trừ</t>
  </si>
  <si>
    <t>Tặng U-Point tương đương 20% giá trị thanh toán thuế đầu tiên qua eTax Mobile (tối đa 500,000 điểm/giao dịch)</t>
  </si>
  <si>
    <t>https://techcombank.com/thong-tin/blog/app-chia-tien</t>
  </si>
  <si>
    <t>2.4. Tích hợp với các phương thức thanh toán online</t>
  </si>
  <si>
    <t>Với những người hay chi tiêu nhóm hoặc tham gia các hoạt động chung có giá trị lớn, việc mở thẻ tín dụng hạn mức cao cũ…</t>
  </si>
  <si>
    <t>thuế GTGT là gì</t>
  </si>
  <si>
    <t>1.1. Lúng túng trong việc lựa chọn và áp dụng phương p…</t>
  </si>
  <si>
    <t>Doanh thu (x) tỷ lệ thuế GTGT theo ngành</t>
  </si>
  <si>
    <t>2. Hướng dẫn kê khai thuế hộ kinh doanh cá thể online…</t>
  </si>
  <si>
    <t>Bạn cần phân tách rõ theo từng nhóm ngành nghề để hệ thống tự động áp tỷ lệ % thuế GTGT và TNCN chính xác</t>
  </si>
  <si>
    <t>1. Máy tính tiền là gì?</t>
  </si>
  <si>
    <t>Cộng tổng giá trị các mặt hàng, tính thuế (VAT), áp dụng giảm giá, và tính số tiền thối lại cho khách</t>
  </si>
  <si>
    <t>tra cứu nợ thuế doanh nghiệp</t>
  </si>
  <si>
    <t>Bài viết dưới đây sẽ hướng dẫn bạn cách tra cứu mã số thuế doanh nghiệp từ A-Z.</t>
  </si>
  <si>
    <t>thuế thu nhập doanh nghiệp – 45 link
thuế thu nhập doanh nghiệp 2026 – 5 link</t>
  </si>
  <si>
    <t>Bài về chi phí không được trừ khi tính thuế TNDN — nhắc trực tiếp TNDN, người đọc cần biết thuế suất.</t>
  </si>
  <si>
    <t>kiểm tra nợ thuế doanh nghiệp</t>
  </si>
  <si>
    <t>Bước 1: Rà soát sổ sách và đối chiếu chứng từ gốc</t>
  </si>
  <si>
    <t>Trước khi lên tờ khai, kế toán cần kiểm tra và đối chiếu toàn bộ số liệu kế toán, hóa đơn, chứng từ, doanh thu, chi phí…</t>
  </si>
  <si>
    <t>Quyết toán thuế DN gồm quyết toán TNDN — đoạn liệt kê loại thuế phải quyết toán chèn được.</t>
  </si>
  <si>
    <t>4. Những lưu ý quan trọng giúp hạn chế vấn đề phát sin…</t>
  </si>
  <si>
    <t>Để quy trình quản lý thuế luôn diễn ra mượt mà, hạn chế tối đa sai sót khi cơ quan chức năng tiến hành thanh kiểm tra,…</t>
  </si>
  <si>
    <t>Bài ưu đãi thuế cho DN mới — ưu đãi chủ yếu là miễn/giảm thuế TNDN.</t>
  </si>
  <si>
    <t>Thường xuyên tra cứu nợ thuế giúp hộ kinh doanh chủ động theo dõi nghĩa vụ thuế, kịp thời phát hiện các khoản thuế chưa…</t>
  </si>
  <si>
    <t>Bài lợi nhuận và công thức tính — đoạn lợi nhuận sau thuế chèn được link thuế TNDN.</t>
  </si>
  <si>
    <t>Bước 4: Kiểm tra và ra quyết định hoàn thuế doanh nghi…</t>
  </si>
  <si>
    <t>Áp dụng đối với các trường hợp phải kiểm tra trước khi hoàn thuế theo quy định của pháp luật (như doanh nghiệp đề nghị…</t>
  </si>
  <si>
    <t>Hoàn thuế DN; có thể nhắc trường hợp nộp thừa thuế TNDN.</t>
  </si>
  <si>
    <t>Kiểm tra thông tin thuế hộ kinh doanh giúp chủ hộ kịp thời cập nhật tình trạng đăng ký thuế, theo dõi nghĩa vụ thuế và…</t>
  </si>
  <si>
    <t>Việc nắm rõ cách tra cứu hóa đơn điện tử hợp lệ không chỉ giúp doanh nghiệp đảm bảo tuân thủ quy định pháp luật, mà còn…</t>
  </si>
  <si>
    <t>Nhắc: tndn, thu nhập doanh nghiệp, thuế doanh nghiệp.</t>
  </si>
  <si>
    <t>3.2. Lưu ý về kỳ hạn trả lương và việc chia nhỏ khoản…</t>
  </si>
  <si>
    <t>Doanh nghiệp nên cân nhắc kỹ nội dung này để tránh bị cơ quan thuế xem xét lại tính hợp lý của khoản chi khi thanh tra,…</t>
  </si>
  <si>
    <t>Nhắc: thuế doanh nghiệp.</t>
  </si>
  <si>
    <t>https://techcombank.com/thong-tin/blog/sao-ke-tai-khoan-doanh-nghiep</t>
  </si>
  <si>
    <t>5. 6 câu hỏi thường gặp khi sao kê tài khoản doanh ngh…</t>
  </si>
  <si>
    <t>Cơ quan thuế được quyền yêu cầu ngân hàng cung cấp và kiểm tra thông tin doanh nghiệp theo quy định tại khoản 2, điều 3…</t>
  </si>
  <si>
    <t>Nhắc: lợi nhuận.</t>
  </si>
  <si>
    <t>2.1. Quản trị cấu trúc vốn</t>
  </si>
  <si>
    <t>Doanh nghiệp cần cân đối giữa việc sử dụng vốn vay - vốn có chi phí lãi vay nhưng giúp tiết kiệm thuế - và vốn chủ sở h…</t>
  </si>
  <si>
    <t>https://techcombank.com/thong-tin/blog/cong-ty-xuat-nhap-khau</t>
  </si>
  <si>
    <t>Bước 3: Chuẩn bị chứng từ và thực hiện nghĩa vụ tài ch…</t>
  </si>
  <si>
    <t>Doanh nghiệp tiến hành xin các loại giấy phép chuyên ngành (nếu có), kiểm tra chất lượng, hun trùng, hoặc xin cấp Giấy…</t>
  </si>
  <si>
    <t>Nhắc: tndn, thuế doanh nghiệp.</t>
  </si>
  <si>
    <t>1.2. Thuế suất 25 - 50%</t>
  </si>
  <si>
    <t>Nhờ chính sách này, doanh nghiệp khởi nghiệp sáng tạo có thể tập trung nguồn lực cho nghiên cứu, thử nghiệm sản phẩm, x…</t>
  </si>
  <si>
    <t>Nhắc: tndn.</t>
  </si>
  <si>
    <t>Thay thế (bài cũ không có đoạn liên quan). Đã đọc nội dung: bài có sẵn cụm anchor.</t>
  </si>
  <si>
    <t>2.1. Đăng ký tài khoản thuế điện tử và eTax Mobile</t>
  </si>
  <si>
    <t>Sau khi đã nộp hồ sơ tra cứu thông tin quyết toán, nhiều người dùng quan tâm đến cách đóng thuế kinh doanh trên eTax Mo…</t>
  </si>
  <si>
    <t>1. Cách kiểm tra tài khoản của công ty trực tiếp tại q…</t>
  </si>
  <si>
    <t>Ngoài các thông tin trên, doanh nghiệp cũng có thể cần tra cứu tài khoản ngân hàng đã đăng ký với cơ quan thuế để đối c…</t>
  </si>
  <si>
    <t>Người nộp thuế có thể tra cứu kết quả nộp thuế, giấy nộp tiền, nghĩa vụ thuế, thông báo từ cơ quan thuế để đảm bảo khôn…</t>
  </si>
  <si>
    <t>tra cứu nợ thuế theo mã số thuế</t>
  </si>
  <si>
    <t>https://techcombank.com/thong-tin/blog/mo-them-tai-khoan-ngan-hang-cho-cong-ty</t>
  </si>
  <si>
    <t>3.1. Mở thêm tài khoản cùng ngân hàng tại quầy</t>
  </si>
  <si>
    <t>Giấy ủy quyền, đăng ký mẫu dấu, giấy chứng nhận đăng ký Mã số thuế (nếu không tra cứu được MST trên Tổng cục Thuế), hoặ…</t>
  </si>
  <si>
    <t>5. Quyết toán thuế</t>
  </si>
  <si>
    <t>Quyết toán thuế là quá trình người nộp thuế tổng hợp, kiểm tra và xác nhận chính thức số thuế phải nộp trong một năm ho…</t>
  </si>
  <si>
    <t>Bài viết dưới đây hướng dẫn 3 cách tra cứu nợ thuế thu nhập cá nhân năm 2025 chi tiết, dễ thực hiện và cập nhật theo qu…</t>
  </si>
  <si>
    <t>Từ ngày 01/07/2025, mã số thuế cá nhân sẽ được thay thế hoàn toàn bằng số định danh cá nhân theo quy định tại Thông tư…</t>
  </si>
  <si>
    <t>2. Tra cứu thông tin quyết toán thuế thu nhập cá nhân</t>
  </si>
  <si>
    <t>Điền mã số thuế, năm quyết toán và ấn tra cứu</t>
  </si>
  <si>
    <t>1.1. Chuyển đổi mã số thuế cá nhân sang số định danh c…</t>
  </si>
  <si>
    <t>Theo Khoản 2, Điều 38 Thông tư 86/2024/TT-BTC , từ ngày 01/07/2025, số định danh cá nhân sẽ thay thế mã số thuế trong c…</t>
  </si>
  <si>
    <t>1. Làm sao biết được hoàn thuế thu nhập cá nhân hay kh…</t>
  </si>
  <si>
    <t>Đóng mã số thuế hộ kinh doanh là thủ tục cần thực hiện khi chấm dứt hoạt động hoặc thuộc các trường hợp phải chấm dứt h…</t>
  </si>
  <si>
    <t>Kể từ khi số CCCD thay cho mã số thuế, thao tác tra cứu nợ thuế cá nhân bằng CCCD cũng chỉ mất vài phút và không đòi hỏ…</t>
  </si>
  <si>
    <t>6.2. Có thể sử dụng CCCD để tra cứu mã số thuế hộ kinh…</t>
  </si>
  <si>
    <t>Hiện chủ hộ có thể sử dụng số CCCD/thẻ Căn cước để tra cứu mã số thuế (nếu chủ hộ là người đứng tên trên giấy phép đăng…</t>
  </si>
  <si>
    <t>https://techcombank.com/thong-tin/blog/tra-cuu-hoa-don-tien-dien</t>
  </si>
  <si>
    <t>2.1. Tra cứu tiền điện theo mã khách hàng và thanh toá…</t>
  </si>
  <si>
    <t>Hiện nay, hầu hết các ngân hàng đều đã tích hợp tính năng tra cứu tiền điện theo mã khách hàng và thanh toán ngay trên…</t>
  </si>
  <si>
    <t>4.1. Kiểm tra thuế thu nhập cá nhân (TNCN) 2026 ở đâu?</t>
  </si>
  <si>
    <t>thuế doanh nghiệp</t>
  </si>
  <si>
    <t>Thuế doanh nghiệp là một trong những nội dung quan trọng mà bất kỳ đơn v…</t>
  </si>
  <si>
    <t>1. Tuân thủ thuế - Không chỉ là nghĩa vụ mà còn là lợi…</t>
  </si>
  <si>
    <t>Khi thực hiện tốt nghĩa vụ thuế, doanh nghiệp không chỉ giảm thiểu rủi ro tài chính, mà còn tạo ra sự minh bạch trong q…</t>
  </si>
  <si>
    <t>Khi chuyển đổi từ hộ kinh doanh sang doanh nghiệp, bên cạnh việc hoàn tất thủ tục pháp lý, chủ doanh nghiệp cần nắm rõ…</t>
  </si>
  <si>
    <t>5. Techcombank đồng hành cùng Hộ kinh doanh chuyển đổi…</t>
  </si>
  <si>
    <t>Loạt chính sách mới về phí và thuế doanh nghiệp 2025 đóng vai trò như một công cụ tài khóa khuyến khíc…</t>
  </si>
  <si>
    <t>các loại thuế doanh nghiệp phải nộp</t>
  </si>
  <si>
    <t>Trường hợp Cơ quan đăng ký kinh doanh có yêu cầu, người đăng ký thành lập doanh nghiệp phải nộp Phiếu lý lịch tư pháp c…</t>
  </si>
  <si>
    <t>Hoàn thuế doanh nghiệp là việc ngân sách nhà nước trả lại cho doanh nghiệp số…</t>
  </si>
  <si>
    <t>…doanh nghiệp nào cũng cần biết chính là kiểm tra mã số thuế doanh nghiệp .</t>
  </si>
  <si>
    <t>…ng chi tiết về thời hạn, hồ sơ và quy trình quyết toán thuế doanh nghiệp năm 2026 chuẩn xác.</t>
  </si>
  <si>
    <t>Mở rộng chủ đề (theo plan): bài nhắc doanh nghiệp, thuế, kê khai.</t>
  </si>
  <si>
    <t>…ù vậy, việc vận hành hệ thống kế toán cũng như kê khai thuế doanh nghiệp sao cho vừa đúng tiến độ, vừa chuẩn chỉnh the…</t>
  </si>
  <si>
    <t>Mở rộng chủ đề (theo plan): bài nhắc doanh nghiệp, thuế, kế toán.</t>
  </si>
  <si>
    <t>…ế của doanh nghiệp đã được số hóa, cho phép tra cứu nợ thuế doanh nghiệp theo mã số thuế hoặc kiểm tra nợ thuế trên th…</t>
  </si>
  <si>
    <t>Xác định chính xác đối tượng chịu thuế là nền tảng cho việc tuân thủ quy định thuế doanh nghiệp 2026.</t>
  </si>
  <si>
    <t>Mở rộng chủ đề (theo plan): bài nhắc doanh nghiệp, thuế, hộ kinh doanh.</t>
  </si>
  <si>
    <t>Nếu một khoản chi phí không đáp ứng các điều kiện hợp lệ, khoản chi đó sẽ bị loại khỏi "Chi phí được trừ", dẫn đến tăng…</t>
  </si>
  <si>
    <t>doanh nghiệp phải nộp những loại thuế nào</t>
  </si>
  <si>
    <t>Mở rộng chủ đề (theo plan): bài nhắc doanh nghiệp, thuế, nộp thuế.</t>
  </si>
  <si>
    <t>https://techcombank.com/thong-tin/blog/huong-dan-dang-ky-thanh-lap-doanh-nghiep</t>
  </si>
  <si>
    <t>1. Điều kiện để đăng ký thành lập doanh nghiệp mới</t>
  </si>
  <si>
    <t>Tên công ty phải cấu thành từ "Loại hình doanh nghiệp" và "Tên riêng", đảm bảo tính duy nhất để không gây nhầm lẫn với…</t>
  </si>
  <si>
    <t>https://techcombank.com/thong-tin/blog/dang-ky-thanh-lap-doanh-nghiep</t>
  </si>
  <si>
    <t>M ở tài khoản doanh nghiệp nhanh chóng tại Techcombank</t>
  </si>
  <si>
    <t>Mở rộng chủ đề (theo plan): bài nhắc doanh nghiệp, công ty.</t>
  </si>
  <si>
    <t>2. Chuyên nghiệp hóa công tác quản lý tài chính và sổ…</t>
  </si>
  <si>
    <t>Mở rộng chủ đề (theo plan): bài nhắc doanh nghiệp, hộ kinh doanh.</t>
  </si>
  <si>
    <t>Để đáp ứng yêu cầu quản lý thuế mới và đảm bảo hoạt động kinh doanh vận hành minh bạch, các chủ hộ kinh doanh cần từng…</t>
  </si>
  <si>
    <t>Tuy nhiên, việc chuẩn bị hồ sơ đăng ký thành lập doanh nghiệp thường khiến nhiều chủ doanh nghiệp lúng túng vì có quá n…</t>
  </si>
  <si>
    <t>Trong bối cảnh Chính phủ đẩy mạnh hỗ trợ khởi nghiệp và phát triển doanh nghiệp vừa và nhỏ, hệ thống thuế Việt Nam từ n…</t>
  </si>
  <si>
    <t>Từ ngày 01/06/2025, nhiều chính sách thuế mới bắt đầu có hiệu lực, tác động trực tiếp đến hộ kinh doanh và doanh nghiệp…</t>
  </si>
  <si>
    <t>https://techcombank.com/thong-tin/blog/dang-ky-thanh-lap-doanh-nghiep-online</t>
  </si>
  <si>
    <t>Trong bối cảnh chuyển đổi số mạnh mẽ, thủ tục đăng ký thành lập doanh nghiệp tại Việt Nam đã được triển khai trên môi t…</t>
  </si>
  <si>
    <t>So sánh các thuế phí giữa hộ kinh doanh và doanh nghiệp.</t>
  </si>
  <si>
    <t>Hộ kinh doanh cần tạo tài khoản thuế điện tử để thực hiện toàn bộ nghiệp vụ thuế.</t>
  </si>
  <si>
    <t>Mở rộng chủ đề (theo plan): bài nhắc doanh nghiệp, thuế.</t>
  </si>
  <si>
    <t>1. Không tìm hiểu kỹ sự khác biệt giữa hộ kinh doanh v…</t>
  </si>
  <si>
    <t>Thực tế, hai loại hình này có sự khác biệt rất lớn về pháp lý, thuế và quy mô hoạt động:Chính vì chưa nắm rõ những điểm…</t>
  </si>
  <si>
    <t>Ưu đãi về thuế, tín dụng cho doanh nghiệp mới thành lập trải rộng từ miễn thuế thu nhập doanh nghiệp, bãi bỏ lệ phí môn…</t>
  </si>
  <si>
    <t>Doanh nghiệp có quyền khấu trừ thuế GTGT đầu vào, trong khi hộ kinh doanh bị tính thuế trực tiếp trên doanh thu.</t>
  </si>
  <si>
    <t>công ty dùng tài khoản cá nhân có được không</t>
  </si>
  <si>
    <t>Trường hợp mua hàng trên 20 triệu đồng nhưng bên mua chuyển tiền từ tài khoản cá nhân chuyển vào tài khoản công ty, bên…</t>
  </si>
  <si>
    <t>công ty sử dụng tài khoản cá nhân</t>
  </si>
  <si>
    <t>6. Ưu đãi khi mở tài khoản doanh nghiệp tại Techcombank</t>
  </si>
  <si>
    <t>giấy chứng nhận đăng ký doanh nghiệp, công bố thông tin, dấu pháp nhân và dấu chức danh, bộ hồ sơ lưu nội bộ, biển công…</t>
  </si>
  <si>
    <t>3. Lưu ý quan trọng khi sử dụng tài khoản công ty</t>
  </si>
  <si>
    <t>Chỉ được sử dụng tài khoản công ty cho mục đích kinh doanh, không được dùng cho mục đích cá nhân để đảm bảo tính minh b…</t>
  </si>
  <si>
    <t>2. 14 khoản tiền không bị tính thuế khi chuyển vào tài…</t>
  </si>
  <si>
    <t>Thu nhập từ chuyển nhượng nhà ở, quyền sử dụng đất ở và tài sản gắn liền với đất ở của cá nhân trong trường hợp cá nhân…</t>
  </si>
  <si>
    <t>https://techcombank.com/thong-tin/blog/vay-tin-chap-la-gi</t>
  </si>
  <si>
    <t>1. Vay tín chấp là gì?</t>
  </si>
  <si>
    <t>Trên thực tế, các gói vay tín chấp tại các ngân hàng và công ty tài chính thường hướng đến hoạt động vay tín chấp tiêu…</t>
  </si>
  <si>
    <t>thuế giá trị gia tăng – 23 link
thuế VAT – 5 link
thuế GTGT là gì – 2 link</t>
  </si>
  <si>
    <t>Kê khai thuế DN — thuế GTGT là loại kê khai định kỳ phổ biến nhất.</t>
  </si>
  <si>
    <t>3.4. Nhân viên có thể thay mặt công ty nộp tiền mặt và…</t>
  </si>
  <si>
    <t>Có, nhân viên hoàn toàn có thể thay mặt công ty nộp tiền mặt vào tài khoản của công ty.</t>
  </si>
  <si>
    <t>https://techcombank.com/thong-tin/blog/tai-khoan-cong-ty-co-chuyen-online-duoc-khong</t>
  </si>
  <si>
    <t>3. Câu hỏi thường gặp khi chuyển khoản online của tài…</t>
  </si>
  <si>
    <t>Khi sử dụng dịch vụ chuyển khoản online từ tài khoản công ty, người dùng cần lưu ý những thông tin, quy định liên quan…</t>
  </si>
  <si>
    <t>Hoàn thuế DN chủ yếu là hoàn thuế GTGT — người đọc cần hiểu VAT là gì.</t>
  </si>
  <si>
    <t>2.6 Điều kiện riêng đối với từng loại hình công ty</t>
  </si>
  <si>
    <t>Thành viên hợp danh phải là cá nhân và chịu trách nhiệm bằng toàn bộ tài sản của mình về các nghĩa vụ của công ty.</t>
  </si>
  <si>
    <t>2. Hoàn tất nghĩa vụ tài chính trước khi chuyển đổi</t>
  </si>
  <si>
    <t>Trường hợp chuyển đổi thành công ty TNHH hoặc công ty cổ phần , chủ hộ kinh doanh (người đại diện) vẫn phải chịu trách…</t>
  </si>
  <si>
    <t>Yêu cầu nhân viên ngân hàng kiểm tra tài khoản ngân hàng của công ty.</t>
  </si>
  <si>
    <t>https://techcombank.com/thong-tin/blog/dang-ky-nhieu-tai-khoan-ngan-hang-co-sao-khong</t>
  </si>
  <si>
    <t>3.4. Làm thế nào để quản lý nhiều tài khoản hiệu quả?</t>
  </si>
  <si>
    <t>Ví dụ bạn có thể mở một tài khoản thanh toán chuyên để nhận lương từ công việc chính, một tài khoản chuyên để nhận nguồ…</t>
  </si>
  <si>
    <t>https://techcombank.com/thong-tin/blog/app-theo-doi-chung-chi-quy</t>
  </si>
  <si>
    <t>2. Fmarket</t>
  </si>
  <si>
    <t>Thuế TMĐT cho HKD gồm thuế GTGT + TNCN — chèn khi nhắc thuế GTGT.</t>
  </si>
  <si>
    <t>Fmarket là nền tảng phân phối chứng chỉ quỹ mở trực tuyến, đóng vai trò trung gian kết nối nhà đầu tư cá nhân với nhiều…</t>
  </si>
  <si>
    <t>https://techcombank.com/thong-tin/blog/cac-loai-bao-hiem-hien-nay</t>
  </si>
  <si>
    <t>1.5. Bảo hiểm nhân thọ</t>
  </si>
  <si>
    <t>Khi tham gia các loại hình bảo hiểm nhân thọ, người dùng sẽ đóng một khoản phí nhất định vào quỹ dự trữ tài chính được…</t>
  </si>
  <si>
    <t>https://techcombank.com/thong-tin/blog/tin-dung-tieu-dung</t>
  </si>
  <si>
    <t>1. Tín dụng tiêu dùng là gì?</t>
  </si>
  <si>
    <t>Tín dụng tiêu dùng là hình thức cấp vốn mà các tổ chức tài chính (ngân hàng, công ty tài chính) cung cấp cho cá nhân nh…</t>
  </si>
  <si>
    <t>Không cần sử dụng tài khoản công ty:</t>
  </si>
  <si>
    <t>Thay thế (bài cũ đã có link về trang đích). Đã đọc nội dung: bài có sẵn cụm anchor.</t>
  </si>
  <si>
    <t>https://techcombank.com/thong-tin/blog/tai-khoan-doanh-nghiep-co-the-khong</t>
  </si>
  <si>
    <t>3. Hướng dẫn cách mở thẻ ngân hàng cho doanh nghiệp</t>
  </si>
  <si>
    <t>7.1. Thu nhập được miễn thuế (*)</t>
  </si>
  <si>
    <t>khoản tài trợ nhận được từ doanh nghiệp không có quan hệ liên kết, tổ chức, cá nhân trong nước và ngoài nước để sử dụng…</t>
  </si>
  <si>
    <t>Nhắc: gtgt.</t>
  </si>
  <si>
    <t>https://techcombank.com/thong-tin/blog/thanh-toan-tien-dien-bang-the-tin-dung</t>
  </si>
  <si>
    <t>4. Thanh toán tiền điện bằng thẻ tín dụng Techcombank,…</t>
  </si>
  <si>
    <t>Việc kết hợp theo dõi chi tiêu và sử dụng thêm các công cụ tính lãi suất tiết kiệm cũng giúp bạn quản lý tài chính cá n…</t>
  </si>
  <si>
    <t>Nhắc: hóa đơn.</t>
  </si>
  <si>
    <t>https://techcombank.com/thong-tin/blog/mau-mo-tai-khoan-doanh-nghiep-techcombank</t>
  </si>
  <si>
    <t>Phần B: Thông tin về FATCA và Ủy thác</t>
  </si>
  <si>
    <t>Trường hợp lựa chọn “Có”, bạn bấm vào link “ Mẫu nhận diện thông tin ” và thực hiện khai báo thông tin về việc tham gia…</t>
  </si>
  <si>
    <t>1. Miễn các chi phí mở tài khoản ngân hàng cho công ty</t>
  </si>
  <si>
    <t>Chương trình mở tài khoản công ty miễn phí được các ngân hàng thực hiện như một chính sách hỗ trợ và khuyến khích doanh…</t>
  </si>
  <si>
    <t>https://techcombank.com/thong-tin/blog/loi-ich-cua-tri-tue-nhan-tao</t>
  </si>
  <si>
    <t>2. Tăng cường an ninh và phát hiện bất thường nhờ vào…</t>
  </si>
  <si>
    <t>Ngoài ra, AI còn có thể sử dụng công nghệ nhận diện khuôn mặt và giọng nói để xác thực danh tính khách hàng, đảm bảo rằ…</t>
  </si>
  <si>
    <t>https://techcombank.com/thong-tin/blog/cac-loai-hinh-doanh-nghiep</t>
  </si>
  <si>
    <t>7. Lời khuyên khi lựa chọn loại hình doanh nghiệp</t>
  </si>
  <si>
    <t>Nếu muốn hạn chế rủi ro cá nhân, nên chọn Công ty TNHH hoặc Công ty Cổ phần, bởi các hình thức này áp dụng trách nhiệm…</t>
  </si>
  <si>
    <t>2.2. Quy trình thực hiện</t>
  </si>
  <si>
    <t>Chủ hộ sử dụng tài khoản định danh điện tử cá nhân (VNeID) để đăng nhập vào Cổng Dịch vụ công Quốc gia hoặc Cổng thông…</t>
  </si>
  <si>
    <t>https://techcombank.com/thong-tin/blog/vay-tin-chap-toi-da-duoc-bao-nhieu</t>
  </si>
  <si>
    <t>2. Điều kiện vay tín chấp hạn mức cao</t>
  </si>
  <si>
    <t>Trên thực tế, các khoản vay mà cá nhân đang có tại tất cả các ngân hàng/công ty tài chính đều được thể hiện trên hệ thố…</t>
  </si>
  <si>
    <t>https://techcombank.com/thong-tin/blog/co-nen-gui-tiet-kiem-ngan-hang</t>
  </si>
  <si>
    <t>1. “Gỡ rối” băn khoăn của khách hàng về việc gửi tiết…</t>
  </si>
  <si>
    <t>Điều này đã khiến kẻ gian lợi dụng để truy cập bất hợp pháp vào tài khoản, làm rò rỉ thông tin cá nhân… Vì thế, ngân hà…</t>
  </si>
  <si>
    <t>https://techcombank.com/thong-tin/blog/no-xau-mo-the-tin-dung-duoc-khong</t>
  </si>
  <si>
    <t>3. Hướng dẫn xóa nợ xấu tín dụng nhanh nhất</t>
  </si>
  <si>
    <t>Tóm lại, sau khi xóa nợ xấu thành công, trong quá trình giao dịch tài chính, khách hàng cần phải đảm bảo tuân thủ đúng…</t>
  </si>
  <si>
    <t>Nhắc: hóa đơn, hoá đơn.</t>
  </si>
  <si>
    <t>3.3. Không tách bạch tài chính cá nhân và công ty</t>
  </si>
  <si>
    <t>Một lỗi thường gặp là tiếp tục sử dụng chung tài khoản cá nhân cho hoạt động kinh doanh sau khi đã thành lập doanh nghi…</t>
  </si>
  <si>
    <t>https://techcombank.com/thong-tin/blog/mat-so-dien-thoai-dang-ky-tai-khoan-ngan-hang</t>
  </si>
  <si>
    <t>2.2. Bước 2: Cung cấp thông tin cá nhân</t>
  </si>
  <si>
    <t>Bạn cần cung cấp thông tin cá nhân cho nhân viên giao dịch và yêu cầu đổi số điện thoại đăng ký tài khoản ngân hàng đan…</t>
  </si>
  <si>
    <t>https://techcombank.com/thong-tin/blog/ghi-chep-chi-tieu</t>
  </si>
  <si>
    <t>4. Hướng dẫn cách ghi chép chi tiêu bằng ứng dụng (app)</t>
  </si>
  <si>
    <t>Sổ thu chi MISA là ứng dụng quản lý tài chính cá nhân do Công ty Cổ phần MISA - đơn vị công nghệ hàng đầu tại Việt Nam…</t>
  </si>
  <si>
    <t>https://techcombank.com/thong-tin/blog/nen-de-tien-trong-the-hay-gui-tiet-kiem</t>
  </si>
  <si>
    <t>2.1. Khi nào nên để tiền trong tài khoản thanh toán?</t>
  </si>
  <si>
    <t>Đồng thời, khách hàng có thể sử dụng toàn bộ số tiền trong tài khoản để thanh toán cho các nhu cầu cá nhân như mua sắm,…</t>
  </si>
  <si>
    <t>cách tính thuế thu nhập doanh nghiệp</t>
  </si>
  <si>
    <t>1. Chi phí không được trừ khi tính thuế TNDN là gì?</t>
  </si>
  <si>
    <t>Khi tính thuế TNDN, doanh nghiệp không được đưa các khoản này vào chi phí hợp lý để giảm thu nhập chịu thuế.</t>
  </si>
  <si>
    <t>cách tính thuế TNDN</t>
  </si>
  <si>
    <t>3.2. Ví dụ minh họa</t>
  </si>
  <si>
    <t>Tính thuế TNDN phải nộp:</t>
  </si>
  <si>
    <t>1.1. Thuế thu nhập doanh nghiệp (TNDN) - phân bậc theo…</t>
  </si>
  <si>
    <t>Luật Thuế TNDN 2025 đã có bước thay đổi mang tính hỗ trợ rõ rệt khi phân bậc thuế suất theo quy mô doanh thu của doanh…</t>
  </si>
  <si>
    <t>1. Quy định pháp luật về việc trả lương tiền mặt - Cập…</t>
  </si>
  <si>
    <t>pháp luật lao động (quy định về hình thức, kỳ hạn trả lương) và pháp luật thuế thu nhập doanh nghiệp (điều kiện để khoả…</t>
  </si>
  <si>
    <t>Doanh nghiệp được phép tính toán, khấu trừ chi phí hợp lý trước khi xác định thu nhập chịu thuế, được áp dụng các thuế…</t>
  </si>
  <si>
    <t>Theo quy định mới, doanh nghiệp nhỏ và vừa (SMEs) được miễn thuế thu nhập doanh nghiệp trong vòng 03 năm kể từ ngày đượ…</t>
  </si>
  <si>
    <t>Nói cách khác, chỉ số này giúp đánh giá doanh nghiệp tạo ra bao nhiêu lợi nhuận từ hoạt động kinh doanh chính, trước kh…</t>
  </si>
  <si>
    <t>Phần mềm kế toán doanh nghiệp, phần mềm quản lý bán hàng, hóa đơn điện tử, giúp tối ưu quy trình kế toán, lưu trữ chứng…</t>
  </si>
  <si>
    <t>Nếu doanh nghiệp thanh toán hóa đơn trên 20 triệu bằng tiền mặt, sẽ không được khấu trừ thuế GTGT và không được tính và…</t>
  </si>
  <si>
    <t>Mở rộng chủ đề (theo plan): bài nhắc thuế, doanh nghiệp, nộp thuế. Liên quan rộng – đọc bài trước khi chèn.</t>
  </si>
  <si>
    <t>Trường hợp chuyển tiền mua hàng trên 20 triệu đồng từ tài khoản doanh nghiệp bên mua sang tài khoản doanh nghiệp bên bá…</t>
  </si>
  <si>
    <t>Theo Khoản 4 Điều 10 Nghị quyết 198/2025/QH15 và Điều 7 Nghị định 20/2026/NĐ-CP , doanh nghiệp nhỏ và vừa đăng ký kinh…</t>
  </si>
  <si>
    <t>Thuế thu nhập doanh nghiệp được tính theo lợi nhuận.</t>
  </si>
  <si>
    <t>2. Ưu đãi thuế cho doanh nghiệp vừa và nhỏ với mức 15%…</t>
  </si>
  <si>
    <t>Theo Điều 10 Luật Thuế thu nhập doanh nghiệp 2025 (có hiệu lực từ kỳ tính thuế năm 2025) quy định mức thuế suất ưu đãi…</t>
  </si>
  <si>
    <t>tra cứu nợ thuế theo mã số thuế – 13 link
kiểm tra nợ thuế doanh nghiệp – 9 link
tra cứu nợ thuế doanh nghiệp – 8 link</t>
  </si>
  <si>
    <t>Bài tra mã số thuế DN — tra nợ thuế dùng chính mã số thuế, nhu cầu nối tiếp.</t>
  </si>
  <si>
    <t>Mức thuế suất phổ thông hiện nay vẫn được áp dụng ở mức 20%, tuy nhiên theo Điều 10 Luật Thuế thu nhập doanh nghiệp 202…</t>
  </si>
  <si>
    <t>Cùng intent tra cứu nợ thuế, khác loại thuế — dẫn sang nợ thuế nội địa của DN.</t>
  </si>
  <si>
    <t>Trước/sau quyết toán DN cần kiểm tra số thuế còn nợ.</t>
  </si>
  <si>
    <t>Sau kê khai, DN kiểm tra nghĩa vụ/nợ thuế.</t>
  </si>
  <si>
    <t>Bài anh em (HKD); chèn ở đoạn so sánh nếu có nhắc doanh nghiệp.</t>
  </si>
  <si>
    <t>công thức tính thuế TNDN</t>
  </si>
  <si>
    <t>Bài viết dưới đây sẽ giúp bạn hiểu rõ khái niệm lợi nhuận, phân biệt lợi nhuận gộp, lợi nhuận ròng, lợi nhuận trước thu…</t>
  </si>
  <si>
    <t>2. 2. Cách tính thuế thu nhập doanh nghiệp (TNDN) mới…</t>
  </si>
  <si>
    <t>Thuế TNDN được tính theo công thức cơ bản:</t>
  </si>
  <si>
    <t>Trong bài viết, hãy cùng tìm hiểu khái niệm NAV/CCQ, công thức tính toán và cách ứng dụng vào việc đánh giá nhằm tối ưu…</t>
  </si>
  <si>
    <t>Nhắc: nợ thuế.</t>
  </si>
  <si>
    <t>Công thức tính lợi nhuận:</t>
  </si>
  <si>
    <t>1. Cách tính thuế thu nhập cá nhân (TNCN) đối với cá n…</t>
  </si>
  <si>
    <t>Công thức tính thuế thu nhập cá nhân 2026 thứ 2 đối với cá nhân cư trú.</t>
  </si>
  <si>
    <t>5. Cách tính thuế hộ kinh doanh 2026</t>
  </si>
  <si>
    <t>Tính số thuế phải nộp dựa trên công thức:</t>
  </si>
  <si>
    <t>Mở rộng chủ đề (theo plan): bài nhắc tra cứu, mã số thuế, thuế.</t>
  </si>
  <si>
    <t>https://techcombank.com/thong-tin/blog/co-50-trieu-nen-mua-vang-hay-gui-tiet-kiem</t>
  </si>
  <si>
    <t>1. Có 50 triệu mua được bao nhiêu vàng? Nên mua vàng g…</t>
  </si>
  <si>
    <t>Công thức chung để tính số lượng vàng bạn có thể mua là:</t>
  </si>
  <si>
    <t>4.2. Lợi ích thuế từ nợ vay làm giảm chi phí vốn sau t…</t>
  </si>
  <si>
    <t>Chi phí nợ vay trong công thức WACC thường được tính sau thuế do lãi vay có thể tạo ra lợi ích thuế trong điều kiện đượ…</t>
  </si>
  <si>
    <t>Mở rộng chủ đề (theo plan): bài nhắc tra cứu, thuế, etax.</t>
  </si>
  <si>
    <t>5.1. Đối với cá nhân cư trú ký hợp đồng lao động trên…</t>
  </si>
  <si>
    <t>Công thức tính số 1 về mức đóng thuế thu nhập cá nhân cho cá nhân không cư trú.</t>
  </si>
  <si>
    <t>https://techcombank.com/thong-tin/blog/cach-nap-the-viettel</t>
  </si>
  <si>
    <t>cách nạp tiền điện thoại viettel</t>
  </si>
  <si>
    <t>Mở rộng chủ đề (theo plan): bài nhắc tra cứu, thuế, hộ kinh doanh.</t>
  </si>
  <si>
    <t>https://techcombank.com/thong-tin/blog/nap-tien-dien-thoai-online</t>
  </si>
  <si>
    <t>4 cách nạp tiền điện thoại online phổ biến:</t>
  </si>
  <si>
    <t>cách nạp tiền viettel</t>
  </si>
  <si>
    <t>Mở rộng chủ đề (theo plan): bài nhắc mã số thuế, thuế, doanh nghiệp.</t>
  </si>
  <si>
    <t>https://techcombank.com/thong-tin/blog/thanh-toan-tra-sau-viettel-bang-tai-khoan-ngan-hang</t>
  </si>
  <si>
    <t>3. Cách 3: Thanh toán cước trả sau qua Viettel Money</t>
  </si>
  <si>
    <t>Nếu đã liên kết tài khoản ngân hàng hoặc nạp tiền vào tài khoản Viettel Money, bạn có thể thanh toán cước chỉ với vài t…</t>
  </si>
  <si>
    <t>nạp thẻ viettel</t>
  </si>
  <si>
    <t>https://techcombank.com/thong-tin/blog/cach-nap-the</t>
  </si>
  <si>
    <t>3. Nạp thẻ điện thoại qua ứng dụng của nhà mạng</t>
  </si>
  <si>
    <t>Mở rộng chủ đề (theo plan): bài nhắc tra cứu, thuế, kê khai.</t>
  </si>
  <si>
    <t>Hầu hết các nhà mạng hiện nay như Viettel, Vinaphone, Mobiphone,.....đều cung cấp dịch vụ nạp thẻ điện thoại ứng dụng d…</t>
  </si>
  <si>
    <t>https://techcombank.com/thong-tin/blog/cach-nap-the-vina</t>
  </si>
  <si>
    <t>7. Nạp thẻ VinaPhone cho thuê bao khác</t>
  </si>
  <si>
    <t>Khi người thân, bạn bè hoặc đồng nghiệp hết tiền điện thoại, bạn hoàn toàn có thể nạp hộ thuê bao khác một cách nhanh c…</t>
  </si>
  <si>
    <t>Mở rộng chủ đề (theo plan): bài nhắc mã số thuế, thuế, hộ kinh doanh.</t>
  </si>
  <si>
    <t>https://techcombank.com/thong-tin/blog/cach-nap-the-mobi</t>
  </si>
  <si>
    <t>6. Nạp thẻ MobiFone trả trước, trả sau bằng ví điện tử…</t>
  </si>
  <si>
    <t>Ưu điểm của các ví điện tử này là thường xuyên triển khai các ưu đãi hoàn tiền hoặc chiết khấu khi nạp tiền điện thoại,…</t>
  </si>
  <si>
    <t>Mở rộng chủ đề (theo plan): bài nhắc tra cứu, thuế, nộp thuế.</t>
  </si>
  <si>
    <t>cách nạp thẻ viettel</t>
  </si>
  <si>
    <t>https://techcombank.com/thong-tin/blog/the-visa-ao-la-gi</t>
  </si>
  <si>
    <t>4.3. Thẻ Visa phi vật lý có nạp tiền được không?</t>
  </si>
  <si>
    <t>&gt;&gt;&gt; Để biết chi tiết cách thức nạp tiền cho thẻ ghi nợ phi vật lý, bạn có thể đọc thêm bài viết Hướng dẫn nạp tiền vào…</t>
  </si>
  <si>
    <t>Mở rộng chủ đề (theo plan): bài nhắc tra cứu, thuế, hóa đơn.</t>
  </si>
  <si>
    <t>https://techcombank.com/thong-tin/blog/cach-nap-tien-vao-the-ghi-no</t>
  </si>
  <si>
    <t>Chi tiết về 4 cách nạp tiền vào thẻ ghi nợ này, hãy cùng Techcombank tìm hiểu tại bài viết dưới đây.</t>
  </si>
  <si>
    <t>https://techcombank.com/thong-tin/blog/so-sanh-gui-tiet-kiem-online-va-tai-quay</t>
  </si>
  <si>
    <t>2.1. Đối với hình thức gửi tiết kiệm online</t>
  </si>
  <si>
    <t>Khi đã quen với các thao tác ngân hàng số như cách nạp tiền điện thoại trực tuyến, khách hàng thường dễ dàng tiếp cận v…</t>
  </si>
  <si>
    <t>https://techcombank.com/thong-tin/blog/vi-dien-tu-la-gi</t>
  </si>
  <si>
    <t>2.6. ShopeePay</t>
  </si>
  <si>
    <t>ShopeePay là một trong các ví điện tử ở Việt Nam cho phép người dùng thanh toán trực tuyến trên Shopee - sàn thương mại…</t>
  </si>
  <si>
    <t>Mở rộng chủ đề (theo plan): bài nhắc tra cứu, thuế, công ty.</t>
  </si>
  <si>
    <t>https://techcombank.com/thong-tin/blog/cach-chuyen-khoan-bang-dien-thoai</t>
  </si>
  <si>
    <t>1. Chuyển khoản qua Mobile Banking với tính năng Chuyể…</t>
  </si>
  <si>
    <t>Chuyển tiền trên điện thoại qua ngân hàng số/Mobile Banking là cách làm có nhiều ưu điểm điểm nhất vì:</t>
  </si>
  <si>
    <t>https://techcombank.com/thong-tin/blog/shopeepay-la-gi</t>
  </si>
  <si>
    <t>1. Ví ShopeePay là gì?</t>
  </si>
  <si>
    <t>ShopeePay là ví điện tử cho phép người dùng thanh toán trực tuyến trên Shopee - sàn thương mại điện tử số 1 Việt Nam, t…</t>
  </si>
  <si>
    <t>https://techcombank.com/thong-tin/blog/cach-dong-tien-dien-qua-tai-khoan-ngan-hang</t>
  </si>
  <si>
    <t>2.3. Đóng tiền điện nước qua tài khoản ngân hàng liên…</t>
  </si>
  <si>
    <t>Cách đóng tiền điện qua điện thoại bằng ứng dụng Ví MoMo.</t>
  </si>
  <si>
    <t>Mở rộng chủ đề (theo plan): bài nhắc tra cứu, công ty.</t>
  </si>
  <si>
    <t>https://techcombank.com/thong-tin/blog/mobile-banking-la-gi</t>
  </si>
  <si>
    <t>2.1. Chuyển tiền &amp; thanh toán</t>
  </si>
  <si>
    <t>Điện, nước, mạng Internet, cước di động trả sau, nạp tiền điện thoại trả trước, gói data điện thoại, dịch vụ nhà ở, phí…</t>
  </si>
  <si>
    <t>https://techcombank.com/thong-tin/blog/thanh-toan-cuoc-truyen-hinh</t>
  </si>
  <si>
    <t>2.1. Thanh toán cước truyền hình qua ngân hàng số</t>
  </si>
  <si>
    <t>Ngoài ra, Techcombank Mobile còn hỗ trợ thanh toán đa dạng các loại hóa đơn khác như Hóa đơn điện, nước , nạp tiền điện…</t>
  </si>
  <si>
    <t>https://techcombank.com/thong-tin/blog/thanh-toan-truc-tuyen</t>
  </si>
  <si>
    <t>4. Thanh toán trực tuyến nhanh chóng với Techcombank M…</t>
  </si>
  <si>
    <t>Thanh toán hóa đơn điện, nước, vé máy bay, nạp tiền điện thoại,...</t>
  </si>
  <si>
    <t>https://techcombank.com/thong-tin/blog/voucher-golden-gate</t>
  </si>
  <si>
    <t>4. Hướng dẫn tích điểm U-Point với Techcombank OneU</t>
  </si>
  <si>
    <t>Chương trình không áp dụng cho giao dịch nạp tiền điện thoại &amp; gói data điện thoại.</t>
  </si>
  <si>
    <t>https://techcombank.com/thong-tin/blog/voucher-the-pizza-company</t>
  </si>
  <si>
    <t>https://techcombank.com/thong-tin/blog/app-dong-tien-dien-online</t>
  </si>
  <si>
    <t>6. Thanh toán tiền điện online qua Viettel Money</t>
  </si>
  <si>
    <t>Khách hàng sử dụng Viettel Money sẽ thanh toán tiền điện qua app bằng cách:</t>
  </si>
  <si>
    <t>https://techcombank.com/thong-tin/blog/nap-xu-tiktok</t>
  </si>
  <si>
    <t>Trong đó, Xu TikTok là loại tiền ảo giúp người dùng tặng quà cho livestreamer, mua vật phẩm ảo hoặc ủng hộ các nhà sáng…</t>
  </si>
  <si>
    <t>https://techcombank.com/thong-tin/blog/nhung-kho-khan-khi-tiet-kiem-tien</t>
  </si>
  <si>
    <t>2. 3 cách rèn luyện thói quen tiết kiệm tiền thường xu…</t>
  </si>
  <si>
    <t>Có một số cách tiết kiệm hiệu quả như đặt mục tiêu rõ ràng, theo dõi thu chi hàng tháng, thói quen nạp tiền vào tài kho…</t>
  </si>
  <si>
    <t>https://techcombank.com/thong-tin/blog/app-vay-tien-nhanh</t>
  </si>
  <si>
    <t>14. Viettel Money (hỗ trợ nợ nhóm 1, 2)</t>
  </si>
  <si>
    <t>Đăng ký vay nhanh trên app vay tiền nhanh Viettel Money bằng cách thực hiện các bước sau:</t>
  </si>
  <si>
    <t>thuế doanh nghiệp – 27 link
các loại thuế doanh nghiệp phải nộp – 2 link
doanh nghiệp phải nộp những loại thuế nào – 1 link</t>
  </si>
  <si>
    <t>https://techcombank.com/thong-tin/blog/nap-tien-vao-tai-khoan-ngan-hang</t>
  </si>
  <si>
    <t>Nạp tiền vào tài khoản ngân hàng qua Mobile Banking, cây ATM, CDM, phòng giao dịch/chi nhánh ngân hàng, bưu điện Việt N…</t>
  </si>
  <si>
    <t>Bài giải đáp về thuế DN nói chung — đúng chủ đề tổng quan.</t>
  </si>
  <si>
    <t>https://techcombank.com/thong-tin/blog/so-du-tien-gui-la-gi</t>
  </si>
  <si>
    <t>3.1. Kiểm tra số dư tiền gửi online thông qua ứng dụng…</t>
  </si>
  <si>
    <t>Nếu bạn muốn biết cách nạp tiền vào tài khoản ngân hàng một cách nhanh chóng, Techcombank Mobile cũng là công cụ hữu hi…</t>
  </si>
  <si>
    <t>https://techcombank.com/thong-tin/blog/cach-su-dung-the-visa-techcombank</t>
  </si>
  <si>
    <t>1.2. Các cách nạp tiền vào thẻ Visa Debit Techcombank</t>
  </si>
  <si>
    <t>Techcombank đang hỗ trợ khách hàng nạp tiền vào tài khoản ngân hàng theo nhiều cách khác nhau.</t>
  </si>
  <si>
    <t>Tuân thủ thuế cho DN khởi nghiệp — cần biết DN phải nộp những khoản thuế nào.</t>
  </si>
  <si>
    <t>1. Liên hệ nhà mạng để khôi phục số điện thoại</t>
  </si>
  <si>
    <t>Cung cấp số dư tài khoản gần nhất của thuê bao/Giá trị thẻ nạp gần nhất là bao nhiêu, nạp bằng hình thức nào.</t>
  </si>
  <si>
    <t>https://techcombank.com/thong-tin/blog/the-tin-dung-la-gi</t>
  </si>
  <si>
    <t>7. Câu hỏi thường gặp</t>
  </si>
  <si>
    <t>Là khi khách hàng nạp tiền vào thẻ tín dụng để thanh toán các khoản chi trước đó trong 1 chu kỳ thanh toán.</t>
  </si>
  <si>
    <t>Bài các khoản thuế, phí khi lên DN — liên kết tự nhiên sang danh sách thuế DN.</t>
  </si>
  <si>
    <t>5. Câu hỏi thường gặp về nợ xấu có mở được thẻ tín dụn…</t>
  </si>
  <si>
    <t>Tại Việt Nam, thẻ ATM còn được hiểu là thẻ ghi nợ/thẻ thanh toán, thẻ này được hoạt động theo quy chế nạp tiền để sử dụ…</t>
  </si>
  <si>
    <t>https://techcombank.com/thong-tin/blog/the-visa-co-may-loai</t>
  </si>
  <si>
    <t>3. Thẻ Visa Prepaid (Thẻ Visa trả trước) là gì?</t>
  </si>
  <si>
    <t>Thẻ được hoạt động như một chiếc sim điện thoại, khách hàng cần nạp trước số tiền vào thẻ để sử dụng cho mục đích thanh…</t>
  </si>
  <si>
    <t>Bài tin chính sách thuế phí có lợi cho DN — dẫn sang bài tổng hợp các khoản thuế.</t>
  </si>
  <si>
    <t>https://techcombank.com/thong-tin/blog/nen-lam-the-visa-hay-noi-dia</t>
  </si>
  <si>
    <t>1. Thẻ Visa khác gì thẻ thường? Hiểu đúng về thẻ Visa…</t>
  </si>
  <si>
    <t>Thẻ nội địa là thẻ thanh toán nội địa chỉ cho phép khách hàng thanh toán, nạp, rút, chuyển tiền với phạm vi trong nước.</t>
  </si>
  <si>
    <t>https://techcombank.com/thong-tin/blog/the-visa-khong-thanh-toan-duoc</t>
  </si>
  <si>
    <t>1.1. Quá trình đăng ký thanh toán trực tuyến chưa hoàn…</t>
  </si>
  <si>
    <t>Nạp tiền vào thẻ , hoàn thành các thủ tục để thỏa mãn điều kiện sử dụng dịch vụ.</t>
  </si>
  <si>
    <t>giá điện sinh hoạt</t>
  </si>
  <si>
    <t>Sau khi thành lập DN phát sinh nghĩa vụ thuế — chèn ở đoạn lưu ý sau thành lập. (Liên quan yếu – bản chặt đã loại.)</t>
  </si>
  <si>
    <t>Thay vì sử dụng nguồn tiền trong tài khoản thanh toán, bạn có thể sử dụng thẻ tín dụng Techcombank để chi trả hay đóng…</t>
  </si>
  <si>
    <t>https://techcombank.com/thong-tin/blog/co-loyalty-la-gi</t>
  </si>
  <si>
    <t>2.1 Tối ưu hóa chi phí tiêu dùng</t>
  </si>
  <si>
    <t>Khách hàng có thể sử dụng điểm tích lũy để đổi lấy voucher giảm giá, hoàn tiền (cashback) hoặc thanh toán trực tiếp cho…</t>
  </si>
  <si>
    <t>https://techcombank.com/thong-tin/blog/kinh-nghiem-vay-tien-ngan-hang-xay-nha</t>
  </si>
  <si>
    <t>2. Cân nhắc kỹ thời gian vay tiền mua nhà, xây nhà</t>
  </si>
  <si>
    <t>Xem xét các khoản chi tiêu cố định hàng tháng như tiền ăn, phí điện nước, tiền đóng học phí cho con, tiền hiếu hỷ và cá…</t>
  </si>
  <si>
    <t>Nhắc: thành lập doanh nghiệp.</t>
  </si>
  <si>
    <t>https://techcombank.com/thong-tin/blog/quan-ly-tai-chinh-cho-dan-van-phong</t>
  </si>
  <si>
    <t>3.2. Sinh lời từ những lợi ích “phi tài chính”</t>
  </si>
  <si>
    <t>Kích hoạt ngay Sinh Lời Tự Động 2.0 để toàn bộ số dư tài khoản của bạn được sinh lời, hưởng lợi suất vượt trội từ chính…</t>
  </si>
  <si>
    <t>https://techcombank.com/thong-tin/blog/gui-tien-du-hoc</t>
  </si>
  <si>
    <t>Với mong muốn đồng hành cùng phụ huynh và du học sinh trong việc quản lý chi phí học tập, Techcombank Mobile mang đến d…</t>
  </si>
  <si>
    <t>4.1.Trong định giá và đánh giá doanh nghiệp</t>
  </si>
  <si>
    <t>Hệ số này giúp nhà đầu tư ước lượng doanh nghiệp đang được định giá cao hay thấp so với khả năng sinh lời từ hoạt động…</t>
  </si>
  <si>
    <t>https://techcombank.com/thong-tin/blog/remittance-la-gi</t>
  </si>
  <si>
    <t>3.2. Chuyển tiền bằng thư (Mail Transfer - M/T)</t>
  </si>
  <si>
    <t>Đặc điểm của hình thức này là tần suất gửi đều đặn, giá trị giao dịch trung bình, và yêu cầu tốc độ chuyển tiền cao để…</t>
  </si>
  <si>
    <t>https://techcombank.com/thong-tin/blog/sinh-loi-rinh-loc</t>
  </si>
  <si>
    <t>1. Tổng quan chương trình Sinh Lời Rinh Lộc của Techco…</t>
  </si>
  <si>
    <t>Được kết nối trực tiếp với giải pháp cốt lõi Techcombank Sinh Lời Tự Động - giải pháp tối ưu dòng tiền nhàn rỗi với lãi…</t>
  </si>
  <si>
    <t>https://techcombank.com/thong-tin/blog/ty-gia-hoi-doai-la-gi</t>
  </si>
  <si>
    <t>2.6. Phân loại theo hình thức thanh toán</t>
  </si>
  <si>
    <t>Tính bằng tỷ giá điện hối trừ đi lãi phát sinh trong thời gian chuyển check qua bưu điện.</t>
  </si>
  <si>
    <t>https://techcombank.com/thong-tin/blog/ho-kinh-doanh-can-gi-o-tai-khoan-ngan-hang</t>
  </si>
  <si>
    <t>2.4 Gia tăng lợi nhuận: Đặc quyền nhân đôi giá trị cùn…</t>
  </si>
  <si>
    <t>Không dừng lại ở con số ảo, quỹ điểm này sở hữu tính thanh khoản linh hoạt gần như tiền mặt khi dễ dàng quy đổi ngược l…</t>
  </si>
  <si>
    <t>3.1. Xem xét giá chứng chỉ quỹ hiện tại</t>
  </si>
  <si>
    <t>NAV/CCQ cao phản ánh quỹ đã hoạt động hiệu quả, giá trị tài sản tăng theo thời gian, đồng nghĩa quỹ đã sinh lời tốt.</t>
  </si>
  <si>
    <t>https://techcombank.com/thong-tin/blog/uu-dai-the-tin-dung-techcombank-signature</t>
  </si>
  <si>
    <t>1. Ưu đãi phát hành thẻ</t>
  </si>
  <si>
    <t>Hoàn phí thường niên năm đầu tiên khi phát sinh giao dịch có giá trị tối thiểu từ 5,000,000 VND trong vòng 30 ngày kể t…</t>
  </si>
  <si>
    <t>2.3. Theo đặc điểm kinh tế</t>
  </si>
  <si>
    <t>Nhắc: chính sách thuế.</t>
  </si>
  <si>
    <t>Là chi phí phát sinh nhưng chưa được phân bổ vào giá thành sản phẩm hoặc dịch vụ, vẫn là phần vốn lưu động cần được quả…</t>
  </si>
  <si>
    <t>Nhập tổng doanh thu phát sinh thực tế từ hoạt động bán hàng, cung cấp dịch vụ trong kỳ (hệ thống sẽ tự động đối soát vớ…</t>
  </si>
  <si>
    <t>https://techcombank.com/thong-tin/blog/bao-hiem-nhan-tho-la-gi</t>
  </si>
  <si>
    <t>2.1. Bảo vệ tài chính cho gia đình</t>
  </si>
  <si>
    <t>Đảm bảo các chi phí sinh hoạt hàng ngày, tiền thuê nhà, điện nước...</t>
  </si>
  <si>
    <t>Nhắc: chính sách thuế, doanh nghiệp khởi nghiệp.</t>
  </si>
  <si>
    <t>https://techcombank.com/thong-tin/blog/thoi-gian-hoan-tien-the-tin-dung</t>
  </si>
  <si>
    <t>2.5. Thẻ tín dụng Techcombank Everyday</t>
  </si>
  <si>
    <t>Thẻ tín dụng Techcombank Everyday là lựa chọn hoàn hảo cho khách hàng thường xuyên chi tiêu cho sinh hoạt hàng ngày như…</t>
  </si>
  <si>
    <t>https://techcombank.com/thong-tin/blog/techcombank-sinh-loi-tu-dong</t>
  </si>
  <si>
    <t>2.2 Khả năng thanh khoản 24/7: Sẵn sàng chi tiêu linh…</t>
  </si>
  <si>
    <t>Trong khi các sản phẩm tương tự trên thị trường thường tạo rào cản với quy trình đăng ký phức tạp (như yêu cầu chữ ký đ…</t>
  </si>
  <si>
    <t>https://techcombank.com/thong-tin/blog/chu-ky-so-huong-di-nang-cao-hieu-qua-trong-hoat-dong-ngan-hang</t>
  </si>
  <si>
    <t>1. Chữ ký số đóng vai trò quan trọng trong việc bảo đả…</t>
  </si>
  <si>
    <t>Tại buổi khai mạc hội thảo “Vai trò của chữ ký số cá nhân trong các giao dịch thanh toán điện tử” vào ngày 17/10/2023,…</t>
  </si>
  <si>
    <t>https://techcombank.com/thong-tin/blog/cach-tiet-kiem-100-trieu-1-nam</t>
  </si>
  <si>
    <t>2.2. Tối ưu hóa các chi phí lớn</t>
  </si>
  <si>
    <t>Nếu đang thuê nhà với mức giá đắt đỏ, hãy cân nhắc chuyển sang một nơi xa trung tâm hơn hoặc tìm thêm bạn cùng phòng để…</t>
  </si>
  <si>
    <t>https://techcombank.com/thong-tin/blog/ekyc-la-gi</t>
  </si>
  <si>
    <t>6. Giải pháp eKYC ứng dụng trong ngân hàng Techcombank</t>
  </si>
  <si>
    <t>Theo quy định của Ngân hàng nhà nước, từ 01/07/2024, các giao dịch chuyển tiền trực tuyến hoặc nạp tiền vào ví điện tử…</t>
  </si>
  <si>
    <t>https://techcombank.com/thong-tin/blog/cpi-la-gi</t>
  </si>
  <si>
    <t>Bài viết giải thích khái niệm, cách tính, các nhóm hàng được theo dõi và ý nghĩa của CPI tăng/giảm để bạn có cơ sở đánh…</t>
  </si>
  <si>
    <t>https://techcombank.com/thong-tin/blog/dau-tu-tai-chinh-ca-nhan</t>
  </si>
  <si>
    <t>4. Các công cụ hỗ trợ quản lý tài chính hiệu quả</t>
  </si>
  <si>
    <t>Tiền trong tài khoản tự sinh lời, thêm giá trị mỗi ngày, linh hoạt chi tiêu khi cần.</t>
  </si>
  <si>
    <t>https://techcombank.com/thong-tin/blog/hu-chi-tieu</t>
  </si>
  <si>
    <t>3. Quản lý tài chính hiệu quả với các tính năng ưu việ…</t>
  </si>
  <si>
    <t>Tiền trong tài khoản tự sinh lời, thêm giá trị mỗi ngày, linh hoạt chi tiêu khi cần</t>
  </si>
  <si>
    <t>2. 3 Loại lợi nhuận cơ bản trong báo cáo tài chính</t>
  </si>
  <si>
    <t>Việc hiểu rõ từng loại lợi nhuận giúp doanh nghiệp và nhà đầu tư đánh giá chính xác hiệu quả hoạt động cũng như khả năn…</t>
  </si>
  <si>
    <t>https://techcombank.com/thong-tin/blog/chi-tra-luong-huu</t>
  </si>
  <si>
    <t>3. Mở tài khoản thanh toán tại ngân hàng</t>
  </si>
  <si>
    <t>Thanh toán hóa đơn sinh hoạt (điện, nước, điện thoại…) ngay trên điện thoại mà không cần đi xa</t>
  </si>
  <si>
    <t>4. Số thuế phải nộp</t>
  </si>
  <si>
    <t>Tùy mô hình hoạt động, một doanh nghiệp có thể phát sinh nhiều khoản thuế khác nhau như thuế thu nhập doanh nghiệp, thu…</t>
  </si>
  <si>
    <t>https://techcombank.com/thong-tin/blog/vong-quay-von</t>
  </si>
  <si>
    <t>4.2. Đánh giá hiệu quả vận hành</t>
  </si>
  <si>
    <t>Ngoài ra, với nhà đầu tư, chỉ số này là cơ sở quan trọng để đánh giá năng lực sinh lời và so sánh hiệu quả hoạt động gi…</t>
  </si>
  <si>
    <t>5.2. Kinh doanh online qua sàn thương mại điện tử đóng…</t>
  </si>
  <si>
    <t>Hộ kinh doanh và cá nhân kinh doanh có doanh thu từ hoạt động trên sàn Thương mại điện tử (TMĐT) từ 100 triệu VND/năm t…</t>
  </si>
  <si>
    <t>https://techcombank.com/thong-tin/blog/cach-tiet-kiem-tien-cua-nguoi-nhat</t>
  </si>
  <si>
    <t>4.2. Tiết kiệm điện - nước sinh hoạt</t>
  </si>
  <si>
    <t>Người Nhật luôn sử dụng điện - nước sinh hoạt một cách hợp lý tiết kiệm, tránh lãng phí.</t>
  </si>
  <si>
    <t>https://techcombank.com/thong-tin/blog/app-ngan-hang-uy-tin</t>
  </si>
  <si>
    <t>1. Techcombank Mobile</t>
  </si>
  <si>
    <t>giá điện sinh hoạt mới nhất</t>
  </si>
  <si>
    <t>5.1. Tiền để trong tài khoản thanh toán có được hưởng…</t>
  </si>
  <si>
    <t>Tại Techcombank, ngoài lãi suất không kỳ hạn, khi kích hoạt tính năng Sinh Lời Tự Động , số tiền nhàn rỗi trong tài kho…</t>
  </si>
  <si>
    <t>Theo quy định mới nhất của Bộ Tài chính, việc khai báo tài khoản ngân hàng hoặc ví điện tử dùng cho hoạt động kinh doan…</t>
  </si>
  <si>
    <t>3.1. Trường hợp 1: Cùng địa bàn quản lý Thuế cơ sở</t>
  </si>
  <si>
    <t>Sau khi được cấp Giấy chứng nhận đăng ký hộ kinh doanh mới, hộ kinh doanh cần chủ động cập nhật địa chỉ mới trên các gi…</t>
  </si>
  <si>
    <t>https://techcombank.com/thong-tin/blog/techcombank-va-cong-cuoc-chuyen-doi-so-nganh-ngan-hang</t>
  </si>
  <si>
    <t>Luôn đi đầu trong công cuộc đổi mới, Techcombank đã tạo nên những dấu ấn đầy tự hào trong suốt hành trình hoạt động khi…</t>
  </si>
  <si>
    <t>https://techcombank.com/thong-tin/blog/gia-xang-dau-hom-nay</t>
  </si>
  <si>
    <t>Bài viết dưới đây tổng hợp bảng giá bán lẻ xăng dầu mới nhất từ các hệ thống phân phối như Petrolimex, PVOIL, đồng thời…</t>
  </si>
  <si>
    <t>https://techcombank.com/thong-tin/blog/so-du-tai-khoan-thanh-toan</t>
  </si>
  <si>
    <t>2. Tổng quan về Sinh Lời Tự Động</t>
  </si>
  <si>
    <t>Cơ chế hoạt động của Sinh Lời Tự Động phiên bản mới nhất 2.0</t>
  </si>
  <si>
    <t>https://techcombank.com/thong-tin/blog/tao-ma-qr-thanh-toan-cho-cua-hang</t>
  </si>
  <si>
    <t>công ty sử dụng tài khoản cá nhân – 19 link
công ty dùng tài khoản cá nhân có được không – 11 link</t>
  </si>
  <si>
    <t>Bài tài khoản DN là gì — câu hỏi 'có dùng TK cá nhân thay được không' là nhu cầu kế tiếp.</t>
  </si>
  <si>
    <t>https://techcombank.com/thong-tin/blog/lo-ma-qr-ngan-hang-co-sao-khong</t>
  </si>
  <si>
    <t>https://techcombank.com/thong-tin/blog/so-the-ngan-hang</t>
  </si>
  <si>
    <t>Lưu ý chuyển tiền vào TK công ty — liên quan trực tiếp quy định dùng TK cá nhân.</t>
  </si>
  <si>
    <t>https://techcombank.com/thong-tin/blog/mo-tai-khoan-ngan-hang-co-mat-phi-khong</t>
  </si>
  <si>
    <t>Cách dùng TK công ty cho giao dịch — đối lập tự nhiên với dùng TK cá nhân.</t>
  </si>
  <si>
    <t>https://techcombank.com/thong-tin/blog/ma-qr-ngan-hang-khong-hop-le</t>
  </si>
  <si>
    <t>Tiền vào TK cá nhân có bị tính thuế — rủi ro khi công ty dùng TK cá nhân nhận tiền.</t>
  </si>
  <si>
    <t>https://techcombank.com/thong-tin/blog/rut-tien-mat-tu-tai-khoan-doanh-nghiep</t>
  </si>
  <si>
    <t>https://techcombank.com/thong-tin/blog/rut-tien-bang-ma-qr-khac-ngan-hang-duoc-khong</t>
  </si>
  <si>
    <t>https://techcombank.com/thong-tin/blog/cach-lay-lai-tien-da-chuyen-khoan-khi-bi-lua</t>
  </si>
  <si>
    <t>Nhắc: tài khoản công ty.</t>
  </si>
  <si>
    <t>https://techcombank.com/thong-tin/blog/cach-doi-mat-khau-tai-khoan-ngan-hang</t>
  </si>
  <si>
    <t>Nhắc: tài khoản công ty, tài khoản ngân hàng công ty.</t>
  </si>
  <si>
    <t>https://techcombank.com/thong-tin/blog/app-ngan-hang</t>
  </si>
  <si>
    <t>https://techcombank.com/thong-tin/blog/mo-tai-khoan-ngan-hang-online-co-an-toan-khong</t>
  </si>
  <si>
    <t>Nhắc: tài khoản doanh nghiệp.</t>
  </si>
  <si>
    <t>https://techcombank.com/thong-tin/blog/co-nen-mua-so-tai-khoan-ngan-hang-dep</t>
  </si>
  <si>
    <t>https://techcombank.com/thong-tin/blog/cach-tao-ma-qr-code-mien-phi</t>
  </si>
  <si>
    <t>thuế thu nhập cá nhân</t>
  </si>
  <si>
    <t>Mỗi năm, đến thời điểm quyết toán thuế thu nhập cá nhân (TNCN), người lao động cần rà soát lại thu nhập, chứng…</t>
  </si>
  <si>
    <t>…năm là lúc nhiều người lao động quan tâm đến việc hoàn thuế thu nhập cá nhân (TNCN) – đặc biệt là khi số thuế đã nộp c…</t>
  </si>
  <si>
    <t>Nhắc: tài khoản công ty, tài khoản cá nhân.</t>
  </si>
  <si>
    <t>1. 10 khoản tiền chuyển vào tài khoản cá nhân phải nộp…</t>
  </si>
  <si>
    <t>Theo Luật Thuế thu nhập cá nhân và Thông tư số 111/2013/TT-BTC , dưới đây là 10 khoản …</t>
  </si>
  <si>
    <t>Thuế thu nhập cá nhân (PIT):</t>
  </si>
  <si>
    <t>https://techcombank.com/thong-tin/blog/kieu-hoi-la-gi</t>
  </si>
  <si>
    <t>2.1. Người thụ hưởng kiều hối (cá nhân hoặc tổ chức tr…</t>
  </si>
  <si>
    <t>Không bị đánh thuế thu nhập cá nhân đối với khoản kiều hối nhận được</t>
  </si>
  <si>
    <t>3.2. Trường hợp nên chuyển đổi lên doanh nghiệp</t>
  </si>
  <si>
    <t>Bắt đầu thuê lao động dài hạn, trả lương qua hệ thống, cần thực hiện các nghĩa vụ về bảo hiểm, thuế thu nhập cá nhân</t>
  </si>
  <si>
    <t>Mở rộng chủ đề (theo plan): bài nhắc công ty, doanh nghiệp.</t>
  </si>
  <si>
    <t>https://techcombank.com/thong-tin/blog/dau-tu-quy-mo</t>
  </si>
  <si>
    <t>1. Đầu tư quỹ mở là gì? Cơ chế hoạt động của quỹ mở</t>
  </si>
  <si>
    <t>khi bán lại, nhà đầu tư nhận về giá trị tương ứng theo NAV mới, sau khi trừ các khoản phí và thuế thu nhập cá nhân (nếu…</t>
  </si>
  <si>
    <t>Thuế giá trị gia tăng (GTGT) và thuế thu nhập cá nhân (TNCN) là hai loại thuế chủ yếu áp dụng đối với hoạt đ…</t>
  </si>
  <si>
    <t>Mở rộng chủ đề (theo plan): bài nhắc công ty, thuế.</t>
  </si>
  <si>
    <t>Thuế thu nhập cá nhân (TNCN):</t>
  </si>
  <si>
    <t>https://techcombank.com/thong-tin/blog/chuyen-nhuong-chung-chi-tien-gui</t>
  </si>
  <si>
    <t>2. Thuế và phí chuyển nhượng chứng chỉ tiền gửi</t>
  </si>
  <si>
    <t>…gửi sẽ không phải chịu thuế giá trị gia tăng (GTGT) và thuế thu nhập cá nhân (TNCN).</t>
  </si>
  <si>
    <t>https://techcombank.com/thong-tin/blog/sao-ke-luong</t>
  </si>
  <si>
    <t>Sao kê lương là một trong những thủ tục quan trọng giúp người dùng chứng minh thu nhập và quản lý tài chính cá nhân.</t>
  </si>
  <si>
    <t>1. Các loại thuế áp dụng cho hộ kinh doanh</t>
  </si>
  <si>
    <t>Năm 2026 hộ kinh sẽ nộp thuế giá trị gia tăng, thuế thu nhập cá nhân và thuế tiêu thụ đặc biệt (tuỳ ngành hàng, dịch vụ…</t>
  </si>
  <si>
    <t>…ốc hội thông qua, từ 01/01/2026, ngưỡng doanh thu miễn thuế thu nhập cá nhân và thuế giá trị gia tăng với hộ kinh doan…</t>
  </si>
  <si>
    <t>Thuế giá trị gia tăng (GTGT) và thuế thu nhập cá nhân (TNCN) là 2 loại thuế áp dụng cho hộ kinh doanh, cá nhân kinh doa…</t>
  </si>
  <si>
    <t>Việc tra cứu/kiểm tra thuế thu nhập cá nhân (TNCN) định kỳ là điều cần thiết giúp người nộp thuế n…</t>
  </si>
  <si>
    <t>2. Các loại thuế doanh nghiệp cần nộp</t>
  </si>
  <si>
    <t>cách tính thuế thu nhập doanh nghiệp – 15 link
công thức tính thuế TNDN – 9 link
cách tính thuế TNDN – 6 link</t>
  </si>
  <si>
    <t>Chi phí không được trừ ảnh hưởng trực tiếp công thức tính TNDN.</t>
  </si>
  <si>
    <t>…rị gia tăng (GTGT), thuế thu nhập doanh nghiệp (TNDN), thuế thu nhập cá nhân (TNCN) khấu trừ cho nhân viên và một số l…</t>
  </si>
  <si>
    <t>Khấu hao TSCĐ là chi phí được trừ khi tính thu nhập chịu thuế TNDN.</t>
  </si>
  <si>
    <t>https://techcombank.com/thong-tin/blog/bi-quyet-tiet-kiem-tien-mua-nha</t>
  </si>
  <si>
    <t>4. Tìm kiếm các chính sách hỗ trợ từ Chính phủ</t>
  </si>
  <si>
    <t>Chính sách giảm thuế, miễn giảm phí chuyển nhượng nhà đất hoặc hỗ trợ thuế thu nhập cá nhân cho những người mua nhà lần…</t>
  </si>
  <si>
    <t>Lợi nhuận ròng = lợi nhuận trước thuế − thuế TNDN; chèn ở công thức.</t>
  </si>
  <si>
    <t>Pháp luật lao động không cấm hình thức này, song quy định thuế thu nhập doanh nghiệp từ năm 2025 đã bổ sung điều kiện v…</t>
  </si>
  <si>
    <t>https://techcombank.com/thong-tin/blog/app-tra-luong</t>
  </si>
  <si>
    <t>2.6. FAST HRM Online</t>
  </si>
  <si>
    <t>Việc ứng dụng công nghệ vào quy trình tiền lương không chỉ đơn thuần là việc thay thế các bảng tính Excel thủ công, mà…</t>
  </si>
  <si>
    <t>Bài thay đổi về thuế cho DN khởi nghiệp, chèn nếu có đoạn về TNDN. (Liên quan yếu – bản chặt đã loại.)</t>
  </si>
  <si>
    <t>https://techcombank.com/thong-tin/blog/chinh-sach-tang-luong-huu</t>
  </si>
  <si>
    <t>3. Người nhận lương hưu cần lưu ý gì khi quản lý khoản…</t>
  </si>
  <si>
    <t>Sau khi nhận mức lương hưu hoặc trợ cấp mới, người hưởng nên cập nhật lại khoản thu nhập thực nhận và phân bổ cho các n…</t>
  </si>
  <si>
    <t>https://techcombank.com/thong-tin/blog/hoc-cach-tiet-kiem-tien-luong</t>
  </si>
  <si>
    <t>1.4. Theo dõi thu - chi hàng tháng</t>
  </si>
  <si>
    <t>Đặc biệt, ứng dụng ngân hàng số cũng có thể giúp bạn quản lý thu chi tài chính cá nhân hiệu quả.</t>
  </si>
  <si>
    <t>4. Bước 4: Tính thu nhập tính thuế</t>
  </si>
  <si>
    <t>Kết quả thu được là số thu nhập tính thuế, dùng để nhân với mức thuế suất TNDN tương ứng.</t>
  </si>
  <si>
    <t>2.3. Quy định thu hồi tiền chậm nộp thuế</t>
  </si>
  <si>
    <t>e) Thu tiền, tài sản khác của đối tượng bị cưỡng chế thi hành quyết định hành chính về quản lý thuế do cơ quan, tổ chức…</t>
  </si>
  <si>
    <t>3. Hướng dẫn cách kê khai thuế hộ kinh doanh cá thể on…</t>
  </si>
  <si>
    <t>Chỉ với vài bước đơn giản, hộ và cá nhân kinh doanh có thể dễ dàng kê khai thuế trực tiếp trên eTax Mobile:</t>
  </si>
  <si>
    <t>Nhắc: tndn, thu nhập doanh nghiệp.</t>
  </si>
  <si>
    <t>Theo Khoản 6 Điều 10 Nghị quyết số 198/2025/QH15 , từ ngày 01/01/2026 , hộ kinh doanh và cá nhân kinh doanh sẽ không cò…</t>
  </si>
  <si>
    <t>https://techcombank.com/thong-tin/blog/bao-hiem-nhan-tho-bao-nhieu-tien</t>
  </si>
  <si>
    <t>2. Nên chi bao nhiêu tiền để mua bảo hiểm nhân thọ?</t>
  </si>
  <si>
    <t>Thông thường, mức chi phí phù hợp cho một gói bảo hiểm nhân thọ nên nằm trong khoảng từ 10 - 15% tổng thu nhập mỗi thán…</t>
  </si>
  <si>
    <t>Quản lý tài chính cá nhân không chỉ dừng lại ở việc ghi chép thu chi, mà quan trọng hơn là biết cách phân bổ dòng tiền…</t>
  </si>
  <si>
    <t>Nộp thuế đất là nghĩa vụ tài chính quan trọng của cá nhân và tổ chức sử dụng đất tại Việt Nam.</t>
  </si>
  <si>
    <t>1. Có 100 triệu VND có nên mua ô tô trả góp không?</t>
  </si>
  <si>
    <t>Việc vay mua xe trong khi không có quỹ dự phòng dễ dẫn đến rủi ro khi phát sinh chi phí ngoài dự kiến hoặc thu nhập bị…</t>
  </si>
  <si>
    <t>5. Lưu ý khi đóng mã số thuế hộ kinh doanh</t>
  </si>
  <si>
    <t>Mã số thuế cá nhân của chủ hộ kinh doanh vẫn tiếp tục được sử dụng:</t>
  </si>
  <si>
    <t>1. Đối tượng được mua nhà ở xã hội</t>
  </si>
  <si>
    <t>10) Hộ gia đình, cá nhân thuộc trường hợp bị thu hồi đất và phải giải tỏa, phá dỡ nhà ở theo quy định của pháp luật mà…</t>
  </si>
  <si>
    <t>https://techcombank.com/thong-tin/blog/vay-tien-online</t>
  </si>
  <si>
    <t>3. Hướng dẫn quản lý khoản vay tiền mặt nhanh online 2…</t>
  </si>
  <si>
    <t>Bạn nên chọn kỳ hạn vay và lịch thanh toán phù hợp với thu nhập cá nhân (ví dụ:</t>
  </si>
  <si>
    <t>https://techcombank.com/thong-tin/blog/mo-the-tin-dung-khong-can-chung-minh-thu-nhap</t>
  </si>
  <si>
    <t>5. Mở thẻ tín dụng bằng hợp đồng bảo hiểm nhân thọ</t>
  </si>
  <si>
    <t>Một số ngân hàng cho phép mở thẻ tín dụng bằng hợp đồng bảo hiểm nhân thọ, trong đó giá trị hợp đồng được xem như một t…</t>
  </si>
  <si>
    <t>6. Hộ kinh doanh nên làm gì để tránh truy thu thuế?</t>
  </si>
  <si>
    <t>Bên cạnh T-Shop, Techcombank còn cung cấp Tài khoản Hộ kinh doanh - giải pháp giúp chủ hộ tách bạch dòng tiền kinh doan…</t>
  </si>
  <si>
    <t>cách nộp thuế điện tử</t>
  </si>
  <si>
    <t>thuế thu nhập cá nhân năm 2026</t>
  </si>
  <si>
    <t>Theo Luật Thuế giá trị gia tăng 2024 , từ ngày 01/01/2026, cá nhân kinh doanh và hộ kinh doanh có doanh thu hàng năm từ…</t>
  </si>
  <si>
    <t>https://techcombank.com/thong-tin/blog/cach-kiem-tra-tai-khoan-ngan-hang</t>
  </si>
  <si>
    <t>tra số tài khoản ngân hàng</t>
  </si>
  <si>
    <t>https://techcombank.com/thong-tin/blog/so-tai-khoan-ngan-hang</t>
  </si>
  <si>
    <t>3. Có bao nhiêu cách để tra cứu số tài khoản ngân hàng?</t>
  </si>
  <si>
    <t>Có 4 cách để tra cứu số tài khoản ngân hàng nhanh gọn và tiện lợi nhất bao gồm:</t>
  </si>
  <si>
    <t>tra tài khoản ngân hàng</t>
  </si>
  <si>
    <t>https://techcombank.com/thong-tin/blog/so-du-kha-dung</t>
  </si>
  <si>
    <t>3. Cách kiểm tra số dư tài khoản nhanh nhất</t>
  </si>
  <si>
    <t>Kiểm tra số dư tài khoản với thẻ ngân hàng liên kết với tài khoản</t>
  </si>
  <si>
    <t>… ngân hàng của công ty, bạn có thể tham khảo cách kiểm tra tài khoản ngân hàng bằng 2 hình thức:</t>
  </si>
  <si>
    <t>https://techcombank.com/thong-tin/blog/sms-banking</t>
  </si>
  <si>
    <t>1.1. SMS Banking là gì?</t>
  </si>
  <si>
    <t>SMS Banking là dịch vụ ngân hàng điện tử, cho phép khách hàng theo dõi thông tin tài khoản và nhận thông báo giao dịch/…</t>
  </si>
  <si>
    <t>Mở rộng chủ đề (theo plan): bài nhắc chi phí, thuế, doanh nghiệp.</t>
  </si>
  <si>
    <t>https://techcombank.com/thong-tin/blog/ma-giao-dich-la-gi</t>
  </si>
  <si>
    <t>1. Mã giao dịch là gì?</t>
  </si>
  <si>
    <t>Vậy nên, việc tìm hiểu cách tra cứu mã giao dịch là rất quan trọng để mọi người bảo vệ tài khoản ngân hàng của mình.</t>
  </si>
  <si>
    <t>Khách hàng nên mua số tài khoản ngân hàng đẹp bởi dễ nhớ khi giao dịch, tạo được dấu ấn cá nhân, mang lại may mắn...</t>
  </si>
  <si>
    <t>https://techcombank.com/thong-tin/blog/cdm</t>
  </si>
  <si>
    <t>CDM là một trong những công cụ hiện đại giúp khách hàng nộp tiền, rút tiền và kiểm tra số dư tài khoản mà không cần đến…</t>
  </si>
  <si>
    <t>https://techcombank.com/thong-tin/blog/lo-so-tai-khoan-ngan-hang-co-sao-khong</t>
  </si>
  <si>
    <t>Để thực hiện các giao dịch chuyển khoản, chủ tài khoản của ngân hàng thụ hưởng cần cung cấp số tài khoản cho người thực…</t>
  </si>
  <si>
    <t>https://techcombank.com/thong-tin/blog/8868</t>
  </si>
  <si>
    <t>1. 8868 nghĩa là gì?</t>
  </si>
  <si>
    <t>Chính vì vậy, dãy số 8868 thường được lựa chọn xuất hiện trong số điện thoại, biển số xe hay số tài khoản ngân hàng của…</t>
  </si>
  <si>
    <t>https://techcombank.com/thong-tin/blog/day-so-phat-tai-phat-loc</t>
  </si>
  <si>
    <t>5. Mở tài khoản số đẹp miễn phí, dãy số như ý tại Tech…</t>
  </si>
  <si>
    <t>Techcombank là một trong những ngân hàng tiên phong cung cấp dịch vụ Mở tài khoản số đẹp online .</t>
  </si>
  <si>
    <t>https://techcombank.com/thong-tin/blog/66666-co-y-nghia-gi</t>
  </si>
  <si>
    <t>2. Gợi ý số tài khoản có dãy số 66666</t>
  </si>
  <si>
    <t>Hiện nay, nhiều ngân hàng trong đó có Techcombank hỗ trợ khách hàng lựa chọn số tài khoản đẹp theo phong thủy.</t>
  </si>
  <si>
    <t>https://techcombank.com/thong-tin/blog/so-8386</t>
  </si>
  <si>
    <t>2. Gợi ý số tài khoản có dãy số 8386</t>
  </si>
  <si>
    <t>Hiện nay, nhiều ngân hàng lớn cung cấp dịch vụ chọn số tài khoản theo phong thủy, giúp khách hàng sở hữu dãy số 8386 để…</t>
  </si>
  <si>
    <t>Số thẻ ngân hàng là gì và có phải là số tài khoản không?</t>
  </si>
  <si>
    <t>https://techcombank.com/thong-tin/blog/so-tai-khoan-dep</t>
  </si>
  <si>
    <t>Việc chủ động “dịch” số tài khoản ngân hàng giúp bạn nắm rõ thông điệp phong thủy đằng sau dãy số mình đang sử dung.</t>
  </si>
  <si>
    <t>https://techcombank.com/thong-tin/blog/99999-co-y-nghia-gi</t>
  </si>
  <si>
    <t>3. Mở tài khoản số đẹp miễn phí, dãy số như ý tại Tech…</t>
  </si>
  <si>
    <t>https://techcombank.com/thong-tin/blog/so-6868</t>
  </si>
  <si>
    <t>Việc sở hữu những dãy số có chứa 6868 trong sim điện thoại, biển số xe hay số tài khoản ngân hàng được xem là cách thu…</t>
  </si>
  <si>
    <t>https://techcombank.com/thong-tin/blog/y-nghia-so-68</t>
  </si>
  <si>
    <t>4. Mở tài khoản số đẹp miễn phí, dãy số như ý tại Tech…</t>
  </si>
  <si>
    <t>https://techcombank.com/thong-tin/blog/cach-chuyen-tien</t>
  </si>
  <si>
    <t>CASA</t>
  </si>
  <si>
    <t>1. Cách chuyển tiền bằng mã QR</t>
  </si>
  <si>
    <t>Sau khi quét, hệ thống hiển thị thông tin người nhận gồm tên, số tài khoản và ngân hàng.</t>
  </si>
  <si>
    <t>https://techcombank.com/thong-tin/blog/vip-ngan-hang</t>
  </si>
  <si>
    <t>1.1 Techcombank Priority</t>
  </si>
  <si>
    <t>Tài khoản số đẹp với hạn mức chuyển khoản liên ngân hàng điện tử tối đa 20 tỷ VND/ngày.</t>
  </si>
  <si>
    <t>cách nạp tiền điện thoại viettel – 13 link
cách nạp tiền viettel – 8 link
nạp thẻ viettel – 7 link
cách nạp thẻ viettel – 2 link</t>
  </si>
  <si>
    <t>1. Nạp tiền vào tài khoản ngân hàng tại nhà qua Mobile…</t>
  </si>
  <si>
    <t>Không cần đến trực tiếp phòng giao dịch/chi nhánh ngân hàng, bạn có thể mở tài khoản ngân hàng online và nạp tiền vào t…</t>
  </si>
  <si>
    <t>Bài nạp thẻ cho các nhà mạng — mục Viettel nên dẫn sang bài chi tiết.</t>
  </si>
  <si>
    <t>https://techcombank.com/thong-tin/blog/1-cmnd-dang-ky-duoc-may-tai-khoan-ngan-hang</t>
  </si>
  <si>
    <t>Việc mở thêm các tài khoản cùng 1 số CCCD đăng ký còn phụ thuộc vào quy định và chính sách của từng ngân hàng khác nhau.</t>
  </si>
  <si>
    <t>2.1. Nên làm gì nếu quên mật khẩu đăng nhập Mobile Ban…</t>
  </si>
  <si>
    <t>Theo quy định của đa số ngân hàng, nếu khách hàng nhập sai mật khẩu quá 3 - 5 lần khi đăng nhập vào Mobile Banking hoặc…</t>
  </si>
  <si>
    <t>Nạp tiền điện thoại online — chèn ở đoạn ví dụ nhà mạng Viettel.</t>
  </si>
  <si>
    <t>1. Mở tài khoản ngân hàng online có an toàn không?</t>
  </si>
  <si>
    <t>Mở tài khoản ngân hàng online thông qua ngân hàng số hoàn toàn an toàn vì có các công nghệ bảo mật tiên tiến.</t>
  </si>
  <si>
    <t>1. Mở tài khoản ngân hàng có miễn phí thật không?</t>
  </si>
  <si>
    <t>Hiện nay, đa số ngân hàng đều miễn phí mở tài khoản.</t>
  </si>
  <si>
    <t>Cùng nhà mạng Viettel (trả sau) — dẫn sang nạp thẻ trả trước.</t>
  </si>
  <si>
    <t>https://techcombank.com/thong-tin/blog/cach-chon-so-tai-khoan-dep</t>
  </si>
  <si>
    <t>Số tài khoản ngân hàng là gì, cách tra cứu và sử dụng</t>
  </si>
  <si>
    <t>1.3. Cách kiểm tra số dư tài khoản nhanh nhất</t>
  </si>
  <si>
    <t>1. Số dư tiền gửi là gì?</t>
  </si>
  <si>
    <t>Bạn có thể dễ dàng kiểm tra số dư tài khoản tiền gửi thông qua ứng dụng ngân hàng số.</t>
  </si>
  <si>
    <t>Bài anh em nhà mạng khác; chèn câu ngắn so sánh/xem thêm Viettel.</t>
  </si>
  <si>
    <t>Khách hàng có thể tự kiểm tra thông tin tài khoản ngân hàng 24/7, mọi lúc mọi nơi chỉ với điện thoại thông minh có kết…</t>
  </si>
  <si>
    <t>Bài anh em nhà mạng MobiFone; chèn câu ngắn xem thêm Viettel.</t>
  </si>
  <si>
    <t>2.1. Cách 1: Làm việc với ngân hàng</t>
  </si>
  <si>
    <t>Ngân hàng mở tài khoản gửi yêu cầu tra soát hỗ trợ thu hồi tiền tới ngân hàng thụ hưởng &gt; Ngân hàng thụ hưởng tra soát…</t>
  </si>
  <si>
    <t>2. 3 lưu ý để sử dụng mã QR ngân hàng an toàn</t>
  </si>
  <si>
    <t>Vì mã QR ngân hàng chứa thông tin tài khoản thụ hưởng (tên chủ tài khoản, số tài khoản, tên ngân hàng) nên khách hàng c…</t>
  </si>
  <si>
    <t>Nhắc: nhà mạng.</t>
  </si>
  <si>
    <t>https://techcombank.com/thong-tin/blog/cach-mo-tai-khoan</t>
  </si>
  <si>
    <t>mở tài khoản ngân hàng online</t>
  </si>
  <si>
    <t>Tuy nhiên, nhiều khách hàng vẫn thắc mắc mở tài khoản ngân hàng online có an toàn không ?</t>
  </si>
  <si>
    <t>cách tạo tài khoản ngân hàng</t>
  </si>
  <si>
    <t>Tuy nhiên theo yêu cầu của một số ngân hàng, bạn có thể sẽ mất thêm 1 khoản phí nhỏ từ 50,000 VND - 100,000 VND để nạp…</t>
  </si>
  <si>
    <t>2.1. Tài khoản thanh toán</t>
  </si>
  <si>
    <t>Tài khoản thanh toán có thể mở online hoàn toàn miễn phí qua ngân hàng số/Mobile Banking.</t>
  </si>
  <si>
    <t>Nhắc: viettel.</t>
  </si>
  <si>
    <t>https://techcombank.com/thong-tin/blog/nho-nguoi-than-mo-tai-khoan-ngan-hang</t>
  </si>
  <si>
    <t>1. Mở tài khoản online thay vì nhờ người thân mở tài k…</t>
  </si>
  <si>
    <t>…hời gian đến ngân hàng mở tài khoản thì có thể đăng ký mở tài khoản ngân hàng online .</t>
  </si>
  <si>
    <t>https://techcombank.com/thong-tin/blog/bao-nhieu-tuoi-duoc-mo-tai-khoan-ngan-hang</t>
  </si>
  <si>
    <t>1. Độ tuổi được phép tự mở tài khoản ngân hàng</t>
  </si>
  <si>
    <t>&gt;&gt;&gt; Mở tài khoản ngân hàng online ngay hôm nay để giao dịch miễn phí, thuận tiện quản lý chi tiêu.</t>
  </si>
  <si>
    <t>Mở rộng chủ đề (theo plan): bài nhắc điện thoại, tài khoản, chuyển khoản.</t>
  </si>
  <si>
    <t>https://techcombank.com/thong-tin/blog/xac-thuc-sinh-trac-hoc-khi-chuyen-tien</t>
  </si>
  <si>
    <t>1. Xác thực sinh trắc học khi chuyển tiền ngân hàng là…</t>
  </si>
  <si>
    <t>Ngoài các tình huống giao dịch trên, hiện nay, khi mở tài khoản ngân hàng online qua ứng dụng ngân hàng, khách hàng bắt…</t>
  </si>
  <si>
    <t>1. 1 CCCD mở được mấy tài khoản ngân hàng? Cập nhật 20…</t>
  </si>
  <si>
    <t>Hiện nay nhiều ngân hàng đã cho phép đăng ký mở tài khoản online , ví dụ như ngân hàng Techcombank, BIDV, MBBank, Vietc…</t>
  </si>
  <si>
    <t>…c tiếp phòng giao dịch/chi nhánh ngân hàng, bạn có thể mở tài khoản ngân hàng online và nạp tiền vào tài khoản ngân hà…</t>
  </si>
  <si>
    <t>https://techcombank.com/thong-tin/blog/mo-tai-khoan-ngan-hang-duoi-18-tuoi</t>
  </si>
  <si>
    <t>5.3 Đăng ký tài khoản ngân hàng online cho người dưới…</t>
  </si>
  <si>
    <t>Nhiều bạn trẻ thắc mắc 15 tuổi mở tài khoản ngân hàng online nào được?</t>
  </si>
  <si>
    <t>2. Quy trình khai báo tài khoản ngân hàng với eTax Mob…</t>
  </si>
  <si>
    <t>Khai báo tài khoản ngân hàng với cơ quan thuế theo thời hạn quy định không chỉ là nghĩa vụ pháp lý bắt buộc, mà còn là…</t>
  </si>
  <si>
    <t>Để xác định số dư, kiểm tra giao dịch hoặc quản lý tài chính từ tài khoản ngân hàng của công ty, bạn có thể tham khảo c…</t>
  </si>
  <si>
    <t>https://techcombank.com/thong-tin/blog/cach-lien-ket-epass-voi-tai-khoan-ngan-hang</t>
  </si>
  <si>
    <t>Cùng tìm hiểu nhanh cách liên kết ePass với tài khoản ngân hàng/ thẻ ngân hàng trong bài viết dưới đây!</t>
  </si>
  <si>
    <t>4. Mở Tài khoản Hộ kinh doanh Techcombank - Thuận tiện…</t>
  </si>
  <si>
    <t>Khai báo tài khoản ngân hàng với cơ quan thuế trước thời hạn quy định không chỉ là nghĩa vụ pháp lý bắt buộc, mà còn là…</t>
  </si>
  <si>
    <t>1.1 Techcombank Sinh Lời Tự Động là gì?</t>
  </si>
  <si>
    <t>Nhờ sở hữu nền tảng công nghệ tiên tiến, cơ chế đảm bảo tính thanh khoản, Techcombank Sinh Lời Tự Động đã tạo nên cuộc…</t>
  </si>
  <si>
    <t>Bạn đang tìm cách đổi mật khẩu tài khoản ngân hàng nhanh, không cần đến phòng giao dịch?</t>
  </si>
  <si>
    <t>https://techcombank.com/thong-tin/blog/cach-lien-ket-tai-khoan-ngan-hang-voi-vneid</t>
  </si>
  <si>
    <t>Bên cạnh đó, một số ngân hàng cũng đã hỗ trợ mở tài khoản trực tuyến bằng cách kết nối với VNeID, giúp rút ngắn quy trì…</t>
  </si>
  <si>
    <t>Mở rộng chủ đề (theo plan): bài nhắc điện thoại, tài khoản, ngân hàng.</t>
  </si>
  <si>
    <t>2. Lời khuyên sử dụng số tài khoản ngân hàng an toàn</t>
  </si>
  <si>
    <t>Dưới đây là một số lời khuyên hữu ích giúp bạn sử dụng tài khoản ngân hàng một cách an toàn và hiệu quả:</t>
  </si>
  <si>
    <t>Liên kết tài khoản ngân hàng Techcombank với eTax Mobile để nhận tiền hoàn thuế thuận tiện.</t>
  </si>
  <si>
    <t>Cùng tìm hiểu cách đóng tiền điện, nước qua tài khoản ngân hàng online và ví điện tử ngay trong bài viết dưới đây!</t>
  </si>
  <si>
    <t>Ở bài viết này, Techcombank sẽ hướng dẫn chi tiết các bước cách đổi số điện thoại liên kết tài khoản ngân hàng cực đơn…</t>
  </si>
  <si>
    <t>Hiện nay, Techcombank đang triển khai nhiều chương trình ưu đãi hấp dẫn khi mở tài khoản doanh nghiệp như tặng tài khoả…</t>
  </si>
  <si>
    <t>4.2. Sau khi đóng tài khoản có thể mở lại không?</t>
  </si>
  <si>
    <t>Mở rộng chủ đề (theo plan): bài nhắc ngân hàng số, ứng dụng ngân hàng, mobile banking. Liên quan rộng – đọc bài trước khi chèn.</t>
  </si>
  <si>
    <t>Theo quy định tại Điều 18 Thông tư 23/2014/TT-NHNN (đã được sửa đổi, bổ sung), sau khi đã khóa tài khoản ngân hàng, khá…</t>
  </si>
  <si>
    <t>https://techcombank.com/thong-tin/blog/mo-tai-khoan-ho-kinh-doanh</t>
  </si>
  <si>
    <t>5. Hướng dẫn kích hoạt Sinh Lời Tự Động</t>
  </si>
  <si>
    <t>Đồng thời, khách hàng đăng ký mở tài khoản hộ kinh doanh online còn có thể tận dụng tối đa các tính năng ưu việt của ng…</t>
  </si>
  <si>
    <t>2. Lưu ý trước khi mua tài khoản số đẹp</t>
  </si>
  <si>
    <t>Mở rộng chủ đề (theo plan): bài nhắc tài khoản, ngân hàng số, nạp tiền. Liên quan rộng – đọc bài trước khi chèn.</t>
  </si>
  <si>
    <t>Thủ tục mở tài khoản số đẹp cũng khá đơn giản theo hình thức online hoặc trực tiếp tại ngân hàng.</t>
  </si>
  <si>
    <t>https://techcombank.com/thong-tin/blog/nen-mo-tai-khoan-ngan-hang-nao-cho-doanh-nghiep</t>
  </si>
  <si>
    <t>1.4. Giao dịch nhanh chóng, tiện lợi</t>
  </si>
  <si>
    <t>Các doanh nghiệp nên chọn những ngân hàng có thủ tục mở tài khoản nhanh chóng và có hình thức mở tài khoản online 24/7,…</t>
  </si>
  <si>
    <t>2.2. Hạn chế</t>
  </si>
  <si>
    <t>miễn phí mở tài khoản số đẹp, phí duy trì ngân hàng số, phát hành và phí thường niên thẻ ghi nợ, chuyển tiền online năm…</t>
  </si>
  <si>
    <t>https://techcombank.com/thong-tin/blog/tai-khoan-ngan-hang-chua-toi-da-bao-nhieu-tien</t>
  </si>
  <si>
    <t>1.2. Tài khoản tiết kiệm</t>
  </si>
  <si>
    <t>Để mở tài khoản tiết kiệm, bạn có thể mở online qua ngân hàng số hoặc mở trực tiếp tại phòng giao dịch/chi nhánh gần nh…</t>
  </si>
  <si>
    <t>https://techcombank.com/thong-tin/blog/88-la-gi</t>
  </si>
  <si>
    <t>2. Nên mở nhiều tài khoản ngân hàng khi nào?</t>
  </si>
  <si>
    <t>Hiện tại, không phải toàn bộ các ngân hàng đều có chính sách mở thêm tài khoản thanh toán online tại cùng 1 ngân hàng.</t>
  </si>
  <si>
    <t>1. Giới thiệu biểu mẫu mở tài khoản doanh nghiệp Techc…</t>
  </si>
  <si>
    <t>Khách hàng tải mẫu mở tài khoản doanh nghiệp Techcombank tại website của ngân hàng.</t>
  </si>
  <si>
    <t>Mở rộng chủ đề (theo plan): bài nhắc trả sau, rút tiền.</t>
  </si>
  <si>
    <t>https://techcombank.com/thong-tin/blog/ngan-hang-uy-tin</t>
  </si>
  <si>
    <t>chọn ngân hàng uy tín</t>
  </si>
  <si>
    <t>https://techcombank.com/thong-tin/blog/gui-tien-ngan-hang-co-an-toan-khong</t>
  </si>
  <si>
    <t>3. Lời khuyên để gửi tiết kiệm tại ngân hàng an toàn,…</t>
  </si>
  <si>
    <t>Lựa chọn ngân hàng uy tín để gửi tiền:</t>
  </si>
  <si>
    <t>chuyển tiền, thanh toán, gửi tiết kiệm, đầu tư, vay trực tuyến… Dưới đây là TOP 10 app/ứng dụng ngân hàng được người dù…</t>
  </si>
  <si>
    <t>https://techcombank.com/thong-tin/blog/rui-ro-khi-gui-tiet-kiem-ngan-hang</t>
  </si>
  <si>
    <t>3. Lưu ý khi gửi tiết kiệm ngân hàng để an toàn nhất</t>
  </si>
  <si>
    <t>Lựa chọn ngân hàng uy tín để được hưởng các dịch vụ chuyên nghiệp, đảm bảo an to…</t>
  </si>
  <si>
    <t>5. Quy trình cho vay tín chấp doanh nghiệp</t>
  </si>
  <si>
    <t>Bước 1 - Lựa chọn ngân hàng uy tín:</t>
  </si>
  <si>
    <t>ngân hàng uy tín</t>
  </si>
  <si>
    <t>1.1. Độ uy tín của ngân hàng</t>
  </si>
  <si>
    <t>…chuyên nghiệp đánh giá và xếp hạng các doanh nghiệp và ngân hàng uy tín tại Việt Nam.</t>
  </si>
  <si>
    <t>https://techcombank.com/thong-tin/blog/kinh-nghiem-gui-tiet-kiem-online</t>
  </si>
  <si>
    <t>5. Lựa chọn ngân hàng uy tín để gửi tiền tiết kiệm onl…</t>
  </si>
  <si>
    <t>Những ngân hàng uy tín luôn đảm bảo về vấn đề bảo mật thông tin, minh bạch và…</t>
  </si>
  <si>
    <t>3. Lưu ý trước khi gửi tiết kiệm tại ngân hàng</t>
  </si>
  <si>
    <t>Chọn ngân hàng uy tín, kinh nghiệm trên 10 năm:</t>
  </si>
  <si>
    <t>https://techcombank.com/thong-tin/blog/gia-tri-thuong-hieu</t>
  </si>
  <si>
    <t>Giá trị thương hiệu ” không chỉ phản ánh quy mô tài sản hay lợi nhuận, mà còn thể hiện năng lực quản trị, uy tín và niề…</t>
  </si>
  <si>
    <t>3. Kinh nghiệm vay thế chấp ngân hàng để có mức lãi su…</t>
  </si>
  <si>
    <t>Lựa chọn ngân hàng uy tín, có ưu đãi về lãi suất:</t>
  </si>
  <si>
    <t>Chúng tôi sẽ giới thiệu đến bạn TOP 7 ngân hàng uy tín 2026 đang cung cấp đa dạng gói vay không cần tài sản đ…</t>
  </si>
  <si>
    <t>https://techcombank.com/thong-tin/blog/nen-vay-the-chap-ngan-hang-nao</t>
  </si>
  <si>
    <t>1.4. Điều kiện, thủ tục vay đơn giản, nhanh chóng và t…</t>
  </si>
  <si>
    <t>… tranh mạnh mẽ trên thị trường tài chính hiện nay, một ngân hàng uy tín và chuyên nghiệp sẽ đưa ra những điều kiện vay…</t>
  </si>
  <si>
    <t>https://techcombank.com/thong-tin/blog/vay-mua-xe-tra-gop-ngan-hang-nao-tot-nhat</t>
  </si>
  <si>
    <t>1.1 Lãi suất ưu đãi</t>
  </si>
  <si>
    <t>Bên cạnh cung cấp chính sách vay ưu đãi, các ngân hàng uy tín thường cung cấp mức lãi suất chính xác tại thời điểm k…</t>
  </si>
  <si>
    <t>https://techcombank.com/thong-tin/blog/uu-dai-mo-the-tin-dung</t>
  </si>
  <si>
    <t>1. Ngân hàng Techcombank</t>
  </si>
  <si>
    <t>Hiện Techcombank đã vươn mình trở thành một trong những ngân hàng uy tín tại Việt Nam với các điểm nhấn:</t>
  </si>
  <si>
    <t>giá điện sinh hoạt – 30 link
giá điện sinh hoạt mới nhất – 6 link
(+14 link nên bỏ: bài không có đoạn liên quan)</t>
  </si>
  <si>
    <t>5. Hỗ trợ khách hàng</t>
  </si>
  <si>
    <t>Các app ngân hàng uy tín sẽ cung cấp nhiều kênh hỗ trợ khác nhau như:</t>
  </si>
  <si>
    <t>https://techcombank.com/thong-tin/blog/hoc-sinh-sinh-vien-nen-lam-the-ngan-hang-nao</t>
  </si>
  <si>
    <t>… tài khoản ngân hàng nào, đồng thời đưa ra gợi ý top 7 ngân hàng uy tín, tốt nhất mà học sinh, sinh viên nên đăng ký m…</t>
  </si>
  <si>
    <t>https://techcombank.com/thong-tin/blog/gui-tiet-kiem-ngoai-te</t>
  </si>
  <si>
    <t>7. Nên gửi tiết kiệm ngoại tệ ở ngân hàng nào?</t>
  </si>
  <si>
    <t>Đồng thời, bạn cũng nên chọn gửi ngoại tệ vào ngân hàng uy tín, có độ bảo mật cao để an tâm hơn khi sử dụng.</t>
  </si>
  <si>
    <t>https://techcombank.com/thong-tin/blog/viet-kieu-co-mo-duoc-tai-khoan-ngan-hang-khong</t>
  </si>
  <si>
    <t>3. 7 tiêu chí cần quan tâm khi Việt Kiều chọn ngân hàn…</t>
  </si>
  <si>
    <t>…t Kiều cũng cần lưu ý khi mở tài khoản và lựa chọn các ngân hàng uy tín, đáp ứng đủ các tiêu chí nêu trong bài viết để…</t>
  </si>
  <si>
    <t>https://techcombank.com/thong-tin/blog/ty-gia-cac-ngan-hang</t>
  </si>
  <si>
    <t>3.3. Tính ổn định và tốc độ cập nhật tỷ giá</t>
  </si>
  <si>
    <t>Một ngân hàng uy tín sẽ cập nhật tỷ giá thường xuyên theo thị trường.</t>
  </si>
  <si>
    <t>https://techcombank.com/thong-tin/blog/lam-the-visa-o-dau</t>
  </si>
  <si>
    <t>2. 5 ngân hàng mở thẻ Visa có dịch vụ tốt, uy tín</t>
  </si>
  <si>
    <t>Thanh toán tiền điện bằng thẻ tín dụng; chèn ở đoạn về số tiền hóa đơn.</t>
  </si>
  <si>
    <t>Nhìn chung, khi sử dụng dịch vụ mở thẻ tại các ngân hàng, khách hàng nên tìm hiểu kỹ các tiêu chí so sánh và uy tín ngâ…</t>
  </si>
  <si>
    <t>https://techcombank.com/thong-tin/blog/lai-suat-tiet-kiem</t>
  </si>
  <si>
    <t>Nếu bạn đang quan tâm đến mức lãi suất tiết kiệm mới nhất nhằm mục tiêu gửi tiền tiết kiệm, hãy tham khảo bài viết tổng…</t>
  </si>
  <si>
    <t>https://techcombank.com/thong-tin/blog/cach-tinh-lai-suat-tien-gui-tiet-kiem</t>
  </si>
  <si>
    <t>2. Cách tính lãi suất ngân hàng tiền tiết kiệm chính x…</t>
  </si>
  <si>
    <t>Để hiểu rõ hơn cách tính lãi suất ngân hàng trong thực tế, khách hàng chọn gửi tiết kiệm tại Techcombank với số tiền 10…</t>
  </si>
  <si>
    <t>https://techcombank.com/thong-tin/blog/mat-the-tin-dung-co-lam-lai-duoc-khong</t>
  </si>
  <si>
    <t>2.1. Cách làm lại thẻ ngân hàng khi bị mất thông qua p…</t>
  </si>
  <si>
    <t>Khi mất thẻ tín dụng, khách hàng có thể liên hệ trực tiếp qua hotline tư vấn của ngân hàng và chọn số khẩn cấp để yêu c…</t>
  </si>
  <si>
    <t>https://techcombank.com/thong-tin/blog/lai-suat-chung-chi-tien-gui-cac-ngan-hang</t>
  </si>
  <si>
    <t>Bài viết dưới đây sẽ tổng hợp lãi suất chứng chỉ tiền gửi các ngân hàng mới nhất để bạn để có thể lựa chọn được đơn vị…</t>
  </si>
  <si>
    <t>https://techcombank.com/thong-tin/blog/ty-gia-la-gi</t>
  </si>
  <si>
    <t>5. Tỷ giá giữa các ngân hàng khác nhau</t>
  </si>
  <si>
    <t>Tỷ giá có thể chênh lệch từ vài điểm đến vài trăm điểm giữa các ngân hàng, việc theo dõi và so sánh tỷ giá sẽ giúp bạn…</t>
  </si>
  <si>
    <t>3. Yếu tố ảnh hưởng khả năng ngân hàng xét duyệt vay v…</t>
  </si>
  <si>
    <t>Đối với mọi ngân hàng, một doanh nghiệp, hộ kinh doanh uy tín sẽ có hệ thống thông tin tài chính kế toán rõ ràng, minh…</t>
  </si>
  <si>
    <t>https://techcombank.com/thong-tin/blog/vay-sinh-vien</t>
  </si>
  <si>
    <t>6. Vay ở đâu nếu không đủ điều kiện vay vốn sinh viên…</t>
  </si>
  <si>
    <t>Phụ huynh, sinh viên, nghiên cứu sinh, học viên thạc sĩ có thể tham khảo giải pháp vay tín chấp tại các ngân hàng nếu k…</t>
  </si>
  <si>
    <t>https://techcombank.com/thong-tin/blog/lai-suat-vay-tieu-dung</t>
  </si>
  <si>
    <t>4. Những ưu đãi/hỗ trợ của Techcombank khi vay tiêu dù…</t>
  </si>
  <si>
    <t>Cụ thể lãi suất vay tiêu dùng tín chấp từ 12.9%/năm và lãi suất vay tiêu dùng thế chấp chỉ từ 7.5%/năm (lãi suất được c…</t>
  </si>
  <si>
    <t>https://techcombank.com/thong-tin/blog/the-tin-dung-mien-lai-55-ngay</t>
  </si>
  <si>
    <t>2. Nguyên tắc thanh toán thẻ tín dụng miễn lãi 55 ngày</t>
  </si>
  <si>
    <t>Là thời gian ngân hàng gia hạn thêm để chủ thẻ có thể sắp xếp tài chính nhằm thanh toán số tiền đã chi tiêu từ thẻ tín…</t>
  </si>
  <si>
    <t>https://techcombank.com/thong-tin/blog/lai-suat-vay-ngan-hang</t>
  </si>
  <si>
    <t>1. Bảng so sánh lãi suất vay thế chấp, tín chấp tại cá…</t>
  </si>
  <si>
    <t>Dưới đây là bảng so sánh lãi vay ngân hàng hiện nay với 2 hình thức vay thế chấp và tín chấp tại một số ngân hàng.</t>
  </si>
  <si>
    <t>https://techcombank.com/thong-tin/blog/chuyen-khoan-thanh-cong-nhung-khong-nhan-duoc-tien</t>
  </si>
  <si>
    <t>chuyển tiền thành công nhưng chưa nhận được</t>
  </si>
  <si>
    <t>3. Vai trò của mã giao dịch chuyển tiền</t>
  </si>
  <si>
    <t>Mã giao dịch là bằng chứng cho việc giao dịch đã được thực hiện thành công và có thể giúp người dùng hoặc ngân hàng xác…</t>
  </si>
  <si>
    <t>tiền chuyển khoản bị treo</t>
  </si>
  <si>
    <t>Chuyển tiền bằng mã QR là cách chuyển khoản ngân hàng phổ biến nhất hiện nay.</t>
  </si>
  <si>
    <t>https://techcombank.com/thong-tin/blog/chuyen-nham-tien-co-lay-lai-duoc-khong</t>
  </si>
  <si>
    <t>Vậy, chuyển nhầm tiền có lấy lại được không ?, và nếu có thì chuyển khoản nhầm làm sao để lấy lại nhanh nhất.</t>
  </si>
  <si>
    <t>chuyển khoản thành công nhưng không nhận được tiền</t>
  </si>
  <si>
    <t>https://techcombank.com/thong-tin/blog/ngan-hang-thu-huong-la-gi</t>
  </si>
  <si>
    <t>3. 4 lỗi có thể gặp với ngân hàng thụ hưởng khi chuyển…</t>
  </si>
  <si>
    <t>Chuyển khoản thành công nhưng không nhận được tiền</t>
  </si>
  <si>
    <t>1. Xu hướng tài chính 2026: Hộ kinh doanh kỳ vọng gì ở…</t>
  </si>
  <si>
    <t>Tài khoản ngân hàng không còn chỉ là một chiếc "ví điện tử" để nhận và chuyển tiền, mà được kỳ vọng trở thành một công…</t>
  </si>
  <si>
    <t>6. Mã QR ngân hàng bị sai thông tin</t>
  </si>
  <si>
    <t>Trong trường hợp nhập sai thông tin tài khoản, mã QR vẫn sẽ được khởi tạo thành công nhưng thiết bị quét sẽ không nhận…</t>
  </si>
  <si>
    <t>1.4. Nộp tiền</t>
  </si>
  <si>
    <t>Doanh nghiệp thường sử dụng tài khoản công ty để nhận chuyển tiền và rút tiền.</t>
  </si>
  <si>
    <t>https://techcombank.com/thong-tin/blog/loa-ting-ting</t>
  </si>
  <si>
    <t>4.1. Sử dụng loa bán hàng Techcombank như thế nào?</t>
  </si>
  <si>
    <t>Sau khi thiết bị loa bán hàng được cài đặt thành công, mỗi khi có người mua hàng thực hiện chuyển tiền hành công qua mã…</t>
  </si>
  <si>
    <t>1. Nạp tiền vào thẻ ghi nợ thông qua Mobile Banking</t>
  </si>
  <si>
    <t>Đây cũng là một trong những hình thức chuyển tiền phổ biến nhất hiện nay, và các chủ cửa hàng thường trang bị loa thông…</t>
  </si>
  <si>
    <t>https://techcombank.com/thong-tin/blog/cach-chuyen-tien-qua-ma-qr-techcombank</t>
  </si>
  <si>
    <t>4. Bước 4: Xác thực giao dịch và kiểm tra trạng thái g…</t>
  </si>
  <si>
    <t>Chuyển thành công Tới TEN NGUOI THU HUONG VND số tiền, Tài khoản nhận, Lời nhắn, Ngày thực hiện, và Mã giao dịch .</t>
  </si>
  <si>
    <t>7. Một số lỗi có thể gặp khi chuyển khoản và cách xử lý</t>
  </si>
  <si>
    <t>Người bán nhận ảnh “chuyển tiền thành công” nhưng số dư không tăng.</t>
  </si>
  <si>
    <t>https://techcombank.com/thong-tin/blog/loa-thong-bao-chuyen-khoan</t>
  </si>
  <si>
    <t>2.5. Hỗ trợ hoạt động quản lý bán hàng và kiểm soát do…</t>
  </si>
  <si>
    <t>Nhiều thiết bị loa thông báo chuyển khoản tích hợp với phần mềm quản lý bán hàng, giúp chủ cửa hàng tăng cường khả năng…</t>
  </si>
  <si>
    <t>1. Remittance là gì?</t>
  </si>
  <si>
    <t>Remittance (còn gọi là chuyển tiền quốc tế hoặc kiều hối) là hình thức thanh toán trong đó một cá nhân hoặc tổ chức yêu…</t>
  </si>
  <si>
    <t>1.1. Các tính năng chính của CDM</t>
  </si>
  <si>
    <t>Số tiền nộp vào tài khoản được cập nhật ngay trong vòng 1 phút, hỗ trợ các giao dịch chuyển khoản và thanh toán nhanh c…</t>
  </si>
  <si>
    <t>2.1.1. Cách tạo mã QR Techcombank</t>
  </si>
  <si>
    <t>Chuyển đổi sang Cửa hàng của tôi nếu giao dịch liên quan đến khoản tiền kinh doanh</t>
  </si>
  <si>
    <t>Vậy bị lừa chuyển tiền qua tài khoản có lấy lại được không?</t>
  </si>
  <si>
    <t>1. Giới thiệu dịch vụ gửi tiền du học Techcombank</t>
  </si>
  <si>
    <t>Học phí đến hạn, sinh hoạt phí cần bổ sung hay các khoản chi tiêu phát sinh khi con đi du học có thể làm khó nhiều phụ…</t>
  </si>
  <si>
    <t>https://techcombank.com/thong-tin/blog/iban-la-gi</t>
  </si>
  <si>
    <t>IBAN giúp định danh tài khoản ngân hàng một cách chính xác, giảm thiểu sai sót và rủi ro trong quá trình chuyển tiền xu…</t>
  </si>
  <si>
    <t>https://techcombank.com/thong-tin/blog/tai-khoan-ngan-hang-bi-khoa</t>
  </si>
  <si>
    <t>4. Câu hỏi thường gặp</t>
  </si>
  <si>
    <t>Tài khoản ngân hàng bị khóa có chuyển tiền vào được không?</t>
  </si>
  <si>
    <t>1. Cách sử dụng thẻ Visa Debit Techcombank</t>
  </si>
  <si>
    <t>Chỉ với vài phút thao tác, khách hàng có thể mở đồng thời thẻ Visa Debit của Techcombank (cả phiên bản vật lý và phi vậ…</t>
  </si>
  <si>
    <t>https://techcombank.com/thong-tin/blog/tai-khoan-ngan-hang-con-0-dong-co-sao-khong</t>
  </si>
  <si>
    <t>1.1. Với tài khoản 0 đồng nhưng vẫn hoạt động hàng thá…</t>
  </si>
  <si>
    <t>Nếu tài khoản có số dư trung bình tháng là 0 đồng nhưng bạn vẫn duy trì các hoạt động giao dịch như thanh toán, chuyển/…</t>
  </si>
  <si>
    <t>1. Ví điện tử là gì?</t>
  </si>
  <si>
    <t>“ Dịch vụ ví điện tử là dịch vụ cung cấp cho khách hàng một tài Khoản điện tử định danh do các tổ chức cung ứng dịch vụ…</t>
  </si>
  <si>
    <t>https://techcombank.com/thong-tin/blog/token-la-gi</t>
  </si>
  <si>
    <t>1. Token là gì?</t>
  </si>
  <si>
    <t>Mục đích chính của Token là đảm bảo rằng chỉ có chủ sở hữu hợp pháp của tài khoản mới có thể chuyển tiền, thanh toán ho…</t>
  </si>
  <si>
    <t>Với phương pháp xác thực sinh trắc học, thao tác thực hiện một số tình huống giao dịch như chuyển tiền nước ngoài, đăng…</t>
  </si>
  <si>
    <t>https://techcombank.com/thong-tin/blog/casa-la-gi</t>
  </si>
  <si>
    <t>3. Ý nghĩa của CASA với khách hàng</t>
  </si>
  <si>
    <t>Nhận lương, chuyển khoản, rút tiền, thanh toán QR, quẹt thẻ… mọi lúc, không bị ràng buộc thời gian</t>
  </si>
  <si>
    <t>https://techcombank.com/thong-tin/blog/the-ghi-no-co-chuyen-khoan-duoc-khong</t>
  </si>
  <si>
    <t>3. 2 lưu ý khi chuyển tiền bằng thẻ ghi nợ</t>
  </si>
  <si>
    <t>Bên cạnh đó, để đảm bảo tính chính xác khi nhận tiền, nhiều đơn vị kinh doanh hiện nay còn trang bị thêm loa thông báo…</t>
  </si>
  <si>
    <t>https://techcombank.com/thong-tin/blog/chuyen-tien-dinh-cu</t>
  </si>
  <si>
    <t>Trong nhiều lựa chọn chuyển tiền hiện nay, Techcombank mang đến giải pháp thuận tiện và minh bạch cho khách hàng có nhu…</t>
  </si>
  <si>
    <t>https://techcombank.com/thong-tin/blog/dinh-cu-chau-au</t>
  </si>
  <si>
    <t>Bên cạnh việc tìm hiểu điều kiện cư trú và hoàn thiện hồ sơ, mỗi gia đình cần chủ động tính toán ngân sách cho các khoả…</t>
  </si>
  <si>
    <t>https://techcombank.com/thong-tin/blog/cam-nang-dinh-cu-my</t>
  </si>
  <si>
    <t>3. Xây dựng kế hoạch quản lý gia sản dài hạn</t>
  </si>
  <si>
    <t>Mở rộng chủ đề (theo plan): bài nhắc ngân hàng số, ứng dụng ngân hàng, ngân hàng. Liên quan rộng – đọc bài trước khi chèn.</t>
  </si>
  <si>
    <t>Việc xác định các khoản chi phí cần chuẩn bị, nắm rõ quy định liên quan đến việc mang và chuyển tiền quốc tế, đồng thời…</t>
  </si>
  <si>
    <t>độ tuổi mở tài khoản ngân hàng</t>
  </si>
  <si>
    <t>https://techcombank.com/thong-tin/blog/mo-tai-khoan-ngan-hang-cho-tre-em</t>
  </si>
  <si>
    <t>2.1 Điều kiện và thủ tục mở tài khoản cho con</t>
  </si>
  <si>
    <t>Techcombank không giới hạn độ tuổi mở tài khoản ngân hàng.</t>
  </si>
  <si>
    <t>bao nhiêu tuổi được mở tài khoản ngân hàng</t>
  </si>
  <si>
    <t>Bài viết này sẽ giúp bạn giải đáp thắc mắc nên làm tài khoản ngân hàng nào, đồng thời đưa ra gợi ý top 7 ngân hàng uy t…</t>
  </si>
  <si>
    <t>https://techcombank.com/thong-tin/blog/cach-lam-the-atm</t>
  </si>
  <si>
    <t>1. Mở thẻ ngân hàng - thẻ ATM online thông qua Mobile…</t>
  </si>
  <si>
    <t>Để đăng ký mở thẻ thanh toán quốc tế qua Mobile Banking, khách hàng cần phải có tài khoản thanh toán tại ngân hàng muốn…</t>
  </si>
  <si>
    <t>https://techcombank.com/thong-tin/blog/1-nguoi-co-the-lam-duoc-bao-nhieu-the-atm</t>
  </si>
  <si>
    <t>1. Một người có thể làm bao nhiêu thẻ ATM tại 1 ngân h…</t>
  </si>
  <si>
    <t>Tại nhiều ngân hàng hiện nay, mỗi khách hàng với 1 CCCD/CMND có thể mở từ 2 - 4 thẻ ATM (thẻ ghi nợ/thẻ thanh toán) trê…</t>
  </si>
  <si>
    <t>https://techcombank.com/thong-tin/blog/lam-the-atm-bao-lau-co</t>
  </si>
  <si>
    <t>2. Làm thẻ ngân hàng (thẻ ATM) có tốn tiền không?</t>
  </si>
  <si>
    <t>Chỉ một số ngân hàng yêu cầu nộp khoản tiền ban đầu để duy trì số dư tối thiểu trong tài khoản, mức phí này thường dao…</t>
  </si>
  <si>
    <t>https://techcombank.com/thong-tin/blog/quan-ly-chuoi-cua-hang</t>
  </si>
  <si>
    <t>1.3. Mã QR Cửa hàng</t>
  </si>
  <si>
    <t>Nếu khách hàng là người trẻ tuổi, việc mở tài khoản ngân hàng dưới 18 tuổi đã được hỗ trợ để sớm làm quen với các công…</t>
  </si>
  <si>
    <t>3. Bước 3: Nhập số tiền cần thanh toán</t>
  </si>
  <si>
    <t>Ngân hàng Techcombank còn hỗ trợ các giải pháp tài chính cho cả đối tượng khách hàng trẻ tuổi, giúp bố mẹ dễ dàng mở tà…</t>
  </si>
  <si>
    <t>2. 2 đối tượng đặc biệt có thể nhờ người thân mở hộ tà…</t>
  </si>
  <si>
    <t>Nhóm người chưa đủ 15 tuổi và nhóm người không đủ năng lực hành vi dân sự, có thể nhờ người thân mở tài khoản ngân hàng…</t>
  </si>
  <si>
    <t>https://techcombank.com/thong-tin/blog/lam-the-atm-co-mat-phi-khong</t>
  </si>
  <si>
    <t>1. Làm thẻ ngân hàng - thẻ ATM có mất phí không?</t>
  </si>
  <si>
    <t>Khi làm thẻ ngân hàng - thẻ ATM, khách hàng thường sẽ mất một khoản phí mở thẻ khoảng 30.000 - 100.000 VND, tùy thuộc v…</t>
  </si>
  <si>
    <t>https://techcombank.com/thong-tin/blog/ma-otp-la-gi</t>
  </si>
  <si>
    <t>4. Cách lấy mã OTP</t>
  </si>
  <si>
    <t>Thông thường, các ngân hàng đều tự kích hoạt SMS OTP/Smart OTP ngay khi khách hàng mở tài khoản thanh toán.</t>
  </si>
  <si>
    <t>https://techcombank.com/thong-tin/blog/ngan-hang-so-cho-doanh-nghiep</t>
  </si>
  <si>
    <t>2.1. Techcombank Business</t>
  </si>
  <si>
    <t>Techcombank Business cung cấp hệ sinh thái ngân hàng số toàn diện cho doanh nghiệp với khả năng quản lý tài khoản, phê…</t>
  </si>
  <si>
    <t>Vậy làm cách nào để xem số tài khoản ngân hàng hợp tuổi và chọn được một bộ số phù hợp nhất?</t>
  </si>
  <si>
    <t>https://techcombank.com/thong-tin/blog/co-nen-dung-the-tin-dung-khong</t>
  </si>
  <si>
    <t>2.4. Chủ động quản lý tài chính khi sử dụng thẻ tín dụ…</t>
  </si>
  <si>
    <t>thuế thu nhập cá nhân – 48 link
thuế thu nhập cá nhân năm 2026 – 2 link</t>
  </si>
  <si>
    <t>Một số người dùng cũng đặt câu hỏi mở nhiều tài khoản ngân hàng có sao không để phân tách dòng tiền và quản lý chi tiêu…</t>
  </si>
  <si>
    <t>Quyết toán TNCN cần tính lại số thuế cả năm.</t>
  </si>
  <si>
    <t>Techcombank là một trong những ngân hàng dẫn dầu số hóa trong lĩnh vực tài chính ngân hàng, thông qua các tiện ích onli…</t>
  </si>
  <si>
    <t>Hoàn thuế TNCN xuất phát từ việc tính ra số thuế nộp thừa.</t>
  </si>
  <si>
    <t>Hiện nay, khách hàng dưới 18 tuổi vẫn có thể mở tài khoản tại hầu hết các ngân hàng.</t>
  </si>
  <si>
    <t>4. 3 lưu ý khi đổi số điện thoại ngân hàng</t>
  </si>
  <si>
    <t>Vì hiện chưa có hình thức mở tài khoản ngân hàng không cần số điện thoại , một thuê bao chính chủ ổn định là điều kiện…</t>
  </si>
  <si>
    <t>Đăng ký MST cá nhân để kê khai, tính thuế TNCN.</t>
  </si>
  <si>
    <t>2. Giải pháp vay vốn cho doanh nghiệp mới thành lập</t>
  </si>
  <si>
    <t>Đồng thời, khách hàng nên mở tài khoản tại ngân hàng uy tín, lâu năm, biểu phí thấp và nhiều gói ưu đãi hấp dẫn để tối…</t>
  </si>
  <si>
    <t>Sao kê lương dùng chứng minh thu nhập; chèn ở đoạn thu nhập chịu thuế. (Liên quan yếu – bản chặt đã loại.)</t>
  </si>
  <si>
    <t>https://techcombank.com/thong-tin/blog/vi-du-ve-ca-nhan-hoa</t>
  </si>
  <si>
    <t>3. Ví dụ về cá nhân hóa cho người dùng chọn tài khoản…</t>
  </si>
  <si>
    <t>Techcombank là một trong những ngân hàng tiên phong cung cấp dịch vụ mở tài khoản số đẹp online .</t>
  </si>
  <si>
    <t>https://techcombank.com/thong-tin/blog/lam-the-tin-dung</t>
  </si>
  <si>
    <t>4.5. Mở thẻ tín dụng bằng sổ tiết kiệm có được không?</t>
  </si>
  <si>
    <t>Theo quy định của Ngân hàng Nhà nước Việt Nam, khách hàng có thể mở thẻ tín dụng không cần chứng minh thu nhập bằng các…</t>
  </si>
  <si>
    <t>2.1. Mở tài khoản ngân hàng</t>
  </si>
  <si>
    <t>Kể từ ngày 10/10/2025, khách hàng có thể mở tài khoản ngân hàng ngay trên Ví ShopeePay.</t>
  </si>
  <si>
    <t>Nhắc: tncn.</t>
  </si>
  <si>
    <t>2.3. Tối ưu tiền nhàn rỗi</t>
  </si>
  <si>
    <t>Chủ Hộ kinh doanh mở tài khoản ngân hàng thanh toán cho Hộ kinh doanh Techcombank và bật Sinh lời tự động trên tối đa 4…</t>
  </si>
  <si>
    <t>4. Đọc kỹ điều khoản gửi tiền tiết kiệm online của ngâ…</t>
  </si>
  <si>
    <t>Do đó, bạn cần phải đọc kỹ tất cả các điều khoản về gửi tiết kiệm online tại ngân hàng mở tài khoản.</t>
  </si>
  <si>
    <t>Nhắc: lương.</t>
  </si>
  <si>
    <t>https://techcombank.com/thong-tin/blog/lam-the-visa-online</t>
  </si>
  <si>
    <t>2. Hướng dẫn cách làm thẻ Visa online</t>
  </si>
  <si>
    <t>Để làm thẻ Visa online, khách hàng cần phải có tài khoản ngân hàng.</t>
  </si>
  <si>
    <t>Nhắc: thu nhập cá nhân.</t>
  </si>
  <si>
    <t>https://techcombank.com/thong-tin/blog/ty-le-khach-hang-su-dung-chu-ky-so-trong-linh-vuc-ngan-hang-dang-o-muc-5</t>
  </si>
  <si>
    <t>1. Chữ ký số là gì và vai trò của chữ ký số trong lĩnh…</t>
  </si>
  <si>
    <t>Chữ ký số được sử dụng phổ biến trong lĩnh vực ngân hàng để ký kết và xác thực hợp đồng điện tử, ký số hóa đơn điện tử,…</t>
  </si>
  <si>
    <t>https://techcombank.com/thong-tin/blog/the-debit-cho-con</t>
  </si>
  <si>
    <t>1. Điều kiện đăng ký mở thẻ</t>
  </si>
  <si>
    <t>Nếu con chưa có tài khoản thanh toán tại Techcombank, bố mẹ có thể đưa con đến phòng giao dịch/chi nhánh ngân hàng để m…</t>
  </si>
  <si>
    <t>https://techcombank.com/thong-tin/blog/lam-the-thanh-toan-quoc-te</t>
  </si>
  <si>
    <t>1. Mở thẻ thanh toán quốc tế online</t>
  </si>
  <si>
    <t>Để có thể mở thẻ thanh toán quốc tế qua Mobile Banking, khách hàng cần có tài khoản thanh toán.</t>
  </si>
  <si>
    <t>https://techcombank.com/thong-tin/blog/vay-thau-chi-bang-so-tiet-kiem</t>
  </si>
  <si>
    <t>1. Giới thiệu về hình thức vay thấu chi bằng sổ tiết k…</t>
  </si>
  <si>
    <t>Giải pháp này cho phép khách hàng sử dụng một khoản hạn mức (được cấp trên tài khoản thấu chi chuyên dụng mở tại ngân h…</t>
  </si>
  <si>
    <t>https://techcombank.com/thong-tin/blog/thanh-toan-hoc-phi-online</t>
  </si>
  <si>
    <t>2.4. MoMo</t>
  </si>
  <si>
    <t>Để thực hiện việc thanh toán học phí trực tuyến thông qua ví điện tử MoMo, trước tiên, bạn cần mở một tài khoản ngân hà…</t>
  </si>
  <si>
    <t>Cụ thể sau khi mở tài khoản ngân hàng , một số phí bạn có thể phải thanh toán như sau:</t>
  </si>
  <si>
    <t>Nhắc: thu nhập cá nhân, tncn.</t>
  </si>
  <si>
    <t>mở tài khoản ngân hàng cho học sinh</t>
  </si>
  <si>
    <t>mở tài khoản ngân hàng dưới 18 tuổi</t>
  </si>
  <si>
    <t>https://techcombank.com/thong-tin/blog/mo-tai-khoan-ngan-hang-bang-so-dien-thoai</t>
  </si>
  <si>
    <t>Tuy nhiên, mỗi ngân hàng sẽ có những thao tác khác nhau, nên để hiểu rõ các bước mở tài khoản ngân hàng, mời bạn tham k…</t>
  </si>
  <si>
    <t>https://techcombank.com/thong-tin/blog/quy-gia-dinh</t>
  </si>
  <si>
    <t>2.3. Dễ dàng mở tài khoản cho con</t>
  </si>
  <si>
    <t>Dành cho gia đình có con dưới 18 tuổi, ba mẹ có thể cùng con yêu học cách chi tiêu bằng cách Mở tài khoản cho con .</t>
  </si>
  <si>
    <t>5. Công nghệ mới thay thế mã OTP trong lĩnh vực ngân h…</t>
  </si>
  <si>
    <t>Khách hàng khi mở tài khoản ngân hàng online chỉ cần xác thực sinh trắc học và định danh eKYC bằng cách quét NFC trên C…</t>
  </si>
  <si>
    <t>Mở rộng chủ đề (theo plan): bài nhắc thu nhập, thuế, doanh nghiệp.</t>
  </si>
  <si>
    <t>https://techcombank.com/thong-tin/blog/cach-bao-ve-tai-khoan</t>
  </si>
  <si>
    <t>4. Kích hoạt xác thực hai yếu tố (2FA)</t>
  </si>
  <si>
    <t>Hiện nay, khi mở tài khoản ngân hàng online qua ứng dụng ngân hàng, khách hàng bắt buộc phải xác thực sinh trắc học với…</t>
  </si>
  <si>
    <t>https://techcombank.com/thong-tin/blog/cach-quet-nfc-cccd-tren-iphone</t>
  </si>
  <si>
    <t>Theo Quyết định 2345/QĐ-NHNN của Ngân hàng Nhà nước, khi mở tài khoản ngân hàng online qua ứng dụng ngân hàng, khách hà…</t>
  </si>
  <si>
    <t>3. Một số lưu ý quan trọng để nạp xu TikTok an toàn</t>
  </si>
  <si>
    <t>Ưu tiên sử dụng tài khoản/thẻ từ các ngân hàng uy tín (như Techcombank ) hoặc ví điện tử lớn có tính năng bảo mật OTP/s…</t>
  </si>
  <si>
    <t>4. Chọn số tài khoản ngân hàng trùng số điện thoại có…</t>
  </si>
  <si>
    <t>Bạn hoàn toàn có thể chọn số tài khoản ngân hàng trùng số điện thoại, trùng ngày sinh, trùng biển số xe… với chương trì…</t>
  </si>
  <si>
    <t>2.3. Viettel Money</t>
  </si>
  <si>
    <t>Nếu trường của bạn không cung cấp mã thanh toán dành cho học sinh, Viettel Money hoàn toàn hỗ trợ bạn chuyển khoản trực…</t>
  </si>
  <si>
    <t>4. 4 lưu ý khi chọn tài khoản số đẹp</t>
  </si>
  <si>
    <t>Mỗi ngân hàng sẽ có những quy định riêng, vì thế bạn cần kiểm tra 1 số điều khoản như đối tượng mở tài khoản số đẹp của…</t>
  </si>
  <si>
    <t>1.1. Lợi ích khi mở nhiều tài khoản ngân hàng</t>
  </si>
  <si>
    <t>Bằng cách mở nhiều tài khoản ngân hàng, bạn có thể phân chia tiền gửi của mình vào các tài khoản hoặc các ngân hàng có…</t>
  </si>
  <si>
    <t>Lưu ý quan trọng khi chuyển tiền ngân hàng</t>
  </si>
  <si>
    <t>Do đó, trước khi xác nhận giao dịch, cần rà soát kỹ các thông tin người thụ hưởng (họ tên, số tài khoản, ngân hàng) để…</t>
  </si>
  <si>
    <t>1.3. Với tài khoản 0 đồng không hoạt động liên tục trê…</t>
  </si>
  <si>
    <t>Nếu mở tài khoản ngân hàng nhưng không sử dụng (không phát sinh bất kỳ giao dịch nào như thanh toán, chuyển khoản, nhận…</t>
  </si>
  <si>
    <t>Mở rộng chủ đề (theo plan): bài nhắc thu nhập. Liên quan rộng – đọc bài trước khi chèn.</t>
  </si>
  <si>
    <t>1. Ý nghĩa số tài khoản ngân hàng đẹp qua từng con số</t>
  </si>
  <si>
    <t>Số tài khoản ngân hàng là một dãy số có 6-15 ký tự (có thể bao gồm chữ cái) do ngân hàng cấp cho bạn khi bạn mở một tài…</t>
  </si>
  <si>
    <t>1. Thẻ ghi nợ có chuyển khoản được không?</t>
  </si>
  <si>
    <t>Thông thường, loại thẻ này sẽ được ngân hàng phát hành khi khách hàng mở tài khoản thanh toán hoặc nhận giải ngân khoản…</t>
  </si>
  <si>
    <t>https://techcombank.com/thong-tin/blog/mo-tai-khoan-ngan-hang-trung-so-dien-thoai</t>
  </si>
  <si>
    <t>1. 2 cách mở tài khoản ngân hàng trùng số điện thoại c…</t>
  </si>
  <si>
    <t>Khi đã có tài khoản ngân hàng, khách hàng đặc biệt là sinh viên có thể dễ dàng tiếp cận các sản phẩm tài chính khác như…</t>
  </si>
  <si>
    <t>1. Việt Kiều có được mở tài khoản ngân hàng không?</t>
  </si>
  <si>
    <t>Khách hàng Việt Kiều đang sinh sống tại nước ngoài có thể mở tài khoản ngân hàng tại Việt Nam nếu đáp ứng đủ điều kiện.</t>
  </si>
  <si>
    <t>2.11. Techcombank Family</t>
  </si>
  <si>
    <t>TCB Family là giải pháp tài chính gia đình hiện đại, cho phép phụ huynh mở tài khoản ngân hàng cho trẻ em, theo dõi và…</t>
  </si>
  <si>
    <t>Mở rộng chủ đề (theo plan): bài nhắc thuế, etax, nộp thuế. Liên quan rộng – đọc bài trước khi chèn.</t>
  </si>
  <si>
    <t>Khách hàng cân nhắc mở tài khoản tại các ngân hàng có nền tảng số tốt để hạn chế tình trạng này</t>
  </si>
  <si>
    <t>https://techcombank.com/thong-tin/blog/thanh-toan-khong-tien-mat-trong-nganh-giao-duc-co-hoi-va-thach-thuc</t>
  </si>
  <si>
    <t>1. Thực trạng thanh toán không tiền mặt trong ngành gi…</t>
  </si>
  <si>
    <t>Thông qua một số hoạt động như làm thẻ ngân hàng miễn phí cho sinh viên đã khuyến khích sinh viên thanh toán tiền học p…</t>
  </si>
  <si>
    <t>Với khách hàng dưới 18 tuổi, Techcombank chỉ cho phép khách hàng mở tài khoản ngân hàng cho con tại quầy giao dịch ngân…</t>
  </si>
  <si>
    <t>2. Mở tài khoản ngân hàng online cho người dưới 18 tuổ…</t>
  </si>
  <si>
    <t>Không thể mở tài khoản ngân hàng online cho người dưới 18 tuổi mà chỉ có thể mở tại phòng giao dịch của ngân hàng.</t>
  </si>
  <si>
    <t>nộp tiền vào tài khoản</t>
  </si>
  <si>
    <t>Hỗ trợ nộp tiền vào tài khoản của chính bạn, người khác hoặc tài khoản công ty một cách nhanh chóng và chính xác.</t>
  </si>
  <si>
    <t>2. Nạp tiền vào thẻ ghi nợ qua cây CDM</t>
  </si>
  <si>
    <t>Nhét thẻ ATM vào khe thẻ &gt; Chọn “ Nộp tiền ” &gt; Chọn “ Nộp tiền vào tài khoản ” &gt; Nhập mã PIN.</t>
  </si>
  <si>
    <t>nạp tiền vào tài khoản ngân hàng</t>
  </si>
  <si>
    <t>https://techcombank.com/thong-tin/blog/the-ghi-no-visa-la-gi</t>
  </si>
  <si>
    <t>1. Thẻ ghi nợ quốc tế Visa (Visa Debit) là gì?</t>
  </si>
  <si>
    <t>Để sử dụng được thẻ Visa Debit, bạn cần phải nạp tiền vào tài khoản ngân hàng được liên kết với thẻ và chi tiêu bằng ch…</t>
  </si>
  <si>
    <t>1.1. Nộp tiền mặt tại phòng giao dịch ngân hàng</t>
  </si>
  <si>
    <t>Điền thông tin vào phiếu "Nộp tiền vào tài khoản", bao gồm số tài khoản công ty, số tiền nộp, lý do nộp…</t>
  </si>
  <si>
    <t>Đặc biệt đối với những giao dịch như nộp tiền vào tài khoản công ty bằng tài khoản cá nhân, việc có chứng từ giải …</t>
  </si>
  <si>
    <t>https://techcombank.com/thong-tin/blog/gui-tiet-kiem-tich-luy-la-gi</t>
  </si>
  <si>
    <t>3. Ngân hàng uy tín có mức lãi suất tiết kiệm tích lũy…</t>
  </si>
  <si>
    <t>…g theo ngày/ tuần/ tháng/ quý hoặc khách hàng chủ động nộp tiền vào tài khoản bất cứ khi nào có tiền nhàn rỗi.</t>
  </si>
  <si>
    <t>… doanh nghiệp để đảm bảo chuyển khoản, rút tiền mặt và nộp tiền vào tài khoản công ty nhanh chóng, chính xác.</t>
  </si>
  <si>
    <t>Mở rộng chủ đề (theo plan): bài nhắc thuế, hộ kinh doanh, nộp thuế. Liên quan rộng – đọc bài trước khi chèn.</t>
  </si>
  <si>
    <t>Nếu muốn tiếp tục sử dụng, bạn sẽ cần nạp tiền vào tài khoản hoặc đến chi nhánh nộp tiền trong vòng 30 ngày kể từ khi t…</t>
  </si>
  <si>
    <t>2.3. Nộp tiền vào tài khoản công ty</t>
  </si>
  <si>
    <t>Doanh nghiệp có thể nộp tiền vào tài khoản ngân hàng công ty bằng hai cách:</t>
  </si>
  <si>
    <t>https://techcombank.com/thong-tin/blog/tra-cuu-han-muc-the-tin-dung</t>
  </si>
  <si>
    <t>4. Kiểm tra trực tiếp trên website của ngân hàng</t>
  </si>
  <si>
    <t>Khách hàng đăng nhập vào tài khoản Internet Banking của ngân hàng mở thẻ.</t>
  </si>
  <si>
    <t>2. Nạp thẻ điện thoại qua Mobile Banking</t>
  </si>
  <si>
    <t>Nhằm đáp ứng nhu cầu ngày càng cao của khách hàng và phù hợp với xu hướng công nghệ hiện đại, nhiều ngân hàng đã tích h…</t>
  </si>
  <si>
    <t>1. Nạp tiền điện thoại qua Internet Banking/Mobile Ban…</t>
  </si>
  <si>
    <t>https://techcombank.com/thong-tin/blog/rut-tien-bang-ma-qr-la-gi-cach-thuc-hien-nhu-the-nao</t>
  </si>
  <si>
    <t>3. Giải đáp 4 thắc mắc về rút tiền bằng mã QR</t>
  </si>
  <si>
    <t>Rút tiền bằng mã QR an toàn hơn sử dụng thẻ ngân hàng vì người dùng chỉ cần dùng điện thoại quét mã QR, không cần nhập…</t>
  </si>
  <si>
    <t>https://techcombank.com/thong-tin/blog/ma-pin-the-atm</t>
  </si>
  <si>
    <t>1. Mã PIN thẻ ATM là gì?</t>
  </si>
  <si>
    <t>Mã PIN của thẻ ngân hàng đóng vai trò quan trọng trong việc bảo mật tài khoản, ngăn chặn truy cập trái phép và bảo vệ s…</t>
  </si>
  <si>
    <t>https://techcombank.com/thong-tin/blog/cach-rut-tien-atm</t>
  </si>
  <si>
    <t>3. Cách rút tiền ở cây ATM/CDM với tính năng Rút tiền…</t>
  </si>
  <si>
    <t>Khách hàng chỉ có thể rút tiền tại cây ATM của ngân hàng phát hành thẻ/tài khoản khi sử dụng tính năng Rút tiền không c…</t>
  </si>
  <si>
    <t>https://techcombank.com/thong-tin/blog/cach-kich-hoat-the-atm</t>
  </si>
  <si>
    <t>3. Câu hỏi thường gặp</t>
  </si>
  <si>
    <t>Chưa kích hoạt thẻ thanh toán, bạn vẫn có thể nhận được tiền nếu người chuyển chuyển tiền trực tiếp vào số tài khoản ng…</t>
  </si>
  <si>
    <t>tra số tài khoản ngân hàng – 21 link
tra tài khoản ngân hàng – 9 link</t>
  </si>
  <si>
    <t>Số TK là gì &amp; cách kiểm tra — trùng nhu cầu, dẫn sang bài chi tiết 3 cách.</t>
  </si>
  <si>
    <t>Số dư khả dụng — người đọc cần cách kiểm tra số dư.</t>
  </si>
  <si>
    <t>Nạp tiền online qua tài khoản ngân hàng liên kết với thẻ ghi nợ phi vật lý trên ngân hàng số/Mobile Banking</t>
  </si>
  <si>
    <t>Sinh Lời Tự Động</t>
  </si>
  <si>
    <t>Toàn bộ tiền trong tài khoản tự sinh lời theo ngày tới 5.5%/năm, đảm bảo chi tiêu 24/7, hoàn toàn tự động, miễn phí</t>
  </si>
  <si>
    <t>Kiểm tra mã giao dịch — chèn ở đoạn kiểm tra lịch sử giao dịch.</t>
  </si>
  <si>
    <t>3. 3 lưu ý khi rút tiền QR khác ngân hàng tại cây ATM</t>
  </si>
  <si>
    <t>Sau khi quét mã QR trên màn hình ATM, người dùng sẽ nhập số tiền và chọn tài khoản rút tiền trên Mobile Banking.</t>
  </si>
  <si>
    <t>SMS Banking là một kênh kiểm tra biến động số dư.</t>
  </si>
  <si>
    <t>Bài anh em cho TK công ty; chèn câu dẫn cho TK cá nhân.</t>
  </si>
  <si>
    <t>https://techcombank.com/thong-tin/blog/the-visa-de-lam-gi</t>
  </si>
  <si>
    <t>3. Nạp tiền, rút tiền và chuyển khoản</t>
  </si>
  <si>
    <t>Thẻ Visa có thể dùng để nạp, rút tiền và chuyển khoản tùy vào loại thẻ.</t>
  </si>
  <si>
    <t>Nhắc: số tài khoản.</t>
  </si>
  <si>
    <t>https://techcombank.com/thong-tin/blog/the-atm-khong-rut-duoc-tien</t>
  </si>
  <si>
    <t>1.4. Tài khoản không đủ tiền</t>
  </si>
  <si>
    <t>Chuyển tiền từ tài khoản khác vào tài khoản thanh toán liên kết với thẻ ATM</t>
  </si>
  <si>
    <t>Nhắc: số dư.</t>
  </si>
  <si>
    <t>https://techcombank.com/thong-tin/blog/cach-thanh-toan-the-tin-dung</t>
  </si>
  <si>
    <t>1.2. Cách thanh toán thẻ tín dụng tự động</t>
  </si>
  <si>
    <t>Tại đây, khách hàng hãy đăng ký dịch vụ thanh toán tự động từ tài khoản tiền gửi sang để thanh toán dư nợ tín dụng.</t>
  </si>
  <si>
    <t>https://techcombank.com/thong-tin/blog/the-atm-gan-chip</t>
  </si>
  <si>
    <t>5. Hướng dẫn sử dụng thẻ ATM gắn chip</t>
  </si>
  <si>
    <t>Khách hàng cắm thẻ vào khe đọc chip &gt; Nhập mã PIN &gt; Lựa chọn các chức năng như rút tiền, chuyển khoản hoặc kiểm tra số…</t>
  </si>
  <si>
    <t>https://techcombank.com/thong-tin/blog/bi-nuot-the-atm-phai-lam-sao</t>
  </si>
  <si>
    <t>2. Một người có thể làm bao nhiêu thẻ ATM khác ngân hà…</t>
  </si>
  <si>
    <t>Do đó, nếu không phải người kinh doanh, buôn bán, có nhiều nguồn tiền ra vào khác nhau hoặc có nhu cầu tách biệt các kh…</t>
  </si>
  <si>
    <t>https://techcombank.com/thong-tin/blog/atm-la-gi</t>
  </si>
  <si>
    <t>Cây ATM và thẻ ATM là công cụ giúp khách hàng thực hiện các thao tác tài chính như rút tiền, chuyển khoản hay thanh toá…</t>
  </si>
  <si>
    <t>https://techcombank.com/thong-tin/blog/cach-sao-ke-tai-khoan-ngan-hang</t>
  </si>
  <si>
    <t>sao kê tài khoản ngân hàng</t>
  </si>
  <si>
    <t>2. Sao kê tài khoản online qua Mobile Banking</t>
  </si>
  <si>
    <t>Để thực hiện sao kê tài khoản ngân hàng online qua Mobile Banking, bạn hãy thực hiện các bước sau đây:</t>
  </si>
  <si>
    <t>…Điều 1 Nghị định 117/2018/NĐ-CP thì các thông tin trên sao kê tài khoản ngân hàng là thông tin mà ngân hàng có trách n…</t>
  </si>
  <si>
    <t>https://techcombank.com/thong-tin/blog/giai-ngan-la-gi</t>
  </si>
  <si>
    <t>4.2. Điều kiện để được giải ngân khoản vay là gì?</t>
  </si>
  <si>
    <t>…minh mục đích vay, khả năng tài chính (như bảng lương, sao kê tài khoản ngân hàng, báo cáo tài chính…) và tài sản đảm…</t>
  </si>
  <si>
    <t>https://techcombank.com/thong-tin/blog/the-tin-dung-quoc-te</t>
  </si>
  <si>
    <t>4.1. Điều kiện đăng ký</t>
  </si>
  <si>
    <t>…minh thu nhập hợp pháp (hợp đồng lao động, bảng lương, sao kê tài khoản ngân hàng…)</t>
  </si>
  <si>
    <t>https://techcombank.com/thong-tin/blog/han-muc-thau-chi-la-gi</t>
  </si>
  <si>
    <t>2. Lời khuyên giúp bạn vay thấu chi với hạn mức cao</t>
  </si>
  <si>
    <t>Hãy chuẩn bị đầy đủ hợp đồng lao động, bảng lương và sao kê tài khoản ngân hàng.</t>
  </si>
  <si>
    <t>2. Lợi ích của việc gửi tiết kiệm tại ngân hàng</t>
  </si>
  <si>
    <t>Ngoài ra, khách hàng cũng có thể quản lý tiền của mình thông qua dịch vụ sao kê tài khoản ngân hàng.</t>
  </si>
  <si>
    <t>https://techcombank.com/thong-tin/blog/vay-the-chap-qua-luong</t>
  </si>
  <si>
    <t>Trên thực tế, bảng lương chỉ là một trong những yếu tố để ngân hàng đánh giá năng lực tài chính của bạn khi xét duyệt k…</t>
  </si>
  <si>
    <t>3.1. Hướng dẫn cá nhân quyết toán thuế trên eTax Mobile</t>
  </si>
  <si>
    <t>Với trường hợp còn nợ thuế từ năm 2021 trở đi, phần mềm cho phép nộp bản khai, trả tiền trực tuyến qua tài khoản ngân h…</t>
  </si>
  <si>
    <t>1. Ghi chép chi tiêu cá nhân là gì?</t>
  </si>
  <si>
    <t>Tự động phân loại chi tiêu, tạo biểu đồ thống kê, nhắc nhở tiết kiệm, liên kết tài khoản ngân hàng.</t>
  </si>
  <si>
    <t>cách sao kê tài khoản ngân hàng</t>
  </si>
  <si>
    <t>https://techcombank.com/thong-tin/blog/nang-han-muc-tin-dung</t>
  </si>
  <si>
    <t>3. 7 mẹo giúp tăng hạn mức tín dụng cao dễ dàng</t>
  </si>
  <si>
    <t>Đây là cách chuyển khoản tiền đã rút thành các kỳ thanh toán nhỏ theo thời gian, thay vì phải thanh toán toàn bộ dư nợ…</t>
  </si>
  <si>
    <t>3. Hướng dẫn quản lý thẻ Thanh toán quốc tế Techcomban…</t>
  </si>
  <si>
    <t>Nếu chưa mở tài khoản Techcombank, bố mẹ có thể tham khảo bài viết Hướng dẫn cách mở tài khoản ngân hàng online đơn giả…</t>
  </si>
  <si>
    <t>https://techcombank.com/thong-tin/blog/vi-tra-sau</t>
  </si>
  <si>
    <t>3.5. Tích hợp thuận tiện trong thương mại điện tử &amp; hệ…</t>
  </si>
  <si>
    <t>Không phải điền thông tin tài khoản ngân hàng hay đăng ký thêm khi thực hiện giao dịch</t>
  </si>
  <si>
    <t>https://techcombank.com/thong-tin/blog/loi-ich-cua-viec-tiet-kiem-tien</t>
  </si>
  <si>
    <t>3 lời khuyên giúp bạn bắt đầu tiết kiệm tiền thông minh</t>
  </si>
  <si>
    <t>Việc này sẽ càng tối ưu chi phí hơn nếu bạn sử dụng tài khoản ngân hàng miễn phí để thực hiện các giao dịch chuyển tiền…</t>
  </si>
  <si>
    <t>https://techcombank.com/thong-tin/blog/cach-tiet-kiem-tien-hieu-qua-cho-gia-dinh</t>
  </si>
  <si>
    <t>1. Lập ngân sách chi tiêu cho gia đình</t>
  </si>
  <si>
    <t>Bạn nên thống kê lại tổng thu nhập hàng tháng của cả gia đình để phân bổ ngân sách sao cho vừa cân đối với các khoản ch…</t>
  </si>
  <si>
    <t>Mở rộng chủ đề (theo plan): bài nhắc tài khoản, chuyển khoản, app ngân hàng.</t>
  </si>
  <si>
    <t>https://techcombank.com/thong-tin/blog/app-mua-truoc-tra-sau</t>
  </si>
  <si>
    <t>2. MoMo</t>
  </si>
  <si>
    <t>Người dùng đã thực hiện xác thực CCCD trên MoMo và đã liên kết tài khoản ngân hàng</t>
  </si>
  <si>
    <t>https://techcombank.com/thong-tin/blog/cho-vay-tieu-dung-la-gi</t>
  </si>
  <si>
    <t>3.1. Vay tín chấp tiêu dùng cá nhân</t>
  </si>
  <si>
    <t>Theo đó, ngân hàng hoặc công ty tài chính sẽ xét duyệt khoản vay dựa trên mức độ uy tín của người vay.</t>
  </si>
  <si>
    <t>Mở rộng chủ đề (theo plan): bài nhắc tài khoản, ngân hàng số, nạp tiền.</t>
  </si>
  <si>
    <t>https://techcombank.com/thong-tin/blog/phan-mem-lap-ke-hoach-tai-chinh-ca-nhan</t>
  </si>
  <si>
    <t>Chuyển tới người khác trong Techcombank hoặc liên ngân hàng và chuyển tiền chứng khoán hoặc chuyển tiền giữa các tài kh…</t>
  </si>
  <si>
    <t>Mở rộng chủ đề (theo plan): bài nhắc tài khoản, thẻ atm, cccd.</t>
  </si>
  <si>
    <t>Đưa thẻ vào khe đọc thẻ ATM và nhập mã PIN → Chọn mục Xem số dư/In sao kê → Hệ thống sẽ hiển thị đầy đủ số tài khoản ng…</t>
  </si>
  <si>
    <t>Mở rộng chủ đề (theo plan): bài nhắc tài khoản, chuyển khoản, chuyển tiền.</t>
  </si>
  <si>
    <t>https://techcombank.com/thong-tin/blog/the-tin-dung-den</t>
  </si>
  <si>
    <t>2.3. Ưu đãi độc quyền</t>
  </si>
  <si>
    <t>Khi thanh toán bằng thẻ đen, chủ thẻ sẽ được hoàn tiền theo % quy định tùy ngân hàng và hoàn trực tiếp vào tài khoản th…</t>
  </si>
  <si>
    <t>Mở rộng chủ đề (theo plan): bài nhắc tài khoản, mobile banking, ngân hàng.</t>
  </si>
  <si>
    <t>https://techcombank.com/thong-tin/blog/app-quan-ly-chi-tieu</t>
  </si>
  <si>
    <t>2.1. App quản lý chi tiêu với nhiều tính năng tiện ích</t>
  </si>
  <si>
    <t>Việc cho phép app liên kết trực tiếp với các tài khoản ngân hàng, thẻ tín dụng và ví điện tử, giúp người dùng theo dõi…</t>
  </si>
  <si>
    <t>https://techcombank.com/thong-tin/blog/sao-ke-the-tin-dung-la-gi</t>
  </si>
  <si>
    <t>Có thể nhận sao kê qua email, Mobile Banking hoặc tại quầy giao dịch của ngân hàng</t>
  </si>
  <si>
    <t>Mở rộng chủ đề (theo plan): bài nhắc tài khoản, mã qr, ngân hàng.</t>
  </si>
  <si>
    <t>https://techcombank.com/thong-tin/blog/cashback-the-thanh-toan</t>
  </si>
  <si>
    <t>2. Cập nhật chương trình cashback thẻ Thanh toán Quốc…</t>
  </si>
  <si>
    <t>&gt;&gt;&gt; Tạo tài khoản ngân hàng online ngay hôm nay!</t>
  </si>
  <si>
    <t>Mở rộng chủ đề (theo plan): bài nhắc tài khoản, ngân hàng số, ngân hàng.</t>
  </si>
  <si>
    <t>https://techcombank.com/thong-tin/blog/cach-tiet-kiem-tien</t>
  </si>
  <si>
    <t>2. Gửi tiết kiệm tại ngân hàng để sinh lời hấp dẫn</t>
  </si>
  <si>
    <t>Một vài ngân hàng hiện nay có chính sách miễn phí, hoàn phí dịch vụ khi khách hàng sử dụng tài khoản thanh toán, tài kh…</t>
  </si>
  <si>
    <t>Mở rộng chủ đề (theo plan): bài nhắc tài khoản, chuyển tiền, ngân hàng.</t>
  </si>
  <si>
    <t>https://techcombank.com/thong-tin/blog/mo-the-tin-dung-chi-can-cccd</t>
  </si>
  <si>
    <t>2. 5 cách mở thẻ tín dụng chỉ với CCCD, không cần chứn…</t>
  </si>
  <si>
    <t>Thông thường khi đăng ký mở thẻ tín dụng, các ngân hàng sẽ yêu cầu khách hàng cung cấp giấy tờ chứng minh thu nhập (sao…</t>
  </si>
  <si>
    <t>1. Cập nhật chương trình hoàn tiền thẻ tín dụng Techco…</t>
  </si>
  <si>
    <t>mở tài khoản ngân hàng online – 18 link
cách tạo tài khoản ngân hàng – 12 link</t>
  </si>
  <si>
    <t>Bao nhiêu tuổi được mở tài khoản ngân hàng ?</t>
  </si>
  <si>
    <t>Bài định nghĩa TK ngân hàng, kết thúc tự nhiên bằng cách mở.</t>
  </si>
  <si>
    <t>https://techcombank.com/thong-tin/blog/the-ghi-no-co-rut-tien-duoc-khong</t>
  </si>
  <si>
    <t>1. Thẻ ghi nợ có rút tiền được không?</t>
  </si>
  <si>
    <t>Thẻ ghi nợ được ngân hàng phát hành như là một công cụ giao dịch, có đầy đủ các chức năng cơ bản như rút tiền, chuyển/n…</t>
  </si>
  <si>
    <t>1. Điều kiện để vay tiền mặt nhanh online ngân hàng kh…</t>
  </si>
  <si>
    <t>Là khách hàng hiện hữu , đã có tài khoản thanh toán tại ngân hàng và đang sử dụng ngân hàng số</t>
  </si>
  <si>
    <t>Băn khoăn an toàn khi mở online → dẫn sang hướng dẫn mở.</t>
  </si>
  <si>
    <t>2.2. Điều kiện mở thẻ</t>
  </si>
  <si>
    <t>Sao kê 3 tháng lương gần nhất, hợp đồng lao động từ 3 - 6 tháng, sổ tiết kiệm hoặc các tài sản thế chấp khác tùy yêu cầ…</t>
  </si>
  <si>
    <t>https://techcombank.com/thong-tin/blog/cic-la-gi</t>
  </si>
  <si>
    <t>Hỏi phí mở TK → nhu cầu kế tiếp là cách mở. Bài cach-mo-tai-khoan đã link sang bài này (chiều ngược lại).</t>
  </si>
  <si>
    <t>5.5. Nợ xấu có ảnh hưởng đến việc xin visa không?</t>
  </si>
  <si>
    <t>Tuy nhiên, một số đại sứ quán có thể yêu cầu chứng minh tài chính bằng sổ tiết kiệm, sao kê tài khoản, hoặc giấy tờ vay…</t>
  </si>
  <si>
    <t>https://techcombank.com/thong-tin/blog/6-chiec-lo-tai-chinh-ca-nhan</t>
  </si>
  <si>
    <t>4. Gợi ý thực tế khi áp dụng phương pháp 6 chiếc lọ tà…</t>
  </si>
  <si>
    <t>Quy định số TK/CCCD; chèn ở đoạn hướng dẫn đăng ký thêm TK.</t>
  </si>
  <si>
    <t>Gửi vào tài khoản tiết kiệm ngân hàng:</t>
  </si>
  <si>
    <t>dãy số phát tài phát lộc</t>
  </si>
  <si>
    <t>chọn dãy số hợp mệnh, dãy số tứ quý, dãy số phát tài phát lộc hay chọn theo số điện thoại, ngày sinh, ngày kỉ niệm...</t>
  </si>
  <si>
    <t>Nhắc: mở tài khoản.</t>
  </si>
  <si>
    <t>số tài khoản phát tài phát lộc</t>
  </si>
  <si>
    <t>Lựa chọn số tài khoản mang ý nghĩa “Đại Phát” là cách để mỗi người khởi đầu hành trình tài chính của mình với tâm thế t…</t>
  </si>
  <si>
    <t>Nhắc: tài khoản ngân hàng.</t>
  </si>
  <si>
    <t>Từ góc nhìn văn hóa phương Đông, số 6868 là biểu tượng mạnh mẽ của tài lộc, phát triển và sự sung túc lâu dài.</t>
  </si>
  <si>
    <t>2.1. Số tài khoản tứ quý, tiến đơn</t>
  </si>
  <si>
    <t>Sử dụng số tiến đơn trong tài khoản cũng mang ý nghĩa tạo sự thăng tiến và phát triển không chỉ trong lĩnh vực tài chín…</t>
  </si>
  <si>
    <t>https://techcombank.com/thong-tin/blog/li-xi-so-dep</t>
  </si>
  <si>
    <t>Ngoài ý nghĩa tinh thần, ngày nay nhiều người còn chú trọng chọn lì xì số đẹp – con số mang năng lượng may mắn, hợp tuổ…</t>
  </si>
  <si>
    <t>Bài viết này sẽ giải mã chi tiết ý nghĩa của dãy số 8868 và gợi ý cách ứng dụng để thu hút vận may, phát tài phát lộc v…</t>
  </si>
  <si>
    <t>1.1. Giải mã từng con số</t>
  </si>
  <si>
    <t>Như vậy, 66666 là dãy số biểu trưng cho “lộc nối lộc, phúc nối phúc”, cực kỳ phù hợp với những ai làm ăn, đầu tư, hoặc…</t>
  </si>
  <si>
    <t>1.1. Giải mã từng con số trong dãy 8386</t>
  </si>
  <si>
    <t>Khi các con số này kết hợp thành 8386 , tổng thể dãy số mang thông điệp phát tài phát lộc .</t>
  </si>
  <si>
    <t>3.1. Gợi ý dãy số tài khoản 10 số có đuôi 68</t>
  </si>
  <si>
    <t>Phát Lộc với dãy số tài khoản đẹp có đuôi 68.</t>
  </si>
  <si>
    <t>2.2. Gợi ý dãy số tài khoản 12 số có Ngũ quý 9</t>
  </si>
  <si>
    <t>Dãy 12 số phù hợp với người thích sự cân bằng, hài hòa và muốn kết hợp thêm yếu tố phong thủy (như Lộc Phát – Thần Tài).</t>
  </si>
  <si>
    <t>Nhắc: mở tài khoản, tài khoản ngân hàng.</t>
  </si>
  <si>
    <t>1.3. Mang đến may mắn</t>
  </si>
  <si>
    <t>Số tài khoản ngân hàng đẹp còn mang ý nghĩa về phong thủy, mang đến cho chủ sở hữu tài lộc dồi dào, mọi việc diễn ra mộ…</t>
  </si>
  <si>
    <t>https://techcombank.com/thong-tin/blog/li-xi-tet</t>
  </si>
  <si>
    <t>4. 5 điều cần tránh khi lì xì và nhận lì xì</t>
  </si>
  <si>
    <t>Bạn có thể tham khảo bài viết Lì xì số đẹp, phát tài phát lộc, hợp mệnh hợp tuổi Tết 2026 để có thêm ý tưởng về số tiền…</t>
  </si>
  <si>
    <t>Nhắc: tài khoản thanh toán.</t>
  </si>
  <si>
    <t>5 cách chọn tài khoản số đẹp - dễ nhớ - phát tài - phát lộc để biết cách chọn số tài khoản đẹp ưng ý.</t>
  </si>
  <si>
    <t>Nhắc: mở tài khoản, tài khoản ngân hàng, tài khoản thanh toán.</t>
  </si>
  <si>
    <t>3. Giới thiệu Gói giải pháp BusinessOne của Techcombank</t>
  </si>
  <si>
    <t>Miễn phí tài khoản số đẹp phát lộc, có phú quý, phong thuỷ, số tự chọn online nhanh chóng, tiện lợi</t>
  </si>
  <si>
    <t>2.5. Thấu chi tiêu dùng</t>
  </si>
  <si>
    <t>&gt;&gt;&gt; 5 cách chọn số tài khoản đẹp - Dễ nhớ, phát tài, phát lộc.</t>
  </si>
  <si>
    <t>Miễn phí tài khoản số đẹp, đa dạng lựa chọn 5-6-8-9-10-12 số theo phong thủy (tam hoa, tứ quý, lộc phát…);</t>
  </si>
  <si>
    <t>Phí mở tài khoản số đẹp phát lộc, phí duy trì tài khoản VND và ngoại tệ, phí thường niên ngân hàng số 3 năm đầu, 100% p…</t>
  </si>
  <si>
    <t>https://techcombank.com/thong-tin/blog/chuyen-khoan-lien-ngan-hang</t>
  </si>
  <si>
    <t>3.3. Tiền có được hoàn lại khi giao dịch chuyển khoản…</t>
  </si>
  <si>
    <t>Nếu phát hiện giao dịch chưa thành công nhưng số tiền vẫn bị trừ khỏi tài khoản, khách hàng nên:</t>
  </si>
  <si>
    <t>2. Kiểm tra tài khoản ngân hàng tại cây ATM/CDM</t>
  </si>
  <si>
    <t>Với phương thức này, bạn có thể chủ động thực hiện kiểm tra tài khoản ngân hàng tại cây ATM/CDM của ngân hàng phát hành…</t>
  </si>
  <si>
    <t>2.2. SeAMobile Biz (SeABank)</t>
  </si>
  <si>
    <t>SeAMobile Biz là ứng dụng ngân hàng số dành riêng cho doanh nghiệp do SeABank phát triển, cho phép quản lý tài khoản, c…</t>
  </si>
  <si>
    <t>2.5. Ưu đãi đa tầng</t>
  </si>
  <si>
    <t>MIỄN HOÀN TOÀN CÁC LOẠI PHÍ tài khoản Hộ kinh doanh như miễn phí tạo tài khoản Hộ kinh doanh số đẹp, miễn phí chuyển kh…</t>
  </si>
  <si>
    <t>10. MyVIB</t>
  </si>
  <si>
    <t>MyVIB là ứng dụng Ngân hàng Số của Ngân hàng Quốc Tế VIB, được phát triển với triết lý "Simplicity in Banking", mang đế…</t>
  </si>
  <si>
    <t>3.2. Cách 2: Đóng lệ phí hải quan online qua ngân hàng…</t>
  </si>
  <si>
    <t>mở tài khoản số đẹp, phí duy trì ngân hàng số, phát hành và phí thường niên thẻ ghi nợ, chuyển tiền online năm đầu, tha…</t>
  </si>
  <si>
    <t>ngân hàng uy tín – 19 link
chọn ngân hàng uy tín – 11 link</t>
  </si>
  <si>
    <t>Top app ngân hàng uy tín — anh em chủ đề, người đọc muốn biết ngân hàng nào uy tín.</t>
  </si>
  <si>
    <t>1.2. Tài khoản ngân hàng bị khóa khi không sử dụng tro…</t>
  </si>
  <si>
    <t>Giấy tờ tùy thân hết hạn, hoặc tài khoản chung, hoặc chủ tài khoản dưới 15 tuổi (không có người giám hộ và phát hành th…</t>
  </si>
  <si>
    <t>6. Các khoản chi được khấu trừ khi tính thuế</t>
  </si>
  <si>
    <t>Gửi tiền có an toàn không → chọn ngân hàng uy tín.</t>
  </si>
  <si>
    <t>khoản tài trợ cho nghiên cứu khoa học, phát triển công nghệ và đổi mới sáng tạo, chuyển đổi số;</t>
  </si>
  <si>
    <t>tra cứu thuế TNCN</t>
  </si>
  <si>
    <t>2. Cách 2: Tra cứu trên eTax Mobile</t>
  </si>
  <si>
    <t>Hệ thống trả kết quả tra cứu thuế TNCN đã nộp và tình trạng các khoản thuế</t>
  </si>
  <si>
    <t>Tiêu chí chọn ngân hàng — uy tín là một tiêu chí.</t>
  </si>
  <si>
    <t>kiểm tra thuế thu nhập cá nhân</t>
  </si>
  <si>
    <t>3.3. Trường hợp 3: Có nhiều mã số thuế khác nhau</t>
  </si>
  <si>
    <t>Người nộp thuế chỉ cần kiểm tra lại dữ liệu cá nhân (qua Cổng thông tin Tổng cục Thuế hoặc eTax Mobile) để đảm bảo thôn…</t>
  </si>
  <si>
    <t>Giá trị thương hiệu ngân hàng — liên quan bảng xếp hạng ngân hàng. (Liên quan yếu – bản chặt đã loại.)</t>
  </si>
  <si>
    <t>3. Khi nào tiền hoàn thuế được chuyển vào tài khoản cá…</t>
  </si>
  <si>
    <t>Đối với hồ sơ thuộc diện kiểm tra trước hoàn thuế thu nhập cá nhân:</t>
  </si>
  <si>
    <t>Nhắc: các ngân hàng.</t>
  </si>
  <si>
    <t>4. Hướng dẫn nhận tiền hoàn thuế thu nhập cá nhân sau…</t>
  </si>
  <si>
    <t>kiểm tra thuế TNCN online</t>
  </si>
  <si>
    <t>Nhắc: ngân hàng nào, chọn ngân hàng.</t>
  </si>
  <si>
    <t>3.1. Liên kết tài khoản ngân hàng với Etax Mobile bị l…</t>
  </si>
  <si>
    <t>Nếu lỗi vẫn tiếp diễn, người dùng nên liên hệ ngân hàng đang sử dụng hoặc cơ quan thuế quản lý để được hỗ trợ kiểm tra.</t>
  </si>
  <si>
    <t>4. Sổ thu chi MISA</t>
  </si>
  <si>
    <t>Tích hợp sẵn các công cụ hữu ích như tính lãi vay, ước tính thuế thu nhập cá nhân, tra cứu tỷ giá hối đoái (vàng, USD).</t>
  </si>
  <si>
    <t>Nhắc: ngân hàng nào.</t>
  </si>
  <si>
    <t>Nhắc: chọn ngân hàng.</t>
  </si>
  <si>
    <t>Để biết tra cứu thông tin quyết toán thuế thu nhập cá nhân nhanh, bạn nên truy cập eTax Mobile và thực hiện các bước sa…</t>
  </si>
  <si>
    <t>2.1. Rủi ro về thuế và chi phí được trừ</t>
  </si>
  <si>
    <t>Nhắc: ngân hàng uy tín, ngân hàng nào.</t>
  </si>
  <si>
    <t>Điều này làm tăng thu nhập chịu thuế, phát sinh số thuế phải nộp thêm và tiềm ẩn rủi ro bị xử lý khi cơ quan thuế thanh…</t>
  </si>
  <si>
    <t>Nhắc: chọn ngân hàng, ngân hàng tốt.</t>
  </si>
  <si>
    <t>Khi chuyển sang doanh nghiệp, mô hình sẽ chịu các loại thuế như thuế giá trị gia tăng (GTGT), thuế thu nhập doanh nghiệ…</t>
  </si>
  <si>
    <t>6. Kê khai và nộp thuế hộ kinh doanh</t>
  </si>
  <si>
    <t>1. Kiểm tra thông tin đăng ký thuế hộ kinh doanh</t>
  </si>
  <si>
    <t>Tra cứu thông tin đăng ký thuế hộ kinh doanh trên eTax Mobile</t>
  </si>
  <si>
    <t>Sau khi xác nhận và thanh toán, chứng từ nộp thuế sẽ được lưu trữ điện tử để tra cứu</t>
  </si>
  <si>
    <t>Sau khi đã nộp hồ sơ tra cứu thông tin quyết toán, bạn có thể nộp thuế theo hướng dẫn dưới đây:</t>
  </si>
  <si>
    <t>1. Đóng thuế đất qua ngân hàng có được không?</t>
  </si>
  <si>
    <t>Ngoài việc hỗ trợ tra cứu tiền thuế đất phải nộp thì kho bạc Nhà nước, ngân hàng thương mại, tổ chức tín dụng khác và t…</t>
  </si>
  <si>
    <t>1.2. Hướng dẫn cách kê khai, nộp thuế thu nhập cá nhân…</t>
  </si>
  <si>
    <t>Chọn Tra cứu, màn hình hiển thị tổng số thuế phải nộp, ấn Nộp tất cả, chọn Tạo giấy nộp tiền</t>
  </si>
  <si>
    <t>Trước khi hạch toán và kê khai hóa đơn mua vào, hãy thực hiện tra cứu mã số thuế của đối tác kinh doanh nhằm đảm bảo tạ…</t>
  </si>
  <si>
    <t>3. Thủ tục thay đổi địa chỉ hộ kinh doanh</t>
  </si>
  <si>
    <t>TRA CỨU NGAY ĐỊA BÀN QUẢN LÝ CỦA CÁC THUẾ CƠ SỞ CÁC TỈNH/THÀNH PHỐ</t>
  </si>
  <si>
    <t>Nhắc: chọn ngân hàng, các ngân hàng.</t>
  </si>
  <si>
    <t>4. Hướng dẫn kê khai thuế cho Hộ kinh doanh 2026</t>
  </si>
  <si>
    <t>Bên cạnh đó, hãy chủ động theo dõi tỷ giá, kiểm tra phí giao dịch ngoại tệ, chuẩn bị đầy đủ chứng từ nếu có nhu cầu hoà…</t>
  </si>
  <si>
    <t>https://techcombank.com/thong-tin/blog/ten-dang-nhap-tai-khoan-ngan-hang-la-gi</t>
  </si>
  <si>
    <t>tên đăng nhập tài khoản ngân hàng</t>
  </si>
  <si>
    <t>tiền chuyển khoản bị treo – 20 link
chuyển khoản thành công nhưng không nhận được tiền – 8 link
chuyển tiền thành công nhưng chưa nhận được – 2 link</t>
  </si>
  <si>
    <t>Hướng dẫn chuyển tiền — phần lưu ý/xử lý sự cố chèn được.</t>
  </si>
  <si>
    <t>3. Lựa chọn các cách bảo vệ tài khoản ngân hàng</t>
  </si>
  <si>
    <t>Bạn có thể nhận thấy đơn giản nhất khi đăng nhập sai mật khẩu, nhập mật khẩu chuyển tiền sai quá số lần quy định (3 - 5…</t>
  </si>
  <si>
    <t>tên đăng nhập</t>
  </si>
  <si>
    <t>Phần E: Đăng ký chữ ký, dấu và ủy quyền khi sử dụng TK…</t>
  </si>
  <si>
    <t>Tên đăng nhập Khách hàng đăng ký (Sử dụng tên đăng nhập có 6 - 16 ký…</t>
  </si>
  <si>
    <t>https://techcombank.com/thong-tin/blog/smart-otp-la-gi</t>
  </si>
  <si>
    <t>Mã giao dịch dùng để tra soát khi chuyển thành công mà chưa nhận.</t>
  </si>
  <si>
    <t>4. Hướng dẫn các bước đăng ký và sử dụng Techcombank M…</t>
  </si>
  <si>
    <t>Khởi tạo tên đăng nhập và mật khẩu để sẵn sàng sử dụng</t>
  </si>
  <si>
    <t>Sự cố chuyển tiền tương tự, người đọc quan tâm cả hai tình huống.</t>
  </si>
  <si>
    <t>3.1. Cách 1: Mở tài khoản ngân hàng online</t>
  </si>
  <si>
    <t>Màn hình hiển thị tên đăng nhập là số điện thoại của bạn &gt; Cài đặt mật khẩu &gt; Mở tài khoản thành công.</t>
  </si>
  <si>
    <t>Sai thông tin ngân hàng thụ hưởng là một nguyên nhân không nhận được tiền.</t>
  </si>
  <si>
    <t>https://techcombank.com/thong-tin/blog/merchant-portal</t>
  </si>
  <si>
    <t>3.4. Quản lý nhân viên</t>
  </si>
  <si>
    <t>…dùng có thể tìm kiếm và xem thông tin về nhân viên như tên đăng nhập, email, trạng thái, nhóm quyền…Dưới đây là hướng…</t>
  </si>
  <si>
    <t>https://techcombank.com/thong-tin/blog/softpos</t>
  </si>
  <si>
    <t>4.1. Techcombank ePOS</t>
  </si>
  <si>
    <t>Chủ cửa hàng có thể chỉnh sửa thông tin nhân viên như tên đăng nhập, số điện thoại, vị trí nhân viên…</t>
  </si>
  <si>
    <t>Nhắc: chuyển khoản.</t>
  </si>
  <si>
    <t>4.1. Sử dụng Username (tên đăng nhập) và mật khẩu</t>
  </si>
  <si>
    <t>Nhắc: chuyển tiền.</t>
  </si>
  <si>
    <t>Tên đăng nhập tài khoản ngân hàng thường sẽ là số điện thoại hoặc một tên đăng nhập bất …</t>
  </si>
  <si>
    <t>Nhắc: chuyển tiền, thụ hưởng.</t>
  </si>
  <si>
    <t>Sau khi lấy lại được sim và đăng ký chính chủ, tài khoản ngân hàng của bạn hoàn toàn có thể đăng nhập và thực hiện giao…</t>
  </si>
  <si>
    <t>2.1. Tra cứu trên website</t>
  </si>
  <si>
    <t>Điền tên đăng nhập và mật khẩu để truy cập vào tài khoản Internet Banking.</t>
  </si>
  <si>
    <t>1. Lộ số tài khoản, thông tin ngân hàng có sao không?</t>
  </si>
  <si>
    <t>…ng thông tin chi tiết khác liên quan đến tài khoản như tên đăng nhập, mật khẩu, mã PIN, mã OTP...</t>
  </si>
  <si>
    <t>1. Lộ mã QR ngân hàng có sao không?</t>
  </si>
  <si>
    <t>…n nhạy cảm hoặc thông tin cá nhân như số dư tài khoản, tên đăng nhập, mật khẩu đăng nhập, mã PIN sẽ được bảo mật hoàn…</t>
  </si>
  <si>
    <t>3.1. Các bước đăng ký Techcombank Mobile</t>
  </si>
  <si>
    <t>1.2. Rủi ro lộ OTP, mật khẩu khi thực hiện giao dịch o…</t>
  </si>
  <si>
    <t>…ười dùng cần lưu ý bảo vệ kỹ các thông tin cá nhân như tên đăng nhập, mật khẩu, mã OTP… Các thông tin này chỉ có thể b…</t>
  </si>
  <si>
    <t>1. Kích hoạt thẻ thanh toán qua Mobile Banking</t>
  </si>
  <si>
    <t>Điền Tên đăng nhập (là số điện thoại đăng ký dịch vụ) và Mật khẩu cho Mobile Banking</t>
  </si>
  <si>
    <t>Nhắc: chuyển khoản, chuyển tiền.</t>
  </si>
  <si>
    <t>https://techcombank.com/thong-tin/blog/gui-ma-qr-ngan-hang</t>
  </si>
  <si>
    <t>1. Bước 1: Đăng nhập và tìm biểu tượng mã QR</t>
  </si>
  <si>
    <t>Người dùng đăng nhập ngân hàng số trên điện thoại, sau đó tìm kiếm biểu tượng mã QR.</t>
  </si>
  <si>
    <t>https://techcombank.com/thong-tin/blog/thanh-toan-ve-may-bay-online</t>
  </si>
  <si>
    <t>2.1. Mobile Banking</t>
  </si>
  <si>
    <t>Đăng nhập Techcombank Mobile, chọn Chuyển tiền &amp; thanh toán</t>
  </si>
  <si>
    <t>1. Mã OTP là gì?</t>
  </si>
  <si>
    <t>Đây là một dãy gồm 4 - 6 ký tự hoặc chữ số được tạo ra ngẫu nhiên, chỉ có giá trị sử dụng cho một lần đăng nhập hoặc mộ…</t>
  </si>
  <si>
    <t>1.1.3. Cách thanh toán thẻ tín dụng qua ví điện tử</t>
  </si>
  <si>
    <t>Nhập “Thanh toán thẻ tín dụng” lên thanh tìm kiếm sau khi đăng nhập vào ứng dụng.</t>
  </si>
  <si>
    <t>https://techcombank.com/thong-tin/blog/cach-khoa-the-ngan-hang</t>
  </si>
  <si>
    <t>1. Khoá thẻ tạm thời qua điện thoại Mobile Banking</t>
  </si>
  <si>
    <t>Đăng nhập Techcombank Mobile, chọn Tài khoản &amp; Thẻ</t>
  </si>
  <si>
    <t>1. Thanh toán hoá đơn tiền điện bằng thẻ tín dụng qua…</t>
  </si>
  <si>
    <t>Đăng nhập Techcombank Mobile , chọn Chuyển tiền &amp; thanh toán</t>
  </si>
  <si>
    <t>Nhắc: chuyển khoản, chuyển nhầm.</t>
  </si>
  <si>
    <t>4.1. Kiểm tra điểm tín dụng CIC cá nhân online bằng cá…</t>
  </si>
  <si>
    <t>Đăng nhập vào website CIC và kiểm tra CIC cá nhân tại phần thông tin cá nhân.</t>
  </si>
  <si>
    <t>https://techcombank.com/thong-tin/blog/thanh-toan-tien-nuoc-online</t>
  </si>
  <si>
    <t>1. Thanh toán tiền nước hàng tháng trên Mobile Banking</t>
  </si>
  <si>
    <t>2. Cách 2: Thanh toán cước trả sau qua My Viettel</t>
  </si>
  <si>
    <t>Đăng nhập ứng dụng My Viettel → Tại trang chủ chọn Thanh toán</t>
  </si>
  <si>
    <t>https://techcombank.com/thong-tin/blog/thanh-toan-hoa-don-tieu-dung</t>
  </si>
  <si>
    <t>Quên hạn đóng tiền điện, phải ghi nhớ hàng loạt mã hóa đơn, tốn thời gian đăng nhập từng ứng dụng riêng biệt… những bất…</t>
  </si>
  <si>
    <t>2. 6 thông tin cần điền khi chuyển tiền qua Mobile Ban…</t>
  </si>
  <si>
    <t>Sau khi điền số tài khoản người nhận và ngân hàng thụ hưởng, tên của người nhận tiền sẽ tự động hiển thị.</t>
  </si>
  <si>
    <t>https://techcombank.com/thong-tin/blog/cach-gui-tiet-kiem-online</t>
  </si>
  <si>
    <t>2. Cách 2: Gửi tiết kiệm online cho người chưa có tài…</t>
  </si>
  <si>
    <t>Sau khi mở tài khoản ngân hàng, khách hàng cần đăng nhập lại và bắt đầu chọn sản phẩm gửi tiết kiệm online.</t>
  </si>
  <si>
    <t>3. Nạp tiền vào thẻ ghi nợ qua ứng dụng tài chính</t>
  </si>
  <si>
    <t>Chọn ngân hàng cần chuyển tiền &gt; Nhập số tài khoản và tên người nhận &gt; Nhập số tiền cần chuyển &gt; Chọn nguồn trích tiền.</t>
  </si>
  <si>
    <t>1.1. Tài khoản ngân hàng bị khóa khi nhập sai mật khẩu…</t>
  </si>
  <si>
    <t>thuế TNCN</t>
  </si>
  <si>
    <t>2.3. Cách tính thuế TNCN</t>
  </si>
  <si>
    <t>Thuế TNCN của hộ kinh doanh, cá nhân kinh doanh được xác định theo một trong hai phương pháp sau:</t>
  </si>
  <si>
    <t>Miễn thuế TNCN trong 2 năm và giảm 50% trong 4 năm tiếp theo đối với …</t>
  </si>
  <si>
    <t>bao nhiêu tuổi được mở tài khoản ngân hàng – 29 link
độ tuổi mở tài khoản ngân hàng – 1 link</t>
  </si>
  <si>
    <t>Tài khoản cho con — phụ huynh cần biết quy định độ tuổi.</t>
  </si>
  <si>
    <t>HSSV chọn thẻ — câu hỏi bao nhiêu tuổi được làm thẻ đi kèm.</t>
  </si>
  <si>
    <t>Thuế thu nhập cá nhân (TNCN) là nghĩa vụ tài chính phản ánh trực tiếp quyền …</t>
  </si>
  <si>
    <t>Bài viết tổng hợp cách kê khai thuế thu nhập cá nhân online, cách đăng ký nộp thuế điện tử online cho doanh…</t>
  </si>
  <si>
    <t>Làm thẻ ATM; chèn ở mục điều kiện (độ tuổi).</t>
  </si>
  <si>
    <t>Quy định làm thẻ; chèn ở đoạn điều kiện chủ thẻ. (Liên quan yếu – bản chặt đã loại.)</t>
  </si>
  <si>
    <t>5. Cách tính thuế TNCN</t>
  </si>
  <si>
    <t>Thời gian làm thẻ; chèn ở đoạn điều kiện làm thẻ. (Liên quan yếu – bản chặt đã loại.)</t>
  </si>
  <si>
    <t>Bài viết dưới đây hướng dẫn chi tiết cách quyết toán thuế TNCN 2025 trên eTax Mobile , giúp bạn chủ động quản lý nghĩ…</t>
  </si>
  <si>
    <t>… hộ kinh doanh nhỏ sẽ được miễn hoàn toàn thuế GTGT và thuế TNCN, tạo điều kiện để các hộ kinh doanh siêu nhỏ, hộ cá t…</t>
  </si>
  <si>
    <t>2.2. MISA AMIS Tiền lương</t>
  </si>
  <si>
    <t>Kết nối dữ liệu giữa các phân hệ nhân sự, chấm công, kế toán, BHXH và thuế TNCN trong hệ sinh thái MISA AMIS.</t>
  </si>
  <si>
    <t>Cuối năm, thực hiện quyết toán thuế TNCN tổng hợp.</t>
  </si>
  <si>
    <t>mức đóng thuế thu nhập cá nhân</t>
  </si>
  <si>
    <t>Nhắc: làm thẻ.</t>
  </si>
  <si>
    <t>Thuế thu nhập doanh nghiệp (TNDN) là nghĩa vụ tài chính quan trọng hàng đầu mà mọi doanh nghiệp đang hoạt động tại Việt…</t>
  </si>
  <si>
    <t>Nhắc: tuổi.</t>
  </si>
  <si>
    <t>Nhắc: tuổi, học sinh.</t>
  </si>
  <si>
    <t>1.1. Thuế đối với hộ kinh doanh, cá nhân kinh doanh tr…</t>
  </si>
  <si>
    <t>Sàn TMĐT sẽ khấu trừ và nộp thuế thay (GTGT, TNCN) cho hộ kinh doanh, cá nhân kinh doanh</t>
  </si>
  <si>
    <t>rút tiền không cần thẻ</t>
  </si>
  <si>
    <t>1.2. Thẻ ATM bị hỏng hoặc hết hạn</t>
  </si>
  <si>
    <t>Khách hàng có thể sử dụng tính năng Rút tiền không cần thẻ (tuỳ ngân hàng và cây ATM) hoặc đến trực tiếp phòng gi…</t>
  </si>
  <si>
    <t>rút tiền bằng mã QR</t>
  </si>
  <si>
    <t>Một số cây ATM đã tích hợp thêm tính năng rút tiền bằng mã QR giúp người dùng rút tiền mặt nhanh chóng ngay cả khi k…</t>
  </si>
  <si>
    <t>3. VCB Digibank</t>
  </si>
  <si>
    <t>Thanh toán, chuyển tiền, rút tiền bằng mã QR</t>
  </si>
  <si>
    <t>https://techcombank.com/thong-tin/blog/cach-su-dung-the-ghi-no</t>
  </si>
  <si>
    <t>1.3. Rút tiền</t>
  </si>
  <si>
    <t>Ngoài ra, tại cây ATM của một số ngân hàng, khách hàng hoàn toàn có thể rút tiền không cần thẻ.</t>
  </si>
  <si>
    <t>2.2. Rút tiền tại cây ATM</t>
  </si>
  <si>
    <t>…có trang bị các cây ATM thông minh cho phép người dùng rút tiền không cần thẻ như Techcombank, TPBank… giúp khách hàng…</t>
  </si>
  <si>
    <t>Tuy nhiên, một số ngân hàng hiện nay cung cấp dịch vụ rút tiền không cần thẻ, ví dụ như Techcombank.</t>
  </si>
  <si>
    <t>2. Sự khác nhau giữa số tài khoản ngân hàng và số thẻ…</t>
  </si>
  <si>
    <t>…n, nhận chuyển khoản, rút tiền mặt (tại cây ATM hỗ trợ rút tiền không cần thẻ), thanh toán hóa đơn, liên kết ví điện t…</t>
  </si>
  <si>
    <t>cách rút tiền bằng mã QR</t>
  </si>
  <si>
    <t>https://techcombank.com/thong-tin/blog/quet-ma-qr-techcombank</t>
  </si>
  <si>
    <t>1.1. Cách lấy mã QR Techcombank cho khách hàng cá nhân</t>
  </si>
  <si>
    <t>Về cách thanh toán bằng quét mã QR Techcombank, người dùng chỉ cần đăng nhập vào Techcombank Mobile, chọn Quét mã QR và…</t>
  </si>
  <si>
    <t>2. Bước 2: Lấy mã QR từ app ngân hàng</t>
  </si>
  <si>
    <t>Người dùng có thể tham khảo ví dụ bằng hình ảnh về cách lấy mã QR ngân hàng trên Techcombank Mobile dưới đây:</t>
  </si>
  <si>
    <t>Nhắc: cho con.</t>
  </si>
  <si>
    <t>2. Hướng dẫn cách tạo mã QR ngân hàng cho hộ kinh doanh</t>
  </si>
  <si>
    <t>Mã QR cửa hàng của Techcombank giúp chủ hộ kinh doanh, chủ cửa hàng, chủ shop online dễ dàng phân tách, theo dõi, quản…</t>
  </si>
  <si>
    <t>3. Mã QR ngân hàng bị lỗi/hỏng</t>
  </si>
  <si>
    <t>Mã QR được thiết kế bằng cách sắp xếp các điểm, dòng đen trắng và các dấu ổn định ở bốn góc theo một mô hình cụ thể.</t>
  </si>
  <si>
    <t>https://techcombank.com/thong-tin/blog/ma-qr-lam-gia-duoc-khong</t>
  </si>
  <si>
    <t>3. Một số lưu ý khi sử dụng mã QR thanh toán</t>
  </si>
  <si>
    <t>Hướng dẫn cách gửi mã QR ngân hàng nhận tiền đơn giản .</t>
  </si>
  <si>
    <t>https://techcombank.com/thong-tin/blog/ma-qr-techcombank</t>
  </si>
  <si>
    <t>1.1. Đối với khách hàng cá nhân</t>
  </si>
  <si>
    <t>Hướng dẫn cách chuyển tiền qua mã QR Techcombank.</t>
  </si>
  <si>
    <t>Nhắc: học sinh.</t>
  </si>
  <si>
    <t>2.2. Rút tiền mặt từ tài khoản công ty</t>
  </si>
  <si>
    <t>Doanh nghiệp có thể rút tiền mặt từ tài khoản công ty bằng hai cách:</t>
  </si>
  <si>
    <t>https://techcombank.com/thong-tin/blog/thanh-toan-bang-ma-qr</t>
  </si>
  <si>
    <t>2. Lợi ích của việc thanh toán bằng mã QR Code</t>
  </si>
  <si>
    <t>Cách thanh toán bằng mã QR giúp người dùng không cần mang theo tiền mặt hay thẻ tín dụng hoặc nếu thẻ tín dụng hết hạn…</t>
  </si>
  <si>
    <t>Mở rộng chủ đề (theo plan): bài nhắc tài khoản, chuyển tiền, mã qr. Liên quan rộng – đọc bài trước khi chèn.</t>
  </si>
  <si>
    <t>https://techcombank.com/thong-tin/blog/lam-ma-qr-ngan-hang-co-mat-phi-khong</t>
  </si>
  <si>
    <t>1. Làm mã QR ngân hàng có mất phí không?</t>
  </si>
  <si>
    <t>Mã QR Cửa hàng giúp hộ kinh doanh quản lý dòng tiền kinh doanh một cách thuận tiện hơn.</t>
  </si>
  <si>
    <t>Mở rộng chủ đề (theo plan): bài nhắc con, tài khoản, ngân hàng.</t>
  </si>
  <si>
    <t>Tạo mã QR riêng cho giao dịch bằng cách chọn Bổ sung số tiền , nhập chính xác số tiền cần nhận (1)</t>
  </si>
  <si>
    <t>1.1. Tạo mã QR với tính năng quét QR</t>
  </si>
  <si>
    <t>Khách hàng tạo mã QR nhận tiền qua Techcombank Mobile chỉ với 2 bước thực hiện.</t>
  </si>
  <si>
    <t>mở tài khoản ngân hàng cho học sinh – 26 link
mở tài khoản ngân hàng dưới 18 tuổi – 4 link</t>
  </si>
  <si>
    <t>https://techcombank.com/thong-tin/blog/pos</t>
  </si>
  <si>
    <t>Thẻ Debit cho con — mở TK cho con dưới 18 tuổi là bước đi kèm.</t>
  </si>
  <si>
    <t>2.3. Thanh toán đơn giản, an toàn</t>
  </si>
  <si>
    <t>Thanh toán bằng quét mã QR Code qua các ứng dụng ngân hàng</t>
  </si>
  <si>
    <t>https://techcombank.com/thong-tin/blog/qr-code-doanh-nghiep</t>
  </si>
  <si>
    <t>1. Mã QR doanh nghiệp và lợi ích khi sử dụng</t>
  </si>
  <si>
    <t>Bên cạnh hình thức thanh toán tiền mặt, quẹt thẻ, khách hàng hiện nay đang ưu tiên lựa chọn chuyển khoản bằng mã QR.</t>
  </si>
  <si>
    <t>https://techcombank.com/thong-tin/blog/qr-dong</t>
  </si>
  <si>
    <t>3. Lợi ích khi sử dụng mã QR động nhận thanh toán tại…</t>
  </si>
  <si>
    <t>Với mã QR động, toàn bộ thông tin giao dịch như số tiền, nội dung chuyển khoản, tài khoản thụ hưởng được tự động điền t…</t>
  </si>
  <si>
    <t>Mở TK online; chèn câu lưu ý cho người dưới 18 tuổi.</t>
  </si>
  <si>
    <t>https://techcombank.com/thong-tin/blog/thanh-toan-ma-qr-tro-thanh-phuong-thuc-duoc-ua-chuong-va-trien-khai-manh-me</t>
  </si>
  <si>
    <t>1. Thanh toán qua mã QR đang trở thành phương thức tất…</t>
  </si>
  <si>
    <t>Hình thức thanh toán bằng mã QR ngày càng được ưa chuộng nhờ sở hữu những ưu điểm như:</t>
  </si>
  <si>
    <t>Quỹ gia đình trên app; chèn ở đoạn thành viên là con. (Liên quan yếu – bản chặt đã loại.)</t>
  </si>
  <si>
    <t>6. Hướng dẫn đăng ký SoftPOS Techcombank</t>
  </si>
  <si>
    <t>Đối với các chủ hộ kinh doanh mới làm quen với ngân hàng, việc mở tài khoản thường đi kèm nhu cầu phát hành thẻ ghi nợ…</t>
  </si>
  <si>
    <t>1. Cách rút tiền mặt từ tài khoản doanh nghiệp bằng séc</t>
  </si>
  <si>
    <t>Trong quá trình thực hiện rút tiền mặt từ tài khoản doanh nghiệp , khách hàng cần lưu ý về thủ tục cũng như cách điền s…</t>
  </si>
  <si>
    <t>https://techcombank.com/thong-tin/blog/in-ma-qr-ngan-hang</t>
  </si>
  <si>
    <t>3. In mã QR ngân hàng có mất phí không?</t>
  </si>
  <si>
    <t>Tương tự, khi sử dụng thẻ tín dụng để rút tiền mặt, bạn cũng cần lưu ý về phí rút tiền thẻ tín dụng Techcombank , vì ph…</t>
  </si>
  <si>
    <t>https://techcombank.com/thong-tin/blog/mm-yy-la-gi</t>
  </si>
  <si>
    <t>1. MM/YY là gì?</t>
  </si>
  <si>
    <t>Trong đa số trường hợp, MM/YY thể hiện ngày hết hạn (Expiration Date) - thời điểm thẻ không còn giá trị sử dụng để rút…</t>
  </si>
  <si>
    <t>2.1. Cần phải trả bao nhiêu khoản phí khi sử dụng thẻ…</t>
  </si>
  <si>
    <t>Phí phát hành thẻ, phí thường niên, phí rút tiền.</t>
  </si>
  <si>
    <t>2. Cách nạp tiền vào ngân hàng tại cây CDM - Cây ATM t…</t>
  </si>
  <si>
    <t>Cây CDM (Cây ATM thế hệ mới) máy nạp/rút tiền tự động cho phép khách hàng nạp/rút tiền mặt 24/7 nhanh chóng và an toàn…</t>
  </si>
  <si>
    <t>7. Kiểm tra trực tiếp tại ngân hàng</t>
  </si>
  <si>
    <t>Ưu điểm của hình thức này là kiểm tra nhanh, chính xác và thuận tiện nếu khách hàng còn cần làm thêm các giao dịch khác…</t>
  </si>
  <si>
    <t>cách quét NFC căn cước</t>
  </si>
  <si>
    <t>https://techcombank.com/thong-tin/blog/cach-dang-ky-dinh-danh-muc-2</t>
  </si>
  <si>
    <t>6. Những câu hỏi thường gặp khi đăng ký định danh mức 2</t>
  </si>
  <si>
    <t>Bố/mẹ đưa trẻ đến cơ quan Công an để quét/xác thực Căn cước của bố/mẹ và của trẻ.</t>
  </si>
  <si>
    <t>quét NFC CCCD</t>
  </si>
  <si>
    <t>5.2. Cách 2: Quét Thẻ căn cước gắn chip</t>
  </si>
  <si>
    <t>Bạn cần chuẩn bị CCCD gắn chip khi mở tài khoản ngân hàng online và bật tính năng quét NFC trên thiết bị di động.</t>
  </si>
  <si>
    <t>1.2. Điền thông tin cá nhân để đăng ký</t>
  </si>
  <si>
    <t>Tham khảo chỉ dẫn, nhấn Xác nhận &gt; Chụp ảnh khuôn mặt &gt; Bật kết nối NFC trên điện thoại, chạm mặt chip trên CCCD vào mặ…</t>
  </si>
  <si>
    <t>Bài viết dưới đây hướng dẫn chi tiết cách đăng ký mã số thuế cá nhân sau ngày 01/07/2025 , các nhóm trường hợp cần cập…</t>
  </si>
  <si>
    <t>https://techcombank.com/thong-tin/blog/the-mastercard-la-gi</t>
  </si>
  <si>
    <t>5.2. Cách làm thẻ MasterCard online</t>
  </si>
  <si>
    <t>Xác nhận Căn cước công dân, ấn Tiếp tục , chọn Mức thu nhập hàng tháng , chia sẻ tình trạng vay bằng cách ấn Có/Không ,…</t>
  </si>
  <si>
    <t>Mở rộng chủ đề (theo plan): bài nhắc tuổi, tài khoản, ngân hàng số.</t>
  </si>
  <si>
    <t>https://techcombank.com/thong-tin/blog/quy-trinh-gui-tien-tiet-kiem</t>
  </si>
  <si>
    <t>3.1. Thủ tục gửi tiết kiệm tại quầy giao dịch</t>
  </si>
  <si>
    <t>Do đó, khách hàng cần mang theo bản sao giấy khai sinh của chủ sổ, giấy CCCD/Thẻ Căn cước của người đại diện, giấy ủy q…</t>
  </si>
  <si>
    <t>3. Khoá thẻ tại phòng giao dịch/chi nhánh ngân hàng</t>
  </si>
  <si>
    <t>Khi đến ngân hàng, bạn cần đem theo CCCD/thẻ căn cước còn hiệu lực để thực hiện thủ tục một cách nhanh chóng, đồng thời…</t>
  </si>
  <si>
    <t>Do đó, để vay tiền nhanh qua app tài chính/ngân hàng, khách hàng cần cập nhật sinh trắc học trên app vay tiền bằng cách…</t>
  </si>
  <si>
    <t>3. Chọn số tài khoản dễ ghi nhớ</t>
  </si>
  <si>
    <t>Một số cách thường được sử dụng để chọn số tài khoản dễ ghi nhớ là chọn số chứa ngày sinh, số điện thoại, số thẻ căn cư…</t>
  </si>
  <si>
    <t>Mở rộng chủ đề (theo plan): bài nhắc tuổi, tài khoản, ngân hàng.</t>
  </si>
  <si>
    <t>Mở rộng chủ đề (theo plan): bài nhắc con, tài khoản, số tài khoản.</t>
  </si>
  <si>
    <t>https://techcombank.com/thong-tin/blog/spaylater</t>
  </si>
  <si>
    <t>3.1. Trường hợp người dùng chưa kích hoạt Ví ShopeePay</t>
  </si>
  <si>
    <t>Quét mã QR trên CCCD gắn chip hoặc chụp ảnh 2 mặt CCCD.</t>
  </si>
  <si>
    <t>https://techcombank.com/thong-tin/blog/thanh-toan-khong-cham-tuong-lai-cua-thanh-toan-so-tai-viet-nam</t>
  </si>
  <si>
    <t>Thanh toán không chạm đang ngày càng trở nên phổ biến, từ việc quét mã QR đến sử dụng NFC, mỗi phương thức đều đáp ứng…</t>
  </si>
  <si>
    <t>Mở rộng chủ đề (theo plan): bài nhắc chuyển khoản, chuyển tiền, internet banking. Liên quan rộng – đọc bài trước khi chèn.</t>
  </si>
  <si>
    <t>Mở rộng chủ đề (theo plan): bài nhắc tuổi, tài khoản.</t>
  </si>
  <si>
    <t>Mở rộng chủ đề (theo plan): bài nhắc chuyển khoản, chuyển tiền, mobile banking. Liên quan rộng – đọc bài trước khi chèn.</t>
  </si>
  <si>
    <t>quét NFC CCCD trên iPhone</t>
  </si>
  <si>
    <t>https://techcombank.com/thong-tin/blog/uu-dai-mua-iphone-18</t>
  </si>
  <si>
    <t>nộp tiền vào tài khoản – 19 link
nạp tiền vào tài khoản ngân hàng – 11 link</t>
  </si>
  <si>
    <t>Máy CDM dùng để nộp tiền — một trong các cách nạp tiền vào TK.</t>
  </si>
  <si>
    <t>Nạp tiền vào thẻ ghi nợ = nạp vào TK gắn thẻ.</t>
  </si>
  <si>
    <t>eco card</t>
  </si>
  <si>
    <t>https://techcombank.com/thong-tin/blog/san-pham-xanh</t>
  </si>
  <si>
    <t>5.1. Thẻ ngân hàng xanh (Eco Card)</t>
  </si>
  <si>
    <t>Thẻ ngân hàng xanh (Eco Card) là loại thẻ được thiết kế nhằm giảm thiểu tác động đến môi trường trong suốt vòng đời sản…</t>
  </si>
  <si>
    <t>TK 0 đồng → giải pháp nạp thêm tiền.</t>
  </si>
  <si>
    <t>Techcombank Eco</t>
  </si>
  <si>
    <t>https://techcombank.com/thong-tin/blog/dau-chan-carbon</t>
  </si>
  <si>
    <t>3.1. Bù đắp lượng CO₂ đã phát thải</t>
  </si>
  <si>
    <t>Không chỉ theo dõi CO₂ qua chi tiêu, Techcombank Eco còn giúp bạn hành động thiết thực để bù đắp dấu chân carbon của mì…</t>
  </si>
  <si>
    <t>https://techcombank.com/thong-tin/blog/phi-rut-tien-mat-the-tin-dung</t>
  </si>
  <si>
    <t>3. Lưu ý trước khi rút tiền mặt từ thẻ tín dụng</t>
  </si>
  <si>
    <t>…thẻ phù hợp với nhu cầu chi tiêu và ưu đãi, bao gồm cả Eco Card , trước khi liên hệ đội ngũ chuyên viên của ngân hàng …</t>
  </si>
  <si>
    <t>3.1. Đối với mã QR tài khoản thanh toán doanh nghiệp</t>
  </si>
  <si>
    <t>&gt;&gt;&gt; Tìm hiểu về Eco Card - Thẻ tín dụng Techcombank Visa Eco - Sống xanh, Tiêu sành</t>
  </si>
  <si>
    <t>Visa Debit Eco Card - Thẻ xanh đầu tiên tại Việt Nam theo dõi dấu chân Carbon.</t>
  </si>
  <si>
    <t>Nhắc: nộp tiền.</t>
  </si>
  <si>
    <t>https://techcombank.com/thong-tin/blog/rut-tien-tiet-kiem-truoc-thoi-han</t>
  </si>
  <si>
    <t>2. Rút tiền tiết kiệm trước kỳ hạn có được nhận tiền l…</t>
  </si>
  <si>
    <t>&gt;&gt;&gt; Khách hàng cũng có thể sử dụng eco card để quản lý thanh toán và liên kết với tài khoản tiết k…</t>
  </si>
  <si>
    <t>https://techcombank.com/thong-tin/blog/the-tin-dung-mien-phi-thuong-nien</t>
  </si>
  <si>
    <t>6. Thẻ tín dụng Techcombank Visa Eco</t>
  </si>
  <si>
    <t>…o của Techcombank, mức phí thường niên áp dụng cho thẻ Techcombank Eco là 599,000 VND/năm/thẻ.</t>
  </si>
  <si>
    <t>Nhắc: atm.</t>
  </si>
  <si>
    <t>thẻ Eco</t>
  </si>
  <si>
    <t>https://techcombank.com/thong-tin/blog/voucher-starbucks</t>
  </si>
  <si>
    <t>1. Cập nhật danh sách voucher Starbucks từ Techcombank</t>
  </si>
  <si>
    <t>Giảm 25,000 VND khi mang bình cá nhân và thanh toán Xpays với thẻ Eco (xem thể lệ chi tiết )</t>
  </si>
  <si>
    <t>https://techcombank.com/thong-tin/blog/esg</t>
  </si>
  <si>
    <t>7.2. Đối với khách hàng cá nhân</t>
  </si>
  <si>
    <t>Ưu tiên sử dụng thẻ Eco phiên bản phi vật lý để thanh toán online, thêm thẻ và…</t>
  </si>
  <si>
    <t>https://techcombank.com/thong-tin/blog/the-tin-dung-techcombank-visa-eco</t>
  </si>
  <si>
    <t>2.2. Tính năng theo dõi dấu chân Carbon trên Techcomba…</t>
  </si>
  <si>
    <t>…n uống, mua sắm...) và giá trị của từng giao dịch trên thẻ Eco.</t>
  </si>
  <si>
    <t>https://techcombank.com/thong-tin/blog/the-tin-dung-nao-nhieu-uu-dai-nhat</t>
  </si>
  <si>
    <t>2.6. Thẻ tín dụng Techcombank Visa Eco</t>
  </si>
  <si>
    <t>Thẻ tín dụng Techcombank Visa Eco, mở ra hành trình sống xanh đầy hứng khởi với cả “bầu trời” ưu đãi dành cho chủ thẻ:</t>
  </si>
  <si>
    <t>Nhắc: nạp tiền.</t>
  </si>
  <si>
    <t>https://techcombank.com/thong-tin/blog/mr-eco</t>
  </si>
  <si>
    <t>Hiểu được nhu cầu duy trì lối sống cân bằng – năng động của khách hàng, Techcombank hợp tác cùng Mr.Eco Healthy Food ma…</t>
  </si>
  <si>
    <t>https://techcombank.com/thong-tin/blog/tra-gop-hoc-phi</t>
  </si>
  <si>
    <t>3. Thanh toán học phí, nhận điểm U-Point với thẻ tín d…</t>
  </si>
  <si>
    <t>Ưu đãi dành cho chủ thẻ tín dụng Techcombank Visa Eco :</t>
  </si>
  <si>
    <t>https://techcombank.com/thong-tin/blog/uu-dai-the-tin-dung</t>
  </si>
  <si>
    <t>7. Thẻ tín dụng Techcombank Visa Eco</t>
  </si>
  <si>
    <t>https://techcombank.com/thong-tin/blog/cac-loai-the-tin-dung</t>
  </si>
  <si>
    <t>3. Hướng dẫn chọn thẻ tín dụng Techcombank phù hợp</t>
  </si>
  <si>
    <t>– Chọn Techcombank Visa Eco :</t>
  </si>
  <si>
    <t>https://techcombank.com/thong-tin/blog/oneu</t>
  </si>
  <si>
    <t>4.2. Giao dịch qua thẻ thanh toán</t>
  </si>
  <si>
    <t>Techcombank Visa Eco;</t>
  </si>
  <si>
    <t>https://techcombank.com/thong-tin/blog/tieu-dung-ben-vung</t>
  </si>
  <si>
    <t>5.2. Lựa chọn ngân hàng và dịch vụ tài chính xanh</t>
  </si>
  <si>
    <t>Phát hành khoảng 1 triệu thẻ thanh toán và thẻ tín dụng Techcombank Visa Eco tích hợp công nghệ theo dõi dấu chân carbon</t>
  </si>
  <si>
    <t>https://techcombank.com/thong-tin/blog/phi-thuong-nien-la-gi</t>
  </si>
  <si>
    <t>3.3. Trở thành khách hàng hội viên của ngân hàng</t>
  </si>
  <si>
    <t>Miễn phí thường niên trọn đời với thẻ thanh toán nội địa và thẻ thanh toán quốc tế (trừ Thẻ thanh toán Techcombank Visa…</t>
  </si>
  <si>
    <t>5.6. Thẻ tín dụng Techcombank Visa Eco</t>
  </si>
  <si>
    <t>Thẻ tín dụng Techcombank Visa Eco , mở ra hành trình sống xanh đầy hứng khởi với cả “bầu trời” ưu đãi dành cho chủ thẻ:</t>
  </si>
  <si>
    <t>https://techcombank.com/thong-tin/blog/the-tin-dung-hoan-tien</t>
  </si>
  <si>
    <t>4.6. Thẻ tín dụng Techcombank Visa Eco tích tới 800,00…</t>
  </si>
  <si>
    <t>Thẻ tín dụng Techcombank Visa Eco , mở ra hành trình sống xanh đầy hứng khởi với cả bầu trời ưu đãi dành cho chủ thẻ mớ…</t>
  </si>
  <si>
    <t>https://techcombank.com/thong-tin/blog/xu-huong-tieu-dung</t>
  </si>
  <si>
    <t>1. Xu hướng tiêu dùng bền vững</t>
  </si>
  <si>
    <t>Một sản phẩm nổi bật trong xu hướng này là thẻ thanh toán Techcombank Visa Eco của Techcombank - giải pháp hoàn hảo giú…</t>
  </si>
  <si>
    <t>https://techcombank.com/thong-tin/blog/giao-thong-xanh</t>
  </si>
  <si>
    <t>2.2. Tàu điện Metro - Đường sắt đô thị</t>
  </si>
  <si>
    <t>Sáng đi làm, đi học đúng giờ, không lo kẹt xe giờ cao điểm cùng ưu đãi đi Metro cho chủ thẻ thanh toán (thẻ ghi nợ) T…</t>
  </si>
  <si>
    <t>https://techcombank.com/thong-tin/blog/the-ghi-no-va-the-tin-dung</t>
  </si>
  <si>
    <t>https://techcombank.com/thong-tin/blog/gia-tri-tai-san-rong</t>
  </si>
  <si>
    <t>https://techcombank.com/thong-tin/blog/khau-vi-nha-dau-tu-tpdn-thay-doi-the-nao-sau-nhung-bien-dong-vua-qua</t>
  </si>
  <si>
    <t>https://techcombank.com/thong-tin/blog/mo-the-ghi-no</t>
  </si>
  <si>
    <t>https://techcombank.com/thong-tin/blog/the-ghi-no-la-gi</t>
  </si>
  <si>
    <t>sao kê tài khoản ngân hàng – 28 link
cách sao kê tài khoản ngân hàng – 2 link</t>
  </si>
  <si>
    <t>https://techcombank.com/thong-tin/blog/the-ghi-no-noi-dia</t>
  </si>
  <si>
    <t>Sao kê lương là một dạng sao kê TK — dẫn sang hướng dẫn sao kê chung.</t>
  </si>
  <si>
    <t>cic là gì</t>
  </si>
  <si>
    <t>https://techcombank.com/thong-tin/blog/diem-tin-dung</t>
  </si>
  <si>
    <t>Vậy điểm tín dụng CIC là gì, điểm CIC bao nhiêu là tốt?</t>
  </si>
  <si>
    <t>Bài anh em cho DN; chèn câu dẫn cho TK cá nhân.</t>
  </si>
  <si>
    <t>kiểm tra cic</t>
  </si>
  <si>
    <t>https://techcombank.com/thong-tin/blog/no-nhom-3</t>
  </si>
  <si>
    <t>4. Lời khuyên quản lý tài chính để tránh nợ nhóm 3</t>
  </si>
  <si>
    <t>Kiểm tra CIC định kỳ:</t>
  </si>
  <si>
    <t>tra cứu cic</t>
  </si>
  <si>
    <t>https://techcombank.com/thong-tin/blog/lich-su-tin-dung</t>
  </si>
  <si>
    <t>4. Kiểm tra lịch sử tín dụng như thế nào?</t>
  </si>
  <si>
    <t>Hồ sơ vay qua lương cần sao kê TK.</t>
  </si>
  <si>
    <t>Truy cập website tra cứu CIC:</t>
  </si>
  <si>
    <t>Cơ quan thuế có thể yêu cầu sao kê — chèn ở đoạn đó nếu có. (Liên quan yếu – bản chặt đã loại.)</t>
  </si>
  <si>
    <t>https://techcombank.com/thong-tin/blog/no-chu-y-la-gi</t>
  </si>
  <si>
    <t>5. Nợ chú ý khi nào hay bao lâu thì được xóa?</t>
  </si>
  <si>
    <t>Dùng sao kê để đối chiếu chi tiêu. (Liên quan yếu – bản chặt đã loại.)</t>
  </si>
  <si>
    <t>Nợ chú ý khi nào được xóa khỏi hệ thống tín dụng là câu hỏi được nhiều khách hàng quan tâm.Theo quy định của CIC, nợ ch…</t>
  </si>
  <si>
    <t>Nhắc: chi tiêu.</t>
  </si>
  <si>
    <t>https://techcombank.com/thong-tin/blog/no-xau-nhom-2</t>
  </si>
  <si>
    <t>1. Nợ nhóm 2 là gì?</t>
  </si>
  <si>
    <t>Người vay có thể tra cứu tình trạng nợ của mình bao gồm nhóm nợ, lịch sử thanh toán và điểm tín dụng thông qua website…</t>
  </si>
  <si>
    <t>https://techcombank.com/thong-tin/blog/kinh-nghiem-vay-tien-mua-nha</t>
  </si>
  <si>
    <t>3. Kiểm tra lịch sử tín dụng trước khi nộp hồ sơ</t>
  </si>
  <si>
    <t>&gt;&gt;&gt; Đọc thêm bài viết CIC là gì?</t>
  </si>
  <si>
    <t>https://techcombank.com/thong-tin/blog/kiem-tra-no-xau</t>
  </si>
  <si>
    <t>1. Kiểm tra nợ xấu trong 1 phút trên website CIC</t>
  </si>
  <si>
    <t>Đăng nhập vào website CIC và kiểm tra CIC cá nhân tại phần thông tin cá nhân</t>
  </si>
  <si>
    <t>https://techcombank.com/thong-tin/blog/no-xau</t>
  </si>
  <si>
    <t>3.1. Tra cứu qua website CIC</t>
  </si>
  <si>
    <t>https://techcombank.com/thong-tin/blog/no-xau-la-gi</t>
  </si>
  <si>
    <t>3.1. Tra cứu nợ xấu qua website CIC</t>
  </si>
  <si>
    <t>https://techcombank.com/thong-tin/blog/xep-hang-tin-dung</t>
  </si>
  <si>
    <t>5. Kiểm tra xếp hạng tín dụng ở đâu?</t>
  </si>
  <si>
    <t>https://techcombank.com/thong-tin/blog/vay-von-doanh-nghiep-khong-the-chap</t>
  </si>
  <si>
    <t>2. Điều kiện vay không thế chấp doanh nghiệp</t>
  </si>
  <si>
    <t>Ngân hàng sử dụng điểm tín dụng (CIC) - một chỉ số đo lường độ uy tín và khả năng trả nợ của doanh nghiệp.</t>
  </si>
  <si>
    <t>https://techcombank.com/thong-tin/blog/qua-han-thanh-toan-the-tin-dung-1-ngay</t>
  </si>
  <si>
    <t>1. Quá hạn thanh toán tín dụng 1 ngày có sao không?</t>
  </si>
  <si>
    <t>Khi chậm thanh toán dư nợ thẻ tín dụng, khách hàng sẽ bị hệ thống CIC liệt kê vào danh sách những khách hàng nợ quá hạn…</t>
  </si>
  <si>
    <t>https://techcombank.com/thong-tin/blog/no-xau-co-lam-the-visa-duoc-khong</t>
  </si>
  <si>
    <t>2. Nợ xấu làm thẻ Visa Credit được không?</t>
  </si>
  <si>
    <t>Đồng thời, lịch sử nợ của khách hàng phải được xoá khỏi hệ thống CIC (Trung tâm Thông tin Tín dụng) thì mới được xem xé…</t>
  </si>
  <si>
    <t>7. Giải đáp các thắc mắc khác về SPayLater</t>
  </si>
  <si>
    <t>Ngược lại, nếu thanh toán trễ, thông tin sẽ được cập nhật vào CIC, ảnh hưởng điểm tín dụng cá nhân.</t>
  </si>
  <si>
    <t>Có lịch sử tín dụng tốt, không có nợ xấu trên CIC và các hệ thống tín dụng khác</t>
  </si>
  <si>
    <t>https://techcombank.com/thong-tin/blog/no-the-tin-dung-qua-han</t>
  </si>
  <si>
    <t>1.3. Phải chịu trách nhiệm pháp lý</t>
  </si>
  <si>
    <t>Đồng thời, khi trường hợp này xảy ra, thông tin khoản nợ của khách hàng sẽ bị chuyển thành nợ xấu trên hệ thống CIC, bị…</t>
  </si>
  <si>
    <t>https://techcombank.com/thong-tin/blog/luu-y-khi-su-dung-the-tin-dung</t>
  </si>
  <si>
    <t>1. Thanh toán dư nợ đúng hạn và đầy đủ để có lịch sử t…</t>
  </si>
  <si>
    <t>Nếu thường xuyên thanh toán dư nợ đầy đủ và đúng hạn, điểm tín dụng tích lũy trên CIC của khách hàng sẽ tăng lên.</t>
  </si>
  <si>
    <t>https://techcombank.com/thong-tin/blog/no-xau-co-vay-the-chap-duoc-khong</t>
  </si>
  <si>
    <t>2. Lời khuyên khi người vay thế chấp phát sinh nợ có v…</t>
  </si>
  <si>
    <t>Lịch sử thuộc các nhóm nợ có vấn đề của người vay (nếu có) lưu trữ trên cổng thông tin của Trung tâm Thông tin Tín Dụng…</t>
  </si>
  <si>
    <t>Nhắc: sao kê.</t>
  </si>
  <si>
    <t>https://techcombank.com/thong-tin/blog/vay-tin-chap-khong-tra-duoc-co-sao-khong</t>
  </si>
  <si>
    <t>1. Vay tín chấp không trả được có sao không?</t>
  </si>
  <si>
    <t>Lịch sử thanh toán sẽ được cập nhật trên hệ thống CIC.</t>
  </si>
  <si>
    <t>https://techcombank.com/thong-tin/blog/du-no-tin-dung-la-gi</t>
  </si>
  <si>
    <t>Cách 1: Kiểm tra dư nợ tín dụng trên website của CIC</t>
  </si>
  <si>
    <t>Truy cập vào website của Trung tâm Thông tin Tín dụng Quốc gia (CIC):</t>
  </si>
  <si>
    <t>https://techcombank.com/thong-tin/blog/du-no-la-gi</t>
  </si>
  <si>
    <t>2.8. Dư nợ quá hạn</t>
  </si>
  <si>
    <t>Dư nợ quá hạn là dấu hiệu cảnh báo rủi ro tín dụng, có thể ảnh hưởng trực tiếp đến điểm tín dụng cá nhân (CIC), cũng nh…</t>
  </si>
  <si>
    <t>https://techcombank.com/thong-tin/blog/cam-ket-tin-dung</t>
  </si>
  <si>
    <t>3. Điều kiện để doanh nghiệp được cấp cam kết tín dụng</t>
  </si>
  <si>
    <t>Không có nợ xấu tại các tổ chức tín dụng (thông tin kiểm tra qua hệ thống CIC).</t>
  </si>
  <si>
    <t>https://techcombank.com/thong-tin/blog/vay-han-muc-la-gi</t>
  </si>
  <si>
    <t>Nhắc: chứng minh thu nhập.</t>
  </si>
  <si>
    <t>5.1. Điều kiện vay hạn mức</t>
  </si>
  <si>
    <t>Không có dư nợ xấu trên hệ thống CIC (Trung tâm Tín dụng Quốc gia Việt Nam)</t>
  </si>
  <si>
    <t>2. 4 lợi ích khi vay trả góp</t>
  </si>
  <si>
    <t>Việc thanh toán đúng hạn mỗi tháng sẽ giúp bạn xây dựng lịch sử tín dụng tốt và cải thiện điểm tín dụng (CIC), qua đó t…</t>
  </si>
  <si>
    <t>https://techcombank.com/thong-tin/blog/ho-so-vay-von-cua-doanh-nghiep-gom-nhung-gi</t>
  </si>
  <si>
    <t>3. Quy trình xét duyệt vay vốn</t>
  </si>
  <si>
    <t>Khi xét duyệt khoản vay, ngân hàng sẽ đánh giá lịch sử điểm tín dụng (CIC) - chỉ số đánh giá độ uy tín và khả năng trả…</t>
  </si>
  <si>
    <t>1. Hạn mức thấu chi là gì?</t>
  </si>
  <si>
    <t>Bạn có thể kiểm tra hạn mức thấu chi qua tài khoản được cấp trên ngân hàng số hoặc xem trên hợp đồng ký kết với ngân hà…</t>
  </si>
  <si>
    <t>2. Cách kiểm tra nợ xấu tín dụng trên hệ thống CIC</t>
  </si>
  <si>
    <t>Khi kiểm tra lịch sử tín dụng trên CIC, khách hàng sẽ biết được điểm tín dụng cá nhân và cấp độ nợ xấu của bản thân để…</t>
  </si>
  <si>
    <t>https://techcombank.com/thong-tin/blog/vay-tin-chap-no-xau</t>
  </si>
  <si>
    <t>1.2. Hướng dẫn kiểm tra nợ xấu</t>
  </si>
  <si>
    <t>Kiểm tra các khoản nợ xấu trên website của CIC</t>
  </si>
  <si>
    <t>https://techcombank.com/thong-tin/blog/han-muc-tra-gop-the-tin-dung</t>
  </si>
  <si>
    <t>1. Yêu cầu về hạn mức thẻ tín dụng khi thanh toán trả…</t>
  </si>
  <si>
    <t>Khách hàng có thể kiểm tra hạn mức thẻ tín dụng bằng một trong các cách sau:</t>
  </si>
  <si>
    <t>https://techcombank.com/thong-tin/blog/rut-tien-mat-tu-the-tin-dung</t>
  </si>
  <si>
    <t>3.4. Hạn mức rút tiền mặt từ thẻ tín dụng bị giới hạn</t>
  </si>
  <si>
    <t>Do đó, trước khi thực hiện giao dịch, khách hàng nên kiểm tra hạn mức cụ thể của thẻ và lựa chọn hình thức sử dụng p…</t>
  </si>
  <si>
    <t>https://techcombank.com/thong-tin/blog/han-muc-the-tin-dung</t>
  </si>
  <si>
    <t>2. 5 yếu tố xác định hạn mức thẻ tín dụng</t>
  </si>
  <si>
    <t>Khi đăng ký làm thẻ tín dụng, ngân hàng sẽ tiến hành kiểm tra lịch sử tín dụng của khách hàng cùng với các yếu tố khác…</t>
  </si>
  <si>
    <t>3. Những lưu ý khi sử dụng top ngân hàng số doanh nghi…</t>
  </si>
  <si>
    <t>Kiểm tra điều khoản &amp; phí dịch vụ:</t>
  </si>
  <si>
    <t>số tài khoản phát tài phát lộc – 24 link
dãy số phát tài phát lộc – 6 link</t>
  </si>
  <si>
    <t>Ý nghĩa số 88 — một dãy số phát lộc; dẫn sang bài tổng hợp.</t>
  </si>
  <si>
    <t>3. Quy trình giải ngân của ngân hàng</t>
  </si>
  <si>
    <t>Kiểm tra và hoàn tất hồ sơ:</t>
  </si>
  <si>
    <t>2. 4 chức năng của thẻ ghi nợ quốc tế - Visa Debit</t>
  </si>
  <si>
    <t>Kiểm tra số dư trong thẻ:</t>
  </si>
  <si>
    <t>Ý nghĩa 6868 — cùng chủ đề con số lộc phát.</t>
  </si>
  <si>
    <t>https://techcombank.com/thong-tin/blog/tra-gop-lazada</t>
  </si>
  <si>
    <t>2. 5 bước mua trả góp Lazada bằng thẻ tín dụng</t>
  </si>
  <si>
    <t>Kiểm tra lại thông tin và hoàn tất thanh toán trên Lazada</t>
  </si>
  <si>
    <t>Gợi ý dãy số TK đẹp phát tài phát lộc — sát chủ đề.</t>
  </si>
  <si>
    <t>6.1. Trả góp 0% lãi suất có mất phí không?</t>
  </si>
  <si>
    <t>Khách hàng nên kiểm tra tổng số tiền phải trả trước khi xác nhận.</t>
  </si>
  <si>
    <t>https://techcombank.com/thong-tin/blog/tra-gop-shopee</t>
  </si>
  <si>
    <t>3.3. Hướng dẫn trả góp Shopee bằng SPayLater</t>
  </si>
  <si>
    <t>Cách chọn số TK phát tài — dẫn sang danh sách dãy số.</t>
  </si>
  <si>
    <t>Kiểm tra lại thông tin đơn hàng, nhấn Đặt hàng</t>
  </si>
  <si>
    <t>https://techcombank.com/thong-tin/blog/thanh-toan-tra-gop-qua-the-tin-dung</t>
  </si>
  <si>
    <t>2. Thanh toán trả góp thẻ tín dụng qua Mobile Banking</t>
  </si>
  <si>
    <t>Nhập số tiền tương ứng với yêu cầu trên màn hình &gt; Kiểm tra lại thông tin giao dịch &gt; Nhấn “ Hoàn tất ”.</t>
  </si>
  <si>
    <t>2.3. Bước 3: Xác nhận thông tin thay đổi</t>
  </si>
  <si>
    <t>Lì xì số đẹp phát tài — chèn ở đoạn ý nghĩa con số.</t>
  </si>
  <si>
    <t>Sau khi hoàn tất, nhân viên ngân hàng sẽ kiểm tra và tiến hành thay đổi thông tin số điện thoại của bạn trên hệ thống.</t>
  </si>
  <si>
    <t>https://techcombank.com/thong-tin/blog/tous-les-jours</t>
  </si>
  <si>
    <t>3. Hướng dẫn sử dụng voucher TOUS les JOURS</t>
  </si>
  <si>
    <t>Khách hàng nên kiểm tra cửa hàng được áp dụng voucher trên Techcombank Mobile và app Techcombank OneU</t>
  </si>
  <si>
    <t>Nhắc: số đẹp, tài khoản số.</t>
  </si>
  <si>
    <t>https://techcombank.com/thong-tin/blog/the-visa-co-can-mat-khau-khong</t>
  </si>
  <si>
    <t>Nhắc: lộc.</t>
  </si>
  <si>
    <t>4. Thẻ Visa giao dịch thanh toán trực tuyến có cần mật…</t>
  </si>
  <si>
    <t>Bước 3 - Kiểm tra đơn hàng:</t>
  </si>
  <si>
    <t>4.2. Cách mở thẻ tín dụng quốc tế</t>
  </si>
  <si>
    <t>Khóa/mở khóa thẻ, kiểm tra thông tin thẻ, thanh toán trực tuyến, đặt hạn mức thẻ và liên kết các ví điện tử như:</t>
  </si>
  <si>
    <t>1.1.2. Cách thanh toán thẻ tín dụng qua Mobile Banking</t>
  </si>
  <si>
    <t>Kiểm tra lại thông tin và chọn “Tiếp tục” &gt; Chọn “Thực hiện” để hoàn tất giao dịch.</t>
  </si>
  <si>
    <t>Nhắc: phát tài, lộc.</t>
  </si>
  <si>
    <t>https://techcombank.com/thong-tin/blog/mua-truoc-tra-sau</t>
  </si>
  <si>
    <t>4. Lưu ý khi tham gia mua trước trả sau</t>
  </si>
  <si>
    <t>Kiểm tra lãi suất (nếu có), phí chuyển đổi trả góp, phí trả chậm và các điều kiện áp dụng của từng chương trình</t>
  </si>
  <si>
    <t>Nhắc: ý nghĩa số, lộc.</t>
  </si>
  <si>
    <t>https://techcombank.com/thong-tin/blog/kich-hoat-the-tin-dung-techcombank</t>
  </si>
  <si>
    <t>2. Kích hoạt thẻ tín dụng Techcombank trực tiếp tại ph…</t>
  </si>
  <si>
    <t>Nếu khách hàng tự kích hoạt thẻ tín dụng qua Mobile Banking và không chắc chắn thẻ đã được kích hoạt hay chưa thì dưới…</t>
  </si>
  <si>
    <t>Nhắc: phát lộc, phát tài, ý nghĩa số, lộc.</t>
  </si>
  <si>
    <t>Hãy kiểm tra kỹ các thông tin trước khi xác nhận giao dịch.</t>
  </si>
  <si>
    <t>3.2. Cách kiểm tra số tiền hoàn</t>
  </si>
  <si>
    <t>Tùy theo quy định của từng ngân hàng sẽ có cách thức kiểm tra số tiền hoàn khác nhau.</t>
  </si>
  <si>
    <t>https://techcombank.com/thong-tin/blog/sang-ngang-the-tin-dung</t>
  </si>
  <si>
    <t>5. Hướng dẫn 5 bước sang ngang thẻ tín dụng</t>
  </si>
  <si>
    <t>Ngân hàng kiểm tra các điều kiện để đáp ứng các yêu cầu nội bộ như:</t>
  </si>
  <si>
    <t>https://techcombank.com/thong-tin/blog/thanh-toan-online-bang-the-tin-dung</t>
  </si>
  <si>
    <t>1.1. Thanh toán online qua website mua sắm điện tử</t>
  </si>
  <si>
    <t>Khách hàng sau khi quẹt thẻ online cần chú ý đến thời gian giao hàng và thường xuyên kiểm tra số điện thoại đã đăng ký…</t>
  </si>
  <si>
    <t>https://techcombank.com/thong-tin/blog/the-tin-dung-ao</t>
  </si>
  <si>
    <t>3. Cách làm thẻ tín dụng ảo/phi vật lý</t>
  </si>
  <si>
    <t>Kiểm tra điều kiện đăng ký thẻ tín dụng của ngân hàng.</t>
  </si>
  <si>
    <t>https://techcombank.com/thong-tin/blog/the-tin-dung-co-ma-pin-khong</t>
  </si>
  <si>
    <t>3. Thanh toán bằng thẻ tín dụng có cần mã PIN không?</t>
  </si>
  <si>
    <t>Khi lựa chọn thanh toán bằng hình thức này, khách hàng nên theo sát quá trình nhân viên quẹt thẻ, không để thẻ xa tầm m…</t>
  </si>
  <si>
    <t>3. Chi phí và các thông tin cần biết khi làm lại thẻ t…</t>
  </si>
  <si>
    <t>Sau khi nhận được thẻ tín dụng mới, khách hàng cần tiến hành kiểm tra thông tin thẻ tín dụng ngay tại ngân hàng, bao gồ…</t>
  </si>
  <si>
    <t>Mỗi cuối tuần hoặc cuối tháng, bạn nên kiểm tra báo cáo tổng hợp của ứng dụng để:</t>
  </si>
  <si>
    <t>2.4. An tâm liên kết eTax Mobile nhận thêm ưu đãi</t>
  </si>
  <si>
    <t>Kiểm tra thông tin và ấn Xác thực khi thông tin đã chính xác</t>
  </si>
  <si>
    <t>Mở rộng chủ đề (theo plan): bài nhắc tài khoản, số tài khoản, ngân hàng. Liên quan rộng – đọc bài trước khi chèn.</t>
  </si>
  <si>
    <t>https://techcombank.com/thong-tin/blog/voucher-highland</t>
  </si>
  <si>
    <t>3. Hướng dẫn sử dụng voucher Highlands</t>
  </si>
  <si>
    <t>Mở rộng chủ đề (theo plan): bài nhắc chuyển khoản, chuyển tiền, ngân hàng. Liên quan rộng – đọc bài trước khi chèn.</t>
  </si>
  <si>
    <t>Khách hàng nên kiểm tra cửa hàng được áp dụng voucher trên Techcombank Mobile</t>
  </si>
  <si>
    <t>6. Quản lý chi tiêu dễ dàng</t>
  </si>
  <si>
    <t>Chủ thẻ có thể dựa vào đó để kiểm tra lại cách phân phối nguồn tiền của bản thân và tiến hành cải thiện trong tháng tới.</t>
  </si>
  <si>
    <t>1. Điều kiện mở thẻ tín dụng</t>
  </si>
  <si>
    <t>Cách kiểm tra và cách tăng điểm tín dụng</t>
  </si>
  <si>
    <t>4. 5 Cách tận dụng tối đa thời gian miễn lãi 55 ngày</t>
  </si>
  <si>
    <t>Kiểm tra lịch sử giao dịch và khả năng chi trả để quản lý chi tiêu hiệu quả, tránh tình trạng chi tiêu quá tay gây ảnh…</t>
  </si>
  <si>
    <t>2.4. Nhóm đặc quyền bảo vệ tài sản</t>
  </si>
  <si>
    <t>Quyền lợi chăm sóc sức khỏe, kiểm tra sức khỏe hoặc dịch vụ y tế cao cấp.</t>
  </si>
  <si>
    <t>9. Lưu ý khi sử dụng thẻ tín dụng để tận dụng tối đa ư…</t>
  </si>
  <si>
    <t>Vì thế, khách hàng cần chú ý đọc kỹ quy định của mỗi ưu đãi, chọn đúng lĩnh vực cần thanh toán và kiểm tra lại giá trị…</t>
  </si>
  <si>
    <t>https://techcombank.com/thong-tin/blog/gui-tiet-kiem-lay-lai-hang-thang</t>
  </si>
  <si>
    <t>3.1. Điều kiện &amp; thủ tục</t>
  </si>
  <si>
    <t>Kiểm tra lại thông tin, nhấn Xác nhận .</t>
  </si>
  <si>
    <t>4. 5 lợi ích khi sử dụng thẻ tín dụng là gì?</t>
  </si>
  <si>
    <t>Mọi chi tiêu bằng thẻ tín dụng đều được ghi lại vào bảng sao kê, nên chủ thẻ có thể dễ dàng kiểm tra lại và quản lý dòn…</t>
  </si>
  <si>
    <t>Hoàn thuế trước, kiểm tra sau:</t>
  </si>
  <si>
    <t>https://techcombank.com/thong-tin/blog/cach-huy-the-tin-dung</t>
  </si>
  <si>
    <t>2. Hướng dẫn cách huỷ thẻ tín dụng chỉ với 3 bước</t>
  </si>
  <si>
    <t>Giao dịch viên kiểm tra tình trạng thanh toán dư nợ thẻ tín dụng của chủ thẻ</t>
  </si>
  <si>
    <t>https://techcombank.com/thong-tin/blog/chuyen-tien-tu-han-sang-viet-nam</t>
  </si>
  <si>
    <t>4. Kinh nghiệm giúp chuyển tiền Hàn sang Việt Nam</t>
  </si>
  <si>
    <t>Kiểm tra thông tin người nhận và lưu biên lai</t>
  </si>
  <si>
    <t>Nhập Nhà cung cấp, mã hợp đồng và kiểm tra thông tin khách hàng</t>
  </si>
  <si>
    <t>tra cứu thuế TNCN – 18 link
kiểm tra thuế thu nhập cá nhân – 9 link
kiểm tra thuế TNCN online – 3 link</t>
  </si>
  <si>
    <t>4. Cần lưu ý gì khi tự in mã QR ngân hàng ra giấy?</t>
  </si>
  <si>
    <t>Kiểm tra chất lượng mã QR sau khi in để đảm bảo khả năng thanh toán.</t>
  </si>
  <si>
    <t>Tra cứu nợ thuế TNCN — cùng nhóm tra cứu.</t>
  </si>
  <si>
    <t>4.1. Mở thẻ tín dụng trực tuyến qua Techcombank Mobile</t>
  </si>
  <si>
    <t>Kiểm tra thông tin mở thẻ, ấn Xác nhận</t>
  </si>
  <si>
    <t>Có MST rồi thì kiểm tra thuế TNCN theo MST.</t>
  </si>
  <si>
    <t>2. Hướng dẫn gửi tiền du học trên Techcombank</t>
  </si>
  <si>
    <t>Lựa chọn loại ngoại tệ, kiểm tra hạn mức được chuyển và điền số tiền bạn muốn chuyển, kiểm tra tỷ giá ưu đãi</t>
  </si>
  <si>
    <t>eTax Mobile là kênh kiểm tra thuế TNCN.</t>
  </si>
  <si>
    <t>https://techcombank.com/thong-tin/blog/tien-nhan-roi-nen-lam-gi</t>
  </si>
  <si>
    <t>5. Đầu tư bất động sản</t>
  </si>
  <si>
    <t>Kiểm tra kỹ giấy tờ pháp lý, quy hoạch và tình trạng sở hữu của bất động sản trước khi giao dịch</t>
  </si>
  <si>
    <t>Trước khi hoàn thuế cần kiểm tra số thuế đã nộp.</t>
  </si>
  <si>
    <t>2.2. Hướng dẫn dành cho khách hàng chủ hộ kinh doanh</t>
  </si>
  <si>
    <t>Chọn Lĩnh vực kinh doanh , kiểm tra lại thông tin đăng ký và tiến hành Xác thực để hoàn tất đăng ký mã QR cửa hàng</t>
  </si>
  <si>
    <t>https://techcombank.com/thong-tin/blog/chuyen-tien-tu-my-ve-viet-nam</t>
  </si>
  <si>
    <t>3.2. Hiểu đúng về tỷ giá hối đoái và phí chuyển tiền</t>
  </si>
  <si>
    <t>Hãy kiểm tra kỹ biểu phí tại ngân hàng ở Mỹ trước khi thực hiện lệnh giao dịch.</t>
  </si>
  <si>
    <t>Kiểm tra số thuế đã khấu trừ trước khi quyết toán.</t>
  </si>
  <si>
    <t>https://techcombank.com/thong-tin/blog/mat-the-tin-dung-co-bi-mat-tien-khong</t>
  </si>
  <si>
    <t>4. Hướng dẫn sử dụng thẻ tín dụng an toàn từ Techcomba…</t>
  </si>
  <si>
    <t>Kiểm tra cây ATM trước khi rút tiền:</t>
  </si>
  <si>
    <t>https://techcombank.com/thong-tin/blog/cach-lam-the-ngan-hang-chay-quang-cao-facebook</t>
  </si>
  <si>
    <t>4. Thanh toán quảng cáo Facebook với ưu đãi hấp dẫn tạ…</t>
  </si>
  <si>
    <t>Thanh toán không chạm tại các cửa hàng khi liên kết thẻ với Apple Pay/Google Pay/Samsung Pay, kiểm tra tài khoản ngân h…</t>
  </si>
  <si>
    <t>4. 7 lưu ý khi sử dụng thẻ tín dụng</t>
  </si>
  <si>
    <t>Không kiểm tra sao kê hàng tháng và hóa đơn thanh toán có thể khiến chủ thẻ quên kỳ hạn thanh toán, gây phát sinh phí p…</t>
  </si>
  <si>
    <t>https://techcombank.com/thong-tin/blog/uu-diem-cua-blockchain</t>
  </si>
  <si>
    <t>1. Blockchain là gì?</t>
  </si>
  <si>
    <t>Điều này cho phép người dùng dễ dàng truy cập và kiểm tra thông tin của mình một cách an toàn và minh bạch.</t>
  </si>
  <si>
    <t>Nhắc: nợ thuế, etax.</t>
  </si>
  <si>
    <t>4. Giải đáp thắc mắc khác về cách viết tắt ngày, tháng…</t>
  </si>
  <si>
    <t>Việc hiểu đúng và kiểm tra thường xuyên thông tin này sẽ giúp bạn sử dụng thẻ thuận tiện, tránh bị gián đoạn trong các…</t>
  </si>
  <si>
    <t>1. So sánh việc để tiền trong tài khoản và gửi tiết ki…</t>
  </si>
  <si>
    <t>Cách kiểm tra dư nợ thẻ tín dụng đơn giản</t>
  </si>
  <si>
    <t>3. Điều kiện đăng ký tín dụng doanh nghiệp</t>
  </si>
  <si>
    <t>Quá trình này bao gồm việc kiểm tra tính chính xác của các thông tin cung cấp và đánh giá khả năng tài chính của doanh…</t>
  </si>
  <si>
    <t>Hãy truy cập Techcombank Mobile để kiểm tra voucher đang áp dụng, đổi ưu đãi và sử dụng trong thời hạn quy định.</t>
  </si>
  <si>
    <t>1. Sai thông tin người thụ hưởng</t>
  </si>
  <si>
    <t>Người dùng có thể gặp sai sót tại bước nhập số tài khoản và không kiểm tra lại thông tin tên người thụ hưởng trước khi…</t>
  </si>
  <si>
    <t>3.1. Khai báo tài khoản ngân hàng trên Cổng Dịch vụ cô…</t>
  </si>
  <si>
    <t>Kiểm tra lại toàn bộ thông tin hiển thị trên bảng kê, nhấn Hoàn thành kê khai</t>
  </si>
  <si>
    <t>https://techcombank.com/thong-tin/blog/thanh-toan-quoc-te</t>
  </si>
  <si>
    <t>1. Thanh toán quốc tế là gì?</t>
  </si>
  <si>
    <t>chứng từ thanh toán có thể được lập bằng nhiều ngôn ngữ, nhưng tiếng Anh thường được sử dụng phổ biến trong các giao dị…</t>
  </si>
  <si>
    <t>Nhắc: thu nhập cá nhân, tncn, etax.</t>
  </si>
  <si>
    <t>1.2. Hạn chế khi mở nhiều tài khoản ngân hàng</t>
  </si>
  <si>
    <t>Như vậy, người dùng cần dành thời gian kiểm tra và cập nhật định kỳ các giao dịch, số dư và thông tin liên quan đến từn…</t>
  </si>
  <si>
    <t>Kiểm tra thông tin nhận thẻ và chọn Xác nhận để hoàn tất</t>
  </si>
  <si>
    <t>https://techcombank.com/thong-tin/blog/vang-14k-gia-hom-nay</t>
  </si>
  <si>
    <t>4. Kinh nghiệm mua bán và bảo quản trang sức vàng 14K</t>
  </si>
  <si>
    <t>Kiểm tra thông tin đơn vị bán, đối chiếu tên người nhận trước khi chuyển khoản và lưu lại chứng từ giao dịch.</t>
  </si>
  <si>
    <t>Kiểm tra số dư các tài khoản thanh toán, quản lý thẻ thanh toán/thẻ tín dụng, kiểm tra các khoản vay, tiết kiệm và đầu…</t>
  </si>
  <si>
    <t>Chờ máy đếm tiền &gt; Kiểm tra số tiền đúng với số đã nộp &gt; Bấm Xác nhận để hoàn tất nộp tiền.</t>
  </si>
  <si>
    <t>5. Những lưu ý quan trọng trước khi mua nhà trả góp đư…</t>
  </si>
  <si>
    <t>Với nhà ở hoặc công trình hình thành trong tương lai, người mua cần kiểm tra điều kiện mở bán, quy định đặt cọc và tiến…</t>
  </si>
  <si>
    <t>https://techcombank.com/thong-tin/blog/di-du-lich-nuoc-ngoai-can-chuan-bi-gi</t>
  </si>
  <si>
    <t>1. Hộ chiếu và giấy tờ cá nhân</t>
  </si>
  <si>
    <t>Do đó, việc kiểm tra kỹ lưỡng là vô cùng cần thiết.</t>
  </si>
  <si>
    <t>Tuy nhiên, bạn nên kiểm tra lại trước khi thực hiện bước tiếp theo</t>
  </si>
  <si>
    <t>3. Lỗi do người dùng khi thanh toán thẻ Visa</t>
  </si>
  <si>
    <t>Nhập lại và kiểm tra thông tin trước khi giao dịch.</t>
  </si>
  <si>
    <t>3. Cách lập kế hoạch tài chính với phương pháp 6 chiếc…</t>
  </si>
  <si>
    <t>Sử dụng Google Calendar hoặc các ứng dụng tương tự như Evernote hoặc Notion để thiết lập lịch kiểm tra tài chính định k…</t>
  </si>
  <si>
    <t>https://techcombank.com/thong-tin/blog/cho-vay-kinh-doanh-ho-gia-dinh</t>
  </si>
  <si>
    <t>Mở rộng chủ đề (theo plan): bài nhắc lương, doanh nghiệp.</t>
  </si>
  <si>
    <t>3. Điều kiện vay kinh doanh hộ gia đình</t>
  </si>
  <si>
    <t>Đảm bảo rằng các giao dịch tài chính của hộ kinh doanh là rõ ràng, hợp pháp, có thể kiểm tra, đối chiếu.</t>
  </si>
  <si>
    <t>2.1. Cách tạo thẻ Visa Debit vật lý và phi vật lý</t>
  </si>
  <si>
    <t>Nhập Địa chỉ nhận thẻ, kiểm tra địa chỉ trước khi Xác nhận , đọc lưu ý và kiểm tra lại thông tin, Xác thực khuôn mặt/dấ…</t>
  </si>
  <si>
    <t>https://techcombank.com/thong-tin/blog/dat-ve-may-bay</t>
  </si>
  <si>
    <t>1. Đặt vé máy bay tại website hãng hàng không</t>
  </si>
  <si>
    <t>Kiểm tra thông tin chuyến bay và ấn Tiếp tục/Đăng nhập và tiếp tục</t>
  </si>
  <si>
    <t>4. Quy trình trong giao dịch chuyển tiền thanh toán qu…</t>
  </si>
  <si>
    <t>Sau khi kiểm tra chứng từ hoặc hàng hóa, nếu đồng ý thanh toán, nhà nhập khẩu gửi lệnh chuyển tiền (bằng M/T hoặc T/T)…</t>
  </si>
  <si>
    <t>Tiếp tục chọn Lĩnh vực kinh doanh của cửa hàng, Kiểm tra thông tin cửa hàng bao gồm tên cửa hàng, tài khoản liên kết, c…</t>
  </si>
  <si>
    <t>https://techcombank.com/thong-tin/blog/the-visa-co-thanh-toan-quoc-te-duoc-khong</t>
  </si>
  <si>
    <t>2.2. Dùng thẻ Visa để thanh toán hóa đơn quốc tế online</t>
  </si>
  <si>
    <t>Sau khi chọn được sản phẩm ưng ý, khách hàng điền thông tin sản phẩm &gt; Kiểm tra lại danh sách sản phẩm &gt; Chọn Thêm địa…</t>
  </si>
  <si>
    <t>https://techcombank.com/thong-tin/blog/vay-mua-dien-thoai</t>
  </si>
  <si>
    <t>1.1. Vay tín chấp online</t>
  </si>
  <si>
    <t>Trước khi vay, khách hàng nên chọn ngân hàng hoặc tổ chức tài chính uy tín, kiểm tra kỹ lãi suất, phí liên quan và chỉ…</t>
  </si>
  <si>
    <t>https://techcombank.com/thong-tin/blog/vay-15-trieu</t>
  </si>
  <si>
    <t>5. Lưu ý khi vay 15 triệu online</t>
  </si>
  <si>
    <t>Để cập nhật chính xác nhất, hãy kiểm tra tại techcombank.com hoặc liên hệ hotline 1800 588822 trước khi đăng ký</t>
  </si>
  <si>
    <t>https://techcombank.com/thong-tin/blog/thu-tuc-vay-von-ngan-hang-de-xay-nha</t>
  </si>
  <si>
    <t>Ngân hàng định giá tài sản và kiểm tra lịch sử tín dụng.</t>
  </si>
  <si>
    <t>tên đăng nhập – 21 link
tên đăng nhập tài khoản ngân hàng – 9 link</t>
  </si>
  <si>
    <t>https://techcombank.com/thong-tin/blog/tat-toan-so-tiet-kiem</t>
  </si>
  <si>
    <t>4.2. Quy trình tất toán</t>
  </si>
  <si>
    <t>Đến ngân hàng và điền biểu mẫu yêu cầu tất toán, đợi nhân viên kiểm tra thông tin và khớp chữ ký thì khách hàng sẽ được…</t>
  </si>
  <si>
    <t>Mật khẩu đi cùng tên đăng nhập — bài anh em trực tiếp.</t>
  </si>
  <si>
    <t>6. Lưu ý khi vay tín chấp cho doanh nghiệp</t>
  </si>
  <si>
    <t>Khách hàng mở phần mềm MISA để kiểm tra thông tin mục vay vốn.</t>
  </si>
  <si>
    <t>https://techcombank.com/thong-tin/blog/thu-tuc-chuyen-tien-ra-nuoc-ngoai</t>
  </si>
  <si>
    <t>3. Hướng dẫn chuyển tiền quốc tế trên Techcombank Mobi…</t>
  </si>
  <si>
    <t>Chủ cửa hàng có thể theo dõi trạng thái QR giao dịch, kiểm tra đơn hàng tương ứng đã thanh toán/khả dụng/hết hạn, từ đó…</t>
  </si>
  <si>
    <t>Bảo vệ TK — giữ bí mật tên đăng nhập/mật khẩu.</t>
  </si>
  <si>
    <t>https://techcombank.com/thong-tin/blog/bao-hiem-vat-chat-xe-o-to</t>
  </si>
  <si>
    <t>5.2. Trên hợp đồng bảo hiểm xe ô tô cần quan tâm đến n…</t>
  </si>
  <si>
    <t>Kiểm tra xem giá trị xe được bảo hiểm và tỷ lệ phí có đúng như thỏa thuận ban đầu hay không</t>
  </si>
  <si>
    <t>Đăng nhập + OTP; chèn ở đoạn bước đăng nhập.</t>
  </si>
  <si>
    <t>https://techcombank.com/thong-tin/blog/quy-trinh-cho-vay-tieu-dung</t>
  </si>
  <si>
    <t>3. Nộp hồ sơ và chờ kết quả xét duyệt</t>
  </si>
  <si>
    <t>Sau khi nộp hồ sơ, bạn sẽ chờ ngân hàng/công ty tài chính kiểm tra và xác định các thông tin cơ bản bao gồm:</t>
  </si>
  <si>
    <t>Mất SĐT ảnh hưởng lấy lại thông tin đăng nhập.</t>
  </si>
  <si>
    <t>2. Cách chuyển tiền bằng số tài khoản</t>
  </si>
  <si>
    <t>Nhập nội dung chuyển khoản (nếu có), kiểm tra lại thông tin giao dịch gồm tên, số tài khoản, số tiền.</t>
  </si>
  <si>
    <t>Nhắc: mobile banking.</t>
  </si>
  <si>
    <t>2. Thủ tục mở tài khoản ngân hàng - Cần giấy tờ gì?</t>
  </si>
  <si>
    <t>Kiểm tra, chú ý đến các yêu cầu và hướng dẫn cụ thể từ ngân hàng để đảm bảo thủ tục mở tài khoản được thực hiện đúng qu…</t>
  </si>
  <si>
    <t>https://techcombank.com/thong-tin/blog/so-sanh-bao-hiem-suc-khoe-bo-sung</t>
  </si>
  <si>
    <t>2. 5 lưu ý cần kiểm tra trước khi chọn mua bảo hiểm sứ…</t>
  </si>
  <si>
    <t>Trước khi tham gia bảo hiểm sức khỏe bổ sung (hay bảo hiểm sức khỏe bù đắp viện phí), người tham gia nên kiểm tra kỹ cá…</t>
  </si>
  <si>
    <t>1.2.1. Với mặt trước của séc</t>
  </si>
  <si>
    <t>Ngân hàng sẽ kiểm tra các thông tin quan trọng trên phần này để trích tiền từ tài khoản của bạn.</t>
  </si>
  <si>
    <t>https://techcombank.com/thong-tin/blog/the-chap-la-gi</t>
  </si>
  <si>
    <t>Bên nhận thế chấp</t>
  </si>
  <si>
    <t>Kiểm tra tài sản thế chấp mà không gây cản trở việc sử dụng tài sản của bên thế chấp.</t>
  </si>
  <si>
    <t>Nhắc: internet banking.</t>
  </si>
  <si>
    <t>1. Quy định chuyển đổi tài khoản thu phí hiện tại sang…</t>
  </si>
  <si>
    <t>Kiểm tra số dư, lịch sử giao dịch minh bạch, tiện lợi</t>
  </si>
  <si>
    <t>https://techcombank.com/thong-tin/blog/dao-han-la-gi</t>
  </si>
  <si>
    <t>3. Những lưu ý quan trọng khi đáo hạn khoản vay</t>
  </si>
  <si>
    <t>Trước khi thực hiện đáo hạn, hãy kiểm tra kỹ các điều khoản đã ký – đặc biệt là quy định về lãi suất, phí phạt, hoặc ch…</t>
  </si>
  <si>
    <t>https://techcombank.com/thong-tin/blog/tai-khoan-thanh-toan-la-gi</t>
  </si>
  <si>
    <t>5. Lưu ý khi sử dụng tài khoản thanh toán</t>
  </si>
  <si>
    <t>Kiểm tra số dư tài khoản thường xuyên và thông báo biến động số dư, liên hệ ngay ngân hàng khi có giao dịch lạ</t>
  </si>
  <si>
    <t>4. 7 lưu ý khi rút tiền mặt tại cây ATM</t>
  </si>
  <si>
    <t>Luôn kiểm tra biến động số dư/lịch sử giao dịch sau khi rút tiền</t>
  </si>
  <si>
    <t>https://techcombank.com/thong-tin/blog/chuyen-tien-tro-cap-than-nhan-o-nuoc-ngoai</t>
  </si>
  <si>
    <t>2.2. Cân nhắc tổng thể chi phí giao dịch</t>
  </si>
  <si>
    <t>Đừng quên kiểm tra và so sánh tỷ giá bán ra tại thời điểm thực hiện giao dịch để chọn được thời điểm giao dịch có lợi c…</t>
  </si>
  <si>
    <t>https://techcombank.com/thong-tin/blog/tat-toan</t>
  </si>
  <si>
    <t>3.1. Tất toán tài khoản tiết kiệm/sổ tiết kiệm</t>
  </si>
  <si>
    <t>Điền vào phiếu yêu cầu tất toán, chờ nhân viên kiểm tra thông tin, đối chiếu chữ ký, sau đó tiến hành tất toán và nhận…</t>
  </si>
  <si>
    <t>4. Bí quyết quản lý thuế hiệu quả cho Startup</t>
  </si>
  <si>
    <t>Nhắc: bảo vệ tài khoản.</t>
  </si>
  <si>
    <t>Đây là cơ sở quan trọng để phục vụ công tác kiểm tra, thanh tra thuế, đồng thời tạo sự minh bạch trong quản lý tài chín…</t>
  </si>
  <si>
    <t>https://techcombank.com/thong-tin/blog/dieu-kien-mua-usd-tu-ngan-hang</t>
  </si>
  <si>
    <t>2.2. Bước 2 – Kiểm tra tỷ giá và phí chuyển đổi</t>
  </si>
  <si>
    <t>Trước khi giao dịch, người mua nên kiểm tra tỷ giá USD/VND và các loại phí liên quan.</t>
  </si>
  <si>
    <t>1.5. Đăng nhập và thực hiện giao dịch</t>
  </si>
  <si>
    <t>Nếu đăng nhập bị lỗi, bạn có thể kiểm tra lại thông tin đăng nhập của mình hoặc liên hệ ngay tới hotline của Techcomban…</t>
  </si>
  <si>
    <t>Nhắc: otp.</t>
  </si>
  <si>
    <t>https://techcombank.com/thong-tin/blog/thanh-toan-khi-du-lich-han-quoc</t>
  </si>
  <si>
    <t>1.1. Thẻ thanh toán (thẻ ghi nợ) &amp; thẻ tín dụng quốc tế</t>
  </si>
  <si>
    <t>Du khách nên kiểm tra biểu tượng Visa, Mastercard hoặc JCB tại quầy trước khi thanh toán.</t>
  </si>
  <si>
    <t>7. Lưu ý khi giao dịch liên quan đến tỷ giá hối đoái</t>
  </si>
  <si>
    <t>Kiểm tra các loại phí liên quan:</t>
  </si>
  <si>
    <t>Tình trạng giao dịch được thông báo về thiết bị ngay khi giao dịch thành công, người nhận kiểm tra số tiền ngay trên ứn…</t>
  </si>
  <si>
    <t>https://techcombank.com/thong-tin/blog/tai-khoan-ngan-hang-duoi-50k-co-bi-khoa-khong</t>
  </si>
  <si>
    <t>2. Vấn đề có thể gặp phải khi tài khoản ngân hàng dưới…</t>
  </si>
  <si>
    <t>Vì thế, bạn cần kiểm tra kỹ thông tin quy định của ngân hàng để lưu ý trong quá trình sử dụng.</t>
  </si>
  <si>
    <t>Đối với hộ kinh doanh, việc truy thu thuế thường phát sinh khi cơ quan thuế kiểm tra, thanh tra hoặc đối chiếu dữ liệu…</t>
  </si>
  <si>
    <t>Kiểm tra kỹ thông tin:</t>
  </si>
  <si>
    <t>Nhắc: internet banking, mobile banking.</t>
  </si>
  <si>
    <t>https://techcombank.com/thong-tin/blog/cac-loai-the-ngan-hang</t>
  </si>
  <si>
    <t>4.1. Nguyên tắc sử dụng</t>
  </si>
  <si>
    <t>Kiểm tra các thông tin được in trên thẻ ngay sau khi nhận thẻ vật lý từ ngân hàng .</t>
  </si>
  <si>
    <t>2. Cấu trúc mã IBAN</t>
  </si>
  <si>
    <t>Mã kiểm tra (2 ký tự):</t>
  </si>
  <si>
    <t>https://techcombank.com/thong-tin/blog/cach-thanh-toan-quang-cao-tiktok</t>
  </si>
  <si>
    <t>2.3. Cách 3: Thanh toán quảng cáo TikTok với ví điện tử</t>
  </si>
  <si>
    <t>Kiểm tra thông tin thanh toán tại màn hình thanh toán an toàn → Nhấp Xác nhận</t>
  </si>
  <si>
    <t>Sao kê tài khoản ngân hàng giúp bạn kiểm tra và xác nhận tính toàn vẹn của các giao dịch thanh toán.</t>
  </si>
  <si>
    <t>1. Cách nạp thẻ cào Viettel trả trước, trả sau</t>
  </si>
  <si>
    <t>Sau khi nạp tiền, bạn có thể kiểm tra số dư tài khoản bằng cách bấm cú pháp *101# và nhấn Gọi.</t>
  </si>
  <si>
    <t>https://techcombank.com/thong-tin/blog/the-debit</t>
  </si>
  <si>
    <t>4. Lưu ý khi sử dụng thẻ ngân hàng</t>
  </si>
  <si>
    <t>Kiểm tra thông tin trước giao dịch:</t>
  </si>
  <si>
    <t>https://techcombank.com/thong-tin/blog/cac-loai-bao-hiem-suc-khoe</t>
  </si>
  <si>
    <t>2. Bảo hiểm sức khỏe cao cấp Global Prime</t>
  </si>
  <si>
    <t>Mở rộng quyền lợi kiểm tra sức khỏe định kỳ, tiêm vacxin</t>
  </si>
  <si>
    <t>Nhắc: mật khẩu.</t>
  </si>
  <si>
    <t>3. WACC được ứng dụng như thế nào trong đầu tư và quản…</t>
  </si>
  <si>
    <t>Doanh nghiệp có thể dùng chỉ tiêu này để thẩm định dự án, định giá dòng tiền, xem xét hiệu quả sử dụng vốn và nhận diện…</t>
  </si>
  <si>
    <t>Nhắc: đăng nhập.</t>
  </si>
  <si>
    <t>2.3. Quản lý nhà nước và các hành vi bị cấm</t>
  </si>
  <si>
    <t>ban hành chính sách phát triển TMĐT, xây dựng và vận hành hệ thống quản lý hoạt động TMĐT, kiểm tra và xử lý vi phạm, h…</t>
  </si>
  <si>
    <t>https://techcombank.com/thong-tin/blog/the-napas-la-gi</t>
  </si>
  <si>
    <t>4. Lưu ý khi sử dụng thẻ NAPAS</t>
  </si>
  <si>
    <t>Kiểm tra số dư thường xuyên để phát hiện sớm các giao dịch bất thường</t>
  </si>
  <si>
    <t>6. Nạp thẻ VinaPhone trả trước, trả sau bằng ví điện t…</t>
  </si>
  <si>
    <t>Kiểm tra lại thông tin và nhấn Xác nhận</t>
  </si>
  <si>
    <t>https://techcombank.com/thong-tin/blog/dac-san-nha-trang</t>
  </si>
  <si>
    <t>2. 8 đặc sản Nha Trang nên mua về làm quà</t>
  </si>
  <si>
    <t>Nên kiểm tra kỹ hạn sử dụng, nguồn gốc xuất xứ và quy cách đóng gói trước khi mua</t>
  </si>
  <si>
    <t>6. 3 lưu ý khi sử dụng thẻ ghi nợ</t>
  </si>
  <si>
    <t>Kiểm tra hạn mức chi tiêu thẻ :</t>
  </si>
  <si>
    <t>2. Hướng dẫn mở tài khoản ngân hàng với VNeID</t>
  </si>
  <si>
    <t>Truy cập ứng dụng VNeID và tiến hành đăng nhập theo thông báo trên màn hình, kiểm tra thông tin và nhấn Xác nhận chia s…</t>
  </si>
  <si>
    <t>thuế thu nhập cá nhân – 19 link
thuế TNCN – 10 link
mức đóng thuế thu nhập cá nhân – 1 link</t>
  </si>
  <si>
    <t>Hỏi tiền vào TK có bị tính thuế — liên quan trực tiếp thuế TNCN.</t>
  </si>
  <si>
    <t>Nợ thuế TNCN — người đọc cần hiểu thuế TNCN là gì.</t>
  </si>
  <si>
    <t>4.1. Quy trình gửi tiền tiết kiệm tại quầy</t>
  </si>
  <si>
    <t>Bạn nên kiểm tra lại thông tin sổ/thẻ tiết kiệm và các chứng từ giao dịch để đảm bảo chính xác thông tin.</t>
  </si>
  <si>
    <t>Thu nhập từ lương là đối tượng chịu thuế TNCN. (Liên quan yếu – bản chặt đã loại.)</t>
  </si>
  <si>
    <t>Đọc ngay bài viết dưới đây để hiểu khái niệm, vai trò, cách kiểm tra mã PIN của thẻ ngân hàng và cách đổi mã PIN thẻ AT…</t>
  </si>
  <si>
    <t>https://techcombank.com/thong-tin/blog/bao-hiem-suc-khoe-la-gi</t>
  </si>
  <si>
    <t>5. Kinh nghiệm mua bảo hiểm sức khỏe phù hợp</t>
  </si>
  <si>
    <t>Kiểm tra các quyền lợi mở rộng như thai sản, nha khoa, bệnh hiểm nghèo hoặc tai nạn</t>
  </si>
  <si>
    <t>Qua SMS Banking, khách hàng có thể dễ dàng kiểm tra các thông tin sau:</t>
  </si>
  <si>
    <t>https://techcombank.com/thong-tin/blog/the-atm-tu</t>
  </si>
  <si>
    <t>2. Quy định về ngừng chấp nhận giao dịch thẻ ATM từ tr…</t>
  </si>
  <si>
    <t>Các ngân hàng đang khuyến cáo khách hàng chủ động kiểm tra lại loại thẻ ATM mình đang sử dụng.</t>
  </si>
  <si>
    <t>cách nạp thẻ Viettel</t>
  </si>
  <si>
    <t>https://techcombank.com/thong-tin/blog/thanh-toan-toi-thieu-the-tin-dung</t>
  </si>
  <si>
    <t>3. Cách xem khoản thanh toán tối thiểu thẻ tín dụng</t>
  </si>
  <si>
    <t>Gọi điện trực tiếp qua hotline của ngân hàng phát hành thẻ, cung cấp thông tin để nhân viên hỗ trợ tra cứu cũng là một…</t>
  </si>
  <si>
    <t>2. Hạn mức vay thế chấp sổ đỏ không chỉ dựa trên tài s…</t>
  </si>
  <si>
    <t>Để được tư vấn cụ thể về hạn mức vay thông thường hay sổ đỏ hộ gia đình có vay thế chấp được không cũng như các tiêu ch…</t>
  </si>
  <si>
    <t>https://techcombank.com/thong-tin/blog/kinh-nghiem-vay-the-chap-ngan-hang</t>
  </si>
  <si>
    <t>6. Duy trì lịch sử tín dụng tốt</t>
  </si>
  <si>
    <t>Để đánh giá được mức độ uy tín của từng khách hàng, các ngân hàng sẽ tra cứu thông tin về lịch sử tín dụng trên Trung t…</t>
  </si>
  <si>
    <t>Nhắc: thuế cá nhân.</t>
  </si>
  <si>
    <t>3. Lấy sao kê thẻ tín dụng ở đâu?</t>
  </si>
  <si>
    <t>Lấy sao kê thẻ tín dụng trên ứng dụng ngân hàng số, tiện lợi, có thể tra cứu 24/7, hoàn toàn có thể tải bản PDF</t>
  </si>
  <si>
    <t>https://techcombank.com/thong-tin/blog/thanh-toan-tien-internet-online</t>
  </si>
  <si>
    <t>1. Lợi ích của việc thanh toán tiền Internet online</t>
  </si>
  <si>
    <t>Bạn có thể tra cứu lịch sử thanh toán, lập kế hoạch chi tiêu cho các hóa đơn hàng tháng.</t>
  </si>
  <si>
    <t>Nhắc: thu nhập cá nhân, tncn, lương.</t>
  </si>
  <si>
    <t>2.2. Thanh toán cước qua trang website/app các kênh tr…</t>
  </si>
  <si>
    <t>Hầu hết các đơn vị truyền hình như K+, VTVCab, SCTV, hay VNPT MyTV đều đã phát triển nền tảng website và ứng dụng riêng…</t>
  </si>
  <si>
    <t>https://techcombank.com/thong-tin/blog/vay-ngan-hang-1-ty-moi-thang-tra-bao-nhieu</t>
  </si>
  <si>
    <t>2. Cách tính tiền trả nợ 1 tỷ mỗi tháng kèm ví dụ (5 n…</t>
  </si>
  <si>
    <t>Ngoài ra, khách hàng có thể liên hệ trực tiếp đến ngân hàng cho vay để biết chính xác mức lãi suất tại thời điểm tra cứ…</t>
  </si>
  <si>
    <t>https://techcombank.com/thong-tin/blog/so-the-tin-dung</t>
  </si>
  <si>
    <t>3. Cách kiểm tra đầy đủ số thẻ tín dụng, số CVV/CVC</t>
  </si>
  <si>
    <t>Khách hàng có thể tra cứu thông tin thẻ trên Mobile Banking.</t>
  </si>
  <si>
    <t>Truy cập eTax Mobile, chọn Tra cứu thông tin quyết toán thuế</t>
  </si>
  <si>
    <t>https://techcombank.com/thong-tin/blog/tien-singapore</t>
  </si>
  <si>
    <t>4. 1 Đô Sing bằng bao nhiêu tiền Việt?</t>
  </si>
  <si>
    <t>Để tra cứu tỷ giá SGD/VND mới nhất, bạn có thể cập nhật tại 1 trong 3 kênh sau:</t>
  </si>
  <si>
    <t>2. Cách đăng ký sử dụng Merchant Portal Techcombank</t>
  </si>
  <si>
    <t>Khách hàng có thể tra cứu danh sách các phòng giao dịch, chi nhánh Techcombank gần nhất tại đây.</t>
  </si>
  <si>
    <t>2. Lợi ích khi sử dụng SoftPOS</t>
  </si>
  <si>
    <t>Chủ cửa hàng có thể theo dõi doanh thu, tra cứu lịch sử giao dịch, tra cứu thông tin giao dịch… chỉ với vài thao tác đơ…</t>
  </si>
  <si>
    <t>2. Hình thức phát hành bảo lãnh thực hiện hợp đồng</t>
  </si>
  <si>
    <t>Doanh nghiệp có thể yêu cầu cấp bảo lãnh qua các kênh điện tử , tiện lợi trong việc tiếp nhận, tra cứu và lưu trữ hồ sơ.</t>
  </si>
  <si>
    <t>https://techcombank.com/thong-tin/blog/so-cvv-la-gi</t>
  </si>
  <si>
    <t>5.3. Che mã CVV2/CVC2 trên thẻ</t>
  </si>
  <si>
    <t>Để tra cứu mã CVV2/CVC2 thẻ, bạn sẽ cần truy cập mục Quản lý thẻ trên Mobile Banking.</t>
  </si>
  <si>
    <t>https://techcombank.com/thong-tin/blog/ma-buu-chinh-the-tin-dung</t>
  </si>
  <si>
    <t>Vậy mã bưu chính thẻ tín dụng là gì, khi nào cần sử dụng và tra cứu như thế nào?</t>
  </si>
  <si>
    <t>Dùng thẻ để tra cứu số dư, lịch sử giao dịch và thông tin tài khoản ngay tại máy</t>
  </si>
  <si>
    <t>2. Thủ tục mở lại tài khoản ngân hàng bị khóa tại chi…</t>
  </si>
  <si>
    <t>Sau khi hoàn tất thủ tục, bạn có thể tra cứu thêm mã qr techcombank ở đâu để sử dụng các tiện ích ngân hàng điện tử hiệ…</t>
  </si>
  <si>
    <t>https://techcombank.com/thong-tin/blog/ma-swift-ngan-hang</t>
  </si>
  <si>
    <t>Trong bài viết này, hãy cùng tìm hiểu định nghĩa, cấu trúc, chức năng và cách tra cứu mã SWIFT/BIC ngân hàng nhanh chón…</t>
  </si>
  <si>
    <t>https://techcombank.com/thong-tin/blog/ma-mcc</t>
  </si>
  <si>
    <t>3. Tra cứu mã MCC ở đâu?</t>
  </si>
  <si>
    <t>Khách hàng có thể tra cứu mã MCC (Merchant Category Code) bằng nhiều cách khác nhau, tùy theo nhu cầu và kênh sử dụng:</t>
  </si>
  <si>
    <t>https://techcombank.com/thong-tin/blog/so-the-visa-hop-le</t>
  </si>
  <si>
    <t>4. Cách tra cứu số thẻ Visa khi không có thẻ</t>
  </si>
  <si>
    <t>Số thẻ Visa được dùng để tra cứu nhanh số dư khả dụng của thẻ và chuyển tiền vào thẻ.</t>
  </si>
  <si>
    <t>rút tiền không cần thẻ – 13 link
cách rút tiền bằng mã QR – 10 link
rút tiền bằng mã QR – 7 link</t>
  </si>
  <si>
    <t>https://techcombank.com/thong-tin/blog/cua-hang-tien-loi</t>
  </si>
  <si>
    <t>6. Hướng dẫn cách tìm cửa hàng tiện lợi gần nhất trên…</t>
  </si>
  <si>
    <t>Cách tra cứu cửa hàng tiện lợi gần bạn nhất trên bản đồ.</t>
  </si>
  <si>
    <t>2. Thanh toán tiền điện bằng ứng dụng EVN</t>
  </si>
  <si>
    <t>Hiện nay, Tập đoàn Điện lực Việt Nam (EVN) đã triển khai các ứng dụng chăm sóc khách hàng theo từng khu vực để giúp ngư…</t>
  </si>
  <si>
    <t>Thẻ lỗi không rút được → giải pháp rút bằng QR.</t>
  </si>
  <si>
    <t>3. Cách xử lý khi quên tên đăng nhập vào tài khoản ngâ…</t>
  </si>
  <si>
    <t>Tra cứu tên đăng nhập trên Mobile Banking</t>
  </si>
  <si>
    <t>3.1. Hướng dẫn tra cứu vé máy bay</t>
  </si>
  <si>
    <t>Sau khi thanh toán thành công, việc tra cứu và kiểm tra vé máy bay là rất quan trọng.</t>
  </si>
  <si>
    <t>Nhắc: mã qr.</t>
  </si>
  <si>
    <t>3. Số thẻ ngân hàng nằm ở đâu?</t>
  </si>
  <si>
    <t>https://techcombank.com/thong-tin/blog/chuyen-tien-tu-duc-ve-viet-nam</t>
  </si>
  <si>
    <t>Chuyển đổi sang</t>
  </si>
  <si>
    <t>&gt;&gt;&gt; Để theo dõi tỷ giá chính xác và cập nhật, bạn có thể tra cứu trực tiếp trên trang tỷ giá Techcombank .</t>
  </si>
  <si>
    <t>https://techcombank.com/thong-tin/blog/mua-ve-xem-phim</t>
  </si>
  <si>
    <t>4. Mua vé xem phim tại quầy</t>
  </si>
  <si>
    <t>Nên tra cứu lịch và suất chiếu trên website hoặc ứng dụng của rạp để tránh hết vé, đặc biệt vào các khung “giờ vàng”, c…</t>
  </si>
  <si>
    <t>Người có ý định vay nên liên hệ với ngân hàng cung cấp giải pháp vay thế chấp mua ô tô cũ để cập nhật mức lãi suất chín…</t>
  </si>
  <si>
    <t>https://techcombank.com/thong-tin/blog/1000-te-bang-bao-nhieu-tien-viet</t>
  </si>
  <si>
    <t>Bài viết này sẽ cung cấp mức quy đổi tham khảo và cách tra cứu tỷ giá CNY/VND nhanh chóng, dễ hiểu.</t>
  </si>
  <si>
    <t>https://techcombank.com/thong-tin/blog/1-yen-bang-bao-nhieu-tien-viet-nam</t>
  </si>
  <si>
    <t>4. Làm thế nào để cập nhật tỷ giá Yên Nhật (JPY/VND) c…</t>
  </si>
  <si>
    <t>Nhắc: rút tiền.</t>
  </si>
  <si>
    <t>Bạn có thể tra cứu trực tiếp trên website hoặc qua ứng dụng ngân hàng điện tử.</t>
  </si>
  <si>
    <t>https://techcombank.com/thong-tin/blog/merchant-la-gi</t>
  </si>
  <si>
    <t>2.5. Loa bán hàng</t>
  </si>
  <si>
    <t>Với Loa bán hàng, Merchant có thể nhận thông báo tiền về ngay lập tức, quản lý giao dịch hiệu quả mà không cần tra cứu…</t>
  </si>
  <si>
    <t>Nhắc: rút tiền, atm.</t>
  </si>
  <si>
    <t>https://techcombank.com/thong-tin/blog/1-te-bang-bao-nhieu-tien-viet-nam</t>
  </si>
  <si>
    <t>5. Làm thế nào để cập nhật tỷ giá 1 tệ Trung bằng bao…</t>
  </si>
  <si>
    <t>Để biết chính xác 1 Nhân dân tệ bằng bao nhiêu tiền Việt tại thời điểm giao dịch, bạn nên tra cứu từ các nguồn uy tín d…</t>
  </si>
  <si>
    <t>1.3. Điều kiện về ngành, nghề kinh doanh khi thành lập…</t>
  </si>
  <si>
    <t>Để tra cứu nhanh chóng và chính xác danh mục ngành nghề kinh doanh có điều kiện, bạn có thể thực hiện theo các bước sau:</t>
  </si>
  <si>
    <t>https://techcombank.com/thong-tin/blog/thanh-toan-khi-du-lich-hong-kong</t>
  </si>
  <si>
    <t>2.1. Đổi đô la Hồng Kông tại các ngân hàng uy tín</t>
  </si>
  <si>
    <t>Ngân hàng công khai tỷ giá mua – bán tại quầy, trên website và các kênh số để khách hàng thuận tiện tra cứu.</t>
  </si>
  <si>
    <t>https://techcombank.com/thong-tin/blog/thanh-toan-khi-du-lich-singapore</t>
  </si>
  <si>
    <t>2.2. Kiểm tra tỷ giá và phí giao dịch quốc tế trước kh…</t>
  </si>
  <si>
    <t>Để chủ động kiểm soát chi phí và tối ưu ngân sách chi tiêu, bạn nên chủ động tra cứu trước tỷ giá quy đổi cùng biểu phí…</t>
  </si>
  <si>
    <t>4. Nạp thẻ MobiFone trả trước, trả sau qua ứng dụng My…</t>
  </si>
  <si>
    <t>Ngoài tính năng nạp tiền, My MobiFone còn hỗ trợ người dùng tra cứu cước, kiểm tra lưu lượng data, đăng ký các gói khuy…</t>
  </si>
  <si>
    <t>Có thể lập giấy nộp tiền thủ công hoặc sử dụng chức năng “Tra cứu” để nộp nhanh các khoản đã có ID</t>
  </si>
  <si>
    <t>2.2. Thông tin trên thẻ ATM</t>
  </si>
  <si>
    <t>tra cứu cic miễn phí</t>
  </si>
  <si>
    <t>Cả hai kênh đều cho phép tra cứu thuế cá nhân online miễn phí và trả kết quả ngay tại thời điểm thao tác;</t>
  </si>
  <si>
    <t>quét NFC CCCD – 7 link
cách quét NFC căn cước – 7 link
(+16 link nên bỏ: bài không có đoạn liên quan)</t>
  </si>
  <si>
    <t>2. Hướng dẫn 3 cách kiểm tra mã số thuế doanh nghiệp n…</t>
  </si>
  <si>
    <t>Xác thực sinh trắc học yêu cầu quét NFC chip CCCD.</t>
  </si>
  <si>
    <t>Bạn có thể dễ dàng kiểm tra hay tra cứu mã số thuế doanh nghiệp trực tuyến hoàn toàn miễn phí thông qua 3 kênh chính th…</t>
  </si>
  <si>
    <t>2. Kiểm tra bằng dịch vụ Mobile Banking</t>
  </si>
  <si>
    <t>Khách hàng có thể tra cứu hạn mức thẻ tín dụng mọi lúc mọi nơi, nhanh chóng và miễn phí qua Mobile Banking.</t>
  </si>
  <si>
    <t>eKYC dùng NFC CCCD để định danh.</t>
  </si>
  <si>
    <t>Định danh mức 2 cần quét CCCD gắn chip.</t>
  </si>
  <si>
    <t>Trong bài viết này, hãy cùng tìm hiểu về phí thường niên, thời điểm phát sinh, cách tra cứu và một số tips để miễn phí…</t>
  </si>
  <si>
    <t>Mở TK online có bước quét NFC CCCD.</t>
  </si>
  <si>
    <t>rút tiền thẻ tín dụng</t>
  </si>
  <si>
    <t>Hiện nay, có nhiều khách hàng lầm tưởng rằng rút tiền thẻ tín dụng không mất phí, lạm dụng rút tiền từ thẻ tín dụng dẫn…</t>
  </si>
  <si>
    <t>Nhắc: cccd, định danh.</t>
  </si>
  <si>
    <t>https://techcombank.com/thong-tin/blog/the-visa-co-rut-tien-duoc-khong</t>
  </si>
  <si>
    <t>1. Thẻ Visa có rút được tiền không?</t>
  </si>
  <si>
    <t>Tùy từng ngân hàng và loại thẻ Visa Credit mà hạn mức rút tiền mặt có thể dao động từ 50% - 80% tổng hạn mức tín dụng.</t>
  </si>
  <si>
    <t>https://techcombank.com/thong-tin/blog/the-tin-dung-co-chuyen-khoan-duoc-khong</t>
  </si>
  <si>
    <t>Thẻ tín dụng có nhiều tính năng tương đương thẻ thanh toán như thanh toán trực tuyến, quẹt thẻ thanh toán trực tiếp, rú…</t>
  </si>
  <si>
    <t>…hẻ tín dụng để rút tiền mặt, bạn cũng cần lưu ý về phí rút tiền thẻ tín dụng Techcombank , vì phí này có thể ảnh hưởng…</t>
  </si>
  <si>
    <t>quẹt thẻ tín dụng lấy tiền mặt</t>
  </si>
  <si>
    <t>https://techcombank.com/thong-tin/blog/ty-le-thanh-toan-khong-dung-tien-mat-trong-linh-vuc-y-te-con-han-che</t>
  </si>
  <si>
    <t>2. Các giải pháp để thúc đẩy thanh toán không tiền mặt…</t>
  </si>
  <si>
    <t>Bên cạnh đó, các bệnh viện nên cung cấp đa dạng các hình thức thanh toán không tiền mặt như quẹt thẻ, sử dụng thẻ thanh…</t>
  </si>
  <si>
    <t>4. Cần phải làm gì khi quá hạn thanh toán thẻ tín dụng…</t>
  </si>
  <si>
    <t>Sau khi thanh toán xong nợ quá hạn, khách hàng nên chú ý sử dụng thẻ tín dụng đúng theo thỏa thuận với ngân hàng, không…</t>
  </si>
  <si>
    <t>Nhắc: cccd.</t>
  </si>
  <si>
    <t>3. Chi tiêu tiện lợi với đa dạng hình thức thanh toán</t>
  </si>
  <si>
    <t>Khách hàng cũng có thể rút tiền mặt từ thẻ tín dụng như các thẻ ATM thông thường, tuy nhiên mức phí sẽ cao hơn và tính…</t>
  </si>
  <si>
    <t>2.1. Ví điện tử là gì? Một số ví điện tử phổ biến hiện…</t>
  </si>
  <si>
    <t>Người dùng có thể nạp tiền từ tài khoản ngân hàng, thẻ tín dụng hoặc các kênh trực tuyến khác, sau đó dễ dàng thanh toá…</t>
  </si>
  <si>
    <t>Nếu có nhu cầu rút tiền từ thẻ tín dụng, khách hàng nên lấy tay che lại các thao tác nhập mã PIN để bảo mật thông tin.</t>
  </si>
  <si>
    <t>2.3. Thẻ thanh toán/tín dụng</t>
  </si>
  <si>
    <t>Với thẻ thanh toán/tín dụng, Merchant có thể linh hoạt sử cho mục đích kinh doanh như quẹt thẻ thanh toán, rút tiền, ch…</t>
  </si>
  <si>
    <t>Hiện nay, có 2 cách để rút tiền mặt từ tài khoản doanh nghiệp là sử dụng séc hoặc giấy rút tiền.</t>
  </si>
  <si>
    <t>Bài viết dưới đây sẽ giải thích chi tiết CDM là gì, cách sử dụng để nộp và rút tiền, cũng như cách tìm CDM gần nhất, gi…</t>
  </si>
  <si>
    <t>Mở rộng chủ đề (theo plan): bài nhắc tài khoản, ngân hàng số, số tài khoản. Liên quan rộng – đọc bài trước khi chèn.</t>
  </si>
  <si>
    <t>2. 8+ ngân hàng hỗ trợ rút tiền bằng mã QR khác ngân h…</t>
  </si>
  <si>
    <t>Theo công bố của NAPAS tại sự kiện "Lễ ra mắt dịch vụ VietQRCash" diễn ra ngày 7/8/2023, hiện đã có 8 ngân hàng áp dụng…</t>
  </si>
  <si>
    <t>Hiện tại, khách hàng có thể tra cứu hạn mức thẻ tín dụng bằng các cách như:</t>
  </si>
  <si>
    <t>Khách hàng có thể sử dụng thẻ Visa để thanh toán trực tuyến, thanh toán quẹt thẻ, nạp tiền, rút tiền...</t>
  </si>
  <si>
    <t>2. Lưu ý khi rút tiền tại cây ATM</t>
  </si>
  <si>
    <t>Việc chủ động kiểm tra thẻ và tài khoản thường xuyên sẽ giúp bạn có những trải nghiệm giao dịch thuận lợi và an toàn hơ…</t>
  </si>
  <si>
    <t>Ngoài ra, nếu bạn quan tâm đến các giải pháp tài chính bổ trợ, việc tìm hiểu tín dụng tiêu dùng là gì sẽ giúp bạn có th…</t>
  </si>
  <si>
    <t>2. Hướng dẫn rút tiền bằng mã QR nhanh, không cần thẻ…</t>
  </si>
  <si>
    <t>Trên màn hình điện thoại, người dùng lần lượt chọn Loại thẻ (thẻ tín dụng/thẻ ghi nợ), Số thẻ , Tài khoản rút tiền và S…</t>
  </si>
  <si>
    <t>https://techcombank.com/thong-tin/blog/thanh-toan-khong-dung-tien-mat-tro-thanh-xu-huong-tang-truong-chong-mat</t>
  </si>
  <si>
    <t>Ở thời điểm hiện tại, thẻ ngân hàng không chỉ phục vụ mục đích rút tiền mà còn dùng để giao dịch thanh toán trực tiếp t…</t>
  </si>
  <si>
    <t>thẻ Eco – 9 link
Techcombank Eco – 8 link
eco card – 5 link
(+8 link nên bỏ: bài không có đoạn liên quan)</t>
  </si>
  <si>
    <t>https://techcombank.com/thong-tin/blog/tin-dung-la-gi</t>
  </si>
  <si>
    <t>5. Câu hỏi thường gặp</t>
  </si>
  <si>
    <t>Tùy thuộc vào hình thức vay tín dụng, trong một số trường hợp bạn có thể rút tiền mặt từ thẻ tín dụng hoặc tài khoản tí…</t>
  </si>
  <si>
    <t>Bài dấu chân carbon nhắc lợi ích xanh của thẻ Visa Eco.</t>
  </si>
  <si>
    <t>1.2. Phân biệt thẻ tín dụng quốc tế và thẻ tín dụng nộ…</t>
  </si>
  <si>
    <t>Thẻ tín dụng quốc tế và thẻ tín dụng nội địa đều có đầy đủ các chức năng như thanh toán trực tiếp qua máy POS, thanh to…</t>
  </si>
  <si>
    <t>Điểm danh sản phẩm xanh ngành ngân hàng — Eco Card là ví dụ.</t>
  </si>
  <si>
    <t>4.5. Thẻ Visa phi vật lý có rút tiền được không?</t>
  </si>
  <si>
    <t>Chủ thẻ có thể rút tiền từ tài khoản thanh toán liên kết với thẻ ghi nợ phi vật lý, tuy nhiên không thể rút tiền từ tài…</t>
  </si>
  <si>
    <t>2.2. Sử dụng thẻ tín dụng để rút tiền</t>
  </si>
  <si>
    <t>Ngoài thanh toán hóa đơn mua sắm, thẻ tín dụng còn được sử dụng để rút tiền mặt.</t>
  </si>
  <si>
    <t>https://techcombank.com/thong-tin/blog/tien-gui-khong-ky-han</t>
  </si>
  <si>
    <t>5. So sánh tiền gửi không kỳ hạn và tiền gửi có kỳ hạn</t>
  </si>
  <si>
    <t>Song song với việc gửi tiền, nhiều khách hàng cũng chú ý đến yếu tố bảo mật trong giao dịch, chẳng hạn như thắc mắc thẻ…</t>
  </si>
  <si>
    <t>https://techcombank.com/thong-tin/blog/xu-huong-thanh-toan-khong-dung-tien-mat-tai-viet-nam</t>
  </si>
  <si>
    <t>1. Thói quen thanh toán không dùng tiền mặt đang ngày…</t>
  </si>
  <si>
    <t>Người dùng có thể dễ dàng sử dụng thẻ tín dụng, thẻ ghi nợ, chuyển khoản, quét mã QR...</t>
  </si>
  <si>
    <t>2. Cách rút tiền ATM bằng mã QR</t>
  </si>
  <si>
    <t>Nhập thông tin rút tiền, bao gồm Loại thẻ (thẻ tín dụng/thẻ ghi nợ), Số thẻ , Tài khoản rút tiền và Số tiền cần rút , c…</t>
  </si>
  <si>
    <t>https://techcombank.com/thong-tin/blog/lam-the-tin-dung-co-mat-phi-khong</t>
  </si>
  <si>
    <t>2. Phải đóng những phí gì khi sử dụng thẻ tín dụng?</t>
  </si>
  <si>
    <t>Khi phát sinh giao dịch rút tiền mặt từ thẻ tín dụng, chủ thẻ sẽ phải chi trả phí rút tiền.</t>
  </si>
  <si>
    <t>2. Cách sử dụng thẻ Visa Credit Techcombank</t>
  </si>
  <si>
    <t>Sau khi kích hoạt thẻ vật lý thành công, khách hàng có thể sử dụng thẻ để thanh toán, rút tiền, trả góp và trả dư nợ th…</t>
  </si>
  <si>
    <t>2. Rút tiền bằng thẻ tín dụng cần sử dụng mã PIN không?</t>
  </si>
  <si>
    <t>Rút tiền bằng thẻ tín dụng bắt buộc sử dụng mã PIN .</t>
  </si>
  <si>
    <t>https://techcombank.com/thong-tin/blog/the-visa</t>
  </si>
  <si>
    <t>1.1. Khái niệm thẻ Visa (Visa Card)</t>
  </si>
  <si>
    <t>Chủ yếu người dùng thường sử dụng thẻ Visa để mua sắm, thanh toán dịch vụ, chuyển/nạp/rút tiền mặt, trả góp, vay tín dụ…</t>
  </si>
  <si>
    <t>https://techcombank.com/thong-tin/blog/cay-atm-gan-day</t>
  </si>
  <si>
    <t>3. Tìm cây ATM gần đây nhất qua ngân hàng số</t>
  </si>
  <si>
    <t>Việc tìm ATM qua ứng dụng ngân hàng không chỉ nhanh chóng mà còn đảm bảo thông tin chính xác, kèm theo các dịch vụ liên…</t>
  </si>
  <si>
    <t>https://techcombank.com/thong-tin/blog/dang-vay-tra-gop-co-vay-them-duoc-khong</t>
  </si>
  <si>
    <t>2. Trả góp cùng lúc 2 ngân hàng được không?</t>
  </si>
  <si>
    <t>Thực tế, nhiều người tiêu dùng có thể có khoản vay mua nhà ở một ngân hàng và một khoản vay mua xe hoặc thẻ tín dụng ở…</t>
  </si>
  <si>
    <t>Khách hàng vẫn có thể sử dụng thẻ ghi nợ để rút tiền tại các cây ATM thuộc ngân hàng khác, tuy nhiên khách hàng sẽ cần…</t>
  </si>
  <si>
    <t>Nhiều người mới sử dụng thẻ ghi nợ (thẻ thanh toán) thường không rõ thẻ ghi nợ có rút tiền được không.</t>
  </si>
  <si>
    <t>https://techcombank.com/thong-tin/blog/tien-gui-co-ky-han</t>
  </si>
  <si>
    <t>Nhắc: eco.</t>
  </si>
  <si>
    <t>1. Tiền gửi có kỳ hạn là gì?</t>
  </si>
  <si>
    <t>Tiền gửi ngân hàng là khoản tiền mà khách hàng gửi vào ngân hàng hoặc tổ chức tín dụng để được bảo quản, sinh lời và có…</t>
  </si>
  <si>
    <t>Trong thời đại tài chính hiện đại, điểm tín dụng cá nhân đóng vai trò rất quan trọng, không chỉ khi bạn vay tiền mà còn…</t>
  </si>
  <si>
    <t>Trong quá trình vay vốn hoặc sử dụng thẻ tín dụng, việc chậm thanh toán gốc hoặc lãi dù chỉ vài ngày cũng có thể khiến…</t>
  </si>
  <si>
    <t>Khi thanh toán trả góp, khách hàng cần đảm bảo hạn mức còn lại của thẻ tín dụng tại thời điểm mua hàng phải lớn hơn hoặ…</t>
  </si>
  <si>
    <t>Sử dụng thẻ tín dụng mang lại nhiều tiện ích, nhưng để trở thành người chi tiêu thông thái, bạn nên trang bị các kiến t…</t>
  </si>
  <si>
    <t>Nhắc: bền vững.</t>
  </si>
  <si>
    <t>https://techcombank.com/thong-tin/blog/the-tin-dung-phu-la-gi</t>
  </si>
  <si>
    <t>2.1. Ưu điểm</t>
  </si>
  <si>
    <t>Chủ thẻ phụ được hưởng toàn bộ ưu đãi thẻ tín dụng mà chủ thẻ chính sở hữu như hoàn tiền, tích điểm chi tiêu, tích dặm,…</t>
  </si>
  <si>
    <t>5. Gửi tiết kiệm ngân hàng</t>
  </si>
  <si>
    <t>Bên cạnh đó, nếu bạn có thẻ tín dụng, đừng quên lưu ý về phí rút tiền mặt thẻ tín dụng , vì đây có thể là một chi phí k…</t>
  </si>
  <si>
    <t>cách tính tiền điện sinh hoạt</t>
  </si>
  <si>
    <t>https://techcombank.com/thong-tin/blog/mo-the-tin-dung-han-muc-cao</t>
  </si>
  <si>
    <t>2.2. Mở thẻ hạn mức cao thông qua số tiền lưu động tro…</t>
  </si>
  <si>
    <t>Đối với nhóm khách hàng là chủ doanh nghiệp, hộ kinh doanh có lợi nhuận tốt, số tiền giao dịch qua thẻ thường xuyên đạt…</t>
  </si>
  <si>
    <t>https://techcombank.com/thong-tin/blog/the-tin-dung-noi-dia</t>
  </si>
  <si>
    <t>Nếu như sử dụng thẻ tín dụng quốc tế (Visa, MasterCard, JCB…) , khách hàng có thể quẹt thẻ/rút tiền tại hơn 200 quốc gi…</t>
  </si>
  <si>
    <t>https://techcombank.com/thong-tin/blog/tra-gop-qua-the-tin-dung</t>
  </si>
  <si>
    <t>1. Trả góp qua thẻ tín dụng là gì?</t>
  </si>
  <si>
    <t>Trả góp qua thẻ tín dụng là việc sử dụng thẻ tín dụng để thanh toán số tiền cần trả khi mua hàng, sau đó chia nhỏ tổng…</t>
  </si>
  <si>
    <t>Người dùng có thể dùng thẻ ghi nợ Visa để thanh toán các dịch vụ mua sắm online và offline, chuyển tiền, rút tiền tại A…</t>
  </si>
  <si>
    <t>1. Điều kiện mua trả góp trên Lazada</t>
  </si>
  <si>
    <t>Để đăng ký mua trả góp 0% lãi suất trên Lazada bằng thẻ tín dụng, khách hàng cần đáp ứng một số điều kiện sau:</t>
  </si>
  <si>
    <t>1. Nên chọn trả góp điện thoại qua hình thức nào?</t>
  </si>
  <si>
    <t>Dùng thẻ tín dụng để thanh toán tiền mua điện thoại trên sàn thương mại điện tử/cửa hàng có hỗ trợ, sau đó chuyển đổi g…</t>
  </si>
  <si>
    <t>Nhắc: eco, xanh, carbon, bền vững.</t>
  </si>
  <si>
    <t>2.3. Hướng dẫn trả góp Shopee bằng thẻ tín dụng</t>
  </si>
  <si>
    <t>tích điểm - hoàn tiền khi chi tiêu qua chương trình khách hàng thân thiết Techcombank OneU… Khám phá ngay tại trang thẻ…</t>
  </si>
  <si>
    <t>làm thẻ tín dụng</t>
  </si>
  <si>
    <t>Làm thẻ tín dụng có mất phí không là thắc mắc của nhiều người dùng khi có mong muốn mở thẻ.</t>
  </si>
  <si>
    <t>Nhắc: xanh.</t>
  </si>
  <si>
    <t>… nợ thuộc các nhóm nợ xấu 1 và 2, nợ xấu FE vẫn có thể làm thẻ tín dụng tùy theo quy định của từng ngân hàng.</t>
  </si>
  <si>
    <t>CCB</t>
  </si>
  <si>
    <t>Tùy theo quy định của từng ngân hàng, điều kiện, giấy tờ thủ tục và quy trình làm thẻ tín dụng ảo/phi vật lý sẽ khác nh…</t>
  </si>
  <si>
    <t>mở thẻ tín dụng</t>
  </si>
  <si>
    <t>kiểm tra cic – 128 link
tra cứu cic – 49 link
cic là gì – 19 link
tra cứu cic miễn phí – 4 link</t>
  </si>
  <si>
    <t>Làm cách nào để mở thẻ tín dụng hạn mức cao là mối quan tâm của nhiều người dùng có nh…</t>
  </si>
  <si>
    <t>Điểm tín dụng CIC — cần hiểu CIC là gì.</t>
  </si>
  <si>
    <t>…i tiết về định nghĩa, ưu nhược điểm cũng như hướng dẫn mở thẻ tín dụng phụ chính xác nhất cho khách hàng.</t>
  </si>
  <si>
    <t>Lịch sử tín dụng lưu tại CIC.</t>
  </si>
  <si>
    <t>1. 9 ưu điểm của thẻ tín dụng</t>
  </si>
  <si>
    <t>Vì vậy, để quyết định có nên mở thẻ tín dụng không, trước tiên hãy tìm hiểu 9 lợi ích sau đây của thẻ tín dụng:</t>
  </si>
  <si>
    <t>Nợ nhóm 3 bao lâu xóa trên CIC.</t>
  </si>
  <si>
    <t>Nợ cần chú ý được ghi nhận trên CIC.</t>
  </si>
  <si>
    <t>Nếu muốn mở thẻ tín dụng , khách hàng cần phải hoàn trả tất cả các khoản nợ còn lại.</t>
  </si>
  <si>
    <t>Nợ nhóm 2 — tra trên CIC.</t>
  </si>
  <si>
    <t>Mở thẻ tín dụng của ngân hàng nào dễ và tốt nhất?</t>
  </si>
  <si>
    <t>https://techcombank.com/thong-tin/blog/khong-su-dung-the-tin-dung-co-mat-phi-khong</t>
  </si>
  <si>
    <t>…ùng về từng trường hợp sẽ mất phí và không mất phí khi mở thẻ tín dụng nhưng không dùng cùng với biểu phí nếu cần phải…</t>
  </si>
  <si>
    <t>Nhắc: cic, nợ xấu.</t>
  </si>
  <si>
    <t>Nhắc: nợ xấu.</t>
  </si>
  <si>
    <t>https://techcombank.com/thong-tin/blog/mua-iphone-17</t>
  </si>
  <si>
    <t>2. Hướng dẫn mở thẻ tín dụng Techcombank</t>
  </si>
  <si>
    <t>Để đăng ký làm thẻ tín dụng, khách hàng có thể lựa chọn 1 trong 2 hình thức sau:</t>
  </si>
  <si>
    <t>4. Trả góp mua sắm trong và ngoài nước</t>
  </si>
  <si>
    <t>Nhắc: điểm tín dụng.</t>
  </si>
  <si>
    <t>Khách hàng đăng ký làm thẻ tín dụng để mua trả góp cần phải tìm hiểu về lãi suất trả góp, phí thu hộ, phí chuyển đổi tr…</t>
  </si>
  <si>
    <t>Để mở thẻ tín dụng/thẻ ghi nợ ngân hàng cho doanh nghiệp, bạn cần thực hiện một số bước cơ bản sau đây:</t>
  </si>
  <si>
    <t>Khi mở thẻ tín dụng Techcombank Visa Signature, khách hàng sẽ nhận được ưu đãi miễn/hoàn phí khi đạt các điều kiện như…</t>
  </si>
  <si>
    <t>Nhắc: cic.</t>
  </si>
  <si>
    <t>Biểu phí sử dụng là vấn đề quan tâm đầu tiên với những người đang có ý định mở thẻ tín dụng.</t>
  </si>
  <si>
    <t>Ngoài ra, khách hàng nên ưu tiên mở thẻ tín dụng tại các ngân hàng lớn, uy tín để được hưởng hệ thống b…</t>
  </si>
  <si>
    <t>Nếu bạn đang có nhu cầu mở thẻ tín dụng Techcombank, không biết nên mở thẻ tín dụng nào nhiều …</t>
  </si>
  <si>
    <t>1. Các trường hợp cần kiểm tra hạn mức thẻ tín dụng</t>
  </si>
  <si>
    <t>&gt;&gt;&gt; Cách mở thẻ tín dụng không cần chứng minh thu nhập tại Techcombank</t>
  </si>
  <si>
    <t>4. Một số lỗi thường gặp &amp; cách khắc phục khi nhập mã…</t>
  </si>
  <si>
    <t>Tra cứu và nhập đúng mã bưu chính của tỉnh/thành phố bạn khai báo khi đăng ký mở thẻ tín dụng</t>
  </si>
  <si>
    <t>Nhắc: lịch sử tín dụng.</t>
  </si>
  <si>
    <t>Để mở thẻ tín dụng quốc tế, khách hàng cần đáp ứng điều kiện thu nhập và …</t>
  </si>
  <si>
    <t>MM/YY là định dạng ngày tháng được in trên thẻ ngân hàng (bao gồm thẻ ATM, thẻ tín dụng, thẻ Visa, Mastercard, JCB...)…</t>
  </si>
  <si>
    <t>https://techcombank.com/thong-tin/blog/uu-dai-mua-ve-may-bay-bang-the-tin-dung</t>
  </si>
  <si>
    <t>Thẻ tín dụng liên kết với hãng hàng không thường có nhiều ưu đãi hấp dẫn, giúp chủ thẻ có hành trình công tác, du lịch……</t>
  </si>
  <si>
    <t>Nhắc: nợ xấu, điểm tín dụng.</t>
  </si>
  <si>
    <t>2.2. Làm thẻ ngân hàng ở đâu không mất phí?</t>
  </si>
  <si>
    <t>Hiện nay, nhiều ngân hàng đều có chính sách làm thẻ atm miễn phí , phát hành và giao thẻ ATM tại nhà giúp khách hàng ti…</t>
  </si>
  <si>
    <t>Bài viết dưới đây sẽ hướng dẫn cách t hanh toán quảng cáo Facebook bằng thẻ thanh toán (thẻ ghi nợ)/ thẻ tín dụng, ví đ…</t>
  </si>
  <si>
    <t>2.4. Các ưu đãi khác</t>
  </si>
  <si>
    <t>Tặng Bảo hiểm du lịch quốc tế trị giá đến 10,5 tỷ VND, dành tặng miễn phí cho các chủ thẻ thanh toán và thẻ tín dụng qu…</t>
  </si>
  <si>
    <t>Mở rộng chủ đề (theo plan): bài nhắc tín dụng, thẻ tín dụng, hạn mức.</t>
  </si>
  <si>
    <t>3. 5 câu hỏi thường gặp khi làm thẻ ATM</t>
  </si>
  <si>
    <t>Như vậy, bài viết đã hướng dẫn khách hàng 2 cách làm thẻ ATM online tại nhà thông dụng và dễ dàng nhất hiện nay.</t>
  </si>
  <si>
    <t>1. Thẻ Visa có cần mật khẩu không?</t>
  </si>
  <si>
    <t>Hiện nay, cả 2 loại thẻ Visa Debit (thẻ thanh toán) và Visa Credit (thẻ tín dụng) đều cần mật khẩu và chủ thẻ có quyền…</t>
  </si>
  <si>
    <t>Mở rộng chủ đề (theo plan): bài nhắc tín dụng, thẻ tín dụng, sao kê.</t>
  </si>
  <si>
    <t>5. Mua trước trả sau lãi suất từ 0%, nhận loạt ưu đãi…</t>
  </si>
  <si>
    <t>Nếu thường xuyên mua sắm và có nhu cầu chia nhỏ khoản thanh toán, chủ thẻ tín dụng Techcombank có thể chọn 1 trong 3 cá…</t>
  </si>
  <si>
    <t>https://techcombank.com/thong-tin/blog/the-tin-dung-het-han</t>
  </si>
  <si>
    <t>2. 5 câu hỏi thường gặp về thẻ tín dụng/ thẻ ngân hàng…</t>
  </si>
  <si>
    <t>Thẻ tín dụng hết hạn nhưng vẫn còn dư nợ thì phải làm gì?</t>
  </si>
  <si>
    <t>2. Phân loại thẻ NAPAS</t>
  </si>
  <si>
    <t>Thẻ NAPAS có 4 loại, bao gồm thẻ thanh toán nội địa, thẻ tín dụng nội địa, thẻ trả trước nội địa và thẻ kép nội địa.</t>
  </si>
  <si>
    <t>3. Gợi ý ngân hàng mở thẻ ATM nhanh, giao thẻ tận nhà</t>
  </si>
  <si>
    <t>Khách hàng chỉ cần tải và thao tác đơn giản trên ứng dụng Mobile Banking chưa tới 3 phút là đã có thể mở thẻ ATM online…</t>
  </si>
  <si>
    <t>https://techcombank.com/khach-hang-ca-nhan/chi-tieu/the/the-tin-dung/techcombank-everyday</t>
  </si>
  <si>
    <t>Techcombank Everyday</t>
  </si>
  <si>
    <t>https://techcombank.com/thong-tin/blog/anh-trai-vuot-ngan-chong-gai-mua-2</t>
  </si>
  <si>
    <t>6. Techcombank - Nhà Đồng Đầu Tư concert Anh Trai Vượt…</t>
  </si>
  <si>
    <t>Hoàn điểm thưởng U-Point khi thanh toán vé qua thẻ Techcombank Everyday:</t>
  </si>
  <si>
    <t>thẻ tín dụng Techcombank Everyday</t>
  </si>
  <si>
    <t>Trong bài viết dưới đây, Techcombank sẽ bật mí tới khách hàng 8 lợi ích tuyệt vời của thẻ tín dụng hỗ trợ người dùng tr…</t>
  </si>
  <si>
    <t>Mở rộng chủ đề (theo plan): bài nhắc tín dụng, thẻ tín dụng, thẻ visa.</t>
  </si>
  <si>
    <t>Với chủ thẻ tín dụng Techcombank, khách hàng có thể Trả góp linh hoạt - Lãi suất 0%, tại các thương hiệu lớn trên toàn…</t>
  </si>
  <si>
    <t>Mở rộng chủ đề (theo plan): bài nhắc tín dụng, thẻ tín dụng, trả góp.</t>
  </si>
  <si>
    <t>https://techcombank.com/thong-tin/blog/loyalty-la-gi</t>
  </si>
  <si>
    <t>4.3. Trải nghiệm đặc quyền dành cho từng phân hạng Hội…</t>
  </si>
  <si>
    <t>Lãi suất tiết kiệm cao hơn, lợi suất Sinh Lời Tự Động cao hơn, ưu đãi vay tín chấp vào ngày Inspire Day, ưu đãi voucher…</t>
  </si>
  <si>
    <t>1. Thẻ tín dụng có rút tiền được không?</t>
  </si>
  <si>
    <t>Tại Techcombank, khách hàng sẽ được hoàn 100% phí rút tiền mặt nếu đăng ký chuyển đổi trả góp giao dịch rút tiền mặt từ…</t>
  </si>
  <si>
    <t>Mở rộng chủ đề (theo plan): bài nhắc tín dụng, dư nợ, khoản vay.</t>
  </si>
  <si>
    <t>Thẻ ghi nợ và thẻ tín dụng.</t>
  </si>
  <si>
    <t>Thẻ tín dụng Techcombank Visa Signature là thẻ đen quyền lực của Techcombank, được liên kết phát hành với tổ chức VISA.</t>
  </si>
  <si>
    <t>Mở rộng chủ đề (theo plan): bài nhắc tín dụng, thẻ tín dụng, vay.</t>
  </si>
  <si>
    <t>Tham khảo ngay hướng dẫn sử dụng thẻ tín dụng chi tiết cho người mới từ Techcombank trong bài viết sau.</t>
  </si>
  <si>
    <t>Mở rộng chủ đề (theo plan): bài nhắc tín dụng, thẻ tín dụng, dư nợ.</t>
  </si>
  <si>
    <t>Bài viết sau đây sẽ tổng hợp toàn bộ ưu đãi mua vé máy bay bằng thẻ tín dụng của Techcombank mà khách hàng có thể tận d…</t>
  </si>
  <si>
    <t>Trong bài viết sau đây, Techcombank sẽ hướng dẫn khách hàng cách xử lý nhanh chóng khi bị mất thẻ tín dụng và cách bảo…</t>
  </si>
  <si>
    <t>Mở rộng chủ đề (theo plan): bài nhắc tín dụng, thẻ tín dụng, thẻ.</t>
  </si>
  <si>
    <t>2. Vị trí của mã CVV/CVC</t>
  </si>
  <si>
    <t>Truy cập Techcombank Mobile, chọn Tài khoản &amp; Thẻ, chọn Thẻ tín dụng</t>
  </si>
  <si>
    <t>Techcombank mang đến loạt ưu đãi hấp dẫn cho khách hàng sở hữu thẻ thanh toán và thẻ tín dụng khi mua iPhone 17 tại kên…</t>
  </si>
  <si>
    <t>5. 2 câu hỏi thường gặp về thẻ ghi nợ và thẻ tín dụng</t>
  </si>
  <si>
    <t>Khách hàng có thể tham khảo các ưu đãi thẻ tín dụng techcombank hiện hành để tận dụng tối đa các quyền lợi và chương tr…</t>
  </si>
  <si>
    <t>&gt;&gt;&gt; Đăng ký thẻ tín dụng online nhanh chóng, nhận thẻ mới sau 3 - 7 ngày tại Techcombank</t>
  </si>
  <si>
    <t>4.3. Huỷ thẻ tín dụng có mở lại được giống như khóa th…</t>
  </si>
  <si>
    <t>&gt;&gt;&gt; Mở thẻ tín dụng Techcombank ngay hôm nay để nhận được nhiều ưu đãi hấp dẫn!</t>
  </si>
  <si>
    <t>1.1. Thoải mái chi tiêu</t>
  </si>
  <si>
    <t>Mở thẻ tín dụng Techcombank, thoải mái chi tiêu, không lo thiếu tiền.</t>
  </si>
  <si>
    <t>Techcombank hiện đang phát hành 9 dòng thẻ tín dụng với nhiều đặc quyền hấp dẫn dành cho chủ thẻ như mua trước trả sau…</t>
  </si>
  <si>
    <t>4. Lưu ý khi thanh toán trả góp hàng tháng qua thẻ tín…</t>
  </si>
  <si>
    <t>Trong quá trình thanh toán trả góp qua thẻ tín dụng , nếu có nhu cầu tư vấn thêm thông tin, khách hàng vui lòng liên hệ…</t>
  </si>
  <si>
    <t>&gt;&gt;&gt; Để hiểu rõ hơn về những điều khách hàng cần phải làm khi chậm thanh toán thẻ tín dụng, bạn có thể tham khảo bài viế…</t>
  </si>
  <si>
    <t>1. Rút tiền mặt từ thẻ tín dụng có mất phí!</t>
  </si>
  <si>
    <t>Ngày 30/4, khách hàng thực hiện rút tiền 3.000.000 VND từ thẻ tín dụng của Techcombank , phí rút tiền là 4% (tối thiểu…</t>
  </si>
  <si>
    <t>2.1. Thanh toán qua thẻ ngân hàng</t>
  </si>
  <si>
    <t>Techcombank là một trong những ngân hàng tiên phong phát hành thẻ tích hợp công nghệ 3D Secure 1.0 (bao gồm cả thẻ than…</t>
  </si>
  <si>
    <t>1. So sánh vay tín chấp và vay thế chấp</t>
  </si>
  <si>
    <t>Nếu bạn đang quan tâm đến các sản phẩm thẻ ngân hàng, bạn có thể tham khảo ưu đãi thẻ tín dụng techcombank signature để…</t>
  </si>
  <si>
    <t>Chi tiết hãy cùng Techcombank tìm hiểu 7 cách thanh toán thẻ tín dụng trong bài viết dưới đây.</t>
  </si>
  <si>
    <t>1. Thẻ đen là gì? Đặc điểm của thẻ đen</t>
  </si>
  <si>
    <t>Tại Techcombank có các loại thẻ đen bao gồm thẻ tín dụng Techcombank Visa Infinite , thẻ tín dụng Techcombank Priority…</t>
  </si>
  <si>
    <t>https://techcombank.com/thong-tin/blog/dao-han-the-tin-dung</t>
  </si>
  <si>
    <t>4. Làm thế nào để không nợ thẻ tín dụng?</t>
  </si>
  <si>
    <t>Lời khuyên của Techcombank để tránh nợ thẻ tín dụng quá hạn khi dùng:</t>
  </si>
  <si>
    <t>thẻ tín dụng hoàn tiền</t>
  </si>
  <si>
    <t>Nhiều khách hàng lựa chọn cách thanh toán tiền điện nước bằng thẻ tín dụng, thẻ visa vì được chi tiêu trước, trả tiền s…</t>
  </si>
  <si>
    <t>thẻ cashback</t>
  </si>
  <si>
    <t>Techcombank gia tăng lợi ích và trải nghiệm cho chủ thẻ với tính năng tự động hoàn tiền cùng nhiều chương trình cashbac…</t>
  </si>
  <si>
    <t>thẻ hoàn tiền</t>
  </si>
  <si>
    <t>3. Thẻ tín dụng Techcombank Visa Signature</t>
  </si>
  <si>
    <t>Techcombank Visa Signature là dòng thẻ tín dụng cao cấp tại Techcombank, nổi bật với chính sách hoàn tiền tới 10% khi c…</t>
  </si>
  <si>
    <t>Trong bài viết này, Techcombank sẽ cùng bạn so sánh thẻ tín dụng của 8 ngân hàng có nhiều ưu đãi mở thẻ tín dụng nhất,…</t>
  </si>
  <si>
    <t>Nhận tiền và thẻ tín dụng từ cây ATM để hoàn tất quá trình</t>
  </si>
  <si>
    <t>Doanh nghiệp hoàn toàn có thể mở thẻ ngân hàng đi kèm tài khoản thanh toán để tối ưu hóa quản trị tài chính.</t>
  </si>
  <si>
    <t>1. Ưu đãi mua vé máy bay cho tất cả chủ thẻ tín dụng T…</t>
  </si>
  <si>
    <t>Chủ thẻ có thể tận dụng các chương trình hoàn tiền, giảm giá khi đặt vé máy bay qua Traveloka, Trip.com hoặc mua vé trự…</t>
  </si>
  <si>
    <t>Là mã bảo mật được lưu trữ trong dải từ tính hoặc chip của thẻ và được sử dụng khi chủ thẻ thực hiện các giao dịch qua…</t>
  </si>
  <si>
    <t>Mở rộng chủ đề (theo plan): bài nhắc tín dụng, vay.</t>
  </si>
  <si>
    <t>1. Cách 1: Thanh toán quảng cáo Facebook với thẻ thanh…</t>
  </si>
  <si>
    <t>Tên trên thẻ, Số thẻ, MM/YY, CVV và nhấn Lưu để hoàn tất</t>
  </si>
  <si>
    <t>2. Quẹt thẻ Visa có cần mật khẩu không?</t>
  </si>
  <si>
    <t>Chủ thẻ chỉ cần chạm/quẹt thẻ trực tiếp tại các máy POS và ký tên vào hóa đơn là hoàn tất thanh toán.</t>
  </si>
  <si>
    <t>3. Ưu - nhược điểm của thẻ ghi nợ khác gì thẻ tín dụng?</t>
  </si>
  <si>
    <t>Thẻ được tích hợp đa dạng chương trình ưu đãi như giảm giá tới 50%, hoàn tiền tới 5%, tích điểm đổi thưởng và các đặc q…</t>
  </si>
  <si>
    <t>3. Lưu ý khi huỷ thẻ tín dụng</t>
  </si>
  <si>
    <t>Một số giao dịch trực tuyến có thể vẫn đang “treo”, cần chờ ngân hàng cập nhật hoàn tất trước khi khóa thẻ</t>
  </si>
  <si>
    <t>Mở rộng chủ đề (theo plan): bài nhắc tín dụng, dư nợ.</t>
  </si>
  <si>
    <t>Mở rộng chủ đề (theo plan): bài nhắc tín dụng. Liên quan rộng – đọc bài trước khi chèn.</t>
  </si>
  <si>
    <t>Khi dùng thẻ tín dụng, ngân hàng sẽ cho khách hàng “mượn” 1 khoản tiền để chi tiêu, khi đến hạn thanh toán, khách hàng…</t>
  </si>
  <si>
    <t>Người dùng thẻ tín dụng quốc tế được hưởng nhiều tiện ích và ưu đãi hơn , từ thanh toán toàn cầu đến hoàn tiền, tích đi…</t>
  </si>
  <si>
    <t>Do đó, thông tin rút tiền mặt từ thẻ tín dụng không bị mất phí là hoàn toàn sai.</t>
  </si>
  <si>
    <t>Mở rộng chủ đề (theo plan): bài nhắc thẻ visa, mastercard, thẻ. Liên quan rộng – đọc bài trước khi chèn.</t>
  </si>
  <si>
    <t>https://techcombank.com/thong-tin/blog/tiet-kiem-khi-di-du-lich</t>
  </si>
  <si>
    <t>2.1. Ưu đãi thanh toán vé máy bay với thẻ Techcombank</t>
  </si>
  <si>
    <t>Hiện nay khi giao dịch thanh toán vé máy bay bằng thẻ Techcombank, khách hàng có thể hưởng ưu đãi nhận điểm hoàn tiền n…</t>
  </si>
  <si>
    <t>Mở rộng chủ đề (theo plan): bài nhắc hạn mức, khoản vay, vay. Liên quan rộng – đọc bài trước khi chèn.</t>
  </si>
  <si>
    <t>Từ ví dụ để tính tiền lãi phải trả mỗi tháng khi vay ngân hàng 1 tỷ trong 20 năm, bạn hoàn toàn có thể áp dụng để tính…</t>
  </si>
  <si>
    <t>2. Ưu đãi khi thanh toán/chi tiêu</t>
  </si>
  <si>
    <t>Hoàn 100% phí rút tiền mặt nếu đăng ký chuyển đổi trả góp giao dịch rút tiền mặt từ thẻ tín dụng trên Techcombank Mobile</t>
  </si>
  <si>
    <t>Cùng một khoản chi tiêu, nếu chọn đúng thẻ tín dụng Techcombank, bạn có thể tích được nhiều U-Point hoặc hoàn tiền nhiề…</t>
  </si>
  <si>
    <t>Mở rộng chủ đề (theo plan): bài nhắc trả góp, thẻ visa, thẻ. Liên quan rộng – đọc bài trước khi chèn.</t>
  </si>
  <si>
    <t>Nhiều khách hàng khi bị mất thẻ tín dụng thường lo lắng mất thẻ tín dụng có bị mất tiền không .</t>
  </si>
  <si>
    <t>2.3. Thẻ tín dụng Techcombank Visa Signature</t>
  </si>
  <si>
    <t>Thẻ tín dụng Techcombank Visa Signature là thẻ đen quyền lực của Techcombank với ưu đãi hoàn tiền lên tới 10% khi chi t…</t>
  </si>
  <si>
    <t>Mở rộng chủ đề (theo plan): bài nhắc trả góp, khoản vay, vay. Liên quan rộng – đọc bài trước khi chèn.</t>
  </si>
  <si>
    <t>1. Cách gia hạn thẻ tín dụng hết hạn</t>
  </si>
  <si>
    <t>Nếu thẻ tín dụng đạt đủ điều kiện, nhân viên ngân hàng sẽ liên hệ, xác nhận nhu cầu gia hạn và các thông tin liên quan…</t>
  </si>
  <si>
    <t>tích điểm - hoàn tiền khi chi tiêu qua chương trình khách hàng thân thiết Techcombank OneU … Khám phá ngay tại trang th…</t>
  </si>
  <si>
    <t>Nếu khách hàng chậm thanh toán thẻ tín dụng 1 ngày sẽ phải nộp phí phạt quá hạn, tiền lãi quá hạn, đồng thời điểm tín d…</t>
  </si>
  <si>
    <t>Mở rộng chủ đề (theo plan): bài nhắc thẻ visa, thẻ. Liên quan rộng – đọc bài trước khi chèn.</t>
  </si>
  <si>
    <t>1.1.1. Cách thanh toán thẻ tín dụng qua Internet Banki…</t>
  </si>
  <si>
    <t>Nhập số tiền cần thanh toán thẻ tín dụng và nhấn “Thực hiện” để hoàn tất thanh toán.</t>
  </si>
  <si>
    <t>hủy thẻ tín dụng</t>
  </si>
  <si>
    <t>khoản phí duy trì dịch vụ và tiện ích thẻ ngân hàng (ATM, ghi nợ, tín dụng), thu theo năm.</t>
  </si>
  <si>
    <t>3. Cách để không mất phí khi không sử dụng thẻ tín dụng</t>
  </si>
  <si>
    <t>Khi khách hàng không có nhu cầu sử dụng thẻ tín dụng và chắc chắn không sử dụng chiếc thẻ tín dụng này trong tương lai…</t>
  </si>
  <si>
    <t>Trong trường hợp khách hàng có nhu cầu gia tăng tiện ích thanh toán, các lựa chọn mở thẻ tín dụng cũng có thể được xem…</t>
  </si>
  <si>
    <t>Mở rộng chủ đề (theo plan): bài nhắc hạn mức, vay. Liên quan rộng – đọc bài trước khi chèn.</t>
  </si>
  <si>
    <t>4. Đóng thẻ tín dụng có mất phí không?</t>
  </si>
  <si>
    <t>Khách hàng cần liên hệ với ngân hàng hủy thẻ tín dụng nếu không có nhu cầu tiếp tục sử dụng để tránh những k…</t>
  </si>
  <si>
    <t>cách hủy thẻ tín dụng</t>
  </si>
  <si>
    <t>https://techcombank.com/thong-tin/blog/the-tin-dung-bi-khoa</t>
  </si>
  <si>
    <t>hay “thẻ tín dụng bị khóa do nợ xấu không?" Để giúp khách hàng nhanh chóng mở khóa thẻ, bài viết dưới đây đã tổng hợp n…</t>
  </si>
  <si>
    <t>Thẻ tín dụng/thẻ ATM hết hạn có được hủy thẻ không?</t>
  </si>
  <si>
    <t>2.3. Cách 3: Đến trực tiếp ngân hàng yêu cầu khóa thẻ/…</t>
  </si>
  <si>
    <t>…giao dịch của ngân hàng và yêu cầu giao dịch viên khóa/hủy thẻ tín dụng đã bị mất.</t>
  </si>
  <si>
    <t>2. Tính năng của thẻ doanh nghiệp</t>
  </si>
  <si>
    <t>Bằng cách sử dụng thẻ tín dụng hoặc thẻ ghi nợ doanh nghiệp, công ty có thể tận dụng các tính năng sau:</t>
  </si>
  <si>
    <t>Trong bài viết này, hãy cùng tìm hiểu cách phân biệt các loại thẻ tín dụng và cập nhật ưu đãi cho chủ thẻ tại Techcomba…</t>
  </si>
  <si>
    <t>4. Ưu đãi đổi điểm nhận dặm thưởng</t>
  </si>
  <si>
    <t>&gt;&gt;&gt; Tìm hiểu cách tích điểm U-Point với thẻ tín dụng Techcombank trong bài viết Chương trình Khách hàng Thân Thiết Tech…</t>
  </si>
  <si>
    <t>3. Tư vấn chọn loại thẻ tín dụng theo ưu đãi</t>
  </si>
  <si>
    <t>Ngoài ra, khách hàng có thể chọn thẻ tín dụng dựa theo mức thu nhập của bản thân để đảm bảo khả năng chi tiêu và thanh…</t>
  </si>
  <si>
    <t>&gt;&gt;&gt; Truy cập bài viết Điều kiện, thủ tục và cách mở thẻ tín dụng tại ngân hàng chi tiết để đọc hướng dẫn mở thẻ tín dụn…</t>
  </si>
  <si>
    <t>cách tính thuế thu nhập cá nhân</t>
  </si>
  <si>
    <t>4. Nên mở thẻ ghi nợ hay thẻ tín dụng?</t>
  </si>
  <si>
    <t>Điều kiện, thủ tục và cách làm thẻ tín dụng .</t>
  </si>
  <si>
    <t>Mở rộng chủ đề (theo plan): bài nhắc trả góp, vay. Liên quan rộng – đọc bài trước khi chèn.</t>
  </si>
  <si>
    <t>Thực tế, thẻ tín dụng có rất nhiều ưu điểm, tuy nhiên, người cũng cần lưu ý để sử dụng một cách hiệu quả và an toàn.</t>
  </si>
  <si>
    <t>3. Phân loại thẻ tín dụng quốc tế</t>
  </si>
  <si>
    <t>Có nhiều cách phân loại thẻ tín dụng quốc tế nhưng đa số người dùng hiện nay đều phân loại thẻ tín dụng quốc tế dựa trê…</t>
  </si>
  <si>
    <t>&gt;&gt;&gt; Để biết chi tiết về các bước thanh toán dư nợ thẻ tín dụng, khách hàng vui lòng tham khảo thêm bài viết Hướng dẫn 7…</t>
  </si>
  <si>
    <t>Dù mang đến nhiều tiện ích nhưng khách hàng cũng cần phải hiểu rõ các cách thanh toán thẻ tín dụng và quy trình thanh t…</t>
  </si>
  <si>
    <t>Mở rộng chủ đề (theo plan): bài nhắc khoản vay, vay. Liên quan rộng – đọc bài trước khi chèn.</t>
  </si>
  <si>
    <t>3. Nợ thẻ tín dụng quá hạn phải làm sao?</t>
  </si>
  <si>
    <t>Khách hàng có thể tùy chọn cách thanh toán thẻ tín dụng thuận tiện và phù hợp với bản thân nhưng cần tìm hiểu kỹ các bư…</t>
  </si>
  <si>
    <t>Do đó, để tận dụng thẻ tín dụng một cách thông minh và hiệu quả, người dùng cần phải hiểu rõ cách thanh toán bằng thẻ t…</t>
  </si>
  <si>
    <t>Khách hàng nên lựa chọn ưu đãi phù hợp và chú ý thời hạn áp dụng để tận dụng đúng cách và tối ưu các ưu đãi thẻ tín dụn…</t>
  </si>
  <si>
    <t>1. Thẻ tín dụng có chuyển khoản được không?</t>
  </si>
  <si>
    <t>Cách sử dụng thẻ tín dụng hiệu quả</t>
  </si>
  <si>
    <t>Khi vừa hoàn thành một chuyến xe và thanh toán bằng thẻ tín dụng Techcombank Visa Eco, lượng phát thải CO₂ sẽ được ước…</t>
  </si>
  <si>
    <t>Làm cách nào để mở thẻ tín dụng hạn mức cao là mối quan tâm của nhiều người dùng có nhu cầu sử dụng thẻ để thực hiện cá…</t>
  </si>
  <si>
    <t>10. Lưu ý khi sử dụng thẻ tín dụng để tận dụng nhiều ư…</t>
  </si>
  <si>
    <t>Khách hàng cần đọc kỹ các quy định về ưu đãi thẻ tín dụng của mỗi ngân hàng trong từng thời kỳ để biết cách tận dụng cá…</t>
  </si>
  <si>
    <t>https://techcombank.com/thong-tin/blog/lai-suat-the-tin-dung</t>
  </si>
  <si>
    <t>Cùng tìm hiểu sâu hơn về lãi suất thẻ tín dụng cùng Techcombank trong bài viết dưới đây, bao gồm khái niệm, thời điểm p…</t>
  </si>
  <si>
    <t>Để giúp bạn hiểu đúng về loại thẻ này, bài viết này sẽ giải đáp định nghĩa, tính năng, cách làm và cách sử dụng thẻ tín…</t>
  </si>
  <si>
    <t>Trong bài viết này, Techcombank sẽ giải đáp chi tiết các vấn đề xoay quanh thanh toán tối thiểu, bao gồm khái niệm, ưu…</t>
  </si>
  <si>
    <t>Trong bài viết dưới đây, hãy cùng tìm hiểu điều kiện, cách mua trả góp trên Shopee và ưu đãi dành cho chủ thẻ tín dụng…</t>
  </si>
  <si>
    <t>Dưới đây là hướng dẫn chi tiết về 3 cách thanh toán trả góp qua thẻ tín dụng.</t>
  </si>
  <si>
    <t>Để nhanh chóng được trải nghiệm những “đặc quyền” hấp dẫn, hãy cùng Techcombank tìm hiểu chi tiết về cách làm thẻ tín d…</t>
  </si>
  <si>
    <t>5. Thanh toán dư nợ thẻ tín dụng như thế nào?</t>
  </si>
  <si>
    <t>Có 4 cách thanh toán dư nợ thẻ tín dụng:</t>
  </si>
  <si>
    <t>Khi liên kết thẻ thanh toán/thẻ tín dụng quốc tế để thanh toán trực tuyến, khách hàng thường được yêu cầu điền mã số CV…</t>
  </si>
  <si>
    <t>Khi thanh toán bằng thẻ tín dụng trên các website hoặc ứng dụng quốc tế, nhiều người dùng được yêu cầu nhập mã bưu chín…</t>
  </si>
  <si>
    <t>Nhiều người dùng thường nghe nói về thẻ tín dụng đen với những đặc quyền vượt trội, nhưng không phải ai cũng nắm rõ thẻ…</t>
  </si>
  <si>
    <t>https://techcombank.com/thong-tin/blog/3d-secure</t>
  </si>
  <si>
    <t>4. Công nghệ 3D Secure ứng dụng trong ngân hàng Techco…</t>
  </si>
  <si>
    <t>Thẻ tín dụng có mã PIN không là vấn đề thắc mắc của nhiều người khi tìm hiểu về thẻ tín dụng.</t>
  </si>
  <si>
    <t>2. CIC hoạt động như thế nào?</t>
  </si>
  <si>
    <t>Khi bị liệt vào nhóm 3 trở lên, khách hàng sẽ gặp khó khăn trong việc vay vốn, mở thẻ tín dụng, hoặc tiếp cận các sản p…</t>
  </si>
  <si>
    <t>Thẻ tín dụng nội địa là dòng thẻ cho phép chủ thẻ chi tiêu trước, trả tiền sau trong phạm vi lãnh thổ Việt Nam và một s…</t>
  </si>
  <si>
    <t>3. Điều kiện làm hồ sơ trả góp điện thoại với thẻ tín…</t>
  </si>
  <si>
    <t>Đặc biệt, trong thời gian trả góp , thẻ tín dụng của khách hàng không bị đóng/khóa/hủy</t>
  </si>
  <si>
    <t>xếp hạng tín dụng cá nhân</t>
  </si>
  <si>
    <t>Lịch sử tín dụng đóng vai trò như một “bản lý lịch tài chính”, ghi lại toàn bộ quá trình vay và trả nợ của một cá nhân.</t>
  </si>
  <si>
    <t>xếp hạng tín dụng</t>
  </si>
  <si>
    <t>Khách hàng nên cố gắng gia tăng điểm tín dụng, xếp hạng tín dụng nhằm xây dựng uy tín để dự trù cho những khoản vay và …</t>
  </si>
  <si>
    <t>Ngoài ra, các thông tin khác về lịch sử nợ xấu, điểm tín dụng, xếp hạng tín dụng của bạn cũng được thể hiện trong báo c…</t>
  </si>
  <si>
    <t>…g, có thể dẫn đến khóa thẻ, giảm hạn mức tín dụng hoặc xếp hạng tín dụng thấp – gây ảnh hưởng đến khả năng vay vốn tro…</t>
  </si>
  <si>
    <t>https://techcombank.com/thong-tin/blog/vay-tin-chap-ho-kinh-doanh</t>
  </si>
  <si>
    <t>6.1. Cải thiện điểm tín dụng cá nhân</t>
  </si>
  <si>
    <t>Việc mở quá nhiều thẻ tín dụng có thể khiến xếp hạng tín dụng của bạn bị đánh giá không tốt.</t>
  </si>
  <si>
    <t>Một giải pháp giúp những người thuộc nhóm nợ có vấn đề có thể vay thế chấp đó là tìm người bảo lãnh vay có lịch sử tín…</t>
  </si>
  <si>
    <t>Trong lĩnh vực tài chính, tín dụng là một yếu tố quan trọng giúp cá nhân và doanh nghiệp giải quyết các vấn đề liên qua…</t>
  </si>
  <si>
    <t>7.3. Chậm trả góp bao lâu thì bị nợ xấu?</t>
  </si>
  <si>
    <t>Thường vẫn được xếp vào nhóm nợ đủ tiêu chuẩn (nhóm 1) hoặc nợ cần chú ý (nhóm 2) nếu tổ chức tín dụng đánh giá bạn vẫn…</t>
  </si>
  <si>
    <t>https://techcombank.com/thong-tin/blog/thi-truong-trai-phieu-co-hoi-dau-tu-trai-phieu-vang-du-lai-suat-thap</t>
  </si>
  <si>
    <t>“Săn” trái phiếu vàng, dù lãi suất thấp hơn 0.5 – 1% s…</t>
  </si>
  <si>
    <t>Cụ thể, là việc áp dụng xếp hạng tín nhiệm tự nguyện, với mục tiêu đồng hành nhằm góp phần xây dựng thị trường trái phi…</t>
  </si>
  <si>
    <t>2. Quá hạn thanh toán thẻ tín dụng 1 ngày cần trả bao…</t>
  </si>
  <si>
    <t>Khách hàng nên thu xếp thanh toán đầy đủ dư nợ thẻ tín dụng và các khoản phí liên quan để tiếp tục được hưởng các đặc q…</t>
  </si>
  <si>
    <t>Việc mở quá nhiều tài khoản tín dụng hoặc khoản vay mới trong một thời gian ngắn có thể là dấu hiệu của rủi ro, làm giả…</t>
  </si>
  <si>
    <t>3. Ưu đãi nâng hạng hội viên Bông Sen Vàng</t>
  </si>
  <si>
    <t>Không chỉ được hưởng ưu đãi tích điểm, khách hàng là chủ thẻ tín dụng các dòng thẻ Techcombank Visa liên kết với Vietna…</t>
  </si>
  <si>
    <t>5. Giải đáp thắc mắc khác về nợ nhóm 3</t>
  </si>
  <si>
    <t>Đây được xếp vào nhóm “nợ dưới tiêu chuẩn” - mức cảnh báo sớm về rủi ro tín dụng.</t>
  </si>
  <si>
    <t>Mở rộng chủ đề (theo plan): bài nhắc thẻ. Liên quan rộng – đọc bài trước khi chèn.</t>
  </si>
  <si>
    <t>https://techcombank.com/thong-tin/blog/mo-so-tiet-kiem-can-bao-nhieu-tien</t>
  </si>
  <si>
    <t>3. Lời khuyên khi mở sổ tiết kiệm/tài khoản tiền gửi c…</t>
  </si>
  <si>
    <t>Dựa theo bộ tiêu chí đó, Vietnam Report đã đưa ra bảng xếp hạng top 10 ngân hàng thương mại uy tín trong năm 2023 tại V…</t>
  </si>
  <si>
    <t>Mở rộng chủ đề (theo plan): bài nhắc vay. Liên quan rộng – đọc bài trước khi chèn.</t>
  </si>
  <si>
    <t>3. Câu hỏi thường gặp khi nợ thẻ tín dụng quá hạn</t>
  </si>
  <si>
    <t>Trả nợ thẻ tín dụng là trách nhiệm của mỗi người, khách hàng nên thu xếp tài chính hợp lý để thanh toán nợ đầy đủ và đú…</t>
  </si>
  <si>
    <t>4. Ưu đãi về lãi suất thẻ tín dụng</t>
  </si>
  <si>
    <t>Thẻ tín dụng Techcombank Visa Signature được miễn lãi lên tới 55 ngày, giúp chủ thẻ thoải mái chi tiêu và chủ động thu…</t>
  </si>
  <si>
    <t>cách kiểm tra tài khoản ngân hàng</t>
  </si>
  <si>
    <t>https://techcombank.com/thong-tin/blog/nghich-ly-nha-dau-tu-che-trai-phieu-lai-suat-cao-ua-ma-an-toan-du-lai-suat-thap-hon-05-1</t>
  </si>
  <si>
    <t>Yếu tố lãi suất không còn là “then chốt” để chọn mua t…</t>
  </si>
  <si>
    <t>Còn hiện nay, nhà đầu tư đã quan tâm hơn về các quy định của pháp luật, tìm hiểu kỹ thông tin và tình hình hoạt động ki…</t>
  </si>
  <si>
    <t>https://techcombank.com/thong-tin/blog/vay-the-chap-khong-tra-duoc</t>
  </si>
  <si>
    <t>1.3. Bị ảnh hưởng tới lịch sử tín dụng cá nhân</t>
  </si>
  <si>
    <t>Không hoàn trả khoản vay thế chấp sẽ ảnh hưởng tới lịch sử tín dụng cá nhân và cơ hội được vay ngân hàng trong tương la…</t>
  </si>
  <si>
    <t>Không chỉ là một con số, điểm tín dụng hay điểm CIC còn phản ánh mức độ tín nhiệm tài chính của một cá nhân.</t>
  </si>
  <si>
    <t>CIC có nhiệm vụ thu thập, lưu trữ, phân tích và quản lý thông tin tín dụng của cá nhân và tổ chức tại Việt Nam.</t>
  </si>
  <si>
    <t>Mở rộng chủ đề (theo plan): bài nhắc sao kê. Liên quan rộng – đọc bài trước khi chèn.</t>
  </si>
  <si>
    <t>3.2. Bước 2: Tích lũy lại điểm tín dụng uy tín</t>
  </si>
  <si>
    <t>Ngân hàng sẽ cấp thẻ tín dụng cho một khách hàng nếu cá nhân đó đảm bảo khả năng thanh toán của mình.</t>
  </si>
  <si>
    <t>https://techcombank.com/thong-tin/blog/thanh-toan-khoan-vay</t>
  </si>
  <si>
    <t>2.1. Thanh toán khoản vay đúng hạn</t>
  </si>
  <si>
    <t>Khách hàng nên sắp xếp thanh toán khoản vay đúng hạn để không ảnh hưởng tới lịch sử tín dụng cá nhân và khả năng vay vố…</t>
  </si>
  <si>
    <t>4.1. Có thể chi tiêu vượt hạn mức thẻ tín dụng không?</t>
  </si>
  <si>
    <t>Có thể tiêu vượt định mức hạng thẻ trong các trường hợp ngoại lệ được ngân hàng cho phép và phải đạt các điều kiện nhấ…</t>
  </si>
  <si>
    <t>1. Nợ xấu có làm thẻ tín dụng được không?</t>
  </si>
  <si>
    <t>Bởi khi mở thẻ tín dụng , các ngân hàng sẽ kiểm tra hồ sơ tín dụng của khách hàng để đánh giá khả năng thanh toán dư nợ…</t>
  </si>
  <si>
    <t>Khi mới sử dụng thẻ tín dụng, nhiều người thường lo lắng bản thân sử dụng không đúng cách và có thể ảnh hưởng tới tài c…</t>
  </si>
  <si>
    <t>3. Các yếu tố xác định hạn mức vay thế chấp sổ đỏ</t>
  </si>
  <si>
    <t>Để xác định hạn mức thế chấp cho vay, ngân hàng sẽ dựa vào các yếu tố như thông tin của người vay (thông tin pháp lý cá…</t>
  </si>
  <si>
    <t>Trong phần "Thông tin cá nhân", chọn mục "Lịch sử tín dụng".</t>
  </si>
  <si>
    <t>thanh toán dư nợ thẻ tín dụng</t>
  </si>
  <si>
    <t>… quá tay gây ảnh hưởng đến khả năng thực hiện nghĩa vụ thanh toán dư nợ thẻ tín dụng</t>
  </si>
  <si>
    <t>Do đó, bạn nên chủ động thanh toán dư nợ thẻ tín dụng đúng hạn để duy trì lịch sử tín dụng tích cực, đồng th…</t>
  </si>
  <si>
    <t>5. VietinBank iPay</t>
  </si>
  <si>
    <t>thanh toán dư nợ thẻ tín dụng cùng hàng trăm ưu đãi lên đến 50%++ tại các đối tác khi thực hiện thanh toán bằng thẻ</t>
  </si>
  <si>
    <t>2.2. Tài khoản &amp; Thẻ</t>
  </si>
  <si>
    <t>…ch hàng có thể theo dõi lịch sử giao dịch, tải sao kê, thanh toán dư nợ thẻ tín dụng… Các tính năng này không chỉ giúp…</t>
  </si>
  <si>
    <t>https://techcombank.com/thong-tin/blog/ca-nhan-hoa</t>
  </si>
  <si>
    <t>4. Linh hoạt lựa chọn giải pháp chi tiêu cá nhân</t>
  </si>
  <si>
    <t>…ch hàng có thể theo dõi lịch sử giao dịch, tải sao kê, thanh toán dư nợ thẻ tín dụng,… Các tính năng này không chỉ giú…</t>
  </si>
  <si>
    <t>trả nợ thẻ tín dụng</t>
  </si>
  <si>
    <t>5.1. Thanh toán đúng hạn</t>
  </si>
  <si>
    <t>Để đảm bảo thanh toán đúng hạn dư nợ thẻ tín dụng, bạn cần nắm được quy tắc trả nợ thẻ tín dụng và các mốc:</t>
  </si>
  <si>
    <t>cách thanh toán thẻ tín dụng</t>
  </si>
  <si>
    <t>Sao kê tài khoản doanh nghiệp liệt kê tất cả các giao dịch, thanh toán tín dụng mỗi lần thu, chi trong tài khoản.</t>
  </si>
  <si>
    <t>2. Ưu đãi mở thẻ tín dụng Techcombank</t>
  </si>
  <si>
    <t>Tích điểm U-Point khi chi tiêu qua thẻ tín dụng, sử dụng điểm U-Point để đổi thành quà tặng dưới dạng voucher, tiền thư…</t>
  </si>
  <si>
    <t>8. Thẻ tín dụng Vietnam Airlines Techcombank Visa Gold</t>
  </si>
  <si>
    <t>Thẻ tín dụng Vietnam Airlines Techcombank Visa Gold nổi bật với chương trình Tích dặm bay Bông Sen Vàng, phù hợp với nh…</t>
  </si>
  <si>
    <t>3.1. Nâng hạng hội viên Bông Sen Vàng hạng Titan</t>
  </si>
  <si>
    <t>Áp dụng cho chủ thẻ thanh toán hoặc thẻ tín dụng Vietnam Airlines Techcombank Visa , với các trường hợp sau:</t>
  </si>
  <si>
    <t>Bạn nên đảm bảo thẻ tín dụng nằm trong tầm kiểm soát khi thanh toán tại các cửa hàng và yêu cầu nhân viên xuất hóa đơn…</t>
  </si>
  <si>
    <t>Trải nghiệm đặc quyền xứng tầm phong cách sống với thẻ tín dụng Techcombank Visa Infinite/thẻ thanh toán Techcombank Pr…</t>
  </si>
  <si>
    <t>Một số ưu đãi độc quyền mà chủ nhân thẻ tín dụng đen sẽ được trải nghiệm khi thanh toán hoặc mua sắm như:</t>
  </si>
  <si>
    <t>1. Mã số CVV/CVC là gì?</t>
  </si>
  <si>
    <t>Mã số CVV/CVC trên thẻ tín dụng hay thẻ ghi nợ là mã bảo mật của thẻ thanh toán và thẻ tín dụng được phát hành bởi ngân…</t>
  </si>
  <si>
    <t>Thẻ ghi nợ và thẻ tín dụng đều là các phương thức thanh toán không cần tiền mặt được sử dụng phổ biến hiện nay.</t>
  </si>
  <si>
    <t>2.3. Dư nợ tín dụng</t>
  </si>
  <si>
    <t>Dư nợ tín dụng là số tiền khách hàng đã sử dụng từ hạn mức tín dụng được ngân hàng cấp nhưng chưa hoàn trả, thường áp d…</t>
  </si>
  <si>
    <t>rút tiền thẻ tín dụng – 49 link
quẹt thẻ tín dụng lấy tiền mặt – 1 link</t>
  </si>
  <si>
    <t>Vậy thẻ ghi nợ doanh nghiệp (thẻ Visa Business Debit) là gì, thẻ tín dụng là gì, chi tiết về tính năng, các loại giấy t…</t>
  </si>
  <si>
    <t>Bài phí rút tiền — người đọc cần cách rút.</t>
  </si>
  <si>
    <t>Với những khách hàng đang sử dụng thêm các sản phẩm tín dụng khác, chẳng hạn như vay ngân hàng chính sách xây nhà , việ…</t>
  </si>
  <si>
    <t>Thẻ Visa rút tiền được không — dẫn sang hướng dẫn rút từ thẻ tín dụng.</t>
  </si>
  <si>
    <t>Những khách hàng không có khả năng tự quản lý tài chính tốt khi sử dụng thẻ tín dụng sẽ dễ nảy sinh chi tiêu vượt mức d…</t>
  </si>
  <si>
    <t>1. Lưu ý khi tính toán số tiền cần trả ngân hàng mỗi t…</t>
  </si>
  <si>
    <t>Người vay nên áp dụng công thức trả góp để tính số tiền cần trả mỗi tháng khi vay ngân hàng 1 tỷ để có phương án trả nợ…</t>
  </si>
  <si>
    <t>Nhu cầu lấy tiền mặt từ thẻ tín dụng tương tự.</t>
  </si>
  <si>
    <t>https://techcombank.com/thong-tin/blog/chung-chi-tien-gui-la-gi</t>
  </si>
  <si>
    <t>chứng chỉ tiền gửi</t>
  </si>
  <si>
    <t>https://techcombank.com/thong-tin/blog/chung-chi-tien-gui-khac-gi-so-tiet-kiem</t>
  </si>
  <si>
    <t>Chứng chỉ tiền gửi và tiền gửi tiết kiệm/tiền gửi có kỳ hạn đều là những …</t>
  </si>
  <si>
    <t>https://techcombank.com/thong-tin/blog/co-nen-gui-chung-chi-tien-gui</t>
  </si>
  <si>
    <t>Chứng chỉ tiền gửi là một giải pháp tài chính hiệu quả để tối ưu số tiền …</t>
  </si>
  <si>
    <t>https://techcombank.com/thong-tin/blog/cach-tinh-loi-nhuan-chung-chi-tien-gui</t>
  </si>
  <si>
    <t>Bạn muốn mua chứng chỉ tiền gửi nhưng không biết mình sẽ nhận được lợi nhuận bao nhiêu?</t>
  </si>
  <si>
    <t>Lãi suất là một trong những tiêu chí được nhiều người quan tâm khi nắm giữ chứng chỉ tiền gửi tại ngân hàng.</t>
  </si>
  <si>
    <t>3. Mua chứng chỉ tiền gửi</t>
  </si>
  <si>
    <t>Chứng chỉ tiền gửi (CCTG) là giấy tờ có giá do ngân hàng hoặc tổ chức tín…</t>
  </si>
  <si>
    <t>Nhắc: tiền mặt.</t>
  </si>
  <si>
    <t>https://techcombank.com/thong-tin/blog/nguyen-tac-quan-ly-tai-chinh-ca-nhan</t>
  </si>
  <si>
    <t>3. Đầu tư thông minh</t>
  </si>
  <si>
    <t>Chứng chỉ tiền gửi Bảo Lộc Online trên Techcombank Mobile.</t>
  </si>
  <si>
    <t>https://techcombank.com/thong-tin/blog/thanh-khoan-la-gi</t>
  </si>
  <si>
    <t>1.2. Phân biệt tài sản thanh khoản cao và thanh khoản…</t>
  </si>
  <si>
    <t>Tiền mặt, tiền gửi thanh toán, chứng chỉ tiền gửi ngắn hạn, cổ phiếu/trái phiếu của các doanh nghiệp có khối lượng giao…</t>
  </si>
  <si>
    <t>3.2. Tất toán chứng chỉ tiền gửi</t>
  </si>
  <si>
    <t>Tất toán chứng chỉ tiền gửi là hành động chấm dứt quyền sở hữu chứng chỉ tiền gửi của khách hàng tại ngân hàng phát hàn…</t>
  </si>
  <si>
    <t>… bổ dòng vốn vào các tài sản như cổ phiếu, trái phiếu, chứng chỉ tiền gửi...</t>
  </si>
  <si>
    <t>Nhắc: rút tiền, tiền mặt.</t>
  </si>
  <si>
    <t>1. Đầu tư tài chính cá nhân là gì? Tại sao người trẻ c…</t>
  </si>
  <si>
    <t>…hàn rỗi vào các kênh sinh lời như tiết kiệm có kỳ hạn, chứng chỉ tiền gửi, trái phiếu, cổ phiếu hoặc chứng chỉ quỹ, nh…</t>
  </si>
  <si>
    <t>2.2. Phương thức mở sổ tiết kiệm/tài khoản tiền gửi</t>
  </si>
  <si>
    <t>Một số khách hàng cũng tìm hiểu thêm về chuyển nhượng chứng chỉ tiền gửi để linh hoạt hơn trong việc quản lý nguồn vốn…</t>
  </si>
  <si>
    <t>2.3. Chiếc lọ 3: Đầu tư (10%)</t>
  </si>
  <si>
    <t>…thông qua các hình thức đầu tư khác nhau như cổ phiếu, chứng chỉ tiền gửi, bất động sản hay quỹ đầu tư.</t>
  </si>
  <si>
    <t>https://techcombank.com/thong-tin/blog/lam-phat-la-gi</t>
  </si>
  <si>
    <t>4.2 Cổ phiếu và chứng khoán</t>
  </si>
  <si>
    <t>Các lựa chọn đầu tư như cổ phiếu, chứng khoán, chứng chỉ tiền gửi ,...</t>
  </si>
  <si>
    <t>https://techcombank.com/thong-tin/blog/cac-chung-chi-quy-o-viet-nam</t>
  </si>
  <si>
    <t>2.3. Quỹ cân bằng</t>
  </si>
  <si>
    <t>Quỹ cân bằng là quỹ đầu tư kết hợp cả cổ phiếu, trái phiếu và đôi khi là các tài sản khác (tiền gửi, chứng chỉ tiền gửi…</t>
  </si>
  <si>
    <t>Nhắc: hạn mức thẻ.</t>
  </si>
  <si>
    <t>2.2. Thẻ tín dụng nội địa NAPAS</t>
  </si>
  <si>
    <t>…tài chính khác ngoài thẻ NAPAS, bạn có thể tham khảo “ chứng chỉ tiền gửi có an toàn không ” để đánh giá độ bảo mật và…</t>
  </si>
  <si>
    <t>“Đối với các giải pháp tiền gửi, chứng chỉ tiền gửi, những sản phẩm truyền thống của ngân hàng thì gần như…</t>
  </si>
  <si>
    <t>https://techcombank.com/thong-tin/blog/vay-the-chap-toi-da-duoc-bao-nhieu</t>
  </si>
  <si>
    <t>2. Lời khuyên giúp bạn vay thế chấp với hạn mức vay cao</t>
  </si>
  <si>
    <t>Phân biệt chứng chỉ tiền gửi và sổ tiết kiệm .</t>
  </si>
  <si>
    <t>Gửi tiết kiệm, tích lũy, chứng chỉ tiền gửi</t>
  </si>
  <si>
    <t>https://techcombank.com/thong-tin/blog/gui-tiet-kiem-hang-thang</t>
  </si>
  <si>
    <t>3. Hướng dẫn cách gửi tiền tiết kiệm hàng tháng</t>
  </si>
  <si>
    <t>…cũng có thể cân nhắc các sản phẩm tích lũy an toàn như chứng chỉ tiền gửi Techcombank để đa dạng hóa danh mục và tối ư…</t>
  </si>
  <si>
    <t>https://techcombank.com/thong-tin/blog/tai-sao-gui-tiet-kiem-online-lai-suat-cao-hon</t>
  </si>
  <si>
    <t>2. So sánh lãi suất gửi tiết kiệm online và gửi tiết k…</t>
  </si>
  <si>
    <t>…ản phẩm đầu tư an toàn tương tự tiền gửi, việc hiểu rõ chứng chỉ tiền gửi khác gì trái phiếu cũng sẽ giúp đưa ra lựa c…</t>
  </si>
  <si>
    <t>https://techcombank.com/thong-tin/blog/chung-chi-tien-gui-co-duoc-bao-hiem-khong</t>
  </si>
  <si>
    <t>Chứng chỉ tiền gửi là loại giấy tờ có giá được bảo hiểm theo quy định tại…</t>
  </si>
  <si>
    <t>3.1. Tối ưu dòng tiền nhàn rỗi mà vẫn đảm bảo chi tiêu…</t>
  </si>
  <si>
    <t>… giải pháp sinh lời an toàn như Tiền gửi không kỳ hạn, Chứng chỉ tiền gửi Bảo Lộc, Tài sản khác,...</t>
  </si>
  <si>
    <t>…suất hấp dẫn và đa dạng giải pháp tiền gửi (bao gồm cả chứng chỉ tiền gửi Techcombank ) phù hợp với nhu cầu tài chính</t>
  </si>
  <si>
    <t>https://techcombank.com/thong-tin/blog/tat-toan-chung-chi-tien-gui</t>
  </si>
  <si>
    <t>Khi tất toán chứng chỉ tiền gửi đúng thời gian đáo hạn, khách hàng sẽ nhận được tiền gốc và lợi suất đầu tư như kỳ vọng.</t>
  </si>
  <si>
    <t>chứng chỉ tiền gửi là gì</t>
  </si>
  <si>
    <t>https://techcombank.com/thong-tin/blog/gui-tiet-kiem-vang</t>
  </si>
  <si>
    <t>2. Lợi ích và lưu ý khi gửi tiết kiệm tiền</t>
  </si>
  <si>
    <t>Gửi tiết kiệm tiền trực tiếp tại phòng giao dịch/chi nhánh ngân hàng và sở hữu cuốn sổ tiết kiệm - “chứng chỉ” xác nhận…</t>
  </si>
  <si>
    <t>https://techcombank.com/thong-tin/blog/nen-gui-tiet-kiem-thong-thuong-hay-tich-luy</t>
  </si>
  <si>
    <t>1. Hiểu rõ về gửi tiết kiệm thông thường và gửi tích l…</t>
  </si>
  <si>
    <t>Bù lại, hình thức gửi tiết kiệm tích lũy chỉ cần gửi vốn định kỳ hàng tháng nhỏ và tiền lãi sẽ tăng dần đều khi gửi thê…</t>
  </si>
  <si>
    <t>Nhà nước còn ban hành nhiều văn bản, quy định, chỉ định… để đảm bảo tối đa quyền lợi của người gửi tiền.</t>
  </si>
  <si>
    <t>https://techcombank.com/thong-tin/blog/co-nen-gui-tiet-kiem-online</t>
  </si>
  <si>
    <t>3. Gửi tiết kiệm online dễ dàng quản lý và theo dõi th…</t>
  </si>
  <si>
    <t>Khách hàng có thể rút tiền nhanh chóng từ tài khoản tiền gửi về tài khoản thanh toán chỉ với vài thao tác trên Mobile B…</t>
  </si>
  <si>
    <t>https://techcombank.com/thong-tin/blog/gui-tiet-kiem-ngan-hang-van-la-lua-chon-an-toan-trong-thoi-ky-kinh-te-con-nhieu-bien-dong</t>
  </si>
  <si>
    <t>1. Gửi tiết kiệm ngân hàng vẫn tiếp tục tăng trưởng</t>
  </si>
  <si>
    <t>Cụ thể, số liệu trong báo cáo mới nhất của Ngân hàng Nhà nước chỉ ra rằng, lượng tiền gửi của người dân vào hệ thống ng…</t>
  </si>
  <si>
    <t>https://techcombank.com/thong-tin/blog/dau-tu-trai-phieu-doanh-nghiep-dung-ham-lai-suat-cao</t>
  </si>
  <si>
    <t>Ngoài ra, với xu hướng lãi suất tiền gửi đang lùi về mức rất thấp chỉ 4%-5%/năm, đầu tư trái phiếu cũng đảm bảo có lợi…</t>
  </si>
  <si>
    <t>lợi suất chứng chỉ tiền gửi</t>
  </si>
  <si>
    <t>1. Công cụ tính lợi nhuận chứng chỉ tiền gửi nhanh, đơ…</t>
  </si>
  <si>
    <t>Dự phóng lợi suất Chứng chỉ tiền gửi Bảo Lộc trên Techcombank Mobile.</t>
  </si>
  <si>
    <t>lãi suất chứng chỉ tiền gửi</t>
  </si>
  <si>
    <t>1. Tất toán chứng chỉ tiền gửi là gì?</t>
  </si>
  <si>
    <t>Lãi suất chứng chỉ tiền gửi tiền gửi có sự thay đổi tùy theo thời điểm tất toán chứng chỉ tiền gửi.</t>
  </si>
  <si>
    <t>https://techcombank.com/thong-tin/blog/chung-chi-tien-gui-co-duoc-rut-truoc-han</t>
  </si>
  <si>
    <t>1. Quy định về rút chứng chỉ tiền gửi trước hạn</t>
  </si>
  <si>
    <t>Thông thường, khách hàng sẽ hưởng lãi suất không kỳ hạn khi thực hiện tất toán chứng chỉ tiền gửi trước hạn .</t>
  </si>
  <si>
    <t>3. Thủ tục chuyển nhượng</t>
  </si>
  <si>
    <t>Chuyển nhượng chứng chỉ tiền gửi là giải pháp tối ưu để nhận lợi suất hấp dẫn theo thời gian sở hữu thực tế, đặc biệt t…</t>
  </si>
  <si>
    <t>Vì vậy, khách hàng sở hữu chứng chỉ tiền gửi có thể yên tâm về quyền lợi của mình.</t>
  </si>
  <si>
    <t>1.2. Tối ưu sinh lời cho nguồn tiền nhàn rỗi trong ngắ…</t>
  </si>
  <si>
    <t>Lợi suất Chứng chỉ tiền gửi Bảo Lộc được tính theo số ngày nắm giữ thực tế.</t>
  </si>
  <si>
    <t>Mở rộng chủ đề (theo plan): bài nhắc thẻ tín dụng, tín dụng, cic.</t>
  </si>
  <si>
    <t>Mở rộng chủ đề (theo plan): bài nhắc thẻ tín dụng, tín dụng, nợ xấu.</t>
  </si>
  <si>
    <t>https://techcombank.com/thong-tin/blog/quan-ly-tai-chinh-doanh-nghiep-nho</t>
  </si>
  <si>
    <t>5. Trải nghiệm tài khoản Techcombank Business chuyên b…</t>
  </si>
  <si>
    <t>Chứng chỉ tiền gửi Bảo Lộc và tiền gửi có kỳ hạn lãi suất cạnh tranh.</t>
  </si>
  <si>
    <t>https://techcombank.com/thong-tin/blog/so-tiet-kiem-ngan-hang</t>
  </si>
  <si>
    <t>1. Số tiết kiệm ngân hàng là gì?</t>
  </si>
  <si>
    <t>Số sổ, số tiền đã gửi, đơn vị tiền tệ, ngày gửi, ngày đáo hạn, kỳ hạn gửi, lãi suất, phương thức trả lãi...</t>
  </si>
  <si>
    <t>Mở rộng chủ đề (theo plan): bài nhắc thẻ tín dụng, tín dụng, hạn mức.</t>
  </si>
  <si>
    <t>https://techcombank.com/thong-tin/blog/gui-tiet-kiem-theo-ngay</t>
  </si>
  <si>
    <t>2. Ưu điểm của giải pháp Tích lũy Như Ý so với gửi tiế…</t>
  </si>
  <si>
    <t>Người dùng có tạm thời bỏ qua kỳ gửi tiền nào đó mà không phải lo lắng về việc ảnh hưởng đến lãi suất</t>
  </si>
  <si>
    <t>https://techcombank.com/thong-tin/blog/lai-kep-ngan-hang</t>
  </si>
  <si>
    <t>Mở rộng chủ đề (theo plan): bài nhắc thẻ tín dụng, tín dụng, sao kê.</t>
  </si>
  <si>
    <t>Cách tính lãi suất tiền gửi tiết kiệm chính xác, đơn giản</t>
  </si>
  <si>
    <t>3.2. Với hình thức gửi tiết kiệm có kỳ hạn</t>
  </si>
  <si>
    <t>Tuy nhiên, khách hàng sẽ chỉ nhận được mức lãi suất không kỳ hạn với số tiền đã rút ra và sẽ phải hoàn trả số tiền lãi…</t>
  </si>
  <si>
    <t>1. Cập nhật lãi suất chứng chỉ quỹ hiện nay</t>
  </si>
  <si>
    <t>Lãi suất của chứng chỉ quỹ không cố định như lãi suất tiền gửi ngân hàng.</t>
  </si>
  <si>
    <t>cách mở tài khoản ngân hàng</t>
  </si>
  <si>
    <t>lãi suất chứng chỉ tiền gửi các ngân hàng</t>
  </si>
  <si>
    <t>4. Điểm vượt trội và lưu ý khi mua chứng chỉ tiền gửi</t>
  </si>
  <si>
    <t>Nhiều ngân hàng đang đẩy mạnh phát hành chứng chỉ tiền gửi với lãi suất cao hơn lãi suất tiền gửi kỳ hạn dưới 6 tháng</t>
  </si>
  <si>
    <t>Xem ngay cách tính lãi suất tiền gửi tiết kiệm ngân hàng chính xác và đơn giản với công cụ tính lãi suất tiết kiệm của…</t>
  </si>
  <si>
    <t>https://techcombank.com/thong-tin/blog/chon-kenh-dau-tu-an-toan-trong-boi-canh-thi-truong-bien-dong</t>
  </si>
  <si>
    <t>Mối lo lạm phát</t>
  </si>
  <si>
    <t>Tuy vậy, lựa chọn kênh gửi tiền vào ngân hàng lại ngày càng bớt hấp dẫn, khi đà giảm lãi suất kéo dài hai tháng gần đây…</t>
  </si>
  <si>
    <t>https://techcombank.com/thong-tin/blog/chung-chi-tien-gui-co-phai-la-trai-phieu-khong</t>
  </si>
  <si>
    <t>1. Chứng chỉ tiền gửi không phải là trái phiếu</t>
  </si>
  <si>
    <t>Với những ai chưa biết tới khái niệm chứng chỉ tiền gửi là gì , theo Thông tư 02/2025/TT-NHNN , chứng chỉ tiền gửi là m…</t>
  </si>
  <si>
    <t>1. Tiền gửi không kỳ hạn là gì?</t>
  </si>
  <si>
    <t>Lãi suất này được tính theo số ngày thực tế khách hàng gửi tiền vào tài khoản và được ngân hàng trả lãi định kỳ hàng th…</t>
  </si>
  <si>
    <t>Mở rộng chủ đề (theo plan): bài nhắc thẻ tín dụng, tín dụng, trả góp.</t>
  </si>
  <si>
    <t>Có thể tất toán trước hạn nhưng cần thông báo với ngân hàng và khoản tiền rút ra sẽ chỉ được hưởng lãi suất không kỳ hạ…</t>
  </si>
  <si>
    <t>Mở rộng chủ đề (theo plan): bài nhắc thẻ tín dụng, tín dụng, thẻ visa.</t>
  </si>
  <si>
    <t>https://techcombank.com/thong-tin/blog/nen-gui-tiet-kiem-6-thang-hay-1-nam</t>
  </si>
  <si>
    <t>4. 3 lời khuyên khi chọn kỳ hạn gửi tiết kiệm ngân hàng</t>
  </si>
  <si>
    <t>Người gửi sẽ được hưởng lãi suất bằng mức lãi suất gửi tiền không kỳ hạn do ngân hàng quy định tùy theo thời điểm rút t…</t>
  </si>
  <si>
    <t>1.2. Lãi suất</t>
  </si>
  <si>
    <t>Hầu hết tiền gửi tiết kiệm online thường có mức lãi suất cao hơn so với gửi tiết kiệm tại quầy khoảng 0.1 - 0.4%/năm (c…</t>
  </si>
  <si>
    <t>https://techcombank.com/thong-tin/blog/cach-tiet-kiem-tien-sinh-loi</t>
  </si>
  <si>
    <t>1. Gửi tiết kiệm tại ngân hàng uy tín, có lãi suất tiế…</t>
  </si>
  <si>
    <t>Khi gửi tiết kiệm, bạn nên ưu tiên lựa chọn gửi tiền tại các ngân hàng lớn, uy tín và có lãi suất hấp dẫn.</t>
  </si>
  <si>
    <t>2. 4 sản phẩm gửi tiết kiệm hàng tháng của các ngân hà…</t>
  </si>
  <si>
    <t>Tại mỗi ngân hàng, các sản phẩm tiết kiệm gửi góp hàng tháng thuộc hình thức gửi tiền tiết kiệm linh hoạt (linh hoạt gử…</t>
  </si>
  <si>
    <t>Cơ hội đầu tư trái phiếu</t>
  </si>
  <si>
    <t>Hiện nay, một điểm tích cực nhìn thấy ở kênh đầu tư trái phiếu là mặt bằng lãi suất tiết kiệm ngân hàng đã xuống rất th…</t>
  </si>
  <si>
    <t>mở thẻ tín dụng – 15 link
làm thẻ tín dụng – 15 link</t>
  </si>
  <si>
    <t>3. Các phương pháp tiết kiệm tiền mua nhà thông minh</t>
  </si>
  <si>
    <t>Chủ động mở sổ tiết kiệm để gửi tiền mỗi tháng vào ngân hàng để hưởng lãi suất, giúp số tiền sinh lời tự động theo thời…</t>
  </si>
  <si>
    <t>https://techcombank.com/thong-tin/blog/lai-suat-cho-vay-doanh-nghiep</t>
  </si>
  <si>
    <t>2.3. Yếu tố từ ngân hàng cho vay</t>
  </si>
  <si>
    <t>Lãi suất cho vay doanh nghiệp không chỉ phụ thuộc vào các yếu tố vĩ mô, nhu cầu vay vốn và khả năng tài chính của doanh…</t>
  </si>
  <si>
    <t>Phí làm thẻ — đi kèm thủ tục làm thẻ.</t>
  </si>
  <si>
    <t>Chứng chỉ tiền gửi Bảo Lộc có lợi suất hấp dẫn.</t>
  </si>
  <si>
    <t>Ngân hàng số Techcombank phát hành Chứng chỉ tiền gửi Bảo Lộc với lợi suất lên tới 4.1%/năm(*) và cho phép khách hàng c…</t>
  </si>
  <si>
    <t>Quyết định dùng thẻ → bước làm thẻ.</t>
  </si>
  <si>
    <t>3.2.2. Chứng chỉ tiền gửi</t>
  </si>
  <si>
    <t>&gt;&gt;&gt; Khách hàng vui lòng tham khảo bảng lợi suất mới nhất để biết thêm chi tiết tại trang Chứng chỉ tiền gửi Bảo Lộc .</t>
  </si>
  <si>
    <t>tỷ giá Nhân dân tệ</t>
  </si>
  <si>
    <t>Nhắc: thẻ tín dụng.</t>
  </si>
  <si>
    <t>https://techcombank.com/thong-tin/blog/tien-trung-quoc</t>
  </si>
  <si>
    <t>…iền Trung Quốc , đổi tiền Trung Quốc ở đâu và cập nhật tỷ giá Nhân dân tệ hôm nay (RMB/VND) mới nhất.</t>
  </si>
  <si>
    <t>Tỷ giá Nhân dân tệ (CNY) so với Việt Nam đồng (VND) thay đổi theo thị trư…</t>
  </si>
  <si>
    <t>1 Tệ bằng bao nhiêu tiền Việt</t>
  </si>
  <si>
    <t>https://techcombank.com/thong-tin/blog/1-van-te-bang-bao-nhieu-tien-viet</t>
  </si>
  <si>
    <t>Khi giao dịch ngoại tệ, một trong những câu hỏi phổ biến mà nhiều người quan tâm là "1 vạn tệ bằng bao nhiêu tiền Việt?…</t>
  </si>
  <si>
    <t>https://techcombank.com/thong-tin/blog/thanh-toan-khi-du-lich-trung-quoc</t>
  </si>
  <si>
    <t>2.2. Tìm hiểu về tỷ giá chuyển đổi và phí giao dịch qu…</t>
  </si>
  <si>
    <t>Mọi giao dịch phát sinh bằng đồng Nhân dân tệ (CNY) sẽ được chuyển đổi sang đồng Việt Nam (VND) dựa trên tỷ giá áp dụng…</t>
  </si>
  <si>
    <t>Nhắc: thẻ tín dụng, mở thẻ.</t>
  </si>
  <si>
    <t>Đa số ngân hàng tại Việt Nam đều có huy động gửi ngoại tệ nhưng không phải ngân hàng nào cũng cho gửi tất cả các loại t…</t>
  </si>
  <si>
    <t>https://techcombank.com/thong-tin/blog/1-man-bang-bao-nhieu-tien-viet</t>
  </si>
  <si>
    <t>4.2. Gửi tiền Man Nhật về nước nhanh chóng</t>
  </si>
  <si>
    <t>Hiểu rõ về các đơn vị tiền tệ Nhật Bản, đặc biệt là việc quy đổi 1 Man, 3 Man hay thậm chí là 10 Man bằng bao nhiêu tiề…</t>
  </si>
  <si>
    <t>https://techcombank.com/thong-tin/blog/han-muc-mua-ngoai-te-khi-di-du-lich</t>
  </si>
  <si>
    <t>1. Quy định về hạn mức mua ngoại tệ tiền mặt tại tổ ch…</t>
  </si>
  <si>
    <t>Cá nhân là công dân Việt Nam được quyền mua ngoại tệ tiền mặt tại tổ chức tín dụng được phép để đáp ứng các nhu cầu ngo…</t>
  </si>
  <si>
    <t>2.2. Tài khoản tiết kiệm</t>
  </si>
  <si>
    <t>Để mở tài khoản tiết kiệm bằng đồng ngoại tệ, khách hàng cần là công dân Việt Nam, đang cư trú tại Việt Nam.</t>
  </si>
  <si>
    <t>Hiểu rõ cách quy đổi tiền tệ giúp bạn chủ động hơn trong việc chuyển tiền từ Đức về Việt Nam.</t>
  </si>
  <si>
    <t>https://techcombank.com/thong-tin/blog/cach-nhan-tien-tu-nuoc-ngoai-ve-viet-nam</t>
  </si>
  <si>
    <t>2.2. Nhận chuyển khoản từ nước ngoài về Việt Nam bằng…</t>
  </si>
  <si>
    <t>Nhận tiền bằng nhiều loại ngoại tệ khác nhau tương ứng với loại ngoại tệ của tài khoản mở tại ngân hàng</t>
  </si>
  <si>
    <t>https://techcombank.com/thong-tin/blog/phi-chuyen-doi-ngoai-te</t>
  </si>
  <si>
    <t>1. Phí chuyển đổi ngoại tệ là gì?</t>
  </si>
  <si>
    <t>Currency Conversion Fee hoặc Foreign Transaction Fee ) là khoản phí mà một tổ chức tài chính (như ngân hàng, công ty th…</t>
  </si>
  <si>
    <t>https://techcombank.com/thong-tin/blog/1000-won-bang-bao-nhieu-tien-viet</t>
  </si>
  <si>
    <t>1. Chuyển đổi tiền Hàn Quốc</t>
  </si>
  <si>
    <t>Dễ dàng ước tính 1000 Won bằng bao nhiêu tiền Việt cũng như giá trị giao dịch mua, bán ngoại tệ của bạn theo tỷ giá mới…</t>
  </si>
  <si>
    <t>Nhắc: mở thẻ.</t>
  </si>
  <si>
    <t>1. Chuyển đổi tỷ giá Đài tệ hôm nay</t>
  </si>
  <si>
    <t>Dễ dàng ước tính giá trị giao dịch mua, bán tiền Đài Loan của bạn như 1 hay 1000 Đài tệ bằng bao nhiêu tiền Việt theo t…</t>
  </si>
  <si>
    <t>https://techcombank.com/thong-tin/blog/1-dong-do-la-my-bang-bao-nhieu-tien-viet-nam</t>
  </si>
  <si>
    <t>Do đó, tỷ giá 1 Đô Mỹ bằng bao nhiêu tiền Việt luôn được nhiều người quan tâm, dù mức quy đổi này thay đổi liên tục the…</t>
  </si>
  <si>
    <t>6. Cách nhận tiền từ Singapore về Việt Nam</t>
  </si>
  <si>
    <t>Chuyển tiền qua ngân hàng bằng điện SWIFT hoặc Western Union (nếu ngân hàng là đại lý chính thức của Western Union) , n…</t>
  </si>
  <si>
    <t>https://techcombank.com/thong-tin/blog/1000-yen-bang-bao-nhieu-tien-viet</t>
  </si>
  <si>
    <t>Tuy nhiên, 1000 Yên bằng bao nhiêu tiền Việt Nam không phải là con số cố định, mà thay đổi liên tục theo biến động của…</t>
  </si>
  <si>
    <t>https://techcombank.com/thong-tin/blog/1-won-bang-bao-nhieu-tien-viet</t>
  </si>
  <si>
    <t>Vậy 1 Won bằng bao nhiêu tiền Việt?</t>
  </si>
  <si>
    <t>https://techcombank.com/thong-tin/blog/1-do-uc-bang-bao-nhieu-tien-viet</t>
  </si>
  <si>
    <t>Việc nắm rõ 1 Dollar Úc bằng bao nhiêu tiền Việt Nam giúp cá nhân và doanh nghiệp chủ động hơn trong giao dịch, thanh t…</t>
  </si>
  <si>
    <t>https://techcombank.com/thong-tin/blog/1-cent-bang-bao-nhieu-tien-viet</t>
  </si>
  <si>
    <t>Việc nắm rõ 1 cent tương đương bao nhiêu tiền Việt giúp bạn tính toán chi phí chính xác khi đổi ngoại tệ, thanh toán qu…</t>
  </si>
  <si>
    <t>https://techcombank.com/thong-tin/blog/ngoai-te-la-gi</t>
  </si>
  <si>
    <t>2. Các tiêu chí của ngoại tệ mạnh</t>
  </si>
  <si>
    <t>Tỷ lệ lạm phát thấp và ổn định là một yếu tố quan trọng trong việc đánh giá sức mạnh của ngoại tệ.</t>
  </si>
  <si>
    <t>6. Ngoại tệ và thẻ tín dụng</t>
  </si>
  <si>
    <t>Để tránh những biến động về tỷ giá và phí chuyển đổi, việc mua ngoại tệ trước chuyến đi là điều cần thiết.</t>
  </si>
  <si>
    <t>https://techcombank.com/thong-tin/blog/quy-dinh-ve-mua-ban-ngoai-te-cua-doanh-nghiep</t>
  </si>
  <si>
    <t>3. Quy định về tỷ giá và giao dịch ngoại tệ</t>
  </si>
  <si>
    <t>Theo quy định tại điều 5 Thông tư 02/2021/TT-NHNN , tỷ giá mua bán ngoại tệ được xác định là tỷ giá hối đoái.</t>
  </si>
  <si>
    <t>Nhắc: mở thẻ, làm thẻ.</t>
  </si>
  <si>
    <t>https://techcombank.com/thong-tin/blog/ngoai-hoi-la-gi</t>
  </si>
  <si>
    <t>3.4. Các thành phần tham gia thị trường ngoại hối</t>
  </si>
  <si>
    <t>Thực hiện các chính sách tiền tệ, can thiệp để ổn định tỷ giá và kiểm soát lạm phát.</t>
  </si>
  <si>
    <t>https://techcombank.com/thong-tin/blog/chuyen-tien-tu-nhat-ve-viet-nam</t>
  </si>
  <si>
    <t>1. Chuyển đổi tiền tệ</t>
  </si>
  <si>
    <t>Dễ dàng ước tính giá trị giao dịch mua, bán ngoại tệ của bạn theo tỷ giá mới nhất với công cụ chuyển đổi tiền tệ của Te…</t>
  </si>
  <si>
    <t>thẻ tín dụng Techcombank Everyday – 29 link
Techcombank Everyday – 1 link</t>
  </si>
  <si>
    <t>Trong bối cảnh nhu cầu giao dịch ngoại tệ ngày càng tăng, việc so sánh tỷ giá các ngân hàng trở thành bước bắt buộc để…</t>
  </si>
  <si>
    <t>Tỷ giá là gì và tại sao tỷ giá lại quan trọng trong các giao dịch ngoại tệ?</t>
  </si>
  <si>
    <t>https://techcombank.com/thong-tin/blog/doi-tien-do-o-dau</t>
  </si>
  <si>
    <t>Lợi ích thẻ tín dụng — hoàn tiền là một lợi ích.</t>
  </si>
  <si>
    <t>https://techcombank.com/thong-tin/blog/100-riel-bang-bao-nhieu-tien-viet-nam</t>
  </si>
  <si>
    <t>1. Chuyển đổi tiền Campuchia</t>
  </si>
  <si>
    <t>https://techcombank.com/thong-tin/blog/tien-indonesia</t>
  </si>
  <si>
    <t>1. Chuyển đổi tiền Indonesia</t>
  </si>
  <si>
    <t>tỷ giá USD/VND</t>
  </si>
  <si>
    <t>https://techcombank.com/thong-tin/blog/xu-huong-ty-gia-usd</t>
  </si>
  <si>
    <t>Trong bối cảnh kinh tế toàn cầu liên tục biến động, tỷ giá USD/VND đang là mối quan tâm lớn không chỉ với doanh nghiệp…</t>
  </si>
  <si>
    <t>2. 1 Cent bằng bao nhiêu tiền Việt Nam?</t>
  </si>
  <si>
    <t>Số tiền (cent) × 0.01 USD × Tỷ giá USD/VND = Số tiền VND</t>
  </si>
  <si>
    <t>2. Cập nhật tỉ giá USD to VND mới nhất hôm nay</t>
  </si>
  <si>
    <t>Số tiền (USD) x Tỷ giá USD/VND = Số tiền (VND)</t>
  </si>
  <si>
    <t>https://techcombank.com/thong-tin/blog/du-bao-gia-vang</t>
  </si>
  <si>
    <t>2.2. Yếu tố trong nước</t>
  </si>
  <si>
    <t>Tỷ giá USD/VND trên thị trường tự do cũng là một yếu tố tác động đến giá vàng quy đổi trong nước.</t>
  </si>
  <si>
    <t>3. Các yếu tố tác động trực tiếp đến giá vàng 14K</t>
  </si>
  <si>
    <t>Tỷ giá USD/VND cũng ảnh hưởng đến mức quy đổi từ giá vàng thế giới sang đồng Việt Nam.</t>
  </si>
  <si>
    <t>https://techcombank.com/thong-tin/blog/cach-tinh-gia-vang</t>
  </si>
  <si>
    <t>5. Công thức quy đổi giá vàng thế giới (USD/oz) sang g…</t>
  </si>
  <si>
    <t>Giá vàng Việt Nam (VND/lượng) = {[(Giá thế giới + Phí) x (1 + Thuế nhập khẩu)]/0.82945 x Tỷ giá USD/VND} + Phí gia công</t>
  </si>
  <si>
    <t>https://techcombank.com/thong-tin/blog/gia-vang-16k-hom-nay</t>
  </si>
  <si>
    <t>2. Các yếu tố tác động trực tiếp đến giá vàng 16K</t>
  </si>
  <si>
    <t>… hưởng bởi động thái lãi suất của các ngân hàng lớn và tỷ giá USD/VND.</t>
  </si>
  <si>
    <t>https://techcombank.com/thong-tin/blog/lai-suat-gui-tiet-kiem-usd</t>
  </si>
  <si>
    <t>1. Lãi suất gửi tiết kiệm USD - Cập nhật 2026</t>
  </si>
  <si>
    <t>Gửi tiết kiệm USD không mang lại lãi suất cho khoản tiền gửi của khách hàng mà chỉ đảm bảo được tính an toàn và ổn định…</t>
  </si>
  <si>
    <t>https://techcombank.com/thong-tin/blog/gui-tiet-kiem-usd</t>
  </si>
  <si>
    <t>1.1. Ưu điểm khi gửi tiết kiệm USD</t>
  </si>
  <si>
    <t>Bạn có thể gửi tiết kiệm USD tại ngân hàng và chờ tỷ giá USD/VND tăng để bán ra lấy lời.</t>
  </si>
  <si>
    <t>https://techcombank.com/thong-tin/blog/1-trieu-do-bang-bao-nhieu-tien-viet</t>
  </si>
  <si>
    <t>2. 1 triệu Đô bằng bao nhiêu tiền Việt?</t>
  </si>
  <si>
    <t>thẻ hoàn tiền – 15 link
thẻ tín dụng hoàn tiền – 14 link
thẻ cashback – 1 link</t>
  </si>
  <si>
    <t>1 đô bằng bao nhiêu tiền Việt</t>
  </si>
  <si>
    <t>Title nhắc 'hoàn tiền' khi trả tiền điện bằng thẻ tín dụng.</t>
  </si>
  <si>
    <t>Cashback thẻ thanh toán (ghi nợ) — so sánh với thẻ tín dụng hoàn tiền.</t>
  </si>
  <si>
    <t>Bạn đang có kế hoạch du lịch Trung Quốc, kinh doanh hàng hóa từ đất nước tỷ dân, hay đơn giản chỉ muốn biết 1 Nhân dân…</t>
  </si>
  <si>
    <t>Ưu đãi mở thẻ — hoàn tiền là ưu đãi phổ biến.</t>
  </si>
  <si>
    <t>4. Tỷ giá Nhân dân tệ (CNY) so với tiền Việt Nam (VND)…</t>
  </si>
  <si>
    <t>Trả lời cho câu hỏi 1 tệ bằng bao nhiêu tiền Việt cũng như tỷ giá tiền Trung Quốc thì hiện nay 1 Nhân dân tệ Trung Quốc…</t>
  </si>
  <si>
    <t>Top thẻ đáng mở — chèn ở tiêu chí chọn thẻ.</t>
  </si>
  <si>
    <t>Dùng thẻ tiết kiệm — tận dụng hoàn tiền.</t>
  </si>
  <si>
    <t>Nhắc: thẻ tín dụng, ưu đãi thẻ.</t>
  </si>
  <si>
    <t>1 đô la Mỹ bằng bao nhiêu tiền Việt</t>
  </si>
  <si>
    <t>2. 1 Đô Úc bằng bao nhiêu tiền Việt Nam? Tỷ giá đô Úc…</t>
  </si>
  <si>
    <t>Dựa trên tỷ giá tham khảo là 1 AUD = 18,372 VND , một số mức quy đổi phổ biến như 10, 50 hay 100 đô Úc bằng bao nhiêu t…</t>
  </si>
  <si>
    <t>https://techcombank.com/thong-tin/blog/chuyen-tien-di-uc</t>
  </si>
  <si>
    <t>2. Cập nhật tỷ giá Đô Úc mới nhất hôm nay</t>
  </si>
  <si>
    <t>Dựa trên tỷ giá tham khảo là 1,000 VND = 0.05 AUD , một số mức quy đổi phổ biến như sau:</t>
  </si>
  <si>
    <t>Bài viết này sẽ giới thiệu chi tiết về đơn vị tiền, các mệnh giá tiền Singapore phổ biến và cập nhật tỷ giá SGD/VND mới…</t>
  </si>
  <si>
    <t>Bài viết dưới đây sẽ giúp bạn cập nhật tỷ giá KRW/VND mới nhất, các mệnh giá tiền Hàn Quốc, cách quy đổi đơn giản và nh…</t>
  </si>
  <si>
    <t>Bài viết dưới đây sẽ giúp bạn cập nhật tỷ giá JPY/VND mới nhất, cách quy đổi nhanh chóng và những kênh đổi ngoại tệ an…</t>
  </si>
  <si>
    <t>Bài viết tổng hợp 2 cách chuyển tiền từ Nhật về Việt Nam an toàn, minh bạch, chi phí tối ưu, đồng thời cập nhật tỷ giá…</t>
  </si>
  <si>
    <t>Tỷ giá Nhân dân tệ (CNY) so với Việt Nam đồng (VND) thay đổi theo thị trường, vì vậy việc cập nhật tỷ giá mới nhất sẽ g…</t>
  </si>
  <si>
    <t>2. 100 Riel tiền Campuchia bằng bao nhiêu tiền Việt Na…</t>
  </si>
  <si>
    <t>100 Riel Campuchia (100 KHR) đổi sang tiền Việt Nam hiện tương đương khoảng 652.32 VND(*) , dựa trên tỷ giá tham khảo g…</t>
  </si>
  <si>
    <t>3. Tỷ giá Rupiah Indonesia (IDR) sang Việt Nam đồng (V…</t>
  </si>
  <si>
    <t>Tỷ giá Indonesia IDR/VND biến động liên tục theo điều kiện thị trường.</t>
  </si>
  <si>
    <t>3. Hướng dẫn nộp tiền du học trên Flywire</t>
  </si>
  <si>
    <t>Đồng tiền thanh toán bằng VND mặc định trên Flywire được cố định mức tỷ giá quy đổi cao.</t>
  </si>
  <si>
    <t>https://techcombank.com/thong-tin/blog/tien-nhat</t>
  </si>
  <si>
    <t>4. Tỷ giá Yên Nhật (JPY) so với tiền Việt Nam (VND) hô…</t>
  </si>
  <si>
    <t>Số tiền (JPY) × Tỷ giá JPY/VND = Số tiền (VND)</t>
  </si>
  <si>
    <t>https://techcombank.com/thong-tin/blog/vay-du-hoc</t>
  </si>
  <si>
    <t>3.1. Lập kế hoạch tài chính rõ ràng</t>
  </si>
  <si>
    <t>Phí ngân hàng hoặc chênh lệch tỷ giá khi chuyển tiền từ VND sang USD, EUR, GBP,...</t>
  </si>
  <si>
    <t>https://techcombank.com/thong-tin/blog/tien-malaysia</t>
  </si>
  <si>
    <t>Bài viết này sẽ cung cấp cho bạn những thông tin chi tiết và cập nhật nhất về tiền Malaysia, bao gồm các mệnh giá tiền…</t>
  </si>
  <si>
    <t>tiền Nhật</t>
  </si>
  <si>
    <t>… vị tiền tệ phổ biến của Nhật Bản, cách đọc và quy đổi tiền Nhật sang tiền Việt, cũng như tỷ giá hiện tại để bạn dễ dà…</t>
  </si>
  <si>
    <t>tiền Yên Nhật</t>
  </si>
  <si>
    <t>2. Cập nhật tỷ giá Yên Nhật mới nhất hôm nay</t>
  </si>
  <si>
    <t>Từ đó, ta có công thức quy đổi từ tiền Yên Nhật sang tiền Việt (JPY to VND) như sau:</t>
  </si>
  <si>
    <t>https://techcombank.com/thong-tin/blog/thanh-toan-khi-du-lich-nhat-ban</t>
  </si>
  <si>
    <t>Nhật Bản hiện nay đang đẩy mạnh hình thức thanh toán không tiền mặt, đặc biệt tại các thành phố lớn như Tokyo, Osaka ha…</t>
  </si>
  <si>
    <t>Người Nhật nổi tiếng với khả năng quản lý tài chính, trong đó cách tiết kiệm tiền của người Nhật được đánh giá là hiệu…</t>
  </si>
  <si>
    <t>Nhắc: hoàn tiền.</t>
  </si>
  <si>
    <t>3. Công thức đổi tiền Yên Nhật (JPY) sang VND</t>
  </si>
  <si>
    <t>Việc quy đổi tiền Yên Nhật sang tiền Việt rất đơn giản, dưới đây là công thức giú…</t>
  </si>
  <si>
    <t>Nhắc: hoàn tiền, thẻ tín dụng.</t>
  </si>
  <si>
    <t>2. Biểu phí và lãi suất rút tiền thẻ tín dụng của 10 n…</t>
  </si>
  <si>
    <t>Một số nguyên tắc quản lý tài chính cá nhân, chẳng hạn như cách tiết kiệm tiền của người Nhật , cũng nhấn mạnh việc hạn…</t>
  </si>
  <si>
    <t>Lãi suất gửi tiết kiệm tại Techcombank được cập nhật trong bảng là lãi suất áp dụng với khách hàng thường với số tiền g…</t>
  </si>
  <si>
    <t>cách hủy thẻ tín dụng – 30 link
hủy thẻ tín dụng – 20 link</t>
  </si>
  <si>
    <t>Không muốn trả phí thường niên → hủy thẻ.</t>
  </si>
  <si>
    <t>4. Đổi ngoại tệ dễ dàng, sẵn sàng đi du lịch cùng Tech…</t>
  </si>
  <si>
    <t>Việc nắm rõ quy định về hạn mức mua và mang ngoại tệ khi đi du lịch giúp bạn tránh được các rủi ro về pháp lý và chủ độ…</t>
  </si>
  <si>
    <t>Không dùng thẻ vẫn mất phí → nên hủy.</t>
  </si>
  <si>
    <t>Khóa vs hủy thẻ — đối chiếu trực tiếp.</t>
  </si>
  <si>
    <t>5. Làm thế nào để cập nhật tỷ giá USD/VND chính xác nh…</t>
  </si>
  <si>
    <t>Chỉ cần nhập từ khóa như:“tỷ giá USD/VND hôm nay”, “1 đô bằng bao nhiêu tiền việt”, “100 đô là bao nhiêu tiền việt”, “1…</t>
  </si>
  <si>
    <t>Thẻ bị khóa — chèn ở đoạn phân biệt khóa/hủy.</t>
  </si>
  <si>
    <t>Bài viết này sẽ cập nhật tỷ giá Nhân Dân tệ mới nhất và cung cấp những thông tin cần thiết giúp bạn hiểu rõ hơn về cách…</t>
  </si>
  <si>
    <t>Thẻ hết hạn: gia hạn hoặc hủy.</t>
  </si>
  <si>
    <t>Bài viết dưới đây sẽ giải thích rõ khái niệm, các mệnh giá tiền Trung Quốc , đổi tiền Trung Quốc ở đâu và cập nhật tỷ g…</t>
  </si>
  <si>
    <t>2. Mức lãi suất gửi tiết kiệm lấy lãi hàng tháng của c…</t>
  </si>
  <si>
    <t>Lãi suất gửi tiết kiệm tại Techcombank được cập nhật trong bảng là lãi suất áp dụng với khách hàng Private với số tiền…</t>
  </si>
  <si>
    <t>Nhắc: thẻ tín dụng, phí thường niên.</t>
  </si>
  <si>
    <t>2.2. Điện SWIFT</t>
  </si>
  <si>
    <t>&gt;&gt;&gt; Liên hệ Techcombank qua hotline 24/7 1800 588822 (trong nước) hoặc +84 24 39446699 (quốc tế) để được cập nhật thông…</t>
  </si>
  <si>
    <t>4. Nhận và chuyển tiền Trung Quốc - Việt Nam dễ dàng v…</t>
  </si>
  <si>
    <t>Để giúp khách hàng giao dịch quốc tế thuận tiện, Techcombank đã “thiết kế” Dịch vụ nhận và chuyển tiền quốc tế đến hơn…</t>
  </si>
  <si>
    <t>6.2. Chuyển tiền từ Việt Nam sang Indonesia</t>
  </si>
  <si>
    <t>Bài viết trên đã tổng hợp đầy đủ thông tin về các mệnh giá tiền Indonesia, từ tiền giấy đến tiền xu, đồng thời cập nhật…</t>
  </si>
  <si>
    <t>3.1. Cách 1: Đóng thuế nhập khẩu online qua cổng thông…</t>
  </si>
  <si>
    <t>Sau khi nhận được tiền, hệ thống hải quan sẽ xóa nợ và cập nhật trạng thái cho phép thông quan hàng hóa.</t>
  </si>
  <si>
    <t>Bài viết này sẽ tổng hợp 4 lưu ý quan trọng khi chuyển tiền tới đất nước “xứ sở chuột túi”, cập nhật thông tin tỷ giá Đ…</t>
  </si>
  <si>
    <t>4. 1 Tân Đài Tệ bằng bao nhiêu tiền Việt?</t>
  </si>
  <si>
    <t>&gt;&gt;&gt; Cập nhật tỷ giá tiền Đài hôm nay mới nhất tại Techcombank.</t>
  </si>
  <si>
    <t>2.3. Lưu ý khi gửi tiết kiệm tại ngân hàng</t>
  </si>
  <si>
    <t>Với lãi suất gửi tiết kiệm online lên đến 6.1%/năm (cập nhật 16/12/2025 áp dụng với khách hàng Private với số tiền gửi…</t>
  </si>
  <si>
    <t>4. Cách cập nhật tỷ giá Won hôm nay nhanh và chính xác</t>
  </si>
  <si>
    <t>Hầu hết các ngân hàng đều cập nhật tỷ giá liên tục theo thời gian giao dịch trên thị trường ngoại hối quốc tế, bạn nên…</t>
  </si>
  <si>
    <t>Bài viết dưới đây sẽ cập nhật tỷ giá Đô Úc hôm nay mới nhất, các mệnh giá tiền Úc kèm bảng quy đổi và gợi ý địa điểm đổ…</t>
  </si>
  <si>
    <t>5. Hướng dẫn tra cứu mã SWIFT/BIC code ngân hàng</t>
  </si>
  <si>
    <t>1. Gửi tiết kiệm online an toàn, bảo mật cao</t>
  </si>
  <si>
    <t>Các ngân hàng luôn cập nhật những chương trình bảo mật theo quy chuẩn quốc tế, đồng thời phát triển nhiều chính sách dự…</t>
  </si>
  <si>
    <t>https://techcombank.com/thong-tin/blog/vnd-to-myr</t>
  </si>
  <si>
    <t>Bài viết này sẽ cập nhật tỷ giá mới nhất và cung cấp những kinh nghiệm thực tế khi đổi tiền và chi tiêu tại Malaysia.</t>
  </si>
  <si>
    <t>Bài viết này sẽ giúp bạn hiểu đầy đủ và cập nhật về cách thực hiện thủ tục chuyển tiền ra nước ngoài nhanh, an toàn và…</t>
  </si>
  <si>
    <t>Dù là chuyển tiền hay nhận tiền từ Trung Quốc, Nhật Bản, hay thậm chí là Úc, Pháp, Đức… đều đã trở nên dễ dàng hơn bao…</t>
  </si>
  <si>
    <t>tỷ giá Yên Nhật</t>
  </si>
  <si>
    <t>1. Chuyển đổi tiền Yên Nhật sang tiền Việt</t>
  </si>
  <si>
    <t>… tính giá trị giao dịch mua, bán ngoại tệ của bạn theo tỷ giá Yên Nhật hôm nay với công cụ chuyển đổi tiền tệ của Tech…</t>
  </si>
  <si>
    <t>1 Yên bằng bao nhiêu tiền Việt</t>
  </si>
  <si>
    <t>Vậy cụ thể 1 Man bằng bao nhiêu Yên và 1 Man bằng bao nhiêu tiền Việt ?</t>
  </si>
  <si>
    <t>5.3. Đổi tiền Việt sang Yên Nhật online, nhận nhiều ưu…</t>
  </si>
  <si>
    <t>Tỷ giá 1000 Yên Nhật bằng bao nhiêu tiền Việt luôn thay đổi và có ảnh hưởng trực tiếp đến quyết định giao dịch của bạn.</t>
  </si>
  <si>
    <t>Để tiện cho việc quy đổi, trước hết chúng ta tham khảo tỷ giá Yên Nhật sang tiền Việt:</t>
  </si>
  <si>
    <t>Cách rút tiền bằng mã QR tại cây ATM là 1 hình thức rút tiền không cần thẻ, được Công ty cổ phần Thanh toán Quốc gia Vi…</t>
  </si>
  <si>
    <t>https://techcombank.com/thong-tin/blog/1-van-tien-dai-loan-bang-bao-nhieu-tien-viet</t>
  </si>
  <si>
    <t>Bài viết này sẽ giúp bạn trả lời câu hỏi “ 1 vạn tiền Đài Loan bằng bao nhiêu tiền Việt?</t>
  </si>
  <si>
    <t>Trong bài viết này, hãy cùng kiểm tra 1 triệu Đô bằng bao nhiêu tiền Việt ở thời điểm hiện tại và công thức quy đổi đơn…</t>
  </si>
  <si>
    <t>xếp hạng tín dụng – 17 link
xếp hạng tín dụng cá nhân – 13 link</t>
  </si>
  <si>
    <t>3. Làm thế nào để cập nhật tỷ giá USD/VND chính xác?</t>
  </si>
  <si>
    <t>Lịch sử tín dụng quyết định xếp hạng tín dụng.</t>
  </si>
  <si>
    <t>Nếu cần tra cứu nhanh, bạn có thể nhập từ khóa như “1 cent bằng bao nhiêu tiền Việt” , “tỷ giá USD hôm nay” hoặc “USD t…</t>
  </si>
  <si>
    <t>Nợ xấu làm giảm xếp hạng.</t>
  </si>
  <si>
    <t>Định nghĩa tín dụng; chèn ở đoạn đánh giá người vay. (Liên quan yếu – bản chặt đã loại.)</t>
  </si>
  <si>
    <t>Dư nợ ảnh hưởng xếp hạng tín dụng. (Liên quan yếu – bản chặt đã loại.)</t>
  </si>
  <si>
    <t>https://techcombank.com/thong-tin/blog/tien-lao</t>
  </si>
  <si>
    <t>Để chuyến đi của bạn thêm phần trọn vẹn và chủ động trong mọi chi tiêu, việc tìm hiểu về đồng tiền của đất nước Triệu V…</t>
  </si>
  <si>
    <t>2.2. Chú ý về tỷ giá quy đổi và phí giao dịch quốc tế…</t>
  </si>
  <si>
    <t>&gt;&gt;&gt; Cập nhật tỷ giá ngoại tệ hôm nay trên Techcombank.</t>
  </si>
  <si>
    <t>Nhắc: điểm tín dụng, cic.</t>
  </si>
  <si>
    <t>2. Ngân hàng thương mại</t>
  </si>
  <si>
    <t>Tỷ giá mua – bán được niêm yết công khai tại quầy và trên website ngân hàng, cập nhật liên tục theo thị trường</t>
  </si>
  <si>
    <t>Để theo dõi tỷ giá Rupiah Indonesia (IDR) cập nhật theo thời gian thực, bạn có thể truy cập trang tỷ giá của Techcomban…</t>
  </si>
  <si>
    <t>https://techcombank.com/thong-tin/blog/tien-thai-lan</t>
  </si>
  <si>
    <t>4. 1000 Baht Thái bằng bao nhiêu tiền Việt?</t>
  </si>
  <si>
    <t>&gt;&gt;&gt; Cập nhật tỷ giá Bath Thái hôm nay trên Techcombank.</t>
  </si>
  <si>
    <t>tỷ giá Won</t>
  </si>
  <si>
    <t>https://techcombank.com/thong-tin/blog/1-trieu-won-bang-bao-nhieu-tien-viet</t>
  </si>
  <si>
    <t>3. Cập nhật tỷ giá Won mới nhất ở đâu?</t>
  </si>
  <si>
    <t>Nhắc: lịch sử tín dụng, cic, nợ xấu.</t>
  </si>
  <si>
    <t>Để cập nhật tỷ giá Won Hàn Quốc (KRW) mới nhất, bạn có thể tham khảo từ nhiều nguồn đáng tin cậy như:</t>
  </si>
  <si>
    <t>2.1. Đổi tiền Won Hàn tại các ngân hàng uy tín</t>
  </si>
  <si>
    <t>Tỷ giá cạnh tranh, chi phí giao dịch công khai.</t>
  </si>
  <si>
    <t>Trong bối cảnh tỷ giá biến động, việc chọn thời điểm quy đổi hợp lý là thách thức.</t>
  </si>
  <si>
    <t>1 Won bằng bao nhiêu tiền Việt</t>
  </si>
  <si>
    <t>Nhắc: điểm tín dụng, nợ xấu.</t>
  </si>
  <si>
    <t>cách thanh toán thẻ tín dụng – 15 link
thanh toán dư nợ thẻ tín dụng – 9 link
trả nợ thẻ tín dụng – 6 link</t>
  </si>
  <si>
    <t>Tuy nhiên, không phải ai cũng biết nên đổi tiền Đô ở đâu để đảm bảo an toàn, đúng quy định và có tỷ giá hợp lý.</t>
  </si>
  <si>
    <t>Miễn lãi khi thanh toán đúng hạn.</t>
  </si>
  <si>
    <t>Nhắc: dư nợ, quá hạn.</t>
  </si>
  <si>
    <t>3. Bảo hiểm du lịch toàn cầu</t>
  </si>
  <si>
    <t>Hỗ trợ y tế trên toàn cầu, trị giá lên đến 2.5 tỷ đồng</t>
  </si>
  <si>
    <t>Bài viết này sẽ giải thích chi tiết về các mệnh giá của tiền Nhật, cách quy đổi, chuyển tiền từ Việt Nam sang Nhật cũng…</t>
  </si>
  <si>
    <t>Đối với những ai đang có kế hoạch du lịch Campuchia, kinh doanh, hoặc đơn giản là tò mò về tỷ giá giữa đồng tiền hai nư…</t>
  </si>
  <si>
    <t>Việc nắm rõ thông tin về đồng tiền địa phương và tỷ giá hối đoái Indonesia sẽ giúp chuyến đi của bạn thuận lợi hơn.</t>
  </si>
  <si>
    <t>1. Đa dạng ngoại tệ</t>
  </si>
  <si>
    <t>Khi thực hiện giao dịch, hệ thống cho phép kiểm tra tỷ giá Dollar , Euro… và số tiền quy đổi theo thời gian thực, giúp…</t>
  </si>
  <si>
    <t>Dễ dàng tiếp cận nguồn ngoại tệ hợp pháp, an toàn với tỷ giá ưu đãi</t>
  </si>
  <si>
    <t>https://techcombank.com/thong-tin/blog/thanh-toan-bang-the-quoc-te</t>
  </si>
  <si>
    <t>2.3. Tối ưu chi phí chuyển đổi ngoại tệ</t>
  </si>
  <si>
    <t>Thực tế, khi giao dịch bằng thẻ thanh toán quốc tế, ngân hàng sẽ áp dụng tỷ giá hối đoái niêm yết tại thời điểm thanh t…</t>
  </si>
  <si>
    <t>Tân Đài tệ</t>
  </si>
  <si>
    <t>Tân Đài tệ (TWD, (ký hiệu NT$ hoặc đơn giản là $) là đơn vị tiền …</t>
  </si>
  <si>
    <t>tỷ giá Đài tệ</t>
  </si>
  <si>
    <t>tiền Đài Loan</t>
  </si>
  <si>
    <t>https://techcombank.com/thong-tin/blog/shang-chi</t>
  </si>
  <si>
    <t>Shang Chi – Lẩu Đài Loan Băng Chuyền Siêu Tốc là con tàu trải nghiệm và khám phá thiên đường lẩu đài loan đầy màu sắc v…</t>
  </si>
  <si>
    <t>Bài viết dưới đây sẽ giúp bạn cập nhật tỷ giá USD/VND mới nhất, cách quy đổi nhanh chóng và những địa điểm đổi ngoại tệ…</t>
  </si>
  <si>
    <t>Việc nắm rõ tỷ giá Nhân dân tệ (CNY) so với Đồng Việt Nam (VND) là yếu tố quan trọng để mọi giao dịch tài chính của bạn…</t>
  </si>
  <si>
    <t>1. Chuyển đổi tiền Singapore</t>
  </si>
  <si>
    <t>Dễ dàng ước tính giá trị giao dịch mua, bán ngoại tệ của bạn theo tỷ giá Yên Nhật hôm nay với công cụ chuyển đổi tiền t…</t>
  </si>
  <si>
    <t>Tỷ giá giữa đồng Nhân dân tệ (CNY) và đồng Việt Nam đồng (VND) luôn có sự biến động do nhiều yếu tố tác động.</t>
  </si>
  <si>
    <t>1. Chuyển đổi tiền Hàn sang tiền Việt Nam</t>
  </si>
  <si>
    <t>4.1. Đổi USD đi du lịch</t>
  </si>
  <si>
    <t>CD</t>
  </si>
  <si>
    <t>1. Chuyển đổi tỷ giá đô Úc hôm nay</t>
  </si>
  <si>
    <t>chứng chỉ tiền gửi – 24 link
chứng chỉ tiền gửi là gì – 6 link</t>
  </si>
  <si>
    <t>So sánh CD và tiết kiệm — cần định nghĩa CD.</t>
  </si>
  <si>
    <t>https://techcombank.com/thong-tin/blog/vay-the-chap-hop-dong-mua-ban-can-ho</t>
  </si>
  <si>
    <t>5.3. Khả năng trả nợ</t>
  </si>
  <si>
    <t>Một cách hiệu quả để tích lũy nguồn dự phòng này là gửi tiết kiệm ngoại tệ , giúp đa dạng hóa danh mục đầu tư và tận dụ…</t>
  </si>
  <si>
    <t>1. Giới thiệu dịch vụ Chuyển tiền quốc tế Techcombank</t>
  </si>
  <si>
    <t>https://techcombank.com/thong-tin/blog/gui-tien-sang-nuoc-ngoai</t>
  </si>
  <si>
    <t>2. Giới thiệu dịch vụ chuyển tiền quốc tế Techcombank</t>
  </si>
  <si>
    <t>Lý do nên mua CD → dẫn về bài tổng quan.</t>
  </si>
  <si>
    <t>1 Man bằng bao nhiêu tiền Việt</t>
  </si>
  <si>
    <t>Kênh sinh lời cho tiền nhàn rỗi — CD là một kênh.</t>
  </si>
  <si>
    <t>1 Man Nhật</t>
  </si>
  <si>
    <t>10,000 Yên Nhật (1 Man) ≈ 1,666,790 VND(*)</t>
  </si>
  <si>
    <t>3. Công thức đổi tiền Yên Nhật sang VND</t>
  </si>
  <si>
    <t>10,000 Yên Nhật (1 Man) ≈ 1,666,790VND(*)</t>
  </si>
  <si>
    <t>1 Yên Nhật (JPY) có giá trị tương đương khoảng 161.96 (*) Đồng Việt Nam (VND).</t>
  </si>
  <si>
    <t>Nhắc: gửi tiết kiệm.</t>
  </si>
  <si>
    <t>Nhắc: chứng chỉ tiền gửi.</t>
  </si>
  <si>
    <t>Nhắc: tiền nhàn rỗi.</t>
  </si>
  <si>
    <t>Vậy 1000 Won bằng bao nhiêu tiền Việt Nam ?</t>
  </si>
  <si>
    <t>4. 3 Cách cập nhật tỷ giá Nhân dân tệ (CNY/VND) chính…</t>
  </si>
  <si>
    <t>Vì vậy, để biết 1000 Tệ bằng bao nhiêu tiền Việt Nam tại thời điểm hiện tại, bạn nên tham khảo từ các nguồn sau:</t>
  </si>
  <si>
    <t>Nhắc: kênh đầu tư, gửi tiết kiệm.</t>
  </si>
  <si>
    <t>https://techcombank.com/thong-tin/blog/1-euro-bang-bao-nhieu-tien-viet</t>
  </si>
  <si>
    <t>Việc biết chính xác 1 Euro to VND, tức 1 Euro bằng bao nhiêu tiền Việt Nam (VND) giúp cá nhân và doanh nghiệp chủ động…</t>
  </si>
  <si>
    <t>Vậy 1 triệu Won bằng bao nhiêu tiền Việt ?</t>
  </si>
  <si>
    <t>Trước khi đến Thái Lan, việc tìm hiểu về tiền Thái Lan như mệnh giá, tỷ giá Baht Thái sang VND từ đó biết được 1000 Bat…</t>
  </si>
  <si>
    <t>Nhắc: kênh đầu tư.</t>
  </si>
  <si>
    <t>2.4. Thẻ tín dụng Techcombank Spark</t>
  </si>
  <si>
    <t>Tối đa 1 lần cập nhật lĩnh vực ưu đãi/ngày</t>
  </si>
  <si>
    <t>3. Hướng dẫn mở thẻ ATM</t>
  </si>
  <si>
    <t>Để mở thẻ ATM, khách hàng có thể truy cập 1 trong 2 bài viết dưới đây để cập nhật thông tin về điều kiện mở thẻ và đọc…</t>
  </si>
  <si>
    <t>tiền Baht</t>
  </si>
  <si>
    <t>2.1. Đổi Baht Thái tại ngân hàng lớn, uy tín</t>
  </si>
  <si>
    <t>Tỷ giá mua – bán tiền Baht Thái được niêm yết công khai và cập nhật thường xuyên trên các kênh, cập nhật liên tục.</t>
  </si>
  <si>
    <t>tiền Thái Lan</t>
  </si>
  <si>
    <t>https://techcombank.com/thong-tin/blog/thanh-toan-qr-thai-lan</t>
  </si>
  <si>
    <t>3. Thẻ Techcombank Visa - Trải nghiệm chi tiêu linh ho…</t>
  </si>
  <si>
    <t>Khách hàng nên chuẩn bị nhiều hình thức thanh toán như thẻ quốc tế, tiền mặt Baht hay ví điện tử/thanh toán không chạm…</t>
  </si>
  <si>
    <t>tiền Baht Thái</t>
  </si>
  <si>
    <t>https://techcombank.com/thong-tin/blog/tai-tro-fifa-world-cup</t>
  </si>
  <si>
    <t>FIFA World Cup 2026™- Một kỳ đại hội lịch sử không thể…</t>
  </si>
  <si>
    <t>Với sự tiếp sức từ Techcombank và hệ sinh thái, khán giả sẽ được chứng kiến những cột mốc lịch sử chưa từng có tiền lệ…</t>
  </si>
  <si>
    <t>Miễn phí tài khoản số đẹp phong thủy , phí quản lý, phí chuyển tiền nội địa/chi lương online, cùng đặc quyền tiếp cận n…</t>
  </si>
  <si>
    <t>6. FAQ - Một số câu hỏi thường gặp về EBITDA</t>
  </si>
  <si>
    <t>Techcombank mang đến hệ sinh thái giải pháp tài chính toàn diện dành cho doanh nghiệp - từ Tài khoản thanh toán, các gó…</t>
  </si>
  <si>
    <t>7. Mua sắm thông minh</t>
  </si>
  <si>
    <t>Áp dụng 3 nguyên tắc dưới đây sẽ giúp bạn trở thành người tiêu dùng thông thái và tiết kiệm tiền hiệu quả cho gia đình:</t>
  </si>
  <si>
    <t>3. Những lưu ý giúp hồ sơ đáp ứng điều kiện thành lập…</t>
  </si>
  <si>
    <t>https://techcombank.com/thong-tin/blog/chuyen-doi-so-nganh-ngan-hang-thach-thuc-va-co-hoi</t>
  </si>
  <si>
    <t>1. Sự phát triển của chuyển đổi số trong ngành ngân hà…</t>
  </si>
  <si>
    <t>Cụ thể, tỷ trọng tiền gửi không kỳ hạn (CASA) đạt 33.6%, tỷ lệ khách hàng mới thông qua kênh số hóa đạt 44,4% và có đến…</t>
  </si>
  <si>
    <t>2. Techcombank - Một trong những thương hiệu Ngân hàng…</t>
  </si>
  <si>
    <t>“Ngân hàng giao dịch tốt nhất Việt Nam”, “Ngân hàng quản lý tiền tệ tốt nhất Việt Nam”, “Giải pháp thu hộ tích hợp tùy…</t>
  </si>
  <si>
    <t>https://techcombank.com/thong-tin/blog/phan-mem-quan-ly-tai-chinh-doanh-nghiep</t>
  </si>
  <si>
    <t>Tối ưu quản trị tài chính toàn diện với Techcombank Bu…</t>
  </si>
  <si>
    <t>Để trải nghiệm trọn vẹn hệ sinh thái quản trị dòng tiền thông minh và nhận các đặc quyền ưu đãi tài chính, hãy đăng ký…</t>
  </si>
  <si>
    <t>2. Đầu tư lớn cho số hóa nhằm nâng cao năng lực và hiệ…</t>
  </si>
  <si>
    <t>Khi tham gia vào hệ sinh thái WinLife, khách hàng có thể sử dụng các hình thức thanh toán như thanh toán một chạm, quét…</t>
  </si>
  <si>
    <t>lãi suất chứng chỉ tiền gửi các ngân hàng – 14 link
lãi suất chứng chỉ tiền gửi – 10 link
lợi suất chứng chỉ tiền gửi – 6 link</t>
  </si>
  <si>
    <t>Phụ huynh có thể chủ động tạo giao dịch, theo dõi tỷ giá, kiểm tra trạng thái chuyển tiền ngay trên điện thoại mà không…</t>
  </si>
  <si>
    <t>Tính lợi nhuận CD cần mức lãi suất.</t>
  </si>
  <si>
    <t>Chỉ với vài thao tác, khách hàng có thể thực hiện giao dịch đến hơn 190 quốc gia, theo dõi trạng thái chuyển tiền trực…</t>
  </si>
  <si>
    <t>https://techcombank.com/thong-tin/blog/vay-sieu-toc</t>
  </si>
  <si>
    <t>2. Lợi ích vượt trội của vay siêu tốc online từ ngân h…</t>
  </si>
  <si>
    <t>Khi vay siêu tốc online trên nền tảng số của ngân hàng, khách hàng có thể chủ động theo dõi tiến độ phê duyệt, trạng th…</t>
  </si>
  <si>
    <t>Tất toán ảnh hưởng lợi suất — chèn ở đoạn lãi suất.</t>
  </si>
  <si>
    <t>5.3. Đổi VND sang USD online, nhận nhiều ưu đãi</t>
  </si>
  <si>
    <t>Việc nắm rõ mệnh giá tiền Đô, tỷ giá quy đổi tiền Đô sang tiền Việt và các kênh đổi – chuyển tiền hợp pháp sẽ giúp bạn…</t>
  </si>
  <si>
    <t>Rút trước hạn mất lãi suất — chèn ở đoạn lãi.</t>
  </si>
  <si>
    <t>2.1. Lợi ích</t>
  </si>
  <si>
    <t>sử dụng để rút tiền mặt tại các ATM ở Hàn Quốc, Thái Lan, Malaysia và Nga với chi phí hợp lý</t>
  </si>
  <si>
    <t>Giá chuyển nhượng phụ thuộc lãi suất.</t>
  </si>
  <si>
    <t>3.5. Cẩn thận với các hình thức rút tiền từ thẻ tín dụ…</t>
  </si>
  <si>
    <t>Để cảnh báo về vấn nạn dịch vụ rút tiền thẻ tín dụng đang tràn lan trên mạng xã hội những năm gần đây, Đài Truyền hình…</t>
  </si>
  <si>
    <t>Chèn ở đoạn so sánh lợi ích. (Liên quan yếu – bản chặt đã loại.)</t>
  </si>
  <si>
    <t>3. Cập nhật ưu đãi thanh toán quảng cáo TikTok với thẻ…</t>
  </si>
  <si>
    <t>Ưu đãi giảm giá di chuyển, mua sắm, ăn uống toàn cầu khi chi tiêu du lịch tại Paris, Italy, London, Thái Lan, Nhật Bản,…</t>
  </si>
  <si>
    <t>Uu đãi giảm giá di chuyển, mua sắm, ăn uống toàn cầu khi chi tiêu du lịch tại Paris, Italy, London, Thái Lan, Nhật Bản,…</t>
  </si>
  <si>
    <t>2.3. Phân loại thẻ ATM</t>
  </si>
  <si>
    <t>Là thẻ của Công ty Cổ phần Thanh toán Quốc gia Việt Nam , được chấp nhận tại Việt Nam và 5 quốc gia khác gồm Hàn Quốc,…</t>
  </si>
  <si>
    <t>Nhắc: lãi suất tiết kiệm.</t>
  </si>
  <si>
    <t>1. Thanh toán bằng mã QR Code là gì?</t>
  </si>
  <si>
    <t>Thực tế, nhiều quốc gia trong khu vực như Thái Lan đã triển khai mạng lưới thanh toán QR Thái Lan kết nối với Việt Nam,…</t>
  </si>
  <si>
    <t>Gần 300 bệnh viện, phòng khám trong danh sách bảo lãnh, bao gồm cả bệnh viện quốc tế chất lượng cao và bệnh viện tuyến…</t>
  </si>
  <si>
    <t>Xu thế này cũng đang lan tỏa rộng rãi và tác động đến xu hướng dòng tiền cuối năm 2023 tại Việt Nam khi nền kinh tế bắt…</t>
  </si>
  <si>
    <t>Ngoài ra, khách hàng cũng có thể sử dụng tính năng Tạo thiệp gửi tiền, lan tỏa yêu thương với nhiều mẫu thiệp như:</t>
  </si>
  <si>
    <t>https://techcombank.com/thong-tin/blog/nhan-tien-western-union</t>
  </si>
  <si>
    <t>3.1. Nhận tiền Western Union qua tài khoản ngân hàng</t>
  </si>
  <si>
    <t>Theo dõi trạng thái giao dịch qua mã MTCN hoặc liên hệ ngân hàng để xác nhận tiền đã được chuyển thành công.</t>
  </si>
  <si>
    <t>Thời gian hoàn tiền phụ thuộc vào nguyên nhân lỗi, trạng thái giao dịch và quy trình xử lý của ngân hàng liên quan.</t>
  </si>
  <si>
    <t>5.2. Thẻ debit có thanh toán quốc tế được không?</t>
  </si>
  <si>
    <t>Đối với thẻ nội địa NAPAS, khách hàng có thể thanh toán tại một số quốc gia trong mạng lưới liên kết như Hàn Quốc, Nga,…</t>
  </si>
  <si>
    <t>Hành động vòi thêm tiền hoặc tỏ thái độ thất vọng, so bì khi nhận được số tiền không như ý làm mất đi hoàn toàn ý nghĩa…</t>
  </si>
  <si>
    <t>1 triệu đô bằng bao nhiêu tiền Việt</t>
  </si>
  <si>
    <t>Mở rộng chủ đề (theo plan): bài nhắc lãi suất, tiền gửi, tiết kiệm.</t>
  </si>
  <si>
    <t>Mở rộng chủ đề (theo plan): bài nhắc lãi suất, tiền gửi, kỳ hạn.</t>
  </si>
  <si>
    <t>Bạn đang chuẩn bị cho chuyến du lịch Nhật Bản mơ ước, có kế hoạch nhập khẩu hàng hóa từ xứ sở hoa anh đào, hay đơn giản…</t>
  </si>
  <si>
    <t>Mở rộng chủ đề (theo plan): bài nhắc lãi suất, tiết kiệm, gửi tiền.</t>
  </si>
  <si>
    <t>Với thẻ quốc tế (logo Visa, MasterCard...), chủ thẻ cần nhập mã PIN khi thanh toán bằng thẻ tại một số quốc gia trên th…</t>
  </si>
  <si>
    <t>Mở rộng chủ đề (theo plan): bài nhắc lãi suất, tiết kiệm, kỳ hạn.</t>
  </si>
  <si>
    <t>Mở rộng chủ đề (theo plan): bài nhắc lãi suất, tiết kiệm, lãi.</t>
  </si>
  <si>
    <t>Mở rộng chủ đề (theo plan): bài nhắc lãi suất, tiết kiệm, tích lũy.</t>
  </si>
  <si>
    <t>Mở rộng chủ đề (theo plan): bài nhắc lãi suất, lãi, đầu tư.</t>
  </si>
  <si>
    <t>Mở rộng chủ đề (theo plan): bài nhắc lãi suất, lãi kép, lãi.</t>
  </si>
  <si>
    <t>1,000 won</t>
  </si>
  <si>
    <t>2. 1 Won bằng bao nhiêu tiền Việt Nam?</t>
  </si>
  <si>
    <t>…ố mức quy đổi tiền Hàn đổi sang tiền Việt phổ biến như 1,000 won, 10,000 won, 100,000 won, 1,000,000 won bằng bao nhiê…</t>
  </si>
  <si>
    <t>1000 Won bằng bao nhiêu tiền Việt</t>
  </si>
  <si>
    <t>Mở rộng chủ đề (theo plan): bài nhắc lãi suất, kỳ hạn, lãi.</t>
  </si>
  <si>
    <t>1.4. Tiền mặt</t>
  </si>
  <si>
    <t>Mặc dù thẻ và thanh toán điện tử được sử dụng rộng rãi, tiền mặt bằng Won Hàn Quốc vẫn cần thiết trong một số tình huốn…</t>
  </si>
  <si>
    <t>không quá 30 triệu Won/ngày, 50,000 USD/năm</t>
  </si>
  <si>
    <t>FX</t>
  </si>
  <si>
    <t>Có các mệnh giá 1.000, 2.000, 5.000, và 10.000 Yên.</t>
  </si>
  <si>
    <t>1 Tệ bằng bao nhiêu tiền Việt – 16 link
tỷ giá Nhân dân tệ – 14 link</t>
  </si>
  <si>
    <t>Khách hàng có 1 thẻ tín dụng với hạn mức là 20.000.000 VND.</t>
  </si>
  <si>
    <t>Bài tổng quan tiền Trung Quốc — dẫn sang quy đổi 1 tệ.</t>
  </si>
  <si>
    <t>2.2. Tiền giấy Nhật Bản</t>
  </si>
  <si>
    <t>Do đó, bạn nên có sẵn một ít tiền xu hoặc tờ ¥1.000 khi đi du lịch hoặc sinh sống tại Nhật</t>
  </si>
  <si>
    <t>Nhận 80 điểm/1,000 VND chi tiêu với giao dịch tiêu dùng online quốc tế</t>
  </si>
  <si>
    <t>Bài anh em mệnh giá 1 vạn tệ.</t>
  </si>
  <si>
    <t>1,000 Đồng Việt Nam (VND) tương đương khoảng 0.05 Đô la Úc (AUD) (*).</t>
  </si>
  <si>
    <t>2. 1 vạn tệ là bao nhiêu tiền Việt?</t>
  </si>
  <si>
    <t>1 vạn là bao nhiêu thì đáp án là 10.000 đơn vị.</t>
  </si>
  <si>
    <t>Bài anh em mệnh giá 1000 tệ.</t>
  </si>
  <si>
    <t>2. Tiền Indonesia là tiền gì? Đơn vị tiền tệ chính thức</t>
  </si>
  <si>
    <t>1,000 Rp – Màu vàng pha xanh, mặt trước in chân dung nữ anh hùng dân tộc Cut Nyak Meutia, biểu tượng lòng yêu nước của…</t>
  </si>
  <si>
    <t>Mỗi khách hàng được nhận tối đa 1,000,000 U-Point trong toàn bộ chương trình.</t>
  </si>
  <si>
    <t>Du lịch Trung Quốc cần quy đổi tệ.</t>
  </si>
  <si>
    <t>1.2. Hạn chế</t>
  </si>
  <si>
    <t>Phí rút tiền ATM quốc tế trên thị trường từ 1 - 4% trên giá trị giao dịch rút tiền, phí rút tiền tại ATM quốc tế lên tớ…</t>
  </si>
  <si>
    <t>1 triệu Đô la Mỹ (USD) có giá trị tương đương khoảng 25,736,000,000 (*) Đồng Việt Nam (VND).</t>
  </si>
  <si>
    <t>Nhắc: tệ.</t>
  </si>
  <si>
    <t>4. Hướng dẫn tích điểm lấy voucher trên Techcombank Mo…</t>
  </si>
  <si>
    <t>Mỹ khoảng 500-1,000 USD/năm, Đức miễn phí nếu dưới 30 tuổi.</t>
  </si>
  <si>
    <t>Khách hàng có 100,000,000 VND gửi tiết kiệm Phát Lộc trên Techcombank Mobile (Áp dụng mức lãi suất dành cho khoản tiền…</t>
  </si>
  <si>
    <t>Vì vậy, các câu hỏi như 100 Đô là bao nhiêu tiền Việt hay 1000 Đô bằng bao nhiêu tiền Việt thường được tìm kiếm để thuận…</t>
  </si>
  <si>
    <t>Đồng thời, nhiều người cũng quan tâm đến việc quy đổi các mệnh giá phổ biến như 100 tệ bằng bao nhiêu tiền Việt hay 500…</t>
  </si>
  <si>
    <t>2.1. Với ngoại tệ là tiền mặt</t>
  </si>
  <si>
    <t>“Cá nhân khi xuất cảnh, nhập cảnh qua các cửa khẩu quốc tế của Việt Nam bằng hộ chiếu mang theo ngoại tệ tiền mặt, đồng…</t>
  </si>
  <si>
    <t>3.2. Nắm rõ biểu phí khi sử dụng thẻ thanh toán quốc tế</t>
  </si>
  <si>
    <t>Vì tài khoản thanh toán của bạn là tiền Việt (VND), nên khi bạn chi tiêu bằng USD, EUR hay JPY, ngân hàng sẽ cần thực h…</t>
  </si>
  <si>
    <t>Nhắc: trung quốc.</t>
  </si>
  <si>
    <t>nhận kiều hối</t>
  </si>
  <si>
    <t>…hà xuất khẩu, chủ nợ, người nhận vốn đầu tư hoặc người nhận kiều hối, được chỉ định bởi người chuyển tiền.</t>
  </si>
  <si>
    <t>nhận tiền từ nước ngoài</t>
  </si>
  <si>
    <t>Tại sao nó được nhiều người tin dùng và cách để nhận tiền từ nước ngoài một cách nhanh chóng?</t>
  </si>
  <si>
    <t>3. Chức năng của mã SWIFT/BIC code</t>
  </si>
  <si>
    <t>Với mã SWIFT/BIC, người gửi, người nhận và giao dịch viên có thể xác định được giao dịch chuyển/nhận tiền quốc tế đến t…</t>
  </si>
  <si>
    <t>6.2. Gửi tiền EURO về nước nhanh chóng</t>
  </si>
  <si>
    <t>…hận tiền quốc tế linh hoạt để người Việt trong nước có nhận kiều hối từ người thân ở nước ngoài một cách trọn vẹn.</t>
  </si>
  <si>
    <t>Để nhận kiều hối từ Singapore, khách hàng có thể chọn các kênh hợp pháp như:</t>
  </si>
  <si>
    <t>5.2. Gửi tiền Trung Quốc về nước nhanh chóng</t>
  </si>
  <si>
    <t>6.2. Gửi Đô Úc về nước nhanh chóng</t>
  </si>
  <si>
    <t>5.2. Gửi tiền USD về nước nhanh chóng</t>
  </si>
  <si>
    <t>Để đáp ứng nhu cầu nhận tiền từ nước ngoài, Techcombank đã cung cấp giải pháp Nhận tiền quốc tế l…</t>
  </si>
  <si>
    <t>6. Cách chuyển tiền từ Trung Quốc về Việt Nam</t>
  </si>
  <si>
    <t>4.2. Gửi tiền Trung Quốc về nước nhanh chóng</t>
  </si>
  <si>
    <t>Phí nhận tiền từ nước ngoài vào tài khoản ngoại tệ</t>
  </si>
  <si>
    <t>4. Mã IBAN của các ngân hàng ở Việt Nam</t>
  </si>
  <si>
    <t>…ong các giao dịch chuyển tiền quốc tế từ Việt Nam hoặc nhận tiền từ nước ngoài về Việt Nam, khách hàng sẽ cần cung cấp…</t>
  </si>
  <si>
    <t>cách nhận tiền từ nước ngoài về Việt Nam</t>
  </si>
  <si>
    <t>3.1. Đối tượng mua ngoại tệ</t>
  </si>
  <si>
    <t>Cá nhân là người nước ngoài có nguồn thu hợp pháp bằng đồng Việt Nam được mua ngoại tệ tiền mặt tại tổ chức tín dụng đư…</t>
  </si>
  <si>
    <t>Sau khi tốt nghiệp, bạn cần ước tính mức lương từ công việc tại nước ngoài hoặc khi về Việt Nam.</t>
  </si>
  <si>
    <t>Ngược lại, nếu một công ty tại Mỹ mua cà phê từ Việt Nam, tiền thanh toán bằng USD hoặc EUR sẽ được chuyển về ngân hàng…</t>
  </si>
  <si>
    <t>5.2. Thẻ tín dụng Techcombank Priority Visa Signature</t>
  </si>
  <si>
    <t>Hoàn tiền lên tới 70 triệu VND/năm - Nhận hoàn đến 10% khi chi tiêu tại lĩnh vực nhà hàng, khách sạn, du lịch, mua sắm…</t>
  </si>
  <si>
    <t>3. Cách đăng ký làm thẻ ATM nội địa</t>
  </si>
  <si>
    <t>Là công dân Việt Nam hoặc người nước ngoài được phép cư trú hợp pháp tại Việt Nam với thời hạn từ 12 tháng trở lên, có…</t>
  </si>
  <si>
    <t>Mở rộng chủ đề (theo plan): bài nhắc tỷ giá, đổi tiền, usd. Liên quan rộng – đọc bài trước khi chèn.</t>
  </si>
  <si>
    <t>Người nước ngoài đang sinh sống và làm việc tại Việt Nam với thời hạn cư trú từ 12 tháng (360 ngày) trở lên kể từ thời…</t>
  </si>
  <si>
    <t>Khách hàng có thể chuyển tiền từ tài khoản thẻ ghi nợ Visa đến các tài khoản trong và ngoài hệ thống qua ứng dụng Mobil…</t>
  </si>
  <si>
    <t>Mở rộng chủ đề (theo plan): bài nhắc tỷ giá, đổi tiền, đô la. Liên quan rộng – đọc bài trước khi chèn.</t>
  </si>
  <si>
    <t>3. Biểu phí khi sử dụng thẻ Visa thanh toán quốc tế</t>
  </si>
  <si>
    <t>Nếu đã rút tiền mặt từ thẻ tín dụng tại nước ngoài, khách hàng nên đăng ký chuyển đổi trả góp giao dịch rút tiền mặt.</t>
  </si>
  <si>
    <t>Mở rộng chủ đề (theo plan): bài nhắc tỷ giá, đổi tiền, đô. Liên quan rộng – đọc bài trước khi chèn.</t>
  </si>
  <si>
    <t>Bên cạnh việc đổi ngoại tệ tiền mặt, xu hướng thanh toán bằng thẻ quốc tế khi đi du lịch nước ngoài đang ngày càng trở…</t>
  </si>
  <si>
    <t>Khi lãi suất của một quốc gia cao hơn so với các quốc gia khác, nó thường thu hút các nhà đầu tư nước ngoài tìm kiếm lợ…</t>
  </si>
  <si>
    <t>Mở rộng chủ đề (theo plan): bài nhắc tỷ giá, đổi tiền, yên nhật. Liên quan rộng – đọc bài trước khi chèn.</t>
  </si>
  <si>
    <t>2.2. 6 điểm khác biệt giữa thẻ Visa và thẻ nội địa</t>
  </si>
  <si>
    <t>Khách hàng nhận được nhiều chương trình ưu đãi giảm giá, tích điểm từ các thương hiệu trong nước và quốc tế.</t>
  </si>
  <si>
    <t>1.1. Chi phí pháp lý theo từng chương trình cư trú</t>
  </si>
  <si>
    <t>Ngoài tiền đầu tư, nhà đầu tư cần dự trù thêm thuế chuyển nhượng bất động sản (khoảng 3% – 10% tùy nước), phí thẩm định…</t>
  </si>
  <si>
    <t>Mở rộng chủ đề (theo plan): bài nhắc tỷ giá, đổi tiền, du lịch. Liên quan rộng – đọc bài trước khi chèn.</t>
  </si>
  <si>
    <t>Ngoài việc mua ngoại tệ trực tiếp, nhu cầu nhận hoặc chuyển tiền quốc tế cũng thường phát sinh khi lập kế hoạch du lịch.</t>
  </si>
  <si>
    <t>2.4. Các yêu cầu bổ sung theo quy định quản lý ngoại h…</t>
  </si>
  <si>
    <t>Ngân hàng có thể yêu cầu thêm tài liệu liên quan đến kiểm soát rửa tiền hoặc chứng từ xác minh nguồn tiền để đảm bảo th…</t>
  </si>
  <si>
    <t>1. Quy định về chuyển tiền một chiều ra nước ngoài</t>
  </si>
  <si>
    <t>Hoạt động chuyển tiền một chiều từ Việt Nam ra nước ngoài cần được tuân thủ các quy định sau:</t>
  </si>
  <si>
    <t>Học phí, sinh hoạt phí, phí bảo hiểm, tiền ký túc xá… tại nước ngoài (với hạn mức chuyển sinh hoạt phí là GDP của nước…</t>
  </si>
  <si>
    <t>đổi tiền đô ở đâu</t>
  </si>
  <si>
    <t>Thay vì đổi tiền ở sân bay hay các quầy du lịch – nơi tỷ giá thường cao hơn thị trường và kèm phí dịch vụ, bạn nên chọn…</t>
  </si>
  <si>
    <t>Mở rộng chủ đề (theo plan): bài nhắc tỷ giá, đổi tiền, won. Liên quan rộng – đọc bài trước khi chèn.</t>
  </si>
  <si>
    <t>8. Giải pháp tài chính khi cần tiền gấp</t>
  </si>
  <si>
    <t>Giảm giá lên tới 50% hóa đơn thanh toán, hoàn tiền đến 5%, tích điểm đổi quà, tích dặm bay… với 99+ đối tác khách hàng…</t>
  </si>
  <si>
    <t>3. Nên làm thẻ visa hay nội địa?</t>
  </si>
  <si>
    <t>Ưu điểm của loại thẻ này là cho phép khách hàng rút tiền hoặc thanh toán ở bất kỳ đâu.</t>
  </si>
  <si>
    <t>Mở rộng chủ đề (theo plan): bài nhắc tỷ giá, quốc tế, du học. Liên quan rộng – đọc bài trước khi chèn.</t>
  </si>
  <si>
    <t>1. Xu hướng quản lý tài chính của dân văn phòng hiện n…</t>
  </si>
  <si>
    <t>Với sự thay đổi trong tư duy tài chính cá nhân, ngày càng nhiều nhân viên công sở nhận ra rằng việc quản lý tài chính h…</t>
  </si>
  <si>
    <t>1.2. Cách điền thông tin trên séc để rút tiền mặt từ t…</t>
  </si>
  <si>
    <t>Hiện nay, cách viết séc để rút tiền mặt từ ngân hàng ở Việt Nam đều có các quy định tương tự nhau, khách hàng chỉ cần t…</t>
  </si>
  <si>
    <t>Khi thực hiện chuyển tiền trợ cấp thân nhân ở nước ngoài, chi phí giao dịch không chỉ bao gồm phí chuyển tiền mà còn ch…</t>
  </si>
  <si>
    <t>Đồng thời, giải đáp các thắc mắc thường gặp như bảo hiểm sức khỏe bao nhiêu tiền, nên mua bảo hiểm sức khỏe nào, mua bả…</t>
  </si>
  <si>
    <t>tỷ giá USD/VND – 23 link
1 đô bằng bao nhiêu tiền Việt – 6 link
1 đô la Mỹ bằng bao nhiêu tiền Việt – 1 link</t>
  </si>
  <si>
    <t>4. Nạp tiền vào tài khoản ngân hàng tại bưu điện</t>
  </si>
  <si>
    <t>Xu hướng tỷ giá USD — người đọc cần tỷ giá hiện tại.</t>
  </si>
  <si>
    <t>Với mạng lưới bưu cục rộng khắp tới tận thôn xã, dịch vụ Thu hộ tiền mặt vào tài khoản ngân hàng của bưu điện Việt Nam…</t>
  </si>
  <si>
    <t>5. Lưu ý quan trọng khi đổi tiền Indonesia</t>
  </si>
  <si>
    <t>Trước khi quyết định đổi tiền, hãy tham khảo tỷ giá ở nhiều nơi, ví dụ các ngân hàng, sân bay.</t>
  </si>
  <si>
    <t>Mua USD cần biết 1 USD bằng bao nhiêu VND.</t>
  </si>
  <si>
    <t>2. Tại sao nên nhận chuyển tiền bằng Western Union?</t>
  </si>
  <si>
    <t>Với hàng trăm nghìn đại lý trên toàn thế giới, việc gửi và nhận tiền trở nên cực kỳ thuận tiện, bất kể bạn đang ở đâu.</t>
  </si>
  <si>
    <t>Bài anh em (cent = 1/100 USD).</t>
  </si>
  <si>
    <t>https://techcombank.com/thong-tin/blog/vang-24k</t>
  </si>
  <si>
    <t>4.1. Ưu điểm</t>
  </si>
  <si>
    <t>Dễ dàng mua bán, chuyển đổi thành tiền mặt ở hầu hết cửa hàng vàng và ngân hàng.</t>
  </si>
  <si>
    <t>https://techcombank.com/thong-tin/blog/bao-hiem-sinh-ky-la-gi</t>
  </si>
  <si>
    <t>3. Vì sao nhiều người chọn bảo hiểm liên kết đầu tư th…</t>
  </si>
  <si>
    <t>Người tham gia có thể điều chỉnh phí, thay đổi số tiền bảo hiểm, rút tiền hoặc chuyển đổi quỹ đầu tư theo nhu cầu ở từn…</t>
  </si>
  <si>
    <t>Tiết kiệm USD — quy đổi sang VND.</t>
  </si>
  <si>
    <t>1. Techcombank Sinh Lời Tự Động định nghĩa lại cách qu…</t>
  </si>
  <si>
    <t>3. Các yếu tố ảnh hưởng đến phí chuyển đổi ngoại tệ</t>
  </si>
  <si>
    <t>Tỷ giá tại ngân hàng, các công ty công nghệ tài chính và quầy đổi tiền ở sân bay/trung tâm du lịch sẽ khác nhau</t>
  </si>
  <si>
    <t>Chuyển tiền từ Mỹ — quy đổi USD.</t>
  </si>
  <si>
    <t>https://techcombank.com/thong-tin/blog/cach-tiet-kiem-tien-theo-tuan</t>
  </si>
  <si>
    <t>1. Tiết kiệm tiền lẻ mỗi ngày</t>
  </si>
  <si>
    <t>Các đồng tiền có mệnh giá nhỏ như 1,000 VND, 2,000 VND, 5,000 VND thường bị lãng quên trong túi áo, túi quần hoặc ở đâu…</t>
  </si>
  <si>
    <t>Cent là đơn vị tiền tệ nhỏ nhất của đồng Đô la Mỹ (USD), được sử dụng rộng rãi trong các giao dịch hàng ngày ở Mỹ và nh…</t>
  </si>
  <si>
    <t>Các bạn sinh viên và gia đình nên chủ động tìm hiểu kỹ thông tin vay tiền sinh viên có lãi cao không, mức lãi cụ thể củ…</t>
  </si>
  <si>
    <t>Nhắc: mỹ.</t>
  </si>
  <si>
    <t>2. Nguyên tắc giúp việc tiết kiệm tiền lương đạt hiệu…</t>
  </si>
  <si>
    <t>Những thay đổi nhỏ như nấu ăn ở nhà, tắt điện khi không sử dụng, đóng nước khi không dùng, không phung phí những đồng t…</t>
  </si>
  <si>
    <t>3.1. Phân biệt rõ các loại chi phí giao dịch</t>
  </si>
  <si>
    <t>Là tỷ giá được ngân hàng áp dụng để quy đổi từ tiền Việt (VND) sang Đô la Úc (AUD) tại thời điểm giao dịch.</t>
  </si>
  <si>
    <t>2. Gợi ý các cách thanh toán tối ưu khi mua sắm tại Th…</t>
  </si>
  <si>
    <t>Nên đổi ngoại tệ tại ngân hàng/điểm được cấp phép, giữ tiền mặt ở mức vừa đủ và bảo quản cẩn thận</t>
  </si>
  <si>
    <t>Việc quy đổi Đô la Mỹ sang tiền Việt rất đơn giản với công thức:</t>
  </si>
  <si>
    <t>Nhắc: usd.</t>
  </si>
  <si>
    <t>https://techcombank.com/thong-tin/blog/npv-la-gi</t>
  </si>
  <si>
    <t>2.1 Công thức tính NPV</t>
  </si>
  <si>
    <t>Bản chất của công thức là quy đổi toàn bộ dòng tiền tương lai về giá trị hiện tại (do tiền ở các thời điểm khác nhau có…</t>
  </si>
  <si>
    <t>đổi USD ở đâu</t>
  </si>
  <si>
    <t>5.1. Cách đổi tiền hiệu quả</t>
  </si>
  <si>
    <t>Nếu bạn chưa kịp đổi tiền, hãy mang theo Đô la Mỹ (USD) để có tỷ giá tốt khi đổi sang Ringgit tại các quầy đổi tiền đượ…</t>
  </si>
  <si>
    <t>vay ngân hàng 1 tỷ mỗi tháng trả bao nhiêu</t>
  </si>
  <si>
    <t>https://techcombank.com/thong-tin/blog/co-nen-vay-ngan-hang-mua-nha</t>
  </si>
  <si>
    <t>1. Lợi ích của việc vay ngân hàng mua nhà</t>
  </si>
  <si>
    <t>Ngược lại, vay ngân hàng mua nhà giúp bạn có tài sản cố định riêng, và chi phí thuê nhà có thể bù đắp được một phần vào…</t>
  </si>
  <si>
    <t>Nhắc: đô la.</t>
  </si>
  <si>
    <t>Meta description bài đích (vay-ngan-hang-1-ty) đang lệch nội dung — nên sửa.</t>
  </si>
  <si>
    <t>vay 1 tỷ mỗi tháng trả bao nhiêu</t>
  </si>
  <si>
    <t>2.1. Dư nợ gốc</t>
  </si>
  <si>
    <t>Giả sử bạn vay 1 tỷ VND trong 5 năm, với kế hoạch trả 200 triệu VND tiền gốc mỗi năm.</t>
  </si>
  <si>
    <t>Nhắc: tiền đô.</t>
  </si>
  <si>
    <t>3.3. Tất toán khoản vay là gì?</t>
  </si>
  <si>
    <t>Anh B vay 1 tỷ VND trong thời hạn 24 tháng, hợp đồng quy định phí phạt trả nợ trước hạn là 5%.</t>
  </si>
  <si>
    <t>Mở rộng chủ đề (theo plan): bài nhắc đô, tỷ giá, đổi tiền.</t>
  </si>
  <si>
    <t>Khi đã chọn hình thức này, để không phải bận tâm việc trả góp chậm 1 ngày có bị nợ xấu không, bạn chỉ cần thanh toán đú…</t>
  </si>
  <si>
    <t>https://techcombank.com/thong-tin/blog/vay-20-trieu</t>
  </si>
  <si>
    <t>4.1. Vay 20 triệu VND mỗi tháng trả bao nhiêu tiền lãi?</t>
  </si>
  <si>
    <t>Bạn sẽ trả một khoản tiền cố định mỗi tháng, ngoại trừ tháng cuối trong thời hạn vay.</t>
  </si>
  <si>
    <t>Mở rộng chủ đề (theo plan): bài nhắc tỷ giá, đổi tiền, nhân dân tệ. Liên quan rộng – đọc bài trước khi chèn.</t>
  </si>
  <si>
    <t>https://techcombank.com/thong-tin/blog/nhu-cau-vay-tieu-dung-cua-nguoi-viet-du-kien-tang-manh-trong-thoi-gian-toi</t>
  </si>
  <si>
    <t>Dành cho khách hàng không có tài sản đảm bảo, với hạn mức lên đến 1 tỷ VND và thời gian vay linh hoạt từ 12 đến 60 thán…</t>
  </si>
  <si>
    <t>2.2. Cấp vốn kinh doanh linh hoạt</t>
  </si>
  <si>
    <t>Hạn mức vay lên đến 1 tỷ VND, không cần tài sản thế chấp, thời gian vay linh hoạt từ 3- 36 tháng.</t>
  </si>
  <si>
    <t>Mở rộng chủ đề (theo plan): bài nhắc tỷ giá, ngoại tệ, won. Liên quan rộng – đọc bài trước khi chèn.</t>
  </si>
  <si>
    <t>Hạn mức vay lên đến 1 tỷ VND, không cần tài sản thế chấp, thời gian vay linh hoạt từ 3 - 36 tháng</t>
  </si>
  <si>
    <t>Vay dễ dàng không cần tài sản đảm bảo, đăng ký trực tuyến trên Techcombank Mobile, phê duyệt trong 3 phút, hạn mức lên…</t>
  </si>
  <si>
    <t>5. Techcombank đồng hành cùng hộ kinh doanh tối ưu vận…</t>
  </si>
  <si>
    <t>https://techcombank.com/thong-tin/blog/bao-hiem-trung</t>
  </si>
  <si>
    <t>Mở rộng chủ đề (theo plan): bài nhắc tỷ giá, ngoại tệ, yên nhật. Liên quan rộng – đọc bài trước khi chèn.</t>
  </si>
  <si>
    <t>3. Khi xảy ra sự kiện bảo hiểm, bảo hiểm trùng bồi thư…</t>
  </si>
  <si>
    <t>Khi xảy ra sự cố chập điện khiến kho bị thiệt hại 1 tỷ VND, anh Dũng ban đầu nghĩ rằng có thể được nhận bồi thường 2 tỷ…</t>
  </si>
  <si>
    <t>https://techcombank.com/thong-tin/blog/vay-mua-nha-tra-gop</t>
  </si>
  <si>
    <t>4. Tính toán cụ thể số tiền phải thanh toán hàng tháng</t>
  </si>
  <si>
    <t>Bạn nên tính toán chi tiết số tiền phải trả góp mỗi tháng, từ đó lựa chọn hạn mức và kỳ hạn vay phù hợp.</t>
  </si>
  <si>
    <t>Mở rộng chủ đề (theo plan): bài nhắc tỷ giá, đổi tiền, tệ. Liên quan rộng – đọc bài trước khi chèn.</t>
  </si>
  <si>
    <t>Trước khi quyết định mua ô tô trả góp, khách hàng nên tính toán khoản vay và số tiền cần trả mỗi tháng.</t>
  </si>
  <si>
    <t>Mở rộng chủ đề (theo plan): bài nhắc tỷ giá, nhân dân tệ, tệ. Liên quan rộng – đọc bài trước khi chèn.</t>
  </si>
  <si>
    <t>4. Hộ kinh doanh ứng dụng công nghệ để thích nghi tron…</t>
  </si>
  <si>
    <t>https://techcombank.com/thong-tin/blog/vay-40-trieu</t>
  </si>
  <si>
    <t>4. Hướng dẫn trả góp khoản vay trên Techcombank Mobile</t>
  </si>
  <si>
    <t>Bạn sẽ trả một khoản tiền cố định mỗi tháng, ngoại trừ tháng cuối cùng trong thời hạn vay.</t>
  </si>
  <si>
    <t>7. Hộ kinh doanh quản lý kinh doanh dễ dàng, đóng thuế…</t>
  </si>
  <si>
    <t>4.1. Lịch trả góp hàng tháng như thế nào?</t>
  </si>
  <si>
    <t>5. Hộ kinh doanh quản lý kinh doanh dễ dàng, đóng thuế…</t>
  </si>
  <si>
    <t>vay 1 tỷ trong 20 năm mỗi tháng trả bao nhiêu</t>
  </si>
  <si>
    <t>https://techcombank.com/thong-tin/blog/luong-huu</t>
  </si>
  <si>
    <t>2.2. Đối với lao động nam</t>
  </si>
  <si>
    <t>tỷ lệ hưởng là 40% tương ứng 15 năm đầu, sau đó cứ thêm mỗi năm đóng được tính thêm 1% (đây là điểm mới của Luật Bảo hi…</t>
  </si>
  <si>
    <t>Có khả năng trả nợ vì các ngân hàng thường xem xét tỷ lệ nợ trên thu nhập (DTI - Debt-to-Income ratio), trong đó, tổng…</t>
  </si>
  <si>
    <t>1. Vay tiền trả góp là gì?</t>
  </si>
  <si>
    <t>Mỗi tháng, người vay sẽ trả cho ngân hàng/tổ chức tài chính một khoản tiền bao gồm gốc và lãi.</t>
  </si>
  <si>
    <t>Khách hàng mua một chiếc điện thoại có giá 6,000,000 VND , phí chuyển đổi trả góp thẻ tín dụng là 90,000 VND (khoảng 1,…</t>
  </si>
  <si>
    <t>Mở rộng chủ đề (theo plan): bài nhắc tỷ giá, đổi tiền, tiền. Liên quan rộng – đọc bài trước khi chèn.</t>
  </si>
  <si>
    <t>3.2. Cách tính</t>
  </si>
  <si>
    <t>Còn số tiền mà khách hàng cần trả góp mỗi tháng từ tháng thứ 2 đến hết tháng 12 cho ngân hàng là 1,000,000 VND.</t>
  </si>
  <si>
    <t>2. Giải pháp cho người vay có khó khăn trong việc trả…</t>
  </si>
  <si>
    <t>Chính sách cơ cấu thời hạn trả nợ sẽ do mỗi ngân hàng quy định và được áp dụng tùy theo tình hình thực tế của bên vay v…</t>
  </si>
  <si>
    <t>tiền Nhật – 28 link
tiền Yên Nhật – 2 link</t>
  </si>
  <si>
    <t>Du lịch Nhật cần biết mệnh giá tiền Nhật.</t>
  </si>
  <si>
    <t>https://techcombank.com/thong-tin/blog/vay-the-chap-la-gi</t>
  </si>
  <si>
    <t>5. Kinh nghiệm vay thế chấp ngân hàng</t>
  </si>
  <si>
    <t>Lập kế hoạch sử dụng nguồn vốn vay giúp bạn xác định rõ khả năng tài chính, số tiền đảm bảo sẽ trả hàng tháng cho ngân…</t>
  </si>
  <si>
    <t>2. Hiểu rõ về mức lãi suất và cách tính của ngân hàng</t>
  </si>
  <si>
    <t>Chuyển tiền từ Nhật — liên quan tiền Yên.</t>
  </si>
  <si>
    <t>Khi vay thế chấp, người vay nên chú ý tới mức lãi suất và cách tính lãi suất của ngân hàng để chủ động trong việc tính…</t>
  </si>
  <si>
    <t>Mức lãi suất sẽ ảnh hưởng tới số tiền mà khách hàng cần trả mỗi tháng cho ngân hàng bên cạnh khoản tiền gốc.</t>
  </si>
  <si>
    <t>Tuy nhiên, điều kiện vay, hồ sơ và thủ tục mua xe trả góp tại mỗi ngân hàng sẽ có sự khác nhau.</t>
  </si>
  <si>
    <t>Bài 1 Man dẫn về mệnh giá tiền Nhật.</t>
  </si>
  <si>
    <t>https://techcombank.com/thong-tin/blog/traveloka-voucher</t>
  </si>
  <si>
    <t>cách lấy voucher Traveloka</t>
  </si>
  <si>
    <t>2.1. Cách 1: Nhận voucher The Pizza Company trên Techc…</t>
  </si>
  <si>
    <t>Cách lấy voucher The Pizza Company trên Techcombank Mobile.</t>
  </si>
  <si>
    <t>Chủ đề người Nhật; chỉ chèn nếu có nhắc tiền Yên. (Liên quan yếu – bản chặt đã loại.)</t>
  </si>
  <si>
    <t>https://techcombank.com/thong-tin/blog/ma-giam-gia-al-frescos</t>
  </si>
  <si>
    <t>Khám phá ngay danh sách ưu đãi cùng cách lấy và sử dụng voucher trong bài viết dưới đây!</t>
  </si>
  <si>
    <t>https://techcombank.com/thong-tin/blog/voucher-coopmart</t>
  </si>
  <si>
    <t>Nhắc: nhật bản.</t>
  </si>
  <si>
    <t>https://techcombank.com/thong-tin/blog/voucher-jollibee</t>
  </si>
  <si>
    <t>Khám phá ngay cách đổi điểm U-Point lấy voucher Jollibee và các tuyệt chiêu tích điểm siêu tốc trong bài viết dưới đây!</t>
  </si>
  <si>
    <t>https://techcombank.com/thong-tin/blog/giam-gia-be</t>
  </si>
  <si>
    <t>2. Hướng dẫn lấy voucher Be trên Techcombank Mobile và…</t>
  </si>
  <si>
    <t>Ngoài lấy voucher trên Techcombank Mobile, khách hàng có thể lấy voucher Be trên app OneU bằng cách:</t>
  </si>
  <si>
    <t>Nhắc: yên nhật, jpy, 1000 yên.</t>
  </si>
  <si>
    <t>https://techcombank.com/thong-tin/blog/voucher-katinat</t>
  </si>
  <si>
    <t>2.1. Cách 1: Đổi U-Point nhận voucher trên Techcombank…</t>
  </si>
  <si>
    <t>Cách lấy voucher Katinat trên Techcombank Mobile.</t>
  </si>
  <si>
    <t>https://techcombank.com/thong-tin/blog/ma-giam-gia-phela</t>
  </si>
  <si>
    <t>Cập nhật ngay danh sách ưu đãi mới nhất, cách lấy mã và hướng dẫn sử dụng voucher trong bài viết dưới đây.</t>
  </si>
  <si>
    <t>https://techcombank.com/thong-tin/blog/kichi-kichi</t>
  </si>
  <si>
    <t>2. Cách lấy voucher Kichi Kichi trên Techcombank Mobil…</t>
  </si>
  <si>
    <t>Ngoài lấy voucher trên Techcombank Mobile, khách hàng có thể lấy voucher Kichi Kichi trên app OneU bằng cách:</t>
  </si>
  <si>
    <t>https://techcombank.com/thong-tin/blog/ma-giam-gia-shopee</t>
  </si>
  <si>
    <t>2. Hướng dẫn lấy mã giảm giá Shopee trên Techcombank M…</t>
  </si>
  <si>
    <t>Ngoài lấy voucher trên Techcombank Mobile, khách hàng có thể lấy mã giảm giá Shopee trên app OneU bằng cách:</t>
  </si>
  <si>
    <t>3.1. Hướng dẫn lấy voucher Starbucks</t>
  </si>
  <si>
    <t>Ngoài lấy voucher trên Techcombank Mobile, khách hàng có thể lấy voucher Starbucks trên app Techcombank OneU bằng cách:</t>
  </si>
  <si>
    <t>7. Nhận ngay voucher mua hàng cửa hàng tiện lợi trên T…</t>
  </si>
  <si>
    <t>Ngoài lấy voucher trên Techcombank Mobile, khách hàng có thể lấy voucher trên app OneU bằng cách:</t>
  </si>
  <si>
    <t>https://techcombank.com/thong-tin/blog/ma-giam-xanh-sm</t>
  </si>
  <si>
    <t>2. Hướng dẫn lấy mã giảm giá Green SM trên Techcombank…</t>
  </si>
  <si>
    <t>Ngoài lấy voucher trên Techcombank Mobile, khách hàng có thể lấy voucher Green SM trên app OneU bằng cách:</t>
  </si>
  <si>
    <t>https://techcombank.com/thong-tin/blog/voucher-kfc</t>
  </si>
  <si>
    <t>2. Hướng dẫn lấy voucher KFC trên Techcombank Mobile v…</t>
  </si>
  <si>
    <t>Ngoài lấy voucher trên Techcombank Mobile, khách hàng có thể lấy voucher KFC trên app OneU bằng cách:</t>
  </si>
  <si>
    <t>2. Cách thu thập voucher Mr.Eco trên Techcombank Mobil…</t>
  </si>
  <si>
    <t>Ngoài lấy voucher trên Techcombank Mobile, khách hàng có thể lấy voucher Mr.Eco trên app OneU bằng cách:</t>
  </si>
  <si>
    <t>https://techcombank.com/thong-tin/blog/voucher-phuc-long</t>
  </si>
  <si>
    <t>2. Hướng dẫn lấy voucher Phúc Long trên Techcombank Mo…</t>
  </si>
  <si>
    <t>Ngoài lấy voucher trên Techcombank Mobile, khách hàng có thể lấy voucher Phúc Long trên app OneU bằng cách:</t>
  </si>
  <si>
    <t>https://techcombank.com/thong-tin/blog/voucher-grab</t>
  </si>
  <si>
    <t>3. Hướng dẫn sử dụng voucher Grab</t>
  </si>
  <si>
    <t>Sau khi đổi U-Point lấy voucher, khách hàng sử dụng mã giảm giá trên app Grab bằng cách:</t>
  </si>
  <si>
    <t>https://techcombank.com/thong-tin/blog/dat-xe-xanh-sm</t>
  </si>
  <si>
    <t>1. Đặt Xanh SM trên app Xanh SM với voucher từ Techcom…</t>
  </si>
  <si>
    <t>Sau khi đổi U-Point lấy voucher trên Xanh SM, khách hàng có thể sử dụng voucher bằng cách:</t>
  </si>
  <si>
    <t>Cách lấy voucher TOUS les JOURS trên Techcombank Mobile.</t>
  </si>
  <si>
    <t>https://techcombank.com/thong-tin/blog/voucher-xanh-sm</t>
  </si>
  <si>
    <t>2. Cách lấy voucher Xanh SM trên Techcombank Mobile và…</t>
  </si>
  <si>
    <t>Ngoài lấy voucher trên Techcombank Mobile, khách hàng có thể lấy voucher Xanh SM trên app OneU bằng cách:</t>
  </si>
  <si>
    <t>Mở rộng chủ đề (theo plan): bài nhắc đô la, đô, quốc tế. Liên quan rộng – đọc bài trước khi chèn.</t>
  </si>
  <si>
    <t>voucher Traveloka</t>
  </si>
  <si>
    <t>2.2. Đặc quyền tích điểm, đổi thưởng, nhận ưu đãi từ h…</t>
  </si>
  <si>
    <t>Đặc biệt, vào 12:00 trưa ngày 28 hàng tháng, chương trình Flash Deal sẽ diễn ra với số lượng giới hạn các voucher trị g…</t>
  </si>
  <si>
    <t>https://techcombank.com/thong-tin/blog/voucher-the-coffee-house</t>
  </si>
  <si>
    <t>https://techcombank.com/thong-tin/blog/yakimono</t>
  </si>
  <si>
    <t>https://techcombank.com/thong-tin/blog/chixmax</t>
  </si>
  <si>
    <t>https://techcombank.com/thong-tin/blog/voucher-cgv</t>
  </si>
  <si>
    <t>https://techcombank.com/thong-tin/blog/woomaster</t>
  </si>
  <si>
    <t>https://techcombank.com/thong-tin/blog/diem-loyalty-la-gi</t>
  </si>
  <si>
    <t>Mở rộng chủ đề (theo plan): bài nhắc nước ngoài, quốc tế, tiền. Liên quan rộng – đọc bài trước khi chèn.</t>
  </si>
  <si>
    <t>thuế hộ kinh doanh</t>
  </si>
  <si>
    <t>&gt;&gt;&gt; Tìm hiểu chi tiết cách tính thuế hộ kinh doanh trong bài viết Cách tính thuế Hộ kinh doanh nhỏ lẻ năm 2026 mới nhất…</t>
  </si>
  <si>
    <t>1 Yên bằng bao nhiêu tiền Việt – 16 link
tỷ giá Yên Nhật – 14 link</t>
  </si>
  <si>
    <t>…viết sau sẽ tổng hợp các quy định MỚI NHẤT về truy thu thuế hộ kinh doanh.</t>
  </si>
  <si>
    <t>Bài anh em mệnh giá 1000 Yên.</t>
  </si>
  <si>
    <t>Đóng mã số thuế hộ kinh doanh là thủ tục cần thực hiện khi chấm dứt hoạt động hoặc t…</t>
  </si>
  <si>
    <t>Bài tổng quan tiền Nhật — đoạn tỷ giá dẫn sang quy đổi 1 Yên.</t>
  </si>
  <si>
    <t>…i nhất về thời hạn đăng ký thuế, mức phạt chậm đăng ký thuế hộ kinh doanh và hướng xử lý khi phát sinh vi phạm.</t>
  </si>
  <si>
    <t>1 Man = 10.000 Yên — dẫn sang tỷ giá 1 Yên.</t>
  </si>
  <si>
    <t>&gt;&gt;&gt; Tìm hiểu thêm Thông tin cần tra cứu &amp; cách kiểm tra thuế hộ kinh doanh.</t>
  </si>
  <si>
    <t>… viết dưới đây hướng dẫn chi tiết cách cách tra cứu nợ thuế hộ kinh doanh online và cách xử lý khi kiểm tra nợ thuế hộ…</t>
  </si>
  <si>
    <t>Chuyển tiền từ Nhật — quy đổi JPY/VND.</t>
  </si>
  <si>
    <t>Kiểm tra thông tin thuế hộ kinh doanh giúp chủ hộ kịp thời cập nhật tình trạng đăng ký thuế,…</t>
  </si>
  <si>
    <t>Cùng tìm hiểu 3 cách tra cứu mã số thuế hộ kinh doanh online nhanh chóng, chính xác qua hệ thống của Tổng cụ…</t>
  </si>
  <si>
    <t>Cuốn cẩm nang dưới đây sẽ hướng dẫn đầy đủ cách đăng ký thuế hộ kinh doanh cá thể online một cách dễ dàng nhất.</t>
  </si>
  <si>
    <t>hộ kinh doanh đóng thuế như thế nào</t>
  </si>
  <si>
    <t>https://techcombank.com/thong-tin/blog/barcode-la-gi</t>
  </si>
  <si>
    <t>1.1. Barcode là gì?</t>
  </si>
  <si>
    <t>Đối với một chủ hộ kinh doanh, barcode thường đóng vai trò như “mã nhận diện” của sản phẩm.</t>
  </si>
  <si>
    <t>1.3. Lo ngại chi phí đóng thuế tăng vọt</t>
  </si>
  <si>
    <t>Nhiều hộ kinh doanh lo ngại phải đóng thuế cao.</t>
  </si>
  <si>
    <t>Cơ sở kinh doanh nộp thuế GTGT theo phương pháp khấu trừ có dự án đầu tư mới tại cùng tỉnh, thành phố hoặc khác tỉnh, t…</t>
  </si>
  <si>
    <t>1. Địa điểm đăng ký kinh doanh cho hộ/cá nhân kinh doa…</t>
  </si>
  <si>
    <t>Cá nhân hoặc hộ gia đình nộp hồ sơ một lần sẽ được cấp cả Giấy chứng nhận đăng ký kinh doanh và mã số thuế .</t>
  </si>
  <si>
    <t>từ ngày 17/5/2025 , doanh nghiệp nhỏ và vừa mới thành lập, bao gồm cả doanh nghiệp chuyển đổi từ hộ kinh doanh, được mi…</t>
  </si>
  <si>
    <t>Trong bài viết này, Techcombank sẽ hướng dẫn cách tạo mã QR tài khoản ngân hàng nhanh chóng, dễ dàng cho các nhóm khách…</t>
  </si>
  <si>
    <t>1. Từ 1/7/2025, số căn cước công dân (CCCD) là mã số t…</t>
  </si>
  <si>
    <t>Từ ngày 1/7/2025, theo quy định mới của Luật Quản lý thuế, số Căn cước công dân (CCCD) gồm 12 chữ số sẽ thay thế hoàn t…</t>
  </si>
  <si>
    <t>Một trong những rào cản lớn nhất khiến hộ kinh doanh ngần ngại chuyển đổi là thủ tục pháp lý và gánh nặng thuế phí.</t>
  </si>
  <si>
    <t>1. Cân nhắc lại mô hình kinh doanh trong bối cảnh mới</t>
  </si>
  <si>
    <t>Thay đổi cách thức quản lý thuế với hộ kinh doanh có doanh thu từ 1 tỷ VND/năm trở lên .</t>
  </si>
  <si>
    <t>Đặc biệt, từ ngày 01/01/2026, hộ và cá nhân kinh doanh sẽ không còn áp dụng phương pháp thuế khoán mà bắt buộc kê khai…</t>
  </si>
  <si>
    <t>2. Bước 2: Cách tính thu nhập chịu thuế thu nhập doanh…</t>
  </si>
  <si>
    <t>Theo Điều 7 Luật thuế thu nhập doanh nghiệp 2025 , nếu doanh nghiệp có nhiều hoạt động sản xuất, kinh doanh trong kỳ th…</t>
  </si>
  <si>
    <t>Đối với hộ kinh doanh, lãi suất vay là yếu tố quan trọng ảnh hưởng đến chi phí vốn và hiệu quả hoạt động.</t>
  </si>
  <si>
    <t>Bài viết dưới đây sẽ hướng dẫn bạn 3 cách tra cứu hóa đơn điện tử Tổng cục thuế theo quy định mới nhất năm 2026 , bao g…</t>
  </si>
  <si>
    <t>4.2. Cách 2: Qua ngân hàng số Techcombank Business</t>
  </si>
  <si>
    <t>Việc tận dụng ngân hàng số uy tín như Techcombank Business giúp doanh nghiệp chủ động kiểm soát dòng tiền, giảm thiểu s…</t>
  </si>
  <si>
    <t>cung cấp miễn phí các nền tảng số, phần mềm dùng chung, dịch vụ tư vấn pháp lý, đào tạo về quản trị doanh nghiệp, kế to…</t>
  </si>
  <si>
    <t>https://techcombank.com/thong-tin/blog/thanh-toan-khong-dung-tien-mat</t>
  </si>
  <si>
    <t>4. Techcombank đồng hành cùng hộ kinh doanh trên hành…</t>
  </si>
  <si>
    <t>Để hỗ trợ Hộ kinh doanh chuyển đổi số và phát triển kinh doanh bền vững, Techcombank cung cấp gói giải pháp Quản lý tài…</t>
  </si>
  <si>
    <t>2.1. Giải pháp quản lý doanh thu All-In-One</t>
  </si>
  <si>
    <t>T-Shop là ứng dụng quản lý bán hàng đột phá đến từ Techcombank, giúp các chủ hộ kinh doanh cùng doanh nghiệp vừa và nhỏ…</t>
  </si>
  <si>
    <t>Phần thuế giá trị gia tăng nộp theo phương pháp khấu trừ quy định tại điểm này không bao gồm phần thuế giá trị gia tăng…</t>
  </si>
  <si>
    <t>Thuế doanh nghiệp là một trong những nội dung quan trọng mà bất kỳ đơn vị kinh doanh nào cũng cần nắm rõ để dự trù chi…</t>
  </si>
  <si>
    <t>3.1. Nộp thuế đất online trên eTax Mobile</t>
  </si>
  <si>
    <t>eTax mobile là ứng dụng thuế điện tử chính thức do Tổng cục Thuế Việt Nam phát hành, nhằm hỗ trợ cá nhân, hộ kinh doanh…</t>
  </si>
  <si>
    <t>2.1. Hồ sơ cần chuẩn bị khi vay tín chấp hộ kinh doanh</t>
  </si>
  <si>
    <t>Để chứng minh khả năng trả nợ, người vay cần cung cấp các giấy tờ chứng minh thu nhập như báo cáo tài chính, sổ sách kế…</t>
  </si>
  <si>
    <t>tỷ giá Won – 21 link
1 Won bằng bao nhiêu tiền Việt – 9 link</t>
  </si>
  <si>
    <t>Theo Thông tư 18/2026/TT-BTC (được sửa đổi, bổ sung bởi Thông tư 50/2026/TT-BTC ), 100% hộ kinh doanh, cá nhân kinh doa…</t>
  </si>
  <si>
    <t>Bài anh em mệnh giá 1 triệu Won.</t>
  </si>
  <si>
    <t>https://techcombank.com/thong-tin/blog/thu-tuc-vay-von-kinh-doanh-nho</t>
  </si>
  <si>
    <t>Nguồn vốn luôn là chìa khóa mở ra cánh cửa thành công cho các hộ kinh doanh.</t>
  </si>
  <si>
    <t>Bài anh em 1000 Won.</t>
  </si>
  <si>
    <t>Một sai lầm phổ biến là nhiều chủ hộ kinh doanh vẫn nghĩ nghĩa vụ thuế khi lên doanh nghiệp tương tự như trước đây.</t>
  </si>
  <si>
    <t>Du lịch Hàn Quốc cần quy đổi Won.</t>
  </si>
  <si>
    <t>1. Giấy phép kinh doanh là gì? Tại sao bắt buộc phải c…</t>
  </si>
  <si>
    <t>Giấy phép kinh doanh là văn bản pháp lý do cơ quan nhà nước có thẩm quyền cấp cho cá nhân, hộ gia đình hoặc tổ chức, ch…</t>
  </si>
  <si>
    <t>5. Trường hợp được xóa nợ thuế thu nhập cá nhân</t>
  </si>
  <si>
    <t>Chuyển tiền Hàn về VN — tỷ giá Won.</t>
  </si>
  <si>
    <t>Tiền thuế, tiền chậm nộp, tiền phạt đối với các trường hợp bị ảnh hưởng do thiên tai, thảm họa, dịch bệnh có phạm vi rộ…</t>
  </si>
  <si>
    <t>Từ 01/01/2026 , Hộ kinh doanh sẽ không còn áp dụng thuế khoán .</t>
  </si>
  <si>
    <t>So sánh tỷ giá các ngân hàng — chèn ở mục KRW.</t>
  </si>
  <si>
    <t>Tuy nhiên, nhiều cá nhân và tổ chức vẫn băn khoăn không biết nên đăng ký dưới hình thức hộ kinh doanh hay doanh nghiệp.</t>
  </si>
  <si>
    <t>Việc thay đổi địa chỉ hộ kinh doanh không chỉ liên quan đến thông tin đăng ký kinh doanh, mà trong một số trường hợp cò…</t>
  </si>
  <si>
    <t>Từ hộ kinh doanh lên doanh nghiệp sẽ có những thay đổi rõ rệt về nghĩa vụ thuế.</t>
  </si>
  <si>
    <t>3. Khám phá các giải pháp dành cho Merchant tại Techco…</t>
  </si>
  <si>
    <t>Có thể nói, tuân thủ thuế vừa là nền tảng đảm bảo hoạt động kinh doanh hợp pháp, vừa là “tấm hộ chiếu” giúp startup khẳ…</t>
  </si>
  <si>
    <t>https://techcombank.com/thong-tin/blog/chuyen-doi-so-ho-kinh-doanh</t>
  </si>
  <si>
    <t>1.1. Giải pháp quản lý doanh thu All-In-One</t>
  </si>
  <si>
    <t>Về nghĩa vụ thuế, hộ kinh doanh, cá nhân kinh doanh trên nền tảng TMĐT có trách nhiệm cung cấp đầy đủ, chính xác mã số…</t>
  </si>
  <si>
    <t>Hình thức vay thế chấp hiện đang là lựa chọn của rất nhiều hộ kinh doanh và doanh nghiệp, đặc biệt là khi cần nguồn vốn…</t>
  </si>
  <si>
    <t>https://techcombank.com/thong-tin/blog/mo-hinh-kinh-doanh-la-gi</t>
  </si>
  <si>
    <t>mô hình kinh doanh</t>
  </si>
  <si>
    <t>https://techcombank.com/thong-tin/blog/nhuong-quyen-la-gi</t>
  </si>
  <si>
    <t>1. Nhượng quyền là gì?</t>
  </si>
  <si>
    <t>Mở rộng chủ đề (theo plan): bài nhắc ngoại tệ, tệ, du lịch. Liên quan rộng – đọc bài trước khi chèn.</t>
  </si>
  <si>
    <t>Nhượng quyền thương mại (Franchise) là một mô hình kinh doanh mà trong đó một bên (gọi là bên nhượng quyền - Franchi…</t>
  </si>
  <si>
    <t>mô hình kinh doanh là gì</t>
  </si>
  <si>
    <t>Năm 2025 tiếp tục là năm bùng nổ của kinh doanh online tại Việt Nam với hàng loạt mô hình và nền tảng mới xuất hiện, tạ…</t>
  </si>
  <si>
    <t>https://techcombank.com/thong-tin/blog/dao-tao-the-he-ke-can</t>
  </si>
  <si>
    <t>1.3. Tích lũy kinh nghiệm thực chiến</t>
  </si>
  <si>
    <t>Việc tiếp cận sớm với các mô hình kinh doanh giả lập hoặc các sân chơi thực tế giúp con có cơ hội "…</t>
  </si>
  <si>
    <t>…ao hay thấp cần được xem xét cùng đặc điểm ngành nghề, mô hình kinh doanh và các yếu tố tài chính liên quan.</t>
  </si>
  <si>
    <t>3. Giải pháp SoftPOS của Techcombank có gì?</t>
  </si>
  <si>
    <t>Giải pháp SoftPOS của Techcombank sẽ phù hợp với mô hình kinh doanh dưới 5 cửa hàng với biểu phí hấp dẫn.</t>
  </si>
  <si>
    <t>1. SmartPOS là gì?</t>
  </si>
  <si>
    <t>SmartPOS - Giải pháp nhận thanh toán tiện lợi, phù hợp với mô hình kinh doanh nhiều hơn 5 cửa hàng.</t>
  </si>
  <si>
    <t>https://techcombank.com/thong-tin/blog/nim-la-gi</t>
  </si>
  <si>
    <t>3. NIM cao hay thấp nói lên điều gì về ngân hàng?</t>
  </si>
  <si>
    <t>…g pháp tính, cùng kỳ so sánh và cùng nhóm ngân hàng có mô hình kinh doanh tương đồng.</t>
  </si>
  <si>
    <t>Mở rộng chủ đề (theo plan): bài nhắc đổi tiền, usd, đô. Liên quan rộng – đọc bài trước khi chèn.</t>
  </si>
  <si>
    <t>Đây là lợi thế rõ rệt nếu mô hình kinh doanh có nhiều chi phí phát sinh.</t>
  </si>
  <si>
    <t>Phù hợp với mọi mô hình kinh doanh dù online hay offline:</t>
  </si>
  <si>
    <t>https://techcombank.com/thong-tin/blog/vay-ngan-han</t>
  </si>
  <si>
    <t>3. Nên lựa chọn hình thức vay ngắn hạn nào?</t>
  </si>
  <si>
    <t>Dành cho doanh nghiệp có mô hình kinh doanh ngắn, như bán lẻ theo ngày hoặc tuần.</t>
  </si>
  <si>
    <t>https://techcombank.com/thong-tin/blog/chuyen-doi-xanh</t>
  </si>
  <si>
    <t>2. Xu hướng chuyển đổi xanh trong tiêu dùng</t>
  </si>
  <si>
    <t>Điều này không chỉ giúp bảo vệ môi trường mà còn thúc đẩy các doanh nghiệp chuyển đổi sang mô hình kinh doanh bền vững…</t>
  </si>
  <si>
    <t>https://techcombank.com/thong-tin/blog/gia-cao-su</t>
  </si>
  <si>
    <t>4. Giá cao su tác động như thế nào đến ngành cao su và…</t>
  </si>
  <si>
    <t>Tuy nhiên, mức độ ảnh hưởng còn phụ thuộc vào mô hình kinh doanh, cơ cấu doanh thu, chi phí nguyên liệu và tình hình ho…</t>
  </si>
  <si>
    <t>Để mô hình kinh doanh vận hành một cách hợp pháp và bền vững, hoàn thiện thủ tục thuế ban đầu là bước đi bắt buộc.</t>
  </si>
  <si>
    <t>Mở rộng chủ đề (theo plan): bài nhắc ngoại tệ, tệ, nước ngoài. Liên quan rộng – đọc bài trước khi chèn.</t>
  </si>
  <si>
    <t>Đây cũng là lý do mô hình One-Stop Shop ngày càng được nhiều ngân hàng theo đuổi nhằm mang đến trải nghiệm quản lý kinh…</t>
  </si>
  <si>
    <t>Bạn đang ấp ủ dự định khởi nghiệp hay muốn mở rộng kinh doanh nhưng còn băn khoăn về việc lựa chọn mô hình pháp lý phù…</t>
  </si>
  <si>
    <t>Dưới đây là danh sách phần mềm quản lý bán hàng an toàn, uy tín, dễ sử dụng và phù hợp với nhiều mô hình kinh doanh:</t>
  </si>
  <si>
    <t>Hộ kinh doanh cá thể là mô hình kinh doanh được nhiều cá nhân và gia đình lựa chọn để khởi nghiệp.</t>
  </si>
  <si>
    <t>…h thuế và kế toán thường xuyên thay đổi, việc lựa chọn mô hình kinh doanh phù hợp ngay từ đầu trở nên đặc biệt quan tr…</t>
  </si>
  <si>
    <t>Mở rộng chủ đề (theo plan): bài nhắc du lịch, nước ngoài, quốc tế. Liên quan rộng – đọc bài trước khi chèn.</t>
  </si>
  <si>
    <t>4. Những lưu ý "vàng" để hồ sơ được duyệt ngay lần đầu</t>
  </si>
  <si>
    <t>Tuy không quy định mức tối thiểu cho ngành thông thường, nhưng cần cân đối với quy mô kinh doanh và khả năng tài chính…</t>
  </si>
  <si>
    <t>Mở rộng chủ đề (theo plan): bài nhắc nước ngoài, du học, tiền. Liên quan rộng – đọc bài trước khi chèn.</t>
  </si>
  <si>
    <t>4. Hướng dẫn mở tài khoản Hộ kinh doanh Techcombank</t>
  </si>
  <si>
    <t>Để mở Tài khoản thanh toán và Công cụ quản lý doanh thu cho Hộ kinh doanh, khách hàng có thể lựa chọn hình thức đăng ký…</t>
  </si>
  <si>
    <t>Theo dõi tình hình kinh doanh ngay trên Techcombank Mobile:</t>
  </si>
  <si>
    <t>tỷ giá Đài tệ – 28 link
Tân Đài tệ – 1 link
tiền Đài Loan – 1 link</t>
  </si>
  <si>
    <t>Bài anh em 1 vạn Đài tệ.</t>
  </si>
  <si>
    <t>5. Quản lý thuế bằng phần mềm dễ dàng, hộ kinh doanh t…</t>
  </si>
  <si>
    <t>Tuy nhiên, khi quy mô kinh doanh ngày càng mở rộng, các công việc hành chính và vận hành cũng trở nên phức tạp hơn, dễ…</t>
  </si>
  <si>
    <t>1.1. Tiêu dùng bền vững là gì?</t>
  </si>
  <si>
    <t>Định nghĩa ngoại tệ; chèn ví dụ Đài tệ.</t>
  </si>
  <si>
    <t>Trong bối cảnh nền kinh tế toàn cầu đang dịch chuyển từ mô hình kinh tế tuyến tính truyền thống (Khai thác - Sản xuất -…</t>
  </si>
  <si>
    <t>3. Các khoản phí phục vụ hoạt động kinh doanh khác</t>
  </si>
  <si>
    <t>Việc chuyển đổi từ hộ kinh doanh sang doanh nghiệp mang lại cơ hội mở rộng quy mô, nâng cao uy tín và tiếp cận nhiều ưu…</t>
  </si>
  <si>
    <t>Bảng tỷ giá — chèn ở mục TWD.</t>
  </si>
  <si>
    <t>Hiện nhiều hộ kinh doanh cá thể đang ưu tiên lựa chọn chuyển đổi lên doanh nghiệp để mở rộng quy mô, tận dụng chính sác…</t>
  </si>
  <si>
    <t>Mua ngoại tệ đi du lịch — chèn ví dụ Đài Loan.</t>
  </si>
  <si>
    <t>Những quy định mới này được kỳ vọng sẽ nâng cao tính minh bạch trong quản lý, đồng thời tạo môi trường kinh doanh công…</t>
  </si>
  <si>
    <t>Nhắc: đài loan.</t>
  </si>
  <si>
    <t>Chuyển đổi từ hộ kinh doanh lên doanh nghiệp là bước phát triển quan trọng giúp mở rộng quy mô, nâng cao uy tín và tiếp…</t>
  </si>
  <si>
    <t>tiếp tục duy trì mô hình hộ kinh doanh, hay chuyển đổi sang mô hình doanh nghiệp siêu nhỏ để tận dụng các chính sách mớ…</t>
  </si>
  <si>
    <t>Là văn bản do Cơ quan đăng ký kinh doanh cấp nhằm ghi nhận sự hình thành hợp pháp của một doanh nghiệp/hộ kinh doanh.</t>
  </si>
  <si>
    <t>2. So sánh thủ tục đăng ký hộ kinh doanh cá thể và doa…</t>
  </si>
  <si>
    <t>Thủ tục đăng ký giữa hộ kinh doanh cá thể (HKD) và doanh nghiệp (DN) có sự khác biệt rõ rệt, chủ yếu phản ánh quy mô và…</t>
  </si>
  <si>
    <t>cách gửi mã QR ngân hàng</t>
  </si>
  <si>
    <t>Tuy nhiên, không phải ai cũng biết cách lấy và in mã QR Code ngân hàng như thế nào.</t>
  </si>
  <si>
    <t>Do đó, nếu đang dán hoặc trưng bày mã QR ngân hàng tại cơ sở kinh doanh, chủ cửa hàng hoặc nhân viên nên thường xuyên k…</t>
  </si>
  <si>
    <t>gửi mã QR ngân hàng</t>
  </si>
  <si>
    <t>Làm mã QR ngân hàng có mất phí không là băn khoăn của nhiều người dùng khi muốn sử dụng hình thức thanh toán này.</t>
  </si>
  <si>
    <t>Trong bài viết này, hãy cùng tìm hiểu 6 nguyên nhân phổ biến khiến bạn không quét được mã QR ngân hàng và cách xử lý để…</t>
  </si>
  <si>
    <t>3. Hướng dẫn cách xử lý sự cố khi quét mã QR Techcomba…</t>
  </si>
  <si>
    <t>Trên đây là hướng dẫn chi tiết cách quét mã QR Techcombank dành cho cá nhân, chủ cửa hàng, Doanh nghiệp Bán lẻ và cách…</t>
  </si>
  <si>
    <t>5. Cách tạo mã QR nhận tiền cho cửa hàng qua VietQR</t>
  </si>
  <si>
    <t>Trên đây là các cách tạo mã QR thanh toán cho cửa hàng qua ứng dụng ngân hàng số, VNPAY, VietQR.net, ví MoMo và ví Zalo…</t>
  </si>
  <si>
    <t>Cách in mã QR Code ngân hàng :</t>
  </si>
  <si>
    <t>Thanh toán nhanh chóng bằng cách chạm vào chip NFC trên mã QR Cửa hàng được trưng bày tại quầy thu ngân</t>
  </si>
  <si>
    <t>3.1. Hướng dẫn tạo mã QR nhận thanh toán</t>
  </si>
  <si>
    <t>Tạo mã QR qua ứng dụng ngân hàng là cách tạo mã thuận tiện nhất cho khách hàng cá nhân.</t>
  </si>
  <si>
    <t>2.4. Thanh toán bằng mã Ví điện tử</t>
  </si>
  <si>
    <t>Các dịch vụ ví điện tử như Momo, ZaloPay, ShopeePay, PayPal và nhiều ví điện tử khác cho phép người dùng thanh toán trự…</t>
  </si>
  <si>
    <t>Tương tự như cây ATM, mỗi ngân hàng số cũng sẽ có giao diện và cách đặt tên tính năng quét mã QR khác nhau.</t>
  </si>
  <si>
    <t>1. Cách thanh toán QR Thái Lan</t>
  </si>
  <si>
    <t>Thanh toán QR Thái Lan thường được thực hiện bằng cách quét mã Thai QR/PromptPay tại điểm bán bằng ứng dụng ngân hàng c…</t>
  </si>
  <si>
    <t>2. Tài khoản Hộ kinh doanh - Giải pháp ứng dụng mô hìn…</t>
  </si>
  <si>
    <t>Tap to Pay - Thanh toán nhanh chóng bằng cách chạm vào chip NFC trên mã QR Cửa hàng được trưng bày tại quầy thu ngân</t>
  </si>
  <si>
    <t>1.1. Định nghĩa</t>
  </si>
  <si>
    <t>Loa thông báo chuyển khoản, còn được gọi là “loa ting ting” hay "loa bán hàng", là thiết bị công nghệ nhỏ gọn hỗ trợ cá…</t>
  </si>
  <si>
    <t>2.4. Mã QR Cửa hàng</t>
  </si>
  <si>
    <t>Với mã QR Cửa hàng, Merchant có thể in và trưng bày tại quầy thu ngân để tối ưu trải nghiệm thanh toán cho khách hàng;</t>
  </si>
  <si>
    <t>1.2. Đối với khách hàng hộ kinh doanh và Doanh nghiệp…</t>
  </si>
  <si>
    <t>Mã QR Techcombank đã lưu trữ thông tin cơ bản của tài khoản ngân hàng, bao gồm số tài khoản, tên người thụ hưởng và ngâ…</t>
  </si>
  <si>
    <t>https://techcombank.com/thong-tin/blog/so-sanh-ma-qr-va-ma-vach</t>
  </si>
  <si>
    <t>1. So sánh mã QR và mã vạch chi tiết nhất</t>
  </si>
  <si>
    <t>Xét về tính ứng dụng, mã QR Code đang cho thấy có nhiều ưu thế hơn hẳn và được sử dụng nhiều trong các hoạt động hàng n…</t>
  </si>
  <si>
    <t>Mở rộng chủ đề (theo plan): bài nhắc tỷ giá, nước ngoài, tiền. Liên quan rộng – đọc bài trước khi chèn.</t>
  </si>
  <si>
    <t>Mã QR doanh nghiệp là mã QR chứa thông tin cơ bản của tài khoản doanh nghiệp, bao gồm số tài khoản, tên ngân hàng và tê…</t>
  </si>
  <si>
    <t>1. QR động là gì?</t>
  </si>
  <si>
    <t>Tại hệ thống cửa hàng Winmart trên toàn quốc, nếu khách hàng chọn thanh toán qua mã QR, nhân viên thu ngân sẽ tạo 1 mã…</t>
  </si>
  <si>
    <t>Mở rộng chủ đề (theo plan): bài nhắc đổi tiền, tệ, tiền. Liên quan rộng – đọc bài trước khi chèn.</t>
  </si>
  <si>
    <t>Một số cây ATM đã tích hợp thêm tính năng rút tiền bằng mã QR giúp người dùng rút tiền mặt nhanh chóng ngay cả khi khôn…</t>
  </si>
  <si>
    <t>Theo thống kê từ Ngân hàng Nhà nước, tính đến quý II/2023, giao dịch thanh toán qua phương thức mã QR tăng tương ứng 15…</t>
  </si>
  <si>
    <t>https://techcombank.com/thong-tin/blog/qr-code-phuong-thuc-thanh-toan-toi-uu-trong-ky-nguyen-so</t>
  </si>
  <si>
    <t>1.1. Khu vực Châu Á - Thái Bình Dương</t>
  </si>
  <si>
    <t>Để khuyến khích thanh toán kỹ thuật số, bao gồm thanh toán bằng mã QR, chính phủ Ấn Độ đã khởi động nhiều dự án như Bha…</t>
  </si>
  <si>
    <t>2. Chuyển khoản qua Mobile Banking với tính năng Quét…</t>
  </si>
  <si>
    <t>1 Man bằng bao nhiêu tiền Việt – 22 link
1 Man Nhật – 8 link</t>
  </si>
  <si>
    <t>Ngoài chuyển khoản qua tính năng Chuyển tiền, hầu hết ngân hàng số/Mobile Banking hiện đều có tính năng Quét mã QR giúp…</t>
  </si>
  <si>
    <t>Tổng quan tiền Nhật — đoạn mệnh giá 10.000 Yên dẫn sang 1 Man.</t>
  </si>
  <si>
    <t>2. Bước 2: Sử dụng camera để quét mã QR cần thanh toán</t>
  </si>
  <si>
    <t>Sau khi quét mã QR thành công, màn hình tự động hiển thị thông tin tài khoản thụ hưởng, bao gồm tên chủ tài khoản, số t…</t>
  </si>
  <si>
    <t>Bài 1 Yên — chèn ở đoạn quy đổi mệnh giá lớn.</t>
  </si>
  <si>
    <t>8. Kinh nghiệm lựa chọn phần mềm bán hàng phù hợp</t>
  </si>
  <si>
    <t>Giải pháp lý tưởng liên kết trực tiếp với tài khoản ngân hàng, tự động đối soát, sinh mã QR và xuất hóa đơn thuế nhanh…</t>
  </si>
  <si>
    <t>Bài 1000 Yên — dẫn sang 1 Man.</t>
  </si>
  <si>
    <t>4.2. QR code của loa bán hàng Techcombank hỗ trợ thanh…</t>
  </si>
  <si>
    <t>Mã QR của loa bán hàng hỗ trợ nhận tiền chuyển khoản từ tất cả các ngân hàng trong nước và các ngân hàng nước ngoài tại…</t>
  </si>
  <si>
    <t>mở tài khoản hộ kinh doanh</t>
  </si>
  <si>
    <t>Người lao động Nhật hay tính lương theo 'man'.</t>
  </si>
  <si>
    <t>6. Khám phá trọn bộ công cụ quản lý kinh doanh dành ch…</t>
  </si>
  <si>
    <t>Chỉ cần mở Tài khoản Hộ kinh doanh Techcombank , chủ hộ kinh doanh tiết kiệm từng đồng với đặc quyền MIỄN HOÀN TOÀN CÁC…</t>
  </si>
  <si>
    <t>tài khoản hộ kinh doanh</t>
  </si>
  <si>
    <t>Tài khoản Hộ kinh doanh Techcombank tự hào mang đến bộ giải pháp toàn diện giú…</t>
  </si>
  <si>
    <t>Bước sang năm 2026, áp lực cạnh tranh buộc các hộ kinh doanh phải tối ưu hóa triệt để từng đồng vốn, không thể tiếp tục…</t>
  </si>
  <si>
    <t>5. Quy định về địa điểm kinh doanh của hộ kinh doanh c…</t>
  </si>
  <si>
    <t>Khi mở Tài khoản Hộ kinh doanh Techcombank, chủ hộ sẽ nhận được vô vàn ưu đãi liên quan đến thuế, phí và hoá đơn điện t…</t>
  </si>
  <si>
    <t>5. Vững nền tảng pháp lý, bứt tốc đà kinh doanh với gi…</t>
  </si>
  <si>
    <t>Khi mở Tài khoản Hộ kinh doanh Techcombank, chủ cửa hàng sẽ có cơ hội tiếp cận hệ sinh thái “trợ thủ” kinh doanh đắc lự…</t>
  </si>
  <si>
    <t>1.1. Tài khoản Hộ kinh doanh</t>
  </si>
  <si>
    <t>Khi mở Tài khoản Hộ kinh doanh, chủ cửa hàng sẽ nhận được:</t>
  </si>
  <si>
    <t>cách mở tài khoản hộ kinh doanh</t>
  </si>
  <si>
    <t>&gt;&gt;&gt; Tiết kiệm chi phí và tối ưu lợi nhuận bằng cách mở tài khoản hộ kinh doanh trên Techcombank Mobile ngay hôm nay!</t>
  </si>
  <si>
    <t>5. Thu tiền dễ, tính thuế gọn cùng bộ giải pháp từ Tec…</t>
  </si>
  <si>
    <t>Theo đó, chỉ cần mở Tài khoản Hộ kinh doanh Techcombank, chủ cửa hàng sẽ có cơ hội tiếp cận hệ sin…</t>
  </si>
  <si>
    <t>3. Thu tiền dễ, tính thuế gọn, thực hiện đúng nghĩa vụ…</t>
  </si>
  <si>
    <t>Khi mở Tài khoản Hộ kinh doanh Techcombank, chủ hộ sẽ có cơ hội tiếp cận hệ sinh thái “trợ thủ” kinh doanh đắc lực:</t>
  </si>
  <si>
    <t>8. Hộ kinh doanh quản lý kinh doanh dễ dàng, đóng thuế…</t>
  </si>
  <si>
    <t>Đăng ký tài khoản Hộ Kinh doanh và kê khai tài khoản với cơ quan thuế</t>
  </si>
  <si>
    <t>M ở tài khoản hộ kinh doanh nhanh chóng tại Techcombank</t>
  </si>
  <si>
    <t>3. Thủ tục cho vay vốn kinh doanh tại các ngân hàng</t>
  </si>
  <si>
    <t>Khoản vay sẽ được giải ngân vào tài khoản hộ kinh doanh sau khi hồ sơ vay vốn bằng giấy phép kinh doanh được xét duyệt.</t>
  </si>
  <si>
    <t>Tài khoản Hộ kinh doanh Techcombank, giao dịch 0 phí, vận hành 0 VND.</t>
  </si>
  <si>
    <t>Loa bán hàng - Thông báo biến động số dư qua thiết bị loa kết nối với tài khoản Hộ kinh doanh</t>
  </si>
  <si>
    <t>4.2. T-Shop - Phần mềm bán hàng, xuất hóa đơn ngay trê…</t>
  </si>
  <si>
    <t>Tài khoản hộ kinh doanh với tính năng tiện ích đa dạng</t>
  </si>
  <si>
    <t>3. Mở rộng cơ hội kinh doanh và nâng cao uy tín</t>
  </si>
  <si>
    <t>Việc chuyển đổi sang mô hình doanh nghiệp mở ra những cơ hội vượt trội mà hộ kinh doanh khó có được:</t>
  </si>
  <si>
    <t>Chuyển đổi từ hộ kinh doanh lên doanh nghiệp không chỉ giúp tuân thủ quy định pháp luật mới mà còn mở ra nhiều lợi thế…</t>
  </si>
  <si>
    <t>7. Không cập nhật quy định pháp luật mới</t>
  </si>
  <si>
    <t>Việc chuyển đổi từ hộ kinh doanh lên doanh nghiệp mang lại nhiều cơ hội để mở rộng quy mô, nâng cao uy tín và tiếp cận…</t>
  </si>
  <si>
    <t>Bước 3: Nhận kết quả từ cơ quan thẩm quyền</t>
  </si>
  <si>
    <t>Khi mở tài khoản doanh nghiệp tại Techcombank, quý khách hàng không chỉ nhận được ưu đãi miễn phí trọn gói thủ tục thàn…</t>
  </si>
  <si>
    <t>4. Các chi phí khác khi vay vốn kinh doanh</t>
  </si>
  <si>
    <t>Để có cơ hội tiếp cận các gói vay với mức lãi cạnh tranh, hộ kinh doanh có thể duy trì lịch sử tín dụng minh bạch, xây…</t>
  </si>
  <si>
    <t>3.2. Đánh giá sai về các chi phí vận hành</t>
  </si>
  <si>
    <t>Nhiều hộ kinh doanh thường chỉ tính đến chi phí ban đầu mà bỏ qua các khoản phát sinh sau khi chuyển đổi như:</t>
  </si>
  <si>
    <t>1. Đối tượng và điều kiện vay tín chấp hộ kinh doanh l…</t>
  </si>
  <si>
    <t>Hộ kinh doanh cung cấp các giấy tờ như báo cáo tài chính, sổ sách kế toán, giấy đăng ký hộ kinh doanh hoặc giấy tờ pháp…</t>
  </si>
  <si>
    <t>5. Bước 5: Lưu trữ – đối soát</t>
  </si>
  <si>
    <t>Việc lưu trữ và đối soát chặt chẽ giúp hộ kinh doanh bảo vệ quyền lợi trong trường hợp thanh kiểm tra thuế, đồng thời n…</t>
  </si>
  <si>
    <t>2. Quản lý tài chính khi từ hộ kinh doanh lên doanh ng…</t>
  </si>
  <si>
    <t>Khi chuyển đổi từ hộ kinh doanh sang doanh nghiệp, quy mô hoạt động và nghĩa vụ quản lý tài chính đều tăng lên.</t>
  </si>
  <si>
    <t>cách tính thuế hộ kinh doanh</t>
  </si>
  <si>
    <t>Kê khai thuế là một trong những nghĩa vụ quan trọng mà hộ kinh doanh cần thực hiện trong quá trình hoạt động.</t>
  </si>
  <si>
    <t>tiền Thái Lan – 15 link
tiền Baht Thái – 14 link
tiền Baht – 1 link</t>
  </si>
  <si>
    <t>Du lịch Thái cần biết tiền Thái.</t>
  </si>
  <si>
    <t>Để kiểm tra thông tin đăng ký thuế, hộ kinh doanh có thể chọn 2 cách:</t>
  </si>
  <si>
    <t>Thanh toán QR ở Thái — liên quan quy đổi Baht.</t>
  </si>
  <si>
    <t>Dưới đây là 4 bước quan trọng giúp hộ kinh doanh thích ứng chính sách thuế mới một cách chủ động và hiệu quả.</t>
  </si>
  <si>
    <t>1. Hộ kinh doanh cá thể là gì?</t>
  </si>
  <si>
    <t>Hộ kinh doanh không có tư cách pháp nhân, nhưng được cấp mã số thuế, con dấu và giấy chứng nhận đăng ký hộ kinh doanh.</t>
  </si>
  <si>
    <t>Nhưng hộ kinh doanh là gì , đăng ký hay đóng thuế thế nào?</t>
  </si>
  <si>
    <t>Bài viết dưới đây sẽ cập nhật các quy định mới nhất về thuế Hộ kinh doanh (kỳ tính thuế 2026).</t>
  </si>
  <si>
    <t>Nhằm giúp các chủ cửa hàng online và truyền thống quản lý doanh thu bán hàng hiệu quả, Techcombank triển khai chương tr…</t>
  </si>
  <si>
    <t>Bảng tổng hợp quy định kê khai &amp; cách tính thuế theo mức doanh thu hộ kinh doanh:</t>
  </si>
  <si>
    <t>Thời gian gần đây, vấn đề truy thu thuế hộ kinh doanh đang nhận được nhiều sự quan tâm vì tâm lý lo ngại doanh thu tính…</t>
  </si>
  <si>
    <t>Thay đổi địa chỉ hộ kinh doanh mở ra cơ hội phát triển mới nhưng cũng đi kèm không ít đầu việc hành chính như rà soát t…</t>
  </si>
  <si>
    <t>Theo quy định mới, nhiều nhóm hộ kinh doanh nhỏ sẽ được miễn hoàn toàn thuế GTGT và thuế TNCN, tạo điều kiện để các hộ…</t>
  </si>
  <si>
    <t>1.2. Bán hàng bằng barcode hoạt động như thế nào?</t>
  </si>
  <si>
    <t>Nhờ cơ chế này, chủ hộ kinh doanh loại bỏ hoàn toàn bước nhập giá thủ công, đảm bảo độ chính xác cao khi tính tiền và q…</t>
  </si>
  <si>
    <t>cách tính thuế hộ kinh doanh nhỏ lẻ</t>
  </si>
  <si>
    <t>2. Khi nào nên chọn hộ kinh doanh kê khai?</t>
  </si>
  <si>
    <t>Trong bối cảnh các quy định về thuế và kế toán ngày càng minh bạch, Hộ kinh doanh kê khai dần trở thành mô hình phù hợp…</t>
  </si>
  <si>
    <t>4. Lý do nên vay tín chấp hộ kinh doanh là gì?</t>
  </si>
  <si>
    <t>Với đặc thù kinh doanh nhỏ lẻ và có tính thời vụ, các hộ kinh doanh thường tìm kiếm nguồn vốn linh hoạt để duy trì và m…</t>
  </si>
  <si>
    <t>Bài viết này sẽ giải đáp cách tính thuế GTGT, cách kê khai thuế hộ kinh doanh nhỏ lẻ đúng luật năm 2026.</t>
  </si>
  <si>
    <t>cách tính lãi suất vay</t>
  </si>
  <si>
    <t>3. Tầm quan trọng của việc quản lý dư nợ</t>
  </si>
  <si>
    <t>Hiểu rõ cách tính lãi suất, chẳng hạn như dư nợ giảm dần, giúp bạn lập kế hoạch trả nợ hợp lý, tối ưu dòng tiền và giảm…</t>
  </si>
  <si>
    <t>https://techcombank.com/thong-tin/blog/lai-suat-tha-noi</t>
  </si>
  <si>
    <t>3. Công thức tính lãi suất thả nổi hiện tại</t>
  </si>
  <si>
    <t>Ngoài ra, cách tính tiền lãi vay hàng tháng theo lãi suất thả nổi được áp dụng như sau:</t>
  </si>
  <si>
    <t>cách tính lãi suất vay ngân hàng</t>
  </si>
  <si>
    <t>https://techcombank.com/thong-tin/blog/an-han-no-goc-la-gi</t>
  </si>
  <si>
    <t>3. Ví dụ về cách tính tiền lãi khi ân hạn nợ gốc</t>
  </si>
  <si>
    <t>Bạn vay ngân hàng 700,000,000 VND với lãi suất là 10%/năm, tính lãi trên dư nợ giảm dần.</t>
  </si>
  <si>
    <t>https://techcombank.com/thong-tin/blog/cong-thuc-tinh-lai-suat-thuc</t>
  </si>
  <si>
    <t>2.2. Ví dụ minh họa</t>
  </si>
  <si>
    <t>Giả sử (số liệu dưới đây chỉ mang tính minh họa cho cách tính, không phải mức lãi suất thực tế của bất kỳ ngân hàng nào…</t>
  </si>
  <si>
    <t>https://techcombank.com/thong-tin/blog/phi-vay-the-chap</t>
  </si>
  <si>
    <t>4. Phí đăng ký giao dịch bảo đảm</t>
  </si>
  <si>
    <t>…tìm hiểu về các loại phí, khách hàng cũng cần nắm được cách tính lãi suất vay thế chấp , vì đây là yếu tố quan trọng ả…</t>
  </si>
  <si>
    <t>3. Ưu đãi về chi phí sử dụng thẻ</t>
  </si>
  <si>
    <t>Đặc biệt, khách hàng cần nắm được cách tính lãi suất vay ngân hàng theo tháng để chủ động quản lý các khoản phí…</t>
  </si>
  <si>
    <t>2. Tìm hiểu về kỳ hạn gửi tiết kiệm 12 tháng</t>
  </si>
  <si>
    <t>… trực quan và dễ lựa chọn hơn, khách hàng nên tìm hiểu cách tính lãi suất vay ngân hàng theo tháng và tham khảo mức lã…</t>
  </si>
  <si>
    <t>1 triệu đô bằng bao nhiêu tiền Việt – 18 link
(+12 link nên bỏ: bài không có đoạn liên quan)</t>
  </si>
  <si>
    <t>Bài 1 USD — chèn ở đoạn quy đổi số tiền lớn.</t>
  </si>
  <si>
    <t>4. 4 lưu ý sử dụng và quản lý thẻ tín dụng phụ hợp lý</t>
  </si>
  <si>
    <t>…ể quản lý tài chính hiệu quả, chủ thẻ chính nên nắm rõ cách tính lãi suất vay ngân hàng theo tháng và áp dụng nguyên t…</t>
  </si>
  <si>
    <t>…oán để tìm được số tiền dự kiến cần trả hàng tháng với cách tính lãi suất vay ngân hàng theo năm phù hợp.</t>
  </si>
  <si>
    <t>4. Bí quyết gửi tiền tiết kiệm với lãi suất sinh lời h…</t>
  </si>
  <si>
    <t>Tìm hiểu về cách tính lãi suất vay ngân hàng theo tháng để có cái nhìn tổng quan về lãi suất và kế hoạch tài chính.</t>
  </si>
  <si>
    <t>3. 2 phương thức thanh toán phổ biến theo hình thức tr…</t>
  </si>
  <si>
    <t>Khi vay theo hình thức trả góp, có hai phương thức thanh toán chính thường được áp dụng, mỗi phương thức có đặc điểm và…</t>
  </si>
  <si>
    <t>4. Hạn mức cho vay mua nhà ở xã hội trả góp</t>
  </si>
  <si>
    <t>Song song với đó, việc hiểu rõ cách tính lãi suất vay thế chấp ngân hàng cũng hỗ trợ người vay chủ động hơn …</t>
  </si>
  <si>
    <t>… như Techcombank, Agribank, ACB, Vietcombank… cũng như cách tính lãi suất vay tiền ngân hàng trong bài viết dưới đây.</t>
  </si>
  <si>
    <t>2.2. Tính theo thấu chi</t>
  </si>
  <si>
    <t>Với hình thức vay thấu chi, lãi suất chỉ tính trên số tiền thực tế đã sử dụng và trong thời gian phát sinh dư nợ, không…</t>
  </si>
  <si>
    <t>1.4. Vay thấu chi</t>
  </si>
  <si>
    <t>Do tính chất linh hoạt của khoản vay, lãi suất vay thấu chi thường cao hơn các hình thức vay khác.</t>
  </si>
  <si>
    <t>5. Giải đáp thắc mắc khác về lợi nhuận</t>
  </si>
  <si>
    <t>Hiểu rõ lợi nhuận gộp, lợi nhuận ròng, lợi nhuận trước thuế và lãi vay (EBIT), lợi tức là gì cũng như nắm vững cách tín…</t>
  </si>
  <si>
    <t>5.1. Bảng tính dư nợ giảm dần</t>
  </si>
  <si>
    <t>Tiền lãi kỳ đầu = Số tiền vay x Lãi suất kỳ tính lãi / 12</t>
  </si>
  <si>
    <t>2. Đáo hạn sổ tiết kiệm, tài khoản tiền gửi có kỳ hạn…</t>
  </si>
  <si>
    <t>Tuy nhiên, toàn bộ số tiền (kể cả lãi lũy kế) sẽ được tính theo mức lãi suất không kỳ hạn – thường thấp hơn so với lãi…</t>
  </si>
  <si>
    <t>Bài viết này sẽ giúp bạn hiểu rõ hơn về lãi suất vay thấu chi, cách tính và một số chi phí cần thanh toán khi sử dụng h…</t>
  </si>
  <si>
    <t>Với cách trả nợ niêm kim, người vay có thể dễ dàng tính toán được số tiền gốc và lãi cần trả hàng tháng.</t>
  </si>
  <si>
    <t>Nhắc: đô.</t>
  </si>
  <si>
    <t>1. Giới thiệu gói vay 40 triệu chỉ cần CCCD trên Techc…</t>
  </si>
  <si>
    <t>Lãi suất vay chỉ từ 1.2%/tháng (*) - tính trên dư nợ giảm dần :</t>
  </si>
  <si>
    <t>2. Điều kiện, hồ sơ, thủ tục mua xe máy trả góp</t>
  </si>
  <si>
    <t>Lãi suất chỉ từ 1.2%/tháng (*) - tính trên dư nợ giảm dần:</t>
  </si>
  <si>
    <t>Cùng tìm hiểu chi tiết cách vay 100 triệu trên Techcombank Mobile với lãi suất ưu đãi và thủ tục tối giản ngay trong bà…</t>
  </si>
  <si>
    <t>1. Vay tiêu dùng tín chấp trả góp online</t>
  </si>
  <si>
    <t>https://techcombank.com/thong-tin/blog/lai-suat-la-gi</t>
  </si>
  <si>
    <t>3.4. Lãi suất theo dư nợ giảm dần và dư nợ gốc</t>
  </si>
  <si>
    <t>Từ lãi suất cố định đến lãi suất thả nổi, hỗn hợp hay cách tính theo dư nợ – chọn đúng loại lãi suất vay giúp bạn chủ đ…</t>
  </si>
  <si>
    <t>Vậy điều kiện tham gia là gì, cách đăng ký như thế nào và làm sao để tận dụng ưu đãi trả góp 0% lãi suất?</t>
  </si>
  <si>
    <t>2. Lợi ích khi vay 15 triệu nhanh trên Techcombank Mob…</t>
  </si>
  <si>
    <t>1. Techcombank cho vay 30 triệu trả góp 20 - 36 tháng</t>
  </si>
  <si>
    <t>Nhờ quy trình tinh gọn, lãi suất cạnh tranh và thời gian xử lý nhanh chóng, Techcombank Mobile trở thành lựa chọn phù h…</t>
  </si>
  <si>
    <t>https://techcombank.com/thong-tin/blog/lai-suat-ngan-hang-cho-vay-xay-nha</t>
  </si>
  <si>
    <t>2. Lưu ý về cách tính lãi khi vay ngân hàng xây/sửa nhà</t>
  </si>
  <si>
    <t>Tìm hiểu về cách tính lãi khi vay xây/sửa nhà sẽ giúp bạn xây dựng kế hoạch trả nợ chủ động hơn.</t>
  </si>
  <si>
    <t>4. Lưu ý quan trọng khi vay vốn ngân hàng</t>
  </si>
  <si>
    <t>Chú ý cách tính lãi suất, một số chi phí phát sinh và sự thay đổi trong thời hạn của lãi suất cho vay.</t>
  </si>
  <si>
    <t>https://techcombank.com/thong-tin/blog/vay-tin-chap-theo-luong</t>
  </si>
  <si>
    <t>4. Gợi ý TOP 5 ngân hàng cho vay tín chấp theo lương l…</t>
  </si>
  <si>
    <t>Lãi suất vay tín chấp theo lương hiện nay khá linh hoạt, dao động trong khoảng 12.9% - 18%/năm (*).</t>
  </si>
  <si>
    <t>2.1. Cách tính lãi vay tín chấp theo dư nợ giảm dần</t>
  </si>
  <si>
    <t>Theo cách tính này, lãi suất vay tín chấp sẽ được tính trên số tiền thực tế mà bạn còn nợ (sau khi đã trừ một phần tiền…</t>
  </si>
  <si>
    <t>1. Khái niệm dư nợ tín dụng</t>
  </si>
  <si>
    <t>Dư nợ tín dụng được tính bằng tổng của số tiền gốc và lãi vay mà khách hàng còn nợ tổ chức tín dụng tại một thời điểm n…</t>
  </si>
  <si>
    <t>https://techcombank.com/thong-tin/blog/co-nen-mua-o-to-tra-gop</t>
  </si>
  <si>
    <t>1.1. Giảm áp lực và tối ưu nguồn tài chính cho người m…</t>
  </si>
  <si>
    <t>Hiện nay nhiều ngân hàng cung cấp các giải pháp vay với hạn mức vay cao, lãi suất ưu đãi, thời hạn vay dài để giúp khác…</t>
  </si>
  <si>
    <t>https://techcombank.com/thong-tin/blog/rui-ro-khi-vay-the-chap-ngan-hang</t>
  </si>
  <si>
    <t>2. Hiểu rõ về cách tính lãi suất ngân hàng khi vay thế…</t>
  </si>
  <si>
    <t>Hiện nay, có nhiều cách tính lãi vay ngân hàng (theo dư nợ giảm dần, theo phương thức niên kim) và các loại lãi suất (c…</t>
  </si>
  <si>
    <t>để cập nhật lãi suất vay hiện nay của các ngân hàng.</t>
  </si>
  <si>
    <t>Trong trường hợp này, phần lãi thường được tính theo lãi suất không kỳ hạn theo quy định của Ngân hàng Nhà nước hoặc có…</t>
  </si>
  <si>
    <t>Do đó, lựa chọn ngân hàng giải pháp vay có chính sách lãi suất ưu đãi sẽ giúp người vay giảm gánh nặng trả nợ hàng thán…</t>
  </si>
  <si>
    <t>1,000 won – 15 link
1000 Won bằng bao nhiêu tiền Việt – 15 link</t>
  </si>
  <si>
    <t>Bài 1 Won có bảng quy đổi 1.000 Won (theo meta).</t>
  </si>
  <si>
    <t>1. Hướng dẫn 7 cách thanh toán thẻ tín dụng đơn giản,…</t>
  </si>
  <si>
    <t>Khách hàng không thanh toán đúng hạn sẽ bị tính phí trả chậm với lãi suất cao, phí phạt quá hạn, bị liệt vào danh sách…</t>
  </si>
  <si>
    <t>Bài anh em mệnh giá.</t>
  </si>
  <si>
    <t>https://techcombank.com/thong-tin/blog/quy-trinh-tat-toan-khoan-vay-the-chap</t>
  </si>
  <si>
    <t>4. Lưu ý khi tất toán khoản vay thế chấp</t>
  </si>
  <si>
    <t>Khách hàng nên tìm hiểu kỹ các quy định của ngân hàng về thủ tục, lãi suất, các khoản phí liên quan tới tất toán khoản…</t>
  </si>
  <si>
    <t>Du lịch Hàn — giá món đồ thường tính nghìn Won.</t>
  </si>
  <si>
    <t>Hiện nay, ngân hàng đang áp dụng các loại lãi suất (cố định, thả nổi và hỗn hợp) và có nhiều cách tính lãi khác nhau (t…</t>
  </si>
  <si>
    <t>1. Giải đáp: Nên mua xe trả góp hay trả thẳng?</t>
  </si>
  <si>
    <t>Giả sử anh A lựa chọn giải pháp vay mua ô tô của ngân hàng với lãi suất 10%/năm trong 84 tháng.</t>
  </si>
  <si>
    <t>Chuyển tiền Hàn — quy đổi.</t>
  </si>
  <si>
    <t>4. Đọc hiểu sao kê thẻ tín dụng như thế nào?</t>
  </si>
  <si>
    <t>Việc chỉ thanh toán số tiền tối thiểu sẽ giúp bạn không bị phạt trả chậm, nhưng phần dư nợ còn lại sẽ bắt đầu bị tính l…</t>
  </si>
  <si>
    <t>1. Lãi suất vay tiêu dùng của ngân hàng hiện nay</t>
  </si>
  <si>
    <t>Tùy vào quy định và chính sách, mỗi ngân hàng sẽ có cách tính lãi riêng cho sản phẩm vay.</t>
  </si>
  <si>
    <t>1. Hồ sơ vay vốn ngân hàng để xây nhà</t>
  </si>
  <si>
    <t>Một bộ hồ sơ vay hợp lệ sẽ giúp ngân hàng thẩm định được tư cách pháp lý và năng lực thanh toán của người đi vay, từ đó…</t>
  </si>
  <si>
    <t>5. Đọc kỹ điều khoản hợp đồng</t>
  </si>
  <si>
    <t>Thời hạn vay, lãi suất cho vay, cách tính lãi, các dịch vụ hỗ trợ từ ngân hàng:</t>
  </si>
  <si>
    <t>Hiểu một cách đơn giản, với tính năng trả góp qua thẻ tín dụng, thay vì phải thanh toán toàn bộ hóa đơn mua sắm trong m…</t>
  </si>
  <si>
    <t>vay thế chấp sổ đỏ</t>
  </si>
  <si>
    <t>Hạn mức vay thế chấp sổ đỏ được ngân hàng đưa ra cho người vay dựa trên nhiều yếu…</t>
  </si>
  <si>
    <t>lãi suất vay thế chấp sổ đỏ</t>
  </si>
  <si>
    <t>lãi suất vay thế chấp sổ hồng</t>
  </si>
  <si>
    <t>3. Vay thế chấp sổ hồng lãi suất bao nhiêu?</t>
  </si>
  <si>
    <t>Mức lãi suất khi vay thế chấp tài sản bảo đảm đã có sổ hồng sẽ phụ thuộc vào thỏa thuận giữa khách hàng và ngân hàng.</t>
  </si>
  <si>
    <t>vay thế chấp sổ đỏ ngân hàng</t>
  </si>
  <si>
    <t>Nếu bạn đang băn khoăn nên vay thế chấp ngân hàng nào , hãy tham khảo ngay bài viết dưới đây.</t>
  </si>
  <si>
    <t>…m đến kế hoạch tài chính dài hạn, việc hiểu rõ hạn mức vay thế chấp sổ đỏ cũng giúp tối ưu dòng tiền khi kết hợp sử dụ…</t>
  </si>
  <si>
    <t>Hiểu đúng về bản chất vay thế chấp là gì , nắm rõ điều kiện, thủ tục và quy trình vay thế chấp ngân hàng sẽ giúp bạn lự…</t>
  </si>
  <si>
    <t>https://techcombank.com/thong-tin/blog/vay-the-chap-so-bao-hiem-xa-hoi</t>
  </si>
  <si>
    <t>1. Vay thế chấp sổ đỏ là cách gọi không chính thức tro…</t>
  </si>
  <si>
    <t>Trong lĩnh vực ngân hàng, vay thế chấp sổ đỏ là một cách gọi không chính xác về mặt pháp lý và được công nhận chính thứ…</t>
  </si>
  <si>
    <t>3.2. Quy trình vay</t>
  </si>
  <si>
    <t>Đây là giải pháp có sản phẩm vay tín chấp doanh nghiệp với hạn mức tín chấp lên tới 10 tỷ VND cùng lãi suất ưu đãi dành…</t>
  </si>
  <si>
    <t>Vay tín chấp (không tài sản đảm bảo), vay thế chấp (có tài sản đảm bảo), vay thấu chi (chi vượt số dư) và tái tài trợ (…</t>
  </si>
  <si>
    <t>Vay tín chấp lãi suất bao nhiêu ?</t>
  </si>
  <si>
    <t>Ngoài việc tìm hiểu về các loại phí, khách hàng cũng cần nắm được cách tính lãi suất vay thế chấp , vì đây là yếu tố qu…</t>
  </si>
  <si>
    <t>https://techcombank.com/thong-tin/blog/dieu-kien-vay-the-chap</t>
  </si>
  <si>
    <t>2.5 Vay thế chấp mua ô tô</t>
  </si>
  <si>
    <t>Bên cạnh tìm hiểu về điều kiện, bạn có thể đọc thêm bài viết 7 kinh nghiệm vay thế chấp ngân hàng hiệu quả, nhanh chóng…</t>
  </si>
  <si>
    <t>4. Lưu ý quan trọng khi thế chấp tài sản</t>
  </si>
  <si>
    <t>Với mong muốn hỗ trợ khách hàng nhanh chóng tiếp cận nguồn vốn để thực hiện các kế hoạch tài chính, Techcombank mang đế…</t>
  </si>
  <si>
    <t>1. Các hình thức vay vốn hộ kinh doanh</t>
  </si>
  <si>
    <t>Hình thức vay thế chấp giúp hộ kinh doanh tiếp cận nguồn vốn lên đến 90% giá trị của tài sản (tùy từng loại tài sản bảo…</t>
  </si>
  <si>
    <t>Vay thế chấp kinh doanh là hình thức dùng tài sản bảo đảm (BĐS, máy móc...) để huy động vốn lớn với lãi suất ưu đãi.</t>
  </si>
  <si>
    <t>Mức lãi suất khi vay thế chấp ô tô cũ sẽ theo quy định của ngân hàng theo từng thời kỳ.</t>
  </si>
  <si>
    <t>https://techcombank.com/thong-tin/blog/cac-hinh-thuc-cho-vay-tieu-dung</t>
  </si>
  <si>
    <t>1.3. Lãi suất và hạn mức vay tiêu dùng tín chấp</t>
  </si>
  <si>
    <t>Lãi suất vay tín chấp hiện nay đang dao động từ 7% - 21%/năm (*).</t>
  </si>
  <si>
    <t>Từ những yếu tố ảnh hưởng đến lãi suất vay trên, khách hàng nên lưu ý những kinh nghiệm vay thế chấp dưới đây để lựa ch…</t>
  </si>
  <si>
    <t>4. Nên thận trọng khi bảo lãnh cho người khác vay ngân…</t>
  </si>
  <si>
    <t>Hình thức bảo lãnh phổ biến hiện này đó là chủ thể A đưa sổ đỏ cho chủ thể B đi vay thế chấp hoặc đứng tên trên hợp đồn…</t>
  </si>
  <si>
    <t>https://techcombank.com/thong-tin/blog/ho-so-thu-tuc-xoa-the-chap</t>
  </si>
  <si>
    <t>Bài viết dưới đây sẽ hướng dẫn quy trình, thủ tục giải chấp sổ đỏ theo quy định mới năm 2026 và giải đáp các câu hỏi th…</t>
  </si>
  <si>
    <t>Mở rộng chủ đề (theo plan): bài nhắc tỷ giá, đô, tiền. Liên quan rộng – đọc bài trước khi chèn.</t>
  </si>
  <si>
    <t>1. Hạn mức vay thế chấp tối đa hiện nay</t>
  </si>
  <si>
    <t>Anh Nguyễn Văn A có nhu cầu vay thế chấp để mua căn hộ chung cư và thế chấp bằng chính sổ đỏ là căn hộ chung cư mua.</t>
  </si>
  <si>
    <t>https://techcombank.com/thong-tin/blog/vay-san-xuat-kinh-doanh</t>
  </si>
  <si>
    <t>4. Quy trình vay vốn</t>
  </si>
  <si>
    <t>Ngoài ra, khả năng tài chính của doanh nghiệp/hộ kinh doanh và giá trị của tài sản thế chấp cũng được ngân hàng xem xét…</t>
  </si>
  <si>
    <t>Tham khảo thông tin cụ thể về những vấn đề mà bên vay thế chấp có thể gặp phải trong trường hợp vay thế chấp mà không t…</t>
  </si>
  <si>
    <t>Theo quy định của ngân hàng, người vay chưa thể sử dụng bảng lương làm tài sản bảo đảm để vay thế chấp.</t>
  </si>
  <si>
    <t>Đặc biệt, nhiều ngân hàng hiện nay cho phép người vay có thể sử dụng chính ô tô chuẩn bị mua là tài sản thế chấp.</t>
  </si>
  <si>
    <t>https://techcombank.com/thong-tin/blog/giai-ngan-vay-the-chap</t>
  </si>
  <si>
    <t>Giải ngân vay thế chấp chỉ có thể diễn ra khi ngân hàng phê duyệt và thực hiện ký hợp đồng với khách hàng.</t>
  </si>
  <si>
    <t>1. Giải đáp: Khi người đi vay đang có khoản nợ có vấn…</t>
  </si>
  <si>
    <t>Để giải đáp cho thắc mắc nợ xấu có được vay thế chấp không, căn cứ theo quy định tại Điều 11 Thông tư 31/2024/TT-NHNN,…</t>
  </si>
  <si>
    <t>nhận tiền từ nước ngoài – 23 link
nhận kiều hối – 5 link
cách nhận tiền từ nước ngoài về Việt Nam – 2 link</t>
  </si>
  <si>
    <t>https://techcombank.com/thong-tin/blog/vay-the-chap-khong-chung-minh-thu-nhap</t>
  </si>
  <si>
    <t>Theo quy định của Ngân hàng Nhà nước Việt Nam, các khoản vay thế chấp đều yêu cầu người vay chứng minh thu nhập.</t>
  </si>
  <si>
    <t>hồ sơ thủ tục xóa thế chấp</t>
  </si>
  <si>
    <t>Một kênh nhận tiền từ nước ngoài.</t>
  </si>
  <si>
    <t>Khách hàng mang theo hồ sơ đến ngân hàng phát hành để làm thủ tục.</t>
  </si>
  <si>
    <t>thủ tục xóa thế chấp</t>
  </si>
  <si>
    <t>Sau khi hoàn thành tất toán khoản vay, khách hàng sẽ được thông báo về thời gian đến nhận lại tài sản từ ngân hàng và c…</t>
  </si>
  <si>
    <t>Nhận tiền quốc tế cần mã SWIFT.</t>
  </si>
  <si>
    <t>4. Quy trình giải ngân vốn vay thế chấp của ngân hàng</t>
  </si>
  <si>
    <t>Như vậy, ngân hàng sẽ giải ngân vay thế chấp khi khách hàng hoàn thành đầy đủ hồ sơ và quy trình thủ tục.</t>
  </si>
  <si>
    <t>Thực hiện thủ tục xử lý tài sản thế chấp đúng quy định pháp luật trong trường hợp cần thiết.</t>
  </si>
  <si>
    <t>Remittance = chuyển tiền quốc tế.</t>
  </si>
  <si>
    <t>https://techcombank.com/thong-tin/blog/vay-tien-mat</t>
  </si>
  <si>
    <t>2.3. Thủ tục vay tín chấp tại phòng giao dịch Techcomb…</t>
  </si>
  <si>
    <t>Nhân viên ngân hàng hướng dẫn khách hàng làm các thủ tục vay tín chấp, khách hàng cung cấp hồ sơ theo hướng dẫn</t>
  </si>
  <si>
    <t>Nhắc: quốc tế.</t>
  </si>
  <si>
    <t>4. Các câu hỏi thường gặp khi vay doanh nghiệp không t…</t>
  </si>
  <si>
    <t>Để vay tín chấp thành công, việc nắm vững các thông tin cơ bản như hồ sơ, điều kiện vay, thủ tục vay… là rất quan trọng…</t>
  </si>
  <si>
    <t>Dưới đây là điều kiện, hồ sơ và thủ tục vay trả góp không thế chấp online tại Techcombank:</t>
  </si>
  <si>
    <t>Ngoài ra, mọi thắc mắc về gói vay, thủ tục, điều kiện, hồ sơ, quy trình vay vốn cũng sẽ được giải đáp đầy đủ, chi tiết…</t>
  </si>
  <si>
    <t>5. Quy trình vay thế chấp</t>
  </si>
  <si>
    <t>4. Thủ tục vay 300 triệu VND không thế chấp tại Techco…</t>
  </si>
  <si>
    <t>3. Lưu ý khi gửi tiết kiệm online</t>
  </si>
  <si>
    <t>Thói quen rà soát kỹ thông tin cũng rất cần thiết khi bạn chuẩn bị các thủ tục tài chính khác, chẳng hạn như xem trước…</t>
  </si>
  <si>
    <t>Nhắc: quốc tế, swift.</t>
  </si>
  <si>
    <t>2. 5 lưu ý cho Việt Kiều khi mở tài khoản ngân hàng</t>
  </si>
  <si>
    <t>Đây cũng là thói quen cần thiết khi khách hàng tìm hiểu các quy trình tài chính khác, chẳng hạn như thủ tục vay tín chấ…</t>
  </si>
  <si>
    <t>1.1. Kích hoạt thẻ tín dụng Techcombank thông qua tổng…</t>
  </si>
  <si>
    <t>Các thủ tục, hồ sơ và quy trình cho vay tín chấp.</t>
  </si>
  <si>
    <t>4. Thủ tục vay 200 triệu VND không thế chấp tại Techco…</t>
  </si>
  <si>
    <t>2.2. Thủ tục vay tín chấp theo lương</t>
  </si>
  <si>
    <t>Vay tín chấp theo lương có hồ sơ, thủ tục vay đơn giản.</t>
  </si>
  <si>
    <t>2.3. Lãi suất và hạn mức vay tiêu dùng thế chấp</t>
  </si>
  <si>
    <t>Phí làm hồ sơ/thủ tục (công chứng, đăng ký giao dịch đảm bảo), phí định giá tài sản đảm bảo, phí bảo hiểm tài sản thế c…</t>
  </si>
  <si>
    <t>https://techcombank.com/thong-tin/blog/ho-so-vay-tin-chap</t>
  </si>
  <si>
    <t>Bài viết này sẽ là hướng dẫn chi tiết về thủ tục vay tín chấp cá nhân ngân hàng, điều kiện và danh sách đầy đủ giấy tờ…</t>
  </si>
  <si>
    <t>thủ tục giải chấp sổ đỏ</t>
  </si>
  <si>
    <t>3. Các chi phí có thể phát sinh khi vay thế chấp sổ đỏ…</t>
  </si>
  <si>
    <t>Bên cạnh mức lãi suất vay ngân hàng đã cam kết trong hợp đồng, các khoản chi phí khác có thể phát sinh trong thủ tục th…</t>
  </si>
  <si>
    <t>Nhắc: nước ngoài, quốc tế.</t>
  </si>
  <si>
    <t>4. Lưu ý khi vay vốn kinh doanh tại các ngân hàng</t>
  </si>
  <si>
    <t>Trong trường hợp khách hàng quan tâm đến thủ tục xét duyệt, nhiều người cũng thường đặt câu hỏi liệu vay thế chấp có cầ…</t>
  </si>
  <si>
    <t>Nhắc: nước ngoài.</t>
  </si>
  <si>
    <t>Do cần phải thực hiện quy trình định giá tài sản và các thủ tục liên quan, thời gian giải ngân của vay thế chấp thường…</t>
  </si>
  <si>
    <t>Hạn mức vốn sẵn đến 1 tỷ VND, không cần tài sản thế chấp, linh hoạt trả nợ gốc bất cứ lúc nào, không phí trả nợ trước h…</t>
  </si>
  <si>
    <t>Hạn mức vay ngắn hạn và trung hạn lên đến 15 tỷ VND (*), lãi suất cạnh tranh chỉ từ 6.4%/năm (*) với khoản vay ngắn hạn…</t>
  </si>
  <si>
    <t>xóa thế chấp sổ đỏ</t>
  </si>
  <si>
    <t>Với những khách hàng quan tâm đến kế hoạch tài chính dài hạn, việc hiểu rõ hạn mức vay thế chấp sổ đỏ cũng giúp tối ưu…</t>
  </si>
  <si>
    <t>Hạn mức vay thế chấp sổ đỏ được ngân hàng đưa ra cho người vay dựa trên nhiều yếu tố, không chỉ nằm ở giá trị của bất đ…</t>
  </si>
  <si>
    <t>lãi suất ngân hàng hiện nay</t>
  </si>
  <si>
    <t>Hiện nay, nhiều ngân hàng áp dụng mức lãi suất gửi tiết kiệm online cao hơn 0.1 - 0.4%/năm so với gửi tiết kiệm tại phò…</t>
  </si>
  <si>
    <t>lãi suất ngân hàng</t>
  </si>
  <si>
    <t>4. Lãi suất</t>
  </si>
  <si>
    <t>Cụ thể, trường hợp lãi suất ngân hàng cao hơn mức lãi suất bảo lãnh, chủ đầu tư sẽ hỗ trợ chi trả phần lãi suất chênh l…</t>
  </si>
  <si>
    <t>…ần theo dõi sát biến động giá vàng, tỷ giá ngoại tệ và lãi suất ngân hàng .</t>
  </si>
  <si>
    <t>lãi suất gửi tiết kiệm ngân hàng</t>
  </si>
  <si>
    <t>đổi tiền đô ở đâu – 29 link
đổi USD ở đâu – 1 link</t>
  </si>
  <si>
    <t>1. Lãi suất thực phản ánh điều gì khi gửi tiết kiệm ho…</t>
  </si>
  <si>
    <t>Lãi suất danh nghĩa (lãi suất công bố) là mức lãi suất ngân hàng niêm yết trên hợp đồng hoặc bảng biểu, chưa tính đến b…</t>
  </si>
  <si>
    <t>Việc tìm hiểu về lãi suất ngân hàng cho vay xây/sửa nhà là bước đầu tiên và vô cùng quan trọng.</t>
  </si>
  <si>
    <t>lãi suất tiền gửi ngân hàng</t>
  </si>
  <si>
    <t>Mở sổ tiết kiệm ngân hàng có lãi suất thấp hơn gửi online nhưng nhận được sự hướng dẫn tận tình từ giao dịch viên tại q…</t>
  </si>
  <si>
    <t>Checklist đi nước ngoài — đổi tiền.</t>
  </si>
  <si>
    <t>3. Hướng dẫn tham gia gửi tiết kiệm Tích lũy Như Ý cùn…</t>
  </si>
  <si>
    <t>Giải pháp Tiền gửi Tích lũy Như Ý của Techcombank cho phép khách hàng gửi tiết kiệm theo ngày - tuần - tháng linh hoạt…</t>
  </si>
  <si>
    <t>Bài quy đổi USD — chèn ở đoạn đổi tiền.</t>
  </si>
  <si>
    <t>3.1. Lãi suất mong muốn</t>
  </si>
  <si>
    <t>Lãi suất gửi tiết kiệm tích lũy có thể thay đổi theo kỳ hạn gửi tùy theo chính sách của từng ngân hàng.</t>
  </si>
  <si>
    <t>Chọn gửi tiết kiệm tại ngân hàng uy tín, có lãi suất hấp dẫn, phí dịch vụ thấp...</t>
  </si>
  <si>
    <t>https://techcombank.com/thong-tin/blog/xu-huong-dau-tu-trai-phieu-ky-han-duoi-mot-nam-lua-chon-an-toan-khi-thi-truong-bien-dong</t>
  </si>
  <si>
    <t>Hưởng “trái ngọt” ngay cả khi thị trường rung lắc đầy…</t>
  </si>
  <si>
    <t>Đồng nghĩa với đó là 7.030 khách hàng nói riêng của năm 2023 và 26.000 khách hàng sở hữu trái phiếu Dòng tiền định sẵn…</t>
  </si>
  <si>
    <t>https://techcombank.com/thong-tin/blog/gui-tiet-kiem-online-bi-mat-tien</t>
  </si>
  <si>
    <t>Tiết kiệm thêm lợi với đặc quyền lãi suất</t>
  </si>
  <si>
    <t>Đồng hành cùng khách hàng trong quá trình xây dựng nền tảng tài chính vững chắc, Techcombank mang đến chương trình cộng…</t>
  </si>
  <si>
    <t>https://techcombank.com/thong-tin/blog/tich-luy-tai-san</t>
  </si>
  <si>
    <t>2.1. Quản lý tài chính bằng góc nhìn dài hạn</t>
  </si>
  <si>
    <t>Thao tác nhanh gọn và dễ dàng trên ngân hàng số Techcombank Mobile , khách hàng có thể tự thực hiện các giao dịch gửi t…</t>
  </si>
  <si>
    <t>https://techcombank.com/thong-tin/blog/mo-tai-khoan-tiet-kiem-cho-con</t>
  </si>
  <si>
    <t>Khách hàng rút trước hạn tiền gửi tiết kiệm vẫn sẽ được nhận lãi suất theo quy định của ngân hàng.</t>
  </si>
  <si>
    <t>1. Gửi tiết kiệm</t>
  </si>
  <si>
    <t>Gửi tiết kiệm là hình thức đầu tư truyền thống, trong đó người gửi chuyển một khoản tiền gửi nhàn rỗi vào ngân hàng để…</t>
  </si>
  <si>
    <t>https://techcombank.com/thong-tin/blog/chung-chi-tien-gui-co-an-toan-khong</t>
  </si>
  <si>
    <t>2. Lời khuyên để sở hữu chứng chỉ tiền gửi an toàn, si…</t>
  </si>
  <si>
    <t>&gt;&gt;&gt; Ngoài ra, việc trở thành khách hàng của các ngân hàng lớn còn giúp bạn tiếp cận thêm nhiều quyền lợi khác như các g…</t>
  </si>
  <si>
    <t>5.4. Không mở quá nhiều thẻ tín dụng trong khoảng thời…</t>
  </si>
  <si>
    <t>&gt;&gt;&gt; Để tối ưu lợi ích từ khoản tiết kiệm và kiểm soát dòng tiền, khách hàng nên tìm hiểu cách tính lãi suất tiết kiệm o…</t>
  </si>
  <si>
    <t>https://techcombank.com/thong-tin/blog/ngan-hang-dien-tu</t>
  </si>
  <si>
    <t>1. Ngân hàng điện tử là gì?</t>
  </si>
  <si>
    <t>Các dịch vụ ngân hàng điện tử bao gồm nhiều tính năng như chuyển tiền, thanh toán hóa đơn, gửi tiết kiệm, tra cứu thông…</t>
  </si>
  <si>
    <t>2.3. Đặt mục tiêu tiết kiệm rõ ràng</t>
  </si>
  <si>
    <t>Nếu quý khách hàng có nhu cầu gửi tiết kiệm lãi suất cao, vui lòng liên hệ Techcombank qua các phương thức sau để được…</t>
  </si>
  <si>
    <t>3. Ưu đãi dành cho chủ cửa hàng sử dụng Tài khoản Hộ k…</t>
  </si>
  <si>
    <t>Cộng thêm đến 1.2%/năm lãi suất khi gửi tiết kiệm từ 6 tháng</t>
  </si>
  <si>
    <t>1.4. Cơ hội đầu tư sinh lời</t>
  </si>
  <si>
    <t>Gửi tiết kiệm có kỳ hạn để hưởng lãi suất kép .</t>
  </si>
  <si>
    <t>https://techcombank.com/thong-tin/blog/the-nao-la-tiet-kiem</t>
  </si>
  <si>
    <t>2.3. Sinh lời và tăng trưởng tài sản</t>
  </si>
  <si>
    <t>Khi bạn gửi tiết kiệm ở ngân hàng, khoản tiền nhàn rỗi có thể tự động sinh lãi theo thời gian.</t>
  </si>
  <si>
    <t>1. Tài khoản thanh toán là gì? Chức năng của tài khoản…</t>
  </si>
  <si>
    <t>Khi gửi tiết kiệm vào ngân hàng, khách hàng sẽ nhận được một khoản lãi theo quy định</t>
  </si>
  <si>
    <t>Nhắc: ngoại tệ.</t>
  </si>
  <si>
    <t>https://techcombank.com/thong-tin/blog/gui-them-tien-vao-so-tiet-kiem</t>
  </si>
  <si>
    <t>Thị trường hồi phục chậm nhưng theo hướng tích cực</t>
  </si>
  <si>
    <t>Nhắc: đổi tiền, đô, tỷ giá.</t>
  </si>
  <si>
    <t>Thì nay, điều này đã hoàn toàn thay đổi, nhà đầu tư đã sẵn sàng tìm mua các trái phiếu có lãi suất thấp hơn thị trường…</t>
  </si>
  <si>
    <t>https://techcombank.com/thong-tin/blog/5-trieu-mua-duoc-bao-nhieu-vang</t>
  </si>
  <si>
    <t>3. Nên làm gì với 5 triệu để sinh lời ngoài mua vàng?</t>
  </si>
  <si>
    <t>Với số tiền 5 triệu VND, nếu bạn ưu tiên sự an toàn, ổn định và muốn sinh lời chắc chắn mà không cần lo lắng về biến độ…</t>
  </si>
  <si>
    <t>https://techcombank.com/thong-tin/blog/tai-san-va-tieu-san-la-gi</t>
  </si>
  <si>
    <t>https://techcombank.com/thong-tin/blog/cach-quan-ly-tai-san</t>
  </si>
  <si>
    <t>Bước 3: Xây dựng một chiến lược đầu tư</t>
  </si>
  <si>
    <t>Gửi tiết kiệm ngân hàng, mua trái phiếu chính phủ, hoặc chứng chỉ tiền gửi.</t>
  </si>
  <si>
    <t>Khách hàng cần hoàn trả đầy đủ mọi khoản nợ trước đó , bao gồm khoản vay tín dụng ban đầu, phí phạt thanh toán chậm kho…</t>
  </si>
  <si>
    <t>3.2. Ảnh hưởng đến khả năng thanh toán khi rút tiền th…</t>
  </si>
  <si>
    <t>Khách hàng nên cân nhắc rút tiền mặt bằng thẻ tín dụng vì sẽ cần trả phí rút tiền lên tới 4% trên tổng số tiền rút và l…</t>
  </si>
  <si>
    <t>2. Cách mua nhà trả góp thông minh: Lựa chọn ngân hàng…</t>
  </si>
  <si>
    <t>So sánh lãi suất của nhiều ngân hàng để chọn gói vay có mức lãi suất ưu đãi nhất.</t>
  </si>
  <si>
    <t>Nhắc: usd, tỷ giá.</t>
  </si>
  <si>
    <t>Ngân hàng sẽ thực hiện trả gốc, lãi trái phiếu cho trái chủ trong trường hợp tổ chức phát hành không thực hiện được ngh…</t>
  </si>
  <si>
    <t>2. Ý nghĩa của tỷ lệ CASA với ngân hàng</t>
  </si>
  <si>
    <t>Khi chi phí vốn (giá vốn huy động) giảm, trong khi lãi suất cho vay đầu ra giữ nguyên hoặc giảm ít hơn, biên độ chênh l…</t>
  </si>
  <si>
    <t>2. So sánh gửi tiết kiệm tích lũy với gửi tiết kiệm cố…</t>
  </si>
  <si>
    <t>Lãi suất trên chỉ có tính chất tham khảo và sẽ thay đổi tùy thuộc vào chính sách của ngân hàng tại từng thời điểm.</t>
  </si>
  <si>
    <t>Home Loan</t>
  </si>
  <si>
    <t>Cụ thể, khách hàng có thể thực hiện trả góp với lãi suất từ 0 - 10%/năm tại các đối tác/ doanh nghiệp hợp tác cùng ngân…</t>
  </si>
  <si>
    <t>vay 1 tỷ mỗi tháng trả bao nhiêu – 18 link
vay ngân hàng 1 tỷ mỗi tháng trả bao nhiêu – 11 link
vay 1 tỷ trong 20 năm mỗi tháng trả bao nhiêu – 1 link</t>
  </si>
  <si>
    <t>Cân nhắc vay mua nhà — ví dụ khoản vay 1 tỷ.</t>
  </si>
  <si>
    <t>3. Lưu ý để tăng cơ hội vay vốn cho doanh nghiệp mới t…</t>
  </si>
  <si>
    <t>Mỗi ngân hàng có những chương trình cho vay với điều kiện và lãi suất khác nhau.</t>
  </si>
  <si>
    <t>ngân hàng tư nhân có lãi suất cạnh tranh, dịch vụ linh hoạt hơn.</t>
  </si>
  <si>
    <t>1. Tìm hiểu kỹ về ngân hàng cho vay</t>
  </si>
  <si>
    <t>Bên cạnh lãi suất, tùy theo hình thức vay và gói vay, một số chi phí khác có thể phát sinh như như phí thẩm định, phí b…</t>
  </si>
  <si>
    <t>2. Thẻ Visa Credit (Thẻ tín dụng quốc tế) là gì?</t>
  </si>
  <si>
    <t>Trong các loại thẻ thanh toán quốc tế, Thẻ Visa Credit là loại thẻ cho phép chủ thẻ ứng tiền từ ngân hàng để mua sắm và…</t>
  </si>
  <si>
    <t>Lãi suất thế chấp → số tiền trả hàng tháng.</t>
  </si>
  <si>
    <t>2. Đơn vị tiền Singapore là gì?</t>
  </si>
  <si>
    <t>Không giống như hầu hết các ngân hàng trung ương khác sử dụng lãi suất, MAS điều hành chính sách tiền tệ thông qua tỷ g…</t>
  </si>
  <si>
    <t>Trong trường hợp cần xem xét tổng thể tài chính trước khi mở thêm các dịch vụ ngân hàng, khách hàng có thể tham khảo bả…</t>
  </si>
  <si>
    <t>Có cơ hội hưởng chương trình trả góp 0% lãi suất theo chính sách của Shopee và ngân hàng phát hành thẻ</t>
  </si>
  <si>
    <t>2. Lợi ích của hình thức vay thấu chi bằng sổ tiết kiệm</t>
  </si>
  <si>
    <t>Đặc biệt, chính sách vay ở một số ngân hàng như Techcombank cho phép không phát sinh lãi trong trường hợp chi tiêu và h…</t>
  </si>
  <si>
    <t>https://techcombank.com/thong-tin/blog/ngan-hang-so</t>
  </si>
  <si>
    <t>3. Khám phá 10+ tính năng của ngân hàng số tại Techcom…</t>
  </si>
  <si>
    <t>*Lưu ý lãi suất trên chỉ mang tính chất tham khảo và có thể thay đổi theo từng thời kỳ tùy theo quyết định của ngân hàn…</t>
  </si>
  <si>
    <t>Nhắc: vay thế chấp.</t>
  </si>
  <si>
    <t>Hồ sơ này là căn cứ quan trọng giúp ngân hàng đánh giá sức khỏe tài chính của doanh nghiệp, từ đó quyết định có cho vay…</t>
  </si>
  <si>
    <t>2.1. Nhóm đặc quyền tài chính và tối ưu dòng tiền</t>
  </si>
  <si>
    <t>Nhóm quyền lợi này thường bao gồm các giải pháp vay vốn với lãi suất ưu đãi, thời hạn vay linh hoạt và quy trình phê du…</t>
  </si>
  <si>
    <t>Để quản lý tài chính hiệu quả, chủ thẻ chính nên nắm rõ cách tính lãi suất vay ngân hàng theo tháng và áp dụng nguyên t…</t>
  </si>
  <si>
    <t>Nhắc: trả góp.</t>
  </si>
  <si>
    <t>4.3. Phí trả nợ trước hạn và cách thức trả nợ trước hạ…</t>
  </si>
  <si>
    <t>Nếu bạn đang tìm kiếm một giải pháp vay nhanh, lãi suất cạnh tranh và được bảo vệ bởi hệ thống ngân hàng uy tín, Techco…</t>
  </si>
  <si>
    <t>Năng lực tài chính cá nhân</t>
  </si>
  <si>
    <t>Điều này giúp bạn đảm bảo được nghĩa vụ thanh toán tiền vay và lãi suất cho ngân hàng mà không ảnh hưởng đến các chi ti…</t>
  </si>
  <si>
    <t>https://techcombank.com/thong-tin/blog/vi-sao-lai-suat-trai-phieu-tai-tcbs-lai-thap-hon-so-voi-cac-to-chuc-phat-hanh-khac</t>
  </si>
  <si>
    <t>Không chạy đua lãi suất bằng mọi giá</t>
  </si>
  <si>
    <t>“Giải mã” cho nghịch lý này, bà Nguyễn Thị Hoạt – Phó Tổng Giám đốc TCBS lý giải “Chúng tôi không chạy đua lãi suất để…</t>
  </si>
  <si>
    <t>1. Vay ngắn hạn là gì?</t>
  </si>
  <si>
    <t>Theo quy định tại Khoản 1, Điều 1 Thông tư 08/2014/TT-NHNN , lãi suất vay ngắn hạn bằng đồng Việt Nam không vượt quá mứ…</t>
  </si>
  <si>
    <t>5. Lưu ý khi vay kinh doanh hộ gia đình</t>
  </si>
  <si>
    <t>Hộ kinh doanh nhỏ lẻ nên lựa chọn ngân hàng cung cấp sản phẩm vay có lãi suất ổn định, dịch vụ tốt và điều khoản hợp lý…</t>
  </si>
  <si>
    <t>6. Danh mục Hỏi - Đáp</t>
  </si>
  <si>
    <t>Lãi suất vay vốn ngân hàng cho doanh nghiệp nhỏ là bao nhiêu?</t>
  </si>
  <si>
    <t>https://techcombank.com/thong-tin/blog/vay-mua-chung-cu</t>
  </si>
  <si>
    <t>2. Lãi suất vay mua chung cư</t>
  </si>
  <si>
    <t>Mỗi ngân hàng sẽ có chính sách lãi suất riêng hoặc mức lãi suất ưu đãi ở từng thời kỳ.</t>
  </si>
  <si>
    <t>Sau khi thanh toán học phí bằng thẻ tín dụng, khách hàng có thể đăng ký chuyển đổi trả góp lãi suất từ 0%, kỳ hạn linh…</t>
  </si>
  <si>
    <t>Nếu đang phân vân không biết nên vay tín chấp ở đâu , cũng như lãi suất vay tín chấp ngân hàng nào thấp nhất, hãy tham…</t>
  </si>
  <si>
    <t>2. Lãi suất vay vốn tiêu dùng hiện nay</t>
  </si>
  <si>
    <t>Lãi suất vay tiêu dùng tại các ngân hàng/công ty tài chính thường phụ thuộc vào hình thức cho vay, cụ thể:</t>
  </si>
  <si>
    <t>1. Giới thiệu gói vay 15 triệu VND trên Techcombank Mo…</t>
  </si>
  <si>
    <t>Nhờ thủ tục tinh gọn và lãi suất cạnh tranh, đây là giải pháp tài chính linh hoạt dành cho người trẻ, nhân viên văn phò…</t>
  </si>
  <si>
    <t>1. Lãi suất thả nổi là gì?</t>
  </si>
  <si>
    <t>Một khách hàng vay 100,000,000 VND với lãi suất thả nổi 10%/năm.</t>
  </si>
  <si>
    <t>Nhắc: vay mua nhà, mua nhà, trả góp.</t>
  </si>
  <si>
    <t>Techcombank mang đến hai giải pháp vay linh hoạt – vay tín chấp trả góp và vay tiêu dùng thế chấp – giúp khách hàng dễ…</t>
  </si>
  <si>
    <t>4. Các yếu tố ảnh hưởng đến tỷ giá VND to MYR</t>
  </si>
  <si>
    <t>Quyết định về lãi suất của Ngân hàng Negara Malaysia (BNM) và chính sách điều hành của Ngân hàng Nhà nước Việt Nam (SBV…</t>
  </si>
  <si>
    <t>https://techcombank.com/thong-tin/blog/lai-suat-qua-han</t>
  </si>
  <si>
    <t>3. Cách tính lãi suất quá hạn như thế nào?</t>
  </si>
  <si>
    <t>Anh Nguyễn Văn A vay ngân hàng với số tiền là 200,000,000 VND trong 12 tháng, lãi suất vay là 12%/năm.</t>
  </si>
  <si>
    <t>Bài viết này sẽ tổng hợp 15 app vay tiền nhanh online chỉ cần CCCD uy tín, hỗ trợ 24/24 giải ngân nhanh với lãi suất cạ…</t>
  </si>
  <si>
    <t>3. 1 CCCD lập được bao nhiêu tài khoản ngân hàng?</t>
  </si>
  <si>
    <t>Mở thêm tài khoản có thể giúp bạn tận dụng các chương trình khuyến mãi, lãi suất ưu đãi, hay các dịch vụ đặc biệt mà ng…</t>
  </si>
  <si>
    <t>5. Vay 300 triệu trong 3 năm lãi suất bao nhiêu?</t>
  </si>
  <si>
    <t>Khách hàng vay 300 triệu trong 3 năm với mức lãi suất dự kiến là 12.9%/năm, ngày giải ngân là ngày 11/11/2025.</t>
  </si>
  <si>
    <t>1. Tài sản bảo đảm khi vay thế chấp mua xe ô tô đã qua…</t>
  </si>
  <si>
    <t>Tài sản bảo đảm không phải là yếu tố duy nhất để ngân hàng đưa ra quyết định cho vay, hạn mức, lãi suất.</t>
  </si>
  <si>
    <t>Loyalty</t>
  </si>
  <si>
    <t>Lãi suất thẻ tín dụng là số tiền mà chủ thẻ phải trả cho ngân hàng khi thực hiện các giao dịch đặc thù như:</t>
  </si>
  <si>
    <t>cách lấy voucher Traveloka – 19 link
voucher Traveloka – 1 link
(+10 link nên bỏ: bài không có đoạn liên quan)</t>
  </si>
  <si>
    <t>Sau khi thanh toán thành công, liên hệ ngân hàng phát hành thẻ để thực hiện chuyển đổi giao dịch sang trả góp 0% lãi su…</t>
  </si>
  <si>
    <t>Nhắc: u-point, oneu.</t>
  </si>
  <si>
    <t>5. Lưu ý quan trọng khi vay tín chấp</t>
  </si>
  <si>
    <t>TOP 7 ngân hàng cho vay tín chấp lãi suất tốt, giải ngân nhanh gọn để có thêm các thông tin tham khảo hữu ích.</t>
  </si>
  <si>
    <t>Đặc biệt, khách hàng cần nắm được cách tính lãi suất vay ngân hàng theo tháng để chủ động quản lý các khoản phí phát si…</t>
  </si>
  <si>
    <t>3. Các yếu tố ảnh hưởng đến lãi suất vay kinh doanh</t>
  </si>
  <si>
    <t>Lãi suất vay kinh doanh tại các ngân hàng không cố định và thường thay đổi tùy theo nhiều yếu tố:</t>
  </si>
  <si>
    <t>Lựa chọn ngân hàng phù hợp có lãi suất vay vốn ổn định, điều khoản và dịch vụ tốt để đáp ứng nhu cầu tiếp cận nguồn vốn…</t>
  </si>
  <si>
    <t>1. Cho vay từng lần là gì?</t>
  </si>
  <si>
    <t>Mỗi lần vay, khách hàng cần cung cấp hồ sơ chứng minh mục đích sử dụng vốn và ngân hàng sẽ thẩm định, phê duyệt một kho…</t>
  </si>
  <si>
    <t>4. Vì sao tỷ giá Nhân dân tệ (CNY) lại biến động?</t>
  </si>
  <si>
    <t>Các quyết định của Ngân hàng Nhân dân Trung Quốc (PBOC) như điều chỉnh lãi suất, thiết lập tỷ giá tham chiếu hằng ngày,…</t>
  </si>
  <si>
    <t>Nhắc: oneu.</t>
  </si>
  <si>
    <t>Mức lãi suất này sẽ phụ thuộc vào từng ngân hàng cũng như các điều kiện cụ thể của gói vay.</t>
  </si>
  <si>
    <t>2. Tổng quan về Sinh Lời Tự Động 2.0</t>
  </si>
  <si>
    <t>Đến hiện tại, Sinh Lời Tự Động đã được hơn 5 triệu khách hàng tin dùng nhờ khả năng linh hoạt chi tiêu 24/7 mà vẫn được…</t>
  </si>
  <si>
    <t>https://techcombank.com/thong-tin/blog/dau-tu-ngan-han</t>
  </si>
  <si>
    <t>3.1. Gửi tiết kiệm kỳ hạn ngắn</t>
  </si>
  <si>
    <t>Top các ngân hàng có lãi suất hấp dẫn .</t>
  </si>
  <si>
    <t>3.1. Bước 1: Trả hết nợ tín dụng và đóng đầy đủ các ph…</t>
  </si>
  <si>
    <t>Thông thường lãi suất sẽ rơi vào khoảng 20 - 40%/ năm tùy chính sách của từng ngân hàng.</t>
  </si>
  <si>
    <t>2.1. Lưu ý ngày đến hạn để tránh phát sinh lãi và phí…</t>
  </si>
  <si>
    <t>Chủ thẻ sẽ được miễn lãi suất khi thanh toán đúng hạn trong vòng 45 - 55 ngày tùy từng loại thẻ và ngân hàng.</t>
  </si>
  <si>
    <t>Khoản trả thực tế có thể thay đổi tùy giá xe, số tiền trả trước, lãi suất, thời hạn vay, phương thức trả nợ, phí phát s…</t>
  </si>
  <si>
    <t>Nhắc: u-point.</t>
  </si>
  <si>
    <t>Ngoài ra, khi tìm hiểu gói vay, hộ kinh doanh nên tham khảo lãi suất, ưu đãi của các ngân hàng.</t>
  </si>
  <si>
    <t>2.3. Sinh Lời Tự Động</t>
  </si>
  <si>
    <t>8. Ngân hàng ACB</t>
  </si>
  <si>
    <t>Khách hàng có thể dựa theo các tiêu chí về độ uy tín của ngân hàng, biểu phí, lãi suất, tiện ích hỗ trợ, các chương trì…</t>
  </si>
  <si>
    <t>Ngân hàng có trách nhiệm thanh toán toàn bộ tiền gốc và trả đủ số tiền lãi theo đúng mức lãi suất đã cam kết ban đầu</t>
  </si>
  <si>
    <t>2. Các khái niệm liên quan đến tất toán</t>
  </si>
  <si>
    <t>Trường hợp này, ngân hàng thường áp dụng mức lãi suất hoặc phí khác so với tất toán đúng hạn.</t>
  </si>
  <si>
    <t>Bạn vay 120,000,000 VND từ ngân hàng, thời hạn 12 tháng, với lãi suất 12%/năm trên dư nợ gốc.</t>
  </si>
  <si>
    <t>Để hiện thực hóa việc tách bạch và tối ưu hóa dòng tiền cho SMEs, Techcombank Business chính là giải pháp ngân hàng số…</t>
  </si>
  <si>
    <t>1. Thanh toán tối thiểu thẻ tín dụng là gì?</t>
  </si>
  <si>
    <t>Trong trường hợp khách hàng quá hạn thanh toán dư nợ theo quy định của ngân hàng (45 - 55 ngày), khoản thanh toán tối t…</t>
  </si>
  <si>
    <t>https://techcombank.com/thong-tin/blog/fintech-la-gi</t>
  </si>
  <si>
    <t>3.4. Cho vay ngang hàng (P2P Lending)</t>
  </si>
  <si>
    <t>Ngoài ra, P2P Lending còn mang đến cơ hội vay vốn với lãi suất hấp dẫn cùng khả năng giải ngân nhanh cho khách hàng.</t>
  </si>
  <si>
    <t>1. Tỷ giá là gì? Tác động của tỷ giá đến giao dịch ngo…</t>
  </si>
  <si>
    <t>Quyết định điều chỉnh lãi suất, mua vào hoặc bán ra ngoại tệ của Ngân hàng Trung ương các nước có thể thay đổi mạnh mẽ…</t>
  </si>
  <si>
    <t>Merchant</t>
  </si>
  <si>
    <t>5. Thanh toán khoản vay</t>
  </si>
  <si>
    <t>Cụ thể lãi suất vay tiêu dùng tín chấp từ 12.9%/năm và lãi suất vay tiêu dùng thế chấp chỉ từ 7.5%/năm (lãi suất có thể…</t>
  </si>
  <si>
    <t>thuế hộ kinh doanh – 47 link
hộ kinh doanh đóng thuế như thế nào – 3 link</t>
  </si>
  <si>
    <t>https://techcombank.com/thong-tin/blog/vay-kinh-doanh-online</t>
  </si>
  <si>
    <t>1. Ưu điểm của vay kinh doanh online</t>
  </si>
  <si>
    <t>Ngân hàng thường đưa ra mức lãi suất cạnh tranh kèm nhiều ưu đãi hấp dẫn đi kèm sản phẩm vay vốn online.</t>
  </si>
  <si>
    <t>2. Những điểm khác biệt giữa chứng chỉ tiền gửi và trá…</t>
  </si>
  <si>
    <t>Lãi suất cố định hoặc thả nổi tùy theo quy định của từng ngân hàng phát hành</t>
  </si>
  <si>
    <t>Thuế khoán là cách đóng thuế của HKD.</t>
  </si>
  <si>
    <t>Bạn vay ngân hàng 120,000,000 VND cho thời hạn 12 tháng, lãi suất 6.5%/năm trên dư nợ giảm dần.</t>
  </si>
  <si>
    <t>https://techcombank.com/thong-tin/blog/kinh-nghiem-mua-vang-tich-tru</t>
  </si>
  <si>
    <t>3. Lựa chọn thời điểm mua vàng tối ưu</t>
  </si>
  <si>
    <t>Trong giai đoạn kinh tế có dấu hiệu chững lại, lạm phát tăng cao hoặc khi các ngân hàng trung ương bắt đầu giảm lãi suấ…</t>
  </si>
  <si>
    <t>4. Vì sao tỷ giá JPY/VND lại biến động?</t>
  </si>
  <si>
    <t>Các quyết định về lãi suất, kiểm soát cung tiền của Ngân hàng Trung ương Nhật Bản (BOJ) và Ngân hàng Nhà nước Việt Nam…</t>
  </si>
  <si>
    <t>Truy thu khi đóng thuế sai.</t>
  </si>
  <si>
    <t>https://techcombank.com/thong-tin/blog/rut-tien-bao-hiem-nhan-tho-khi-het-han</t>
  </si>
  <si>
    <t>2. Dễ dàng rút tiền khi tham gia bảo hiểm nhân thọ tại…</t>
  </si>
  <si>
    <t>Dù khách hàng rút tiền một phần, phần giá trị tài khoản còn lại vẫn tiếp tục được hưởng lãi suất đầu tư thực tế, không…</t>
  </si>
  <si>
    <t>Song song với đó, khi có nhu cầu sử dụng thêm các sản phẩm vay vốn, khách hàng nên chủ động tính lãi suất vay ngân hàng…</t>
  </si>
  <si>
    <t>Nhắc: thuế.</t>
  </si>
  <si>
    <t>https://techcombank.com/thong-tin/blog/bao-hiem-lien-ket-dau-tu</t>
  </si>
  <si>
    <t>3. Quyền lợi khi tham gia bảo hiểm liên kết đầu tư</t>
  </si>
  <si>
    <t>Tùy loại hình tham gia, khách hàng được hưởng lãi suất ổn định hoặc lợi nhuận từ thị trường</t>
  </si>
  <si>
    <t>Nhắc: hộ kinh doanh, thuế.</t>
  </si>
  <si>
    <t>Để dễ dàng lên kế hoạch vay, bạn có thể sử dụng công cụ tính lãi suất vay ngân hàng online của Techcombank.</t>
  </si>
  <si>
    <t>https://techcombank.com/thong-tin/blog/thu-tuc-vay-von-doanh-nghiep</t>
  </si>
  <si>
    <t>4. Những lưu ý cho doanh nghiệp vừa và nhỏ khi vay vốn…</t>
  </si>
  <si>
    <t>Lựa chọn ngân hàng cho vay uy tín, an toàn, lãi suất ưu đãi:</t>
  </si>
  <si>
    <t>Nhắc: hộ kinh doanh.</t>
  </si>
  <si>
    <t>Bảo hiểm sinh kỳ giúp người tham gia tích lũy có kỷ luật với mức lãi suất cố định, trong khi bảo hiểm liên kết đầu tư g…</t>
  </si>
  <si>
    <t>Hầu hết các ngân hàng hiện nay đều áp dụng mức phí rút tiền và lãi suất khá cao cho thẻ tín dụng, khách hàng có thể tha…</t>
  </si>
  <si>
    <t>3.2. Lựa chọn hình thức vay phù hợp</t>
  </si>
  <si>
    <t>Doanh nghiệp nên tìm hiểu rõ về lãi suất doanh nghiệp vay ngân hàng hiện nay để tối ưu hóa nguồn vốn, nâng cao hiệu quả…</t>
  </si>
  <si>
    <t>Theo đó, tất cả các ngân hàng hiện nay đều áp dụng mức lãi suất 0% với tiền gửi USD của khách hàng, có thể kể đến như:</t>
  </si>
  <si>
    <t>2. Có nên gửi tiết kiệm USD không?</t>
  </si>
  <si>
    <t>Lãi suất gửi tiết kiệm VNĐ dao động từ 3 - 6%/năm (tuỳ theo chính sách của mỗi ngân hàng tại từng thời điểm), cao hơn r…</t>
  </si>
  <si>
    <t>Hiện nay, lãi suất cho vay mua nhà ở xã hội của ngân hàng chính sách xã hội là 6.6%/năm, cố định 5 năm (Thông tin cập n…</t>
  </si>
  <si>
    <t>Trái phiếu an toàn – giao dịch tiện lợi “lên ngôi”</t>
  </si>
  <si>
    <t>Hiện nay, lãi suất huy động của các ngân hàng thương mại đã xuống mức rất thấp, ở mức xung quanh 5%/năm tại hầu hết các…</t>
  </si>
  <si>
    <t>5. Hạn mức và lãi suất vay vốn lưu động</t>
  </si>
  <si>
    <t>Trong bối cảnh kinh tế hiện nay, lãi suất và hạn mức vay của ngân hàng đối với các doanh nghiệp vừa và nhỏ đang có nhiề…</t>
  </si>
  <si>
    <t>https://techcombank.com/thong-tin/blog/vay-50-trieu</t>
  </si>
  <si>
    <t>Hiện nay, với các giải pháp ngân hàng số, khách hàng có nhu cầu vay 50 triệu online hoàn toàn có cơ hội tiếp cận khoản…</t>
  </si>
  <si>
    <t>Bạn có thể tham khảo thêm bài viết Lãi suất vay thế chấp hiện nay và lưu ý quan trọng về mức lãi để hiểu kỹ về các quy…</t>
  </si>
  <si>
    <t>Hiện nay, nhiều ngân hàng đã và đang cung cấp giải pháp vay mua xe ô tô với mức lãi suất ưu đãi, thủ tục đơn giản.</t>
  </si>
  <si>
    <t>Hiện nay, lãi suất cho vay mua nhà ở xã hội của ngân hàng chính sách xã hội là 6.5%/năm, cố định 5 năm.</t>
  </si>
  <si>
    <t>4.1. Lưu ý về 3 loại lãi suất vay</t>
  </si>
  <si>
    <t>Hiện nay có 3 loại lãi suất vay phổ biến được nhiều ngân hàng sử dụng đó là:</t>
  </si>
  <si>
    <t>Hiện nay, mức lãi suất vay tiêu dùng tại các ngân hàng và công ty tài chính được hỗ trợ tương đối hấp dẫn.</t>
  </si>
  <si>
    <t>Bài viết này sẽ hướng dẫn chi tiết 2 cách tính lãi suất vay ngân hàng phổ biến hiện nay, bao gồm:</t>
  </si>
  <si>
    <t>4. Các ưu đãi/hỗ trợ của Techcombank khi cho người vay…</t>
  </si>
  <si>
    <t>Trên đây là thông tin về mức lãi suất vay tín chấp tại các ngân hàng hiện nay.</t>
  </si>
  <si>
    <t>Bài viết dưới đây sẽ cung cấp thông tin lãi suất vay thế chấp sổ đỏ tại các ngân hàng hiện nay, giúp bạn nhận định được…</t>
  </si>
  <si>
    <t>2.1. Đổi đô Singapore tại các ngân hàng uy tín</t>
  </si>
  <si>
    <t>Hiện nay c ác tiện ích trên ứng dụng ngân hàng số giúp khách hàng đổi ngoại tệ online mọi lúc mà không cần đến quầy gia…</t>
  </si>
  <si>
    <t>&gt;&gt;&gt; Có thể bạn quan tâm lãi suất vay ngân hàng hiện nay để hiểu hơn về các loại dịch vụ hiện có của ngân hàng.</t>
  </si>
  <si>
    <t>4. Thách thức trong chuyển đổi xanh</t>
  </si>
  <si>
    <t>Đối với cá nhân và doanh nghiệp nhỏ muốn đầu tư vào công nghệ xanh nhưng thiếu nguồn vốn, việc tìm hiểu lãi suất vay ng…</t>
  </si>
  <si>
    <t>Hiện nay, một số ngân hàng đã cho phép người dùng chủ động đặt lịch hoặc thực hiện mua ngoại tệ ngay trên ứng dụng ngân…</t>
  </si>
  <si>
    <t>Hiện nay, các ngân hàng thường áp dụng các chương trình ưu đãi thẻ tín dụng như giảm giá, hoàn tiền, tích điểm, trả góp…</t>
  </si>
  <si>
    <t>Bài viết dưới đây sẽ giúp bạn hiểu rõ 5 cách phổ biến được nhiều ngân hàng áp dụng hiện nay.</t>
  </si>
  <si>
    <t>1.Tổng quan về tính năng Tài khoản cho con thuộc dịch…</t>
  </si>
  <si>
    <t>Hiện nay, ngân hàng Techcombank quy định hạn mức tối đa cho tính năng Tài khoản cho con thuộc dịch vụ Family Banking vớ…</t>
  </si>
  <si>
    <t>https://techcombank.com/thong-tin/blog/ngan-hang-xanh</t>
  </si>
  <si>
    <t>Một trong những xu hướng mới trong tài chính hiện nay là “Ngân hàng xanh”.</t>
  </si>
  <si>
    <t>lãi suất ngân hàng hôm nay</t>
  </si>
  <si>
    <t>Cùng cập nhật mức lãi suất vay ngân hàng hôm nay của các ngân hàng như Techcombank, Agribank, ACB, Vietcombank… cũng nh…</t>
  </si>
  <si>
    <t>4. Hướng dẫn kích hoạt Techcombank Sinh Lời Tự Động để…</t>
  </si>
  <si>
    <t>Hãy biến tài khoản ngân hàng thành trợ lý tài chính đắc lực ngay hôm nay.</t>
  </si>
  <si>
    <t>https://techcombank.com/thong-tin/blog/chung-chi-quy-mo-va-dong</t>
  </si>
  <si>
    <t>3. Đầu tư chứng chỉ quỹ đơn giản, hiệu quả ngay trên T…</t>
  </si>
  <si>
    <t>Bắt đầu tối ưu hóa dòng tiền nhàn rỗi của bạn ngay hôm nay cùng mục Đầu tư trên Ngân hàng số Techcombank Mobile hoặc qu…</t>
  </si>
  <si>
    <t>lãi suất ngân hàng nào cao nhất</t>
  </si>
  <si>
    <t>2.1 Lợi suất trên toàn bộ số dư: Tối ưu hóa hiệu suất…</t>
  </si>
  <si>
    <t>Kết hợp với phương thức tính lãi theo ngày, giải pháp này đảm bảo từng đồng vốn nhàn rỗi của khách hàng đều được gia tă…</t>
  </si>
  <si>
    <t>https://techcombank.com/thong-tin/blog/anh-sang-cuoi-duong-ham-xuat-hien-trai-phieu-doanh-nghiep-tot-va-an-toan-se-duoc-nha-dau-tu-chon</t>
  </si>
  <si>
    <t>Trái phiếu tốt sẽ được lựa chọn</t>
  </si>
  <si>
    <t>Đối với nhà đầu tư, trái phiếu an toàn cao là điều quan trọng bậc nhất nên dù lãi suất của một số mã trái phiếu do TCBS…</t>
  </si>
  <si>
    <t>Nhắc: hộ kinh doanh, thuế khoán, thuế.</t>
  </si>
  <si>
    <t>lãi suất ngân hàng tiền gửi</t>
  </si>
  <si>
    <t>1. Lợi ích và lưu ý khi gửi tiết kiệm vàng</t>
  </si>
  <si>
    <t>Theo Nghị định 24/2012/NĐ-CP , các ngân hàng thương mại không còn được phép huy động vốn bằng vàng dưới hình thức nhận…</t>
  </si>
  <si>
    <t>Theo số liệu mới nhất được Ngân hàng Nhà nước công bố, lượng tiền gửi của người dân và doanh nghiệp vẫn tăng trưởng đều…</t>
  </si>
  <si>
    <t>Đây là gợi ý lý tưởng nếu bạn đang tìm kiếm ngân hàng uy tín, có lãi suất hấp dẫn và đa dạng giải pháp tiền gửi (bao gồ…</t>
  </si>
  <si>
    <t>https://techcombank.com/thong-tin/blog/rui-ro-khi-gui-tiet-kiem-online</t>
  </si>
  <si>
    <t>2.2. Mất cơ hội tối đa khả năng sinh lời, bị phạt nếu…</t>
  </si>
  <si>
    <t>Ví dụ, bạn gửi tiền tiết kiệm với kỳ hạn 6 tháng tại ngân hàng nhưng lại tất toán trước hạn , bạn sẽ không được hưởng l…</t>
  </si>
  <si>
    <t>1. Gửi tiết kiệm ngoại tệ là gì? Các hình thức gửi tiế…</t>
  </si>
  <si>
    <t>Lãi suất gửi tiết kiệm sẽ khác nhau tùy theo số tiền, loại ngoại tệ, thời gian gửi và chính sách riêng của mỗi ngân hàn…</t>
  </si>
  <si>
    <t>Những ngân hàng uy tín thường công khai biểu phí, lãi suất niêm yết cho từng giải pháp tiền gửi trên website của ngân h…</t>
  </si>
  <si>
    <t>mô hình kinh doanh – 15 link
mô hình kinh doanh là gì – 15 link</t>
  </si>
  <si>
    <t>Nhượng quyền là một mô hình kinh doanh.</t>
  </si>
  <si>
    <t>Ngoài ra, đối với các sản phẩm tiền gửi rút gốc linh hoạt cho phép rút trước hạn một phần, với phần tiền gửi còn lại ch…</t>
  </si>
  <si>
    <t>Kinh doanh online — chọn mô hình.</t>
  </si>
  <si>
    <t>https://techcombank.com/thong-tin/blog/quy-du-phong-tai-chinh-la-gi</t>
  </si>
  <si>
    <t>4. Tạo quỹ tiết kiệm dự phòng trên ngân hàng số dễ dàng</t>
  </si>
  <si>
    <t>Lãi suất hấp dẫn, dao động từ 3.25% - 4.75%/năm (cập nhật ngày 20/03/2025 với giải pháp Tiền gửi Phát Lộc Online, kỳ hạ…</t>
  </si>
  <si>
    <t>Mô hình One-Stop Shop.</t>
  </si>
  <si>
    <t>1. Bật Sinh Lời Tự Động cho tài khoản thanh toán</t>
  </si>
  <si>
    <t>Loại hình DN ≠ mô hình KD nhưng có thể dẫn câu ngắn. (Liên quan yếu – bản chặt đã loại.)</t>
  </si>
  <si>
    <t>Chỉ với vài thao tác trên ngân hàng số, khách hàng có thể gửi yêu cầu vay, được hệ thống phê duyệt tự động trong 3 phút…</t>
  </si>
  <si>
    <t>Ngoài ra, đối với những khách hàng quan tâm đến đầu tư ngân hàng, việc tìm hiểu tất toán chứng chỉ tiền gửi sẽ giúp quả…</t>
  </si>
  <si>
    <t>https://techcombank.com/thong-tin/blog/tiet-kiem-tien-moi-ngay</t>
  </si>
  <si>
    <t>6. Gửi tiết kiệm online tự động mỗi ngày</t>
  </si>
  <si>
    <t>Đa số các ngân hàng hiện nay đều cung cấp dịch vụ gửi tiền tiết kiệm online tự động mỗi ngày với lãi suất từ 3 - 6%/năm.</t>
  </si>
  <si>
    <t>Nhắc: khởi nghiệp.</t>
  </si>
  <si>
    <t>Cách tiền tiết kiệm của người Nhật từ việc gửi ngân hàng có lãi suất hấp dẫn giúp bạn tích lũy số tiền nhanh hơn và an…</t>
  </si>
  <si>
    <t>https://techcombank.com/thong-tin/blog/mat-so-tiet-kiem</t>
  </si>
  <si>
    <t>8. Cần lưu ý gì khi mở sổ tiết kiệm/tài khoản tiền gửi…</t>
  </si>
  <si>
    <t>Nhiều ngân hàng thường xuyên tung ra các chương trình khuyến mãi khi khách hàng mở số tiết kiệm/tài khoản tiền gửi onli…</t>
  </si>
  <si>
    <t>Nhắc: kinh doanh online.</t>
  </si>
  <si>
    <t>1.7. Sử dụng dịch vụ gửi tiền tích lũy của ngân hàng</t>
  </si>
  <si>
    <t>Gửi tiền ngân hàng là kênh đầu tư an toàn và sinh lời ổn định theo mức lãi suất quy định của từng ngân hàng.</t>
  </si>
  <si>
    <t>Nhắc: chuỗi cửa hàng.</t>
  </si>
  <si>
    <t>4. Số dư tài khoản thanh toán có sinh lời được không?</t>
  </si>
  <si>
    <t>1. Chứng chỉ tiền gửi được bảo hiểm tương tự tiền gửi…</t>
  </si>
  <si>
    <t>Chứng chỉ tiền gửi (CCTG) là giấy tờ có giá được phát hành theo quy định của Ngân hàng nhà nước tại Thông tư 02/2025/TT…</t>
  </si>
  <si>
    <t>https://techcombank.com/thong-tin/blog/tinh-thanh-khoan-la-gi</t>
  </si>
  <si>
    <t>3. Phân loại tài sản theo tính thanh khoản</t>
  </si>
  <si>
    <t>Tiền gửi không kỳ hạn tại ngân hàng, chứng chỉ tiền gửi ngắn hạn, tín phiếu kho bạc.</t>
  </si>
  <si>
    <t>https://techcombank.com/thong-tin/blog/chung-chi-quy-dong</t>
  </si>
  <si>
    <t>2. Đặc điểm của chứng chỉ quỹ đóng</t>
  </si>
  <si>
    <t>Quỹ đóng được đầu tư vào tiền gửi ngân hàng thương mại, công cụ thị trường tiền tệ, trái phiếu chính phủ, cổ phiếu và t…</t>
  </si>
  <si>
    <t>Mỗi ngân hàng có quy định khác nhau về điều khoản gửi tiết kiệm online như về lãi suất, kỳ hạn gửi, số tiền gửi tối thi…</t>
  </si>
  <si>
    <t>So sánh lãi suất giữa các ngân hàng trước khi gửi tiết kiệm để tận dụng triệt để khoản tiền nhàn rỗi.</t>
  </si>
  <si>
    <t>https://techcombank.com/thong-tin/blog/gui-tiet-kiem-online-co-rut-truoc-han-duoc-khong</t>
  </si>
  <si>
    <t>2.2. Cách tính lãi khi khách hàng gửi tiền vào giải ph…</t>
  </si>
  <si>
    <t>Theo Quyết định 1124/QĐ-NHNN năm 2023, mức lãi suất tối đa áp dụng đối với tiền gửi có kỳ hạn là từ 4.75%/năm tùy theo…</t>
  </si>
  <si>
    <t>https://techcombank.com/thong-tin/blog/cach-tinh-ty-gia-ky-han</t>
  </si>
  <si>
    <t>3. Công thức xác định tỷ giá mua và tỷ giá bán trong t…</t>
  </si>
  <si>
    <t>Ltg(VND), Lcv(VND) lần lượt là lãi suất tiền gửi và lãi suất cho vay đồng Việt Nam.</t>
  </si>
  <si>
    <t>Nhắc: mô hình.</t>
  </si>
  <si>
    <t>https://techcombank.com/thong-tin/blog/app-gui-tien-tiet-kiem</t>
  </si>
  <si>
    <t>1. Gửi tiền tiết kiệm qua ngân hàng số</t>
  </si>
  <si>
    <t>Các ngân hàng thường áp dụng lãi suất cao hơn 0.1 - 0.4%/năm (có thể thay đổi tuỳ theo chính sách của từng ngân hàng tạ…</t>
  </si>
  <si>
    <t>Mở rộng chủ đề (theo plan): bài nhắc kinh doanh, doanh nghiệp, hộ kinh doanh.</t>
  </si>
  <si>
    <t>2. 4 loại lãi suất cần biết khi gửi tiết kiệm ngân hàng</t>
  </si>
  <si>
    <t>Khi gửi tiền vào ngân hàng, khách hàng sẽ được hưởng một mức lãi suất nhất định.</t>
  </si>
  <si>
    <t>Ngân hàng sẽ tự động gia hạn sổ tiết kiệm/tài khoản tiền gửi có kỳ hạn sang một kỳ hạn mới, thường giữ nguyên số ngày v…</t>
  </si>
  <si>
    <t>https://techcombank.com/thong-tin/blog/tai-khoan-tiet-kiem</t>
  </si>
  <si>
    <t>Ngân hàng thường xuyên tổ chức các chương trình ưu đãi lãi suất hấp dẫn dành cho khách hàng gửi tiền tiết kiệm online l…</t>
  </si>
  <si>
    <t>Cất giữ tiền với lãi suất cố định, gửi từ 1,000,000 VND và phù hợp nhất khi gửi từ 6 – 12 tháng</t>
  </si>
  <si>
    <t>1.1. Tính an toàn cao</t>
  </si>
  <si>
    <t>Trong trường hợp tổ chức tín dụng không có khả năng hoàn trả tiền gốc và lãi chứng chỉ tiền gửi, tổ chức Bảo hiểm tiền…</t>
  </si>
  <si>
    <t>Khi gửi tiền vào tài khoản tiết kiệm, khách hàng sẽ được hưởng mức lãi suất theo quy định của ngân hàng tại từng thời k…</t>
  </si>
  <si>
    <t>Theo quy định của Ngân hàng nhà nước, số tiền lãi chứng chỉ tiền gửi được tính như sau:</t>
  </si>
  <si>
    <t>https://techcombank.com/thong-tin/blog/ly-do-ngan-hang-so-tro-thanh-cong-cu-tai-chinh-hang-dau-cua-gioi-tre</t>
  </si>
  <si>
    <t>3. Cung cấp đa dạng dịch vụ tiết kiệm và đầu tư</t>
  </si>
  <si>
    <t>Ngân hàng số cung cấp dịch vụ tiết kiệm và đầu tư với lợi thế lãi suất cạnh tranh, linh hoạt trong việc gửi/rút tiền và…</t>
  </si>
  <si>
    <t>cách tính lãi suất ngân hàng</t>
  </si>
  <si>
    <t>cách gửi mã QR ngân hàng – 16 link
gửi mã QR ngân hàng – 14 link</t>
  </si>
  <si>
    <t>Trong quá trình cân nhắc giữa các ngân hàng, khách hàng cũng có thể tham khảo thêm các nguồn kinh nghiệm vay thế chấp n…</t>
  </si>
  <si>
    <t>Tạo xong mã QR → gửi cho người khác.</t>
  </si>
  <si>
    <t>tính lãi suất tiết kiệm</t>
  </si>
  <si>
    <t>Bạn có thể sử dụng công cụ tính lãi suất tiết kiệm để cân đối mục tiêu và xem xét chọn kỳ hạn vay dài hơn…</t>
  </si>
  <si>
    <t>In mã QR — dạng chia sẻ khác.</t>
  </si>
  <si>
    <t>1. Tài khoản ngân hàng dưới 50k có bị khóa không?</t>
  </si>
  <si>
    <t>Công cụ tính lãi suất tiết kiệm mới nhất của Techcombank</t>
  </si>
  <si>
    <t>Gửi mã QR có an toàn không.</t>
  </si>
  <si>
    <t>… kết hợp theo dõi chi tiêu và sử dụng thêm các công cụ tính lãi suất tiết kiệm cũng giúp bạn quản lý tài chính cá nhân…</t>
  </si>
  <si>
    <t>3. Hướng dẫn thanh toán hoá đơn tự động trên Techcomba…</t>
  </si>
  <si>
    <t>Khách hàng nên sử dụng công cụ tính lãi suất tiết kiệm để xác định số tiền nhàn rỗi, từ đó thiết lập thanh to…</t>
  </si>
  <si>
    <t>Phí làm mã QR — dẫn sang cách lấy/gửi.</t>
  </si>
  <si>
    <t>tính lãi suất ngân hàng</t>
  </si>
  <si>
    <t>Lỗi mã QR khi gửi/nhận.</t>
  </si>
  <si>
    <t>Nhắc: mã qr, qr.</t>
  </si>
  <si>
    <t>1. Bảng tính lãi suất tiết kiệm</t>
  </si>
  <si>
    <t>…nh lời từ khoản tiền gửi có kỳ hạn của bạn với công cụ tính lãi suất tiết kiệm trực tuyến của Techcombank.</t>
  </si>
  <si>
    <t>…m và kiểm soát dòng tiền, khách hàng nên tìm hiểu cách tính lãi suất tiết kiệm online để có chiến lược gửi tiền hiệu q…</t>
  </si>
  <si>
    <t>6. Một số câu hỏi thường gặp khi mở tài khoản thanh to…</t>
  </si>
  <si>
    <t>…với các sản phẩm tiết kiệm, khách hàng có thể chủ động tính lãi suất tiết kiệm online để dự đoán trước lợi nhuận và lự…</t>
  </si>
  <si>
    <t>Nhắc: qr.</t>
  </si>
  <si>
    <t>2. Lãi suất khi rút tiền mặt trực tiếp từ thẻ tín dụng…</t>
  </si>
  <si>
    <t>Tùy theo chính sách của từng ngân hàng mà mức lãi suất này sẽ khác nhau nhưng đều có cùng một cách tính, cụ thể như sau:</t>
  </si>
  <si>
    <t>Ngoài ra, ngân hàng số còn cung cấp các mức lãi suất hấp dẫn, giúp bạn gia tăng giá trị quỹ dự phòng một cách hiệu quả.</t>
  </si>
  <si>
    <t>https://techcombank.com/thong-tin/blog/loi-ich-cua-ngan-hang-so-voi-sme</t>
  </si>
  <si>
    <t>2. Ngân hàng số - Giải pháp tăng cường quản lý tài chí…</t>
  </si>
  <si>
    <t>Bằng cách tích hợp các tính năng trong Techcombank Business của ngân hàng Techcombank, doanh nghiệp có thể truy cập thô…</t>
  </si>
  <si>
    <t>5. Lưu ý/kinh nghiệm khi vay mua chung cư tại ngân hàng</t>
  </si>
  <si>
    <t>Do đó, bạn cần đặc biệt hiểu rõ về lãi suất cố định và lãi suất thả nổi, cũng như cách tính lãi mà ngân hàng bạn quan t…</t>
  </si>
  <si>
    <t>Hy vọng rằng, những thông tin chi tiết về lãi suất quá hạn cũng như cách tính lãi suất nợ quá hạn có thể giúp bạn cân n…</t>
  </si>
  <si>
    <t>Song song với đó, việc hiểu rõ cách tính lãi suất vay thế chấp ngân hàng cũng hỗ trợ người vay chủ động hơn trong quá t…</t>
  </si>
  <si>
    <t>Mở rộng chủ đề (theo plan): bài nhắc kinh doanh, hộ kinh doanh, bán hàng. Liên quan rộng – đọc bài trước khi chèn.</t>
  </si>
  <si>
    <t>Mở rộng chủ đề (theo plan): bài nhắc chuyển khoản, kinh doanh, thanh toán.</t>
  </si>
  <si>
    <t>2.4. An toàn và bảo mật</t>
  </si>
  <si>
    <t>Mở rộng chủ đề (theo plan): bài nhắc chuyển khoản, kinh doanh.</t>
  </si>
  <si>
    <t>Với các tính năng ngày càng được cải thiện và phát triển, ngân hàng điện tử chắc chắn sẽ tiếp tục là xu hướng trong tươ…</t>
  </si>
  <si>
    <t>Người có ý định vay ngân hàng có thể sử dụng công cụ tính toán để tìm được số tiền dự kiến cần trả hàng tháng với cách…</t>
  </si>
  <si>
    <t>tài khoản hộ kinh doanh – 19 link
mở tài khoản hộ kinh doanh – 10 link
cách mở tài khoản hộ kinh doanh – 1 link</t>
  </si>
  <si>
    <t>HKD cần gì ở TK — sát chủ đề.</t>
  </si>
  <si>
    <t>cách tính lãi suất tiết kiệm ngân hàng</t>
  </si>
  <si>
    <t>Để có cái nhìn trực quan và dễ lựa chọn hơn, khách hàng nên tìm hiểu cách tính lãi suất vay ngân hàng theo tháng và tha…</t>
  </si>
  <si>
    <t>Thành lập HKD xong → mở TK.</t>
  </si>
  <si>
    <t>Khai báo TK với thuế — cần có TK HKD.</t>
  </si>
  <si>
    <t>Để tiết kiệm thời gian xếp hàng, chờ đợi, khách hàng hoàn toàn có thể sử dụng tính năng đổi tiền ngoại tệ trên Techcomb…</t>
  </si>
  <si>
    <t>Định nghĩa HKD cá thể.</t>
  </si>
  <si>
    <t>1. Bước 1: Lựa chọn ngân hàng phù hợp để gửi tiền</t>
  </si>
  <si>
    <t>Ngân hàng có lãi suất tốt kèm nhiều ưu đãi:</t>
  </si>
  <si>
    <t>Đăng ký MST HKD — bước liền kề.</t>
  </si>
  <si>
    <t>Khách hàng có thể truy cập vào công cụ tính lãi suất tự động của Techcombank và thực hiện điền số vốn, số phần trăm lãi…</t>
  </si>
  <si>
    <t>Vậy tại sao nhiều ngân hàng áp dụng mức lãi suất gửi tiết kiệm online cao hơn gửi tiết kiệm tại phòng giao dịch?</t>
  </si>
  <si>
    <t>Lãi suất được cập nhật ngày 18/12/2025, chỉ có tính chất tham khảo và sẽ thay đổi tùy thuộc vào chính sách của ngân hàn…</t>
  </si>
  <si>
    <t>Hiện nay, các ngân hàng có đa dạng giải pháp tiền gửi với kỳ hạn, lãi suất và tính năng khác nhau.</t>
  </si>
  <si>
    <t>4. Đa dạng loại hình gửi tiết kiệm theo nhu cầu</t>
  </si>
  <si>
    <t>3. Gửi tiết kiệm online với kỳ hạn phù hợp</t>
  </si>
  <si>
    <t>Mức lãi suất gửi tiết kiệm được đề cập ở trên chỉ có tính chất tham khảo và có thể thay đổi tùy theo chính sách của ngâ…</t>
  </si>
  <si>
    <t>Đối với phần tiền rút trước hạn, lãi suất sẽ được áp dụng theo mức lãi suất không kỳ hạn, tính theo số ngày thực tế khá…</t>
  </si>
  <si>
    <t>Bên cạnh việc so sánh lãi suất tiết kiệm, nhiều khách hàng cũng quan tâm đến tính lãi suất vay ngân hàng theo tháng và…</t>
  </si>
  <si>
    <t>Bảng lãi suất được cập nhật ngày 18/12/2025, chỉ có tính chất tham khảo và sẽ thay đổi tùy thuộc vào chính sách của ngâ…</t>
  </si>
  <si>
    <t>2. Gửi tiết kiệm 50 triệu lãi suất bao nhiêu?</t>
  </si>
  <si>
    <t>Lãi suất được cập nhật vào 1/11/2025 , chỉ có tính chất tham khảo và sẽ thay đổi tùy thuộc vào chính sách của ngân hàng…</t>
  </si>
  <si>
    <t>3. Top 6 ngân hàng gửi tiền có lãi suất hấp dẫn hiện n…</t>
  </si>
  <si>
    <t>Bảng lãi suất chỉ có tính chất tham khảo và sẽ thay đổi tùy thuộc vào chính sách của ngân hàng tại từng thời điểm</t>
  </si>
  <si>
    <t>Lãi suất được tính từ thời điểm ngân hàng giải ngân, không phải từ ngày ký hợp đồng</t>
  </si>
  <si>
    <t>Đến hiện tại, Techcombank Sinh Lời Tự Động đã được trên 5 triệu khách hàng tin dùng nhờ khả năng linh hoạt chi tiêu 24/…</t>
  </si>
  <si>
    <t>cách tính thuế hộ kinh doanh – 27 link
cách tính thuế hộ kinh doanh nhỏ lẻ – 3 link</t>
  </si>
  <si>
    <t>Kê khai cần tính số thuế trước.</t>
  </si>
  <si>
    <t>1.1. Lãi suất là gì?</t>
  </si>
  <si>
    <t>Lãi suất được các tổ chức tài chính như ngân hàng hoặc các bên tham gia khác thỏa thuận, thường được tính theo năm, thá…</t>
  </si>
  <si>
    <t>Kiểm tra số thuế → đối chiếu cách tính.</t>
  </si>
  <si>
    <t>Thuế TMĐT cho HKD — tính theo tỷ lệ doanh thu.</t>
  </si>
  <si>
    <t>Chính sách thuế mới cho HKD.</t>
  </si>
  <si>
    <t>Tổng quan HKD — chèn ở đoạn nghĩa vụ thuế.</t>
  </si>
  <si>
    <t>4. Kích hoạt Techcombank Sinh Lời Tự Động</t>
  </si>
  <si>
    <t>1. Cập nhật lãi suất vay mua ô tô của các ngân hàng hi…</t>
  </si>
  <si>
    <t>Mức lãi suất vay mua xe ô tô hiện nay dao động trong khoảng từ 5 - 11%/năm trong kỳ ưu đãi, đây cũng là cơ sở để bạn ướ…</t>
  </si>
  <si>
    <t>5. Bật mí giải pháp ứng tiền MyCash hạn mức đến 100 tr…</t>
  </si>
  <si>
    <t>Tiền lãi chỉ phát sinh khi khách hàng sử dụng hạn mức và được tính theo số ngày sử dụng thực tế</t>
  </si>
  <si>
    <t>1. Cách kích hoạt một số tính năng sử dụng trước của t…</t>
  </si>
  <si>
    <t>Tại một số ngân hàng, sau khi đăng ký mở thẻ tín dụng thành công, khách hàng có thể kích hoạt và sử dụng trước một số t…</t>
  </si>
  <si>
    <t>Về mức độ an toàn thì hai loại thẻ này đều có tính bảo mật và an toàn như nhau bởi cả thẻ tín dụng và thẻ ghi nợ đều đư…</t>
  </si>
  <si>
    <t>2.2. Gói vay kinh doanh online dành cho hộ kinh doanh</t>
  </si>
  <si>
    <t>CIC là gì</t>
  </si>
  <si>
    <t>(**) Lãi suất trên chỉ mang tính chất tham khảo và có thể sẽ thay đổi tùy theo chính sách của ngân hàng tại từng thời k…</t>
  </si>
  <si>
    <t>Secured Lending</t>
  </si>
  <si>
    <t>cách tính lãi suất vay – 30 link
cách tính lãi suất vay ngân hàng – 20 link</t>
  </si>
  <si>
    <t>Dư nợ là cơ sở tính lãi.</t>
  </si>
  <si>
    <t>2. Các hình thức tín dụng doanh nghiệp</t>
  </si>
  <si>
    <t>Sau đó, ngân hàng sẽ dựa trên số tiền chi tiêu để tính lãi suất vay.</t>
  </si>
  <si>
    <t>Ân hạn gốc thay đổi cách tính lãi.</t>
  </si>
  <si>
    <t>2.2. Lưu ý về phí giao dịch quốc tế và tỷ giá</t>
  </si>
  <si>
    <t>Được tính theo biểu phí của từng ngân hàng và từng loại thẻ.</t>
  </si>
  <si>
    <t>Lãi thả nổi/cố định → cách tính khác nhau.</t>
  </si>
  <si>
    <t>Lãi suất sẽ được tính bằng lãi suất cố định tại thời điểm gửi tiền/ tái tục nhân tổng số tiền gốc và lãi ở các kỳ hạn t…</t>
  </si>
  <si>
    <t>Công thức lãi suất thực — cùng chủ đề tính lãi.</t>
  </si>
  <si>
    <t>(Dư nợ * lãi suất/năm * số ngày chưa thanh toán tính từ 27/4 đến 16/5).</t>
  </si>
  <si>
    <t>Vay trả góp — chèn ở đoạn chi phí lãi.</t>
  </si>
  <si>
    <t>Nhắc: lãi suất vay.</t>
  </si>
  <si>
    <t>Trong bối cảnh của lãi suất tiết kiệm hạ nhiệt ở mức thấp 4%-5%/năm, trái phiếu doanh nghiệp đang trở lại là một kênh đ…</t>
  </si>
  <si>
    <t>Nhắc: khoản vay.</t>
  </si>
  <si>
    <t>Nhiều khách hàng thường có thói quen bỏ qua bước đọc/nghiên cứu các điều khoản và điều kiện của dịch vụ gửi tiết kiệm o…</t>
  </si>
  <si>
    <t>Nhắc: lãi vay.</t>
  </si>
  <si>
    <t>Kênh đầu tư trái phiếu: Ưu tiên an toàn</t>
  </si>
  <si>
    <t>Nhiều nhà đầu tư sẵn sàng tìm mua các trái phiếu với lãi suất có thể thấp hơn thị trường 0,5-1% nhưng có mức độ an toàn…</t>
  </si>
  <si>
    <t>1.3. Rủi ro mất tiền do nhờ người khác gửi tiết kiệm n…</t>
  </si>
  <si>
    <t>(1988) đã nhiều lần tin tưởng nhờ người thân gửi tiết kiệm và được hứa hẹn có thể nhận mức lãi suất cao hơn.</t>
  </si>
  <si>
    <t>Hoặc, họ không phải rút tiền tiết kiệm trước hạn và hưởng lãi suất không kỳ hạn.</t>
  </si>
  <si>
    <t>2. Lãi suất</t>
  </si>
  <si>
    <t>Phần tiền gửi còn lại, lãi suất được tính theo mức đang áp dụng với tài khoản tiết kiệm như đã thỏa thuận</t>
  </si>
  <si>
    <t>1. Giới thiệu giải pháp vay nhanh online trên Techcomb…</t>
  </si>
  <si>
    <t>Lãi suất chỉ từ 1.2%/tháng (*) - tính trên dư nợ giảm dần :</t>
  </si>
  <si>
    <t>1.2. Hạn chế khi gửi tiền tiết kiệm bằng USD</t>
  </si>
  <si>
    <t>Trong khi đó, tiền gửi tiết kiệm VNĐ từ 6 tháng trở lên có thể nhận lãi suất lên đến 6%/năm, cao hơn rất nhiều so với l…</t>
  </si>
  <si>
    <t>Thông thường, lãi suất sẽ thấp hơn các sản phẩm tiết kiệm online khoảng 0,1 - 0,4%/năm.</t>
  </si>
  <si>
    <t>3. Ứng dụng fintech khác</t>
  </si>
  <si>
    <t>Việc tích lũy tiền tiết kiệm cũng giúp bạn chủ động hơn khi tìm hiểu về các loại lãi suất như lãi suất vay mua xe ô tô…</t>
  </si>
  <si>
    <t>Khách hàng tất toán tiết kiệm trước hạn sẽ bị tính lãi suất không kỳ hạn và phí phạt nếu có.</t>
  </si>
  <si>
    <t>https://techcombank.com/thong-tin/blog/ke-hoach-tai-chinh</t>
  </si>
  <si>
    <t>3. Gợi ý công cụ quản lý tài chính hiệu quả cho cá nhân</t>
  </si>
  <si>
    <t>Quản lý tài chính hiệu quả bằng cách kết hợp sử dụng nhiều tính năng như chi tiêu, tiết kiệm, đầu tư… Theo dõi thu chi…</t>
  </si>
  <si>
    <t>Nhiều nhà đầu tư sẵn sàng tìm mua các trái phiếu với lãi suất có thể thấp hơn thị trường 0,5-1% nhưng có mức độ rủi ro…</t>
  </si>
  <si>
    <t>Một trong những giá trị cốt lõi của kênh đầu tư trái phiếu doanh nghiệp là lợi nhuận kỳ vọng cao hơn lãi suất tiết kiệm…</t>
  </si>
  <si>
    <t>Trong giai đoạn thị trường tăng trưởng tích cực, chứng chỉ quỹ có thể mang lại lợi nhuận vượt trội, cao hơn lãi suất ti…</t>
  </si>
  <si>
    <t>3. Tối ưu lãi suất vay doanh nghiệp tại ngân hàng</t>
  </si>
  <si>
    <t>Lựa chọn ngân hàng uy tín và giải pháp vay vốn phù hợp chìa khóa để doanh nghiệp tối ưu hóa lãi suất vay, tiết kiệm chi…</t>
  </si>
  <si>
    <t>1. Lợi ích khi tiết kiệm cho con cùng giải pháp Tích l…</t>
  </si>
  <si>
    <t>Việc mở tài khoản tiết kiệm giúp các bậc phụ huynh tích lũy thêm được một khoản tiền đáng kể cho tương lai của trẻ nhờ…</t>
  </si>
  <si>
    <t>1.1. Trường hợp có thể rút tiền tiết kiệm trước kỳ hạn</t>
  </si>
  <si>
    <t>Nếu gửi tiền vào giải pháp tiền gửi Tích lũy Như Ý tại Techcombank, khách hàng chỉ có thể rút toàn bộ số tiền gửi trước…</t>
  </si>
  <si>
    <t>Nhà đầu tư có bị thiệt khi đầu tư với mức lãi suất thấ…</t>
  </si>
  <si>
    <t>“Thay vì nghe theo những quảng cáo hấp dẫn về lãi suất lên tới 15%-17%/năm và lo lắng chờ đợi liệu tổ chức phát hành đó…</t>
  </si>
  <si>
    <t>Nhắc: dư nợ.</t>
  </si>
  <si>
    <t>4. Ai phù hợp vay vốn lưu động?</t>
  </si>
  <si>
    <t>Lãi suất cạnh tranh từ 6%/năm (*) , giúp doanh nghiệp tiết kiệm chi phí và giảm áp lực tài chính.</t>
  </si>
  <si>
    <t>1. Ngân hàng số Techcombank Mobile</t>
  </si>
  <si>
    <t>2.1. Gửi tiết kiệm ngân hàng</t>
  </si>
  <si>
    <t>&gt;&gt;&gt; Tham khảo Lãi suất gửi tiết kiệm của 30+ ngân hàng mới nhất .</t>
  </si>
  <si>
    <t>4.1. Tiết kiệm bằng cách gửi tiền vào giải pháp tiết k…</t>
  </si>
  <si>
    <t>Lãi suất gửi tiết kiệm tích lũy thường khoảng 4.65 - 5.95%/năm (*), kỳ hạn từ 3 - 60 tháng, số tiền gửi ban đầu chỉ từ…</t>
  </si>
  <si>
    <t>Vì nhịp sống bận rộn chốn công sở, họ mong muốn tìm kiếm một giải pháp công nghệ tự động và tiết kiệm thời gian, có thể…</t>
  </si>
  <si>
    <t>Ưu điểm của gửi tiết kiệm kỳ hạn ngắn là mức độ an toàn cao, lãi suất được ấn định rõ ràng ngay từ đầu nên nhà đầu tư d…</t>
  </si>
  <si>
    <t>1.2. Dễ dàng đạt được những “mục tiêu lớn”</t>
  </si>
  <si>
    <t>Nếu bạn kiên trì thực hiện tiết kiệm, chỉ sau 5 năm, bạn đã có trong tay 500 triệu đồng, chưa kể lãi suất.</t>
  </si>
  <si>
    <t>1. Tài khoản tiết kiệm là gì?</t>
  </si>
  <si>
    <t>Tài khoản tiết kiệm là tài khoản tiền gửi cho phép người dùng gửi vào đó một khoản tiền và định kỳ sẽ nhận được tiền lã…</t>
  </si>
  <si>
    <t>Đặc biệt trong thời kỳ lãi suất huy động có xu hướng tăng, nhiều người vẫn ưu tiên gửi tiết kiệm để bảo toàn vốn, đồng…</t>
  </si>
  <si>
    <t>Nếu quý khách có nhu cầu mở sổ tiết kiệm với lãi suất cao, nhiều ưu đãi, vui lòng liên hệ Techcombank qua các kênh sau…</t>
  </si>
  <si>
    <t>7. Có nên mở tài khoản tiền gửi online thay cho sổ tiế…</t>
  </si>
  <si>
    <t>Chính sách lãi suất gửi tiết kiệm online thường cao hơn từ 0.1 - 0.4%/năm so với gửi trực tiếp tại chi nhánh/phòng giao…</t>
  </si>
  <si>
    <t>3. Điểm danh các chứng chỉ quỹ uy tín, hiệu suất sinh…</t>
  </si>
  <si>
    <t>Điểm nổi bật của các quỹ này là khả năng mang lại lợi nhuận kỳ vọng dài hạn gấp khoảng 2 lần lãi suất tiết kiệm trung b…</t>
  </si>
  <si>
    <t>rút tiết kiệm trước hạn</t>
  </si>
  <si>
    <t>3. 2 hiểu lầm thường gặp về lãi kép ngân hàng</t>
  </si>
  <si>
    <t>…ư 04/2011/TT-NHNN của Ngân hàng Nhà nước Việt Nam, nếu rút tiết kiệm trước hạn thì bạn sẽ không nhận được mức lãi suất…</t>
  </si>
  <si>
    <t>4. Mất sổ tiết kiệm có rút được tiền ngay không?</t>
  </si>
  <si>
    <t>Khách hàng có thể rút tiền khi đến hạn hoặc rút trước hạn theo quy định của ngân hàng và thỏa thuận ban đầu khi mở sổ t…</t>
  </si>
  <si>
    <t>Nhắc: lãi vay, lãi suất vay.</t>
  </si>
  <si>
    <t>3. Lời khuyên khi gửi thêm tiền vào sổ tiết kiệm hoặc…</t>
  </si>
  <si>
    <t>Khi khách hàng có nhu cầu gửi thêm tiền vào sổ tiết kiệm/tài khoản tiền gửi mà không muốn tất toán trước hạn, giải pháp…</t>
  </si>
  <si>
    <t>rút tiền tiết kiệm trước thời hạn</t>
  </si>
  <si>
    <t>4. Một số câu hỏi thường gặp về tiền gửi có kỳ hạn</t>
  </si>
  <si>
    <t>Giải đáp 6 câu hỏi về rút tiền tiết kiệm trước thời hạn .</t>
  </si>
  <si>
    <t>5. 2 lưu ý mở sổ tiết kiệm cho người mới bắt đầu</t>
  </si>
  <si>
    <t>…rường hợp cần bổ sung dòng tiền ngắn hạn mà không muốn rút tiết kiệm trước hạn, khách hàng có thể tham khảo giải pháp…</t>
  </si>
  <si>
    <t>Với những khách hàng ưu tiên quản lý tài chính cá nhân một cách chủ động, đây cũng là thời điểm phù hợp để cân nhắc các…</t>
  </si>
  <si>
    <t>Khách hàng có thể gửi thêm tiền, rút trước hạn một phần hoặc tất toán khoản tiết kiệm trên ngân hàng số tại bất kỳ thời…</t>
  </si>
  <si>
    <t>Khác với các hình thức tiết kiệm truyền thống, giải pháp Tiền gửi Tích lũy Như Ý cho phép người dùng chủ động gửi tiền…</t>
  </si>
  <si>
    <t>1. Giải pháp gửi tiết kiệm hàng tháng phổ biến</t>
  </si>
  <si>
    <t>Giải pháp tiền gửi tiết kiệm này cho phép khách hàng được linh hoạt gửi thêm tiền vào tài khoản tiết kiệm ở thời điểm b…</t>
  </si>
  <si>
    <t>Nhắc: dư nợ, trả góp.</t>
  </si>
  <si>
    <t>1. Cách 1: Gửi tiết kiệm online cho người đã có tài kh…</t>
  </si>
  <si>
    <t>Giải pháp Tiền gửi Rút gốc linh hoạt cho phép khách hàng lựa chọn đa dạng kỳ hạn từ 1 tháng đến vài năm phù hợp với nhi…</t>
  </si>
  <si>
    <t>3.2.1. Tiền gửi tiết kiệm</t>
  </si>
  <si>
    <t>Phần tiền rút trước hạn được hưởng lãi suất không kỳ hạn, số tiền gửi còn lại vẫn tiếp tục hưởng lãi suất tiết kiệm ban…</t>
  </si>
  <si>
    <t>Nhắc: dư nợ, khoản vay.</t>
  </si>
  <si>
    <t>Ví dụ, rút tiết kiệm hoặc trả nợ trước hạn.</t>
  </si>
  <si>
    <t>Nếu cần tiền gấp, bạn có thể rút sổ tiết kiệm/tài khoản tiền gửi có kỳ hạn trước ngày đáo hạn.</t>
  </si>
  <si>
    <t>1. 2 lý do lãi suất gửi tiết kiệm online thường cao hơ…</t>
  </si>
  <si>
    <t>Đặc biệt, các giải pháp tiết kiệm linh hoạt online của ngân hàng còn cho phép khách hàng gửi thêm tiền vào tài khoản ti…</t>
  </si>
  <si>
    <t>Giải pháp này cho phép khách hàng linh hoạt rút một phần hoặc toàn bộ số tiền đã gửi tiết kiệm, số tiền gốc còn lại vẫn…</t>
  </si>
  <si>
    <t>Gửi tiết kiệm là một hình thức đầu tư ngắn hạn phổ biến, nhưng đầu tư ngắn hạn còn bao gồm nhiều kênh khác như chứng ch…</t>
  </si>
  <si>
    <t>&gt;&gt;&gt; Khách hàng có thể tìm hiểu chi tiết thẻ atm nội địa là gì để hiểu rõ cách sử dụng, hạn mức và các quyền lợi đi kèm…</t>
  </si>
  <si>
    <t>1. Hạn chế của bảo hiểm nhân thọ truyền thống khi muốn…</t>
  </si>
  <si>
    <t>vay thế chấp sổ đỏ ngân hàng – 9 link
lãi suất vay thế chấp sổ đỏ – 8 link
lãi suất vay thế chấp sổ hồng – 7 link
vay thế chấp sổ đỏ – 6 link</t>
  </si>
  <si>
    <t>“Tôi cứ nghĩ bảo hiểm là khoản tích lũy có thể rút ra khi cần, nhưng lúc thực sự cần đến, tôi mới biết phải chấm dứt hợ…</t>
  </si>
  <si>
    <t>Hạn mức vay sổ đỏ — anh em trực tiếp.</t>
  </si>
  <si>
    <t>Dùng sổ tiết kiệm hoặc tài khoản tiền gửi có kỳ hạn để bảo lãnh hạn mức thẻ</t>
  </si>
  <si>
    <t>Sổ hồng ~ sổ đỏ, cùng nhu cầu.</t>
  </si>
  <si>
    <t>Trường hợp rút tiền gửi tiết kiệm/tiền gửi có kỳ hạn trước hạn:</t>
  </si>
  <si>
    <t>Kinh nghiệm vay lãi tối ưu.</t>
  </si>
  <si>
    <t>Bài viết dưới đây sẽ giải đáp chi tiết cho câu hỏi chứng chỉ tiền gửi có được rút trước hạn hay không và gợi ý về giải…</t>
  </si>
  <si>
    <t>1. Cập nhật lợi suất chứng chỉ tiền gửi các ngân hàng</t>
  </si>
  <si>
    <t>&gt;&gt;&gt; Tìm hiểu Chứng chỉ tiền gửi có được rút trước hạn không?</t>
  </si>
  <si>
    <t>Chọn ngân hàng — lãi suất là tiêu chí.</t>
  </si>
  <si>
    <t>Do đó, khi lựa chọn gửi tiết kiệm với kỳ hạn dài lên đến 12 tháng, khách hàng cần xác định chắc chắn bản thân có khoản…</t>
  </si>
  <si>
    <t>https://techcombank.com/thong-tin/blog/gui-tiet-kiem-online-quay-vong-ca-goc-va-lai</t>
  </si>
  <si>
    <t>Gửi tiết kiệm online có rút trước hạn được không và cách tính lãi</t>
  </si>
  <si>
    <t>3.1. Điều kiện &amp; Hồ sơ</t>
  </si>
  <si>
    <t>Trong quá trình so sánh thẻ và các hình thức tiết kiệm khác, bạn cũng nên xem thêm “ chứng chỉ tiền gửi có được rút trư…</t>
  </si>
  <si>
    <t>1. Chọn giải pháp gửi tiết kiệm online phù hợp với mục…</t>
  </si>
  <si>
    <t>- Nếu có nhu cầu rút tiền trước hạn, khách hàng phải tất toán toàn bộ khoản tiền gửi tiết kiệm và hưởng lãi suất tiền g…</t>
  </si>
  <si>
    <t>1.3. Mức độ linh hoạt</t>
  </si>
  <si>
    <t>Đặc biệt, nhiều ngân hàng triển khai các giải pháp tiết kiệm linh hoạt , cho phép khách hàng gửi thêm tiền vào tài khoả…</t>
  </si>
  <si>
    <t>Định nghĩa — chèn ở đoạn tài sản là sổ đỏ.</t>
  </si>
  <si>
    <t>3. Lựa chọn hình thức gửi tiết kiệm phù hợp</t>
  </si>
  <si>
    <t>Với hình thức gửi tiết kiệm có kỳ hạn, bạn cần cân nhắc thật kỹ nếu muốn rút tiền trước hạn.</t>
  </si>
  <si>
    <t>Nhắc: thế chấp.</t>
  </si>
  <si>
    <t>Gửi tiết kiệm tiền là hình thức bạn gửi một khoản tiền nhàn rỗi vào ngân hàng/tổ chức tài chính để nhận lãi theo kỳ hạn…</t>
  </si>
  <si>
    <t>sổ tiết kiệm</t>
  </si>
  <si>
    <t>Mở sổ tiết kiệm cần bao nhiêu tiền là băn khoăn của nhiều khách hàng khi có nhu cầu gửi tiết kiệm.</t>
  </si>
  <si>
    <t>Khi mất sổ tiết kiệm, một số khách hàng lo lắng số tiền trong tài khoản của mình sẽ bị “bốc hơi".</t>
  </si>
  <si>
    <t>Mỗi ngân hàng có quy định khác nhau về điều kiện, thủ tục… gửi thêm tiền vào sổ tiết kiệm và tài khoản tiền gửi.</t>
  </si>
  <si>
    <t>Sổ tiết kiệm đóng vai trò là tài sản bảo đảm cho nghĩa vụ trả nợ của bên vay.</t>
  </si>
  <si>
    <t>5. Lưu ý khi gửi tiết kiệm tại ngân hàng</t>
  </si>
  <si>
    <t>Sau khi đã có sổ tiết kiệm, khách hàng cần bảo quản sổ ở nơi riêng tư, không cho …</t>
  </si>
  <si>
    <t>1.2. Trường hợp không rút được tiền tiết kiệm trước th…</t>
  </si>
  <si>
    <t>Sổ tiết kiệm đang dùng làm tài sản đảm bảo cho khoản vay tại ngân hàng:</t>
  </si>
  <si>
    <t>https://techcombank.com/thong-tin/blog/vay-thau-chi-la-gi</t>
  </si>
  <si>
    <t>2.2. Vay thấu chi thế chấp</t>
  </si>
  <si>
    <t>…ợp đồng mua bán ký kết trực tiếp với chủ đầu tư, ô tô, sổ tiết kiệm/thẻ tiết kiệm/tiết kiệm dạng tài khoản… để đảm bảo…</t>
  </si>
  <si>
    <t>Sổ tiết kiệm hoặc tài khoản tiết kiệm online trên Mobile Banking/ Internet Banking.</t>
  </si>
  <si>
    <t>Khi cần rút tiền tiết kiệm trong sổ tiết kiệm, khách hàng phải tất toán sổ tiết kiệm .</t>
  </si>
  <si>
    <t>Đối với tiền gửi có kỳ hạn, ngày tất toán thường là ngày đến hạn sổ tiết kiệm;</t>
  </si>
  <si>
    <t>Đáo hạn sổ tiết kiệm/tài khoản tiền gửi có kỳ hạn là thời điểm kết thúc kỳ …</t>
  </si>
  <si>
    <t>Nhắc: thế chấp, sổ đỏ.</t>
  </si>
  <si>
    <t>2. Có nên gửi tiết kiệm ngân hàng không?</t>
  </si>
  <si>
    <t>…àng theo dõi lãi suất, số tiền gửi ngân hàng thông qua sổ tiết kiệm hay tài khoản ngân hàng online (SMS Banking/Mobile…</t>
  </si>
  <si>
    <t>2. Gửi tiết kiệm online có lãi suất hấp dẫn</t>
  </si>
  <si>
    <t>Khách hàng gửi tiết kiệm online thường được hưởng lãi suất cao hơn so với mở sổ tiết kiệm tại phòng giao dịch.</t>
  </si>
  <si>
    <t>6. Lưu ý khi gửi tiết kiệm ngoại tệ</t>
  </si>
  <si>
    <t>Dùng sổ tiết kiệm ngoại tệ để quay vòng dòng tiền khi cần:</t>
  </si>
  <si>
    <t>Khách hàng nên chia tiền vào nhiều sổ/tài khoản tiết kiệm để đáp ứng tốt nhu cầu sử dụng.</t>
  </si>
  <si>
    <t>Mở tài khoản tiết kiệm cho con là lựa chọn tài chính an toàn cho tương lai của trẻ, đồng thời giảm áp lực tài chính cho…</t>
  </si>
  <si>
    <t>3. Nên gửi tiết kiệm online hay tại quầy để tránh rủi…</t>
  </si>
  <si>
    <t>Bạn cần bảo mật số tiết kiệm vật lý cũng như các thông tin về sổ khi gửi tiết kiệm tại quầy.</t>
  </si>
  <si>
    <t>sổ tiết kiệm ngân hàng</t>
  </si>
  <si>
    <t>Tài khoản thanh toán là một loại của tài khoản ngân hàng (không bao gồm tài khoản ngoại tệ, tài khoản tiền gửi tiết kiệ…</t>
  </si>
  <si>
    <t>Một số ngân hàng có gợi ý lộ trình tiết kiệm giúp người dùng dễ dàng tính toán để đạt được mục tiêu tích lũy</t>
  </si>
  <si>
    <t>Hiện nay, lãi suất tiết kiệm là một trong những tiêu chí được nhiều người quan tâm khi gửi tiết kiệm tại ngân hàng.</t>
  </si>
  <si>
    <t>Nhìn chung, quy trình mở tài khoản tiết kiệm online trên Mobile Banking tại các ngân hàng tương đối giống nhau.</t>
  </si>
  <si>
    <t>Theo các chuyên gia tài chính, gửi tiết kiệm tại ngân hàng là giải pháp tích lũy tiền an toàn và sinh lời ổn định và đư…</t>
  </si>
  <si>
    <t>Bài viết này sẽ giúp bạn hiểu rõ hình thức tiết kiệm này, so sánh với gửi tiết kiệm thông thường và gợi ý lựa chọn phù…</t>
  </si>
  <si>
    <t>hồ sơ thủ tục xóa thế chấp – 16 link
thủ tục xóa thế chấp – 8 link
xóa thế chấp sổ đỏ – 5 link
thủ tục giải chấp sổ đỏ – 1 link</t>
  </si>
  <si>
    <t>Bài viết dưới đây sẽ cung cấp thông tin về hình thức tiết kiệm này, cùng với đó là gợi ý 8 ngân hàng có lãi suất cao, a…</t>
  </si>
  <si>
    <t>Tất toán xong → xóa thế chấp.</t>
  </si>
  <si>
    <t>Bạn muốn gửi tiết kiệm ngân hàng nhưng không biết mình sẽ nhận được lãi suất bao nhiêu cũng như chưa biết cách tính lãi…</t>
  </si>
  <si>
    <t>Tất toán khoản vay → bước giải chấp.</t>
  </si>
  <si>
    <t>Gửi tiết kiệm ngân hàng là một trong những hình thức tích lũy tiền an toàn hiện nay.</t>
  </si>
  <si>
    <t>Định nghĩa thế chấp; chèn ở đoạn kết thúc thế chấp.</t>
  </si>
  <si>
    <t>Để hiểu rõ hơn về hình thức tiền gửi tiết kiệm ngân hàng này, hãy tham khảo chi tiết tại bài viết dưới đây!</t>
  </si>
  <si>
    <t>1. Tìm hiểu lý do gửi tiết kiệm online bị mất tiền</t>
  </si>
  <si>
    <t>Thực tế, việc gửi tiết kiệm online bị mất tiền rất hiếm khi xảy ra, bởi hệ thống bảo mật của ngân hàng rất chặt chẽ, an…</t>
  </si>
  <si>
    <t>cách tiết kiệm tiền</t>
  </si>
  <si>
    <t>Vòng đời khoản vay thế chấp. (Liên quan yếu – bản chặt đã loại.)</t>
  </si>
  <si>
    <t>Techcombank sẽ bật mí 6 cách tiết kiệm tiền hiệu quả mỗi ngày dễ thực hiện và lưu ý đến bạn 3 sai …</t>
  </si>
  <si>
    <t>Việc học cách tiết kiệm tiền lương hiệu quả là điều cần thiết để có một khoản tiền dự trù cho tương lai.</t>
  </si>
  <si>
    <t>…ợi ý về gửi tiết kiệm trên, bạn cũng có thể chọn nhiều cách tiết kiệm tiền khác được chia sẻ từ những người nổi tiếng…</t>
  </si>
  <si>
    <t>cách tiết kiệm tiền hiệu quả</t>
  </si>
  <si>
    <t>3. Tham gia thử thách tiết kiệm trong 52 tuần</t>
  </si>
  <si>
    <t>Cách tiết kiệm tiền hiệu quả cho gia đình giúp ổn định tài chính .</t>
  </si>
  <si>
    <t>4. Gửi tiết kiệm online với Techcombank Mobile</t>
  </si>
  <si>
    <t>Tiết kiệm không chỉ đơn thuần là để dành một khoản tiền, mà còn là cách bạn chủ động xây dựng kế hoạch tài chính và chu…</t>
  </si>
  <si>
    <t>…số nguyên tắc quản lý tài chính cá nhân, chẳng hạn như cách tiết kiệm tiền của người Nhật , cũng nhấn mạnh việc hạn ch…</t>
  </si>
  <si>
    <t>Gửi tiền tại ngân hàng được đánh giá là cách tiết kiệm tiền sinh lời an toàn và ổn định.</t>
  </si>
  <si>
    <t>2.2. Dãy số tứ quý, tiến đơn</t>
  </si>
  <si>
    <t>… nhân hiệu quả, có thể tham khảo thêm các bài viết học cách tiết kiệm tiền lương để kết hợp lựa chọn số tài khoản phù…</t>
  </si>
  <si>
    <t>4. Lợi ích và hạn chế khi sử dụng thẻ ghi nợ quốc tế -…</t>
  </si>
  <si>
    <t>…ốn quản lý tài chính hiệu quả hơn, các phương pháp như cách tiết kiệm tiền theo tuần cũng có thể được áp dụng song son…</t>
  </si>
  <si>
    <t>…hật nổi tiếng với khả năng quản lý tài chính, trong đó cách tiết kiệm tiền của người Nhật được đánh giá là hiệu quả và…</t>
  </si>
  <si>
    <t>…hính vững chắc cho tương lai, bạn hãy tham khảo ngay 6 cách tiết kiệm tiền hiệu quả cho gia đình được tổng hợp dưới đâ…</t>
  </si>
  <si>
    <t>2.2 Ngân hàng số là gì?</t>
  </si>
  <si>
    <t>Ngoài ra, với tính năng đặt lịch chuyển tiền trên Techcombank Mobile cho phép bạn thiết lập lịch chuyển tiền theo lịch,…</t>
  </si>
  <si>
    <t>1.5. Bước 5: Triển khai kế hoạch tiết kiệm và đầu tư</t>
  </si>
  <si>
    <t>Bắt đầu để tiền sinh lời bằng cách tự động hóa tiết kiệm và lựa chọn kênh đầu tư phù hợp.</t>
  </si>
  <si>
    <t>Lên kế hoạch tiết kiệm và đầu tư dài hạn một cách khoa học.</t>
  </si>
  <si>
    <t>Bên cạnh đó, duy trì tài chính ổn định thông qua các hình thức gửi tiết kiệm cũng là một cách giúp khách hàng chủ động…</t>
  </si>
  <si>
    <t>Với phần tiền chưa có nhu cầu sử dụng ngay, khách hàng có thể tham khảo các giải pháp tiết kiệm tại Techcombank để lựa…</t>
  </si>
  <si>
    <t>4.3. Đối với cá nhân</t>
  </si>
  <si>
    <t>Có một quỹ dự phòng thanh khoản cao (tiền mặt, tài khoản tiết kiệm) giúp bạn tự tin hơn trong các quyết định tài chính…</t>
  </si>
  <si>
    <t>6. FAQs - Câu hỏi thường gặp</t>
  </si>
  <si>
    <t>Dù quy mô nhỏ, việc ứng dụng công nghệ số vào quản lý dòng tiền và đối soát giao dịch vẫn giúp doanh nghiệp giảm sai só…</t>
  </si>
  <si>
    <t>Thẻ có thời hạn sử dụng lên tới 5 năm, có thể thanh toán trên toàn cầu với nhiều ưu đãi như hoàn tiền, tích điểm, giảm…</t>
  </si>
  <si>
    <t>4. Cách sử dụng tài sản và tiêu sản hợp lý</t>
  </si>
  <si>
    <t>Để dễ dàng quản lý và tích lũy quỹ khẩn cấp, bạn có thể sử dụng các giải pháp tiết kiệm online từ Techcombank với lãi s…</t>
  </si>
  <si>
    <t>1.2. Các loại lạm phát</t>
  </si>
  <si>
    <t>Loại lạm phát này xuất hiện khi cung tiền tăng quá mức làm cho giá cả leo thang nhanh chóng, sức mua của người dân giảm…</t>
  </si>
  <si>
    <t>Để tìm hiểu chi tiết hơn cách tính lãi suất tiền gửi tiết kiệm theo từng trường hợp cụ thể, khách hàng tham khảo bài vi…</t>
  </si>
  <si>
    <t>Trường hợp bạn sử dụng thêm tài khoản tiết kiệm tại Techcombank, việc nắm rõ cách rút tiền gửi tiết kiệm online Techcom…</t>
  </si>
  <si>
    <t>Việc lập kế hoạch chi tiết cho các khoản phí này từ giai đoạn đầu sẽ giúp doanh nghiệp quản lý ngân sách, dự toán dòng…</t>
  </si>
  <si>
    <t>3. Tiện lợi và linh hoạt hơn</t>
  </si>
  <si>
    <t>Việc này không chỉ giúp tiết kiệm thời gian mà còn tạo điều kiện thuận lợi cho việc theo dõi và điều chỉnh các giao dịc…</t>
  </si>
  <si>
    <t>2. Chia số tiền cần gửi tiết kiệm online thành các kho…</t>
  </si>
  <si>
    <t>Khách hàng nên chia nhỏ số tiền cần gửi tiết kiệm vào nhiều giải pháp tiền gửi khác nhau một cách thông minh để đạt đượ…</t>
  </si>
  <si>
    <t>TD</t>
  </si>
  <si>
    <t>Bên cạnh việc ứng dụng các phần mềm chuyên dụng, việc kết hợp cùng một nền tảng ngân hàng số thông minh là giải pháp vư…</t>
  </si>
  <si>
    <t>gửi tiết kiệm online có an toàn không</t>
  </si>
  <si>
    <t>lãi suất ngân hàng – 92 link
lãi suất ngân hàng hiện nay – 31 link
lãi suất gửi tiết kiệm ngân hàng – 28 link
lãi suất tiền gửi ngân hàng – 22 link
lãi suất ngân hàng tiền gửi – 21 link
lãi suất ngân hàng hôm nay – 4 link
lãi suất ngân hàng nào cao nhất – 2 link</t>
  </si>
  <si>
    <t>Theo các chuyên gia công nghệ, việc gửi tiết kiệm online tại ngân hàng hoàn toàn an toàn và có độ bảo mật cao.</t>
  </si>
  <si>
    <t>Gửi tiết kiệm online là một giải pháp tài chính hiện đại, tiện lợi, an toàn và có khả năng mang lại lợi tức tốt hơn so…</t>
  </si>
  <si>
    <t>So lãi online/quầy.</t>
  </si>
  <si>
    <t>5 kinh nghiệm gửi tiết kiệm online an toàn - sinh lời cao.</t>
  </si>
  <si>
    <t>rủi ro khi gửi tiết kiệm online</t>
  </si>
  <si>
    <t>Bài viết sau đây sẽ chỉ rõ rủi ro khi gửi tiết kiệm ngân hàng và lời khuyên từ chuyên gia giúp bạn có trải nghiệm gửi t…</t>
  </si>
  <si>
    <t>…khách hàng cần chú ý về các điều kiện bảo mật và những rủi ro khi gửi tiết kiệm online để phòng tránh những trường hợp…</t>
  </si>
  <si>
    <t>3.2. Hình thức nhận lãi</t>
  </si>
  <si>
    <t>Khách hàng có thể tham khảo chi tiết cách gửi tiết kiệm online an toàn để nhận lãi hàng tháng thuận tiện, nhanh chóng.</t>
  </si>
  <si>
    <t>So sánh lãi suất, kỳ hạn hôm nay.</t>
  </si>
  <si>
    <t>Để biết thêm chi tiết từng bước gửi tiết kiệm tại quầy và online, khách hàng hãy tham khảo thêm quy trình gửi tiền tiết…</t>
  </si>
  <si>
    <t>Nhắc: kỳ hạn.</t>
  </si>
  <si>
    <t>2. Gửi tiết kiệm online để nhận lãi suất cao hơn</t>
  </si>
  <si>
    <t>Hướng dẫn cách gửi tiết kiệm online an toàn thông qua Mobile Banking .</t>
  </si>
  <si>
    <t>2. Dự báo xu hướng dòng tiền cuối năm</t>
  </si>
  <si>
    <t>Cách gửi tiết kiệm online an toàn thông qua Mobile Banking</t>
  </si>
  <si>
    <t>Như vậy, bài viết đã hướng dẫn tới khách hàng quy trình gửi tiền tiết kiệm tại quầy và gửi tiết kiệm online an toàn, nh…</t>
  </si>
  <si>
    <t>Hướng dẫn cách gửi tiết kiệm online an toàn, đơn giản</t>
  </si>
  <si>
    <t>Khi gửi tiết kiệm online, sổ tiết kiệm được thay thế bằng một tài khoản tiết kiệm điện tử, tất cả thông tin đều được lư…</t>
  </si>
  <si>
    <t>2 cách gửi tiết kiệm online an toàn thông qua Mobile Banking</t>
  </si>
  <si>
    <t>Nêu ưu tiên sự an toàn và sinh lời ổn định , gửi tiết kiệm online tại Techcombank là lựa chọn đáng cân nhắc.</t>
  </si>
  <si>
    <t>3. Cách tạo mã QR cho cửa hàng qua ví MoMo</t>
  </si>
  <si>
    <t>Đây cũng là lý do nhiều chủ cửa hàng quan tâm đến mức độ an toàn khi giao dịch trực tuyến, tương tự những băn khoăn về…</t>
  </si>
  <si>
    <t>Gửi tiết kiệm vàng là một hình thức đầu tư và tích lũy tài sản phổ biến Việt Nam, nơi vàng được xem là kênh trú ẩn an t…</t>
  </si>
  <si>
    <t>3. 3 lợi ích vượt trội khi sử dụng Smart OTP</t>
  </si>
  <si>
    <t>từ đó mở rộng hạn mức an toàn tối đa cho các lệnh gửi tiết kiệm online, thanh toán khoản vay hay nộp tiền đầu tư.</t>
  </si>
  <si>
    <t>Ngoài việc vay vốn, khách hàng cũng nên cân nhắc tích lũy tài chính thông qua các sản phẩm tiết kiệm an toàn như chứng…</t>
  </si>
  <si>
    <t>3. Chứng chỉ tiền gửi Bảo Lộc Techcombank - Sinh lời m…</t>
  </si>
  <si>
    <t>CCTG Bảo Lộc có giá trị như một khoản tiền gửi tiết kiệm/tiền gửi có kỳ hạn, an toàn và được bảo hiểm theo quy định của…</t>
  </si>
  <si>
    <t>3. Nên mua chứng chỉ tiền gửi hay trái phiếu?</t>
  </si>
  <si>
    <t>Chứng chỉ tiền gửi Bảo Lộc có giá trị như một khoản tiền gửi tiết kiệm/tiền gửi có kỳ hạn, an toàn và được bảo hiểm tươ…</t>
  </si>
  <si>
    <t>Bên cạnh đó, khách hàng có thể cân nhắc các giải pháp tài chính an toàn hơn như gửi tiết kiệm rút gốc linh hoạt , phù h…</t>
  </si>
  <si>
    <t>Việc thực hiện chuyển tiền quốc tế an toàn, tiết kiệm và hợp pháp chính là nền tảng vững chắc để bảo vệ tài sản của bạn…</t>
  </si>
  <si>
    <t>Gửi tiết kiệm tại ngân hàng uy tín giúp đảm bảo tính an toàn và hưởng lãi suất hấp dẫn.</t>
  </si>
  <si>
    <t>4.2. Lợi ích khi trả lương qua tài khoản ngân hàng</t>
  </si>
  <si>
    <t>Đối với doanh nghiệp, trả lương qua tài khoản giúp tiết kiệm thời gian đối chiếu, giảm rủi ro thất thoát tiền mặt và tự…</t>
  </si>
  <si>
    <t>Đây cũng là cách hạn chế những rủi ro bảo mật khi giao dịch trực tuyến - một chủ đề nhiều khách hàng quan tâm, chẳng hạ…</t>
  </si>
  <si>
    <t>Gửi tiết kiệm online đang trở thành xu hướng tiền gửi phổ biến, thu hút sự quan tâm của nhiều người khi mang lại lãi su…</t>
  </si>
  <si>
    <t>https://techcombank.com/thong-tin/blog/hom-nay-co-nen-mua-vang-khong</t>
  </si>
  <si>
    <t>4. Nguyên tắc mua vàng an toàn và tối ưu lợi nhuận</t>
  </si>
  <si>
    <t>Bên cạnh vàng, bạn có thể cân nhắc thêm các kênh có tính thanh khoản và ổn định hơn, chẳng hạn như gửi tiết kiệm online…</t>
  </si>
  <si>
    <t>https://techcombank.com/thong-tin/blog/phuong-phap-dau-tu-chung-chi-quy</t>
  </si>
  <si>
    <t>2.1. Xác định khẩu vị rủi ro của bạn</t>
  </si>
  <si>
    <t>Đây là phương án phù hợp với nhà đầu tư kỳ vọng lợi nhuận tốt hơn gửi tiết kiệm nhưng vẫn muốn giới hạn rủi ro ở mức vừ…</t>
  </si>
  <si>
    <t>3.3. Quỹ đầu tư Cân bằng Linh hoạt Techcom (TCFF)</t>
  </si>
  <si>
    <t>Lợi nhuận kỳ vọng dài hạn của quỹ vào khoảng 1.5 lần lãi suất tiết kiệm trung bình 12 tháng, với mức độ rủi ro trung bì…</t>
  </si>
  <si>
    <t>2. Gửi tiết kiệm</t>
  </si>
  <si>
    <t>So với nhiều hình thức đầu tư khác, gửi tiết kiệm có mức độ rủi ro thấp, dễ quản lý và phù hợp với nhiều mục tiêu tài c…</t>
  </si>
  <si>
    <t>https://techcombank.com/cong-cu-tien-ich/cong-cu-tinh-toan/bang-tinh-lai-suat-vay</t>
  </si>
  <si>
    <t>tính lãi suất vay ngân hàng</t>
  </si>
  <si>
    <t>tính lãi vay ngân hàng</t>
  </si>
  <si>
    <t>1. Đang vay trả góp có vay thêm được không?</t>
  </si>
  <si>
    <t>Các ngân hàng và công ty tài chính sẽ đánh giá rất kỹ các yếu tố này để đảm bảo bạn có đủ khả năng chi trả cho tất cả c…</t>
  </si>
  <si>
    <t>bảng tính lãi suất vay ngân hàng</t>
  </si>
  <si>
    <t>Bảng dưới đây minh họa cách tính lãi suất gửi ngân hàng theo tháng cụ thể.</t>
  </si>
  <si>
    <t>2. Các hình thức mua trước trả sau phổ biến tại Việt N…</t>
  </si>
  <si>
    <t>Nhiều ngân hàng triển khai chương trình trả góp lãi suất từ 0% tại các đối tác liên kết</t>
  </si>
  <si>
    <t>Nhắc: lãi suất gửi tiết kiệm, gửi tiết kiệm.</t>
  </si>
  <si>
    <t>Mở rộng chủ đề (theo plan): bài nhắc lãi suất, tiết kiệm, tiền gửi.</t>
  </si>
  <si>
    <t>Mở rộng chủ đề (theo plan): bài nhắc tiết kiệm, gửi tiền, sinh lời.</t>
  </si>
  <si>
    <t>Lãi suất là gì và có bao nhiêu loại lãi suất là những thông tin cơ bản bạn nên biết nếu gửi tiết kiệm hoặc vay vốn ngân…</t>
  </si>
  <si>
    <t>Mở rộng chủ đề (theo plan): bài nhắc lãi suất, tiền gửi, chứng chỉ tiền gửi.</t>
  </si>
  <si>
    <t>Mở rộng chủ đề (theo plan): bài nhắc tiết kiệm, đầu tư, quản lý tài chính.</t>
  </si>
  <si>
    <t>Mở rộng chủ đề (theo plan): bài nhắc tiết kiệm, tích lũy, đầu tư.</t>
  </si>
  <si>
    <t>3. Thu nhập bao nhiêu thì nên mua nhà trả góp đưa trướ…</t>
  </si>
  <si>
    <t>Khả năng vay mua nhà còn phụ thuộc vào giá trị căn nhà, số tiền vay, thời hạn vay, lãi suất và khả năng trả nợ của từng…</t>
  </si>
  <si>
    <t>Mở rộng chủ đề (theo plan): bài nhắc lãi suất, lãi, sinh lời.</t>
  </si>
  <si>
    <t>Mở rộng chủ đề (theo plan): bài nhắc tiết kiệm, tiền gửi, tích lũy.</t>
  </si>
  <si>
    <t>Mở rộng chủ đề (theo plan): bài nhắc lãi suất, lãi, tài chính cá nhân.</t>
  </si>
  <si>
    <t>Mở rộng chủ đề (theo plan): bài nhắc tiết kiệm, tài chính cá nhân.</t>
  </si>
  <si>
    <t>Mở rộng chủ đề (theo plan): bài nhắc tiết kiệm, lãi.</t>
  </si>
  <si>
    <t>Mở rộng chủ đề (theo plan): bài nhắc lãi suất, lãi.</t>
  </si>
  <si>
    <t>5. Lưu ý khi vay sản xuất kinh doanh</t>
  </si>
  <si>
    <t>Mở rộng chủ đề (theo plan): bài nhắc tiết kiệm, đầu tư.</t>
  </si>
  <si>
    <t>Khách hàng có thể so sánh các gói vay khác nhau về lãi suất, thời hạn vay và các điều khoản đi kèm để đưa ra lựa chọn p…</t>
  </si>
  <si>
    <t>Lãi suất chỉ áp dụng cho phần tiền đã sử dụng thực tế và tính theo ngày, sẽ dừng ngay khi khách hàng hoàn trả khoản thấ…</t>
  </si>
  <si>
    <t>Bên cạnh đó, lãi suất, các khoản phí và cách tính lãi khi vay tín chấp cũng là những thông tin bạn nên lưu tâm.</t>
  </si>
  <si>
    <t>Mở rộng chủ đề (theo plan): bài nhắc tiền gửi, chứng chỉ tiền gửi, đầu tư. Liên quan rộng – đọc bài trước khi chèn.</t>
  </si>
  <si>
    <t>Mở rộng chủ đề (theo plan): bài nhắc tích lũy, đầu tư, sinh lời. Liên quan rộng – đọc bài trước khi chèn.</t>
  </si>
  <si>
    <t>3. Lưu ý khi vay tín chấp cá nhân ngân hàng</t>
  </si>
  <si>
    <t>Chính sách, mức lãi suất, hạn mức vay, thủ tục vay ngân hàng...</t>
  </si>
  <si>
    <t>Bên cạnh cơ hội được duyệt vay nhanh chóng, bạn còn có thể được ngân hàng cho vay với lãi suất ưu đãi, hạn mức cao, thờ…</t>
  </si>
  <si>
    <t>1.1. Lãi suất ưu đãi</t>
  </si>
  <si>
    <t>Vì vậy, bạn nên cân nhắc kỹ lưỡng những chính sách ưu đãi về lãi suất của các ngân hàng để giảm áp lực tài chính trả nợ…</t>
  </si>
  <si>
    <t>3. Hạn mức và lãi suất vay tín chấp hộ kinh doanh hiện…</t>
  </si>
  <si>
    <t>Hạn mức và lãi suất vay thường khác nhau tùy vào ngân hàng cho vay cũng như nhu cầu và tình hình tài chính của từng hộ…</t>
  </si>
  <si>
    <t>Khi sử dụng tín dụng tiêu dùng, khách hàng cần xác định khả năng thanh toán hàng tháng, hiểu rõ lãi suất và các khoản p…</t>
  </si>
  <si>
    <t>Giải pháp này giúp khách hàng tối ưu hóa nguồn vốn, vừa có thể vay để đáp ứng các nhu cầu tài chính, vừa hưởng lãi suất…</t>
  </si>
  <si>
    <t>Thời điểm lãi suất xuống thấp, nhiều khả năng nhà đầu tư sẽ tiếp tục vay vốn ngân hàng để đầu tư vào thị trường chứng k…</t>
  </si>
  <si>
    <t>Mở rộng chủ đề (theo plan): bài nhắc tiết kiệm, tiền gửi.</t>
  </si>
  <si>
    <t>Doanh nghiệp chỉ phải trả lãi trên số tiền thực tế đã sử dụng và sẽ không bị tính lãi nếu không sử dụng khoản vay, cho…</t>
  </si>
  <si>
    <t>1.1. Thanh toán trực tuyến qua internet banking/mobile…</t>
  </si>
  <si>
    <t>Đây hình thức thanh toán các khoản vay thông qua dịch vụ trực tuyến của ngân hàng trên thiết bị điện tử có kết nối Inte…</t>
  </si>
  <si>
    <t>2. Kiểm tra nợ xấu trên ứng dụng CIC Credit Connect</t>
  </si>
  <si>
    <t>Bài viết trên đã hướng dẫn cách check nợ xấu ngân hàng bằng các cách tra cứu khoản vay bằng CCCD chi tiết đầy đủ nhất.</t>
  </si>
  <si>
    <t>1. Đáo hạn khoản vay là gì?</t>
  </si>
  <si>
    <t>Đáo hạn khoản vay là thời điểm người vay phải hoàn tất nghĩa vụ trả nợ, bao gồm toàn bộ số tiền gốc và lãi theo hợp đồn…</t>
  </si>
  <si>
    <t>Hiện nay, vay mua nhà trả góp tại ngân hàng được tính lãi theo 2 hình thức phổ biến là niên kim và dư nợ giảm dần.</t>
  </si>
  <si>
    <t>https://techcombank.com/thong-tin/blog/vay-ngan-hang-chi-can-cccd</t>
  </si>
  <si>
    <t>Bài viết sẽ giải thích về tính khả khi của ý tưởng vay ngân hàng chỉ cần CCCD và giải pháp phù hợp cho người có nhu cầu…</t>
  </si>
  <si>
    <t>1. Thanh toán trả góp tự động qua thẻ tín dụng</t>
  </si>
  <si>
    <t>Thanh toán trả góp tự động qua thẻ tín dụng là tính năng tự động trích tiền từ tài khoản thanh toán cùng ngân hàng để t…</t>
  </si>
  <si>
    <t>1. Vay tín chấp theo lương là gì?</t>
  </si>
  <si>
    <t>Thay vào đó, ngân hàng/công ty tài chính sẽ xét duyệt khoản vay dựa trên bảng lương hoặc thu nhập cố định hàng tháng củ…</t>
  </si>
  <si>
    <t>2.3. Sử dụng thẻ Visa Credit Techcombank để trả góp</t>
  </si>
  <si>
    <t>Các nhu cầu tài chính lớn như mua xe, du lịch, hoặc thậm chí là vay xây nhà có thể được hỗ trợ gián tiếp thông qua các…</t>
  </si>
  <si>
    <t>2. Vay hạn mức khác gì vay thấu chi và vay từng lần</t>
  </si>
  <si>
    <t>Dưới đây là bảng phân biệt vay hạn mức, vay thấu chi và vay từng lần dựa trên cách giải ngân, phạm vi sử dụng vốn, thời…</t>
  </si>
  <si>
    <t>Mở rộng chủ đề (theo plan): bài nhắc tiết kiệm. Liên quan rộng – đọc bài trước khi chèn.</t>
  </si>
  <si>
    <t>Khoản gốc trả hàng tháng và khoản lãi vay theo tháng tương ứng sẽ được tự động điều chỉnh để khoản trả hàng tháng của b…</t>
  </si>
  <si>
    <t>Ngoài ra, một số ngân hàng còn lựa chọn hình thức tính lãi niên kim để áp dụng cho các khoản vay xây/sửa nhà.</t>
  </si>
  <si>
    <t>Khách hàng A vay ngân hàng 100,000,000 VND với kỳ hạn 12 tháng, lãi tính trên dư nợ gốc.</t>
  </si>
  <si>
    <t>https://techcombank.com/thong-tin/blog/tra-no-vay-thau-chi-nhu-the-nao</t>
  </si>
  <si>
    <t>1.1. Thanh toán ngay trên ngân hàng số</t>
  </si>
  <si>
    <t>Trả nợ vay thấu chi trên ngân hàng số giúp bạn tiết kiệm thời gian hơn so với các phương thức khác.</t>
  </si>
  <si>
    <t>2. Thời gian giải ngân vốn vay thế chấp</t>
  </si>
  <si>
    <t>Thời gian giải ngân vốn vay thế chấp tại Techcombank được tính từ khi khách hàng ký hợp đồng vay với ngân hàng đối với…</t>
  </si>
  <si>
    <t>Mỗi ngân hàng sẽ có chính sách riêng về hạn mức vay thế chấp tối đa với các sản phẩm vay cụ thể.</t>
  </si>
  <si>
    <t>Nhưng với vô vàn lựa chọn trên thị trường, bạn đã thực sự hiểu rõ về các hình thức vay ngân hàng này chưa?</t>
  </si>
  <si>
    <t>3.1. Bước 1: Kiểm tra chính xác tình trạng nợ (Check C…</t>
  </si>
  <si>
    <t>Liên hệ ngân hàng hoặc tổ chức tín dụng nơi bạn vay để yêu cầu cung cấp thông tin chi tiết về khoản nợ, bao gồm dư nợ g…</t>
  </si>
  <si>
    <t>3.3. Phương án sử dụng vốn vay</t>
  </si>
  <si>
    <t>Mở rộng chủ đề (theo plan): bài nhắc sinh lời, tiền nhàn rỗi, quản lý tài chính. Liên quan rộng – đọc bài trước khi chèn.</t>
  </si>
  <si>
    <t>Đây là cơ sở để ngân hàng đánh giá tính hợp pháp của mục đích vay, năng lực tài chính và khả năng trả nợ đúng hạn trong…</t>
  </si>
  <si>
    <t>4. Vay vốn sinh viên ở đâu? Thủ tục &amp; phương thức vay</t>
  </si>
  <si>
    <t>Quy trình thực hiện vay vốn sinh viên tại Ngân hàng Chính sách xã hội (VBSP) 2026 để đảm bảo tính thống nhất và minh bạ…</t>
  </si>
  <si>
    <t>Mở rộng chủ đề (theo plan): bài nhắc đầu tư, sinh lời, tiền nhàn rỗi. Liên quan rộng – đọc bài trước khi chèn.</t>
  </si>
  <si>
    <t>1. Nợ xấu có vay tín chấp được không?</t>
  </si>
  <si>
    <t>Tuy nhiên, ngân hàng/tổ chức tín dụng sẽ dựa trên tình hình nợ xấu (phân loại theo nhóm) của người vay để thẩm định hồ…</t>
  </si>
  <si>
    <t>1. Vay thấu chi là gì?</t>
  </si>
  <si>
    <t>Số tiền vượt này sẽ được tính là khoản vay và phải trả lãi cho ngân hàng.</t>
  </si>
  <si>
    <t>Tuy nhiên, nếu mất khả năng thanh toán, nhiều người lo lắng nợ ngân hàng không trả được thì sao, đâu là rủi ro khi vay…</t>
  </si>
  <si>
    <t>https://techcombank.com/thong-tin/blog/thu-tuc-vay-ngan-hang-mua-nha</t>
  </si>
  <si>
    <t>Bạn có biết rằng việc chuẩn bị đầy đủ hồ sơ và nắm vững những thủ tục vay ngân hàng mua nhà sẽ giúp rút ngắn thời gian…</t>
  </si>
  <si>
    <t>https://techcombank.com/thong-tin/blog/thoi-han-vay-thau-chi</t>
  </si>
  <si>
    <t>1. Thời hạn vay thấu chi hiện nay</t>
  </si>
  <si>
    <t>Mỗi ngân hàng sẽ có những quy định khác nhau về thời hạn vay thấu chi.</t>
  </si>
  <si>
    <t>4.3. Phương án sử dụng vốn vay</t>
  </si>
  <si>
    <t>3. Cách tính lãi vay mua chung cư</t>
  </si>
  <si>
    <t>Hiện nay, các ngân hàng đang áp dụng cách tính lãi vay mua chung cư theo dư nợ giảm dần hoặc niêm kim.</t>
  </si>
  <si>
    <t>Vậy nợ chú ý là gì , có phải nợ xấu không và ảnh hưởng thế nào đến việc vay ngân hàng hay mở thẻ tín dụng?</t>
  </si>
  <si>
    <t>3.3. Tra cứu nợ xấu ngân hàng tại phòng giao dịch ngân…</t>
  </si>
  <si>
    <t>Nộp hồ sơ đăng ký tài khoản vay tại ngân hàng và yêu cầu kiểm tra lịch sử tín dụng cá nhân</t>
  </si>
  <si>
    <t>CIC hoạt động như một trung tâm thu thập, phân tích và cung cấp thông tin tín dụng của tất cả các cá nhân và tổ chức va…</t>
  </si>
  <si>
    <t>3. Timo - Vay nhanh online không cần thế chấp</t>
  </si>
  <si>
    <t>Có thu nhập từ 3 triệu VND trở lên và có khả năng trả nợ (được Ngân hàng tính toán tùy theo từng hồ sơ vay vốn)</t>
  </si>
  <si>
    <t>1.3 vấn đề gặp phải khi vay thế chấp không trả được</t>
  </si>
  <si>
    <t>Khi vay thế chấp và không có khả năng trả nợ, bên vay sẽ phải đối diện với các vấn đề liên quan đến lãi quá hạn và các…</t>
  </si>
  <si>
    <t>Mở rộng chủ đề (theo plan): bài nhắc đầu tư, tài chính cá nhân, quản lý tài chính. Liên quan rộng – đọc bài trước khi chèn.</t>
  </si>
  <si>
    <t>2. Giải pháp vay vốn cho khách hàng có bảng lương</t>
  </si>
  <si>
    <t>Bởi vì, bên vay sử dụng tài sản có giá trị để đảm bảo cho khoản vay và nguồn thu từ lương để đảm bảo thực hiện việc tha…</t>
  </si>
  <si>
    <t>https://techcombank.com/thong-tin/blog/bao-lanh-vay-von</t>
  </si>
  <si>
    <t>Với sự cam kết từ ngân hàng, doanh nghiệp có thể nâng cao uy tín, tạo niềm tin với bên cho vay và tiếp cận nguồn vốn dễ…</t>
  </si>
  <si>
    <t>Tại Techcombank, ngân hàng có các tiêu chí được định sẵn và hoạt động thẩm định rõ ràng để các bên cùng theo dõi và có…</t>
  </si>
  <si>
    <t>https://techcombank.com/thong-tin/blog/cho-vay-hop-von-la-gi</t>
  </si>
  <si>
    <t>2.1. Lợi ích nổi bật</t>
  </si>
  <si>
    <t>Toàn bộ quy trình giải ngân, thu nợ gốc và lãi sẽ được thực hiện tập trung thông qua ngân hàng đầu mối thu xếp, giúp ti…</t>
  </si>
  <si>
    <t>7. Giải đáp thắc mắc khác về vốn lưu động</t>
  </si>
  <si>
    <t>Vay bổ sung vốn lưu động là hình thức vay ngắn hạn từ ngân hàng hoặc tổ chức tài chính để đáp ứng nhu cầu vốn lưu động…</t>
  </si>
  <si>
    <t>3. Vay nhanh online 24/24 trên Techcombank Mobile - va…</t>
  </si>
  <si>
    <t>Đừng quên lựa chọn hình thức vay an toàn, minh bạch và tận dụng tốt các tính năng quản lý khoản vay online trên ngân hà…</t>
  </si>
  <si>
    <t>https://techcombank.com/thong-tin/blog/tap-doan-thanh-quang-khoi-sac-kinh-doanh-nho-nguon-von-vay-tin-dung-techcombank-tren-nen-tang-misa-lending</t>
  </si>
  <si>
    <t>Điều đặc biệt là chỉ tính lãi trên khoản thực tế giải ngân, đồng thời có thể linh hoạt trả nợ bất kỳ lúc nào mà không m…</t>
  </si>
  <si>
    <t>4. Vay tiền online nhanh 24/24 trên Techcombank Mobile…</t>
  </si>
  <si>
    <t>Đừng quên lựa chọn hình thức vay tiền online nhanh an toàn, minh bạch và tận dụng tốt các tính năng quản lý khoản vay o…</t>
  </si>
  <si>
    <t>Do thực hiện sai quy định sử dụng thẻ tín dụng nên khách hàng cần thanh toán tiền lãi quá hạn (khoảng 20 - 40%/năm trên…</t>
  </si>
  <si>
    <t>1.2. Thẻ tín dụng là gì?</t>
  </si>
  <si>
    <t>Về bản chất thẻ tín dụng là loại thẻ “Chi tiêu trước, trả tiền sau” bởi thẻ cho phép khách hàng sử dụng hạn mức tín dụn…</t>
  </si>
  <si>
    <t>6. Lãi suất tính từ khi nào?</t>
  </si>
  <si>
    <t>Lãi suất sẽ được tính từ thời điểm ngân hàng thực hiện giải ngân số tiền vay cho khách hàng, không tính từ ngày ký kết…</t>
  </si>
  <si>
    <t>Thời gian giải ngân vốn vay trong ngày sau khi khách hàng ký hợp đồng vay với ngân hàng</t>
  </si>
  <si>
    <t>3. Hạn mức giao dịch tối đa của các loại tài khoản ngâ…</t>
  </si>
  <si>
    <t>Nếu rút tiền trước kỳ hạn, bạn vẫn có thể rút hết tiền gốc, nhưng sẽ nhận được số tiền lãi ít hơn (so với rút tiền đúng…</t>
  </si>
  <si>
    <t>Thấu hiểu được mong mỏi chính đáng cùng những thách thức này, ngân hàng đã và đang nỗ lực cung cấp nhiều giải pháp vay…</t>
  </si>
  <si>
    <t>https://techcombank.com/cong-cu-tien-ich/cong-cu-tinh-toan/bang-tinh-lai-suat-tiet-kiem</t>
  </si>
  <si>
    <t>bảng tính lãi suất tiết kiệm</t>
  </si>
  <si>
    <t>công cụ tính lãi tiết kiệm</t>
  </si>
  <si>
    <t>Bài viết dưới đây sẽ giúp bạn so sánh cụ thể giữa đầu tư vàng và gửi tiết kiệm , cùng cách tính lợi nhuận dự kiến để bạ…</t>
  </si>
  <si>
    <t>Lãi suất gửi tiết kiệm cố định được đề cập ở bảng trên là lãi suất giải pháp gửi tiết kiệm Phát Lộc Online áp dụng với…</t>
  </si>
  <si>
    <t>Lãi suất gửi tiết kiệm online tại Techcombank được đề cập trong bảng là lãi suất áp dụng với khách hàng Private với số…</t>
  </si>
  <si>
    <t>Khi có nhu cầu kết hợp tài khoản thanh toán với các sản phẩm tiết kiệm, khách hàng có thể chủ động tính lãi suất tiết k…</t>
  </si>
  <si>
    <t>3. Vay thấu chi phải trả những chi phí gì?</t>
  </si>
  <si>
    <t>Với mức lãi suất cạnh tranh chỉ từ chỉ từ 408 VND/triệu/ngày, tương đương từ 14.9%/năm (*) cùng ưu đãi miễn phí đăng ký…</t>
  </si>
  <si>
    <t>Mở rộng chủ đề (theo plan): bài nhắc tài chính cá nhân, quản lý tài chính. Liên quan rộng – đọc bài trước khi chèn.</t>
  </si>
  <si>
    <t>Mở rộng chủ đề (theo plan): bài nhắc đầu tư, sinh lời. Liên quan rộng – đọc bài trước khi chèn.</t>
  </si>
  <si>
    <t>4. Nên gửi tiết kiệm ở ngân hàng nào để lãi suất cao?</t>
  </si>
  <si>
    <t>Lãi suất gửi tiết kiệm tại Techcombank được đề cập trong bảng là lãi suất áp dụng với khách hàng Private với số tiền gử…</t>
  </si>
  <si>
    <t>Hiện nay, nhiều người chọn gửi tiết kiệm online thay vì gửi tiết kiệm tại phòng giao dịch để được hưởng lãi suất cao và…</t>
  </si>
  <si>
    <t>1. Tìm hiểu về kỳ hạn gửi tiết kiệm 6 tháng</t>
  </si>
  <si>
    <t>Bên cạnh đó, khách hàng cũng dễ dàng dự đoán, tính toán và thay đổi định hướng tiết kiệm của bản thân hơn, tuy nhiên mứ…</t>
  </si>
  <si>
    <t>2. Phân loại số dư tiền gửi</t>
  </si>
  <si>
    <t>2.1. Thăng hạng hội viên, gia đình hưởng ưu tiên</t>
  </si>
  <si>
    <t>Chính sách cộng lãi suất tiết kiệm dành cho hạng hội viên tương ứng</t>
  </si>
  <si>
    <t>Số tiền trong thẻ được ngân hàng tính lãi suất như một hình thức tiết kiệm không kỳ hạn với lãi suất tối đa 0.5%/năm (*)</t>
  </si>
  <si>
    <t>Trong bài viết này, hãy cùng tìm hiểu chi tiết về khái niệm lãi suất thả nổi là gì, lãi suất cơ sở là gì, cách tính lãi…</t>
  </si>
  <si>
    <t>Mở rộng chủ đề (theo plan): bài nhắc tiền gửi, chứng chỉ tiền gửi. Liên quan rộng – đọc bài trước khi chèn.</t>
  </si>
  <si>
    <t>2. Loyalty Program là gì? Ứng dụng trong ngành ngân hà…</t>
  </si>
  <si>
    <t>Khách hàng được tăng lãi suất tiết kiệm, giảm lãi suất vay</t>
  </si>
  <si>
    <t>3. Lãi suất gửi tiết kiệm ngoại tệ mới nhất</t>
  </si>
  <si>
    <t>Khách hàng có thể tham khảo bảng lãi suất gửi tiết kiệm ngoại tệ tại Techcombank sau đây để biết sự chênh lệch lãi suất…</t>
  </si>
  <si>
    <t>Bạn đăng ký gửi tiết kiệm 12 triệu VND với kỳ hạn 12 tháng, mỗi tháng gửi góp 1,000,000 VND, mức lãi suất niêm yết là 5…</t>
  </si>
  <si>
    <t>Mở rộng chủ đề (theo plan): bài nhắc đầu tư, quản lý tài chính. Liên quan rộng – đọc bài trước khi chèn.</t>
  </si>
  <si>
    <t>Gửi tiết kiệm online tại ngân hàng sẽ sinh lời ổn định theo mức lãi suất đã được thỏa thuận ban đầu, không bị ảnh hưởng…</t>
  </si>
  <si>
    <t>&gt;&gt;&gt; Tìm hiểu thêm về lãi suất tiết kiệm của các ngân hàng để lựa chọn ngân hàng có lãi suất cao và tối ưu lợi nhuận.</t>
  </si>
  <si>
    <t>2. Lợi ích của vay du học</t>
  </si>
  <si>
    <t>Đặc biệt là các khoản vay du học thường có lãi suất thấp hơn so với các khoản vay tín dụng cá nhân thông thường, giúp b…</t>
  </si>
  <si>
    <t>1. Gửi tiết kiệm online có rút trước hạn được không?</t>
  </si>
  <si>
    <t>Khách hàng có thể rút tiền tiết kiệm trước hạn nhưng khoản tiền này chỉ được hưởng lãi suất không kỳ hạn.</t>
  </si>
  <si>
    <t>Mở rộng chủ đề (theo plan): bài nhắc tích lũy, đầu tư. Liên quan rộng – đọc bài trước khi chèn.</t>
  </si>
  <si>
    <t>Mở rộng chủ đề (theo plan): bài nhắc sinh lời, tiền nhàn rỗi. Liên quan rộng – đọc bài trước khi chèn.</t>
  </si>
  <si>
    <t>rút tiền mặt từ thẻ tín dụng</t>
  </si>
  <si>
    <t>Nếu bạn kỳ vọng lãi suất cao hơn lãi suất tiết kiệm và có nhu cầu nhận dòng tiền định kỳ từ trái tức (coupon) 3 tháng -…</t>
  </si>
  <si>
    <t>Mở rộng chủ đề (theo plan): bài nhắc đầu tư. Liên quan rộng – đọc bài trước khi chèn.</t>
  </si>
  <si>
    <t>BẢNG LÃI SUẤT GỬI TIẾT KIỆM ONLINE TẠI TECHCOMBANK (Cập nhật 18/12/2025)</t>
  </si>
  <si>
    <t>Cộng đến 1.3%/năm (*) lãi suất cho khoản tiền gửi tiết kiệm đầu tiên theo chương trình ưu đãi của Techcombank (Xem chi…</t>
  </si>
  <si>
    <t>Mở rộng chủ đề (theo plan): bài nhắc quản lý tài chính. Liên quan rộng – đọc bài trước khi chèn.</t>
  </si>
  <si>
    <t>tính lãi suất ngân hàng – 70 link
tính lãi suất tiết kiệm – 54 link
cách tính lãi suất ngân hàng – 23 link
cách tính lãi suất tiết kiệm ngân hàng – 3 link</t>
  </si>
  <si>
    <t>2. MB Bank</t>
  </si>
  <si>
    <t>Tự động mở tài khoản tiết kiệm với lãi suất hấp dẫn, theo dõi và quản lý khoản tiết kiệm của bạn dễ dàng.</t>
  </si>
  <si>
    <t>Có mục cách tính lãi (theo title).</t>
  </si>
  <si>
    <t>3.1. Đánh giá tình hình tài chính hiện tại</t>
  </si>
  <si>
    <t>Việc giảm nợ giúp bạn tiết kiệm được chi phí lãi suất và quá trình tiết kiệm quỹ dự phòng diễn ra nhanh chóng hơn.</t>
  </si>
  <si>
    <t>7. Techcombank đồng hành cùng hộ kinh doanh tuân thủ v…</t>
  </si>
  <si>
    <t>Có mục cách tính lãi không kỳ hạn.</t>
  </si>
  <si>
    <t>Đáo hạn và cách tính.</t>
  </si>
  <si>
    <t>Nhắc: tính lãi.</t>
  </si>
  <si>
    <t>https://techcombank.com/thong-tin/blog/chung-chi-quy</t>
  </si>
  <si>
    <t>Lợi nhuận kỳ vọng có thể gấp 2 lần lãi suất tiết kiệm.</t>
  </si>
  <si>
    <t>3. Cách tính lãi mà khách hàng phải trả khi vay thế ch…</t>
  </si>
  <si>
    <t>Để tiết kiệm thời gian và độ chính xác khi tính tổng tiền gốc và lãi, khách hàng có thể sử dụng công cụ tính toán trên…</t>
  </si>
  <si>
    <t>Khi so sánh các sản phẩm gửi tiết kiệm hay khoản vay, nhiều người chỉ nhìn vào con số lãi suất được công bố mà bỏ qua y…</t>
  </si>
  <si>
    <t>3. Nên gửi tiết kiệm vàng hay tiền?</t>
  </si>
  <si>
    <t>Trong tài chính cá nhân, không nên tập trung toàn bộ khoản tiền nhàn rỗi vào duy nhất một kênh sinh lời , cũng không nê…</t>
  </si>
  <si>
    <t>Để hiểu rõ hơn về cách tính lãi suất của 2 hình thức gửi tiết kiệm thông thường và gửi tiết kiệm tích lũy, khách hàng c…</t>
  </si>
  <si>
    <t>Hãy để công cụ hỗ trợ thông minh của ngân hàng giúp bạn tiết kiệm thời gian tính toán.</t>
  </si>
  <si>
    <t>2. Cách tính lãi kép đơn giản, chính xác</t>
  </si>
  <si>
    <t>Trường hợp đầu tư/gửi tiết kiệm theo hình thức lãi kép thì tổng số tiền nhận được sẽ được tính theo công thức dưới đây:</t>
  </si>
  <si>
    <t>Tính toán chính xác tiềm năng sinh lời từ khoản tiền gửi có kỳ hạn của bạn với công cụ tính lãi suất tiết kiệm trực tuy…</t>
  </si>
  <si>
    <t>Ví dụ, khi gửi tiền online theo hình thức tích lũy/gửi góp tại Techcombank, khách hàng sẽ nhận được nhiều tiện ích khác…</t>
  </si>
  <si>
    <t>Theo công cụ tính lãi trả nợ niêm kim (số tiền trả nợ hàng tháng cố định) tại Techcombank thì số tiền bạn phải trả hàng…</t>
  </si>
  <si>
    <t>Số tiền lãi cụ thể khách hàng nhận được khi gửi tiết kiệm nhận lãi hàng tháng được tính theo công thức sau:</t>
  </si>
  <si>
    <t>Nhắc: lãi suất tiết kiệm, gửi tiết kiệm.</t>
  </si>
  <si>
    <t>4. Mở tài khoản doanh nghiệp với Techcombank</t>
  </si>
  <si>
    <t>Share Noti - Tính năng chia sẻ giao dịch thành công giúp tiết kiệm thời gian đối soát giao dịch với nhân viên.</t>
  </si>
  <si>
    <t>Nếu bạn đã nắm được mức lãi suất khi vay thế chấp sổ hồng, bạn có thể sử dụng công cụ tính lãi vay để biết tổng số tiền…</t>
  </si>
  <si>
    <t>3. Công cụ tính lãi vay ngân hàng nhanh chóng, chính x…</t>
  </si>
  <si>
    <t>Techcombank cung cấp một công cụ trực tuyến giúp khách hàng nắm rõ cách tính lãi suất vay ngân hàng theo năm, theo thán…</t>
  </si>
  <si>
    <t>1. Gửi tiết kiệm online quay vòng cả gốc và lãi là gì?</t>
  </si>
  <si>
    <t>Hiện nay, một số ngân hàng cung cấp công cụ tính lãi suất tiền gửi tiết kiệm giúp khách hàng tính lãi suất chính xác và…</t>
  </si>
  <si>
    <t>Tính năng này giúp khách hàng tiết kiệm thời gian, đề phòng trường hợp quên ngày thanh toán dẫn tới phát sinh các phí p…</t>
  </si>
  <si>
    <t>2. Lập kế hoạch và tiết kiệm tiền mua nhà</t>
  </si>
  <si>
    <t>Theo công cụ tính lãi trả nợ niên kim (số tiền trả nợ hàng tháng cố định) thì số tiền bạn phải trả hàng tháng là 11,275…</t>
  </si>
  <si>
    <t>7.2. Các khoản lỗ được kết chuyển (**)</t>
  </si>
  <si>
    <t>Bạn có thể tham khảo công cụ tính toán số lãi và tiền cần trả hàng tháng của Techcombank Tại đây .</t>
  </si>
  <si>
    <t>8. Thời hạn kê khai, nộp thuế thu nhập doanh nghiệp</t>
  </si>
  <si>
    <t>1.2. Lãi suất và tiền lãi có giống nhau không?</t>
  </si>
  <si>
    <t>Lãi suất là công cụ tính toán, còn tiền lãi là khoản thu hoặc chi thực tế.</t>
  </si>
  <si>
    <t>https://techcombank.com/thong-tin/blog/ung-dung-cong-nghe</t>
  </si>
  <si>
    <t>5. Tác động của ứng dụng công nghệ đến chi tiêu trong…</t>
  </si>
  <si>
    <t>Ngân hàng số như Techcombank Mobile sẽ trở thành công cụ không thể thiếu trong việc quản lý tài chính cá nhân, thanh to…</t>
  </si>
  <si>
    <t>2.5. Tham vấn chuyên gia</t>
  </si>
  <si>
    <t>Share Noti - Tính năng chia sẻ giao dịch thành công giúp tiết kiệm thời gian đối soát giao dịch với nhân viên</t>
  </si>
  <si>
    <t>Điều này giúp tiết kiệm thời gian và công sức so với việc phải sử dụng máy tính.</t>
  </si>
  <si>
    <t>Theo công cụ tính lãi trả nợ niên kim (số tiền trả nợ hàng tháng cố định) tại Techcombank thì số tiền bạn phải trả hàng…</t>
  </si>
  <si>
    <t>5. Hợp tác với chuyên gia và dịch vụ kế toán uy tín</t>
  </si>
  <si>
    <t>app vay nhanh</t>
  </si>
  <si>
    <t>app vay tiền</t>
  </si>
  <si>
    <t>app vay tiền nhanh</t>
  </si>
  <si>
    <t>Vay tiêu dùng tín chấp trả góp Techcombank là giải pháp được thiết kế riêng cho các khách hàng có nhu cầu vay tiền nhan…</t>
  </si>
  <si>
    <t>vay tiền app</t>
  </si>
  <si>
    <t>Không cần đến phòng giao dịch, không cần hồ sơ phức tạp - vay tiền online nhanh từ ngân hàng hiện nay đã trở nên đơn gi…</t>
  </si>
  <si>
    <t>Anchor "vay tiền online" của trang đích 68 trùng chủ đề chính bài này — không dùng anchor đó tại đây; cân nhắc rủi ro ăn thịt từ khóa giữa vay-tien-online và app-vay-tien-nhanh.</t>
  </si>
  <si>
    <t>vay</t>
  </si>
  <si>
    <t>1. Tín dụng là gì?</t>
  </si>
  <si>
    <t>Người cho vay chỉ cấp tín dụng khi tin rằng người vay sử dụng vốn đúng mục đích, hiệu quả và có khả năng hoàn trả nợ đú…</t>
  </si>
  <si>
    <t>… phản ánh lợi nhuận của doanh nghiệp trước khi trừ lãi vay, thuế, khấu hao tài sản cố định và khấu hao tài sản vô…</t>
  </si>
  <si>
    <t>…ạn gốc là một chính sách của ngân hàng nhằm giúp người vay giảm bớt áp lực tài chính (đặc biệt trong giai đoạn kh…</t>
  </si>
  <si>
    <t>1. WACC phản ánh chi phí sử dụng vốn của doanh nghiệp…</t>
  </si>
  <si>
    <t>Doanh nghiệp có thể huy động vốn từ nhiều nguồn như vốn chủ sở hữu và nợ vay.</t>
  </si>
  <si>
    <t>Bạn đã bao giờ thắc mắc tại sao hồ sơ vay vốn của mình được duyệt nhanh chóng trong khi người khác lại gặp khó khăn?</t>
  </si>
  <si>
    <t>1. Đặc thù và những bài toán tài chính của doanh nghiệ…</t>
  </si>
  <si>
    <t>Khó tiếp cận các sản phẩm/giải pháp vay do thiếu tài sản bảo đảm hoặc lịch sử tín dụng chưa đầy đủ.</t>
  </si>
  <si>
    <t>https://techcombank.com/thong-tin/blog/quan-ly-chi-phi-doanh-nghiep</t>
  </si>
  <si>
    <t>2. Quản lý chi phí doanh nghiệp hiệu quả</t>
  </si>
  <si>
    <t>…anh toán thuế, tài trợ thương mại, giao dịch ngoại tệ, vay vốn… cùng nhiều tiện ích thông minh khác.</t>
  </si>
  <si>
    <t>Chi trả lãi vay của doanh nghiệp có giao dịch liên kết.</t>
  </si>
  <si>
    <t>1. Fintech là gì?</t>
  </si>
  <si>
    <t>Fintech bao gồm rất nhiều lĩnh vực trong ngành tài chính như thanh toán điện tử, cho vay trực tuyến và ngân hàng số,...</t>
  </si>
  <si>
    <t>https://techcombank.com/thong-tin/blog/thanh-ly-tai-san</t>
  </si>
  <si>
    <t>1. Thanh lý tài sản là gì?</t>
  </si>
  <si>
    <t>… bảo, phát mại tài sản) là việc ngân hàng hoặc bên cho vay thực hiện quyền xử lý tài sản mà bên vay đã dùng để đả…</t>
  </si>
  <si>
    <t>…i ro mất cân đối dòng tiền, tăng khả năng tiếp cận vốn vay với chi phí hợp lý và tạo cơ sở dữ liệu đáng tin cậy đ…</t>
  </si>
  <si>
    <t>Tìm hiểu các chương trình hỗ trợ vay, ưu đãi lãi suất hoặc khuyến mãi để nhận quyền lợi tốt nhất</t>
  </si>
  <si>
    <t>…g cường bảo mật và nâng cao uy tín tín dụng để dễ dàng vay vốn.</t>
  </si>
  <si>
    <t>Lãi vay trong giao dịch liên kết, hoặc phần vốn điều lệ chưa góp đủ.</t>
  </si>
  <si>
    <t>1.7. Miễn lãi lên tới 55 ngày</t>
  </si>
  <si>
    <t>…nhập và mức độ uy tín của chủ thẻ để đề xuất các khoản vay phù hợp thông qua thẻ tín dụng.</t>
  </si>
  <si>
    <t>1.2. Các chương trình hỗ trợ khởi nghiệp và doanh nghi…</t>
  </si>
  <si>
    <t>…t triển doanh nghiệp nhỏ và vừa được giao nhiệm vụ cho vay doanh nghiệp nhỏ và vừa, dự án khởi nghiệp sáng tạo;</t>
  </si>
  <si>
    <t>1. One-Stop Shop là gì?</t>
  </si>
  <si>
    <t>… hàng có thể thanh toán hóa đơn, đầu tư, mua bảo hiểm, vay, tiết kiệm, chuyển tiền quốc tế… chỉ với một chiếc điệ…</t>
  </si>
  <si>
    <t>1.6. Hạn chế tối đa việc vay mượn</t>
  </si>
  <si>
    <t>Giới trẻ hiện nay thường xuyên bị rơi vào vòng lặp tiêu xài quá tay, sau đó phải dựa vào vay mượn để trang trải cuộc số…</t>
  </si>
  <si>
    <t>1. NIM là gì? Phản ánh điều gì trong hoạt động ngân hà…</t>
  </si>
  <si>
    <t>Trong hoạt động ngân hàng, thu nhập lãi thường đến từ các khoản cho vay, chứng khoán đầu tư hoặc tài sản sinh lãi khác.</t>
  </si>
  <si>
    <t>3. Nên chọn hộ kinh doanh hay doanh nghiệp?</t>
  </si>
  <si>
    <t>…áp nhân độc lập, doanh nghiệp dễ dàng tiếp cận các gói vay ngân hàng, thu hút vốn đầu tư, tham gia đấu thầu, ký k…</t>
  </si>
  <si>
    <t>…rong quy mô và hình thức huy động, doanh nghiệp có thể vay vốn ngân hàng, kêu gọi nhà đầu tư, mở chi nhánh, hợp t…</t>
  </si>
  <si>
    <t>Nhu cầu vay vốn, huy động đầu tư hoặc ký hợp đồng lớn:</t>
  </si>
  <si>
    <t>…nh, tư vấn tối ưu tiền nhàn rỗi, khuyến nghị phương án vay vốn</t>
  </si>
  <si>
    <t>6. Khám phá giải pháp quản lý thuế và dòng tiền từ Tec…</t>
  </si>
  <si>
    <t>2.1. Ưu điểm của ngân hàng xanh</t>
  </si>
  <si>
    <t>Các dịch vụ như thanh toán điện tử, vay tín dụng trực tuyến, và mở tài khoản số không chỉ nâng…</t>
  </si>
  <si>
    <t>vay nhanh</t>
  </si>
  <si>
    <t>… khi lựa chọn vay siêu tốc từ ngân hàng, các hình thức vay nhanh phổ biến và cách để vay nhanh online không cần chứng…</t>
  </si>
  <si>
    <t>vay tiền</t>
  </si>
  <si>
    <t>https://techcombank.com/thong-tin/blog/don-bay-tai-chinh</t>
  </si>
  <si>
    <t>Mở rộng chủ đề (theo plan): bài nhắc tiết kiệm, tài chính cá nhân, quản lý tài chính.</t>
  </si>
  <si>
    <t>2. 5 loại đòn bẩy tài chính</t>
  </si>
  <si>
    <t>Bạn vay tiền từ ngân hàng, tổ chức tài chính hoặc thậm chí từ người…</t>
  </si>
  <si>
    <t>“Sử dụng bảng lương để vay ngân hàng có được không?” l à một câu hỏi mà rất nhiều người thắc mắc.</t>
  </si>
  <si>
    <t>Khác với lầm tưởng của nhiều người, vay tiền trả góp không phải là một giải pháp vay độc lập m…</t>
  </si>
  <si>
    <t>Do đó, câu trả lời cho câu hỏi nên vay ngân hàng mua xe trả góp hay trả thẳng sẽ phụ thuộc và…</t>
  </si>
  <si>
    <t>Vay tín chấp là giải pháp tối ưu giúp doanh nghiệp tiếp cận nguồn vốn một cách linh hoạt và hiệu quả.</t>
  </si>
  <si>
    <t>…đáp ứng tiêu chí về nhà ở hoặc thu nhập sẽ được hỗ trợ vay mua nhà ở xã hội.</t>
  </si>
  <si>
    <t>Mở rộng chủ đề (theo plan): bài nhắc tiết kiệm, kỳ hạn, lãi.</t>
  </si>
  <si>
    <t>Hiện nay, có nhiều ngân hàng đang cung cấp giải pháp cho vay thế chấp mua ô tô cũ cho những khách hàng có nhu cầu.</t>
  </si>
  <si>
    <t>Vay ngân hàng là một trong những giải pháp tài chính phổ biến để đáp ứng nhu cầu tiêu dùng, kinh doanh hoặc đầu tư.</t>
  </si>
  <si>
    <t>Hiểu được nhu cầu vay vốn kinh doanh cấp thiết này, các ngân hàng đã đưa ra …</t>
  </si>
  <si>
    <t>Vay tín chấp là hình thức vay vốn tiện lợi, giúp giải quyết nhanh chóng các nhu cầu chi tiêu và mua sắm cá nhân.</t>
  </si>
  <si>
    <t>Vay vốn ngân hàng trở thành một giải pháp hữu hiệu để các doanh nghiệp này tiếp cận và mở rộng sản xuất kinh doanh.</t>
  </si>
  <si>
    <t>Vay thế chấp sổ đỏ (hay vay thế chấp sổ hồng) là hình thức…</t>
  </si>
  <si>
    <t>… cách tính chi phí và những lưu ý quan trọng trước khi vay.</t>
  </si>
  <si>
    <t>Mở rộng chủ đề (theo plan): bài nhắc tiết kiệm, quản lý tài chính.</t>
  </si>
  <si>
    <t>…ợc không còn phụ thuộc vào giá trị bất động sản, tỷ lệ vay, thu nhập và các chi phí phát sinh.</t>
  </si>
  <si>
    <t>Trong quá trình vay vốn hay mở thẻ tín dụng, nhiều khách hàng quan tâm đến…</t>
  </si>
  <si>
    <t>Khi có ý định vay ngân hàng mua xe trả góp, bạn nên chú ý tới 3 yếu tố ả…</t>
  </si>
  <si>
    <t>Vay thấu chi có thể là lựa chọn phù hợp.</t>
  </si>
  <si>
    <t>Hiện nay, nhiều ngân hàng cung cấp giải pháp vay thấu chi cho khách hàng gửi tiết kiệm tại ngân hàng đó.</t>
  </si>
  <si>
    <t>Nắm rõ về lãi suất vay thế chấp và cách tính lãi của ngân hàng giúp khách hàn…</t>
  </si>
  <si>
    <t>Vay thế chấp kinh doanh là hình thức vay vốn mà doanh nghi…</t>
  </si>
  <si>
    <t>…ài viết này, chúng tôi sẽ giải đáp chi tiết về câu hỏi vay thế chấp tối đa được bao nhiêu cùng những lời khuyên h…</t>
  </si>
  <si>
    <t>Hạn mức vay thấu chi là gì và làm thế nào để được cấp hạn mức cao?</t>
  </si>
  <si>
    <t>Vay mua nhà trả góp chính là cầu nối giúp bạn hiện thực hóa giấc mơ ấy.</t>
  </si>
  <si>
    <t>Trong quá trình vay vốn hoặc sử dụng thẻ tín dụng, việc chậm thanh toán gố…</t>
  </si>
  <si>
    <t>Vay ngắn hạn là giải pháp giúp bạn tiếp cận vốn nhanh, quản lý dòng tiền linh hoạt và nắm bắt cơ hội kinh doanh kịp thờ…</t>
  </si>
  <si>
    <t>Doanh nghiệp nhỏ thường gặp khó khăn khi tiếp cận vay vốn ngân hàng do thiếu tài sản thế chấp, hiệu quả kinh…</t>
  </si>
  <si>
    <t>Bị xếp vào nợ nhóm 3 có thể gây ra nhiều khó khăn lớn cho khả năng vay vốn trong tương lai của bạn.</t>
  </si>
  <si>
    <t>Hạn mức vay thế chấp sổ đỏ được ngân hàng đưa ra cho người vay dựa…</t>
  </si>
  <si>
    <t>…, bạn càng dễ dàng tiếp cận các sản phẩm tài chính như vay vốn, mua nhà, mua xe với lãi suất ưu đãi.</t>
  </si>
  <si>
    <t>Việc vay thế chấp sẽ trở nên dễ dàng hơn khi khách hàng nắm rõ …</t>
  </si>
  <si>
    <t>Mở rộng chủ đề (theo plan): bài nhắc tiết kiệm, tích lũy.</t>
  </si>
  <si>
    <t>1.2. Giá nhà biến động theo thời gian</t>
  </si>
  <si>
    <t>Giá có thể chững lại khi điều kiện vay vốn hạn chế, hoặc tăng mạnh nếu có chính sách khuyến khích đầu tư.</t>
  </si>
  <si>
    <t>Doanh nghiệp nên tìm hiểu rõ về lãi suất doanh nghiệp vay ngân hàng hiện nay để tối ưu hóa nguồn vốn, nâng cao h…</t>
  </si>
  <si>
    <t>1. Tất toán là gì?</t>
  </si>
  <si>
    <t>Tất toán hay tất toán khoản vay là thuật ngữ quen thuộc trong lĩnh vực tài chính - ngâ…</t>
  </si>
  <si>
    <t>Khi vay tiêu dùng, lãi suất luôn là một trong những tiêu chí hàng đầu được quan tâm khi người vay tiếp cận đến sản phẩm.</t>
  </si>
  <si>
    <t>Lịch sử tín dụng tốt là một trong những yếu tố quan trọng góp phần tăng cơ hội được ngân hàng phê duyệt khoản vay.</t>
  </si>
  <si>
    <t>Tuy nhiên, khó khăn trong việc vay vốn hộ kinh doanh thường trở thành rào cản của nhiều chủ hộ kinh doanh.</t>
  </si>
  <si>
    <t>…g bài viết dưới đây sẽ giúp các cá nhân đang có ý định vay thế chấp chủ động trong việc thanh toán khoản vay, đảm…</t>
  </si>
  <si>
    <t>Vay tín chấp là một trong những hình thức tín dụng tiêu dùng giúp người vay tiếp cận nguồn vốn nhanh mà không cần tài s…</t>
  </si>
  <si>
    <t>Doanh nghiệp mới thành lập thường gặp khó khăn về nguồn vốn do chưa có tài sản đảm bảo để vay ngân hàng.</t>
  </si>
  <si>
    <t>Hiện nay, khách hàng vay của tổ chức tín dụng có thể chọn 1 trong 3 cách thanh toán khoản vay phổ biến, đó là:</t>
  </si>
  <si>
    <t>Vay ngân hàng mua nhà giúp bạn sớm có tổ ấm riêng để an cư lạc nghiệp, không cần phải chờ đợi tích lũy trong thời gian…</t>
  </si>
  <si>
    <t>…g việc chuẩn bị đầy đủ hồ sơ và nắm vững những thủ tục vay ngân hàng mua nhà sẽ giúp rút ngắn thời gian xét duyệt…</t>
  </si>
  <si>
    <t>Vay thấu chi có thể là giải pháp tiện lợi và nhanh chóng cho bạn.</t>
  </si>
  <si>
    <t>Hiện nay nhiều ngân hàng cung cấp các giải pháp vay với hạn mức vay cao, lãi suất ưu đãi, thời hạn vay dài…</t>
  </si>
  <si>
    <t>… chứng nhận, nhiều khách hàng muốn dùng tài sản này để vay vốn ngân hàng cho các nhu cầu tài chính hợp pháp.</t>
  </si>
  <si>
    <t>Lãi suất thả nổi là một thuật ngữ phổ biến trong lĩnh vực tài chính, đặc biệt là khi vay vốn.</t>
  </si>
  <si>
    <t>Vay thấu chi là một trong những hình thức vay vốn khá phổ biến hiện nay.</t>
  </si>
  <si>
    <t>…i viết này sẽ trình bày chi tiết về giải pháp tín dụng vay bổ sung vốn lưu động là gì và những lưu ý quan trọng k…</t>
  </si>
  <si>
    <t>Vay tín chấp hộ kinh doanh là giải pháp tài chính phổ biến với hộ kinh doanh nhờ tính dễ tiếp cận và thủ tục đơn giản.</t>
  </si>
  <si>
    <t>Khi đăng ký vay hoặc mở thẻ tín dụng, nhiều khách hàng bất ngờ bị từ c…</t>
  </si>
  <si>
    <t>Nợ xấu là khoản vay quá hạn từ 90 ngày trở lên mà người đi vay không thể t…</t>
  </si>
  <si>
    <t>Hiện nay, vay mua chung cư có nhiều ưu điểm nổi bật như:</t>
  </si>
  <si>
    <t>Trả gốc và lãi đầy đủ, đúng hạn theo thỏa thuận là nghĩa vụ của bên vay trong các giao dịch vay thế chấp.</t>
  </si>
  <si>
    <t>Nguyên nhân là do khó khăn khi chuẩn bị giấy tờ hay các thủ tục vay vốn phức tạp.</t>
  </si>
  <si>
    <t>Khi có nhu cầu vay vốn, nhiều người thường nghĩ ngay đến việc làm hồ sơ vay cho từng lần.</t>
  </si>
  <si>
    <t>Tín dụng tiêu dùng là hình thức vay vốn từ các tổ chức tài chính giúp cá nhân đáp ứng nhu …</t>
  </si>
  <si>
    <t>Tuy nhiên, không phải ngân hàng nào cũng có thể đáp ứng toàn bộ khoản vay có giá trị lớn và thời gian dài.</t>
  </si>
  <si>
    <t>Mở rộng chủ đề (theo plan): bài nhắc kỳ hạn, đầu tư, sinh lời. Liên quan rộng – đọc bài trước khi chèn.</t>
  </si>
  <si>
    <t>2.2. Theo nguồn hình thành vốn</t>
  </si>
  <si>
    <t>Vốn chủ sở hữu tạo nền tảng ổn định, giúp doanh nghiệp giảm sự phụ thuộc vào nguồn vay bên ngoài.</t>
  </si>
  <si>
    <t>Nhu cầu vay tiêu dùng của người Việt dự kiến tăng trưởng mạnh mẽ t…</t>
  </si>
  <si>
    <t>…trên chính phần mềm của MISA, tôi nhận thấy gói vay thấu chi không tài sản đảm bảo của Techcombank r…</t>
  </si>
  <si>
    <t>…nhuận gộp, lợi nhuận ròng, lợi nhuận trước thuế và lãi vay (EBIT), lợi tức là gì cùng công thức tính chuẩn xác, g…</t>
  </si>
  <si>
    <t>…c hiểu rõ các điều kiện để doanh nghiệp, hộ kinh doanh vay vốn ngân hàng là bước chuẩn bị vô cùng cần thiết.</t>
  </si>
  <si>
    <t>Câu trả lời cho câu hỏi “vay ngân hàng 1 tỷ VND mỗi tháng trả bao nhiêu?” không giống nhau đối với tất cả người vay.</t>
  </si>
  <si>
    <t>Trả mọi khoản vay và đóng phí phạt.</t>
  </si>
  <si>
    <t>3.3. Rút tiền trực tiếp tại quầy giao dịch</t>
  </si>
  <si>
    <t>hoặc các giải pháp vay như vay thấu chi online , vay mua nhà, mua xe,...</t>
  </si>
  <si>
    <t>6.2. Chậm trả tiền có ảnh hưởng gì không?</t>
  </si>
  <si>
    <t>Nếu tình trạng quá hạn kéo dài, khách hàng có thể gặp khó khăn khi mở thẻ tín dụng, vay vốn hoặc mua trả góp trong tươn…</t>
  </si>
  <si>
    <t>…h hàng sử dụng hạn mức tín dụng (số tiền ngân hàng cho vay trước) để thanh toán các giao dịch mua sắm hoặc tiêu d…</t>
  </si>
  <si>
    <t>Giải pháp Vay mua ô tô đi lại của Techcombank đang là lựa chọn của rất nhiều khách hàng nhờ chính sách vay vượt trội nh…</t>
  </si>
  <si>
    <t>Ngân hàng sẽ xem xét lịch sử tín dụng của khách hàng gồm các khoản vay trước đó và hành vi thanh toán đúng hạn.</t>
  </si>
  <si>
    <t>3.1. Điều kiện</t>
  </si>
  <si>
    <t>…ẩm tài chính khác của ngân hàng, chẳng hạn như mua nhà vay ngân hàng , đều yêu cầu năng lực hành vi dân sự đầy đủ…</t>
  </si>
  <si>
    <t>…ế đăng ký làm thẻ tín dụng mới hoặc tham gia các khoản vay vốn khác tại ngân hàng (nếu cần).</t>
  </si>
  <si>
    <t>3. Rút tiền thẻ Visa có mất phí không?</t>
  </si>
  <si>
    <t>… chi tiêu lớn, khách hàng có thể cân nhắc các sản phẩm vay tiêu dùng với lộ trình trả nợ rõ ràng thay vì phụ thuộ…</t>
  </si>
  <si>
    <t>&gt;&gt;&gt; Tìm hiểu Vay thế chấp ô tô tại Techcombank có những lưu ý quan trọng gì?</t>
  </si>
  <si>
    <t>Đáp ứng các điều kiện vay theo quy định của pháp luật và sự chấp thuận của đối tác cung cấp tín dụng</t>
  </si>
  <si>
    <t>…, ngân hàng đã và đang nỗ lực cung cấp nhiều giải pháp vay để hỗ trợ nhiều người mua được nhà, điển hình như Tech…</t>
  </si>
  <si>
    <t>3.4. Làm thủ tục xóa thế chấp mất bao nhiêu ngày?</t>
  </si>
  <si>
    <t>Bạn có thể tham khảo các sản phẩm thẻ tín dụng, vay tín chấp và vay thế chấp tại Techcombank như dưới đây:</t>
  </si>
  <si>
    <t>5. Hướng dẫn thanh toán SPayLater hàng kỳ</t>
  </si>
  <si>
    <t>Kiểm tra kỹ các thông tin trên hóa đơn (số tiền, ngày đến hạn, khoản vay, phí lãi...) → Nhấn “Thanh toán ngay”.</t>
  </si>
  <si>
    <t>4.5. Tối đa có thể nâng hạn mức lên bao nhiêu % so với…</t>
  </si>
  <si>
    <t>Khi cân nhắc chi tiêu hoặc vay thêm, khách hàng nên nắm rõ cách tính tiền lãi vay ngâ…</t>
  </si>
  <si>
    <t>1. Điều kiện mở thẻ tín dụng hạn mức cao</t>
  </si>
  <si>
    <t>…dụng tốt, luôn thanh toán dư nợ đúng hạn cho các khoản vay ( vay tiêu dùng , vay thấu chi,...) .</t>
  </si>
  <si>
    <t>8. Câu hỏi thường gặp khi thanh toán trả góp qua thẻ t…</t>
  </si>
  <si>
    <t>Nếu khách hàng có nhu cầu về tài chính mở rộng, các giải pháp vay linh hoạt sẽ giúp đảm bảo chi tiêu an toàn.</t>
  </si>
  <si>
    <t>Khi so sánh các sản phẩm gửi tiết kiệm hay khoản vay, nhiều người chỉ nhìn vào con số lãi suất được công bố…</t>
  </si>
  <si>
    <t>Mở rộng chủ đề (theo plan): bài nhắc tiền gửi, kỳ hạn, chứng chỉ tiền gửi. Liên quan rộng – đọc bài trước khi chèn.</t>
  </si>
  <si>
    <t>3. 7 thông tin cần biết trước khi mở sổ tiết kiệm</t>
  </si>
  <si>
    <t>Cấp lại sổ, chuyển nhượng sổ, phong tỏa sổ khi cần vay vốn hoặc làm thủ tục ủy quyền cho người khác rút sổ tiết kiệm…</t>
  </si>
  <si>
    <t>Nợ xấu không chỉ ảnh hưởng đến khả năng vay vốn mà còn gây gián đoạn cho các kế hoạch tài chính cá nhân trong dài hạn.</t>
  </si>
  <si>
    <t>&gt;&gt;&gt; Nếu khách hàng quan tâm đến các khoản vay, việc tìm hiểu cách tính tiền lãi vay ngân hàng sẽ giú…</t>
  </si>
  <si>
    <t>8. Gửi tiền không kỳ hạn với nhiều ưu đãi tại Techcomb…</t>
  </si>
  <si>
    <t>…êm giải pháp bổ sung dòng tiền ngắn hạn, các hình thức vay tín chấp cũng có thể được cân nhắc song song với việc …</t>
  </si>
  <si>
    <t>…ầu tài chính lớn như mua xe, du lịch, hoặc thậm chí là vay xây nhà có thể được hỗ trợ gián tiếp thông qua các sản…</t>
  </si>
  <si>
    <t>rút tiết kiệm trước hạn – 24 link
rút tiền tiết kiệm trước thời hạn – 6 link</t>
  </si>
  <si>
    <t>…kiệm, nhiều khách hàng cũng quan tâm đến tính lãi suất vay ngân hàng theo tháng và tìm hiểu tất toán khoản vay là…</t>
  </si>
  <si>
    <t>…thẻ tín dụng, cũng như bị hạn chế đối với các sản phẩm vay tín chấp khác.</t>
  </si>
  <si>
    <t>3. Quá hạn thẻ tín dụng bao lâu thì bị nợ xấu?</t>
  </si>
  <si>
    <t>…hó khăn hơn khi đăng ký các sản phẩm tín dụng khác như vay tín chấp hoặc mở thêm thẻ tín dụng mới trong tương lai…</t>
  </si>
  <si>
    <t>Phương án thay cho rút trước hạn.</t>
  </si>
  <si>
    <t>1. 4 bất lợi khi nợ thẻ tín dụng quá hạn</t>
  </si>
  <si>
    <t>…ị khởi kiện, ảnh hưởng đến uy tín tín dụng và khả năng vay vốn trong tương lai nếu nợ tín dụng quá hạn.</t>
  </si>
  <si>
    <t>Mất sổ — chèn ở đoạn rút tiền.</t>
  </si>
  <si>
    <t>1. Nợ quá hạn là gì?</t>
  </si>
  <si>
    <t>Nợ quá hạn là khoản nợ mà bên vay không thanh toán đầy đủ và đúng hạn cả gốc và/hoặc lãi…</t>
  </si>
  <si>
    <t>Các thao tác với sổ tiết kiệm.</t>
  </si>
  <si>
    <t>4. Số tiền tham gia</t>
  </si>
  <si>
    <t>… những khách hàng cần nguồn vốn lớn hơn, các hình thức vay tiêu dùng có tài sản đảm bảo cũng là giải pháp hợp lý …</t>
  </si>
  <si>
    <t>&gt;&gt;&gt; Nếu bạn cân nhắc các lựa chọn khác như vay hoặc thấu chi có tài sản đảm bảo , việc so sánh lợi íc…</t>
  </si>
  <si>
    <t>Nhắc: sổ tiết kiệm.</t>
  </si>
  <si>
    <t>&gt;&gt;&gt; Ngoài ra, khách hàng có thể tìm hiểu sản phẩm vay mua nhà tại Techcombank - Giải pháp tài chính toàn vẹn…</t>
  </si>
  <si>
    <t>Nhắc: tất toán, trước hạn, sổ tiết kiệm.</t>
  </si>
  <si>
    <t>…a chọn hơn, khách hàng nên tìm hiểu cách tính lãi suất vay ngân hàng theo tháng và tham khảo mức lãi suất tiết ki…</t>
  </si>
  <si>
    <t>…u linh hoạt, khách hàng có thể tham khảo các giải pháp vay vốn tiêu dùng để nhanh chóng tiếp cận nguồn vốn cần th…</t>
  </si>
  <si>
    <t>Nhắc: tất toán.</t>
  </si>
  <si>
    <t>Khách hàng vay tín chấp trong thẻ tín dụng Techcombank là 20 triệu.</t>
  </si>
  <si>
    <t>…uan tâm đến các dịch vụ tài chính khác có thể xem thêm vay tiêu dùng để cân nhắc các giải pháp tài chính linh hoạ…</t>
  </si>
  <si>
    <t>… hàng cũng có thể tham khảo thêm các nguồn kinh nghiệm vay thế chấp ngân hàng để hiểu rõ hơn về cách đánh giá lãi…</t>
  </si>
  <si>
    <t>2. Lợi ích khi lựa chọn gửi tiền có kỳ hạn</t>
  </si>
  <si>
    <t>…khoản dự trù tài chính để khách hàng tích lũy mua nhà, vay mua ô tô hoặc phòng khi cần tiền chữa bệnh, dưỡng lão …</t>
  </si>
  <si>
    <t>3. Hướng dẫn thanh toán dư nợ tín dụng nhanh chóng</t>
  </si>
  <si>
    <t>Việc kiểm soát chi tiêu đúng hạn cũng giúp khách hàng tránh rủi ro tài chính tương tự như khi vay thế chấp không trả đư…</t>
  </si>
  <si>
    <t>Nhắc: trước hạn.</t>
  </si>
  <si>
    <t>2.1. Gói vay kinh doanh online dành cho doanh nghiệp</t>
  </si>
  <si>
    <t>… hiểu nhu cầu của doanh nghiệp trong việc tiếp cận vốn vay nhanh chóng, thủ tục đơn giản, Techcombank chính thức ra mắ…</t>
  </si>
  <si>
    <t>3. Thủ tục vay 100 triệu nhanh, 24/24 trên Techcombank…</t>
  </si>
  <si>
    <t>Không cần giấy tờ thủ tục phức tạp, khách hàng chỉ cần thao tác trên Techcombank Mobile để vay nhanh 100 triệu:</t>
  </si>
  <si>
    <t>…ng, Vay tín chấp cho khách hàng nhận lương qua VPBank, Vay nhanh tín chấp bằng khoản vay thế chấp, Vay tín chấp giáo v…</t>
  </si>
  <si>
    <t>Nhắc: tất toán, trước hạn.</t>
  </si>
  <si>
    <t>2.2. Vay tín chấp</t>
  </si>
  <si>
    <t>Thủ tục vay nhanh gọn:</t>
  </si>
  <si>
    <t>Chọn vay nhanh trên Techcombank Mobile, khách hàng sẽ nhận được loạt lợi ích thiết thực như:</t>
  </si>
  <si>
    <t>4.3. Cách thức trả nợ trước hạn như thế nào?</t>
  </si>
  <si>
    <t>Vay nhanh lãi nhẹ, trả nợ trước hạn dễ dàng với Techcombank.</t>
  </si>
  <si>
    <t>Mở rộng chủ đề (theo plan): bài nhắc tiết kiệm, lãi suất, tiền gửi.</t>
  </si>
  <si>
    <t>1.2. Đặc điểm của vay không thế chấp</t>
  </si>
  <si>
    <t>Thời gian duyệt vay nhanh chóng:</t>
  </si>
  <si>
    <t>Mở rộng chủ đề (theo plan): bài nhắc tiết kiệm, lãi suất, gửi tiền.</t>
  </si>
  <si>
    <t>3. Thời gian dự kiến khi vay vốn ngân hàng cho mục đíc…</t>
  </si>
  <si>
    <t>Trong trường hợp hồ sơ hợp lệ, Techcombank sẽ giải ngân khoản vay nhanh chóng chỉ trong 2 giờ làm việc.</t>
  </si>
  <si>
    <t>Bên cạnh cơ hội được duyệt vay nhanh chóng, bạn còn có thể được ngân hàng cho vay với lãi s…</t>
  </si>
  <si>
    <t>Mở rộng chủ đề (theo plan): bài nhắc tiết kiệm, lãi suất, kỳ hạn.</t>
  </si>
  <si>
    <t>Vay nhanh 40 triệu, nhận ngay trong 3 phút với Techcombank Mobile.</t>
  </si>
  <si>
    <t>Điều này sẽ giúp bạn tăng cơ hội tiếp cận khoản vay nhanh chóng, tiết kiệm được thời gian và công sức cho quá tr…</t>
  </si>
  <si>
    <t>2. Lợi ích của bảo lãnh vay vốn đối với doanh nghiệp</t>
  </si>
  <si>
    <t>Bảo lãnh vay vốn giúp doanh nghiệp tiếp cận các khoản vay nhanh chóng, dễ dàng hơn.</t>
  </si>
  <si>
    <t>Mở rộng chủ đề (theo plan): bài nhắc tiết kiệm, gửi tiền, lãi.</t>
  </si>
  <si>
    <t>Việc đáp ứng các điều kiện vay vốn ngân hàng và hoàn tất các bước đăng ký tín dụng giúp doanh nghiệp duyệt vay nhanh ch…</t>
  </si>
  <si>
    <t>Cần vay tiền mặt gấp nhưng không muốn thủ tục rườm rà?</t>
  </si>
  <si>
    <t>3. Thủ tục và quy trình cho vay tín chấp cá nhân</t>
  </si>
  <si>
    <t>…ức vay trả góp hiện nay cũng rất đa dạng, trong đó cho vay tiền góp là lựa chọn phù hợp với những khách hàng muốn chia…</t>
  </si>
  <si>
    <t>Mở rộng chủ đề (theo plan): bài nhắc tiết kiệm, lãi suất, lãi.</t>
  </si>
  <si>
    <t>Vay tiền ngân hàng giúp bạn có thêm nguồn lực tài chính để dựng…</t>
  </si>
  <si>
    <t>Mở rộng chủ đề (theo plan): bài nhắc tiết kiệm, lãi suất, tích lũy.</t>
  </si>
  <si>
    <t>…gribank, ACB, Vietcombank… cũng như cách tính lãi suất vay tiền ngân hàng trong bài viết dưới đây.</t>
  </si>
  <si>
    <t>Mở rộng chủ đề (theo plan): bài nhắc tiết kiệm, gửi tiền, tích lũy.</t>
  </si>
  <si>
    <t>…cạnh đó, không ít người cũng băn khoăn đang trả góp có vay tiền mặt được không hay đang mua trả góp có vay tiền mặt đư…</t>
  </si>
  <si>
    <t>Đừng lo lắng, bài viết này sẽ chia sẻ cho bạn cách vay tiền ngân hàng , giúp bạn nắm vững từng bước một trong quy …</t>
  </si>
  <si>
    <t>Vay tiền mua nhà là quyết định tài chính dài hạn, không chỉ phụ…</t>
  </si>
  <si>
    <t>2. Điều kiện vay thế chấp bằng hợp đồng mua bán căn hộ</t>
  </si>
  <si>
    <t>sổ tiết kiệm – 18 link
sổ tiết kiệm ngân hàng – 12 link</t>
  </si>
  <si>
    <t>…heo Khoản 1 Điều 72 Nghị định 99/2015/NĐ-CP , nếu muốn vay tiền bằng hợp đồng mua chung cư, bạn cần thỏa mãn các điều …</t>
  </si>
  <si>
    <t>Mở sổ cần bao nhiêu tiền.</t>
  </si>
  <si>
    <t>Vậy vay du học là gì và bạn cần lưu ý gì khi vay tiền để du học?</t>
  </si>
  <si>
    <t>Dành cho các cá nhân/hộ gia đình cần vay tiền cho nhu cầu sinh hoạt/tiêu dùng với một số tiền nhỏ trong thời gian ngắn.</t>
  </si>
  <si>
    <t>Mất sổ — cần hiểu sổ.</t>
  </si>
  <si>
    <t>3. Hồ sơ vay 200 triệu VND không thế chấp tại Techcomb…</t>
  </si>
  <si>
    <t>Hồ sơ vay tiền vay 200 triệu VND không thế chấp của khách hàng sẽ gồm các giấy tờ sau:</t>
  </si>
  <si>
    <t>Gửi thêm vào sổ.</t>
  </si>
  <si>
    <t>3. Hồ sơ vay 300 triệu VND không thế chấp tại Techcomb…</t>
  </si>
  <si>
    <t>Hồ sơ vay tiền vay 300 triệu VND không thế chấp của khách hàng sẽ gồm các giấy tờ sau:</t>
  </si>
  <si>
    <t>4. Ngân hàng Thương mại Cổ phần Tiên Phong - TPBank</t>
  </si>
  <si>
    <t>Quy trình gửi tiết kiệm tại quầy.</t>
  </si>
  <si>
    <t>Vay tiêu dùng tín chấp, Vay thấu chi tín chấp, Vay tiền mặt tín chấp TPFico, Vay tiêu dùng dành cho người dùng Shopee...</t>
  </si>
  <si>
    <t>1. Khái niệm về tất toán khoản vay thế chấp</t>
  </si>
  <si>
    <t>Tất toán khoản vay là hành động chấm dứt giao dịch vay tiền giữa người đi vay và tổ chức cho vay, theo đó người va…</t>
  </si>
  <si>
    <t>Vay thế chấp sổ hồng hay vay tiền ngân hàng thế chấp sổ hồng là hình thức vay thế chấp v…</t>
  </si>
  <si>
    <t>Nhắc: tài khoản tiết kiệm.</t>
  </si>
  <si>
    <t>3.2. Vay thấu chi thế chấp</t>
  </si>
  <si>
    <t>Vay thấu chi thế chấp là hình thức vay tiền có sử dụng tài sản bảo đảm có giá trị bao gồm:</t>
  </si>
  <si>
    <t>1.1. Đặc điểm vay tiêu dùng tín chấp</t>
  </si>
  <si>
    <t>Bạn không cần thế chấp bất kỳ tài sản nào như nhà đất, ô tô để vay tiền.</t>
  </si>
  <si>
    <t>…ng cân nhắc các khoản vay tiêu dùng lớn, chẳng hạn như vay tiền sửa nhà , vay mua xe hay đầu tư nâng cấp không gian số…</t>
  </si>
  <si>
    <t>…ơng kèm các giấy tờ cần thiết khác để hoàn tất thủ tục vay tiền sinh viên.</t>
  </si>
  <si>
    <t>…(phân loại theo nhóm) của người vay để thẩm định hồ sơ vay tiền.</t>
  </si>
  <si>
    <t>… bạn có nhu cầu tài chính linh hoạt hơn, việc tìm hiểu vay tiền trả góp cũng là một giải pháp đáng cân nhắc để đảm bảo…</t>
  </si>
  <si>
    <t>2.1. Vay thấu chi tín chấp</t>
  </si>
  <si>
    <t>Vay thấu chi tín chấp là hình thức vay tiền không cần tài sản đảm bảo.</t>
  </si>
  <si>
    <t>1. Điều kiện vay tín chấp cá nhân</t>
  </si>
  <si>
    <t>… chấp trả góp dành riêng cho các khách hàng có nhu cầu vay tiền nhanh qua Techcombank Mobile với nhiều lợi ích thiết t…</t>
  </si>
  <si>
    <t>…, người vay cần trả thêm một số khoản phí bắt buộc khi vay tiền khác ngoài tiền lãi và gốc cần trả định kỳ như phí địn…</t>
  </si>
  <si>
    <t>… đảm bảo quyền lợi của bạn trong quá trình thế chấp và vay tiền.</t>
  </si>
  <si>
    <t>3.1. Người làm tự do chứng minh thu nhập để vay ngân h…</t>
  </si>
  <si>
    <t>Tương tự, với các sản phẩm vay tiền tiêu dùng trả góp , khách hàng cũng cần cung cấp thông…</t>
  </si>
  <si>
    <t>…cá nhân đóng vai trò rất quan trọng, không chỉ khi bạn vay tiền mà còn ảnh hưởng đến nhiều quyết định tài chính khác.</t>
  </si>
  <si>
    <t>Bài viết dưới đây sẽ cung cấp thông tin về điều kiện vay tiền ngân hàng, cụ thể là vay vốn theo quy định trong Thông…</t>
  </si>
  <si>
    <t>Đây là hình thức vay tiền từ bên thứ ba (thường là tổ chức không chính thức) để …</t>
  </si>
  <si>
    <t>1. Khái niệm cho vay tiêu dùng</t>
  </si>
  <si>
    <t>Vay tiêu dùng là hình thức vay tiền tại ngân hàng hoặc công ty tài chính phục vụ cho các nhu cầu đời sống như:</t>
  </si>
  <si>
    <t>Để vay vốn thành công, doanh nghiệp cần tìm hiểu kỹ vay tiền cần giấy tờ gì và nắm rõ các lưu ý trong quá trình làm…</t>
  </si>
  <si>
    <t>Dưới đây là cách vay tiền online nhanh trên Techcombank Mobile :</t>
  </si>
  <si>
    <t>… toán tiết kiệm, nhiều người có thể cân nhắc hình thức vay tiền trả góp để không phải rút khoản tiết kiệm trước hạn và…</t>
  </si>
  <si>
    <t>1. Dư nợ là gì?</t>
  </si>
  <si>
    <t>Nói một cách đơn giản, khi bạn vay tiền hoặc sử dụng thẻ tín dụng, bạn sẽ tạo ra một khoản nợ.</t>
  </si>
  <si>
    <t>… vì tất toán trước hạn, nhiều khách hàng cũng lựa chọn vay tiền tiêu dùng để duy trì mức sinh lời của khoản tiết kiệm …</t>
  </si>
  <si>
    <t>…ng sổ tiết kiệm ngoại tệ đang hưởng lãi suất 0%/năm để vay tiền VND với lãi suất thấp, giúp dễ dàng quay vòng dòng tiề…</t>
  </si>
  <si>
    <t>app vay</t>
  </si>
  <si>
    <t>vay tiền online chuyển khoản ngay</t>
  </si>
  <si>
    <t>Do đó, phần lớn người dùng hiện nay có xu hướng chuyển sang dùng các dịch vụ online tại ngân hàng, đặc biệt là hình thứ…</t>
  </si>
  <si>
    <t>lãi suất cho vay ngân hàng</t>
  </si>
  <si>
    <t>lãi suất vay ngân hàng hôm nay</t>
  </si>
  <si>
    <t>lãi vay ngân hàng hiện nay</t>
  </si>
  <si>
    <t>lãi suất vay ngân hàng</t>
  </si>
  <si>
    <t>…tài chính hiệu quả, chủ thẻ chính nên nắm rõ cách tính lãi suất vay ngân hàng theo tháng và áp dụng nguyên tắc tương t…</t>
  </si>
  <si>
    <t>cách tiết kiệm tiền – 23 link
cách tiết kiệm tiền hiệu quả – 7 link</t>
  </si>
  <si>
    <t>Cách tiết kiệm theo tuần — dẫn sang 11 cách.</t>
  </si>
  <si>
    <t>… được số tiền dự kiến cần trả hàng tháng với cách tính lãi suất vay ngân hàng theo năm phù hợp.</t>
  </si>
  <si>
    <t>Tiết kiệm theo ngày.</t>
  </si>
  <si>
    <t>Tiết kiệm tiền lương.</t>
  </si>
  <si>
    <t>Việc hiểu rõ cách tính lãi suất vay ngân hàng sẽ giúp bạn chủ động hơn trong việc quản lý tài chính,…</t>
  </si>
  <si>
    <t>Lợi ích tiết kiệm → cách làm.</t>
  </si>
  <si>
    <t>2.4. Lợi tức</t>
  </si>
  <si>
    <t>Ngoài lĩnh vực chứng khoán, “lợi tức” cũng có thể được hiểu là khoản thu nhập sinh ra từ hoạt động đầu tư, cho vay hoặc…</t>
  </si>
  <si>
    <t>Thực hành tiết kiệm.</t>
  </si>
  <si>
    <t>Nhắc: quản lý tài chính.</t>
  </si>
  <si>
    <t>Nhắc: tài chính cá nhân, quản lý tài chính.</t>
  </si>
  <si>
    <t>Nhắc: chi tiêu, quản lý tài chính.</t>
  </si>
  <si>
    <t>Khoản vay 15 triệu VND được phê duyệt chỉ trong 3 phút và giải ngân trực tiếp vào tài khoản ngân hàng, giúp người dùng…</t>
  </si>
  <si>
    <t>3. Phương thức giải ngân vốn vay thế chấp</t>
  </si>
  <si>
    <t>Khi hoàn thiện đầy đủ các hồ sơ theo yêu cầu và ký hợp đồng vay với ngân hàng, khách hàng mở tài khoản thanh toán tại n…</t>
  </si>
  <si>
    <t>1. Vay hạn mức là gì?</t>
  </si>
  <si>
    <t>Lãi thường phát sinh trên số tiền thực tế đã sử dụng và thời gian sử dụng thực tế, tùy theo sản phẩm, phương thức trả n…</t>
  </si>
  <si>
    <t>Theo Trung tâm Thông tin Tín dụng Quốc gia Việt Nam (CIC) , lịch sử tín dụng là một trong những căn cứ quan trọng để ng…</t>
  </si>
  <si>
    <t>Nhắc: tiết kiệm tiền.</t>
  </si>
  <si>
    <t>Nhắc: tài chính cá nhân.</t>
  </si>
  <si>
    <t>Khi vay thế chấp ngân hàng, người vay cần trả thêm một số khoản phí bắt buộc khi vay tiền khác ngoài tiền lãi và gốc cầ…</t>
  </si>
  <si>
    <t>Nhắc: tiết kiệm tiền, chi tiêu.</t>
  </si>
  <si>
    <t>gửi tiết kiệm online có an toàn không – 21 link
rủi ro khi gửi tiết kiệm online – 9 link</t>
  </si>
  <si>
    <t>Lý do nên gửi → đối chiếu rủi ro.</t>
  </si>
  <si>
    <t>Kinh nghiệm gửi an toàn.</t>
  </si>
  <si>
    <t>Hướng dẫn gửi — chèn lưu ý rủi ro.</t>
  </si>
  <si>
    <t>Bài anh em (rủi ro chung).</t>
  </si>
  <si>
    <t>Số điểm điểm tín dụng CIC càng cao, bạn càng dễ dàng tiếp cận các sản phẩm tài chính như vay vốn, mua nhà, mua xe với l…</t>
  </si>
  <si>
    <t>Nhắc: rủi ro.</t>
  </si>
  <si>
    <t>5. Vay 200 triệu trong 3 năm lãi suất bao nhiêu?</t>
  </si>
  <si>
    <t>Khách hàng vay 200 triệu trong 3 năm với mức lãi suất dự kiến là 12.9%/năm, ngày giải ngân là ngày 11/11/2025.</t>
  </si>
  <si>
    <t>Nhắc: tiết kiệm online.</t>
  </si>
  <si>
    <t>Ngoài ra đừng quên theo dõi thường xuyên các chương trình khuyến mãi, ưu đãi của ngân hàng để có cơ hội nhận được những…</t>
  </si>
  <si>
    <t>Ngân hàng sẽ không phê duyệt khoản vay nếu khách hàng chỉ sử dụng căn cước công dân (CCCD).</t>
  </si>
  <si>
    <t>lãi suất vay ngân hàng hiện nay</t>
  </si>
  <si>
    <t>Tool</t>
  </si>
  <si>
    <t>2. Lưu ý khác cần quan tâm khi vay thấu chi</t>
  </si>
  <si>
    <t>Hiện nay, lãi suất vay thấu chi không có tài sản đảm bảo dao động từ 12.9% - 18%/năm, lãi suất vay thấu chi có tài sản…</t>
  </si>
  <si>
    <t>tính lãi suất vay ngân hàng – 82 link
tính lãi vay ngân hàng – 64 link
bảng tính lãi suất vay ngân hàng – 4 link</t>
  </si>
  <si>
    <t>Vay 100 triệu — dùng công cụ tính tiền trả.</t>
  </si>
  <si>
    <t>Vay trả góp — tính số tiền trả.</t>
  </si>
  <si>
    <t>Vay thêm → tính lại khả năng trả.</t>
  </si>
  <si>
    <t>Hiện nay, các ngân hàng đang áp dụng cách tính lãi vay mua nhà theo dư nợ giảm dần hoặc niêm kim.</t>
  </si>
  <si>
    <t>3. Các hình thức vay sản xuất kinh doanh</t>
  </si>
  <si>
    <t>Hiện nay Techcombank đang triển khai đa dạng các hình thức vay vốn ngân hàng cho doanh nghiệp/hộ kinh doanh với rất nhi…</t>
  </si>
  <si>
    <t>Bài viết này sẽ cung cấp cho bạn thông tin chi tiết về hạn mức vay tín chấp tại các ngân hàng/công ty tài chính hiện na…</t>
  </si>
  <si>
    <t>3.2. Sản phẩm vay</t>
  </si>
  <si>
    <t>Khách hàng có thể tham khảo về 4 sản phẩm vay của Techcombank hiện nay trong bảng dưới đây.</t>
  </si>
  <si>
    <t>Khi thực hiện tất toán, người vay sẽ thanh toán toàn bộ số tiền gốc, tiền lãi và các khoản phí liên quan để hoàn tất ng…</t>
  </si>
  <si>
    <t>Hiện nay, ngân hàng Techcombank đang cung cấp nhiều giải pháp vay thế chấp giúp giải quyết nhu cầu tài chính của khách…</t>
  </si>
  <si>
    <t>2. 3 hình thức chứng minh thu nhập được chấp nhận khi…</t>
  </si>
  <si>
    <t>Hiện nay, khách hàng vay thế chấp có thể chứng minh thu nhập thông qua các cách như sau:</t>
  </si>
  <si>
    <t>2. Sổ đỏ có vay ngân hàng được không? Điều kiện là gì?</t>
  </si>
  <si>
    <t>Ngân hàng sẽ xem xét tình trạng nợ hiện tại, lịch sử trả nợ, dư nợ thẻ tín dụng và các khoản vay khác nếu có</t>
  </si>
  <si>
    <t>vay thấu chi</t>
  </si>
  <si>
    <t>Với hình thức vay thấu chi, lãi suất chỉ tính trên số tiền thực tế đã sử dụng và …</t>
  </si>
  <si>
    <t>Đây là giải pháp vay thấu chi với quy trình đăng ký nhanh chóng qua Techcombank Mobi…</t>
  </si>
  <si>
    <t>5. Cần lưu ý gì khi vay thêm nếu đang vay trả góp?</t>
  </si>
  <si>
    <t>Nhiều khách hàng cũng quan tâm đến việc vay thấu chi có chuyển khoản được không , đặc biệt khi cần sử dụng …</t>
  </si>
  <si>
    <t>Dưới đây là bảng phân biệt vay hạn mức, vay thấu chi và vay từng lần dựa trên cách giải ngân, phạm vi sử dụ…</t>
  </si>
  <si>
    <t>Bên cạnh đó, vay thấu chi với hạn mức dự phòng không cần tài sản đảm bảo, đáp ứng nhu cầu tiêu dùng khi cần thiết của k…</t>
  </si>
  <si>
    <t>6. Làm sao để hết nợ chú ý?</t>
  </si>
  <si>
    <t>Vay thấu chi thế chấp bằng tài sản đảm bảo</t>
  </si>
  <si>
    <t>Vay thấu chi có tài sản đảm bảo tại Techcombank</t>
  </si>
  <si>
    <t>Gói vay thấu chi online không tài sản đảm bảo với hạn mức tới 3 tỷ và g…</t>
  </si>
  <si>
    <t>Thông tin về vay thấu chi có chuyển khoản được không sẽ giúp người vay nắm rõ cá…</t>
  </si>
  <si>
    <t>…dụng có mức lãi suất linh hoạt, chẳng hạn như lãi suất vay thấu chi , để tối ưu dòng tiền trong ngắn hạn.</t>
  </si>
  <si>
    <t>…g tài sản đảm bảo), vay thế chấp (có tài sản đảm bảo), vay thấu chi (chi vượt số dư) và tái tài trợ (chuyển nợ để tối…</t>
  </si>
  <si>
    <t>Hiện nay có 3 hình thức vay sản xuất kinh doanh phổ biến là vay thế chấp, vay tín chấp và vay thấu chi.</t>
  </si>
  <si>
    <t>1. Giới thiệu về giải pháp vay tín chấp cho doanh nghi…</t>
  </si>
  <si>
    <t>…g cung cấp các gói vay tín chấp cấp trước hạn mức hoặc vay thấu chi tín chấp giúp doanh nghiệp có thể sử dụng để dự ph…</t>
  </si>
  <si>
    <t>So với vay tín chấp hay vay thấu chi, vay thế chấp sổ đỏ thường được các ngân hàng hỗ trợ mức lãi suất vay hấp dẫn hơn.</t>
  </si>
  <si>
    <t>Đáp ứng nhu cầu vay tiêu dùng của khách hàng, vay thấu chi với hàng loạt lợi ích vượt trội cùng thủ tục đơn giản,…</t>
  </si>
  <si>
    <t>Đây là sản phẩm vay thấu chi không có tài sản đảm bảo do Techcombank cung cấp với h…</t>
  </si>
  <si>
    <t>Lãi suất từ 8.7% đến 8.9%/năm, TPBank cung cấp các gói vay tín chấp tiêu dùng và vay thấu chi với hạn mức tối đa 300 tr…</t>
  </si>
  <si>
    <t>…chính linh hoạt khác, Techcombank còn cung cấp dịch vụ vay thấu chi online để hỗ trợ nhu cầu vốn ngắn hạn của bạn một…</t>
  </si>
  <si>
    <t>…c gói vay tín chấp đa dạng như Vay tiêu dùng tín chấp, Vay thấu chi tín chấp, Vay tiền mặt TPFico và nhiều ưu đãi hấp…</t>
  </si>
  <si>
    <t>1.2. Vay thấu chi</t>
  </si>
  <si>
    <t>Vay thấu chi là hình thức vay tín dụng cho phép bạn sử dụng số tiền vượt quá số dư tài khoản trong hạn mức được duyệt.</t>
  </si>
  <si>
    <t>thấu chi là gì</t>
  </si>
  <si>
    <t>Vay hạn mức thấu chi thế chấp bằng tài sản đảm bảo</t>
  </si>
  <si>
    <t>Thấu chi MyCash là một hình thức cấp hạn mức chi tiêu vượt số dư tài khoản thanh toán, giúp khách hàng có thể chi tiêu…</t>
  </si>
  <si>
    <t>Vay hạn mức thấu chi không tài sản bảo đảm</t>
  </si>
  <si>
    <t>2.4. Hồ sơ và quy trình vay tiêu dùng thế chấp</t>
  </si>
  <si>
    <t>Tài khoản thấu chi MyCash, Vay tiêu dùng tín chấp trả góp , Vay tiêu dùng có tài sản bảo đảm , Vay cầm cố tiền gửi , Va…</t>
  </si>
  <si>
    <t>4. Cách xử lý nợ nhóm 2 hiệu quả nhất</t>
  </si>
  <si>
    <t>2. 5 hình thức cho vay ngắn hạn phổ biến</t>
  </si>
  <si>
    <t>Vay theo hạn mức thấu chi trên tài khoản thanh toán:</t>
  </si>
  <si>
    <t>vay thấu chi là gì</t>
  </si>
  <si>
    <t>4. Tư vấn lựa chọn giải pháp vay mua xe tối ưu</t>
  </si>
  <si>
    <t>Trường hợp khách hàng muốn giảm áp lực kinh tế hoặc có các kế hoạch tài chính quan trọng, thì có thể cân nhắc lựa chọn…</t>
  </si>
  <si>
    <t>Bên cạnh đó, khách hàng có thể tối ưu chi phí sử dụng dịch vụ khi lựa chọn các gói tài khoản ngân hàng miễn phí , giúp…</t>
  </si>
  <si>
    <t>Bài viết này cung cấp thông tin chi tiết về cho vay kinh doanh hộ gia đình, giúp bạn đưa ra quyết định tài chính chính…</t>
  </si>
  <si>
    <t>Một bản kế hoạch chi tiết, rõ ràng và có tính thuyết phục cao sẽ thể hiện mục đích vay nghiêm túc của người vay và khả…</t>
  </si>
  <si>
    <t>Bài viết dưới đây sẽ giúp bạn hiểu rõ có 100 triệu có nên mua ô tô trả góp không , cách tính chi phí và những lưu ý qua…</t>
  </si>
  <si>
    <t>Bạn cần vay 200 triệu để chi tiêu, hoặc mở rộng kế hoạch cá nhân?</t>
  </si>
  <si>
    <t>1. Điều kiện, hồ sơ, thủ tục mua xe ô tô trả góp</t>
  </si>
  <si>
    <t>Chuyên viên tư vấn chuyên nghiệp, hỗ trợ nhiệt tình trong suốt thời gian vay, hotline hỗ trợ 24/7, giao dịch tại hơn 30…</t>
  </si>
  <si>
    <t>Nhắc: trả góp, khoản vay.</t>
  </si>
  <si>
    <t>Những lý giải chi tiết về từng yếu tố trong bài viết dưới đây có thể sẽ giúp bạn tìm được câu trả lời cho câu hỏi vay m…</t>
  </si>
  <si>
    <t>1. Giải ngân vốn vay thế chấp là gì?</t>
  </si>
  <si>
    <t>“Giải ngân vốn cho vay là việc tổ chức tín dụng cho vay giao cho khách hàng một khoản tiền thông qua việc sử dụng dịch…</t>
  </si>
  <si>
    <t>1. Lập kế hoạch tài chính rõ ràng</t>
  </si>
  <si>
    <t>Vay mua nhà là khoản vay dài hạn, nếu không tính toán kỹ từ đầu, người vay có thể gặp áp lực trả nợ khi lãi suất thay đ…</t>
  </si>
  <si>
    <t>Vay tiền với giải pháp vay tín chấp tại phòng giao dịch/chi nhánh Techcombank.</t>
  </si>
  <si>
    <t>vay thấu chi là như nào</t>
  </si>
  <si>
    <t>Thông tin chi tiết về điều kiện vay ưu đãi, lãi suất và hạn mức vay với nhu cầu mua nhà ở xã hội sẽ được phân tích chi…</t>
  </si>
  <si>
    <t>1. Lợi ích của vay thế chấp cho doanh nghiệp và hộ kin…</t>
  </si>
  <si>
    <t>Điều này có nghĩa là chi phí tài chính của khách hàng thấp hơn đáng kể trong suốt quá trình vay, từ đó giảm thiểu rủi r…</t>
  </si>
  <si>
    <t>Nắm bắt được khó khăn này, giải pháp vay vốn cho doanh nghiệp nhỏ và siêu nhỏ giúp doanh nghiệp tiếp cận nhiều nguồn vố…</t>
  </si>
  <si>
    <t>Mua nhà trả góp đưa trước 100 triệu VND có thực hiện được không còn phụ thuộc vào giá trị bất động sản, tỷ lệ vay, thu…</t>
  </si>
  <si>
    <t>Cần vay 300 triệu VND để chi tiêu, mở rộng kinh doanh nhưng không có tài sản đảm bảo?</t>
  </si>
  <si>
    <t>Vay tiền ngân hàng giúp bạn có thêm nguồn lực tài chính để dựng xây, mua căn nhà mơ ước, nhất là khi chi phí vật liệu x…</t>
  </si>
  <si>
    <t>3. Lựa chọn kỳ hạn vay phù hợp</t>
  </si>
  <si>
    <t>Việc đánh giá kỹ lưỡng nguồn thu nhập hiện tại và tiềm năng tăng thu nhập trong tương lai sẽ giúp bạn xác định chính xá…</t>
  </si>
  <si>
    <t>kiểm tra nợ xấu</t>
  </si>
  <si>
    <t>Khách hàng có 2 cách kiểm tra nợ xấu trên hệ thống tín dụng CIC, đó là kiểm tra thông qua t…</t>
  </si>
  <si>
    <t>tra cứu nợ xấu</t>
  </si>
  <si>
    <t>Trên màn hình chính của ứng dụng, chọn mục "Tra cứu nợ xấu".</t>
  </si>
  <si>
    <t>Mở rộng chủ đề (theo plan): bài nhắc tính lãi, vay, thấu chi.</t>
  </si>
  <si>
    <t>3. Cách kiểm tra nợ xấu bằng CCCD</t>
  </si>
  <si>
    <t>Bạn có thể kiểm tra nợ xấu chỉ với CCCD thông qua Trung tâm Thông tin Tín dụng Quốc gia Việt Nam (CIC) .</t>
  </si>
  <si>
    <t>3. 3 Cách kiểm tra nợ xấu bằng CCCD nhanh, đơn giản 20…</t>
  </si>
  <si>
    <t>Mở rộng chủ đề (theo plan): bài nhắc tính lãi, vay, dư nợ.</t>
  </si>
  <si>
    <t>… dụng cá nhân, theo dõi lịch sử vay vốn và đặc biệt là tra cứu nợ xấu để biết tình trạng tín dụng của mình đang ở mức…</t>
  </si>
  <si>
    <t>Mở rộng chủ đề (theo plan): bài nhắc tính lãi, vay, lãi suất.</t>
  </si>
  <si>
    <t>3. Thanh toán trả góp tại quầy giao dịch ngân hàng</t>
  </si>
  <si>
    <t>Ngoài ra, nếu cần kiểm tra lại số tiền thanh toán trả góp dư nợ trong tháng, bạn có thể tính toán theo công thức dưới đ…</t>
  </si>
  <si>
    <t>Mở rộng chủ đề (theo plan): bài nhắc vay, tín chấp, giải ngân.</t>
  </si>
  <si>
    <t>Kiểm tra lại khoản nợ:</t>
  </si>
  <si>
    <t>Mở rộng chủ đề (theo plan): bài nhắc vay, thế chấp, mua xe.</t>
  </si>
  <si>
    <t>Mở rộng chủ đề (theo plan): bài nhắc vay, tín chấp, thế chấp.</t>
  </si>
  <si>
    <t>Để sử dụng thẻ phụ an toàn, cần giới hạn hạn mức và kiểm soát chi tiêu , tránh rủi ro tài chính và nợ xấu.</t>
  </si>
  <si>
    <t>3. 3 cách hạn chế quá hạn thanh toán tín dụng</t>
  </si>
  <si>
    <t>Sử dụng dịch vụ thanh toán tín dụng tự động sẽ giúp khách hàng giảm thiểu nỗi lo phải ghi nhớ kỳ hạn thanh toán mỗi thá…</t>
  </si>
  <si>
    <t>Mở rộng chủ đề (theo plan): bài nhắc vay, thế chấp, hạn mức.</t>
  </si>
  <si>
    <t>Không có kế hoạch quản lý chi tiêu hợp lý dễ dẫn đến chi tiêu mất kiểm soát, cộng dồn nợ, trả chậm gây phát sinh lãi su…</t>
  </si>
  <si>
    <t>Mở rộng chủ đề (theo plan): bài nhắc vay, thế chấp, giải ngân.</t>
  </si>
  <si>
    <t>Đăng nhập và kiểm tra dư nợ tín dụng</t>
  </si>
  <si>
    <t>4. Kinh nghiệm lựa chọn phương án trả góp học phí phù…</t>
  </si>
  <si>
    <t>Đồng thời, nên chủ động kiểm tra dư nợ và số tiền cần thanh toán trên Techcombank Mobile để cân đối dòng tiền, tránh ph…</t>
  </si>
  <si>
    <t>https://techcombank.com/thong-tin/blog/lap-ke-hoach-chi-tieu-ca-nhan</t>
  </si>
  <si>
    <t>3. 4 bước lập kế hoạch quản lý tài chính cá nhân</t>
  </si>
  <si>
    <t>Bao gồm việc kiểm tra thu nhập hàng tháng, các khoản nợ, và các khoản tiết kiệm.</t>
  </si>
  <si>
    <t>Mở rộng chủ đề (theo plan): bài nhắc vay, thế chấp, lãi suất.</t>
  </si>
  <si>
    <t>Việc tra cứu/kiểm tra thuế thu nhập cá nhân (TNCN) định kỳ là điều cần thiết giúp người nộp thuế nắm rõ nghĩa vụ và quy…</t>
  </si>
  <si>
    <t>Mở rộng chủ đề (theo plan): bài nhắc vay, hạn mức, lãi suất.</t>
  </si>
  <si>
    <t>Nên tra cứu báo cáo tín dụng ít nhất 1 - 2 lần/năm để kiểm soát tình hình vay nợ và kịp thời phát hiện sai sót (nếu có).</t>
  </si>
  <si>
    <t>Mở rộng chủ đề (theo plan): bài nhắc vay, thấu chi, hạn mức.</t>
  </si>
  <si>
    <t>Ngoài việc nắm rõ khái niệm vay thế chấp là gì , khách hàng vay thế chấp tại Techcombank có thể dễ dàng tra cứu thông t…</t>
  </si>
  <si>
    <t>Mở rộng chủ đề (theo plan): bài nhắc vay, tín chấp, hạn mức.</t>
  </si>
  <si>
    <t>Mở rộng chủ đề (theo plan): bài nhắc vay, cic, lãi suất.</t>
  </si>
  <si>
    <t>Mở rộng chủ đề (theo plan): bài nhắc vay, nợ xấu, cic.</t>
  </si>
  <si>
    <t>1.5. Tra cứu số dư/in sao kê</t>
  </si>
  <si>
    <t>Để tra cứu số dư thẻ ghi nợ hoặc in sao kê 5 giao dịch gần nhất, khách hàng có thể tìm đến cây ATM gần nhất để thực hiệ…</t>
  </si>
  <si>
    <t>Mở rộng chủ đề (theo plan): bài nhắc vay, giải ngân, lãi suất.</t>
  </si>
  <si>
    <t>nên vay tín chấp ở đâu</t>
  </si>
  <si>
    <t>Ngoài điều kiện cơ bản về thủ tục cho vay hạn mức cá nhân, để vay tín chấp với hạn mức cao, bạn nên đảm bảo một số yếu…</t>
  </si>
  <si>
    <t>3. Các chi phí phát sinh khác khi vay tín chấp</t>
  </si>
  <si>
    <t>Bạn nên tìm hiểu kỹ lưỡng lãi suất và khoản phí phát sinh khi vay tín chấp.</t>
  </si>
  <si>
    <t>Như vậy, bản chất của giao dịch vay thế chấp sổ hồng là sử dụng Giấy chứng nhận quyền sử dụng đất, quyền sở hữu nhà ở v…</t>
  </si>
  <si>
    <t>Mở rộng chủ đề (theo plan): bài nhắc vay, tín chấp, nợ xấu.</t>
  </si>
  <si>
    <t>Do đó, bạn nên chủ động thanh toán dư nợ thẻ tín dụng đúng hạn để duy trì lịch sử tín dụng tích cực, đồng thời có thể c…</t>
  </si>
  <si>
    <t>Mở rộng chủ đề (theo plan): bài nhắc vay, thế chấp, nợ xấu.</t>
  </si>
  <si>
    <t>5. Có nên vay tín chấp hộ kinh doanh không?</t>
  </si>
  <si>
    <t>Hộ kinh doanh nên tìm hiểu và vay tín chấp vì đây là giải pháp hiệu quả, tiết kiệm thời gian và phù hợp với tình hình t…</t>
  </si>
  <si>
    <t>Nên mua bảo hiểm sức khỏe nào và mua bảo hiểm sức khỏe ở đâu thì uy tín nhất?</t>
  </si>
  <si>
    <t>Mở rộng chủ đề (theo plan): bài nhắc vay, thấu chi.</t>
  </si>
  <si>
    <t>Tuy nhiên, nếu có nhu cầu vốn lớn hoặc dài hạn hơn, khách hàng nên tìm hiểu kỹ sự khác biệt giữa vay tín chấp và vay th…</t>
  </si>
  <si>
    <t>Mở rộng chủ đề (theo plan): bài nhắc vay, tín chấp.</t>
  </si>
  <si>
    <t>https://techcombank.com/thong-tin/blog/mua-chung-chi-quy</t>
  </si>
  <si>
    <t>Bài viết dưới đây sẽ hướng dẫn chi tiết cách mua chứng chỉ quỹ và đưa ra gợi ý nên mua chứng chỉ quỹ ở đâu để đảm bảo u…</t>
  </si>
  <si>
    <t>Mở rộng chủ đề (theo plan): bài nhắc vay, thế chấp.</t>
  </si>
  <si>
    <t>3.2. Mở thẻ tín dụng trực tiếp tại phòng giao dịch</t>
  </si>
  <si>
    <t>Ở góc độ tài chính dài hạn, khách hàng cũng có thể tham khảo thêm việc có nên vay ngân hàng mua nhà để đưa ra các kế ho…</t>
  </si>
  <si>
    <t>Doanh nghiệp nên dành thời gian để tìm hiểu và so sánh các chương trình vay tín chấp đó để đưa ra lựa chọn hợp lý.</t>
  </si>
  <si>
    <t>Mở rộng chủ đề (theo plan): bài nhắc vay, giải ngân.</t>
  </si>
  <si>
    <t>Để gia tăng cơ hội được ngân hàng phê duyệt khoản vay tín chấp, doanh nghiệp nên:</t>
  </si>
  <si>
    <t>Để hiểu rõ hơn về thông tin các gói vay và được tư vấn gói vay tín chấp theo lương phù hợp với nhu cầu và năng lực tài…</t>
  </si>
  <si>
    <t>Mở rộng chủ đề (theo plan): bài nhắc vay, mua nhà.</t>
  </si>
  <si>
    <t>1. Chỉ cần CCCD chưa thể đảm bảo vay ngân hàng thành c…</t>
  </si>
  <si>
    <t>Đối với các giải pháp vay tín chấp của ngân hàng, khách hàng cần có hợp đồng lao động ở đơn vị đang công tác và sao kê…</t>
  </si>
  <si>
    <t>Như vậy, bài viết đã giải đáp thắc mắc làm thẻ Visa ở đâu , đồng thời gợi ý nên mở thẻ Visa ngân hàng nào dựa trên các…</t>
  </si>
  <si>
    <t>Vì vậy, khi có ý định vay thế chấp ngân hàng, bạn nên xây dựng cho mình một lịch sử tín dụng tốt bằng cách:</t>
  </si>
  <si>
    <t>5. Thời gian thanh toán chương trình vay tiền sinh viên</t>
  </si>
  <si>
    <t>Đây cũng là thông tin được nhiều phụ huynh quan tâm khi tìm hiểu vay vốn sinh viên ở đâu uy tín và đúng chính sách hỗ t…</t>
  </si>
  <si>
    <t>Việc vay thế chấp sẽ trở nên dễ dàng hơn khi khách hàng nắm rõ thông tin sản phẩm vay, có kế hoạch sử dụng vốn, lựa chọ…</t>
  </si>
  <si>
    <t>Doanh nghiệp nên số hóa giao dịch và duy trì dòng tiền ổn định qua tài khoản ngân hàng để dễ dàng tiếp cận các khoản va…</t>
  </si>
  <si>
    <t>3.2. Có thể vay ngân hàng không chứng minh thu nhập đư…</t>
  </si>
  <si>
    <t>Trong trường hợp khách hàng muốn vay vốn ngân hàng không yêu cầu chứng minh thu nhập thì có thể xem xét giải pháp vay t…</t>
  </si>
  <si>
    <t>Nên mở thẻ tín dụng hạn mức cao, an toàn, nhiều ưu đãi ở đâu?</t>
  </si>
  <si>
    <t>Doanh nghiệp có thể vay vốn ngân hàng với nhiều hình thức khác nhau ở nhiều tài khoản như vay tín chấp, vay thấu chi, v…</t>
  </si>
  <si>
    <t>Mở rộng chủ đề (theo plan): bài nhắc vay, lãi suất.</t>
  </si>
  <si>
    <t>Nên tìm hiểu kỹ các hình thức tín dụng tiêu dùng khác như thẻ tín dụng, vay tiêu dùng tín chấp, vay tiêu dùng thế chấp,…</t>
  </si>
  <si>
    <t>Mở rộng chủ đề (theo plan): bài nhắc tính lãi, lãi suất.</t>
  </si>
  <si>
    <t>2. Chuẩn bị hồ sơ vay tiêu dùng cá nhân</t>
  </si>
  <si>
    <t>Bảng lương ở thời điểm vay tín chấp hoặc bảng sao kê lương tối thiểu 03 tháng gần nhất</t>
  </si>
  <si>
    <t>nợ xấu</t>
  </si>
  <si>
    <t>Vì vậy, nhiều người thắc mắc nợ xấu bao lâu thì xóa, liệu nợ xấu không trả bao lâu được xó…</t>
  </si>
  <si>
    <t>… ra, chủ thẻ có thể sẽ bị đưa vào danh sách nợ quá hạn/nợ xấu, gây khó khăn trong việc mở thẻ tín dụng khác hoặc vay…</t>
  </si>
  <si>
    <t>Mở rộng chủ đề (theo plan): bài nhắc vay, nợ xấu.</t>
  </si>
  <si>
    <t>…uá hạn tín dụng có thể dẫn đến các bất lợi cho bạn như nợ xấu hay khởi kiện, giải đáp khắc phục ra sao sẽ được phân …</t>
  </si>
  <si>
    <t>4.4. Nợ xấu có làm thẻ tín dụng được không?</t>
  </si>
  <si>
    <t>…àng tại từng thời kỳ, tuy nhiên nếu khách hàng đang có nợ xấu thường sẽ không được cấp thẻ tín dụng.</t>
  </si>
  <si>
    <t>Mở rộng chủ đề (theo plan): bài nhắc vay, cic.</t>
  </si>
  <si>
    <t>4. Cần kết hợp NIM với những chỉ số nào khi đánh giá n…</t>
  </si>
  <si>
    <t>Tỷ lệ nợ xấu và chi phí dự phòng:</t>
  </si>
  <si>
    <t>https://techcombank.com/thong-tin/blog/cach-dang-ky-the-visa</t>
  </si>
  <si>
    <t>4. 4 câu hỏi thường gặp khi đăng ký thẻ Visa</t>
  </si>
  <si>
    <t>Khách hàng bị nợ xấu vẫn có thể làm thẻ Visa Debit và Visa Prepaid, tuy nhi…</t>
  </si>
  <si>
    <t>2.1. Điều kiện vay tiêu dùng tín chấp trả góp</t>
  </si>
  <si>
    <t>Không có nợ xấu tại các tổ chức tín dụng và công ty tài chính</t>
  </si>
  <si>
    <t>Nợ xấu có vay tín chấp được không?</t>
  </si>
  <si>
    <t>2. Điều kiện để được vay tín chấp là gì?</t>
  </si>
  <si>
    <t>Người vay không có nợ xấu ở các ngân hàng hay các công ty tài chính khác.</t>
  </si>
  <si>
    <t>1. 4 tiêu chí đánh giá nâng hạn mức tín dụng cá nhân</t>
  </si>
  <si>
    <t>Lịch sử thẻ tín dụng tốt, không có nợ xấu, thanh toán đúng kỳ hạn, sử dụng thẻ đúng mục đích sẽ …</t>
  </si>
  <si>
    <t>3. Điều kiện vay thấu chi là gì?</t>
  </si>
  <si>
    <t>Công dân Việt Nam, độ tuổi từ 20 - 70, thu nhập từ 10 triệu VND/tháng, không có nợ xấu</t>
  </si>
  <si>
    <t>…kiệm tiền của người Nhật , cũng nhấn mạnh việc hạn chế nợ xấu và duy trì tính kỷ luật trong chi tiêu để tránh rủi ro…</t>
  </si>
  <si>
    <t>2.7. Dư nợ trong hạn</t>
  </si>
  <si>
    <t>Dư nợ trong hạn là khoản vay vẫn đang trong thời gian trả nợ đúng theo hợp đồng, chưa bị chậm hoặc chuyển sang nhóm nợ…</t>
  </si>
  <si>
    <t>… nhiều khách hàng quan tâm đến việc check hay kiểm tra nợ xấu để nắm rõ tình trạng tín dụng của bản thân.</t>
  </si>
  <si>
    <t>3. Trễ hạn thanh toán tín dụng 1 ngày có thành nợ xấu…</t>
  </si>
  <si>
    <t>…ễ hạn thanh toán tín dụng 1 ngày không bị xếp vào nhóm nợ xấu nhưng sẽ bị xếp vào nhóm nợ quá hạn, ảnh hưởng tới điể…</t>
  </si>
  <si>
    <t>Nhiều khách hàng có lịch sử nợ không tốt nên có băn khoăn về việc nợ xấu có làm thẻ Visa được không .</t>
  </si>
  <si>
    <t>…i thiểu thẻ tín dụng… để tránh các khoản phí phạt hoặc nợ xấu.</t>
  </si>
  <si>
    <t>hay “thẻ tín dụng bị khóa do nợ xấu không?" Để giúp khách hàng nhanh chóng mở khóa thẻ, bà…</t>
  </si>
  <si>
    <t>…n Center hay còn gọi là Trung tâm Thông tin Tín Dụng), nợ xấu được chia thành 5 nhóm, có những nhóm mở được thẻ tín …</t>
  </si>
  <si>
    <t>Vậy những người từng rơi vào tình trạng nợ xấu có vay thế chấp được không ?</t>
  </si>
  <si>
    <t>Tuy nhiên, nhiều người gặp khó khăn trong việc vay vốn do có nợ xấu.</t>
  </si>
  <si>
    <t>Phân loại nhóm nợ xấu theo Trung tâm Thông tin tín dụng Quốc gia Việt Nam (CIC).</t>
  </si>
  <si>
    <t>… nhân, theo dõi lịch sử vay vốn và đặc biệt là tra cứu nợ xấu để biết tình trạng tín dụng của mình đang ở mức nào.</t>
  </si>
  <si>
    <t>2.1. Điều kiện vay tín chấp theo lương</t>
  </si>
  <si>
    <t>2.2 Điều kiện vay thế chấp xây/sửa nhà</t>
  </si>
  <si>
    <t>Tại thời điểm vay vốn khách hàng không có dư nợ xấu tại Techcombank hoặc các tổ chức tín dụng khác</t>
  </si>
  <si>
    <t>nợ xấu là gì</t>
  </si>
  <si>
    <t>Nếu bị rơi vào nhóm nợ có thời hạn quá hạn cao, người vay sẽ có lịch sử tín dụng xấu.</t>
  </si>
  <si>
    <t>vay tín chấp không trả được có sao không</t>
  </si>
  <si>
    <t>2. Lãi suất quá hạn là gì?</t>
  </si>
  <si>
    <t>Nếu khách hàng không thanh toán lãi vay theo thời hạn quy định trong hợp đồng, họ phải trả lãi chậm trả theo mức lãi su…</t>
  </si>
  <si>
    <t>Với những khách hàng có thắc mắc nợ thẻ tín dụng không trả thì sao, hay nợ tín chấp quá hạn bao lâu thì bị khởi kiện?</t>
  </si>
  <si>
    <t>3.1. Lãi suất và các khoản phí</t>
  </si>
  <si>
    <t>Ngoài ra khi vay tín chấp, bạn có thể phải chi trả thêm một số khoản phí phát sinh khác như:</t>
  </si>
  <si>
    <t>6.3. Làm hồ sơ trả góp điện thoại có cần chứng minh th…</t>
  </si>
  <si>
    <t>Nếu vay tín chấp hoặc trả góp qua công ty tài chính, bạn có thể cần cung cấp thông tin thu nhập, công việc hoặc giấy tờ…</t>
  </si>
  <si>
    <t>Mở rộng chủ đề (theo plan): bài nhắc nợ xấu, cic, tất toán. Liên quan rộng – đọc bài trước khi chèn.</t>
  </si>
  <si>
    <t>Theo dõi dư nợ giúp bạn nắm rõ tiến độ trả nợ, chủ động quản lý tài chính cá nhân và duy trì lịch sử tín dụng tốt với n…</t>
  </si>
  <si>
    <t>Mở rộng chủ đề (theo plan): bài nhắc tính lãi. Liên quan rộng – đọc bài trước khi chèn.</t>
  </si>
  <si>
    <t>Ngoài ra, hiện nay Techcombank đang triển khai thêm gói vay Vay trả góp tín chấp dành cho hộ kinh doanh với hạn mức lên…</t>
  </si>
  <si>
    <t>Doanh nghiệp mới cần chứng minh được uy tín và khả năng trả nợ khi muốn vay tín chấp.</t>
  </si>
  <si>
    <t>Mở rộng chủ đề (theo plan): bài nhắc tất toán, lãi suất. Liên quan rộng – đọc bài trước khi chèn.</t>
  </si>
  <si>
    <t>vay thế chấp và vay tín chấp.</t>
  </si>
  <si>
    <t>Bài viết này sẽ giới thiệu một cách tổng quan các hình thức vay vốn ngân hàng phổ biến, bao gồm vay tín chấp doanh nghi…</t>
  </si>
  <si>
    <t>Mở rộng chủ đề (theo plan): bài nhắc hạn mức, lãi suất. Liên quan rộng – đọc bài trước khi chèn.</t>
  </si>
  <si>
    <t>Mở rộng chủ đề (theo plan): bài nhắc giải ngân. Liên quan rộng – đọc bài trước khi chèn.</t>
  </si>
  <si>
    <t>Mở rộng chủ đề (theo plan): bài nhắc mua xe. Liên quan rộng – đọc bài trước khi chèn.</t>
  </si>
  <si>
    <t>Mở rộng chủ đề (theo plan): bài nhắc hạn mức. Liên quan rộng – đọc bài trước khi chèn.</t>
  </si>
  <si>
    <t>3.3. Tra cứu tại phòng giao dịch ngân hàng</t>
  </si>
  <si>
    <t>Vay tín chấp dựa trên uy tín, năng lực thanh toán của khách hàng và các điều kiện cá nhân của họ để xác định khả năng t…</t>
  </si>
  <si>
    <t>7.4. Bị nợ xấu có vay tiền ngân hàng được không?</t>
  </si>
  <si>
    <t>Tuỳ theo chính sách của từng ngân hàng, nhưng phần lớn các ngân hàng thường lo ngại khi cấp tín dụng (cho vay, mở thẻ t…</t>
  </si>
  <si>
    <t>Trong thực tế, nhiều khách hàng cũng quan tâm liệu nợ xấu có vay thế chấp được không , vì các nhóm nợ cao có thể ảnh hư…</t>
  </si>
  <si>
    <t>Mở rộng chủ đề (theo plan): bài nhắc mua nhà. Liên quan rộng – đọc bài trước khi chèn.</t>
  </si>
  <si>
    <t>Tuy nhiên, thông thường thì khách hàng đang có nợ xấu sẽ không được cấp thẻ tín dụng, cũng như bị hạn chế đối với các s…</t>
  </si>
  <si>
    <t>Hiện nay, Techcombank đang mang đến giải pháp Vay tiêu dùng tín chấp trả góp dành riêng cho các khách hàng có nhu cầu v…</t>
  </si>
  <si>
    <t>bảng tính lãi suất tiết kiệm – 68 link
công cụ tính lãi tiết kiệm – 32 link</t>
  </si>
  <si>
    <t>1. Nợ nhóm 3 là gì?</t>
  </si>
  <si>
    <t>Do người vay không đủ khả năng trả lãi đầy đủ theo hợp đồng tín dụng.</t>
  </si>
  <si>
    <t>Mục tiêu 100 triệu — tính lãi tích lũy.</t>
  </si>
  <si>
    <t>Techcombank đang mang đến cho khách hàng giải pháp tài chính Vay tiêu dùng tín chấp trả góp nhanh chóng và tiện lợi với…</t>
  </si>
  <si>
    <t>So sánh gửi tiết kiệm 50 triệu — cần tính lãi.</t>
  </si>
  <si>
    <t>Tiết kiệm tích lũy — tính lãi.</t>
  </si>
  <si>
    <t>Trước khi gửi, tính lãi dự kiến.</t>
  </si>
  <si>
    <t>So sánh lãi — dùng công cụ.</t>
  </si>
  <si>
    <t>Ví dụ về lịch sử tín dụng cá nhân - cơ sở để ngân hàng đánh giá khả năng trả nợ của khách hàng khi cho vay thế chấp.</t>
  </si>
  <si>
    <t>Nhu cầu vay vốn ngày càng tăng cao trong xã hội hiện đại, đặc biệt là vay tín chấp.</t>
  </si>
  <si>
    <t>cách đầu tư chứng chỉ quỹ</t>
  </si>
  <si>
    <t>Các loại chứng chỉ quỹ hiện nay như chứng chỉ quỹ mở và đóng, chứng chỉ Quỹ ETF cũng như cách hoạt động của kênh đầu tư…</t>
  </si>
  <si>
    <t>3. Kinh nghiệm lựa chọn, đầu tư chứng chỉ quỹ an toàn</t>
  </si>
  <si>
    <t>Để đầu tư chứng chỉ quỹ hiệu quả, không chỉ dừng lại ở việc lựa chọn đúng loại quỹ mà còn cần hiểu đúng cách đánh giá,…</t>
  </si>
  <si>
    <t>Khi số lượng quỹ mở tại Việt Nam ngày càng đa dạng, việc chọn đúng app theo dõi chứng chỉ quỹ giúp nhà đầu tư dễ dàng t…</t>
  </si>
  <si>
    <t>Nhắc: gửi tiết kiệm, tích lũy.</t>
  </si>
  <si>
    <t>đầu tư chứng chỉ quỹ cho người mới</t>
  </si>
  <si>
    <t>https://techcombank.com/thong-tin/blog/chung-chi-quy-va-co-phieu</t>
  </si>
  <si>
    <t>4. Giá cả và cách giao dịch</t>
  </si>
  <si>
    <t>Chứng chỉ quỹ phù hợp với nhà đầu tư mới hoặc vốn nhỏ, trong khi cổ phiếu đòi hỏi sẵn sàng theo dõi thị trường và quản…</t>
  </si>
  <si>
    <t>Hơn nữa, Nghị định 08/2023 ngưng hiệu lực thi hành một số quy định tại Nghị định 65/2022 về chào bán, giao dịch TPDN ri…</t>
  </si>
  <si>
    <t>Gửi tiết kiệm tiền sẽ giúp khoản tiền nhàn rỗi của bạn sinh lời ổn định, nhưng nếu kỳ vọng khoản tiền đó "sinh sôi" nha…</t>
  </si>
  <si>
    <t>https://techcombank.com/thong-tin/blog/bang-gia-chung-chi-quy</t>
  </si>
  <si>
    <t>Bài viết này sẽ giải thích chi tiết bảng giá chứng chỉ quỹ là gì, cách tra cứu và những lưu ý cần biết khi đầu tư.</t>
  </si>
  <si>
    <t>9. Tối ưu hóa dòng vốn nhỏ - Mua chứng chỉ quỹ ngay tr…</t>
  </si>
  <si>
    <t>Mỗi cách đầu tư tài chính từ gửi tiết kiệm an toàn, chứng chỉ quỹ, trái phiếu cho đến cổ phiếu, vàng hay bất động sản đ…</t>
  </si>
  <si>
    <t>https://techcombank.com/thong-tin/blog/thoi-gian-khop-lech-chung-chi-quy</t>
  </si>
  <si>
    <t>3. Lưu ý cho nhà đầu tư khi giao dịch chứng chỉ quỹ</t>
  </si>
  <si>
    <t>Việc hiểu rõ lãi suất chứng chỉ quỹ theo từng giai đoạn cũng giúp nhà đầu tư đánh giá mức tăng trưởng của danh mục một…</t>
  </si>
  <si>
    <t>1. Khái niệm giá chứng chỉ quỹ là gì?</t>
  </si>
  <si>
    <t>Nói cách khác, đây là thước đo thể hiện giá trị thực mà nhà đầu tư đang nắm giữ khi sở hữu một chứng chỉ quỹ.</t>
  </si>
  <si>
    <t>https://techcombank.com/thong-tin/blog/lap-ke-hoach-tai-chinh-ca-nhan</t>
  </si>
  <si>
    <t>2.3. Bước 3: Đặt lại ngân sách chi tiêu</t>
  </si>
  <si>
    <t>Đây là khoản then chốt, bao gồm quỹ dự phòng khẩn cấp, tiết kiệm dài hạn và các kênh đầu tư như chứng khoán, quỹ mở hoặ…</t>
  </si>
  <si>
    <t>Với nhà đầu tư mới, việc nắm rõ cách mua chứng chỉ quỹ mở cũng quan trọng không kém, bởi quy trình giao dịch và thời đi…</t>
  </si>
  <si>
    <t>Chiếc lọ đầu tư tập trung vào việc gia tăng tài sản của bạn thông qua các hình thức đầu tư khác nhau như cổ phiếu, chứn…</t>
  </si>
  <si>
    <t>https://techcombank.com/thong-tin/blog/phan-bo-tai-san</t>
  </si>
  <si>
    <t>5. Một số lựa chọn tài sản đầu tư phổ biến tại Việt Nam</t>
  </si>
  <si>
    <t>Chứng chỉ quỹ cho phép bạn tham gia vào danh mục đầu tư đa dạng, được quản lý bởi đội ngũ chuyên gia, từ đó giảm rủi ro…</t>
  </si>
  <si>
    <t>Đầu tư đơn giản chỉ từ 10,000 VND với đa dạng lựa chọn quỹ mở do chuyên gia quản lý</t>
  </si>
  <si>
    <t>https://techcombank.com/thong-tin/blog/danh-muc-dau-tu</t>
  </si>
  <si>
    <t>Bước 4: Theo dõi và điều chỉnh định kỳ</t>
  </si>
  <si>
    <t>Với những người mới bắt đầu, thay vì phải tự mình chọn từng cổ phiếu hay trái phiếu, bạn có thể bắt đầu bằng chứng chỉ…</t>
  </si>
  <si>
    <t>https://techcombank.com/thong-tin/blog/dau-co-va-dau-tu</t>
  </si>
  <si>
    <t>2. Tiêu chí phân biệt đầu cơ và đầu tư</t>
  </si>
  <si>
    <t>Kênh đầu tư qua chứng chỉ quỹ cho người mới bắt đầu</t>
  </si>
  <si>
    <t>2.2. Chứng chỉ quỹ</t>
  </si>
  <si>
    <t>https://techcombank.com/thong-tin/blog/dau-tu-dai-han</t>
  </si>
  <si>
    <t>Chứng chỉ quỹ mở có phù hợp với người mới bắt đầu đầu tư dài hạn không?</t>
  </si>
  <si>
    <t>3.2. Tính lãi vay tiền ngân hàng theo dư nợ ban đầu</t>
  </si>
  <si>
    <t>Bên cạnh việc vay vốn để tiêu dùng hoặc kinh doanh, nhiều người cũng tìm hiểu về các loại chứng chỉ quỹ ở Việt Nam để đ…</t>
  </si>
  <si>
    <t>https://techcombank.com/thong-tin/blog/chung-chi-quy-va-chung-khoan</t>
  </si>
  <si>
    <t>2. Nên đầu tư chứng chỉ quỹ hay các loại chứng khoán k…</t>
  </si>
  <si>
    <t>Nếu bạn là nhà đầu tư cá nhân mới, muốn tích lũy tài sản từ từ mà không cần theo dõi thị trường mỗi ngày, chứng chỉ quỹ…</t>
  </si>
  <si>
    <t>phương pháp đầu tư chứng chỉ quỹ</t>
  </si>
  <si>
    <t>4. Liên kết thanh toán hóa đơn và đầu tư cá nhân</t>
  </si>
  <si>
    <t>Các ngân hàng đang cung cấp giải pháp cho phép khách hàng không chỉ thanh toán các hóa đơn hàng tháng (như điện, nước,…</t>
  </si>
  <si>
    <t>7. Đầu tư quỹ</t>
  </si>
  <si>
    <t>Tại Techcombank, khách hàng có thể đầu tư chứng chỉ quỹ thông qua iFund - giải pháp đầu tư quỹ mở do TCBS phát triển, g…</t>
  </si>
  <si>
    <t>3. Chuẩn bị hồ sơ cá nhân, chứng minh tài chính và giấ…</t>
  </si>
  <si>
    <t>Bên cạnh các giải pháp đầu tư qua chứng chỉ quỹ, với các gia đình thuộc nhóm khách hàng cao cấp đang chuẩn bị định cư c…</t>
  </si>
  <si>
    <t>3.3. Chứng chỉ quỹ mở</t>
  </si>
  <si>
    <t>Với những nhà đầu tư muốn dòng tiền nhàn rỗi vừa có cơ hội sinh lời tốt hơn tiền gửi không kỳ hạn, vừa giữ được khả năn…</t>
  </si>
  <si>
    <t>https://techcombank.com/thong-tin/blog/chien-luoc-dau-tu</t>
  </si>
  <si>
    <t>2.5. Đa dạng hóa danh mục</t>
  </si>
  <si>
    <t>Đây là phương pháp quản trị rủi ro bằng cách chia nhỏ dòng vốn và phân bổ vào nhiều kênh đầu tư khác nhau như cổ phiếu,…</t>
  </si>
  <si>
    <t>Bên cạnh tiết kiệm, nhiều ứng dụng fintech còn cung cấp các giải pháp tài chính đa dạng như chứng chỉ quỹ, bảo hiểm, tà…</t>
  </si>
  <si>
    <t>Chứng chỉ quỹ là giải pháp đầu tư chuyên nghiệp giúp đa dạng hóa danh mục và tối ưu lợi nhuận dài hạn.</t>
  </si>
  <si>
    <t>Bên cạnh các giải pháp đầu tư qua chứng chỉ quỹ, với các gia đình thuộc nhóm khách hàng cao cấp đang chuẩn bị định cư M…</t>
  </si>
  <si>
    <t>Bài viết dưới đây sẽ đưa ra 3 lý do tiêu biểu giúp các khách hàng đang cân nhắc giải pháp này cảm thấy yên tâm khi lựa…</t>
  </si>
  <si>
    <t>Nhắc: tích lũy.</t>
  </si>
  <si>
    <t>Nhắc: tính lãi, lãi suất tiết kiệm, gửi tiết kiệm.</t>
  </si>
  <si>
    <t>URL đích</t>
  </si>
  <si>
    <t>Số bài blog chèn link</t>
  </si>
  <si>
    <t>Số bài blog chèn link trong thân bài</t>
  </si>
  <si>
    <t>Bài blog chứa link</t>
  </si>
  <si>
    <t>Nhắc: tính lãi, gửi tiết kiệm, tích lũy.</t>
  </si>
  <si>
    <t>Bao nhiêu tuổi được mở tài khoản ngân hàng?</t>
  </si>
  <si>
    <t>Unsecured Loan</t>
  </si>
  <si>
    <t>vay – 136 link
vay tiền – 37 link
vay nhanh – 14 link
vay tiền app – 1 link
app vay tiền – 1 link
app vay nhanh – 1 link
app vay tiền nhanh – 1 link
app vay – 1 link
vay tiền online chuyển khoản ngay – 1 link</t>
  </si>
  <si>
    <t>Vay online — app là kênh chính.</t>
  </si>
  <si>
    <t>Vay chỉ cần CCCD — trùng nhu cầu.</t>
  </si>
  <si>
    <t>Vay nhanh 24/24.</t>
  </si>
  <si>
    <t>Vay online 3 phút.</t>
  </si>
  <si>
    <t>Vay siêu tốc.</t>
  </si>
  <si>
    <t>Nhắc: vay online.</t>
  </si>
  <si>
    <t>Nhắc: vay tiền.</t>
  </si>
  <si>
    <t>Nhắc: vay tiền, vay tiền mặt.</t>
  </si>
  <si>
    <t>Nhắc: vay nhanh.</t>
  </si>
  <si>
    <t>Mở rộng chủ đề (theo plan): bài nhắc vay, thế chấp, trả góp.</t>
  </si>
  <si>
    <t>Mở rộng chủ đề (theo plan): bài nhắc vay, thế chấp, lãi suất vay.</t>
  </si>
  <si>
    <t>Mở rộng chủ đề (theo plan): bài nhắc vay, trả góp, mua nhà.</t>
  </si>
  <si>
    <t>Mở rộng chủ đề (theo plan): bài nhắc vay, lãi suất vay, thấu chi.</t>
  </si>
  <si>
    <t>Mở rộng chủ đề (theo plan): bài nhắc vay, tín chấp, lãi suất vay.</t>
  </si>
  <si>
    <t>Mở rộng chủ đề (theo plan): bài nhắc vay, khoản vay, tín chấp.</t>
  </si>
  <si>
    <t>Mở rộng chủ đề (theo plan): bài nhắc vay, khoản vay, trả góp.</t>
  </si>
  <si>
    <t>Mở rộng chủ đề (theo plan): bài nhắc vay, tín chấp, trả góp.</t>
  </si>
  <si>
    <t>Mở rộng chủ đề (theo plan): bài nhắc vay, trả góp, giải ngân.</t>
  </si>
  <si>
    <t>Mở rộng chủ đề (theo plan): bài nhắc vay, khoản vay, nợ xấu.</t>
  </si>
  <si>
    <t>Mở rộng chủ đề (theo plan): bài nhắc vay, khoản vay, thế chấp.</t>
  </si>
  <si>
    <t>Mở rộng chủ đề (theo plan): bài nhắc vay, trả góp, mua xe.</t>
  </si>
  <si>
    <t>Mở rộng chủ đề (theo plan): bài nhắc vay, khoản vay, hạn mức.</t>
  </si>
  <si>
    <t>Mở rộng chủ đề (theo plan): bài nhắc vay, khoản vay, dư nợ.</t>
  </si>
  <si>
    <t>Mở rộng chủ đề (theo plan): bài nhắc vay, trả góp, lãi suất.</t>
  </si>
  <si>
    <t>Mở rộng chủ đề (theo plan): bài nhắc vay, mua nhà, lãi suất.</t>
  </si>
  <si>
    <t>Mở rộng chủ đề (theo plan): bài nhắc vay, dư nợ, lãi suất.</t>
  </si>
  <si>
    <t>Mở rộng chủ đề (theo plan): bài nhắc vay, tín chấp, lãi suất.</t>
  </si>
  <si>
    <t>Mở rộng chủ đề (theo plan): bài nhắc vay, khoản vay, lãi suất.</t>
  </si>
  <si>
    <t>Mở rộng chủ đề (theo plan): bài nhắc vay, khoản vay, tất toán.</t>
  </si>
  <si>
    <t>Mở rộng chủ đề (theo plan): bài nhắc vay, lãi suất vay, lãi suất.</t>
  </si>
  <si>
    <t>Mở rộng chủ đề (theo plan): bài nhắc vay, khoản vay.</t>
  </si>
  <si>
    <t>Mở rộng chủ đề (theo plan): bài nhắc vay, trả góp.</t>
  </si>
  <si>
    <t>Mở rộng chủ đề (theo plan): bài nhắc trả góp, giải ngân, lãi suất. Liên quan rộng – đọc bài trước khi chèn.</t>
  </si>
  <si>
    <t>Mở rộng chủ đề (theo plan): bài nhắc trả góp, lãi suất. Liên quan rộng – đọc bài trước khi chèn.</t>
  </si>
  <si>
    <t>Mở rộng chủ đề (theo plan): bài nhắc thế chấp. Liên quan rộng – đọc bài trước khi chèn.</t>
  </si>
  <si>
    <t>Mở rộng chủ đề (theo plan): bài nhắc cic. Liên quan rộng – đọc bài trước khi chèn.</t>
  </si>
  <si>
    <t>Mở rộng chủ đề (theo plan): bài nhắc lãi suất. Liên quan rộng – đọc bài trước khi chèn.</t>
  </si>
  <si>
    <t>Mở rộng chủ đề (theo plan): bài nhắc trả góp. Liên quan rộng – đọc bài trước khi chèn.</t>
  </si>
  <si>
    <t>Mở rộng chủ đề (theo plan): bài nhắc dư nợ. Liên quan rộng – đọc bài trước khi chèn.</t>
  </si>
  <si>
    <t>Mở rộng chủ đề (theo plan): bài nhắc nợ xấu. Liên quan rộng – đọc bài trước khi chèn.</t>
  </si>
  <si>
    <t>Số URL đã có ít nhất 1 bài blog chèn link</t>
  </si>
  <si>
    <t>Số URL chưa có bài blog nào chèn link</t>
  </si>
  <si>
    <t>Số URL có link trong thân bài blog</t>
  </si>
  <si>
    <t>lãi suất vay ngân hàng – 36 link
lãi suất cho vay ngân hàng – 35 link
lãi vay ngân hàng hiện nay – 16 link
lãi suất vay ngân hàng hiện nay – 12 link
lãi suất vay ngân hàng hôm nay – 1 link</t>
  </si>
  <si>
    <t>Lãi suất là gì → lãi suất vay hiện nay.</t>
  </si>
  <si>
    <t>Lãi vay tiêu dùng — một phần lãi vay ngân hàng.</t>
  </si>
  <si>
    <t>Lãi vay tín chấp — anh em.</t>
  </si>
  <si>
    <t>Điều kiện vay — chèn ở đoạn chi phí vay.</t>
  </si>
  <si>
    <t>Lãi quá hạn so với lãi vay thông thường.</t>
  </si>
  <si>
    <t>Nhắc: lãi suất cho vay.</t>
  </si>
  <si>
    <t>Mở rộng chủ đề (theo plan): bài nhắc lãi suất, vay, thế chấp.</t>
  </si>
  <si>
    <t>Mở rộng chủ đề (theo plan): bài nhắc lãi suất, vay, tín chấp.</t>
  </si>
  <si>
    <t>Mở rộng chủ đề (theo plan): bài nhắc lãi suất, vay, trả góp.</t>
  </si>
  <si>
    <t>Mở rộng chủ đề (theo plan): bài nhắc lãi suất, vay, thấu chi.</t>
  </si>
  <si>
    <t>Mở rộng chủ đề (theo plan): bài nhắc lãi suất, vay, giải ngân.</t>
  </si>
  <si>
    <t>Mở rộng chủ đề (theo plan): bài nhắc lãi suất, vay, hạn mức.</t>
  </si>
  <si>
    <t>Mở rộng chủ đề (theo plan): bài nhắc lãi suất, vay, cic.</t>
  </si>
  <si>
    <t>Mở rộng chủ đề (theo plan): bài nhắc lãi suất, vay, mua nhà.</t>
  </si>
  <si>
    <t>Mở rộng chủ đề (theo plan): bài nhắc lãi suất, vay.</t>
  </si>
  <si>
    <t>Mở rộng chủ đề (theo plan): bài nhắc vay, khoản vay, mua nhà.</t>
  </si>
  <si>
    <t>Mở rộng chủ đề (theo plan): bài nhắc lãi suất, trả góp, giải ngân.</t>
  </si>
  <si>
    <t>vay thấu chi – 22 link
vay thấu chi là gì – 11 link
vay thấu chi là như nào – 10 link
thấu chi là gì – 7 link</t>
  </si>
  <si>
    <t>Trả nợ thấu chi.</t>
  </si>
  <si>
    <t>Vay hạn mức — gần với thấu chi.</t>
  </si>
  <si>
    <t>Nhắc: thấu chi.</t>
  </si>
  <si>
    <t>Mở rộng chủ đề (theo plan): bài nhắc hạn mức, vay, thế chấp.</t>
  </si>
  <si>
    <t>Mở rộng chủ đề (theo plan): bài nhắc hạn mức, vay, tín chấp.</t>
  </si>
  <si>
    <t>Mở rộng chủ đề (theo plan): bài nhắc hạn mức, vay, trả góp.</t>
  </si>
  <si>
    <t>Mở rộng chủ đề (theo plan): bài nhắc hạn mức, vay, lãi suất.</t>
  </si>
  <si>
    <t>kiểm tra nợ xấu – 16 link
tra cứu nợ xấu – 14 link</t>
  </si>
  <si>
    <t>Nợ xấu có mở thẻ tín dụng được không — cần kiểm tra nợ xấu trước khi mở thẻ.</t>
  </si>
  <si>
    <t>Có mục cách kiểm tra (theo title).</t>
  </si>
  <si>
    <t>Nợ nhóm 2 — kiểm tra nhóm nợ.</t>
  </si>
  <si>
    <t>Nhắc: nợ xấu, nợ nhóm.</t>
  </si>
  <si>
    <t>URL</t>
  </si>
  <si>
    <t>Anchor</t>
  </si>
  <si>
    <t>Nhắc: nợ xấu, cic, nợ nhóm.</t>
  </si>
  <si>
    <t>Mở rộng chủ đề (theo plan): bài nhắc tín dụng, vay, khoản vay.</t>
  </si>
  <si>
    <t>nên vay tín chấp ở đâu – 25 link
(+5 link nên bỏ: bài không có đoạn liên quan)</t>
  </si>
  <si>
    <t>Hạn mức khác nhau giữa ngân hàng.</t>
  </si>
  <si>
    <t>So lãi suất các ngân hàng.</t>
  </si>
  <si>
    <t>Nhắc: tín chấp.</t>
  </si>
  <si>
    <t>Trang đích</t>
  </si>
  <si>
    <t>Bài nguồn</t>
  </si>
  <si>
    <t>Vị trí chèn</t>
  </si>
  <si>
    <t>Trích đoạn gốc</t>
  </si>
  <si>
    <t>Đề xuất nội dung chèn link</t>
  </si>
  <si>
    <t>Anchor sử dụng</t>
  </si>
  <si>
    <t>Bài so sánh ngân hàng cho vay mua xe — lãi suất là tiêu chí chọn ngân hàng, người đọc cần bảng lãi suất cụ thể. (Theo title/meta, chưa đọc bài.)</t>
  </si>
  <si>
    <t>Chưa đọc được nội dung</t>
  </si>
  <si>
    <t>Bài chưa có trong file crawl: kiểm tra link cũ khi mở bài.</t>
  </si>
  <si>
    <t>Bài tư vấn mua ô tô trả góp; quyết định mua trả góp phụ thuộc trực tiếp vào mức lãi suất vay. (Theo title/meta, chưa đọc bài.)</t>
  </si>
  <si>
    <t>Nhắc: vay tiêu dùng, vay tiền.</t>
  </si>
  <si>
    <t>Bài hướng dẫn hồ sơ, thủ tục mua xe trả góp — bước sau khi người đọc so sánh lãi suất. (Theo title/meta, chưa đọc bài.)</t>
  </si>
  <si>
    <t>nợ xấu – 29 link
nợ xấu là gì – 1 link</t>
  </si>
  <si>
    <t>Nợ nhóm 3 là nợ xấu.</t>
  </si>
  <si>
    <t>Dư nợ — chèn ở đoạn chất lượng dư nợ.</t>
  </si>
  <si>
    <t>So sánh trả góp và trả thẳng — phần chi phí trả góp cần dẫn sang lãi suất vay mua ô tô. (Theo title/meta, chưa đọc bài.)</t>
  </si>
  <si>
    <t>Quá hạn thẻ có thể thành nợ xấu.</t>
  </si>
  <si>
    <t>Bài trùng chủ đề — nếu giữ cả 2 thì cần đọc kỹ để tránh cannibal. (Liên quan yếu – bản chặt đã loại.)</t>
  </si>
  <si>
    <t>Nhắc: quá hạn.</t>
  </si>
  <si>
    <t>Chủ đề vay thế chấp mua xe cũ; chèn được ở đoạn nói về chi phí/lãi vay. (Theo title/meta, chưa đọc bài.)</t>
  </si>
  <si>
    <t>Liên kết tài khoản ngân hàng với eTax Mobile là bước bắt buộc để nộp thuế đất online qua ngân hàng. (Theo title/meta, chưa đọc bài.)</t>
  </si>
  <si>
    <t>Bài chưa có trong file crawl: kiểm tra link cũ khi mở bài. Bài nhận 3 link mới: đặt ở các mục khác nhau.</t>
  </si>
  <si>
    <t>Bài hướng dẫn nộp thuế online chung — có thể dẫn sang trường hợp cụ thể là thuế đất. (Theo title/meta, chưa đọc bài.)</t>
  </si>
  <si>
    <t>Mở rộng chủ đề (theo plan): bài nhắc cic, tín dụng, vay.</t>
  </si>
  <si>
    <t>Bài liên kết tài khoản với eTax Mobile — người đọc làm xong sẽ cần bước nộp thuế. (Theo title/meta, chưa đọc bài.)</t>
  </si>
  <si>
    <t>Quyết toán TNCN online → nếu còn thiếu thuế phải nộp qua cổng thuế điện tử. (Theo title/meta, chưa đọc bài.)</t>
  </si>
  <si>
    <t>nộp thuế điện tử</t>
  </si>
  <si>
    <t>Title/URL còn năm cũ (2025): nên cập nhật; câu chèn không ghi năm. Bài chưa có trong file crawl: kiểm tra link cũ khi mở bài. Bài nhận 3 link mới: đặt ở các mục khác nhau.</t>
  </si>
  <si>
    <t>Mở rộng chủ đề (theo plan): bài nhắc tín dụng, vay, thế chấp.</t>
  </si>
  <si>
    <t>Kê khai thuế HKD online, sau khi kê khai là bước nộp thuế điện tử. (Theo title/meta, chưa đọc bài.)</t>
  </si>
  <si>
    <t>hướng dẫn nộp thuế điện tử</t>
  </si>
  <si>
    <t>Bài chưa có trong file crawl: kiểm tra link cũ khi mở bài. Bài nhận 2 link mới: đặt ở các mục khác nhau.</t>
  </si>
  <si>
    <t>vay tín chấp không trả được có sao không – 30 link</t>
  </si>
  <si>
    <t>Bài anh em (thế chấp).</t>
  </si>
  <si>
    <t>Lãi quá hạn khi không trả được.</t>
  </si>
  <si>
    <t>Nợ quá hạn tương tự.</t>
  </si>
  <si>
    <t>Làm thủ tục hoàn thuế trên eTax Mobile — cùng công cụ, chèn ở đoạn giới thiệu eTax. (Theo title/meta, chưa đọc bài.)</t>
  </si>
  <si>
    <t>Định nghĩa — chèn ở đoạn rủi ro.</t>
  </si>
  <si>
    <t>Bài nộp thuế hải quan online — có thể dẫn sang hướng dẫn nộp thuế điện tử nội địa. (Theo title/meta, chưa đọc bài.)</t>
  </si>
  <si>
    <t>Bài về chi phí không được trừ khi tính thuế TNDN — nhắc trực tiếp TNDN, người đọc cần biết thuế suất. (Theo title/meta, chưa đọc bài.)</t>
  </si>
  <si>
    <t>Quyết toán thuế DN gồm quyết toán TNDN — đoạn liệt kê loại thuế phải quyết toán chèn được. (Theo title/meta, chưa đọc bài.)</t>
  </si>
  <si>
    <t>thuế TNDN</t>
  </si>
  <si>
    <t>Bài ưu đãi thuế cho DN mới — ưu đãi chủ yếu là miễn/giảm thuế TNDN. (Theo title/meta, chưa đọc bài.)</t>
  </si>
  <si>
    <t>thuế suất thuế TNDN</t>
  </si>
  <si>
    <t>Bài lợi nhuận và công thức tính — đoạn lợi nhuận sau thuế chèn được link thuế TNDN. (Theo title/meta, chưa đọc bài.)</t>
  </si>
  <si>
    <t>Hoàn thuế DN; có thể nhắc trường hợp nộp thừa thuế TNDN. (Theo title/meta, chưa đọc bài.)</t>
  </si>
  <si>
    <t>Nhắc: tín chấp, nợ xấu.</t>
  </si>
  <si>
    <t>Kê khai thuế DN — thuế GTGT là loại kê khai định kỳ phổ biến nhất. (Theo title/meta, chưa đọc bài.)</t>
  </si>
  <si>
    <t>Wealth</t>
  </si>
  <si>
    <t>Hoàn thuế DN chủ yếu là hoàn thuế GTGT — người đọc cần hiểu VAT là gì. (Theo title/meta, chưa đọc bài.)</t>
  </si>
  <si>
    <t>cách đầu tư chứng chỉ quỹ – 14 link
phương pháp đầu tư chứng chỉ quỹ – 9 link
đầu tư chứng chỉ quỹ cho người mới – 7 link</t>
  </si>
  <si>
    <t>Chứng chỉ quỹ là gì → phương pháp đầu tư.</t>
  </si>
  <si>
    <t>Hướng dẫn mua → phương pháp.</t>
  </si>
  <si>
    <t>Hóa đơn điện tử thể hiện thuế GTGT — chèn ở đoạn nói về nội dung hóa đơn. (Theo title/meta, chưa đọc bài.)</t>
  </si>
  <si>
    <t>App theo dõi CCQ.</t>
  </si>
  <si>
    <t>So sánh CCQ với cổ phiếu.</t>
  </si>
  <si>
    <t>Thuế TMĐT cho HKD gồm thuế GTGT + TNCN — chèn khi nhắc thuế GTGT. (Theo title/meta, chưa đọc bài.)</t>
  </si>
  <si>
    <t>Nhắc: đầu tư.</t>
  </si>
  <si>
    <t>Bài tra mã số thuế DN — tra nợ thuế dùng chính mã số thuế, nhu cầu nối tiếp. (Theo title/meta, chưa đọc bài.)</t>
  </si>
  <si>
    <t>Cùng intent tra cứu nợ thuế, khác loại thuế — dẫn sang nợ thuế nội địa của DN. (Theo title/meta, chưa đọc bài.)</t>
  </si>
  <si>
    <t>Title/URL còn năm cũ (2025): nên cập nhật; câu chèn không ghi năm. Bài chưa có trong file crawl: kiểm tra link cũ khi mở bài.</t>
  </si>
  <si>
    <t>Trước/sau quyết toán DN cần kiểm tra số thuế còn nợ. (Theo title/meta, chưa đọc bài.)</t>
  </si>
  <si>
    <t>Sau kê khai, DN kiểm tra nghĩa vụ/nợ thuế. (Theo title/meta, chưa đọc bài.)</t>
  </si>
  <si>
    <t>Bài anh em (HKD); chèn ở đoạn so sánh nếu có nhắc doanh nghiệp. (Theo title/meta, chưa đọc bài.)</t>
  </si>
  <si>
    <t>Bài giải đáp về thuế DN nói chung — đúng chủ đề tổng quan. (Theo title/meta, chưa đọc bài.)</t>
  </si>
  <si>
    <t>Nhắc: chứng chỉ quỹ, quỹ mở, đầu tư.</t>
  </si>
  <si>
    <t>Tuân thủ thuế cho DN khởi nghiệp — cần biết DN phải nộp những khoản thuế nào. (Theo title/meta, chưa đọc bài.)</t>
  </si>
  <si>
    <t>Nhắc: chứng chỉ quỹ, đầu tư.</t>
  </si>
  <si>
    <t>Bài các khoản thuế, phí khi lên DN — liên kết tự nhiên sang danh sách thuế DN. (Theo title/meta, chưa đọc bài.)</t>
  </si>
  <si>
    <t>Bài tin chính sách thuế phí có lợi cho DN — dẫn sang bài tổng hợp các khoản thuế. (Theo title/meta, chưa đọc bài.)</t>
  </si>
  <si>
    <t>Bài tài khoản DN là gì — câu hỏi 'có dùng TK cá nhân thay được không' là nhu cầu kế tiếp. (Theo title/meta, chưa đọc bài.)</t>
  </si>
  <si>
    <t>Lưu ý chuyển tiền vào TK công ty — liên quan trực tiếp quy định dùng TK cá nhân. (Theo title/meta, chưa đọc bài.)</t>
  </si>
  <si>
    <t>Cách dùng TK công ty cho giao dịch — đối lập tự nhiên với dùng TK cá nhân. (Theo title/meta, chưa đọc bài.)</t>
  </si>
  <si>
    <t>Tiền vào TK cá nhân có bị tính thuế — rủi ro khi công ty dùng TK cá nhân nhận tiền. (Theo title/meta, chưa đọc bài.)</t>
  </si>
  <si>
    <t>Title/URL còn năm cũ (2025): nên cập nhật; câu chèn không ghi năm. Bài chưa có trong file crawl: kiểm tra link cũ khi mở bài. Bài nhận 2 link mới: đặt ở các mục khác nhau.</t>
  </si>
  <si>
    <t>Chi phí không được trừ ảnh hưởng trực tiếp công thức tính TNDN. (Theo title/meta, chưa đọc bài.)</t>
  </si>
  <si>
    <t>Khấu hao TSCĐ là chi phí được trừ khi tính thu nhập chịu thuế TNDN. (Theo title/meta, chưa đọc bài.)</t>
  </si>
  <si>
    <t>Lợi nhuận ròng = lợi nhuận trước thuế − thuế TNDN; chèn ở công thức. (Theo title/meta, chưa đọc bài.)</t>
  </si>
  <si>
    <t>https://techcombank.com/thong-tin/blog/cach-doc-bao-cao-tai-chinh</t>
  </si>
  <si>
    <t>Báo cáo tài chính có dòng chi phí thuế TNDN. (Theo title/meta, chưa đọc bài.)</t>
  </si>
  <si>
    <t>Bài nạp thẻ cho các nhà mạng — mục Viettel nên dẫn sang bài chi tiết. (Theo title/meta, chưa đọc bài.)</t>
  </si>
  <si>
    <t>Nạp tiền điện thoại online — chèn ở đoạn ví dụ nhà mạng Viettel. (Theo title/meta, chưa đọc bài.)</t>
  </si>
  <si>
    <t>nạp thẻ Viettel</t>
  </si>
  <si>
    <t>Cùng nhà mạng Viettel (trả sau) — dẫn sang nạp thẻ trả trước. (Theo title/meta, chưa đọc bài.)</t>
  </si>
  <si>
    <t>nạp thẻ cào Viettel</t>
  </si>
  <si>
    <t>Bài anh em nhà mạng khác; chèn câu ngắn so sánh/xem thêm Viettel. (Theo title/meta, chưa đọc bài.)</t>
  </si>
  <si>
    <t>Như trên, nhà mạng MobiFone. (Theo title/meta, chưa đọc bài.)</t>
  </si>
  <si>
    <t>Bài giá điện bậc thang — người đọc cần cách tính ra hóa đơn. (Theo title/meta, chưa đọc bài.)</t>
  </si>
  <si>
    <t>Tra hóa đơn tiền điện — muốn đối chiếu số tiền cần biết cách tính. (Theo title/meta, chưa đọc bài.)</t>
  </si>
  <si>
    <t>cách tính tiền điện</t>
  </si>
  <si>
    <t>Đóng tiền điện — trước khi đóng người đọc hay kiểm tra số tiền. (Theo title/meta, chưa đọc bài.)</t>
  </si>
  <si>
    <t>giá điện bậc thang</t>
  </si>
  <si>
    <t>App đóng tiền điện; chèn ở đoạn mở đầu/lưu ý. (Theo title/meta, chưa đọc bài.)</t>
  </si>
  <si>
    <t>Thanh toán tiền điện bằng thẻ tín dụng; chèn ở đoạn về số tiền hóa đơn. (Theo title/meta, chưa đọc bài.)</t>
  </si>
  <si>
    <t>Quyết toán TNCN cần tính lại số thuế cả năm. (Theo title/meta, chưa đọc bài.)</t>
  </si>
  <si>
    <t>Hoàn thuế TNCN xuất phát từ việc tính ra số thuế nộp thừa. (Theo title/meta, chưa đọc bài.)</t>
  </si>
  <si>
    <t>cách tính thuế TNCN</t>
  </si>
  <si>
    <t>Đăng ký MST cá nhân để kê khai, tính thuế TNCN. (Theo title/meta, chưa đọc bài.)</t>
  </si>
  <si>
    <t>tính thuế TNCN</t>
  </si>
  <si>
    <t>Số TK là gì &amp; cách kiểm tra — trùng nhu cầu, dẫn sang bài chi tiết 3 cách. (Theo title/meta, chưa đọc bài.)</t>
  </si>
  <si>
    <t>Số dư khả dụng — người đọc cần cách kiểm tra số dư. (Theo title/meta, chưa đọc bài.)</t>
  </si>
  <si>
    <t>kiểm tra số dư tài khoản</t>
  </si>
  <si>
    <t>Kiểm tra mã giao dịch — chèn ở đoạn kiểm tra lịch sử giao dịch. (Theo title/meta, chưa đọc bài.)</t>
  </si>
  <si>
    <t>kiểm tra tài khoản ngân hàng</t>
  </si>
  <si>
    <t>SMS Banking là một kênh kiểm tra biến động số dư. (Theo title/meta, chưa đọc bài.)</t>
  </si>
  <si>
    <t>Bài anh em cho TK công ty; chèn câu dẫn cho TK cá nhân. (Theo title/meta, chưa đọc bài.)</t>
  </si>
  <si>
    <t>Bài định nghĩa TK ngân hàng, kết thúc tự nhiên bằng cách mở. (Theo title/meta, chưa đọc bài.)</t>
  </si>
  <si>
    <t>Có mục điều kiện, thủ tục mở TK thanh toán. (Theo title/meta, chưa đọc bài.)</t>
  </si>
  <si>
    <t>Băn khoăn an toàn khi mở online → dẫn sang hướng dẫn mở. (Theo title/meta, chưa đọc bài.)</t>
  </si>
  <si>
    <t>tạo tài khoản ngân hàng</t>
  </si>
  <si>
    <t>Hỏi phí mở TK → nhu cầu kế tiếp là cách mở. Bài cach-mo-tai-khoan đã link sang bài này (chiều ngược lại). (Theo title/meta, chưa đọc bài.)</t>
  </si>
  <si>
    <t>Quy định số TK/CCCD; chèn ở đoạn hướng dẫn đăng ký thêm TK. (Theo title/meta, chưa đọc bài.)</t>
  </si>
  <si>
    <t>Top app ngân hàng uy tín — anh em chủ đề, người đọc muốn biết ngân hàng nào uy tín. (Theo title/meta, chưa đọc bài.)</t>
  </si>
  <si>
    <t>Gửi tiền có an toàn không → chọn ngân hàng uy tín. (Theo title/meta, chưa đọc bài.)</t>
  </si>
  <si>
    <t>Tiêu chí chọn ngân hàng — uy tín là một tiêu chí. (Theo title/meta, chưa đọc bài.)</t>
  </si>
  <si>
    <t>Hướng dẫn chuyển tiền — phần lưu ý/xử lý sự cố chèn được. (Theo title/meta, chưa đọc bài.)</t>
  </si>
  <si>
    <t>Chuyển liên ngân hàng là trường hợp hay bị chậm nhận tiền. (Theo title/meta, chưa đọc bài.)</t>
  </si>
  <si>
    <t>Mã giao dịch dùng để tra soát khi chuyển thành công mà chưa nhận. (Theo title/meta, chưa đọc bài.)</t>
  </si>
  <si>
    <t>Sự cố chuyển tiền tương tự, người đọc quan tâm cả hai tình huống. (Theo title/meta, chưa đọc bài.)</t>
  </si>
  <si>
    <t>Sai thông tin ngân hàng thụ hưởng là một nguyên nhân không nhận được tiền. (Theo title/meta, chưa đọc bài.)</t>
  </si>
  <si>
    <t>Tài khoản cho con — phụ huynh cần biết quy định độ tuổi. (Theo title/meta, chưa đọc bài.)</t>
  </si>
  <si>
    <t>HSSV chọn thẻ — câu hỏi bao nhiêu tuổi được làm thẻ đi kèm. (Theo title/meta, chưa đọc bài.)</t>
  </si>
  <si>
    <t>Làm thẻ ATM; chèn ở mục điều kiện (độ tuổi). (Theo title/meta, chưa đọc bài.)</t>
  </si>
  <si>
    <t>Thẻ Debit cho con — mở TK cho con dưới 18 tuổi là bước đi kèm. (Theo title/meta, chưa đọc bài.)</t>
  </si>
  <si>
    <t>Mở TK tiết kiệm cho con — liên quan trực tiếp. (Theo title/meta, chưa đọc bài.)</t>
  </si>
  <si>
    <t>Mở TK online; chèn câu lưu ý cho người dưới 18 tuổi. (Theo title/meta, chưa đọc bài.)</t>
  </si>
  <si>
    <t>Máy CDM dùng để nộp tiền — một trong các cách nạp tiền vào TK. (Theo title/meta, chưa đọc bài.)</t>
  </si>
  <si>
    <t>Nạp tiền vào thẻ ghi nợ = nạp vào TK gắn thẻ. (Theo title/meta, chưa đọc bài.)</t>
  </si>
  <si>
    <t>TK 0 đồng → giải pháp nạp thêm tiền. (Theo title/meta, chưa đọc bài.)</t>
  </si>
  <si>
    <t>Tìm ATM/CDM gần đây để nộp tiền. (Theo title/meta, chưa đọc bài.)</t>
  </si>
  <si>
    <t>Sao kê lương là một dạng sao kê TK — dẫn sang hướng dẫn sao kê chung. (Theo title/meta, chưa đọc bài.)</t>
  </si>
  <si>
    <t>Bài anh em cho DN; chèn câu dẫn cho TK cá nhân. (Theo title/meta, chưa đọc bài.)</t>
  </si>
  <si>
    <t>Hồ sơ vay qua lương cần sao kê TK. (Theo title/meta, chưa đọc bài.)</t>
  </si>
  <si>
    <t>Ý nghĩa số 88 — một dãy số phát lộc; dẫn sang bài tổng hợp. (Theo title/meta, chưa đọc bài.)</t>
  </si>
  <si>
    <t>Ý nghĩa 6868 — cùng chủ đề con số lộc phát. (Theo title/meta, chưa đọc bài.)</t>
  </si>
  <si>
    <t>Gợi ý dãy số TK đẹp phát tài phát lộc — sát chủ đề. (Theo title/meta, chưa đọc bài.)</t>
  </si>
  <si>
    <t>Cách chọn số TK phát tài — dẫn sang danh sách dãy số. (Theo title/meta, chưa đọc bài.)</t>
  </si>
  <si>
    <t>Lì xì số đẹp phát tài — chèn ở đoạn ý nghĩa con số. (Theo title/meta, chưa đọc bài.)</t>
  </si>
  <si>
    <t>Tra cứu nợ thuế TNCN — cùng nhóm tra cứu. (Theo title/meta, chưa đọc bài.)</t>
  </si>
  <si>
    <t>Có MST rồi thì kiểm tra thuế TNCN theo MST. (Theo title/meta, chưa đọc bài.)</t>
  </si>
  <si>
    <t>eTax Mobile là kênh kiểm tra thuế TNCN. (Theo title/meta, chưa đọc bài.)</t>
  </si>
  <si>
    <t>Trước khi hoàn thuế cần kiểm tra số thuế đã nộp. (Theo title/meta, chưa đọc bài.)</t>
  </si>
  <si>
    <t>Kiểm tra số thuế đã khấu trừ trước khi quyết toán. (Theo title/meta, chưa đọc bài.)</t>
  </si>
  <si>
    <t>Mật khẩu đi cùng tên đăng nhập — bài anh em trực tiếp. (Theo title/meta, chưa đọc bài.)</t>
  </si>
  <si>
    <t>https://techcombank.com/thong-tin/blog/internet-banking</t>
  </si>
  <si>
    <t>Đăng nhập Internet Banking cần tên đăng nhập. (Theo title/meta, chưa đọc bài.)</t>
  </si>
  <si>
    <t>Bảo vệ TK — giữ bí mật tên đăng nhập/mật khẩu. (Theo title/meta, chưa đọc bài.)</t>
  </si>
  <si>
    <t>Đăng nhập + OTP; chèn ở đoạn bước đăng nhập. (Theo title/meta, chưa đọc bài.)</t>
  </si>
  <si>
    <t>Mất SĐT ảnh hưởng lấy lại thông tin đăng nhập. (Theo title/meta, chưa đọc bài.)</t>
  </si>
  <si>
    <t>Hỏi tiền vào TK có bị tính thuế — liên quan trực tiếp thuế TNCN. (Theo title/meta, chưa đọc bài.)</t>
  </si>
  <si>
    <t>Nợ thuế TNCN — người đọc cần hiểu thuế TNCN là gì. (Theo title/meta, chưa đọc bài.)</t>
  </si>
  <si>
    <t>Bài anh em — người đọc cần hướng dẫn rút tiền QR cơ bản. (Theo title/meta, chưa đọc bài.)</t>
  </si>
  <si>
    <t>Các cách rút tiền ATM — QR là một cách. (Theo title/meta, chưa đọc bài.)</t>
  </si>
  <si>
    <t>Thẻ lỗi không rút được → giải pháp rút bằng QR. (Theo title/meta, chưa đọc bài.)</t>
  </si>
  <si>
    <t>Bị nuốt thẻ → vẫn rút được tiền bằng QR. (Theo title/meta, chưa đọc bài.)</t>
  </si>
  <si>
    <t>Tìm ATM; chèn ở đoạn ATM hỗ trợ rút QR. (Theo title/meta, chưa đọc bài.)</t>
  </si>
  <si>
    <t>Xác thực sinh trắc học yêu cầu quét NFC chip CCCD. (Theo title/meta, chưa đọc bài.)</t>
  </si>
  <si>
    <t>Liên kết VNeID cần quét chip CCCD. (Theo title/meta, chưa đọc bài.)</t>
  </si>
  <si>
    <t>eKYC dùng NFC CCCD để định danh. (Theo title/meta, chưa đọc bài.)</t>
  </si>
  <si>
    <t>Định danh mức 2 cần quét CCCD gắn chip. (Theo title/meta, chưa đọc bài.)</t>
  </si>
  <si>
    <t>Mở TK online có bước quét NFC CCCD. (Theo title/meta, chưa đọc bài.)</t>
  </si>
  <si>
    <t>Bài dấu chân carbon nhắc lợi ích xanh của thẻ Visa Eco. (Theo title/meta, chưa đọc bài.)</t>
  </si>
  <si>
    <t>Điểm danh sản phẩm xanh ngành ngân hàng — Eco Card là ví dụ. (Theo title/meta, chưa đọc bài.)</t>
  </si>
  <si>
    <t>https://techcombank.com/thong-tin/blog/xu-huong-song-xanh</t>
  </si>
  <si>
    <t>Lối sống xanh → thẻ xanh. (Theo title/meta, chưa đọc bài.)</t>
  </si>
  <si>
    <t>Thẻ Visa Debit — Eco Card là một loại Visa Debit. (Theo title/meta, chưa đọc bài.)</t>
  </si>
  <si>
    <t>Điểm tín dụng CIC — cần hiểu CIC là gì. (Theo title/meta, chưa đọc bài.)</t>
  </si>
  <si>
    <t>Lịch sử tín dụng lưu tại CIC. (Theo title/meta, chưa đọc bài.)</t>
  </si>
  <si>
    <t>CIC</t>
  </si>
  <si>
    <t>Nợ nhóm 3 bao lâu xóa trên CIC. (Theo title/meta, chưa đọc bài.)</t>
  </si>
  <si>
    <t>Trung tâm Thông tin Tín dụng (CIC)</t>
  </si>
  <si>
    <t>Nợ cần chú ý được ghi nhận trên CIC. (Theo title/meta, chưa đọc bài.)</t>
  </si>
  <si>
    <t>tra cứu CIC cá nhân</t>
  </si>
  <si>
    <t>Nợ nhóm 2 — tra trên CIC. (Theo title/meta, chưa đọc bài.)</t>
  </si>
  <si>
    <t>kiểm tra CIC</t>
  </si>
  <si>
    <t>Bài phí rút tiền — người đọc cần cách rút. (Theo title/meta, chưa đọc bài.)</t>
  </si>
  <si>
    <t>Thẻ Visa rút tiền được không — dẫn sang hướng dẫn rút từ thẻ tín dụng. (Theo title/meta, chưa đọc bài.)</t>
  </si>
  <si>
    <t>cách rút tiền thẻ tín dụng</t>
  </si>
  <si>
    <t>Nhu cầu lấy tiền mặt từ thẻ tín dụng tương tự. (Theo title/meta, chưa đọc bài.)</t>
  </si>
  <si>
    <t>cách tính lãi vay ngân hàng</t>
  </si>
  <si>
    <t>Hạn mức rút tiền mặt là một phần hạn mức thẻ. (Theo title/meta, chưa đọc bài.)</t>
  </si>
  <si>
    <t>Rút tiền mặt phát sinh lãi ngay — chèn ở đoạn khi nào phát sinh lãi. (Theo title/meta, chưa đọc bài.)</t>
  </si>
  <si>
    <t>Định nghĩa thẻ tín dụng → nhu cầu làm thẻ. (Theo title/meta, chưa đọc bài.)</t>
  </si>
  <si>
    <t>Một cách mở thẻ — dẫn sang hướng dẫn đầy đủ. (Theo title/meta, chưa đọc bài.)</t>
  </si>
  <si>
    <t>Phí làm thẻ — đi kèm thủ tục làm thẻ. (Theo title/meta, chưa đọc bài.)</t>
  </si>
  <si>
    <t>Điều kiện mở thẻ — sát chủ đề. (Theo title/meta, chưa đọc bài.)</t>
  </si>
  <si>
    <t>Quyết định dùng thẻ → bước làm thẻ. (Theo title/meta, chưa đọc bài.)</t>
  </si>
  <si>
    <t>So sánh thẻ tín dụng Techcombank — Everyday nên được nhắc. (Theo title/meta, chưa đọc bài.)</t>
  </si>
  <si>
    <t>Chương trình hoàn tiền thẻ tín dụng Techcombank. (Theo title/meta, chưa đọc bài.)</t>
  </si>
  <si>
    <t>Top ưu đãi thẻ tín dụng; chèn ở mục Techcombank. (Theo title/meta, chưa đọc bài.)</t>
  </si>
  <si>
    <t>Phân loại thẻ — chèn ví dụ thẻ hoàn tiền. (Theo title/meta, chưa đọc bài.)</t>
  </si>
  <si>
    <t>Lợi ích thẻ tín dụng — hoàn tiền là một lợi ích. (Theo title/meta, chưa đọc bài.)</t>
  </si>
  <si>
    <t>Title nhắc 'hoàn tiền' khi trả tiền điện bằng thẻ tín dụng. (Theo title/meta, chưa đọc bài.)</t>
  </si>
  <si>
    <t>Cashback thẻ thanh toán (ghi nợ) — so sánh với thẻ tín dụng hoàn tiền. (Theo title/meta, chưa đọc bài.)</t>
  </si>
  <si>
    <t>Ưu đãi mở thẻ — hoàn tiền là ưu đãi phổ biến. (Theo title/meta, chưa đọc bài.)</t>
  </si>
  <si>
    <t>Top thẻ đáng mở — chèn ở tiêu chí chọn thẻ. (Theo title/meta, chưa đọc bài.)</t>
  </si>
  <si>
    <t>Dùng thẻ tiết kiệm — tận dụng hoàn tiền. (Theo title/meta, chưa đọc bài.)</t>
  </si>
  <si>
    <t>Không muốn trả phí thường niên → hủy thẻ. (Theo title/meta, chưa đọc bài.)</t>
  </si>
  <si>
    <t>Không dùng thẻ vẫn mất phí → nên hủy. (Theo title/meta, chưa đọc bài.)</t>
  </si>
  <si>
    <t>Khóa vs hủy thẻ — đối chiếu trực tiếp. (Theo title/meta, chưa đọc bài.)</t>
  </si>
  <si>
    <t>Thẻ bị khóa — chèn ở đoạn phân biệt khóa/hủy. (Theo title/meta, chưa đọc bài.)</t>
  </si>
  <si>
    <t>Thẻ hết hạn: gia hạn hoặc hủy. (Theo title/meta, chưa đọc bài.)</t>
  </si>
  <si>
    <t>Lịch sử tín dụng quyết định xếp hạng tín dụng. (Theo title/meta, chưa đọc bài.)</t>
  </si>
  <si>
    <t>Điều kiện vay — xếp hạng tín dụng là một yếu tố. (Theo title/meta, chưa đọc bài.)</t>
  </si>
  <si>
    <t>Nợ xấu làm giảm xếp hạng. (Theo title/meta, chưa đọc bài.)</t>
  </si>
  <si>
    <t>Thanh toán tối thiểu — liên quan trực tiếp cách trả dư nợ. (Theo title/meta, chưa đọc bài.)</t>
  </si>
  <si>
    <t>Quá hạn → hướng dẫn các kênh thanh toán để không trễ. (Theo title/meta, chưa đọc bài.)</t>
  </si>
  <si>
    <t>Sao kê ghi số tiền và hạn thanh toán. (Theo title/meta, chưa đọc bài.)</t>
  </si>
  <si>
    <t>Nợ quá hạn — cần cách trả nợ thẻ. (Theo title/meta, chưa đọc bài.)</t>
  </si>
  <si>
    <t>Miễn lãi khi thanh toán đúng hạn. (Theo title/meta, chưa đọc bài.)</t>
  </si>
  <si>
    <t>So sánh CD và tiết kiệm — cần định nghĩa CD. (Theo title/meta, chưa đọc bài.)</t>
  </si>
  <si>
    <t>Câu hỏi bản chất CD. (Theo title/meta, chưa đọc bài.)</t>
  </si>
  <si>
    <t>Lý do nên mua CD → dẫn về bài tổng quan. (Theo title/meta, chưa đọc bài.)</t>
  </si>
  <si>
    <t>Tính an toàn của CD. (Theo title/meta, chưa đọc bài.)</t>
  </si>
  <si>
    <t>Kênh sinh lời cho tiền nhàn rỗi — CD là một kênh. (Theo title/meta, chưa đọc bài.)</t>
  </si>
  <si>
    <t>Tính lợi nhuận CD cần mức lãi suất. (Theo title/meta, chưa đọc bài.)</t>
  </si>
  <si>
    <t>lãi suất tiết kiệm</t>
  </si>
  <si>
    <t>Tất toán ảnh hưởng lợi suất — chèn ở đoạn lãi suất. (Theo title/meta, chưa đọc bài.)</t>
  </si>
  <si>
    <t>Rút trước hạn mất lãi suất — chèn ở đoạn lãi. (Theo title/meta, chưa đọc bài.)</t>
  </si>
  <si>
    <t>Giá chuyển nhượng phụ thuộc lãi suất. (Theo title/meta, chưa đọc bài.)</t>
  </si>
  <si>
    <t>Bài tổng quan tiền Trung Quốc — dẫn sang quy đổi 1 tệ. (Theo title/meta, chưa đọc bài.)</t>
  </si>
  <si>
    <t>Bài anh em mệnh giá 1 vạn tệ. (Theo title/meta, chưa đọc bài.)</t>
  </si>
  <si>
    <t>Bài anh em mệnh giá 1000 tệ. (Theo title/meta, chưa đọc bài.)</t>
  </si>
  <si>
    <t>Du lịch Trung Quốc cần quy đổi tệ. (Theo title/meta, chưa đọc bài.)</t>
  </si>
  <si>
    <t>Xu hướng tỷ giá USD — người đọc cần tỷ giá hiện tại. (Theo title/meta, chưa đọc bài.)</t>
  </si>
  <si>
    <t>Mua USD cần biết 1 USD bằng bao nhiêu VND. (Theo title/meta, chưa đọc bài.)</t>
  </si>
  <si>
    <t>Bài anh em (cent = 1/100 USD). (Theo title/meta, chưa đọc bài.)</t>
  </si>
  <si>
    <t>Tiết kiệm USD — quy đổi sang VND. (Theo title/meta, chưa đọc bài.)</t>
  </si>
  <si>
    <t>Chuyển tiền từ Mỹ — quy đổi USD. (Theo title/meta, chưa đọc bài.)</t>
  </si>
  <si>
    <t>Du lịch Nhật cần biết mệnh giá tiền Nhật. (Theo title/meta, chưa đọc bài.)</t>
  </si>
  <si>
    <t>Chuyển tiền từ Nhật — liên quan tiền Yên. (Theo title/meta, chưa đọc bài.)</t>
  </si>
  <si>
    <t>Bài quy đổi 1 Yên dẫn về tổng quan tiền Nhật. (Theo title/meta, chưa đọc bài.)</t>
  </si>
  <si>
    <t>Bài 1 Man dẫn về mệnh giá tiền Nhật. (Theo title/meta, chưa đọc bài.)</t>
  </si>
  <si>
    <t>Bài anh em mệnh giá 1000 Yên. (Theo title/meta, chưa đọc bài.)</t>
  </si>
  <si>
    <t>Bài tổng quan tiền Nhật — đoạn tỷ giá dẫn sang quy đổi 1 Yên. (Theo title/meta, chưa đọc bài.)</t>
  </si>
  <si>
    <t>1 Man = 10.000 Yên — dẫn sang tỷ giá 1 Yên. (Theo title/meta, chưa đọc bài.)</t>
  </si>
  <si>
    <t>Chuyển tiền từ Nhật — quy đổi JPY/VND. (Theo title/meta, chưa đọc bài.)</t>
  </si>
  <si>
    <t>Bài anh em mệnh giá 1 triệu Won. (Theo title/meta, chưa đọc bài.)</t>
  </si>
  <si>
    <t>Bài anh em 1000 Won. (Theo title/meta, chưa đọc bài.)</t>
  </si>
  <si>
    <t>Du lịch Hàn Quốc cần quy đổi Won. (Theo title/meta, chưa đọc bài.)</t>
  </si>
  <si>
    <t>Chuyển tiền Hàn về VN — tỷ giá Won. (Theo title/meta, chưa đọc bài.)</t>
  </si>
  <si>
    <t>So sánh tỷ giá các ngân hàng — chèn ở mục KRW. (Theo title/meta, chưa đọc bài.)</t>
  </si>
  <si>
    <t>Bài anh em 1 vạn Đài tệ. (Theo title/meta, chưa đọc bài.)</t>
  </si>
  <si>
    <t>Định nghĩa ngoại tệ; chèn ví dụ Đài tệ. (Theo title/meta, chưa đọc bài.)</t>
  </si>
  <si>
    <t>Bảng tỷ giá — chèn ở mục TWD. (Theo title/meta, chưa đọc bài.)</t>
  </si>
  <si>
    <t>Mua ngoại tệ đi du lịch — chèn ví dụ Đài Loan. (Theo title/meta, chưa đọc bài.)</t>
  </si>
  <si>
    <t>Tổng quan tiền Nhật — đoạn mệnh giá 10.000 Yên dẫn sang 1 Man. (Theo title/meta, chưa đọc bài.)</t>
  </si>
  <si>
    <t>Bài 1 Yên — chèn ở đoạn quy đổi mệnh giá lớn. (Theo title/meta, chưa đọc bài.)</t>
  </si>
  <si>
    <t>Bài 1000 Yên — dẫn sang 1 Man. (Theo title/meta, chưa đọc bài.)</t>
  </si>
  <si>
    <t>Người lao động Nhật hay tính lương theo 'man'. (Theo title/meta, chưa đọc bài.)</t>
  </si>
  <si>
    <t>Du lịch Nhật; chèn ở đoạn chuẩn bị tiền mặt. (Theo title/meta, chưa đọc bài.)</t>
  </si>
  <si>
    <t>Du lịch Thái cần biết tiền Thái. (Theo title/meta, chưa đọc bài.)</t>
  </si>
  <si>
    <t>Thanh toán QR ở Thái — liên quan quy đổi Baht. (Theo title/meta, chưa đọc bài.)</t>
  </si>
  <si>
    <t>Mua ngoại tệ đi du lịch — ví dụ Baht. (Theo title/meta, chưa đọc bài.)</t>
  </si>
  <si>
    <t>Checklist du lịch — mục đổi tiền. (Theo title/meta, chưa đọc bài.)</t>
  </si>
  <si>
    <t>Thanh toán thẻ quốc tế khi du lịch — chèn ở đoạn tiền mặt. (Theo title/meta, chưa đọc bài.)</t>
  </si>
  <si>
    <t>Bài 1 USD — chèn ở đoạn quy đổi số tiền lớn. (Theo title/meta, chưa đọc bài.)</t>
  </si>
  <si>
    <t>https://techcombank.com/thong-tin/blog/high-net-worth-client-va-ultra-high-net-worth-client</t>
  </si>
  <si>
    <t>Ngưỡng tài sản 'triệu đô' của HNWI. (Theo title/meta, chưa đọc bài.)</t>
  </si>
  <si>
    <t>Tỷ giá USD — ví dụ quy đổi 1 triệu đô. (Theo title/meta, chưa đọc bài.)</t>
  </si>
  <si>
    <t>Bài 1 Won có bảng quy đổi 1.000 Won (theo meta). (Theo title/meta, chưa đọc bài.)</t>
  </si>
  <si>
    <t>Bài anh em mệnh giá. (Theo title/meta, chưa đọc bài.)</t>
  </si>
  <si>
    <t>Du lịch Hàn — giá món đồ thường tính nghìn Won. (Theo title/meta, chưa đọc bài.)</t>
  </si>
  <si>
    <t>Chuyển tiền Hàn — quy đổi. (Theo title/meta, chưa đọc bài.)</t>
  </si>
  <si>
    <t>Kiều hối là tiền từ nước ngoài về. (Theo title/meta, chưa đọc bài.)</t>
  </si>
  <si>
    <t>Một kênh nhận tiền từ nước ngoài. (Theo title/meta, chưa đọc bài.)</t>
  </si>
  <si>
    <t>Nhận tiền quốc tế cần mã SWIFT. (Theo title/meta, chưa đọc bài.)</t>
  </si>
  <si>
    <t>Trường hợp cụ thể từ Mỹ. (Theo title/meta, chưa đọc bài.)</t>
  </si>
  <si>
    <t>Remittance = chuyển tiền quốc tế. (Theo title/meta, chưa đọc bài.)</t>
  </si>
  <si>
    <t>Điều kiện mua USD → nơi mua. (Theo title/meta, chưa đọc bài.)</t>
  </si>
  <si>
    <t>Hạn mức mua ngoại tệ → nơi đổi. (Theo title/meta, chưa đọc bài.)</t>
  </si>
  <si>
    <t>So sánh tỷ giá → chọn nơi đổi. (Theo title/meta, chưa đọc bài.)</t>
  </si>
  <si>
    <t>Checklist đi nước ngoài — đổi tiền. (Theo title/meta, chưa đọc bài.)</t>
  </si>
  <si>
    <t>Bài quy đổi USD — chèn ở đoạn đổi tiền. (Theo title/meta, chưa đọc bài.)</t>
  </si>
  <si>
    <t>Cân nhắc vay mua nhà — ví dụ khoản vay 1 tỷ. (Theo title/meta, chưa đọc bài.)</t>
  </si>
  <si>
    <t>Thủ tục vay mua nhà — câu hỏi trả mỗi tháng bao nhiêu. (Theo title/meta, chưa đọc bài.)</t>
  </si>
  <si>
    <t>Kinh nghiệm tránh áp lực trả nợ hàng tháng. (Theo title/meta, chưa đọc bài.)</t>
  </si>
  <si>
    <t>cách tính lãi suất tiền gửi tiết kiệm</t>
  </si>
  <si>
    <t>Vay mua chung cư thường ở mức ~1 tỷ. (Theo title/meta, chưa đọc bài.)</t>
  </si>
  <si>
    <t>Lãi suất thế chấp → số tiền trả hàng tháng. (Theo title/meta, chưa đọc bài.)</t>
  </si>
  <si>
    <t>Meta description bài đích (vay-ngan-hang-1-ty) đang lệch nội dung — nên sửa. Bài chưa có trong file crawl: kiểm tra link cũ khi mở bài.</t>
  </si>
  <si>
    <t>Đặt vé máy bay online — Traveloka là kênh đặt vé. (Theo title/meta, chưa đọc bài.)</t>
  </si>
  <si>
    <t>https://techcombank.com/thong-tin/blog/mua-ve-may-bay-gia-re</t>
  </si>
  <si>
    <t>Săn vé rẻ — dùng voucher Traveloka. (Theo title/meta, chưa đọc bài.)</t>
  </si>
  <si>
    <t>https://techcombank.com/thong-tin/blog/techcombank-oneu</t>
  </si>
  <si>
    <t>Đổi điểm U-Point trên OneU — voucher Traveloka là quà đổi. (Theo title/meta, chưa đọc bài.)</t>
  </si>
  <si>
    <t>https://techcombank.com/thong-tin/blog/tich-diem-doi-qua</t>
  </si>
  <si>
    <t>Tích điểm đổi quà — ví dụ voucher Traveloka. (Theo title/meta, chưa đọc bài.)</t>
  </si>
  <si>
    <t>Có mục 'mức thuế phải đóng' (theo title). (Theo title/meta, chưa đọc bài.)</t>
  </si>
  <si>
    <t>Thuế khoán là cách đóng thuế của HKD. (Theo title/meta, chưa đọc bài.)</t>
  </si>
  <si>
    <t>hộ kinh doanh đóng thuế</t>
  </si>
  <si>
    <t>Miễn thuế — đối lập với nghĩa vụ đóng thuế. (Theo title/meta, chưa đọc bài.)</t>
  </si>
  <si>
    <t>Truy thu khi đóng thuế sai. (Theo title/meta, chưa đọc bài.)</t>
  </si>
  <si>
    <t>nghĩa vụ thuế hộ kinh doanh</t>
  </si>
  <si>
    <t>Cập nhật quy định HKD — chèn ở đoạn thuế. (Theo title/meta, chưa đọc bài.)</t>
  </si>
  <si>
    <t>Nhượng quyền là một mô hình kinh doanh. (Theo title/meta, chưa đọc bài.)</t>
  </si>
  <si>
    <t>Kinh doanh online — chọn mô hình. (Theo title/meta, chưa đọc bài.)</t>
  </si>
  <si>
    <t>Mô hình One-Stop Shop. (Theo title/meta, chưa đọc bài.)</t>
  </si>
  <si>
    <t>Tạo xong mã QR → gửi cho người khác. (Theo title/meta, chưa đọc bài.)</t>
  </si>
  <si>
    <t>In mã QR — dạng chia sẻ khác. (Theo title/meta, chưa đọc bài.)</t>
  </si>
  <si>
    <t>Gửi mã QR có an toàn không. (Theo title/meta, chưa đọc bài.)</t>
  </si>
  <si>
    <t>Phí làm mã QR — dẫn sang cách lấy/gửi. (Theo title/meta, chưa đọc bài.)</t>
  </si>
  <si>
    <t>Lỗi mã QR khi gửi/nhận. (Theo title/meta, chưa đọc bài.)</t>
  </si>
  <si>
    <t>HKD cần gì ở TK — sát chủ đề. (Theo title/meta, chưa đọc bài.)</t>
  </si>
  <si>
    <t>Thành lập HKD xong → mở TK. (Theo title/meta, chưa đọc bài.)</t>
  </si>
  <si>
    <t>Khai báo TK với thuế — cần có TK HKD. (Theo title/meta, chưa đọc bài.)</t>
  </si>
  <si>
    <t>Định nghĩa HKD cá thể. (Theo title/meta, chưa đọc bài.)</t>
  </si>
  <si>
    <t>Đăng ký MST HKD — bước liền kề. (Theo title/meta, chưa đọc bài.)</t>
  </si>
  <si>
    <t>Kê khai cần tính số thuế trước. (Theo title/meta, chưa đọc bài.)</t>
  </si>
  <si>
    <t>Kiểm tra số thuế → đối chiếu cách tính. (Theo title/meta, chưa đọc bài.)</t>
  </si>
  <si>
    <t>Thuế TMĐT cho HKD — tính theo tỷ lệ doanh thu. (Theo title/meta, chưa đọc bài.)</t>
  </si>
  <si>
    <t>Chính sách thuế mới cho HKD. (Theo title/meta, chưa đọc bài.)</t>
  </si>
  <si>
    <t>Tổng quan HKD — chèn ở đoạn nghĩa vụ thuế. (Theo title/meta, chưa đọc bài.)</t>
  </si>
  <si>
    <t>Dư nợ là cơ sở tính lãi. (Theo title/meta, chưa đọc bài.)</t>
  </si>
  <si>
    <t>Ân hạn gốc thay đổi cách tính lãi. (Theo title/meta, chưa đọc bài.)</t>
  </si>
  <si>
    <t>Lãi thả nổi/cố định → cách tính khác nhau. (Theo title/meta, chưa đọc bài.)</t>
  </si>
  <si>
    <t>công thức tính lãi vay</t>
  </si>
  <si>
    <t>Công thức lãi suất thực — cùng chủ đề tính lãi. (Theo title/meta, chưa đọc bài.)</t>
  </si>
  <si>
    <t>tính lãi vay theo dư nợ giảm dần</t>
  </si>
  <si>
    <t>Vay trả góp — chèn ở đoạn chi phí lãi. (Theo title/meta, chưa đọc bài.)</t>
  </si>
  <si>
    <t>Hạn mức vay sổ đỏ — anh em trực tiếp. (Theo title/meta, chưa đọc bài.)</t>
  </si>
  <si>
    <t>Sổ hồng ~ sổ đỏ, cùng nhu cầu. (Theo title/meta, chưa đọc bài.)</t>
  </si>
  <si>
    <t>Kinh nghiệm vay lãi tối ưu. (Theo title/meta, chưa đọc bài.)</t>
  </si>
  <si>
    <t>Chọn ngân hàng — lãi suất là tiêu chí. (Theo title/meta, chưa đọc bài.)</t>
  </si>
  <si>
    <t>Định nghĩa — chèn ở đoạn tài sản là sổ đỏ. (Theo title/meta, chưa đọc bài.)</t>
  </si>
  <si>
    <t>Tất toán xong → xóa thế chấp. (Theo title/meta, chưa đọc bài.)</t>
  </si>
  <si>
    <t>Tất toán khoản vay → bước giải chấp. (Theo title/meta, chưa đọc bài.)</t>
  </si>
  <si>
    <t>Định nghĩa thế chấp; chèn ở đoạn kết thúc thế chấp. (Theo title/meta, chưa đọc bài.)</t>
  </si>
  <si>
    <t>So kỳ hạn để lãi cao — cần bảng lãi suất. (Theo title/meta, chưa đọc bài.)</t>
  </si>
  <si>
    <t>So lãi online/quầy. (Theo title/meta, chưa đọc bài.)</t>
  </si>
  <si>
    <t>lãi suất gửi tiết kiệm</t>
  </si>
  <si>
    <t>Quyết định gửi dựa trên lãi suất hiện tại. (Theo title/meta, chưa đọc bài.)</t>
  </si>
  <si>
    <t>lãi suất tiết kiệm các ngân hàng</t>
  </si>
  <si>
    <t>Top ngân hàng lãi suất hấp dẫn. (Theo title/meta, chưa đọc bài.)</t>
  </si>
  <si>
    <t>So sánh lãi suất, kỳ hạn hôm nay. (Theo title/meta, chưa đọc bài.)</t>
  </si>
  <si>
    <t>Lãi kép và công thức tính. (Theo title/meta, chưa đọc bài.)</t>
  </si>
  <si>
    <t>Nhận lãi hàng tháng — cách tính khác lãi cuối kỳ. (Theo title/meta, chưa đọc bài.)</t>
  </si>
  <si>
    <t>công thức tính lãi tiết kiệm</t>
  </si>
  <si>
    <t>Có mục cách tính lãi (theo title). (Theo title/meta, chưa đọc bài.)</t>
  </si>
  <si>
    <t>Có mục cách tính lãi không kỳ hạn. (Theo title/meta, chưa đọc bài.)</t>
  </si>
  <si>
    <t>Đáo hạn và cách tính. (Theo title/meta, chưa đọc bài.)</t>
  </si>
  <si>
    <t>Tất toán trước hạn = rút trước hạn. (Theo title/meta, chưa đọc bài.)</t>
  </si>
  <si>
    <t>Cùng câu hỏi cho tiết kiệm online. (Theo title/meta, chưa đọc bài.)</t>
  </si>
  <si>
    <t>Phương án thay cho rút trước hạn. (Theo title/meta, chưa đọc bài.)</t>
  </si>
  <si>
    <t>Mất sổ — chèn ở đoạn rút tiền. (Theo title/meta, chưa đọc bài.)</t>
  </si>
  <si>
    <t>Các thao tác với sổ tiết kiệm. (Theo title/meta, chưa đọc bài.)</t>
  </si>
  <si>
    <t>Mở sổ cần bao nhiêu tiền. (Theo title/meta, chưa đọc bài.)</t>
  </si>
  <si>
    <t>TK tiết kiệm ~ sổ tiết kiệm. (Theo title/meta, chưa đọc bài.)</t>
  </si>
  <si>
    <t>Mất sổ — cần hiểu sổ. (Theo title/meta, chưa đọc bài.)</t>
  </si>
  <si>
    <t>công cụ tính lãi vay</t>
  </si>
  <si>
    <t>Gửi thêm vào sổ. (Theo title/meta, chưa đọc bài.)</t>
  </si>
  <si>
    <t>Quy trình gửi tiết kiệm tại quầy. (Theo title/meta, chưa đọc bài.)</t>
  </si>
  <si>
    <t>Cách tiết kiệm theo tuần — dẫn sang 11 cách. (Theo title/meta, chưa đọc bài.)</t>
  </si>
  <si>
    <t>Tiết kiệm theo ngày. (Theo title/meta, chưa đọc bài.)</t>
  </si>
  <si>
    <t>Tiết kiệm tiền lương. (Theo title/meta, chưa đọc bài.)</t>
  </si>
  <si>
    <t>Lợi ích tiết kiệm → cách làm. (Theo title/meta, chưa đọc bài.)</t>
  </si>
  <si>
    <t>Thực hành tiết kiệm. (Theo title/meta, chưa đọc bài.)</t>
  </si>
  <si>
    <t>Lý do nên gửi → đối chiếu rủi ro. (Theo title/meta, chưa đọc bài.)</t>
  </si>
  <si>
    <t>Mất tiền gửi online — rủi ro cụ thể. (Theo title/meta, chưa đọc bài.)</t>
  </si>
  <si>
    <t>Kinh nghiệm gửi an toàn. (Theo title/meta, chưa đọc bài.)</t>
  </si>
  <si>
    <t>Hướng dẫn gửi — chèn lưu ý rủi ro. (Theo title/meta, chưa đọc bài.)</t>
  </si>
  <si>
    <t>Bài anh em (rủi ro chung). (Theo title/meta, chưa đọc bài.)</t>
  </si>
  <si>
    <t>Vay 100 triệu — dùng công cụ tính tiền trả. (Theo title/meta, chưa đọc bài.)</t>
  </si>
  <si>
    <t>Vay 200 triệu trả góp — người đọc cần tính số tiền trả hàng tháng. (Theo title/meta, chưa đọc bài.)</t>
  </si>
  <si>
    <t>công cụ tính lãi suất vay ngân hàng</t>
  </si>
  <si>
    <t>Vay 300 triệu trả góp — người đọc cần tính số tiền trả hàng tháng. (Theo title/meta, chưa đọc bài.)</t>
  </si>
  <si>
    <t>bảng tính lãi suất vay</t>
  </si>
  <si>
    <t>Vay trả góp — tính số tiền trả. (Theo title/meta, chưa đọc bài.)</t>
  </si>
  <si>
    <t>Vay thêm → tính lại khả năng trả. (Theo title/meta, chưa đọc bài.)</t>
  </si>
  <si>
    <t>Mục tiêu 100 triệu — tính lãi tích lũy. (Theo title/meta, chưa đọc bài.)</t>
  </si>
  <si>
    <t>So sánh gửi tiết kiệm 50 triệu — cần tính lãi. (Theo title/meta, chưa đọc bài.)</t>
  </si>
  <si>
    <t>Tiết kiệm tích lũy — tính lãi. (Theo title/meta, chưa đọc bài.)</t>
  </si>
  <si>
    <t>Trước khi gửi, tính lãi dự kiến. (Theo title/meta, chưa đọc bài.)</t>
  </si>
  <si>
    <t>So sánh lãi — dùng công cụ. (Theo title/meta, chưa đọc bài.)</t>
  </si>
  <si>
    <t>Vay online — app là kênh chính. (Theo title/meta, chưa đọc bài.)</t>
  </si>
  <si>
    <t>Bài chưa có trong file crawl: kiểm tra link cũ khi mở bài. Anchor "vay tiền online" của trang đích 68 trùng chủ đề chính bài này — không dùng anchor đó tại đây; cân nhắc rủi ro ăn thịt từ khóa giữa vay-tien-online và app-vay-tien-nhanh.</t>
  </si>
  <si>
    <t>Vay chỉ cần CCCD — trùng nhu cầu. (Theo title/meta, chưa đọc bài.)</t>
  </si>
  <si>
    <t>app vay tiền chỉ cần CCCD</t>
  </si>
  <si>
    <t>Vay nhanh 24/24. (Theo title/meta, chưa đọc bài.)</t>
  </si>
  <si>
    <t>vay tiền online</t>
  </si>
  <si>
    <t>Vay online 3 phút. (Theo title/meta, chưa đọc bài.)</t>
  </si>
  <si>
    <t>Vay siêu tốc. (Theo title/meta, chưa đọc bài.)</t>
  </si>
  <si>
    <t>Lãi suất là gì → lãi suất vay hiện nay. (Theo title/meta, chưa đọc bài.)</t>
  </si>
  <si>
    <t>Lãi vay tiêu dùng — một phần lãi vay ngân hàng. (Theo title/meta, chưa đọc bài.)</t>
  </si>
  <si>
    <t>lãi suất vay ngân hàng mới nhất</t>
  </si>
  <si>
    <t>Lãi vay tín chấp — anh em. (Theo title/meta, chưa đọc bài.)</t>
  </si>
  <si>
    <t>Điều kiện vay — chèn ở đoạn chi phí vay. (Theo title/meta, chưa đọc bài.)</t>
  </si>
  <si>
    <t>Lãi quá hạn so với lãi vay thông thường. (Theo title/meta, chưa đọc bài.)</t>
  </si>
  <si>
    <t>Hạn mức thấu chi. (Theo title/meta, chưa đọc bài.)</t>
  </si>
  <si>
    <t>Lãi suất thấu chi. (Theo title/meta, chưa đọc bài.)</t>
  </si>
  <si>
    <t>Thời hạn thấu chi. (Theo title/meta, chưa đọc bài.)</t>
  </si>
  <si>
    <t>Trả nợ thấu chi. (Theo title/meta, chưa đọc bài.)</t>
  </si>
  <si>
    <t>Vay hạn mức — gần với thấu chi. (Theo title/meta, chưa đọc bài.)</t>
  </si>
  <si>
    <t>Trước khi làm thẻ cần kiểm tra nợ xấu. (Theo title/meta, chưa đọc bài.)</t>
  </si>
  <si>
    <t>Nợ xấu có mở thẻ tín dụng được không — cần kiểm tra nợ xấu trước khi mở thẻ. (Theo title/meta, chưa đọc bài.)</t>
  </si>
  <si>
    <t>Có mục cách kiểm tra (theo title). (Theo title/meta, chưa đọc bài.)</t>
  </si>
  <si>
    <t>Kiểm tra trước khi vay thế chấp. (Theo title/meta, chưa đọc bài.)</t>
  </si>
  <si>
    <t>Nợ nhóm 2 — kiểm tra nhóm nợ. (Theo title/meta, chưa đọc bài.)</t>
  </si>
  <si>
    <t>Định nghĩa → chọn nơi vay. (Theo title/meta, chưa đọc bài.)</t>
  </si>
  <si>
    <t>Hồ sơ vay → nơi nộp. (Theo title/meta, chưa đọc bài.)</t>
  </si>
  <si>
    <t>Hạn mức khác nhau giữa ngân hàng. (Theo title/meta, chưa đọc bài.)</t>
  </si>
  <si>
    <t>Chọn hình thức → chọn nơi vay. (Theo title/meta, chưa đọc bài.)</t>
  </si>
  <si>
    <t>So lãi suất các ngân hàng. (Theo title/meta, chưa đọc bài.)</t>
  </si>
  <si>
    <t>Nợ nhóm 2 — giải thích nợ xấu. (Theo title/meta, chưa đọc bài.)</t>
  </si>
  <si>
    <t>Nợ nhóm 3 là nợ xấu. (Theo title/meta, chưa đọc bài.)</t>
  </si>
  <si>
    <t>Dư nợ — chèn ở đoạn chất lượng dư nợ. (Theo title/meta, chưa đọc bài.)</t>
  </si>
  <si>
    <t>Quá hạn thẻ có thể thành nợ xấu. (Theo title/meta, chưa đọc bài.)</t>
  </si>
  <si>
    <t>Bài anh em (thế chấp). (Theo title/meta, chưa đọc bài.)</t>
  </si>
  <si>
    <t>Lãi quá hạn khi không trả được. (Theo title/meta, chưa đọc bài.)</t>
  </si>
  <si>
    <t>Nợ quá hạn tương tự. (Theo title/meta, chưa đọc bài.)</t>
  </si>
  <si>
    <t>Định nghĩa — chèn ở đoạn rủi ro. (Theo title/meta, chưa đọc bài.)</t>
  </si>
  <si>
    <t>Chứng chỉ quỹ là gì → phương pháp đầu tư. (Theo title/meta, chưa đọc bài.)</t>
  </si>
  <si>
    <t>Hướng dẫn mua → phương pháp. (Theo title/meta, chưa đọc bài.)</t>
  </si>
  <si>
    <t>Đầu tư quỹ mở cho người mới. (Theo title/meta, chưa đọc bài.)</t>
  </si>
  <si>
    <t>App theo dõi CCQ. (Theo title/meta, chưa đọc bài.)</t>
  </si>
  <si>
    <t>So sánh CCQ với cổ phiếu. (Theo title/meta, chưa đọc bài.)</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</si>
</sst>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b/>
      <sz val="13.0"/>
      <color theme="1"/>
      <name val="Arial"/>
    </font>
    <font>
      <b/>
      <sz val="12.0"/>
      <color rgb="FF0049EE"/>
      <name val="Arial"/>
      <scheme val="minor"/>
    </font>
    <font>
      <b/>
      <color rgb="FFFFFFFF"/>
      <name val="Arial"/>
    </font>
    <font>
      <sz val="10.0"/>
      <color rgb="FF002992"/>
      <name val="Arial"/>
      <scheme val="minor"/>
    </font>
    <font>
      <b/>
      <sz val="11.0"/>
      <color theme="1"/>
      <name val="Arial"/>
    </font>
    <font>
      <sz val="11.0"/>
      <color theme="1"/>
      <name val="Arial"/>
    </font>
    <font>
      <b/>
      <sz val="10.0"/>
      <color rgb="FFFFFFFF"/>
      <name val="Arial"/>
      <scheme val="minor"/>
    </font>
    <font>
      <color theme="1"/>
      <name val="Arial"/>
      <scheme val="minor"/>
    </font>
    <font>
      <sz val="10.0"/>
      <color theme="1"/>
      <name val="Arial"/>
      <scheme val="minor"/>
    </font>
    <font>
      <b/>
      <sz val="10.0"/>
      <color theme="1"/>
      <name val="Arial"/>
      <scheme val="minor"/>
    </font>
    <font>
      <b/>
      <sz val="10.0"/>
      <color rgb="FF0049EE"/>
      <name val="Arial"/>
      <scheme val="minor"/>
    </font>
    <font>
      <b/>
      <sz val="12.0"/>
      <color rgb="FFF68A1F"/>
      <name val="Arial"/>
      <scheme val="minor"/>
    </font>
    <font>
      <b/>
      <sz val="9.0"/>
      <color theme="1"/>
      <name val="Arial"/>
      <scheme val="minor"/>
    </font>
    <font>
      <sz val="10.0"/>
      <color theme="1"/>
      <name val="Arial"/>
    </font>
    <font>
      <b/>
      <color theme="1"/>
      <name val="Arial"/>
    </font>
    <font>
      <u/>
      <sz val="10.0"/>
      <color rgb="FF0000FF"/>
      <name val="Arial"/>
    </font>
    <font>
      <u/>
      <sz val="10.0"/>
      <color rgb="FF0000FF"/>
      <name val="Arial"/>
    </font>
    <font>
      <u/>
      <sz val="10.0"/>
      <color rgb="FF0000FF"/>
      <name val="Arial"/>
    </font>
    <font>
      <u/>
      <color rgb="FF0000FF"/>
    </font>
    <font>
      <b/>
      <color theme="1"/>
      <name val="Arial"/>
      <scheme val="minor"/>
    </font>
    <font>
      <u/>
      <sz val="10.0"/>
      <color rgb="FF0000FF"/>
      <name val="Arial"/>
    </font>
  </fonts>
  <fills count="7">
    <fill>
      <patternFill patternType="none"/>
    </fill>
    <fill>
      <patternFill patternType="lightGray"/>
    </fill>
    <fill>
      <patternFill patternType="solid">
        <fgColor rgb="FFF3F3F6"/>
        <bgColor rgb="FFF3F3F6"/>
      </patternFill>
    </fill>
    <fill>
      <patternFill patternType="solid">
        <fgColor rgb="FF990000"/>
        <bgColor rgb="FF990000"/>
      </patternFill>
    </fill>
    <fill>
      <patternFill patternType="solid">
        <fgColor rgb="FF0049EE"/>
        <bgColor rgb="FF0049EE"/>
      </patternFill>
    </fill>
    <fill>
      <patternFill patternType="solid">
        <fgColor rgb="FFF2F2F2"/>
        <bgColor rgb="FFF2F2F2"/>
      </patternFill>
    </fill>
    <fill>
      <patternFill patternType="solid">
        <fgColor rgb="FFFFFFFF"/>
        <bgColor rgb="FFFFFFFF"/>
      </patternFill>
    </fill>
  </fills>
  <borders count="7">
    <border/>
    <border>
      <right style="thin">
        <color rgb="FFDCDCDC"/>
      </right>
      <bottom style="thin">
        <color rgb="FFDCDCDC"/>
      </bottom>
    </border>
    <border>
      <left style="thin">
        <color rgb="FFDCDCDC"/>
      </left>
      <right style="thin">
        <color rgb="FFDCDCDC"/>
      </right>
      <bottom style="thin">
        <color rgb="FFDCDCDC"/>
      </bottom>
    </border>
    <border>
      <left style="thin">
        <color rgb="FFDCDCDC"/>
      </left>
      <bottom style="thin">
        <color rgb="FFDCDCDC"/>
      </bottom>
    </border>
    <border>
      <right style="thin">
        <color rgb="FFDCDCDC"/>
      </right>
      <top style="thin">
        <color rgb="FFDCDCDC"/>
      </top>
      <bottom style="thin">
        <color rgb="FFDCDCDC"/>
      </bottom>
    </border>
    <border>
      <left style="thin">
        <color rgb="FFDCDCDC"/>
      </left>
      <right style="thin">
        <color rgb="FFDCDCDC"/>
      </right>
      <top style="thin">
        <color rgb="FFDCDCDC"/>
      </top>
      <bottom style="thin">
        <color rgb="FFDCDCDC"/>
      </bottom>
    </border>
    <border>
      <left style="thin">
        <color rgb="FFDCDCDC"/>
      </left>
      <top style="thin">
        <color rgb="FFDCDCDC"/>
      </top>
      <bottom style="thin">
        <color rgb="FFDCDCDC"/>
      </bottom>
    </border>
  </borders>
  <cellStyleXfs count="1">
    <xf borderId="0" fillId="0" fontId="0" numFmtId="0" applyAlignment="1" applyFont="1"/>
  </cellStyleXfs>
  <cellXfs count="47">
    <xf borderId="0" fillId="0" fontId="0" numFmtId="0" xfId="0" applyAlignment="1" applyFont="1">
      <alignment readingOrder="0" shrinkToFit="0" vertical="bottom" wrapText="0"/>
    </xf>
    <xf borderId="0" fillId="0" fontId="1" numFmtId="0" xfId="0" applyAlignment="1" applyFont="1">
      <alignment readingOrder="0" shrinkToFit="0" vertical="top" wrapText="1"/>
    </xf>
    <xf borderId="0" fillId="2" fontId="2" numFmtId="0" xfId="0" applyAlignment="1" applyFill="1" applyFont="1">
      <alignment horizontal="center" readingOrder="0" shrinkToFit="0" vertical="center" wrapText="1"/>
    </xf>
    <xf borderId="0" fillId="3" fontId="3" numFmtId="0" xfId="0" applyAlignment="1" applyFill="1" applyFont="1">
      <alignment horizontal="center" readingOrder="0" shrinkToFit="0" vertical="center" wrapText="1"/>
    </xf>
    <xf borderId="0" fillId="2" fontId="4" numFmtId="0" xfId="0" applyAlignment="1" applyFill="1" applyFont="1">
      <alignment readingOrder="0" shrinkToFit="0" vertical="center" wrapText="1"/>
    </xf>
    <xf borderId="0" fillId="0" fontId="5" numFmtId="0" xfId="0" applyAlignment="1" applyFont="1">
      <alignment readingOrder="0" shrinkToFit="0" vertical="center" wrapText="1"/>
    </xf>
    <xf borderId="0" fillId="0" fontId="6" numFmtId="0" xfId="0" applyAlignment="1" applyFont="1">
      <alignment readingOrder="0" shrinkToFit="0" vertical="center" wrapText="1"/>
    </xf>
    <xf borderId="1" fillId="4" fontId="7" numFmtId="0" xfId="0" applyAlignment="1" applyBorder="1" applyFill="1" applyFont="1">
      <alignment horizontal="center" readingOrder="0" shrinkToFit="0" vertical="center" wrapText="1"/>
    </xf>
    <xf borderId="2" fillId="4" fontId="7" numFmtId="0" xfId="0" applyAlignment="1" applyBorder="1" applyFill="1" applyFont="1">
      <alignment horizontal="center" readingOrder="0" shrinkToFit="0" vertical="center" wrapText="1"/>
    </xf>
    <xf borderId="0" fillId="0" fontId="8" numFmtId="0" xfId="0" applyAlignment="1" applyFont="1">
      <alignment readingOrder="0"/>
    </xf>
    <xf borderId="3" fillId="4" fontId="7" numFmtId="0" xfId="0" applyAlignment="1" applyBorder="1" applyFill="1" applyFont="1">
      <alignment horizontal="center" readingOrder="0" shrinkToFit="0" vertical="center" wrapText="1"/>
    </xf>
    <xf borderId="0" fillId="4" fontId="7" numFmtId="0" xfId="0" applyAlignment="1" applyFill="1" applyFont="1">
      <alignment horizontal="center" readingOrder="0" shrinkToFit="0" vertical="center" wrapText="1"/>
    </xf>
    <xf borderId="4" fillId="0" fontId="9" numFmtId="0" xfId="0" applyAlignment="1" applyBorder="1" applyFont="1">
      <alignment horizontal="center" shrinkToFit="0" vertical="top" wrapText="1"/>
    </xf>
    <xf borderId="5" fillId="0" fontId="9" numFmtId="0" xfId="0" applyAlignment="1" applyBorder="1" applyFont="1">
      <alignment shrinkToFit="0" vertical="top" wrapText="1"/>
    </xf>
    <xf borderId="5" fillId="0" fontId="10" numFmtId="0" xfId="0" applyAlignment="1" applyBorder="1" applyFont="1">
      <alignment horizontal="center" shrinkToFit="0" vertical="top" wrapText="1"/>
    </xf>
    <xf borderId="5" fillId="0" fontId="11" numFmtId="0" xfId="0" applyAlignment="1" applyBorder="1" applyFont="1">
      <alignment shrinkToFit="0" vertical="top" wrapText="1"/>
    </xf>
    <xf borderId="5" fillId="0" fontId="12" numFmtId="0" xfId="0" applyAlignment="1" applyBorder="1" applyFont="1">
      <alignment horizontal="center" shrinkToFit="0" vertical="top" wrapText="1"/>
    </xf>
    <xf borderId="5" fillId="0" fontId="13" numFmtId="0" xfId="0" applyAlignment="1" applyBorder="1" applyFont="1">
      <alignment horizontal="center" shrinkToFit="0" vertical="top" wrapText="1"/>
    </xf>
    <xf borderId="6" fillId="0" fontId="9" numFmtId="0" xfId="0" applyAlignment="1" applyBorder="1" applyFont="1">
      <alignment shrinkToFit="0" vertical="top" wrapText="1"/>
    </xf>
    <xf borderId="0" fillId="0" fontId="8" numFmtId="0" xfId="0" applyFont="1"/>
    <xf borderId="0" fillId="0" fontId="14" numFmtId="0" xfId="0" applyAlignment="1" applyFont="1">
      <alignment shrinkToFit="0" vertical="top" wrapText="1"/>
    </xf>
    <xf borderId="0" fillId="0" fontId="14" numFmtId="0" xfId="0" applyAlignment="1" applyFont="1">
      <alignment horizontal="center" readingOrder="0" shrinkToFit="0" vertical="top" wrapText="1"/>
    </xf>
    <xf borderId="0" fillId="0" fontId="14" numFmtId="0" xfId="0" applyAlignment="1" applyFont="1">
      <alignment readingOrder="0" shrinkToFit="0" vertical="top" wrapText="1"/>
    </xf>
    <xf borderId="0" fillId="5" fontId="15" numFmtId="0" xfId="0" applyAlignment="1" applyFill="1" applyFont="1">
      <alignment horizontal="center" shrinkToFit="0" vertical="top" wrapText="1"/>
    </xf>
    <xf borderId="0" fillId="5" fontId="15" numFmtId="0" xfId="0" applyAlignment="1" applyFill="1" applyFont="1">
      <alignment shrinkToFit="0" vertical="top" wrapText="1"/>
    </xf>
    <xf borderId="0" fillId="0" fontId="14" numFmtId="0" xfId="0" applyAlignment="1" applyFont="1">
      <alignment shrinkToFit="0" vertical="top" wrapText="1"/>
    </xf>
    <xf borderId="0" fillId="0" fontId="14" numFmtId="0" xfId="0" applyAlignment="1" applyFont="1">
      <alignment readingOrder="0" shrinkToFit="0" vertical="top" wrapText="1"/>
    </xf>
    <xf borderId="0" fillId="0" fontId="16" numFmtId="0" xfId="0" applyAlignment="1" applyFont="1">
      <alignment readingOrder="0" shrinkToFit="0" vertical="top" wrapText="1"/>
    </xf>
    <xf borderId="0" fillId="0" fontId="14" numFmtId="0" xfId="0" applyAlignment="1" applyFont="1">
      <alignment horizontal="center" shrinkToFit="0" vertical="top" wrapText="1"/>
    </xf>
    <xf borderId="0" fillId="6" fontId="14" numFmtId="0" xfId="0" applyAlignment="1" applyFill="1" applyFont="1">
      <alignment horizontal="center" shrinkToFit="0" vertical="center" wrapText="0"/>
    </xf>
    <xf borderId="0" fillId="6" fontId="14" numFmtId="0" xfId="0" applyAlignment="1" applyFill="1" applyFont="1">
      <alignment shrinkToFit="0" vertical="center" wrapText="0"/>
    </xf>
    <xf borderId="0" fillId="6" fontId="14" numFmtId="0" xfId="0" applyAlignment="1" applyFill="1" applyFont="1">
      <alignment readingOrder="0" shrinkToFit="0" vertical="center" wrapText="0"/>
    </xf>
    <xf borderId="0" fillId="6" fontId="14" numFmtId="0" xfId="0" applyAlignment="1" applyFill="1" applyFont="1">
      <alignment horizontal="center" readingOrder="0" shrinkToFit="0" vertical="center" wrapText="0"/>
    </xf>
    <xf borderId="0" fillId="6" fontId="14" numFmtId="0" xfId="0" applyAlignment="1" applyFill="1" applyFont="1">
      <alignment readingOrder="0" shrinkToFit="0" vertical="center" wrapText="1"/>
    </xf>
    <xf borderId="0" fillId="6" fontId="17" numFmtId="0" xfId="0" applyAlignment="1" applyFill="1" applyFont="1">
      <alignment shrinkToFit="0" vertical="center" wrapText="0"/>
    </xf>
    <xf borderId="0" fillId="5" fontId="15" numFmtId="0" xfId="0" applyAlignment="1" applyFill="1" applyFont="1">
      <alignment horizontal="center" shrinkToFit="0" vertical="top" wrapText="1"/>
    </xf>
    <xf borderId="0" fillId="5" fontId="15" numFmtId="0" xfId="0" applyAlignment="1" applyFill="1" applyFont="1">
      <alignment shrinkToFit="0" vertical="top" wrapText="1"/>
    </xf>
    <xf borderId="0" fillId="0" fontId="18" numFmtId="0" xfId="0" applyAlignment="1" applyFont="1">
      <alignment shrinkToFit="0" vertical="top" wrapText="1"/>
    </xf>
    <xf borderId="0" fillId="0" fontId="8" numFmtId="0" xfId="0" applyAlignment="1" applyFont="1">
      <alignment horizontal="center" readingOrder="0"/>
    </xf>
    <xf borderId="0" fillId="0" fontId="19" numFmtId="0" xfId="0" applyAlignment="1" applyFont="1">
      <alignment readingOrder="0"/>
    </xf>
    <xf borderId="0" fillId="0" fontId="8" numFmtId="0" xfId="0" applyAlignment="1" applyFont="1">
      <alignment horizontal="center"/>
    </xf>
    <xf borderId="0" fillId="0" fontId="20" numFmtId="0" xfId="0" applyAlignment="1" applyFont="1">
      <alignment readingOrder="0"/>
    </xf>
    <xf borderId="0" fillId="0" fontId="21" numFmtId="0" xfId="0" applyAlignment="1" applyFont="1">
      <alignment readingOrder="0" shrinkToFit="0" vertical="center" wrapText="1"/>
    </xf>
    <xf borderId="0" fillId="0" fontId="14" numFmtId="0" xfId="0" applyAlignment="1" applyFont="1">
      <alignment readingOrder="0" shrinkToFit="0" vertical="center" wrapText="1"/>
    </xf>
    <xf borderId="0" fillId="0" fontId="14" numFmtId="0" xfId="0" applyAlignment="1" applyFont="1">
      <alignment shrinkToFit="0" vertical="center" wrapText="1"/>
    </xf>
    <xf borderId="0" fillId="6" fontId="14" numFmtId="0" xfId="0" applyAlignment="1" applyFill="1" applyFont="1">
      <alignment readingOrder="0" shrinkToFit="0" vertical="center" wrapText="1"/>
    </xf>
    <xf borderId="0" fillId="0" fontId="8" numFmtId="0" xfId="0" applyAlignment="1" applyFont="1">
      <alignment shrinkToFit="0" wrapText="1"/>
    </xf>
  </cellXfs>
  <cellStyles count="1">
    <cellStyle xfId="0" name="Normal" builtinId="0"/>
  </cellStyles>
  <dxfs count="14">
    <dxf>
      <font>
        <color rgb="FF002992"/>
      </font>
      <fill>
        <patternFill patternType="solid">
          <fgColor rgb="FF06EE9C"/>
          <bgColor rgb="FF06EE9C"/>
        </patternFill>
      </fill>
      <border/>
    </dxf>
    <dxf>
      <font>
        <color rgb="FF6B6B6B"/>
      </font>
      <fill>
        <patternFill patternType="solid">
          <fgColor rgb="FFDCDCDC"/>
          <bgColor rgb="FFDCDCDC"/>
        </patternFill>
      </fill>
      <border/>
    </dxf>
    <dxf>
      <font>
        <color rgb="FF8C6600"/>
      </font>
      <fill>
        <patternFill patternType="solid">
          <fgColor rgb="FFFFF3C2"/>
          <bgColor rgb="FFFFF3C2"/>
        </patternFill>
      </fill>
      <border/>
    </dxf>
    <dxf>
      <font>
        <color rgb="FF002992"/>
      </font>
      <fill>
        <patternFill patternType="solid">
          <fgColor rgb="FFDCE7FC"/>
          <bgColor rgb="FFDCE7FC"/>
        </patternFill>
      </fill>
      <border/>
    </dxf>
    <dxf>
      <font>
        <color rgb="FF00663F"/>
      </font>
      <fill>
        <patternFill patternType="solid">
          <fgColor rgb="FFD4FAEA"/>
          <bgColor rgb="FFD4FAEA"/>
        </patternFill>
      </fill>
      <border/>
    </dxf>
    <dxf>
      <font/>
      <fill>
        <patternFill patternType="solid">
          <fgColor rgb="FFF3F3F6"/>
          <bgColor rgb="FFF3F3F6"/>
        </patternFill>
      </fill>
      <border/>
    </dxf>
    <dxf>
      <font>
        <b/>
      </font>
      <fill>
        <patternFill patternType="solid">
          <fgColor rgb="FFF9C67F"/>
          <bgColor rgb="FFF9C67F"/>
        </patternFill>
      </fill>
      <border/>
    </dxf>
    <dxf>
      <font/>
      <fill>
        <patternFill patternType="solid">
          <fgColor rgb="FFFFF1CC"/>
          <bgColor rgb="FFFFF1CC"/>
        </patternFill>
      </fill>
      <border/>
    </dxf>
    <dxf>
      <font/>
      <fill>
        <patternFill patternType="solid">
          <fgColor rgb="FFCEE2F2"/>
          <bgColor rgb="FFCEE2F2"/>
        </patternFill>
      </fill>
      <border/>
    </dxf>
    <dxf>
      <font/>
      <fill>
        <patternFill patternType="solid">
          <fgColor rgb="FFD8EAD3"/>
          <bgColor rgb="FFD8EAD3"/>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solid">
          <fgColor rgb="FFD7EAD2"/>
          <bgColor rgb="FFD7EAD2"/>
        </patternFill>
      </fill>
      <border/>
    </dxf>
    <dxf>
      <font/>
      <fill>
        <patternFill patternType="solid">
          <fgColor rgb="FFCEE1F1"/>
          <bgColor rgb="FFCEE1F1"/>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techcombank.com/thong-tin/blog/nap-xu-tiktok" TargetMode="External"/><Relationship Id="rId391" Type="http://schemas.openxmlformats.org/officeDocument/2006/relationships/hyperlink" Target="https://techcombank.com/thong-tin/blog/shopeepay-la-gi" TargetMode="External"/><Relationship Id="rId390" Type="http://schemas.openxmlformats.org/officeDocument/2006/relationships/hyperlink" Target="https://techcombank.com/thong-tin/blog/cach-chuyen-khoan-bang-dien-thoai" TargetMode="External"/><Relationship Id="rId2180" Type="http://schemas.openxmlformats.org/officeDocument/2006/relationships/hyperlink" Target="https://techcombank.com/thong-tin/blog/phi-rut-tien-mat-the-tin-dung" TargetMode="External"/><Relationship Id="rId2181" Type="http://schemas.openxmlformats.org/officeDocument/2006/relationships/hyperlink" Target="https://techcombank.com/thong-tin/blog/nen-gui-tiet-kiem-thong-thuong-hay-tich-luy" TargetMode="External"/><Relationship Id="rId2182" Type="http://schemas.openxmlformats.org/officeDocument/2006/relationships/hyperlink" Target="https://techcombank.com/thong-tin/blog/nen-de-tien-trong-the-hay-gui-tiet-kiem" TargetMode="External"/><Relationship Id="rId2183" Type="http://schemas.openxmlformats.org/officeDocument/2006/relationships/hyperlink" Target="https://techcombank.com/thong-tin/blog/tien-gui-khong-ky-han" TargetMode="External"/><Relationship Id="rId385" Type="http://schemas.openxmlformats.org/officeDocument/2006/relationships/hyperlink" Target="https://techcombank.com/thong-tin/blog/cach-nap-the-mobi" TargetMode="External"/><Relationship Id="rId2184" Type="http://schemas.openxmlformats.org/officeDocument/2006/relationships/hyperlink" Target="https://techcombank.com/thong-tin/blog/vay-mua-nha-tra-gop" TargetMode="External"/><Relationship Id="rId384" Type="http://schemas.openxmlformats.org/officeDocument/2006/relationships/hyperlink" Target="https://techcombank.com/thong-tin/blog/cach-nap-the-vina" TargetMode="External"/><Relationship Id="rId2185" Type="http://schemas.openxmlformats.org/officeDocument/2006/relationships/hyperlink" Target="https://techcombank.com/thong-tin/blog/vay-du-hoc" TargetMode="External"/><Relationship Id="rId383" Type="http://schemas.openxmlformats.org/officeDocument/2006/relationships/hyperlink" Target="https://techcombank.com/thong-tin/blog/thanh-toan-tra-sau-viettel-bang-tai-khoan-ngan-hang" TargetMode="External"/><Relationship Id="rId2186" Type="http://schemas.openxmlformats.org/officeDocument/2006/relationships/hyperlink" Target="https://techcombank.com/thong-tin/blog/gui-tiet-kiem-ngan-hang-van-la-lua-chon-an-toan-trong-thoi-ky-kinh-te-con-nhieu-bien-dong" TargetMode="External"/><Relationship Id="rId382" Type="http://schemas.openxmlformats.org/officeDocument/2006/relationships/hyperlink" Target="https://techcombank.com/thong-tin/blog/nap-tien-dien-thoai-online" TargetMode="External"/><Relationship Id="rId2187" Type="http://schemas.openxmlformats.org/officeDocument/2006/relationships/hyperlink" Target="https://techcombank.com/thong-tin/blog/cach-gui-tiet-kiem-online" TargetMode="External"/><Relationship Id="rId389" Type="http://schemas.openxmlformats.org/officeDocument/2006/relationships/hyperlink" Target="https://techcombank.com/thong-tin/blog/vi-dien-tu-la-gi" TargetMode="External"/><Relationship Id="rId2188" Type="http://schemas.openxmlformats.org/officeDocument/2006/relationships/hyperlink" Target="https://techcombank.com/thong-tin/blog/gui-tien-ngan-hang-co-an-toan-khong" TargetMode="External"/><Relationship Id="rId388" Type="http://schemas.openxmlformats.org/officeDocument/2006/relationships/hyperlink" Target="https://techcombank.com/thong-tin/blog/app-dong-tien-dien-online" TargetMode="External"/><Relationship Id="rId2189" Type="http://schemas.openxmlformats.org/officeDocument/2006/relationships/hyperlink" Target="https://techcombank.com/thong-tin/blog/dau-tu-trai-phieu-doanh-nghiep-dung-ham-lai-suat-cao" TargetMode="External"/><Relationship Id="rId387" Type="http://schemas.openxmlformats.org/officeDocument/2006/relationships/hyperlink" Target="https://techcombank.com/thong-tin/blog/so-sanh-gui-tiet-kiem-online-va-tai-quay" TargetMode="External"/><Relationship Id="rId386" Type="http://schemas.openxmlformats.org/officeDocument/2006/relationships/hyperlink" Target="https://techcombank.com/thong-tin/blog/mat-so-dien-thoai-dang-ky-tai-khoan-ngan-hang" TargetMode="External"/><Relationship Id="rId381" Type="http://schemas.openxmlformats.org/officeDocument/2006/relationships/hyperlink" Target="https://techcombank.com/thong-tin/blog/cach-nap-the" TargetMode="External"/><Relationship Id="rId380" Type="http://schemas.openxmlformats.org/officeDocument/2006/relationships/hyperlink" Target="https://techcombank.com/thong-tin/blog/hieu-hiet-ve-tuan-thu-thue-cho-cac-doanh-nghiep-khoi-nghiep" TargetMode="External"/><Relationship Id="rId379" Type="http://schemas.openxmlformats.org/officeDocument/2006/relationships/hyperlink" Target="https://techcombank.com/thong-tin/blog/khoi-nghiep-truoc-chinh-sach-thue-moi" TargetMode="External"/><Relationship Id="rId2170" Type="http://schemas.openxmlformats.org/officeDocument/2006/relationships/hyperlink" Target="https://techcombank.com/thong-tin/blog/merchant-la-gi" TargetMode="External"/><Relationship Id="rId2171" Type="http://schemas.openxmlformats.org/officeDocument/2006/relationships/hyperlink" Target="https://techcombank.com/thong-tin/blog/tai-sao-gui-tiet-kiem-online-lai-suat-cao-hon" TargetMode="External"/><Relationship Id="rId2172" Type="http://schemas.openxmlformats.org/officeDocument/2006/relationships/hyperlink" Target="https://techcombank.com/thong-tin/blog/vay-the-chap-hop-dong-mua-ban-can-ho" TargetMode="External"/><Relationship Id="rId374" Type="http://schemas.openxmlformats.org/officeDocument/2006/relationships/hyperlink" Target="https://techcombank.com/thong-tin/blog/wacc-la-gi" TargetMode="External"/><Relationship Id="rId2173" Type="http://schemas.openxmlformats.org/officeDocument/2006/relationships/hyperlink" Target="https://techcombank.com/thong-tin/blog/cach-tinh-gia-vang" TargetMode="External"/><Relationship Id="rId373" Type="http://schemas.openxmlformats.org/officeDocument/2006/relationships/hyperlink" Target="https://techcombank.com/thong-tin/blog/co-50-trieu-nen-mua-vang-hay-gui-tiet-kiem" TargetMode="External"/><Relationship Id="rId2174" Type="http://schemas.openxmlformats.org/officeDocument/2006/relationships/hyperlink" Target="https://techcombank.com/thong-tin/blog/so-sanh-gui-tiet-kiem-online-va-tai-quay" TargetMode="External"/><Relationship Id="rId372" Type="http://schemas.openxmlformats.org/officeDocument/2006/relationships/hyperlink" Target="https://techcombank.com/thong-tin/blog/thue-khoan-ho-kinh-doanh-la-gi" TargetMode="External"/><Relationship Id="rId2175" Type="http://schemas.openxmlformats.org/officeDocument/2006/relationships/hyperlink" Target="https://techcombank.com/thong-tin/blog/no-xau-mo-the-tin-dung-duoc-khong" TargetMode="External"/><Relationship Id="rId371" Type="http://schemas.openxmlformats.org/officeDocument/2006/relationships/hyperlink" Target="https://techcombank.com/thong-tin/blog/cach-tinh-thue-thu-nhap-ca-nhan-2025" TargetMode="External"/><Relationship Id="rId2176" Type="http://schemas.openxmlformats.org/officeDocument/2006/relationships/hyperlink" Target="https://techcombank.com/thong-tin/blog/so-tiet-kiem-ngan-hang" TargetMode="External"/><Relationship Id="rId378" Type="http://schemas.openxmlformats.org/officeDocument/2006/relationships/hyperlink" Target="https://techcombank.com/thong-tin/blog/cach-tra-cuu-hoa-don-dien-tu" TargetMode="External"/><Relationship Id="rId2177" Type="http://schemas.openxmlformats.org/officeDocument/2006/relationships/hyperlink" Target="https://techcombank.com/thong-tin/blog/rut-tien-mat-tu-the-tin-dung" TargetMode="External"/><Relationship Id="rId377" Type="http://schemas.openxmlformats.org/officeDocument/2006/relationships/hyperlink" Target="https://techcombank.com/thong-tin/blog/thue-vat-la-gi" TargetMode="External"/><Relationship Id="rId2178" Type="http://schemas.openxmlformats.org/officeDocument/2006/relationships/hyperlink" Target="https://techcombank.com/thong-tin/blog/gui-tiet-kiem-theo-ngay" TargetMode="External"/><Relationship Id="rId376" Type="http://schemas.openxmlformats.org/officeDocument/2006/relationships/hyperlink" Target="https://techcombank.com/thong-tin/blog/quyet-toan-thue-doanh-nghiep" TargetMode="External"/><Relationship Id="rId2179" Type="http://schemas.openxmlformats.org/officeDocument/2006/relationships/hyperlink" Target="https://techcombank.com/thong-tin/blog/gui-tiet-kiem-vang" TargetMode="External"/><Relationship Id="rId375" Type="http://schemas.openxmlformats.org/officeDocument/2006/relationships/hyperlink" Target="https://techcombank.com/thong-tin/blog/thue-thu-nhap-ca-nhan" TargetMode="External"/><Relationship Id="rId2190" Type="http://schemas.openxmlformats.org/officeDocument/2006/relationships/hyperlink" Target="https://techcombank.com/thong-tin/blog/casa-la-gi" TargetMode="External"/><Relationship Id="rId2191" Type="http://schemas.openxmlformats.org/officeDocument/2006/relationships/hyperlink" Target="https://techcombank.com/thong-tin/blog/gui-tiet-kiem-tich-luy-la-gi" TargetMode="External"/><Relationship Id="rId2192" Type="http://schemas.openxmlformats.org/officeDocument/2006/relationships/hyperlink" Target="https://techcombank.com/thong-tin/blog/gui-tiet-kiem-lay-lai-hang-thang" TargetMode="External"/><Relationship Id="rId2193" Type="http://schemas.openxmlformats.org/officeDocument/2006/relationships/hyperlink" Target="https://techcombank.com/thong-tin/blog/rui-ro-khi-gui-tiet-kiem-online" TargetMode="External"/><Relationship Id="rId2194" Type="http://schemas.openxmlformats.org/officeDocument/2006/relationships/hyperlink" Target="https://techcombank.com/thong-tin/blog/mo-the-tin-dung-co-loi-ich-gi" TargetMode="External"/><Relationship Id="rId396" Type="http://schemas.openxmlformats.org/officeDocument/2006/relationships/hyperlink" Target="https://techcombank.com/thong-tin/blog/app-vay-tien-nhanh" TargetMode="External"/><Relationship Id="rId2195" Type="http://schemas.openxmlformats.org/officeDocument/2006/relationships/hyperlink" Target="https://techcombank.com/thong-tin/blog/chon-kenh-dau-tu-an-toan-trong-boi-canh-thi-truong-bien-dong" TargetMode="External"/><Relationship Id="rId395" Type="http://schemas.openxmlformats.org/officeDocument/2006/relationships/hyperlink" Target="https://techcombank.com/thong-tin/blog/cach-dong-tien-dien-qua-tai-khoan-ngan-hang" TargetMode="External"/><Relationship Id="rId2196" Type="http://schemas.openxmlformats.org/officeDocument/2006/relationships/hyperlink" Target="https://techcombank.com/thong-tin/blog/vay-tin-chap-cho-doanh-nghiep-moi-thanh-lap" TargetMode="External"/><Relationship Id="rId394" Type="http://schemas.openxmlformats.org/officeDocument/2006/relationships/hyperlink" Target="https://techcombank.com/thong-tin/blog/the-visa-ao-la-gi" TargetMode="External"/><Relationship Id="rId2197" Type="http://schemas.openxmlformats.org/officeDocument/2006/relationships/hyperlink" Target="https://techcombank.com/thong-tin/blog/gui-tiet-kiem-ngoai-te" TargetMode="External"/><Relationship Id="rId393" Type="http://schemas.openxmlformats.org/officeDocument/2006/relationships/hyperlink" Target="https://techcombank.com/thong-tin/blog/nhung-kho-khan-khi-tiet-kiem-tien" TargetMode="External"/><Relationship Id="rId2198" Type="http://schemas.openxmlformats.org/officeDocument/2006/relationships/hyperlink" Target="https://techcombank.com/thong-tin/blog/rui-ro-khi-gui-tiet-kiem-ngan-hang" TargetMode="External"/><Relationship Id="rId2199" Type="http://schemas.openxmlformats.org/officeDocument/2006/relationships/hyperlink" Target="https://techcombank.com/thong-tin/blog/gui-tiet-kiem-hang-thang" TargetMode="External"/><Relationship Id="rId399" Type="http://schemas.openxmlformats.org/officeDocument/2006/relationships/hyperlink" Target="https://techcombank.com/thong-tin/blog/nap-tien-vao-tai-khoan-ngan-hang" TargetMode="External"/><Relationship Id="rId398" Type="http://schemas.openxmlformats.org/officeDocument/2006/relationships/hyperlink" Target="https://techcombank.com/thong-tin/blog/mobile-banking-la-gi" TargetMode="External"/><Relationship Id="rId397" Type="http://schemas.openxmlformats.org/officeDocument/2006/relationships/hyperlink" Target="https://techcombank.com/thong-tin/blog/cach-nap-tien-vao-the-ghi-no" TargetMode="External"/><Relationship Id="rId1730" Type="http://schemas.openxmlformats.org/officeDocument/2006/relationships/hyperlink" Target="https://techcombank.com/thong-tin/blog/chuyen-tien-tu-nhat-ve-viet-nam" TargetMode="External"/><Relationship Id="rId1731" Type="http://schemas.openxmlformats.org/officeDocument/2006/relationships/hyperlink" Target="https://techcombank.com/thong-tin/blog/1000-won-bang-bao-nhieu-tien-viet" TargetMode="External"/><Relationship Id="rId1732" Type="http://schemas.openxmlformats.org/officeDocument/2006/relationships/hyperlink" Target="https://techcombank.com/thong-tin/blog/di-du-lich-nuoc-ngoai-can-chuan-bi-gi" TargetMode="External"/><Relationship Id="rId1733" Type="http://schemas.openxmlformats.org/officeDocument/2006/relationships/hyperlink" Target="https://techcombank.com/thong-tin/blog/tien-nhat" TargetMode="External"/><Relationship Id="rId1734" Type="http://schemas.openxmlformats.org/officeDocument/2006/relationships/hyperlink" Target="https://techcombank.com/thong-tin/blog/1000-te-bang-bao-nhieu-tien-viet" TargetMode="External"/><Relationship Id="rId1735" Type="http://schemas.openxmlformats.org/officeDocument/2006/relationships/hyperlink" Target="https://techcombank.com/thong-tin/blog/100-riel-bang-bao-nhieu-tien-viet-nam" TargetMode="External"/><Relationship Id="rId1736" Type="http://schemas.openxmlformats.org/officeDocument/2006/relationships/hyperlink" Target="https://techcombank.com/thong-tin/blog/tien-indonesia" TargetMode="External"/><Relationship Id="rId1737" Type="http://schemas.openxmlformats.org/officeDocument/2006/relationships/hyperlink" Target="https://techcombank.com/thong-tin/blog/han-muc-mua-ngoai-te-khi-di-du-lich" TargetMode="External"/><Relationship Id="rId1738" Type="http://schemas.openxmlformats.org/officeDocument/2006/relationships/hyperlink" Target="https://techcombank.com/thong-tin/blog/gui-tien-du-hoc" TargetMode="External"/><Relationship Id="rId1739" Type="http://schemas.openxmlformats.org/officeDocument/2006/relationships/hyperlink" Target="https://techcombank.com/thong-tin/blog/chuyen-tien-dinh-cu" TargetMode="External"/><Relationship Id="rId1720" Type="http://schemas.openxmlformats.org/officeDocument/2006/relationships/hyperlink" Target="https://techcombank.com/thong-tin/blog/shopeepay-la-gi" TargetMode="External"/><Relationship Id="rId1721" Type="http://schemas.openxmlformats.org/officeDocument/2006/relationships/hyperlink" Target="https://techcombank.com/thong-tin/blog/1-euro-bang-bao-nhieu-tien-viet" TargetMode="External"/><Relationship Id="rId1722" Type="http://schemas.openxmlformats.org/officeDocument/2006/relationships/hyperlink" Target="https://techcombank.com/thong-tin/blog/1-cent-bang-bao-nhieu-tien-viet" TargetMode="External"/><Relationship Id="rId1723" Type="http://schemas.openxmlformats.org/officeDocument/2006/relationships/hyperlink" Target="https://techcombank.com/thong-tin/blog/1-do-uc-bang-bao-nhieu-tien-viet" TargetMode="External"/><Relationship Id="rId1724" Type="http://schemas.openxmlformats.org/officeDocument/2006/relationships/hyperlink" Target="https://techcombank.com/thong-tin/blog/1-te-bang-bao-nhieu-tien-viet-nam" TargetMode="External"/><Relationship Id="rId1725" Type="http://schemas.openxmlformats.org/officeDocument/2006/relationships/hyperlink" Target="https://techcombank.com/thong-tin/blog/tien-trung-quoc" TargetMode="External"/><Relationship Id="rId1726" Type="http://schemas.openxmlformats.org/officeDocument/2006/relationships/hyperlink" Target="https://techcombank.com/thong-tin/blog/tien-dai-loan" TargetMode="External"/><Relationship Id="rId1727" Type="http://schemas.openxmlformats.org/officeDocument/2006/relationships/hyperlink" Target="https://techcombank.com/thong-tin/blog/1-van-te-bang-bao-nhieu-tien-viet" TargetMode="External"/><Relationship Id="rId1728" Type="http://schemas.openxmlformats.org/officeDocument/2006/relationships/hyperlink" Target="https://techcombank.com/thong-tin/blog/1-won-bang-bao-nhieu-tien-viet" TargetMode="External"/><Relationship Id="rId1729" Type="http://schemas.openxmlformats.org/officeDocument/2006/relationships/hyperlink" Target="https://techcombank.com/thong-tin/blog/1000-yen-bang-bao-nhieu-tien-viet" TargetMode="External"/><Relationship Id="rId1752" Type="http://schemas.openxmlformats.org/officeDocument/2006/relationships/hyperlink" Target="https://techcombank.com/thong-tin/blog/qua-han-thanh-toan-the-tin-dung-1-ngay" TargetMode="External"/><Relationship Id="rId1753" Type="http://schemas.openxmlformats.org/officeDocument/2006/relationships/hyperlink" Target="https://techcombank.com/thong-tin/blog/tien-nhat" TargetMode="External"/><Relationship Id="rId1754" Type="http://schemas.openxmlformats.org/officeDocument/2006/relationships/hyperlink" Target="https://techcombank.com/thong-tin/blog/the-tin-dung-nao-nhieu-uu-dai-nhat" TargetMode="External"/><Relationship Id="rId1755" Type="http://schemas.openxmlformats.org/officeDocument/2006/relationships/hyperlink" Target="https://techcombank.com/thong-tin/blog/chuyen-tien-di-uc" TargetMode="External"/><Relationship Id="rId1756" Type="http://schemas.openxmlformats.org/officeDocument/2006/relationships/hyperlink" Target="https://techcombank.com/thong-tin/blog/tien-dai-loan" TargetMode="External"/><Relationship Id="rId1757" Type="http://schemas.openxmlformats.org/officeDocument/2006/relationships/hyperlink" Target="https://techcombank.com/thong-tin/blog/1-van-te-bang-bao-nhieu-tien-viet" TargetMode="External"/><Relationship Id="rId1758" Type="http://schemas.openxmlformats.org/officeDocument/2006/relationships/hyperlink" Target="https://techcombank.com/thong-tin/blog/1-cent-bang-bao-nhieu-tien-viet" TargetMode="External"/><Relationship Id="rId1759" Type="http://schemas.openxmlformats.org/officeDocument/2006/relationships/hyperlink" Target="https://techcombank.com/thong-tin/blog/1000-te-bang-bao-nhieu-tien-viet" TargetMode="External"/><Relationship Id="rId1750" Type="http://schemas.openxmlformats.org/officeDocument/2006/relationships/hyperlink" Target="https://techcombank.com/thong-tin/blog/chuyen-tien-tu-nhat-ve-viet-nam" TargetMode="External"/><Relationship Id="rId1751" Type="http://schemas.openxmlformats.org/officeDocument/2006/relationships/hyperlink" Target="https://techcombank.com/thong-tin/blog/tien-singapore" TargetMode="External"/><Relationship Id="rId1741" Type="http://schemas.openxmlformats.org/officeDocument/2006/relationships/hyperlink" Target="https://techcombank.com/thong-tin/blog/1-won-bang-bao-nhieu-tien-viet" TargetMode="External"/><Relationship Id="rId1742" Type="http://schemas.openxmlformats.org/officeDocument/2006/relationships/hyperlink" Target="https://techcombank.com/thong-tin/blog/1-trieu-won-bang-bao-nhieu-tien-viet" TargetMode="External"/><Relationship Id="rId1743" Type="http://schemas.openxmlformats.org/officeDocument/2006/relationships/hyperlink" Target="https://techcombank.com/thong-tin/blog/thanh-toan-khi-du-lich-han-quoc" TargetMode="External"/><Relationship Id="rId1744" Type="http://schemas.openxmlformats.org/officeDocument/2006/relationships/hyperlink" Target="https://techcombank.com/thong-tin/blog/chuyen-tien-tu-han-sang-viet-nam" TargetMode="External"/><Relationship Id="rId1745" Type="http://schemas.openxmlformats.org/officeDocument/2006/relationships/hyperlink" Target="https://techcombank.com/thong-tin/blog/1-dong-do-la-my-bang-bao-nhieu-tien-viet-nam" TargetMode="External"/><Relationship Id="rId1746" Type="http://schemas.openxmlformats.org/officeDocument/2006/relationships/hyperlink" Target="https://techcombank.com/thong-tin/blog/1-te-bang-bao-nhieu-tien-viet-nam" TargetMode="External"/><Relationship Id="rId1747" Type="http://schemas.openxmlformats.org/officeDocument/2006/relationships/hyperlink" Target="https://techcombank.com/thong-tin/blog/tien-thai-lan" TargetMode="External"/><Relationship Id="rId1748" Type="http://schemas.openxmlformats.org/officeDocument/2006/relationships/hyperlink" Target="https://techcombank.com/thong-tin/blog/tien-trung-quoc" TargetMode="External"/><Relationship Id="rId1749" Type="http://schemas.openxmlformats.org/officeDocument/2006/relationships/hyperlink" Target="https://techcombank.com/thong-tin/blog/1000-yen-bang-bao-nhieu-tien-viet" TargetMode="External"/><Relationship Id="rId1740" Type="http://schemas.openxmlformats.org/officeDocument/2006/relationships/hyperlink" Target="https://techcombank.com/thong-tin/blog/ty-gia-la-gi" TargetMode="External"/><Relationship Id="rId1710" Type="http://schemas.openxmlformats.org/officeDocument/2006/relationships/hyperlink" Target="https://techcombank.com/thong-tin/blog/li-xi-tet" TargetMode="External"/><Relationship Id="rId1711" Type="http://schemas.openxmlformats.org/officeDocument/2006/relationships/hyperlink" Target="https://techcombank.com/thong-tin/blog/1-dong-do-la-my-bang-bao-nhieu-tien-viet-nam" TargetMode="External"/><Relationship Id="rId1712" Type="http://schemas.openxmlformats.org/officeDocument/2006/relationships/hyperlink" Target="https://techcombank.com/thong-tin/blog/tien-lao" TargetMode="External"/><Relationship Id="rId1713" Type="http://schemas.openxmlformats.org/officeDocument/2006/relationships/hyperlink" Target="https://techcombank.com/thong-tin/blog/1-trieu-won-bang-bao-nhieu-tien-viet" TargetMode="External"/><Relationship Id="rId1714" Type="http://schemas.openxmlformats.org/officeDocument/2006/relationships/hyperlink" Target="https://techcombank.com/thong-tin/blog/1-man-bang-bao-nhieu-tien-viet" TargetMode="External"/><Relationship Id="rId1715" Type="http://schemas.openxmlformats.org/officeDocument/2006/relationships/hyperlink" Target="https://techcombank.com/thong-tin/blog/cach-rut-tien-atm" TargetMode="External"/><Relationship Id="rId1716" Type="http://schemas.openxmlformats.org/officeDocument/2006/relationships/hyperlink" Target="https://techcombank.com/thong-tin/blog/1-yen-bang-bao-nhieu-tien-viet-nam" TargetMode="External"/><Relationship Id="rId1717" Type="http://schemas.openxmlformats.org/officeDocument/2006/relationships/hyperlink" Target="https://techcombank.com/thong-tin/blog/1-van-tien-dai-loan-bang-bao-nhieu-tien-viet" TargetMode="External"/><Relationship Id="rId1718" Type="http://schemas.openxmlformats.org/officeDocument/2006/relationships/hyperlink" Target="https://techcombank.com/thong-tin/blog/ma-pin-the-atm" TargetMode="External"/><Relationship Id="rId1719" Type="http://schemas.openxmlformats.org/officeDocument/2006/relationships/hyperlink" Target="https://techcombank.com/thong-tin/blog/vi-dien-tu-la-gi" TargetMode="External"/><Relationship Id="rId1700" Type="http://schemas.openxmlformats.org/officeDocument/2006/relationships/hyperlink" Target="https://techcombank.com/thong-tin/blog/phan-mem-quan-ly-tai-chinh-doanh-nghiep" TargetMode="External"/><Relationship Id="rId1701" Type="http://schemas.openxmlformats.org/officeDocument/2006/relationships/hyperlink" Target="https://techcombank.com/thong-tin/blog/mobile-banking-la-gi" TargetMode="External"/><Relationship Id="rId1702" Type="http://schemas.openxmlformats.org/officeDocument/2006/relationships/hyperlink" Target="https://techcombank.com/thong-tin/blog/chuyen-tien-di-uc" TargetMode="External"/><Relationship Id="rId1703" Type="http://schemas.openxmlformats.org/officeDocument/2006/relationships/hyperlink" Target="https://techcombank.com/thong-tin/blog/techcombank-va-cong-cuoc-chuyen-doi-so-nganh-ngan-hang" TargetMode="External"/><Relationship Id="rId1704" Type="http://schemas.openxmlformats.org/officeDocument/2006/relationships/hyperlink" Target="https://techcombank.com/thong-tin/blog/nhan-tien-western-union" TargetMode="External"/><Relationship Id="rId1705" Type="http://schemas.openxmlformats.org/officeDocument/2006/relationships/hyperlink" Target="https://techcombank.com/thong-tin/blog/gui-tien-du-hoc" TargetMode="External"/><Relationship Id="rId1706" Type="http://schemas.openxmlformats.org/officeDocument/2006/relationships/hyperlink" Target="https://techcombank.com/thong-tin/blog/chuyen-khoan-lien-ngan-hang" TargetMode="External"/><Relationship Id="rId1707" Type="http://schemas.openxmlformats.org/officeDocument/2006/relationships/hyperlink" Target="https://techcombank.com/thong-tin/blog/gui-tien-sang-nuoc-ngoai" TargetMode="External"/><Relationship Id="rId1708" Type="http://schemas.openxmlformats.org/officeDocument/2006/relationships/hyperlink" Target="https://techcombank.com/thong-tin/blog/the-debit" TargetMode="External"/><Relationship Id="rId1709" Type="http://schemas.openxmlformats.org/officeDocument/2006/relationships/hyperlink" Target="https://techcombank.com/thong-tin/blog/vay-sieu-toc" TargetMode="External"/><Relationship Id="rId40" Type="http://schemas.openxmlformats.org/officeDocument/2006/relationships/hyperlink" Target="https://techcombank.com/thong-tin/blog/nop-thue-hai-quan" TargetMode="External"/><Relationship Id="rId42" Type="http://schemas.openxmlformats.org/officeDocument/2006/relationships/hyperlink" Target="https://techcombank.com/thong-tin/blog/kiem-tra-thue-thu-nhap-ca-nhan" TargetMode="External"/><Relationship Id="rId41" Type="http://schemas.openxmlformats.org/officeDocument/2006/relationships/hyperlink" Target="https://techcombank.com/thong-tin/blog/cach-tinh-thue-thu-nhap-ca-nhan-2025" TargetMode="External"/><Relationship Id="rId44" Type="http://schemas.openxmlformats.org/officeDocument/2006/relationships/hyperlink" Target="https://techcombank.com/thong-tin/blog/giai-dap-ve-thue-doanh-nghiep" TargetMode="External"/><Relationship Id="rId43" Type="http://schemas.openxmlformats.org/officeDocument/2006/relationships/hyperlink" Target="https://techcombank.com/thong-tin/blog/thue-thu-nhap-ca-nhan" TargetMode="External"/><Relationship Id="rId46" Type="http://schemas.openxmlformats.org/officeDocument/2006/relationships/hyperlink" Target="https://techcombank.com/thong-tin/blog/cach-dang-ky-ma-so-thue-ho-kinh-doanh-online" TargetMode="External"/><Relationship Id="rId45" Type="http://schemas.openxmlformats.org/officeDocument/2006/relationships/hyperlink" Target="https://techcombank.com/thong-tin/blog/ho-kinh-doanh-ca-the" TargetMode="External"/><Relationship Id="rId48" Type="http://schemas.openxmlformats.org/officeDocument/2006/relationships/hyperlink" Target="https://techcombank.com/thong-tin/blog/tra-cuu-ma-so-thue-ho-kinh-doanh" TargetMode="External"/><Relationship Id="rId47" Type="http://schemas.openxmlformats.org/officeDocument/2006/relationships/hyperlink" Target="https://techcombank.com/thong-tin/blog/kiem-tra-ma-so-thue-doanh-nghiep" TargetMode="External"/><Relationship Id="rId49" Type="http://schemas.openxmlformats.org/officeDocument/2006/relationships/hyperlink" Target="https://techcombank.com/thong-tin/blog/quyet-toan-thue-doanh-nghiep" TargetMode="External"/><Relationship Id="rId31" Type="http://schemas.openxmlformats.org/officeDocument/2006/relationships/hyperlink" Target="https://techcombank.com/thong-tin/blog/cach-nop-thue-dien-tu" TargetMode="External"/><Relationship Id="rId30" Type="http://schemas.openxmlformats.org/officeDocument/2006/relationships/hyperlink" Target="https://techcombank.com/thong-tin/blog/lai-suat-vay-thau-chi" TargetMode="External"/><Relationship Id="rId33" Type="http://schemas.openxmlformats.org/officeDocument/2006/relationships/hyperlink" Target="https://techcombank.com/thong-tin/blog/vay-tin-chap-cho-doanh-nghiep-moi-thanh-lap" TargetMode="External"/><Relationship Id="rId32" Type="http://schemas.openxmlformats.org/officeDocument/2006/relationships/hyperlink" Target="https://techcombank.com/thong-tin/blog/kinh-doanh-online" TargetMode="External"/><Relationship Id="rId35" Type="http://schemas.openxmlformats.org/officeDocument/2006/relationships/hyperlink" Target="https://techcombank.com/thong-tin/blog/tra-cuu-no-thue-hai-quan" TargetMode="External"/><Relationship Id="rId34" Type="http://schemas.openxmlformats.org/officeDocument/2006/relationships/hyperlink" Target="https://techcombank.com/thong-tin/blog/thue-vat-la-gi" TargetMode="External"/><Relationship Id="rId37" Type="http://schemas.openxmlformats.org/officeDocument/2006/relationships/hyperlink" Target="https://techcombank.com/thong-tin/blog/ke-khai-thue-ho-kinh-doanh-ca-the-online" TargetMode="External"/><Relationship Id="rId36" Type="http://schemas.openxmlformats.org/officeDocument/2006/relationships/hyperlink" Target="https://techcombank.com/thong-tin/blog/tra-cuu-no-thue-ho-kinh-doanh" TargetMode="External"/><Relationship Id="rId39" Type="http://schemas.openxmlformats.org/officeDocument/2006/relationships/hyperlink" Target="https://techcombank.com/thong-tin/blog/thue-thu-nhap-doanh-nghiep" TargetMode="External"/><Relationship Id="rId38" Type="http://schemas.openxmlformats.org/officeDocument/2006/relationships/hyperlink" Target="https://techcombank.com/thong-tin/blog/thue-thuong-mai-dien-tu" TargetMode="External"/><Relationship Id="rId2203" Type="http://schemas.openxmlformats.org/officeDocument/2006/relationships/hyperlink" Target="https://techcombank.com/thong-tin/blog/gui-tiet-kiem-online-co-rut-truoc-han-duoc-khong" TargetMode="External"/><Relationship Id="rId2204" Type="http://schemas.openxmlformats.org/officeDocument/2006/relationships/hyperlink" Target="https://techcombank.com/thong-tin/blog/kinh-nghiem-vay-tien-ngan-hang-xay-nha" TargetMode="External"/><Relationship Id="rId20" Type="http://schemas.openxmlformats.org/officeDocument/2006/relationships/hyperlink" Target="https://techcombank.com/thong-tin/blog/vay-the-chap-so-hong" TargetMode="External"/><Relationship Id="rId2205" Type="http://schemas.openxmlformats.org/officeDocument/2006/relationships/hyperlink" Target="https://techcombank.com/thong-tin/blog/the-visa-co-may-loai" TargetMode="External"/><Relationship Id="rId2206" Type="http://schemas.openxmlformats.org/officeDocument/2006/relationships/hyperlink" Target="https://techcombank.com/thong-tin/blog/chung-chi-tien-gui-co-duoc-rut-truoc-han" TargetMode="External"/><Relationship Id="rId22" Type="http://schemas.openxmlformats.org/officeDocument/2006/relationships/hyperlink" Target="https://techcombank.com/thong-tin/blog/vay-300-trieu" TargetMode="External"/><Relationship Id="rId2207" Type="http://schemas.openxmlformats.org/officeDocument/2006/relationships/hyperlink" Target="https://techcombank.com/thong-tin/blog/tien-singapore" TargetMode="External"/><Relationship Id="rId21" Type="http://schemas.openxmlformats.org/officeDocument/2006/relationships/hyperlink" Target="https://techcombank.com/thong-tin/blog/mua-nha-tra-gop-dua-truoc-100-trieu" TargetMode="External"/><Relationship Id="rId2208" Type="http://schemas.openxmlformats.org/officeDocument/2006/relationships/hyperlink" Target="https://techcombank.com/thong-tin/blog/nen-lam-the-visa-hay-noi-dia" TargetMode="External"/><Relationship Id="rId24" Type="http://schemas.openxmlformats.org/officeDocument/2006/relationships/hyperlink" Target="https://techcombank.com/thong-tin/blog/vay-30-trieu" TargetMode="External"/><Relationship Id="rId2209" Type="http://schemas.openxmlformats.org/officeDocument/2006/relationships/hyperlink" Target="https://techcombank.com/thong-tin/blog/lai-suat-cho-vay-doanh-nghiep" TargetMode="External"/><Relationship Id="rId23" Type="http://schemas.openxmlformats.org/officeDocument/2006/relationships/hyperlink" Target="https://techcombank.com/thong-tin/blog/vay-100-trieu" TargetMode="External"/><Relationship Id="rId26" Type="http://schemas.openxmlformats.org/officeDocument/2006/relationships/hyperlink" Target="https://techcombank.com/thong-tin/blog/vay-200-trieu" TargetMode="External"/><Relationship Id="rId25" Type="http://schemas.openxmlformats.org/officeDocument/2006/relationships/hyperlink" Target="https://techcombank.com/thong-tin/blog/vay-the-chap-kinh-doanh" TargetMode="External"/><Relationship Id="rId28" Type="http://schemas.openxmlformats.org/officeDocument/2006/relationships/hyperlink" Target="https://techcombank.com/thong-tin/blog/vay-tra-gop" TargetMode="External"/><Relationship Id="rId27" Type="http://schemas.openxmlformats.org/officeDocument/2006/relationships/hyperlink" Target="https://techcombank.com/thong-tin/blog/cach-su-dung-the-tin-dung" TargetMode="External"/><Relationship Id="rId29" Type="http://schemas.openxmlformats.org/officeDocument/2006/relationships/hyperlink" Target="https://techcombank.com/thong-tin/blog/lai-suat-vay-the-chap" TargetMode="External"/><Relationship Id="rId2200" Type="http://schemas.openxmlformats.org/officeDocument/2006/relationships/hyperlink" Target="https://techcombank.com/thong-tin/blog/xu-huong-dau-tu-trai-phieu-ky-han-duoi-mot-nam-lua-chon-an-toan-khi-thi-truong-bien-dong" TargetMode="External"/><Relationship Id="rId2201" Type="http://schemas.openxmlformats.org/officeDocument/2006/relationships/hyperlink" Target="https://techcombank.com/thong-tin/blog/gui-tiet-kiem-online-bi-mat-tien" TargetMode="External"/><Relationship Id="rId2202" Type="http://schemas.openxmlformats.org/officeDocument/2006/relationships/hyperlink" Target="https://techcombank.com/thong-tin/blog/kinh-nghiem-gui-tiet-kiem-online" TargetMode="External"/><Relationship Id="rId11" Type="http://schemas.openxmlformats.org/officeDocument/2006/relationships/hyperlink" Target="https://techcombank.com/thong-tin/blog/vay-mua-nha-o-xa-hoi" TargetMode="External"/><Relationship Id="rId10" Type="http://schemas.openxmlformats.org/officeDocument/2006/relationships/hyperlink" Target="https://techcombank.com/thong-tin/blog/tin-chap-doanh-nghiep" TargetMode="External"/><Relationship Id="rId13" Type="http://schemas.openxmlformats.org/officeDocument/2006/relationships/hyperlink" Target="https://techcombank.com/thong-tin/blog/mo-the-tin-dung-co-loi-ich-gi" TargetMode="External"/><Relationship Id="rId12" Type="http://schemas.openxmlformats.org/officeDocument/2006/relationships/hyperlink" Target="https://techcombank.com/thong-tin/blog/cach-tinh-lai-vay-ngan-hang" TargetMode="External"/><Relationship Id="rId15" Type="http://schemas.openxmlformats.org/officeDocument/2006/relationships/hyperlink" Target="https://techcombank.com/thong-tin/blog/cac-hinh-thuc-vay-von-ngan-hang" TargetMode="External"/><Relationship Id="rId14" Type="http://schemas.openxmlformats.org/officeDocument/2006/relationships/hyperlink" Target="https://techcombank.com/thong-tin/blog/lai-suat-vay-tin-chap" TargetMode="External"/><Relationship Id="rId17" Type="http://schemas.openxmlformats.org/officeDocument/2006/relationships/hyperlink" Target="https://techcombank.com/thong-tin/blog/lai-suat-vay-the-chap-so-do" TargetMode="External"/><Relationship Id="rId16" Type="http://schemas.openxmlformats.org/officeDocument/2006/relationships/hyperlink" Target="https://techcombank.com/thong-tin/blog/vay-tin-chap-va-vay-the-chap" TargetMode="External"/><Relationship Id="rId19" Type="http://schemas.openxmlformats.org/officeDocument/2006/relationships/hyperlink" Target="https://techcombank.com/thong-tin/blog/nen-vay-tin-chap-o-dau" TargetMode="External"/><Relationship Id="rId18" Type="http://schemas.openxmlformats.org/officeDocument/2006/relationships/hyperlink" Target="https://techcombank.com/thong-tin/blog/co-100-trieu-co-mua-nen-mua-tra-gop" TargetMode="External"/><Relationship Id="rId84" Type="http://schemas.openxmlformats.org/officeDocument/2006/relationships/hyperlink" Target="https://techcombank.com/thong-tin/blog/ho-so-dang-ky-thanh-lap-doanh-nghiep" TargetMode="External"/><Relationship Id="rId1774" Type="http://schemas.openxmlformats.org/officeDocument/2006/relationships/hyperlink" Target="https://techcombank.com/thong-tin/blog/1-trieu-do-bang-bao-nhieu-tien-viet" TargetMode="External"/><Relationship Id="rId83" Type="http://schemas.openxmlformats.org/officeDocument/2006/relationships/hyperlink" Target="https://techcombank.com/thong-tin/blog/luat-thuong-mai-dien-tu" TargetMode="External"/><Relationship Id="rId1775" Type="http://schemas.openxmlformats.org/officeDocument/2006/relationships/hyperlink" Target="https://techcombank.com/thong-tin/blog/1-euro-bang-bao-nhieu-tien-viet" TargetMode="External"/><Relationship Id="rId86" Type="http://schemas.openxmlformats.org/officeDocument/2006/relationships/hyperlink" Target="https://techcombank.com/thong-tin/blog/phat-cham-dang-ky-thue-ho-kinh-doanh" TargetMode="External"/><Relationship Id="rId1776" Type="http://schemas.openxmlformats.org/officeDocument/2006/relationships/hyperlink" Target="https://techcombank.com/thong-tin/blog/tien-singapore" TargetMode="External"/><Relationship Id="rId85" Type="http://schemas.openxmlformats.org/officeDocument/2006/relationships/hyperlink" Target="https://techcombank.com/thong-tin/blog/doanh-nghiep-moi-thanh-lap-duoc-uu-dai-gi" TargetMode="External"/><Relationship Id="rId1777" Type="http://schemas.openxmlformats.org/officeDocument/2006/relationships/hyperlink" Target="https://techcombank.com/thong-tin/blog/1-man-bang-bao-nhieu-tien-viet" TargetMode="External"/><Relationship Id="rId88" Type="http://schemas.openxmlformats.org/officeDocument/2006/relationships/hyperlink" Target="https://techcombank.com/thong-tin/blog/chi-phi-mo-tai-khoan-ngan-hang-cho-cong-ty" TargetMode="External"/><Relationship Id="rId1778" Type="http://schemas.openxmlformats.org/officeDocument/2006/relationships/hyperlink" Target="https://techcombank.com/thong-tin/blog/1000-te-bang-bao-nhieu-tien-viet" TargetMode="External"/><Relationship Id="rId87" Type="http://schemas.openxmlformats.org/officeDocument/2006/relationships/hyperlink" Target="https://techcombank.com/thong-tin/blog/thu-tuc-thanh-lap-doanh-nghiep" TargetMode="External"/><Relationship Id="rId1779" Type="http://schemas.openxmlformats.org/officeDocument/2006/relationships/hyperlink" Target="https://techcombank.com/thong-tin/blog/tien-trung-quoc" TargetMode="External"/><Relationship Id="rId89" Type="http://schemas.openxmlformats.org/officeDocument/2006/relationships/hyperlink" Target="https://techcombank.com/thong-tin/blog/thue-doanh-nghiep-2025" TargetMode="External"/><Relationship Id="rId80" Type="http://schemas.openxmlformats.org/officeDocument/2006/relationships/hyperlink" Target="https://techcombank.com/thong-tin/blog/kinh-nghiem-chuyen-doi-tu-ho-kinh-doanh-len-doanh-nghiep" TargetMode="External"/><Relationship Id="rId82" Type="http://schemas.openxmlformats.org/officeDocument/2006/relationships/hyperlink" Target="https://techcombank.com/thong-tin/blog/dieu-kien-thanh-lap-doanh-nghiep" TargetMode="External"/><Relationship Id="rId81" Type="http://schemas.openxmlformats.org/officeDocument/2006/relationships/hyperlink" Target="https://techcombank.com/thong-tin/blog/top-phan-mem-ban-hang" TargetMode="External"/><Relationship Id="rId1770" Type="http://schemas.openxmlformats.org/officeDocument/2006/relationships/hyperlink" Target="https://techcombank.com/thong-tin/blog/cach-tinh-lai-suat-tien-gui-tiet-kiem" TargetMode="External"/><Relationship Id="rId1771" Type="http://schemas.openxmlformats.org/officeDocument/2006/relationships/hyperlink" Target="https://techcombank.com/thong-tin/blog/nhan-tien-western-union" TargetMode="External"/><Relationship Id="rId1772" Type="http://schemas.openxmlformats.org/officeDocument/2006/relationships/hyperlink" Target="https://techcombank.com/thong-tin/blog/ma-swift-ngan-hang" TargetMode="External"/><Relationship Id="rId1773" Type="http://schemas.openxmlformats.org/officeDocument/2006/relationships/hyperlink" Target="https://techcombank.com/thong-tin/blog/remittance-la-gi" TargetMode="External"/><Relationship Id="rId73" Type="http://schemas.openxmlformats.org/officeDocument/2006/relationships/hyperlink" Target="https://techcombank.com/thong-tin/blog/thue-phi-co-dinh-khi-chuyen-doi-tu-ho-kinh-doanh-len-doanh-nghiep" TargetMode="External"/><Relationship Id="rId1763" Type="http://schemas.openxmlformats.org/officeDocument/2006/relationships/hyperlink" Target="https://techcombank.com/thong-tin/blog/han-muc-mua-ngoai-te-khi-di-du-lich" TargetMode="External"/><Relationship Id="rId72" Type="http://schemas.openxmlformats.org/officeDocument/2006/relationships/hyperlink" Target="https://techcombank.com/thong-tin/blog/chuyen-gia-du-doan-gia-bat-dong-san-2025-va-cac-no-luc-tu-ngan-hang" TargetMode="External"/><Relationship Id="rId1764" Type="http://schemas.openxmlformats.org/officeDocument/2006/relationships/hyperlink" Target="https://techcombank.com/thong-tin/blog/tous-les-jours" TargetMode="External"/><Relationship Id="rId75" Type="http://schemas.openxmlformats.org/officeDocument/2006/relationships/hyperlink" Target="https://techcombank.com/thong-tin/blog/hoa-don-dien-tu" TargetMode="External"/><Relationship Id="rId1765" Type="http://schemas.openxmlformats.org/officeDocument/2006/relationships/hyperlink" Target="https://techcombank.com/thong-tin/blog/the-visa-co-may-loai" TargetMode="External"/><Relationship Id="rId74" Type="http://schemas.openxmlformats.org/officeDocument/2006/relationships/hyperlink" Target="https://techcombank.com/thong-tin/blog/nhung-chi-phi-khong-duoc-tru-khi-tinh-thue-tndn" TargetMode="External"/><Relationship Id="rId1766" Type="http://schemas.openxmlformats.org/officeDocument/2006/relationships/hyperlink" Target="https://techcombank.com/thong-tin/blog/1-trieu-do-bang-bao-nhieu-tien-viet" TargetMode="External"/><Relationship Id="rId77" Type="http://schemas.openxmlformats.org/officeDocument/2006/relationships/hyperlink" Target="https://techcombank.com/thong-tin/blog/cac-sai-lam-pho-bien-khi-chuyen-doi-ho-kinh-doanh-len-sme" TargetMode="External"/><Relationship Id="rId1767" Type="http://schemas.openxmlformats.org/officeDocument/2006/relationships/hyperlink" Target="https://techcombank.com/thong-tin/blog/voucher-highland" TargetMode="External"/><Relationship Id="rId76" Type="http://schemas.openxmlformats.org/officeDocument/2006/relationships/hyperlink" Target="https://techcombank.com/thong-tin/blog/one-stop-shop" TargetMode="External"/><Relationship Id="rId1768" Type="http://schemas.openxmlformats.org/officeDocument/2006/relationships/hyperlink" Target="https://techcombank.com/thong-tin/blog/thanh-toan-bang-the-quoc-te" TargetMode="External"/><Relationship Id="rId79" Type="http://schemas.openxmlformats.org/officeDocument/2006/relationships/hyperlink" Target="https://techcombank.com/thong-tin/blog/cong-ty-su-dung-tai-khoan-ca-nhan" TargetMode="External"/><Relationship Id="rId1769" Type="http://schemas.openxmlformats.org/officeDocument/2006/relationships/hyperlink" Target="https://techcombank.com/thong-tin/blog/vay-du-hoc" TargetMode="External"/><Relationship Id="rId78" Type="http://schemas.openxmlformats.org/officeDocument/2006/relationships/hyperlink" Target="https://techcombank.com/thong-tin/blog/hoan-thue-doanh-nghiep" TargetMode="External"/><Relationship Id="rId71" Type="http://schemas.openxmlformats.org/officeDocument/2006/relationships/hyperlink" Target="https://techcombank.com/thong-tin/blog/eco-card" TargetMode="External"/><Relationship Id="rId70" Type="http://schemas.openxmlformats.org/officeDocument/2006/relationships/hyperlink" Target="https://techcombank.com/thong-tin/blog/cach-dau-tu" TargetMode="External"/><Relationship Id="rId1760" Type="http://schemas.openxmlformats.org/officeDocument/2006/relationships/hyperlink" Target="https://techcombank.com/thong-tin/blog/100-riel-bang-bao-nhieu-tien-viet-nam" TargetMode="External"/><Relationship Id="rId1761" Type="http://schemas.openxmlformats.org/officeDocument/2006/relationships/hyperlink" Target="https://techcombank.com/thong-tin/blog/tien-indonesia" TargetMode="External"/><Relationship Id="rId1762" Type="http://schemas.openxmlformats.org/officeDocument/2006/relationships/hyperlink" Target="https://techcombank.com/thong-tin/blog/1-do-uc-bang-bao-nhieu-tien-viet" TargetMode="External"/><Relationship Id="rId62" Type="http://schemas.openxmlformats.org/officeDocument/2006/relationships/hyperlink" Target="https://techcombank.com/thong-tin/blog/tien-chuyen-vao-tai-khoan-co-bi-tinh-thue-khong" TargetMode="External"/><Relationship Id="rId1796" Type="http://schemas.openxmlformats.org/officeDocument/2006/relationships/hyperlink" Target="https://techcombank.com/thong-tin/blog/vay-du-hoc" TargetMode="External"/><Relationship Id="rId61" Type="http://schemas.openxmlformats.org/officeDocument/2006/relationships/hyperlink" Target="https://techcombank.com/thong-tin/blog/tra-cuu-no-thue-doanh-nghiep" TargetMode="External"/><Relationship Id="rId1797" Type="http://schemas.openxmlformats.org/officeDocument/2006/relationships/hyperlink" Target="https://techcombank.com/thong-tin/blog/di-du-lich-nuoc-ngoai-can-chuan-bi-gi" TargetMode="External"/><Relationship Id="rId64" Type="http://schemas.openxmlformats.org/officeDocument/2006/relationships/hyperlink" Target="https://techcombank.com/thong-tin/blog/han-muc-vay-the-chap-so-do" TargetMode="External"/><Relationship Id="rId1798" Type="http://schemas.openxmlformats.org/officeDocument/2006/relationships/hyperlink" Target="https://techcombank.com/thong-tin/blog/thu-tuc-chuyen-tien-ra-nuoc-ngoai" TargetMode="External"/><Relationship Id="rId63" Type="http://schemas.openxmlformats.org/officeDocument/2006/relationships/hyperlink" Target="https://techcombank.com/thong-tin/blog/lai-suat-vay-the-chap-so-do" TargetMode="External"/><Relationship Id="rId1799" Type="http://schemas.openxmlformats.org/officeDocument/2006/relationships/hyperlink" Target="https://techcombank.com/thong-tin/blog/gui-tien-sang-nuoc-ngoai" TargetMode="External"/><Relationship Id="rId66" Type="http://schemas.openxmlformats.org/officeDocument/2006/relationships/hyperlink" Target="https://techcombank.com/thong-tin/blog/chuyen-doi-ho-kinh-doanh-len-doanh-nghiep" TargetMode="External"/><Relationship Id="rId65" Type="http://schemas.openxmlformats.org/officeDocument/2006/relationships/hyperlink" Target="https://techcombank.com/thong-tin/blog/tim-hieu-ve-chinh-sach-thue-moi" TargetMode="External"/><Relationship Id="rId68" Type="http://schemas.openxmlformats.org/officeDocument/2006/relationships/hyperlink" Target="https://techcombank.com/thong-tin/blog/dong-ma-so-thue-ho-kinh-doanh" TargetMode="External"/><Relationship Id="rId67" Type="http://schemas.openxmlformats.org/officeDocument/2006/relationships/hyperlink" Target="https://techcombank.com/thong-tin/blog/nen-thanh-lap-ho-kinh-doanh-ke-khai-hay-doanh-nghiep" TargetMode="External"/><Relationship Id="rId60" Type="http://schemas.openxmlformats.org/officeDocument/2006/relationships/hyperlink" Target="https://techcombank.com/thong-tin/blog/ke-khai-thue-doanh-nghiep" TargetMode="External"/><Relationship Id="rId69" Type="http://schemas.openxmlformats.org/officeDocument/2006/relationships/hyperlink" Target="https://techcombank.com/thong-tin/blog/khach-hang-vip-bat-dong-san" TargetMode="External"/><Relationship Id="rId1790" Type="http://schemas.openxmlformats.org/officeDocument/2006/relationships/hyperlink" Target="https://techcombank.com/thong-tin/blog/chuyen-tien-dinh-cu" TargetMode="External"/><Relationship Id="rId1791" Type="http://schemas.openxmlformats.org/officeDocument/2006/relationships/hyperlink" Target="https://techcombank.com/thong-tin/blog/thanh-toan-bang-the-quoc-te" TargetMode="External"/><Relationship Id="rId1792" Type="http://schemas.openxmlformats.org/officeDocument/2006/relationships/hyperlink" Target="https://techcombank.com/thong-tin/blog/han-muc-mua-ngoai-te-khi-di-du-lich" TargetMode="External"/><Relationship Id="rId1793" Type="http://schemas.openxmlformats.org/officeDocument/2006/relationships/hyperlink" Target="https://techcombank.com/thong-tin/blog/ngoai-te-la-gi" TargetMode="External"/><Relationship Id="rId1794" Type="http://schemas.openxmlformats.org/officeDocument/2006/relationships/hyperlink" Target="https://techcombank.com/thong-tin/blog/nen-lam-the-visa-hay-noi-dia" TargetMode="External"/><Relationship Id="rId1795" Type="http://schemas.openxmlformats.org/officeDocument/2006/relationships/hyperlink" Target="https://techcombank.com/thong-tin/blog/dinh-cu-chau-au" TargetMode="External"/><Relationship Id="rId51" Type="http://schemas.openxmlformats.org/officeDocument/2006/relationships/hyperlink" Target="https://techcombank.com/thong-tin/blog/dang-ky-thue-ho-kinh-doanh-ca-the-online" TargetMode="External"/><Relationship Id="rId1785" Type="http://schemas.openxmlformats.org/officeDocument/2006/relationships/hyperlink" Target="https://techcombank.com/thong-tin/blog/the-ghi-no-noi-dia" TargetMode="External"/><Relationship Id="rId50" Type="http://schemas.openxmlformats.org/officeDocument/2006/relationships/hyperlink" Target="https://techcombank.com/thong-tin/blog/ho-kinh-doanh-dong-thue-nhu-nao" TargetMode="External"/><Relationship Id="rId1786" Type="http://schemas.openxmlformats.org/officeDocument/2006/relationships/hyperlink" Target="https://techcombank.com/thong-tin/blog/iban-la-gi" TargetMode="External"/><Relationship Id="rId53" Type="http://schemas.openxmlformats.org/officeDocument/2006/relationships/hyperlink" Target="https://techcombank.com/thong-tin/blog/nop-tien-mat-vao-tai-khoan-cong-ty" TargetMode="External"/><Relationship Id="rId1787" Type="http://schemas.openxmlformats.org/officeDocument/2006/relationships/hyperlink" Target="https://techcombank.com/thong-tin/blog/lam-the-thanh-toan-quoc-te" TargetMode="External"/><Relationship Id="rId52" Type="http://schemas.openxmlformats.org/officeDocument/2006/relationships/hyperlink" Target="https://techcombank.com/thong-tin/blog/thue-khoan-ho-kinh-doanh-la-gi" TargetMode="External"/><Relationship Id="rId1788" Type="http://schemas.openxmlformats.org/officeDocument/2006/relationships/hyperlink" Target="https://techcombank.com/thong-tin/blog/the-ghi-no-visa-la-gi" TargetMode="External"/><Relationship Id="rId55" Type="http://schemas.openxmlformats.org/officeDocument/2006/relationships/hyperlink" Target="https://techcombank.com/thong-tin/blog/cach-tinh-thue-thu-nhap-doanh-nghiep" TargetMode="External"/><Relationship Id="rId1789" Type="http://schemas.openxmlformats.org/officeDocument/2006/relationships/hyperlink" Target="https://techcombank.com/thong-tin/blog/the-visa-co-thanh-toan-quoc-te-duoc-khong" TargetMode="External"/><Relationship Id="rId54" Type="http://schemas.openxmlformats.org/officeDocument/2006/relationships/hyperlink" Target="https://techcombank.com/thong-tin/blog/cach-tra-cuu-hoa-don-dien-tu" TargetMode="External"/><Relationship Id="rId57" Type="http://schemas.openxmlformats.org/officeDocument/2006/relationships/hyperlink" Target="https://techcombank.com/thong-tin/blog/kiem-tra-thue-ho-kinh-doanh" TargetMode="External"/><Relationship Id="rId56" Type="http://schemas.openxmlformats.org/officeDocument/2006/relationships/hyperlink" Target="https://techcombank.com/thong-tin/blog/truy-thu-thue-ho-kinh-doanh" TargetMode="External"/><Relationship Id="rId59" Type="http://schemas.openxmlformats.org/officeDocument/2006/relationships/hyperlink" Target="https://techcombank.com/thong-tin/blog/hoan-thue-thu-nhap-ca-nhan" TargetMode="External"/><Relationship Id="rId58" Type="http://schemas.openxmlformats.org/officeDocument/2006/relationships/hyperlink" Target="https://techcombank.com/thong-tin/blog/tra-cuu-no-thue-ca-nhan" TargetMode="External"/><Relationship Id="rId1780" Type="http://schemas.openxmlformats.org/officeDocument/2006/relationships/hyperlink" Target="https://techcombank.com/thong-tin/blog/1-do-uc-bang-bao-nhieu-tien-viet" TargetMode="External"/><Relationship Id="rId1781" Type="http://schemas.openxmlformats.org/officeDocument/2006/relationships/hyperlink" Target="https://techcombank.com/thong-tin/blog/1-van-te-bang-bao-nhieu-tien-viet" TargetMode="External"/><Relationship Id="rId1782" Type="http://schemas.openxmlformats.org/officeDocument/2006/relationships/hyperlink" Target="https://techcombank.com/thong-tin/blog/chi-phi-mo-tai-khoan-ngan-hang-cho-cong-ty" TargetMode="External"/><Relationship Id="rId1783" Type="http://schemas.openxmlformats.org/officeDocument/2006/relationships/hyperlink" Target="https://techcombank.com/thong-tin/blog/thanh-toan-quoc-te" TargetMode="External"/><Relationship Id="rId1784" Type="http://schemas.openxmlformats.org/officeDocument/2006/relationships/hyperlink" Target="https://techcombank.com/thong-tin/blog/the-tin-dung-quoc-te" TargetMode="External"/><Relationship Id="rId2269" Type="http://schemas.openxmlformats.org/officeDocument/2006/relationships/hyperlink" Target="https://techcombank.com/thong-tin/blog/vay-30-trieu" TargetMode="External"/><Relationship Id="rId349" Type="http://schemas.openxmlformats.org/officeDocument/2006/relationships/hyperlink" Target="https://techcombank.com/thong-tin/blog/ghi-chep-chi-tieu" TargetMode="External"/><Relationship Id="rId348" Type="http://schemas.openxmlformats.org/officeDocument/2006/relationships/hyperlink" Target="https://techcombank.com/thong-tin/blog/mat-so-dien-thoai-dang-ky-tai-khoan-ngan-hang" TargetMode="External"/><Relationship Id="rId347" Type="http://schemas.openxmlformats.org/officeDocument/2006/relationships/hyperlink" Target="https://techcombank.com/thong-tin/blog/chuyen-doi-ho-kinh-doanh-len-doanh-nghiep" TargetMode="External"/><Relationship Id="rId346" Type="http://schemas.openxmlformats.org/officeDocument/2006/relationships/hyperlink" Target="https://techcombank.com/thong-tin/blog/no-xau-mo-the-tin-dung-duoc-khong" TargetMode="External"/><Relationship Id="rId2260" Type="http://schemas.openxmlformats.org/officeDocument/2006/relationships/hyperlink" Target="https://techcombank.com/thong-tin/blog/vay-the-chap-so-hong" TargetMode="External"/><Relationship Id="rId341" Type="http://schemas.openxmlformats.org/officeDocument/2006/relationships/hyperlink" Target="https://techcombank.com/thong-tin/blog/cach-kiem-tra-tai-khoan-ngan-hang-cua-cong-ty" TargetMode="External"/><Relationship Id="rId2261" Type="http://schemas.openxmlformats.org/officeDocument/2006/relationships/hyperlink" Target="https://techcombank.com/thong-tin/blog/lai-suat-vay-mua-o-to" TargetMode="External"/><Relationship Id="rId340" Type="http://schemas.openxmlformats.org/officeDocument/2006/relationships/hyperlink" Target="https://techcombank.com/thong-tin/blog/kinh-nghiem-chuyen-doi-tu-ho-kinh-doanh-len-doanh-nghiep" TargetMode="External"/><Relationship Id="rId2262" Type="http://schemas.openxmlformats.org/officeDocument/2006/relationships/hyperlink" Target="https://techcombank.com/thong-tin/blog/1-cmnd-dang-ky-duoc-may-tai-khoan-ngan-hang" TargetMode="External"/><Relationship Id="rId2263" Type="http://schemas.openxmlformats.org/officeDocument/2006/relationships/hyperlink" Target="https://techcombank.com/thong-tin/blog/vay-300-trieu" TargetMode="External"/><Relationship Id="rId2264" Type="http://schemas.openxmlformats.org/officeDocument/2006/relationships/hyperlink" Target="https://techcombank.com/thong-tin/blog/vay-the-chap-xe-o-to-cu" TargetMode="External"/><Relationship Id="rId345" Type="http://schemas.openxmlformats.org/officeDocument/2006/relationships/hyperlink" Target="https://techcombank.com/thong-tin/blog/tin-dung-tieu-dung" TargetMode="External"/><Relationship Id="rId2265" Type="http://schemas.openxmlformats.org/officeDocument/2006/relationships/hyperlink" Target="https://techcombank.com/thong-tin/blog/dang-ky-nhieu-tai-khoan-ngan-hang-co-sao-khong" TargetMode="External"/><Relationship Id="rId344" Type="http://schemas.openxmlformats.org/officeDocument/2006/relationships/hyperlink" Target="https://techcombank.com/thong-tin/blog/cac-loai-bao-hiem-hien-nay" TargetMode="External"/><Relationship Id="rId2266" Type="http://schemas.openxmlformats.org/officeDocument/2006/relationships/hyperlink" Target="https://techcombank.com/thong-tin/blog/lai-suat-the-tin-dung" TargetMode="External"/><Relationship Id="rId343" Type="http://schemas.openxmlformats.org/officeDocument/2006/relationships/hyperlink" Target="https://techcombank.com/thong-tin/blog/app-theo-doi-chung-chi-quy" TargetMode="External"/><Relationship Id="rId2267" Type="http://schemas.openxmlformats.org/officeDocument/2006/relationships/hyperlink" Target="https://techcombank.com/thong-tin/blog/tra-gop-lazada" TargetMode="External"/><Relationship Id="rId342" Type="http://schemas.openxmlformats.org/officeDocument/2006/relationships/hyperlink" Target="https://techcombank.com/thong-tin/blog/dang-ky-nhieu-tai-khoan-ngan-hang-co-sao-khong" TargetMode="External"/><Relationship Id="rId2268" Type="http://schemas.openxmlformats.org/officeDocument/2006/relationships/hyperlink" Target="https://techcombank.com/thong-tin/blog/lam-ho-so-tra-gop-dien-thoai" TargetMode="External"/><Relationship Id="rId2258" Type="http://schemas.openxmlformats.org/officeDocument/2006/relationships/hyperlink" Target="https://techcombank.com/thong-tin/blog/tin-chap-doanh-nghiep" TargetMode="External"/><Relationship Id="rId2259" Type="http://schemas.openxmlformats.org/officeDocument/2006/relationships/hyperlink" Target="https://techcombank.com/thong-tin/blog/vay-sinh-vien" TargetMode="External"/><Relationship Id="rId338" Type="http://schemas.openxmlformats.org/officeDocument/2006/relationships/hyperlink" Target="https://techcombank.com/thong-tin/blog/co-nen-gui-tiet-kiem-ngan-hang" TargetMode="External"/><Relationship Id="rId337" Type="http://schemas.openxmlformats.org/officeDocument/2006/relationships/hyperlink" Target="https://techcombank.com/thong-tin/blog/vay-tin-chap-toi-da-duoc-bao-nhieu" TargetMode="External"/><Relationship Id="rId336" Type="http://schemas.openxmlformats.org/officeDocument/2006/relationships/hyperlink" Target="https://techcombank.com/thong-tin/blog/cach-dang-ky-ma-so-thue-ho-kinh-doanh-online" TargetMode="External"/><Relationship Id="rId335" Type="http://schemas.openxmlformats.org/officeDocument/2006/relationships/hyperlink" Target="https://techcombank.com/thong-tin/blog/cac-loai-hinh-doanh-nghiep" TargetMode="External"/><Relationship Id="rId339" Type="http://schemas.openxmlformats.org/officeDocument/2006/relationships/hyperlink" Target="https://techcombank.com/thong-tin/blog/thu-tuc-thanh-lap-doanh-nghiep" TargetMode="External"/><Relationship Id="rId330" Type="http://schemas.openxmlformats.org/officeDocument/2006/relationships/hyperlink" Target="https://techcombank.com/thong-tin/blog/thanh-toan-tien-dien-bang-the-tin-dung" TargetMode="External"/><Relationship Id="rId2250" Type="http://schemas.openxmlformats.org/officeDocument/2006/relationships/hyperlink" Target="https://techcombank.com/thong-tin/blog/kinh-nghiem-vay-the-chap-ngan-hang" TargetMode="External"/><Relationship Id="rId2251" Type="http://schemas.openxmlformats.org/officeDocument/2006/relationships/hyperlink" Target="https://techcombank.com/thong-tin/blog/cho-vay-tieu-dung-la-gi" TargetMode="External"/><Relationship Id="rId2252" Type="http://schemas.openxmlformats.org/officeDocument/2006/relationships/hyperlink" Target="https://techcombank.com/thong-tin/blog/vay-15-trieu" TargetMode="External"/><Relationship Id="rId2253" Type="http://schemas.openxmlformats.org/officeDocument/2006/relationships/hyperlink" Target="https://techcombank.com/thong-tin/blog/lai-suat-tha-noi" TargetMode="External"/><Relationship Id="rId334" Type="http://schemas.openxmlformats.org/officeDocument/2006/relationships/hyperlink" Target="https://techcombank.com/thong-tin/blog/loi-ich-cua-tri-tue-nhan-tao" TargetMode="External"/><Relationship Id="rId2254" Type="http://schemas.openxmlformats.org/officeDocument/2006/relationships/hyperlink" Target="https://techcombank.com/thong-tin/blog/vay-tien-mat" TargetMode="External"/><Relationship Id="rId333" Type="http://schemas.openxmlformats.org/officeDocument/2006/relationships/hyperlink" Target="https://techcombank.com/thong-tin/blog/chi-phi-mo-tai-khoan-ngan-hang-cho-cong-ty" TargetMode="External"/><Relationship Id="rId2255" Type="http://schemas.openxmlformats.org/officeDocument/2006/relationships/hyperlink" Target="https://techcombank.com/thong-tin/blog/vnd-to-myr" TargetMode="External"/><Relationship Id="rId332" Type="http://schemas.openxmlformats.org/officeDocument/2006/relationships/hyperlink" Target="https://techcombank.com/thong-tin/blog/tai-khoan-cong-ty-co-chuyen-online-duoc-khong" TargetMode="External"/><Relationship Id="rId2256" Type="http://schemas.openxmlformats.org/officeDocument/2006/relationships/hyperlink" Target="https://techcombank.com/thong-tin/blog/lai-suat-qua-han" TargetMode="External"/><Relationship Id="rId331" Type="http://schemas.openxmlformats.org/officeDocument/2006/relationships/hyperlink" Target="https://techcombank.com/thong-tin/blog/mau-mo-tai-khoan-doanh-nghiep-techcombank" TargetMode="External"/><Relationship Id="rId2257" Type="http://schemas.openxmlformats.org/officeDocument/2006/relationships/hyperlink" Target="https://techcombank.com/thong-tin/blog/app-vay-tien-nhanh" TargetMode="External"/><Relationship Id="rId370" Type="http://schemas.openxmlformats.org/officeDocument/2006/relationships/hyperlink" Target="https://techcombank.com/thong-tin/blog/thue-doanh-nghiep-2025" TargetMode="External"/><Relationship Id="rId369" Type="http://schemas.openxmlformats.org/officeDocument/2006/relationships/hyperlink" Target="https://techcombank.com/thong-tin/blog/nen-thanh-lap-ho-kinh-doanh-ke-khai-hay-doanh-nghiep" TargetMode="External"/><Relationship Id="rId368" Type="http://schemas.openxmlformats.org/officeDocument/2006/relationships/hyperlink" Target="https://techcombank.com/thong-tin/blog/cach-nop-thue-dien-tu" TargetMode="External"/><Relationship Id="rId2280" Type="http://schemas.openxmlformats.org/officeDocument/2006/relationships/hyperlink" Target="https://techcombank.com/thong-tin/blog/lai-suat-vay-thau-chi" TargetMode="External"/><Relationship Id="rId2281" Type="http://schemas.openxmlformats.org/officeDocument/2006/relationships/hyperlink" Target="https://techcombank.com/thong-tin/blog/lai-suat-vay-tieu-dung" TargetMode="External"/><Relationship Id="rId2282" Type="http://schemas.openxmlformats.org/officeDocument/2006/relationships/hyperlink" Target="https://techcombank.com/thong-tin/blog/cach-tinh-lai-vay-ngan-hang" TargetMode="External"/><Relationship Id="rId363" Type="http://schemas.openxmlformats.org/officeDocument/2006/relationships/hyperlink" Target="https://techcombank.com/thong-tin/blog/cach-su-dung-tai-khoan-cong-ty" TargetMode="External"/><Relationship Id="rId2283" Type="http://schemas.openxmlformats.org/officeDocument/2006/relationships/hyperlink" Target="https://techcombank.com/thong-tin/blog/lai-suat-vay-ngan-hang" TargetMode="External"/><Relationship Id="rId362" Type="http://schemas.openxmlformats.org/officeDocument/2006/relationships/hyperlink" Target="https://techcombank.com/thong-tin/blog/kinh-nghiem-chuyen-doi-tu-ho-kinh-doanh-len-doanh-nghiep" TargetMode="External"/><Relationship Id="rId2284" Type="http://schemas.openxmlformats.org/officeDocument/2006/relationships/hyperlink" Target="https://techcombank.com/thong-tin/blog/uu-dai-the-tin-dung-techcombank-signature" TargetMode="External"/><Relationship Id="rId361" Type="http://schemas.openxmlformats.org/officeDocument/2006/relationships/hyperlink" Target="https://techcombank.com/thong-tin/blog/ebitda-la-gi" TargetMode="External"/><Relationship Id="rId2285" Type="http://schemas.openxmlformats.org/officeDocument/2006/relationships/hyperlink" Target="https://techcombank.com/thong-tin/blog/lai-suat-vay-tin-chap" TargetMode="External"/><Relationship Id="rId360" Type="http://schemas.openxmlformats.org/officeDocument/2006/relationships/hyperlink" Target="https://techcombank.com/thong-tin/blog/thue-thu-nhap-doanh-nghiep" TargetMode="External"/><Relationship Id="rId2286" Type="http://schemas.openxmlformats.org/officeDocument/2006/relationships/hyperlink" Target="https://techcombank.com/thong-tin/blog/lai-suat-vay-kinh-doanh" TargetMode="External"/><Relationship Id="rId367" Type="http://schemas.openxmlformats.org/officeDocument/2006/relationships/hyperlink" Target="https://techcombank.com/thong-tin/blog/lai-suat-chung-chi-quy" TargetMode="External"/><Relationship Id="rId2287" Type="http://schemas.openxmlformats.org/officeDocument/2006/relationships/hyperlink" Target="https://techcombank.com/thong-tin/blog/vay-tin-chap-va-vay-the-chap" TargetMode="External"/><Relationship Id="rId366" Type="http://schemas.openxmlformats.org/officeDocument/2006/relationships/hyperlink" Target="https://techcombank.com/thong-tin/blog/doanh-nghiep-moi-thanh-lap-duoc-uu-dai-gi" TargetMode="External"/><Relationship Id="rId2288" Type="http://schemas.openxmlformats.org/officeDocument/2006/relationships/hyperlink" Target="https://techcombank.com/thong-tin/blog/lai-suat-vay-the-chap-so-do" TargetMode="External"/><Relationship Id="rId365" Type="http://schemas.openxmlformats.org/officeDocument/2006/relationships/hyperlink" Target="https://techcombank.com/thong-tin/blog/gia-chung-chi-quy-la-gi" TargetMode="External"/><Relationship Id="rId2289" Type="http://schemas.openxmlformats.org/officeDocument/2006/relationships/hyperlink" Target="https://techcombank.com/thong-tin/blog/quy-trinh-tat-toan-khoan-vay-the-chap" TargetMode="External"/><Relationship Id="rId364" Type="http://schemas.openxmlformats.org/officeDocument/2006/relationships/hyperlink" Target="https://techcombank.com/thong-tin/blog/luu-y-khi-chuyen-tien-vao-tai-khoan-cong-ty" TargetMode="External"/><Relationship Id="rId95" Type="http://schemas.openxmlformats.org/officeDocument/2006/relationships/hyperlink" Target="https://techcombank.com/thong-tin/blog/hoa-don-dien-tu-ho-kinh-doanh" TargetMode="External"/><Relationship Id="rId94" Type="http://schemas.openxmlformats.org/officeDocument/2006/relationships/hyperlink" Target="https://techcombank.com/thong-tin/blog/khai-bao-tai-khoan-ngan-hang-voi-co-quan-thue" TargetMode="External"/><Relationship Id="rId97" Type="http://schemas.openxmlformats.org/officeDocument/2006/relationships/hyperlink" Target="https://techcombank.com/thong-tin/blog/phan-mem-xuat-hoa-don-dien-tu" TargetMode="External"/><Relationship Id="rId96" Type="http://schemas.openxmlformats.org/officeDocument/2006/relationships/hyperlink" Target="https://techcombank.com/thong-tin/blog/may-tinh-tien" TargetMode="External"/><Relationship Id="rId99" Type="http://schemas.openxmlformats.org/officeDocument/2006/relationships/hyperlink" Target="https://techcombank.com/thong-tin/blog/thanh-lap-ho-kinh-doanh-ca-the" TargetMode="External"/><Relationship Id="rId98" Type="http://schemas.openxmlformats.org/officeDocument/2006/relationships/hyperlink" Target="https://techcombank.com/thong-tin/blog/ho-kinh-doanh-la-gi" TargetMode="External"/><Relationship Id="rId91" Type="http://schemas.openxmlformats.org/officeDocument/2006/relationships/hyperlink" Target="https://techcombank.com/thong-tin/blog/dong-tai-khoan-ngan-hang-cong-ty" TargetMode="External"/><Relationship Id="rId90" Type="http://schemas.openxmlformats.org/officeDocument/2006/relationships/hyperlink" Target="https://techcombank.com/thong-tin/blog/khoi-nghiep-truoc-chinh-sach-thue-moi" TargetMode="External"/><Relationship Id="rId93" Type="http://schemas.openxmlformats.org/officeDocument/2006/relationships/hyperlink" Target="https://techcombank.com/thong-tin/blog/hieu-hiet-ve-tuan-thu-thue-cho-cac-doanh-nghiep-khoi-nghiep" TargetMode="External"/><Relationship Id="rId92" Type="http://schemas.openxmlformats.org/officeDocument/2006/relationships/hyperlink" Target="https://techcombank.com/thong-tin/blog/luu-y-khi-chuyen-tien-vao-tai-khoan-cong-ty" TargetMode="External"/><Relationship Id="rId359" Type="http://schemas.openxmlformats.org/officeDocument/2006/relationships/hyperlink" Target="https://techcombank.com/thong-tin/blog/tim-hieu-ve-chinh-sach-thue-moi" TargetMode="External"/><Relationship Id="rId358" Type="http://schemas.openxmlformats.org/officeDocument/2006/relationships/hyperlink" Target="https://techcombank.com/thong-tin/blog/thue-doanh-nghiep" TargetMode="External"/><Relationship Id="rId357" Type="http://schemas.openxmlformats.org/officeDocument/2006/relationships/hyperlink" Target="https://techcombank.com/thong-tin/blog/loi-nhuan" TargetMode="External"/><Relationship Id="rId2270" Type="http://schemas.openxmlformats.org/officeDocument/2006/relationships/hyperlink" Target="https://techcombank.com/thong-tin/blog/lai-suat-ngan-hang-cho-vay-xay-nha" TargetMode="External"/><Relationship Id="rId2271" Type="http://schemas.openxmlformats.org/officeDocument/2006/relationships/hyperlink" Target="https://techcombank.com/thong-tin/blog/cach-su-dung-the-tin-dung" TargetMode="External"/><Relationship Id="rId352" Type="http://schemas.openxmlformats.org/officeDocument/2006/relationships/hyperlink" Target="https://techcombank.com/thong-tin/blog/khau-hao" TargetMode="External"/><Relationship Id="rId2272" Type="http://schemas.openxmlformats.org/officeDocument/2006/relationships/hyperlink" Target="https://techcombank.com/thong-tin/blog/vay-mua-nha-o-xa-hoi" TargetMode="External"/><Relationship Id="rId351" Type="http://schemas.openxmlformats.org/officeDocument/2006/relationships/hyperlink" Target="https://techcombank.com/thong-tin/blog/nhung-chi-phi-khong-duoc-tru-khi-tinh-thue-tndn" TargetMode="External"/><Relationship Id="rId2273" Type="http://schemas.openxmlformats.org/officeDocument/2006/relationships/hyperlink" Target="https://techcombank.com/thong-tin/blog/dao-han-la-gi" TargetMode="External"/><Relationship Id="rId350" Type="http://schemas.openxmlformats.org/officeDocument/2006/relationships/hyperlink" Target="https://techcombank.com/thong-tin/blog/nen-de-tien-trong-the-hay-gui-tiet-kiem" TargetMode="External"/><Relationship Id="rId2274" Type="http://schemas.openxmlformats.org/officeDocument/2006/relationships/hyperlink" Target="https://techcombank.com/thong-tin/blog/vay-mua-xe-tra-gop-ngan-hang-nao-tot-nhat" TargetMode="External"/><Relationship Id="rId2275" Type="http://schemas.openxmlformats.org/officeDocument/2006/relationships/hyperlink" Target="https://techcombank.com/thong-tin/blog/nen-mua-xe-tra-gop-hay-tra-thang" TargetMode="External"/><Relationship Id="rId356" Type="http://schemas.openxmlformats.org/officeDocument/2006/relationships/hyperlink" Target="https://techcombank.com/thong-tin/blog/tiem-nang-chuyen-doi-tu-ho-kinh-doanh-len-doanh-nghiep-sme" TargetMode="External"/><Relationship Id="rId2276" Type="http://schemas.openxmlformats.org/officeDocument/2006/relationships/hyperlink" Target="https://techcombank.com/thong-tin/blog/vay-tin-chap-la-gi" TargetMode="External"/><Relationship Id="rId355" Type="http://schemas.openxmlformats.org/officeDocument/2006/relationships/hyperlink" Target="https://techcombank.com/thong-tin/blog/tra-luong-tien-mat" TargetMode="External"/><Relationship Id="rId2277" Type="http://schemas.openxmlformats.org/officeDocument/2006/relationships/hyperlink" Target="https://techcombank.com/thong-tin/blog/vay-the-chap-kinh-doanh" TargetMode="External"/><Relationship Id="rId354" Type="http://schemas.openxmlformats.org/officeDocument/2006/relationships/hyperlink" Target="https://techcombank.com/thong-tin/blog/chuan-bi-cho-doanh-nghiep-khoi-nghiep-truoc-nhung-thay-doi-ve-thue" TargetMode="External"/><Relationship Id="rId2278" Type="http://schemas.openxmlformats.org/officeDocument/2006/relationships/hyperlink" Target="https://techcombank.com/thong-tin/blog/the-ghi-no-va-the-tin-dung" TargetMode="External"/><Relationship Id="rId353" Type="http://schemas.openxmlformats.org/officeDocument/2006/relationships/hyperlink" Target="https://techcombank.com/thong-tin/blog/loi-nhuan-rong" TargetMode="External"/><Relationship Id="rId2279" Type="http://schemas.openxmlformats.org/officeDocument/2006/relationships/hyperlink" Target="https://techcombank.com/thong-tin/blog/lai-suat-vay-the-chap" TargetMode="External"/><Relationship Id="rId2225" Type="http://schemas.openxmlformats.org/officeDocument/2006/relationships/hyperlink" Target="https://techcombank.com/thong-tin/blog/thi-truong-trai-phieu-co-hoi-dau-tu-trai-phieu-vang-du-lai-suat-thap" TargetMode="External"/><Relationship Id="rId2226" Type="http://schemas.openxmlformats.org/officeDocument/2006/relationships/hyperlink" Target="https://techcombank.com/thong-tin/blog/techcombank-sinh-loi-tu-dong" TargetMode="External"/><Relationship Id="rId2227" Type="http://schemas.openxmlformats.org/officeDocument/2006/relationships/hyperlink" Target="https://techcombank.com/thong-tin/blog/the-tin-dung-phu-la-gi" TargetMode="External"/><Relationship Id="rId2228" Type="http://schemas.openxmlformats.org/officeDocument/2006/relationships/hyperlink" Target="https://techcombank.com/thong-tin/blog/lai-suat-chung-chi-quy" TargetMode="External"/><Relationship Id="rId2229" Type="http://schemas.openxmlformats.org/officeDocument/2006/relationships/hyperlink" Target="https://techcombank.com/thong-tin/blog/mo-tai-khoan-tiet-kiem-cho-con" TargetMode="External"/><Relationship Id="rId305" Type="http://schemas.openxmlformats.org/officeDocument/2006/relationships/hyperlink" Target="https://techcombank.com/thong-tin/blog/quyet-toan-thue-doanh-nghiep" TargetMode="External"/><Relationship Id="rId304" Type="http://schemas.openxmlformats.org/officeDocument/2006/relationships/hyperlink" Target="https://techcombank.com/thong-tin/blog/tim-hieu-ve-chinh-sach-thue-moi" TargetMode="External"/><Relationship Id="rId303" Type="http://schemas.openxmlformats.org/officeDocument/2006/relationships/hyperlink" Target="https://techcombank.com/thong-tin/blog/chuan-bi-cho-doanh-nghiep-khoi-nghiep-truoc-nhung-thay-doi-ve-thue" TargetMode="External"/><Relationship Id="rId302" Type="http://schemas.openxmlformats.org/officeDocument/2006/relationships/hyperlink" Target="https://techcombank.com/thong-tin/blog/ho-so-dang-ky-thanh-lap-doanh-nghiep" TargetMode="External"/><Relationship Id="rId309" Type="http://schemas.openxmlformats.org/officeDocument/2006/relationships/hyperlink" Target="https://techcombank.com/thong-tin/blog/thu-tuc-thanh-lap-doanh-nghiep" TargetMode="External"/><Relationship Id="rId308" Type="http://schemas.openxmlformats.org/officeDocument/2006/relationships/hyperlink" Target="https://techcombank.com/thong-tin/blog/tra-cuu-no-thue-doanh-nghiep" TargetMode="External"/><Relationship Id="rId307" Type="http://schemas.openxmlformats.org/officeDocument/2006/relationships/hyperlink" Target="https://techcombank.com/thong-tin/blog/dang-ky-thanh-lap-doanh-nghiep-online" TargetMode="External"/><Relationship Id="rId306" Type="http://schemas.openxmlformats.org/officeDocument/2006/relationships/hyperlink" Target="https://techcombank.com/thong-tin/blog/ke-khai-thue-doanh-nghiep" TargetMode="External"/><Relationship Id="rId2220" Type="http://schemas.openxmlformats.org/officeDocument/2006/relationships/hyperlink" Target="https://techcombank.com/thong-tin/blog/ngan-hang-so" TargetMode="External"/><Relationship Id="rId301" Type="http://schemas.openxmlformats.org/officeDocument/2006/relationships/hyperlink" Target="https://techcombank.com/thong-tin/blog/chinh-sach-thue-moi" TargetMode="External"/><Relationship Id="rId2221" Type="http://schemas.openxmlformats.org/officeDocument/2006/relationships/hyperlink" Target="https://techcombank.com/thong-tin/blog/cong-ty-su-dung-tai-khoan-ca-nhan" TargetMode="External"/><Relationship Id="rId300" Type="http://schemas.openxmlformats.org/officeDocument/2006/relationships/hyperlink" Target="https://techcombank.com/thong-tin/blog/kiem-tra-ma-so-thue-doanh-nghiep" TargetMode="External"/><Relationship Id="rId2222" Type="http://schemas.openxmlformats.org/officeDocument/2006/relationships/hyperlink" Target="https://techcombank.com/thong-tin/blog/khach-hang-vip-bat-dong-san" TargetMode="External"/><Relationship Id="rId2223" Type="http://schemas.openxmlformats.org/officeDocument/2006/relationships/hyperlink" Target="https://techcombank.com/thong-tin/blog/tich-luy-tai-san" TargetMode="External"/><Relationship Id="rId2224" Type="http://schemas.openxmlformats.org/officeDocument/2006/relationships/hyperlink" Target="https://techcombank.com/thong-tin/blog/nghich-ly-nha-dau-tu-che-trai-phieu-lai-suat-cao-ua-ma-an-toan-du-lai-suat-thap-hon-05-1" TargetMode="External"/><Relationship Id="rId2214" Type="http://schemas.openxmlformats.org/officeDocument/2006/relationships/hyperlink" Target="https://techcombank.com/thong-tin/blog/app-gui-tien-tiet-kiem" TargetMode="External"/><Relationship Id="rId2215" Type="http://schemas.openxmlformats.org/officeDocument/2006/relationships/hyperlink" Target="https://techcombank.com/thong-tin/blog/bi-quyet-tiet-kiem-tien-mua-nha" TargetMode="External"/><Relationship Id="rId2216" Type="http://schemas.openxmlformats.org/officeDocument/2006/relationships/hyperlink" Target="https://techcombank.com/thong-tin/blog/tat-toan-so-tiet-kiem" TargetMode="External"/><Relationship Id="rId2217" Type="http://schemas.openxmlformats.org/officeDocument/2006/relationships/hyperlink" Target="https://techcombank.com/thong-tin/blog/tra-gop-shopee" TargetMode="External"/><Relationship Id="rId2218" Type="http://schemas.openxmlformats.org/officeDocument/2006/relationships/hyperlink" Target="https://techcombank.com/thong-tin/blog/vay-thau-chi-bang-so-tiet-kiem" TargetMode="External"/><Relationship Id="rId2219" Type="http://schemas.openxmlformats.org/officeDocument/2006/relationships/hyperlink" Target="https://techcombank.com/thong-tin/blog/chung-chi-tien-gui-la-gi" TargetMode="External"/><Relationship Id="rId2210" Type="http://schemas.openxmlformats.org/officeDocument/2006/relationships/hyperlink" Target="https://techcombank.com/thong-tin/blog/lai-suat-gui-tiet-kiem-usd" TargetMode="External"/><Relationship Id="rId2211" Type="http://schemas.openxmlformats.org/officeDocument/2006/relationships/hyperlink" Target="https://techcombank.com/thong-tin/blog/gui-tiet-kiem-usd" TargetMode="External"/><Relationship Id="rId2212" Type="http://schemas.openxmlformats.org/officeDocument/2006/relationships/hyperlink" Target="https://techcombank.com/thong-tin/blog/cach-tinh-ty-gia-ky-han" TargetMode="External"/><Relationship Id="rId2213" Type="http://schemas.openxmlformats.org/officeDocument/2006/relationships/hyperlink" Target="https://techcombank.com/thong-tin/blog/lai-suat-chung-chi-tien-gui-cac-ngan-hang" TargetMode="External"/><Relationship Id="rId2247" Type="http://schemas.openxmlformats.org/officeDocument/2006/relationships/hyperlink" Target="https://techcombank.com/thong-tin/blog/cong-thuc-tinh-lai-suat-thuc" TargetMode="External"/><Relationship Id="rId2248" Type="http://schemas.openxmlformats.org/officeDocument/2006/relationships/hyperlink" Target="https://techcombank.com/thong-tin/blog/nen-vay-tin-chap-o-dau" TargetMode="External"/><Relationship Id="rId2249" Type="http://schemas.openxmlformats.org/officeDocument/2006/relationships/hyperlink" Target="https://techcombank.com/thong-tin/blog/diem-tin-dung" TargetMode="External"/><Relationship Id="rId327" Type="http://schemas.openxmlformats.org/officeDocument/2006/relationships/hyperlink" Target="https://techcombank.com/thong-tin/blog/dong-tai-khoan-ngan-hang-cong-ty" TargetMode="External"/><Relationship Id="rId326" Type="http://schemas.openxmlformats.org/officeDocument/2006/relationships/hyperlink" Target="https://techcombank.com/thong-tin/blog/nop-tien-mat-vao-tai-khoan-cong-ty" TargetMode="External"/><Relationship Id="rId325" Type="http://schemas.openxmlformats.org/officeDocument/2006/relationships/hyperlink" Target="https://techcombank.com/thong-tin/blog/vay-tin-chap-la-gi" TargetMode="External"/><Relationship Id="rId324" Type="http://schemas.openxmlformats.org/officeDocument/2006/relationships/hyperlink" Target="https://techcombank.com/thong-tin/blog/tien-chuyen-vao-tai-khoan-co-bi-tinh-thue-khong" TargetMode="External"/><Relationship Id="rId329" Type="http://schemas.openxmlformats.org/officeDocument/2006/relationships/hyperlink" Target="https://techcombank.com/thong-tin/blog/cach-tinh-thue-thu-nhap-doanh-nghiep" TargetMode="External"/><Relationship Id="rId328" Type="http://schemas.openxmlformats.org/officeDocument/2006/relationships/hyperlink" Target="https://techcombank.com/thong-tin/blog/tai-khoan-doanh-nghiep-co-the-khong" TargetMode="External"/><Relationship Id="rId2240" Type="http://schemas.openxmlformats.org/officeDocument/2006/relationships/hyperlink" Target="https://techcombank.com/thong-tin/blog/vay-von-doanh-nghiep-nho" TargetMode="External"/><Relationship Id="rId2241" Type="http://schemas.openxmlformats.org/officeDocument/2006/relationships/hyperlink" Target="https://techcombank.com/thong-tin/blog/vay-mua-chung-cu" TargetMode="External"/><Relationship Id="rId2242" Type="http://schemas.openxmlformats.org/officeDocument/2006/relationships/hyperlink" Target="https://techcombank.com/thong-tin/blog/tra-gop-hoc-phi" TargetMode="External"/><Relationship Id="rId323" Type="http://schemas.openxmlformats.org/officeDocument/2006/relationships/hyperlink" Target="https://techcombank.com/thong-tin/blog/cach-su-dung-tai-khoan-cong-ty" TargetMode="External"/><Relationship Id="rId2243" Type="http://schemas.openxmlformats.org/officeDocument/2006/relationships/hyperlink" Target="https://techcombank.com/thong-tin/blog/vay-50-trieu" TargetMode="External"/><Relationship Id="rId322" Type="http://schemas.openxmlformats.org/officeDocument/2006/relationships/hyperlink" Target="https://techcombank.com/thong-tin/blog/luu-y-khi-chuyen-tien-vao-tai-khoan-cong-ty" TargetMode="External"/><Relationship Id="rId2244" Type="http://schemas.openxmlformats.org/officeDocument/2006/relationships/hyperlink" Target="https://techcombank.com/thong-tin/blog/chung-chi-tien-gui-co-an-toan-khong" TargetMode="External"/><Relationship Id="rId321" Type="http://schemas.openxmlformats.org/officeDocument/2006/relationships/hyperlink" Target="https://techcombank.com/thong-tin/blog/mo-tai-khoan-doanh-nghiep" TargetMode="External"/><Relationship Id="rId2245" Type="http://schemas.openxmlformats.org/officeDocument/2006/relationships/hyperlink" Target="https://techcombank.com/thong-tin/blog/vay-mua-dien-thoai" TargetMode="External"/><Relationship Id="rId320" Type="http://schemas.openxmlformats.org/officeDocument/2006/relationships/hyperlink" Target="https://techcombank.com/thong-tin/blog/kinh-nghiem-chuyen-doi-tu-ho-kinh-doanh-len-doanh-nghiep" TargetMode="External"/><Relationship Id="rId2246" Type="http://schemas.openxmlformats.org/officeDocument/2006/relationships/hyperlink" Target="https://techcombank.com/thong-tin/blog/tien-nhan-roi-nen-lam-gi" TargetMode="External"/><Relationship Id="rId2236" Type="http://schemas.openxmlformats.org/officeDocument/2006/relationships/hyperlink" Target="https://techcombank.com/thong-tin/blog/cach-dau-tu" TargetMode="External"/><Relationship Id="rId2237" Type="http://schemas.openxmlformats.org/officeDocument/2006/relationships/hyperlink" Target="https://techcombank.com/thong-tin/blog/vay-bo-sung-von-luu-dong" TargetMode="External"/><Relationship Id="rId2238" Type="http://schemas.openxmlformats.org/officeDocument/2006/relationships/hyperlink" Target="https://techcombank.com/thong-tin/blog/vay-ngan-han" TargetMode="External"/><Relationship Id="rId2239" Type="http://schemas.openxmlformats.org/officeDocument/2006/relationships/hyperlink" Target="https://techcombank.com/thong-tin/blog/cho-vay-kinh-doanh-ho-gia-dinh" TargetMode="External"/><Relationship Id="rId316" Type="http://schemas.openxmlformats.org/officeDocument/2006/relationships/hyperlink" Target="https://techcombank.com/thong-tin/blog/tra-cuu-no-thue-hai-quan" TargetMode="External"/><Relationship Id="rId315" Type="http://schemas.openxmlformats.org/officeDocument/2006/relationships/hyperlink" Target="https://techcombank.com/thong-tin/blog/ho-kinh-doanh-ca-the" TargetMode="External"/><Relationship Id="rId314" Type="http://schemas.openxmlformats.org/officeDocument/2006/relationships/hyperlink" Target="https://techcombank.com/thong-tin/blog/nhung-chi-phi-khong-duoc-tru-khi-tinh-thue-tndn" TargetMode="External"/><Relationship Id="rId313" Type="http://schemas.openxmlformats.org/officeDocument/2006/relationships/hyperlink" Target="https://techcombank.com/thong-tin/blog/thue-thu-nhap-doanh-nghiep" TargetMode="External"/><Relationship Id="rId319" Type="http://schemas.openxmlformats.org/officeDocument/2006/relationships/hyperlink" Target="https://techcombank.com/thong-tin/blog/doanh-nghiep-moi-thanh-lap-duoc-uu-dai-gi" TargetMode="External"/><Relationship Id="rId318" Type="http://schemas.openxmlformats.org/officeDocument/2006/relationships/hyperlink" Target="https://techcombank.com/thong-tin/blog/cong-ty-su-dung-tai-khoan-ca-nhan" TargetMode="External"/><Relationship Id="rId317" Type="http://schemas.openxmlformats.org/officeDocument/2006/relationships/hyperlink" Target="https://techcombank.com/thong-tin/blog/cac-sai-lam-pho-bien-khi-chuyen-doi-ho-kinh-doanh-len-sme" TargetMode="External"/><Relationship Id="rId2230" Type="http://schemas.openxmlformats.org/officeDocument/2006/relationships/hyperlink" Target="https://techcombank.com/thong-tin/blog/vay-100-trieu" TargetMode="External"/><Relationship Id="rId2231" Type="http://schemas.openxmlformats.org/officeDocument/2006/relationships/hyperlink" Target="https://techcombank.com/thong-tin/blog/quy-du-phong-tai-chinh-la-gi" TargetMode="External"/><Relationship Id="rId312" Type="http://schemas.openxmlformats.org/officeDocument/2006/relationships/hyperlink" Target="https://techcombank.com/thong-tin/blog/nen-thanh-lap-ho-kinh-doanh-ke-khai-hay-doanh-nghiep" TargetMode="External"/><Relationship Id="rId2232" Type="http://schemas.openxmlformats.org/officeDocument/2006/relationships/hyperlink" Target="https://techcombank.com/thong-tin/blog/co-nen-vay-ngan-hang-mua-nha" TargetMode="External"/><Relationship Id="rId311" Type="http://schemas.openxmlformats.org/officeDocument/2006/relationships/hyperlink" Target="https://techcombank.com/thong-tin/blog/chuyen-doi-ho-kinh-doanh-len-doanh-nghiep" TargetMode="External"/><Relationship Id="rId2233" Type="http://schemas.openxmlformats.org/officeDocument/2006/relationships/hyperlink" Target="https://techcombank.com/thong-tin/blog/rut-tien-tiet-kiem-truoc-thoi-han" TargetMode="External"/><Relationship Id="rId310" Type="http://schemas.openxmlformats.org/officeDocument/2006/relationships/hyperlink" Target="https://techcombank.com/thong-tin/blog/cach-nop-thue-dien-tu" TargetMode="External"/><Relationship Id="rId2234" Type="http://schemas.openxmlformats.org/officeDocument/2006/relationships/hyperlink" Target="https://techcombank.com/thong-tin/blog/lai-suat-la-gi" TargetMode="External"/><Relationship Id="rId2235" Type="http://schemas.openxmlformats.org/officeDocument/2006/relationships/hyperlink" Target="https://techcombank.com/thong-tin/blog/vi-sao-lai-suat-trai-phieu-tai-tcbs-lai-thap-hon-so-voi-cac-to-chuc-phat-hanh-khac" TargetMode="External"/><Relationship Id="rId297" Type="http://schemas.openxmlformats.org/officeDocument/2006/relationships/hyperlink" Target="https://techcombank.com/thong-tin/blog/hoan-thue-doanh-nghiep" TargetMode="External"/><Relationship Id="rId296" Type="http://schemas.openxmlformats.org/officeDocument/2006/relationships/hyperlink" Target="https://techcombank.com/thong-tin/blog/huong-dan-dang-ky-thanh-lap-doanh-nghiep" TargetMode="External"/><Relationship Id="rId295" Type="http://schemas.openxmlformats.org/officeDocument/2006/relationships/hyperlink" Target="https://techcombank.com/thong-tin/blog/dieu-kien-thanh-lap-doanh-nghiep" TargetMode="External"/><Relationship Id="rId294" Type="http://schemas.openxmlformats.org/officeDocument/2006/relationships/hyperlink" Target="https://techcombank.com/thong-tin/blog/thue-doanh-nghiep-2025" TargetMode="External"/><Relationship Id="rId299" Type="http://schemas.openxmlformats.org/officeDocument/2006/relationships/hyperlink" Target="https://techcombank.com/thong-tin/blog/cach-tinh-thue-thu-nhap-doanh-nghiep" TargetMode="External"/><Relationship Id="rId298" Type="http://schemas.openxmlformats.org/officeDocument/2006/relationships/hyperlink" Target="https://techcombank.com/thong-tin/blog/dang-ky-thanh-lap-doanh-nghiep" TargetMode="External"/><Relationship Id="rId271" Type="http://schemas.openxmlformats.org/officeDocument/2006/relationships/hyperlink" Target="https://techcombank.com/thong-tin/blog/tra-cuu-ma-so-thue-ho-kinh-doanh" TargetMode="External"/><Relationship Id="rId270" Type="http://schemas.openxmlformats.org/officeDocument/2006/relationships/hyperlink" Target="https://techcombank.com/thong-tin/blog/thue-doanh-nghiep" TargetMode="External"/><Relationship Id="rId269" Type="http://schemas.openxmlformats.org/officeDocument/2006/relationships/hyperlink" Target="https://techcombank.com/thong-tin/blog/tra-cuu-no-thue-ca-nhan" TargetMode="External"/><Relationship Id="rId264" Type="http://schemas.openxmlformats.org/officeDocument/2006/relationships/hyperlink" Target="https://techcombank.com/thong-tin/blog/ke-khai-thue-doanh-nghiep" TargetMode="External"/><Relationship Id="rId263" Type="http://schemas.openxmlformats.org/officeDocument/2006/relationships/hyperlink" Target="https://techcombank.com/thong-tin/blog/quyet-toan-thue-doanh-nghiep" TargetMode="External"/><Relationship Id="rId262" Type="http://schemas.openxmlformats.org/officeDocument/2006/relationships/hyperlink" Target="https://techcombank.com/thong-tin/blog/tra-cuu-no-thue-hai-quan" TargetMode="External"/><Relationship Id="rId261" Type="http://schemas.openxmlformats.org/officeDocument/2006/relationships/hyperlink" Target="https://techcombank.com/thong-tin/blog/kiem-tra-ma-so-thue-doanh-nghiep" TargetMode="External"/><Relationship Id="rId268" Type="http://schemas.openxmlformats.org/officeDocument/2006/relationships/hyperlink" Target="https://techcombank.com/thong-tin/blog/giai-dap-ve-thue-doanh-nghiep" TargetMode="External"/><Relationship Id="rId267" Type="http://schemas.openxmlformats.org/officeDocument/2006/relationships/hyperlink" Target="https://techcombank.com/thong-tin/blog/mo-them-tai-khoan-ngan-hang-cho-cong-ty" TargetMode="External"/><Relationship Id="rId266" Type="http://schemas.openxmlformats.org/officeDocument/2006/relationships/hyperlink" Target="https://techcombank.com/thong-tin/blog/hoan-thue-doanh-nghiep" TargetMode="External"/><Relationship Id="rId265" Type="http://schemas.openxmlformats.org/officeDocument/2006/relationships/hyperlink" Target="https://techcombank.com/thong-tin/blog/tra-cuu-no-thue-ho-kinh-doanh" TargetMode="External"/><Relationship Id="rId260" Type="http://schemas.openxmlformats.org/officeDocument/2006/relationships/hyperlink" Target="https://techcombank.com/thong-tin/blog/nen-thanh-lap-ho-kinh-doanh-ke-khai-hay-doanh-nghiep" TargetMode="External"/><Relationship Id="rId259" Type="http://schemas.openxmlformats.org/officeDocument/2006/relationships/hyperlink" Target="https://techcombank.com/thong-tin/blog/giai-dap-ve-thue-doanh-nghiep" TargetMode="External"/><Relationship Id="rId258" Type="http://schemas.openxmlformats.org/officeDocument/2006/relationships/hyperlink" Target="https://techcombank.com/thong-tin/blog/chuyen-doi-ho-kinh-doanh-len-doanh-nghiep" TargetMode="External"/><Relationship Id="rId2290" Type="http://schemas.openxmlformats.org/officeDocument/2006/relationships/hyperlink" Target="https://techcombank.com/thong-tin/blog/ngan-hang-dien-tu" TargetMode="External"/><Relationship Id="rId2291" Type="http://schemas.openxmlformats.org/officeDocument/2006/relationships/hyperlink" Target="https://techcombank.com/thong-tin/blog/nhung-kho-khan-khi-tiet-kiem-tien" TargetMode="External"/><Relationship Id="rId2292" Type="http://schemas.openxmlformats.org/officeDocument/2006/relationships/hyperlink" Target="https://techcombank.com/thong-tin/blog/dieu-kien-vay-von-ngan-hang" TargetMode="External"/><Relationship Id="rId2293" Type="http://schemas.openxmlformats.org/officeDocument/2006/relationships/hyperlink" Target="https://techcombank.com/thong-tin/blog/cho-vay-tung-lan" TargetMode="External"/><Relationship Id="rId253" Type="http://schemas.openxmlformats.org/officeDocument/2006/relationships/hyperlink" Target="https://techcombank.com/thong-tin/blog/may-tinh-tien" TargetMode="External"/><Relationship Id="rId2294" Type="http://schemas.openxmlformats.org/officeDocument/2006/relationships/hyperlink" Target="https://techcombank.com/thong-tin/blog/1-te-bang-bao-nhieu-tien-viet-nam" TargetMode="External"/><Relationship Id="rId252" Type="http://schemas.openxmlformats.org/officeDocument/2006/relationships/hyperlink" Target="https://techcombank.com/thong-tin/blog/one-stop-shop" TargetMode="External"/><Relationship Id="rId2295" Type="http://schemas.openxmlformats.org/officeDocument/2006/relationships/hyperlink" Target="https://techcombank.com/thong-tin/blog/cach-thanh-toan-the-tin-dung" TargetMode="External"/><Relationship Id="rId251" Type="http://schemas.openxmlformats.org/officeDocument/2006/relationships/hyperlink" Target="https://techcombank.com/thong-tin/blog/thue-doanh-nghiep" TargetMode="External"/><Relationship Id="rId2296" Type="http://schemas.openxmlformats.org/officeDocument/2006/relationships/hyperlink" Target="https://techcombank.com/thong-tin/blog/quan-ly-chuoi-cua-hang" TargetMode="External"/><Relationship Id="rId250" Type="http://schemas.openxmlformats.org/officeDocument/2006/relationships/hyperlink" Target="https://techcombank.com/thong-tin/blog/hoa-don-dien-tu" TargetMode="External"/><Relationship Id="rId2297" Type="http://schemas.openxmlformats.org/officeDocument/2006/relationships/hyperlink" Target="https://techcombank.com/thong-tin/blog/ngoai-te-la-gi" TargetMode="External"/><Relationship Id="rId257" Type="http://schemas.openxmlformats.org/officeDocument/2006/relationships/hyperlink" Target="https://techcombank.com/thong-tin/blog/tra-cuu-no-thue-doanh-nghiep" TargetMode="External"/><Relationship Id="rId2298" Type="http://schemas.openxmlformats.org/officeDocument/2006/relationships/hyperlink" Target="https://techcombank.com/thong-tin/blog/tin-dung-la-gi" TargetMode="External"/><Relationship Id="rId256" Type="http://schemas.openxmlformats.org/officeDocument/2006/relationships/hyperlink" Target="https://techcombank.com/thong-tin/blog/ke-khai-thue-ho-kinh-doanh-ca-the-online" TargetMode="External"/><Relationship Id="rId2299" Type="http://schemas.openxmlformats.org/officeDocument/2006/relationships/hyperlink" Target="https://techcombank.com/thong-tin/blog/cach-tiet-kiem-tien-theo-tuan" TargetMode="External"/><Relationship Id="rId255" Type="http://schemas.openxmlformats.org/officeDocument/2006/relationships/hyperlink" Target="https://techcombank.com/thong-tin/blog/cach-nop-thue-dien-tu" TargetMode="External"/><Relationship Id="rId254" Type="http://schemas.openxmlformats.org/officeDocument/2006/relationships/hyperlink" Target="https://techcombank.com/thong-tin/blog/app-chia-tien" TargetMode="External"/><Relationship Id="rId293" Type="http://schemas.openxmlformats.org/officeDocument/2006/relationships/hyperlink" Target="https://techcombank.com/thong-tin/blog/thue-phi-co-dinh-khi-chuyen-doi-tu-ho-kinh-doanh-len-doanh-nghiep" TargetMode="External"/><Relationship Id="rId292" Type="http://schemas.openxmlformats.org/officeDocument/2006/relationships/hyperlink" Target="https://techcombank.com/thong-tin/blog/hieu-hiet-ve-tuan-thu-thue-cho-cac-doanh-nghiep-khoi-nghiep" TargetMode="External"/><Relationship Id="rId291" Type="http://schemas.openxmlformats.org/officeDocument/2006/relationships/hyperlink" Target="https://techcombank.com/thong-tin/blog/giai-dap-ve-thue-doanh-nghiep" TargetMode="External"/><Relationship Id="rId290" Type="http://schemas.openxmlformats.org/officeDocument/2006/relationships/hyperlink" Target="https://techcombank.com/thong-tin/blog/cach-tinh-thue-thu-nhap-ca-nhan-2025" TargetMode="External"/><Relationship Id="rId286" Type="http://schemas.openxmlformats.org/officeDocument/2006/relationships/hyperlink" Target="https://techcombank.com/thong-tin/blog/tra-luong-tien-mat" TargetMode="External"/><Relationship Id="rId285" Type="http://schemas.openxmlformats.org/officeDocument/2006/relationships/hyperlink" Target="https://techcombank.com/thong-tin/blog/thue-thuong-mai-dien-tu" TargetMode="External"/><Relationship Id="rId284" Type="http://schemas.openxmlformats.org/officeDocument/2006/relationships/hyperlink" Target="https://techcombank.com/thong-tin/blog/tra-cuu-hoa-don-tien-dien" TargetMode="External"/><Relationship Id="rId283" Type="http://schemas.openxmlformats.org/officeDocument/2006/relationships/hyperlink" Target="https://techcombank.com/thong-tin/blog/cach-dang-ky-ma-so-thue-ho-kinh-doanh-online" TargetMode="External"/><Relationship Id="rId289" Type="http://schemas.openxmlformats.org/officeDocument/2006/relationships/hyperlink" Target="https://techcombank.com/thong-tin/blog/cong-ty-xuat-nhap-khau" TargetMode="External"/><Relationship Id="rId288" Type="http://schemas.openxmlformats.org/officeDocument/2006/relationships/hyperlink" Target="https://techcombank.com/thong-tin/blog/quan-ly-tai-chinh-doanh-nghiep-la-gi" TargetMode="External"/><Relationship Id="rId287" Type="http://schemas.openxmlformats.org/officeDocument/2006/relationships/hyperlink" Target="https://techcombank.com/thong-tin/blog/sao-ke-tai-khoan-doanh-nghiep" TargetMode="External"/><Relationship Id="rId282" Type="http://schemas.openxmlformats.org/officeDocument/2006/relationships/hyperlink" Target="https://techcombank.com/thong-tin/blog/cach-kiem-tra-tai-khoan-ngan-hang-cua-cong-ty" TargetMode="External"/><Relationship Id="rId281" Type="http://schemas.openxmlformats.org/officeDocument/2006/relationships/hyperlink" Target="https://techcombank.com/thong-tin/blog/cach-nop-thue-dien-tu" TargetMode="External"/><Relationship Id="rId280" Type="http://schemas.openxmlformats.org/officeDocument/2006/relationships/hyperlink" Target="https://techcombank.com/thong-tin/blog/kiem-tra-thue-thu-nhap-ca-nhan" TargetMode="External"/><Relationship Id="rId275" Type="http://schemas.openxmlformats.org/officeDocument/2006/relationships/hyperlink" Target="https://techcombank.com/thong-tin/blog/tim-hieu-ve-chinh-sach-thue-moi" TargetMode="External"/><Relationship Id="rId274" Type="http://schemas.openxmlformats.org/officeDocument/2006/relationships/hyperlink" Target="https://techcombank.com/thong-tin/blog/kiem-tra-thue-ho-kinh-doanh" TargetMode="External"/><Relationship Id="rId273" Type="http://schemas.openxmlformats.org/officeDocument/2006/relationships/hyperlink" Target="https://techcombank.com/thong-tin/blog/quyet-toan-thue-thu-nhap-ca-nhan" TargetMode="External"/><Relationship Id="rId272" Type="http://schemas.openxmlformats.org/officeDocument/2006/relationships/hyperlink" Target="https://techcombank.com/thong-tin/blog/dang-ky-ma-so-thue-ca-nhan" TargetMode="External"/><Relationship Id="rId279" Type="http://schemas.openxmlformats.org/officeDocument/2006/relationships/hyperlink" Target="https://techcombank.com/thong-tin/blog/cach-tra-cuu-hoa-don-dien-tu" TargetMode="External"/><Relationship Id="rId278" Type="http://schemas.openxmlformats.org/officeDocument/2006/relationships/hyperlink" Target="https://techcombank.com/thong-tin/blog/nop-thue-hai-quan" TargetMode="External"/><Relationship Id="rId277" Type="http://schemas.openxmlformats.org/officeDocument/2006/relationships/hyperlink" Target="https://techcombank.com/thong-tin/blog/dong-ma-so-thue-ho-kinh-doanh" TargetMode="External"/><Relationship Id="rId276" Type="http://schemas.openxmlformats.org/officeDocument/2006/relationships/hyperlink" Target="https://techcombank.com/thong-tin/blog/hoan-thue-thu-nhap-ca-nhan" TargetMode="External"/><Relationship Id="rId1851" Type="http://schemas.openxmlformats.org/officeDocument/2006/relationships/hyperlink" Target="https://techcombank.com/thong-tin/blog/vay-mua-xe-tra-gop-ngan-hang-nao-tot-nhat" TargetMode="External"/><Relationship Id="rId1852" Type="http://schemas.openxmlformats.org/officeDocument/2006/relationships/hyperlink" Target="https://techcombank.com/thong-tin/blog/bao-hiem-trung" TargetMode="External"/><Relationship Id="rId1853" Type="http://schemas.openxmlformats.org/officeDocument/2006/relationships/hyperlink" Target="https://techcombank.com/thong-tin/blog/vay-mua-nha-tra-gop" TargetMode="External"/><Relationship Id="rId1854" Type="http://schemas.openxmlformats.org/officeDocument/2006/relationships/hyperlink" Target="https://techcombank.com/thong-tin/blog/co-100-trieu-co-mua-nen-mua-tra-gop" TargetMode="External"/><Relationship Id="rId1855" Type="http://schemas.openxmlformats.org/officeDocument/2006/relationships/hyperlink" Target="https://techcombank.com/thong-tin/blog/nhung-ho-kinh-doanh-duoc-mien-thue" TargetMode="External"/><Relationship Id="rId1856" Type="http://schemas.openxmlformats.org/officeDocument/2006/relationships/hyperlink" Target="https://techcombank.com/thong-tin/blog/vay-40-trieu" TargetMode="External"/><Relationship Id="rId1857" Type="http://schemas.openxmlformats.org/officeDocument/2006/relationships/hyperlink" Target="https://techcombank.com/thong-tin/blog/cach-tinh-thue-ho-kinh-doanh-nho-le" TargetMode="External"/><Relationship Id="rId1858" Type="http://schemas.openxmlformats.org/officeDocument/2006/relationships/hyperlink" Target="https://techcombank.com/thong-tin/blog/thu-tuc-mua-xe-tra-gop" TargetMode="External"/><Relationship Id="rId1859" Type="http://schemas.openxmlformats.org/officeDocument/2006/relationships/hyperlink" Target="https://techcombank.com/thong-tin/blog/vay-100-trieu" TargetMode="External"/><Relationship Id="rId1850" Type="http://schemas.openxmlformats.org/officeDocument/2006/relationships/hyperlink" Target="https://techcombank.com/thong-tin/blog/kinh-nghiem-vay-the-chap-ngan-hang" TargetMode="External"/><Relationship Id="rId1840" Type="http://schemas.openxmlformats.org/officeDocument/2006/relationships/hyperlink" Target="https://techcombank.com/thong-tin/blog/vay-the-chap-khong-tra-duoc" TargetMode="External"/><Relationship Id="rId1841" Type="http://schemas.openxmlformats.org/officeDocument/2006/relationships/hyperlink" Target="https://techcombank.com/thong-tin/blog/qua-han-thanh-toan-the-tin-dung-1-ngay" TargetMode="External"/><Relationship Id="rId1842" Type="http://schemas.openxmlformats.org/officeDocument/2006/relationships/hyperlink" Target="https://techcombank.com/thong-tin/blog/vay-300-trieu" TargetMode="External"/><Relationship Id="rId1843" Type="http://schemas.openxmlformats.org/officeDocument/2006/relationships/hyperlink" Target="https://techcombank.com/thong-tin/blog/vay-20-trieu" TargetMode="External"/><Relationship Id="rId1844" Type="http://schemas.openxmlformats.org/officeDocument/2006/relationships/hyperlink" Target="https://techcombank.com/thong-tin/blog/nhu-cau-vay-tieu-dung-cua-nguoi-viet-du-kien-tang-manh-trong-thoi-gian-toi" TargetMode="External"/><Relationship Id="rId1845" Type="http://schemas.openxmlformats.org/officeDocument/2006/relationships/hyperlink" Target="https://techcombank.com/thong-tin/blog/mo-tai-khoan-ho-kinh-doanh" TargetMode="External"/><Relationship Id="rId1846" Type="http://schemas.openxmlformats.org/officeDocument/2006/relationships/hyperlink" Target="https://techcombank.com/thong-tin/blog/vay-the-chap-la-gi" TargetMode="External"/><Relationship Id="rId1847" Type="http://schemas.openxmlformats.org/officeDocument/2006/relationships/hyperlink" Target="https://techcombank.com/thong-tin/blog/khai-bao-tai-khoan-ngan-hang-voi-co-quan-thue" TargetMode="External"/><Relationship Id="rId1848" Type="http://schemas.openxmlformats.org/officeDocument/2006/relationships/hyperlink" Target="https://techcombank.com/thong-tin/blog/cho-vay-tung-lan" TargetMode="External"/><Relationship Id="rId1849" Type="http://schemas.openxmlformats.org/officeDocument/2006/relationships/hyperlink" Target="https://techcombank.com/thong-tin/blog/thay-doi-dia-chi-ho-kinh-doanh" TargetMode="External"/><Relationship Id="rId1873" Type="http://schemas.openxmlformats.org/officeDocument/2006/relationships/hyperlink" Target="https://techcombank.com/thong-tin/blog/ma-giam-xanh-sm" TargetMode="External"/><Relationship Id="rId1874" Type="http://schemas.openxmlformats.org/officeDocument/2006/relationships/hyperlink" Target="https://techcombank.com/thong-tin/blog/voucher-kfc" TargetMode="External"/><Relationship Id="rId1875" Type="http://schemas.openxmlformats.org/officeDocument/2006/relationships/hyperlink" Target="https://techcombank.com/thong-tin/blog/mr-eco" TargetMode="External"/><Relationship Id="rId1876" Type="http://schemas.openxmlformats.org/officeDocument/2006/relationships/hyperlink" Target="https://techcombank.com/thong-tin/blog/voucher-phuc-long" TargetMode="External"/><Relationship Id="rId1877" Type="http://schemas.openxmlformats.org/officeDocument/2006/relationships/hyperlink" Target="https://techcombank.com/thong-tin/blog/voucher-grab" TargetMode="External"/><Relationship Id="rId1878" Type="http://schemas.openxmlformats.org/officeDocument/2006/relationships/hyperlink" Target="https://techcombank.com/thong-tin/blog/dat-xe-xanh-sm" TargetMode="External"/><Relationship Id="rId1879" Type="http://schemas.openxmlformats.org/officeDocument/2006/relationships/hyperlink" Target="https://techcombank.com/thong-tin/blog/tous-les-jours" TargetMode="External"/><Relationship Id="rId1870" Type="http://schemas.openxmlformats.org/officeDocument/2006/relationships/hyperlink" Target="https://techcombank.com/thong-tin/blog/ma-giam-gia-shopee" TargetMode="External"/><Relationship Id="rId1871" Type="http://schemas.openxmlformats.org/officeDocument/2006/relationships/hyperlink" Target="https://techcombank.com/thong-tin/blog/voucher-starbucks" TargetMode="External"/><Relationship Id="rId1872" Type="http://schemas.openxmlformats.org/officeDocument/2006/relationships/hyperlink" Target="https://techcombank.com/thong-tin/blog/cua-hang-tien-loi" TargetMode="External"/><Relationship Id="rId1862" Type="http://schemas.openxmlformats.org/officeDocument/2006/relationships/hyperlink" Target="https://techcombank.com/thong-tin/blog/voucher-the-pizza-company" TargetMode="External"/><Relationship Id="rId1863" Type="http://schemas.openxmlformats.org/officeDocument/2006/relationships/hyperlink" Target="https://techcombank.com/thong-tin/blog/ma-giam-gia-al-frescos" TargetMode="External"/><Relationship Id="rId1864" Type="http://schemas.openxmlformats.org/officeDocument/2006/relationships/hyperlink" Target="https://techcombank.com/thong-tin/blog/voucher-coopmart" TargetMode="External"/><Relationship Id="rId1865" Type="http://schemas.openxmlformats.org/officeDocument/2006/relationships/hyperlink" Target="https://techcombank.com/thong-tin/blog/voucher-jollibee" TargetMode="External"/><Relationship Id="rId1866" Type="http://schemas.openxmlformats.org/officeDocument/2006/relationships/hyperlink" Target="https://techcombank.com/thong-tin/blog/giam-gia-be" TargetMode="External"/><Relationship Id="rId1867" Type="http://schemas.openxmlformats.org/officeDocument/2006/relationships/hyperlink" Target="https://techcombank.com/thong-tin/blog/voucher-katinat" TargetMode="External"/><Relationship Id="rId1868" Type="http://schemas.openxmlformats.org/officeDocument/2006/relationships/hyperlink" Target="https://techcombank.com/thong-tin/blog/ma-giam-gia-phela" TargetMode="External"/><Relationship Id="rId1869" Type="http://schemas.openxmlformats.org/officeDocument/2006/relationships/hyperlink" Target="https://techcombank.com/thong-tin/blog/kichi-kichi" TargetMode="External"/><Relationship Id="rId1860" Type="http://schemas.openxmlformats.org/officeDocument/2006/relationships/hyperlink" Target="https://techcombank.com/thong-tin/blog/thue-ho-kinh-doanh-2025" TargetMode="External"/><Relationship Id="rId1861" Type="http://schemas.openxmlformats.org/officeDocument/2006/relationships/hyperlink" Target="https://techcombank.com/thong-tin/blog/quy-gia-dinh" TargetMode="External"/><Relationship Id="rId1810" Type="http://schemas.openxmlformats.org/officeDocument/2006/relationships/hyperlink" Target="https://techcombank.com/thong-tin/blog/chuyen-tien-tro-cap-than-nhan-o-nuoc-ngoai" TargetMode="External"/><Relationship Id="rId1811" Type="http://schemas.openxmlformats.org/officeDocument/2006/relationships/hyperlink" Target="https://techcombank.com/thong-tin/blog/bao-hiem-suc-khoe-la-gi" TargetMode="External"/><Relationship Id="rId1812" Type="http://schemas.openxmlformats.org/officeDocument/2006/relationships/hyperlink" Target="https://techcombank.com/thong-tin/blog/ho-kinh-doanh-can-gi-o-tai-khoan-ngan-hang" TargetMode="External"/><Relationship Id="rId1813" Type="http://schemas.openxmlformats.org/officeDocument/2006/relationships/hyperlink" Target="https://techcombank.com/thong-tin/blog/nap-tien-vao-tai-khoan-ngan-hang" TargetMode="External"/><Relationship Id="rId1814" Type="http://schemas.openxmlformats.org/officeDocument/2006/relationships/hyperlink" Target="https://techcombank.com/thong-tin/blog/tien-indonesia" TargetMode="External"/><Relationship Id="rId1815" Type="http://schemas.openxmlformats.org/officeDocument/2006/relationships/hyperlink" Target="https://techcombank.com/thong-tin/blog/nhan-tien-western-union" TargetMode="External"/><Relationship Id="rId1816" Type="http://schemas.openxmlformats.org/officeDocument/2006/relationships/hyperlink" Target="https://techcombank.com/thong-tin/blog/vang-24k" TargetMode="External"/><Relationship Id="rId1817" Type="http://schemas.openxmlformats.org/officeDocument/2006/relationships/hyperlink" Target="https://techcombank.com/thong-tin/blog/bao-hiem-sinh-ky-la-gi" TargetMode="External"/><Relationship Id="rId1818" Type="http://schemas.openxmlformats.org/officeDocument/2006/relationships/hyperlink" Target="https://techcombank.com/thong-tin/blog/techcombank-sinh-loi-tu-dong" TargetMode="External"/><Relationship Id="rId1819" Type="http://schemas.openxmlformats.org/officeDocument/2006/relationships/hyperlink" Target="https://techcombank.com/thong-tin/blog/phi-chuyen-doi-ngoai-te" TargetMode="External"/><Relationship Id="rId1800" Type="http://schemas.openxmlformats.org/officeDocument/2006/relationships/hyperlink" Target="https://techcombank.com/thong-tin/blog/gui-tien-du-hoc" TargetMode="External"/><Relationship Id="rId1801" Type="http://schemas.openxmlformats.org/officeDocument/2006/relationships/hyperlink" Target="https://techcombank.com/thong-tin/blog/di-du-lich-nuoc-ngoai-can-chuan-bi-gi" TargetMode="External"/><Relationship Id="rId1802" Type="http://schemas.openxmlformats.org/officeDocument/2006/relationships/hyperlink" Target="https://techcombank.com/thong-tin/blog/1-trieu-do-bang-bao-nhieu-tien-viet" TargetMode="External"/><Relationship Id="rId1803" Type="http://schemas.openxmlformats.org/officeDocument/2006/relationships/hyperlink" Target="https://techcombank.com/thong-tin/blog/vnd-to-myr" TargetMode="External"/><Relationship Id="rId1804" Type="http://schemas.openxmlformats.org/officeDocument/2006/relationships/hyperlink" Target="https://techcombank.com/thong-tin/blog/tien-trung-quoc" TargetMode="External"/><Relationship Id="rId1805" Type="http://schemas.openxmlformats.org/officeDocument/2006/relationships/hyperlink" Target="https://techcombank.com/thong-tin/blog/tien-malaysia" TargetMode="External"/><Relationship Id="rId1806" Type="http://schemas.openxmlformats.org/officeDocument/2006/relationships/hyperlink" Target="https://techcombank.com/thong-tin/blog/mo-the-tin-dung-co-loi-ich-gi" TargetMode="External"/><Relationship Id="rId1807" Type="http://schemas.openxmlformats.org/officeDocument/2006/relationships/hyperlink" Target="https://techcombank.com/thong-tin/blog/nen-lam-the-visa-hay-noi-dia" TargetMode="External"/><Relationship Id="rId1808" Type="http://schemas.openxmlformats.org/officeDocument/2006/relationships/hyperlink" Target="https://techcombank.com/thong-tin/blog/quan-ly-tai-chinh-cho-dan-van-phong" TargetMode="External"/><Relationship Id="rId1809" Type="http://schemas.openxmlformats.org/officeDocument/2006/relationships/hyperlink" Target="https://techcombank.com/thong-tin/blog/rut-tien-mat-tu-tai-khoan-doanh-nghiep" TargetMode="External"/><Relationship Id="rId1830" Type="http://schemas.openxmlformats.org/officeDocument/2006/relationships/hyperlink" Target="https://techcombank.com/thong-tin/blog/npv-la-gi" TargetMode="External"/><Relationship Id="rId1831" Type="http://schemas.openxmlformats.org/officeDocument/2006/relationships/hyperlink" Target="https://techcombank.com/thong-tin/blog/co-nen-vay-ngan-hang-mua-nha" TargetMode="External"/><Relationship Id="rId1832" Type="http://schemas.openxmlformats.org/officeDocument/2006/relationships/hyperlink" Target="https://techcombank.com/thong-tin/blog/lai-suat-vay-the-chap" TargetMode="External"/><Relationship Id="rId1833" Type="http://schemas.openxmlformats.org/officeDocument/2006/relationships/hyperlink" Target="https://techcombank.com/thong-tin/blog/du-no-la-gi" TargetMode="External"/><Relationship Id="rId1834" Type="http://schemas.openxmlformats.org/officeDocument/2006/relationships/hyperlink" Target="https://techcombank.com/thong-tin/blog/tat-toan" TargetMode="External"/><Relationship Id="rId1835" Type="http://schemas.openxmlformats.org/officeDocument/2006/relationships/hyperlink" Target="https://techcombank.com/thong-tin/blog/dang-vay-tra-gop-co-vay-them-duoc-khong" TargetMode="External"/><Relationship Id="rId1836" Type="http://schemas.openxmlformats.org/officeDocument/2006/relationships/hyperlink" Target="https://techcombank.com/thong-tin/blog/luong-huu" TargetMode="External"/><Relationship Id="rId1837" Type="http://schemas.openxmlformats.org/officeDocument/2006/relationships/hyperlink" Target="https://techcombank.com/thong-tin/blog/vay-tra-gop" TargetMode="External"/><Relationship Id="rId1838" Type="http://schemas.openxmlformats.org/officeDocument/2006/relationships/hyperlink" Target="https://techcombank.com/thong-tin/blog/tra-gop-qua-the-tin-dung" TargetMode="External"/><Relationship Id="rId1839" Type="http://schemas.openxmlformats.org/officeDocument/2006/relationships/hyperlink" Target="https://techcombank.com/thong-tin/blog/lai-suat-the-tin-dung" TargetMode="External"/><Relationship Id="rId1820" Type="http://schemas.openxmlformats.org/officeDocument/2006/relationships/hyperlink" Target="https://techcombank.com/thong-tin/blog/1-do-uc-bang-bao-nhieu-tien-viet" TargetMode="External"/><Relationship Id="rId1821" Type="http://schemas.openxmlformats.org/officeDocument/2006/relationships/hyperlink" Target="https://techcombank.com/thong-tin/blog/cach-tiet-kiem-tien-theo-tuan" TargetMode="External"/><Relationship Id="rId1822" Type="http://schemas.openxmlformats.org/officeDocument/2006/relationships/hyperlink" Target="https://techcombank.com/thong-tin/blog/tien-singapore" TargetMode="External"/><Relationship Id="rId1823" Type="http://schemas.openxmlformats.org/officeDocument/2006/relationships/hyperlink" Target="https://techcombank.com/thong-tin/blog/1-cent-bang-bao-nhieu-tien-viet" TargetMode="External"/><Relationship Id="rId1824" Type="http://schemas.openxmlformats.org/officeDocument/2006/relationships/hyperlink" Target="https://techcombank.com/thong-tin/blog/vay-sinh-vien" TargetMode="External"/><Relationship Id="rId1825" Type="http://schemas.openxmlformats.org/officeDocument/2006/relationships/hyperlink" Target="https://techcombank.com/thong-tin/blog/hoc-cach-tiet-kiem-tien-luong" TargetMode="External"/><Relationship Id="rId1826" Type="http://schemas.openxmlformats.org/officeDocument/2006/relationships/hyperlink" Target="https://techcombank.com/thong-tin/blog/chuyen-tien-di-uc" TargetMode="External"/><Relationship Id="rId1827" Type="http://schemas.openxmlformats.org/officeDocument/2006/relationships/hyperlink" Target="https://techcombank.com/thong-tin/blog/thanh-toan-qr-thai-lan" TargetMode="External"/><Relationship Id="rId1828" Type="http://schemas.openxmlformats.org/officeDocument/2006/relationships/hyperlink" Target="https://techcombank.com/thong-tin/blog/chuyen-tien-tu-my-ve-viet-nam" TargetMode="External"/><Relationship Id="rId1829" Type="http://schemas.openxmlformats.org/officeDocument/2006/relationships/hyperlink" Target="https://techcombank.com/thong-tin/blog/1-dong-do-la-my-bang-bao-nhieu-tien-viet-nam" TargetMode="External"/><Relationship Id="rId2302" Type="http://schemas.openxmlformats.org/officeDocument/2006/relationships/hyperlink" Target="https://techcombank.com/thong-tin/blog/tiet-kiem-tien-moi-ngay" TargetMode="External"/><Relationship Id="rId2303" Type="http://schemas.openxmlformats.org/officeDocument/2006/relationships/hyperlink" Target="https://techcombank.com/thong-tin/blog/cach-tiet-kiem-100-trieu-1-nam" TargetMode="External"/><Relationship Id="rId2304" Type="http://schemas.openxmlformats.org/officeDocument/2006/relationships/hyperlink" Target="https://techcombank.com/thong-tin/blog/no-xau-co-lam-the-visa-duoc-khong" TargetMode="External"/><Relationship Id="rId2305" Type="http://schemas.openxmlformats.org/officeDocument/2006/relationships/hyperlink" Target="https://techcombank.com/thong-tin/blog/tai-khoan-tiet-kiem" TargetMode="External"/><Relationship Id="rId2306" Type="http://schemas.openxmlformats.org/officeDocument/2006/relationships/hyperlink" Target="https://techcombank.com/thong-tin/blog/the-nao-la-tiet-kiem" TargetMode="External"/><Relationship Id="rId2307" Type="http://schemas.openxmlformats.org/officeDocument/2006/relationships/hyperlink" Target="https://techcombank.com/thong-tin/blog/thanh-toan-khi-du-lich-singapore" TargetMode="External"/><Relationship Id="rId2308" Type="http://schemas.openxmlformats.org/officeDocument/2006/relationships/hyperlink" Target="https://techcombank.com/thong-tin/blog/co-nen-dung-the-tin-dung-khong" TargetMode="External"/><Relationship Id="rId2309" Type="http://schemas.openxmlformats.org/officeDocument/2006/relationships/hyperlink" Target="https://techcombank.com/thong-tin/blog/tieu-dung-ben-vung" TargetMode="External"/><Relationship Id="rId2300" Type="http://schemas.openxmlformats.org/officeDocument/2006/relationships/hyperlink" Target="https://techcombank.com/thong-tin/blog/quan-ly-tai-chinh-cho-dan-van-phong" TargetMode="External"/><Relationship Id="rId2301" Type="http://schemas.openxmlformats.org/officeDocument/2006/relationships/hyperlink" Target="https://techcombank.com/thong-tin/blog/dau-tu-ngan-han" TargetMode="External"/><Relationship Id="rId2324" Type="http://schemas.openxmlformats.org/officeDocument/2006/relationships/hyperlink" Target="https://techcombank.com/thong-tin/blog/thu-tuc-vay-von-kinh-doanh-nho" TargetMode="External"/><Relationship Id="rId2325" Type="http://schemas.openxmlformats.org/officeDocument/2006/relationships/hyperlink" Target="https://techcombank.com/thong-tin/blog/mobile-banking-la-gi" TargetMode="External"/><Relationship Id="rId2326" Type="http://schemas.openxmlformats.org/officeDocument/2006/relationships/hyperlink" Target="https://techcombank.com/thong-tin/blog/uu-dai-mo-the-tin-dung" TargetMode="External"/><Relationship Id="rId2327" Type="http://schemas.openxmlformats.org/officeDocument/2006/relationships/hyperlink" Target="https://techcombank.com/thong-tin/blog/cach-tiet-kiem-tien-hieu-qua-cho-gia-dinh" TargetMode="External"/><Relationship Id="rId2328" Type="http://schemas.openxmlformats.org/officeDocument/2006/relationships/hyperlink" Target="https://techcombank.com/thong-tin/blog/khau-vi-nha-dau-tu-tpdn-thay-doi-the-nao-sau-nhung-bien-dong-vua-qua" TargetMode="External"/><Relationship Id="rId2329" Type="http://schemas.openxmlformats.org/officeDocument/2006/relationships/hyperlink" Target="https://techcombank.com/thong-tin/blog/uu-dai-the-tin-dung" TargetMode="External"/><Relationship Id="rId2320" Type="http://schemas.openxmlformats.org/officeDocument/2006/relationships/hyperlink" Target="https://techcombank.com/thong-tin/blog/thanh-toan-khi-du-lich-han-quoc" TargetMode="External"/><Relationship Id="rId2321" Type="http://schemas.openxmlformats.org/officeDocument/2006/relationships/hyperlink" Target="https://techcombank.com/thong-tin/blog/co-nen-gui-chung-chi-tien-gui" TargetMode="External"/><Relationship Id="rId2322" Type="http://schemas.openxmlformats.org/officeDocument/2006/relationships/hyperlink" Target="https://techcombank.com/thong-tin/blog/cashback-the-thanh-toan" TargetMode="External"/><Relationship Id="rId2323" Type="http://schemas.openxmlformats.org/officeDocument/2006/relationships/hyperlink" Target="https://techcombank.com/thong-tin/blog/hoc-cach-tiet-kiem-tien-luong" TargetMode="External"/><Relationship Id="rId2313" Type="http://schemas.openxmlformats.org/officeDocument/2006/relationships/hyperlink" Target="https://techcombank.com/thong-tin/blog/loi-ich-cua-viec-tiet-kiem-tien" TargetMode="External"/><Relationship Id="rId2314" Type="http://schemas.openxmlformats.org/officeDocument/2006/relationships/hyperlink" Target="https://techcombank.com/thong-tin/blog/co-100-trieu-co-mua-nen-mua-tra-gop" TargetMode="External"/><Relationship Id="rId2315" Type="http://schemas.openxmlformats.org/officeDocument/2006/relationships/hyperlink" Target="https://techcombank.com/thong-tin/blog/phan-mem-lap-ke-hoach-tai-chinh-ca-nhan" TargetMode="External"/><Relationship Id="rId2316" Type="http://schemas.openxmlformats.org/officeDocument/2006/relationships/hyperlink" Target="https://techcombank.com/thong-tin/blog/chuyen-doi-xanh" TargetMode="External"/><Relationship Id="rId2317" Type="http://schemas.openxmlformats.org/officeDocument/2006/relationships/hyperlink" Target="https://techcombank.com/thong-tin/blog/mat-so-tiet-kiem" TargetMode="External"/><Relationship Id="rId2318" Type="http://schemas.openxmlformats.org/officeDocument/2006/relationships/hyperlink" Target="https://techcombank.com/thong-tin/blog/nap-tien-vao-tai-khoan-ngan-hang" TargetMode="External"/><Relationship Id="rId2319" Type="http://schemas.openxmlformats.org/officeDocument/2006/relationships/hyperlink" Target="https://techcombank.com/thong-tin/blog/vay-ngan-hang-1-ty-moi-thang-tra-bao-nhieu" TargetMode="External"/><Relationship Id="rId2310" Type="http://schemas.openxmlformats.org/officeDocument/2006/relationships/hyperlink" Target="https://techcombank.com/thong-tin/blog/cach-tiet-kiem-tien-cua-nguoi-nhat" TargetMode="External"/><Relationship Id="rId2311" Type="http://schemas.openxmlformats.org/officeDocument/2006/relationships/hyperlink" Target="https://techcombank.com/thong-tin/blog/tai-khoan-thanh-toan-la-gi" TargetMode="External"/><Relationship Id="rId2312" Type="http://schemas.openxmlformats.org/officeDocument/2006/relationships/hyperlink" Target="https://techcombank.com/thong-tin/blog/gui-them-tien-vao-so-tiet-kiem" TargetMode="External"/><Relationship Id="rId1895" Type="http://schemas.openxmlformats.org/officeDocument/2006/relationships/hyperlink" Target="https://techcombank.com/thong-tin/blog/cach-nop-thue-dien-tu" TargetMode="External"/><Relationship Id="rId1896" Type="http://schemas.openxmlformats.org/officeDocument/2006/relationships/hyperlink" Target="https://techcombank.com/thong-tin/blog/hoan-thue-doanh-nghiep" TargetMode="External"/><Relationship Id="rId1897" Type="http://schemas.openxmlformats.org/officeDocument/2006/relationships/hyperlink" Target="https://techcombank.com/thong-tin/blog/thanh-lap-ho-kinh-doanh-ca-the" TargetMode="External"/><Relationship Id="rId1898" Type="http://schemas.openxmlformats.org/officeDocument/2006/relationships/hyperlink" Target="https://techcombank.com/thong-tin/blog/thue-doanh-nghiep-2025" TargetMode="External"/><Relationship Id="rId1899" Type="http://schemas.openxmlformats.org/officeDocument/2006/relationships/hyperlink" Target="https://techcombank.com/thong-tin/blog/cach-tao-ma-qr" TargetMode="External"/><Relationship Id="rId1890" Type="http://schemas.openxmlformats.org/officeDocument/2006/relationships/hyperlink" Target="https://techcombank.com/thong-tin/blog/uu-dai-mua-ve-may-bay-bang-the-tin-dung" TargetMode="External"/><Relationship Id="rId1891" Type="http://schemas.openxmlformats.org/officeDocument/2006/relationships/hyperlink" Target="https://techcombank.com/thong-tin/blog/thue-khoan-ho-kinh-doanh-la-gi" TargetMode="External"/><Relationship Id="rId1892" Type="http://schemas.openxmlformats.org/officeDocument/2006/relationships/hyperlink" Target="https://techcombank.com/thong-tin/blog/truy-thu-thue-ho-kinh-doanh" TargetMode="External"/><Relationship Id="rId1893" Type="http://schemas.openxmlformats.org/officeDocument/2006/relationships/hyperlink" Target="https://techcombank.com/thong-tin/blog/dong-ma-so-thue-ho-kinh-doanh" TargetMode="External"/><Relationship Id="rId1894" Type="http://schemas.openxmlformats.org/officeDocument/2006/relationships/hyperlink" Target="https://techcombank.com/thong-tin/blog/phat-cham-dang-ky-thue-ho-kinh-doanh" TargetMode="External"/><Relationship Id="rId1884" Type="http://schemas.openxmlformats.org/officeDocument/2006/relationships/hyperlink" Target="https://techcombank.com/thong-tin/blog/voucher-cgv" TargetMode="External"/><Relationship Id="rId1885" Type="http://schemas.openxmlformats.org/officeDocument/2006/relationships/hyperlink" Target="https://techcombank.com/thong-tin/blog/voucher-highland" TargetMode="External"/><Relationship Id="rId1886" Type="http://schemas.openxmlformats.org/officeDocument/2006/relationships/hyperlink" Target="https://techcombank.com/thong-tin/blog/shang-chi" TargetMode="External"/><Relationship Id="rId1887" Type="http://schemas.openxmlformats.org/officeDocument/2006/relationships/hyperlink" Target="https://techcombank.com/thong-tin/blog/woomaster" TargetMode="External"/><Relationship Id="rId1888" Type="http://schemas.openxmlformats.org/officeDocument/2006/relationships/hyperlink" Target="https://techcombank.com/thong-tin/blog/diem-loyalty-la-gi" TargetMode="External"/><Relationship Id="rId1889" Type="http://schemas.openxmlformats.org/officeDocument/2006/relationships/hyperlink" Target="https://techcombank.com/thong-tin/blog/thanh-toan-ve-may-bay-online" TargetMode="External"/><Relationship Id="rId1880" Type="http://schemas.openxmlformats.org/officeDocument/2006/relationships/hyperlink" Target="https://techcombank.com/thong-tin/blog/voucher-xanh-sm" TargetMode="External"/><Relationship Id="rId1881" Type="http://schemas.openxmlformats.org/officeDocument/2006/relationships/hyperlink" Target="https://techcombank.com/thong-tin/blog/voucher-the-coffee-house" TargetMode="External"/><Relationship Id="rId1882" Type="http://schemas.openxmlformats.org/officeDocument/2006/relationships/hyperlink" Target="https://techcombank.com/thong-tin/blog/yakimono" TargetMode="External"/><Relationship Id="rId1883" Type="http://schemas.openxmlformats.org/officeDocument/2006/relationships/hyperlink" Target="https://techcombank.com/thong-tin/blog/chixmax" TargetMode="External"/><Relationship Id="rId1059" Type="http://schemas.openxmlformats.org/officeDocument/2006/relationships/hyperlink" Target="https://techcombank.com/thong-tin/blog/khai-bao-tai-khoan-ngan-hang-voi-co-quan-thue" TargetMode="External"/><Relationship Id="rId228" Type="http://schemas.openxmlformats.org/officeDocument/2006/relationships/hyperlink" Target="https://techcombank.com/thong-tin/blog/thue-doanh-nghiep-2025" TargetMode="External"/><Relationship Id="rId227" Type="http://schemas.openxmlformats.org/officeDocument/2006/relationships/hyperlink" Target="https://techcombank.com/thong-tin/blog/tien-dai-loan" TargetMode="External"/><Relationship Id="rId226" Type="http://schemas.openxmlformats.org/officeDocument/2006/relationships/hyperlink" Target="https://techcombank.com/thong-tin/blog/chi-phi-mo-tai-khoan-ngan-hang-cho-cong-ty" TargetMode="External"/><Relationship Id="rId225" Type="http://schemas.openxmlformats.org/officeDocument/2006/relationships/hyperlink" Target="https://techcombank.com/thong-tin/blog/thu-tuc-thanh-lap-doanh-nghiep" TargetMode="External"/><Relationship Id="rId2380" Type="http://schemas.openxmlformats.org/officeDocument/2006/relationships/hyperlink" Target="https://techcombank.com/thong-tin/blog/quy-trinh-gui-tien-tiet-kiem" TargetMode="External"/><Relationship Id="rId229" Type="http://schemas.openxmlformats.org/officeDocument/2006/relationships/hyperlink" Target="https://techcombank.com/thong-tin/blog/mo-tai-khoan-doanh-nghiep" TargetMode="External"/><Relationship Id="rId1050" Type="http://schemas.openxmlformats.org/officeDocument/2006/relationships/hyperlink" Target="https://techcombank.com/thong-tin/blog/ma-buu-chinh-the-tin-dung" TargetMode="External"/><Relationship Id="rId2381" Type="http://schemas.openxmlformats.org/officeDocument/2006/relationships/hyperlink" Target="https://techcombank.com/thong-tin/blog/gui-tiet-kiem-theo-ngay" TargetMode="External"/><Relationship Id="rId220" Type="http://schemas.openxmlformats.org/officeDocument/2006/relationships/hyperlink" Target="https://techcombank.com/thong-tin/blog/dieu-kien-thanh-lap-doanh-nghiep" TargetMode="External"/><Relationship Id="rId1051" Type="http://schemas.openxmlformats.org/officeDocument/2006/relationships/hyperlink" Target="https://techcombank.com/thong-tin/blog/uu-diem-cua-blockchain" TargetMode="External"/><Relationship Id="rId2382" Type="http://schemas.openxmlformats.org/officeDocument/2006/relationships/hyperlink" Target="https://techcombank.com/thong-tin/blog/gui-tiet-kiem-vang" TargetMode="External"/><Relationship Id="rId1052" Type="http://schemas.openxmlformats.org/officeDocument/2006/relationships/hyperlink" Target="https://techcombank.com/thong-tin/blog/mm-yy-la-gi" TargetMode="External"/><Relationship Id="rId2383" Type="http://schemas.openxmlformats.org/officeDocument/2006/relationships/hyperlink" Target="https://techcombank.com/thong-tin/blog/nen-gui-tiet-kiem-thong-thuong-hay-tich-luy" TargetMode="External"/><Relationship Id="rId1053" Type="http://schemas.openxmlformats.org/officeDocument/2006/relationships/hyperlink" Target="https://techcombank.com/thong-tin/blog/cach-kiem-tra-tai-khoan-ngan-hang" TargetMode="External"/><Relationship Id="rId2384" Type="http://schemas.openxmlformats.org/officeDocument/2006/relationships/hyperlink" Target="https://techcombank.com/thong-tin/blog/tai-sao-gui-tiet-kiem-online-lai-suat-cao-hon" TargetMode="External"/><Relationship Id="rId1054" Type="http://schemas.openxmlformats.org/officeDocument/2006/relationships/hyperlink" Target="https://techcombank.com/thong-tin/blog/nen-de-tien-trong-the-hay-gui-tiet-kiem" TargetMode="External"/><Relationship Id="rId2385" Type="http://schemas.openxmlformats.org/officeDocument/2006/relationships/hyperlink" Target="https://techcombank.com/thong-tin/blog/rui-ro-khi-vay-the-chap-ngan-hang" TargetMode="External"/><Relationship Id="rId224" Type="http://schemas.openxmlformats.org/officeDocument/2006/relationships/hyperlink" Target="https://techcombank.com/thong-tin/blog/chinh-sach-thue-moi" TargetMode="External"/><Relationship Id="rId1055" Type="http://schemas.openxmlformats.org/officeDocument/2006/relationships/hyperlink" Target="https://techcombank.com/thong-tin/blog/tin-dung-doanh-nghiep" TargetMode="External"/><Relationship Id="rId2386" Type="http://schemas.openxmlformats.org/officeDocument/2006/relationships/hyperlink" Target="https://techcombank.com/thong-tin/blog/nen-de-tien-trong-the-hay-gui-tiet-kiem" TargetMode="External"/><Relationship Id="rId223" Type="http://schemas.openxmlformats.org/officeDocument/2006/relationships/hyperlink" Target="https://techcombank.com/thong-tin/blog/hieu-hiet-ve-tuan-thu-thue-cho-cac-doanh-nghiep-khoi-nghiep" TargetMode="External"/><Relationship Id="rId1056" Type="http://schemas.openxmlformats.org/officeDocument/2006/relationships/hyperlink" Target="https://techcombank.com/thong-tin/blog/nop-thue-dat-qua-ngan-hang" TargetMode="External"/><Relationship Id="rId2387" Type="http://schemas.openxmlformats.org/officeDocument/2006/relationships/hyperlink" Target="https://techcombank.com/thong-tin/blog/lai-suat-vay-thau-chi" TargetMode="External"/><Relationship Id="rId222" Type="http://schemas.openxmlformats.org/officeDocument/2006/relationships/hyperlink" Target="https://techcombank.com/thong-tin/blog/luat-thuong-mai-dien-tu" TargetMode="External"/><Relationship Id="rId1057" Type="http://schemas.openxmlformats.org/officeDocument/2006/relationships/hyperlink" Target="https://techcombank.com/thong-tin/blog/voucher-the-pizza-company" TargetMode="External"/><Relationship Id="rId2388" Type="http://schemas.openxmlformats.org/officeDocument/2006/relationships/hyperlink" Target="https://techcombank.com/thong-tin/blog/qua-han-thanh-toan-the-tin-dung-1-ngay" TargetMode="External"/><Relationship Id="rId221" Type="http://schemas.openxmlformats.org/officeDocument/2006/relationships/hyperlink" Target="https://techcombank.com/thong-tin/blog/luu-y-khi-chuyen-tien-vao-tai-khoan-cong-ty" TargetMode="External"/><Relationship Id="rId1058" Type="http://schemas.openxmlformats.org/officeDocument/2006/relationships/hyperlink" Target="https://techcombank.com/thong-tin/blog/chuyen-khoan-thanh-cong-nhung-khong-nhan-duoc-tien" TargetMode="External"/><Relationship Id="rId2389" Type="http://schemas.openxmlformats.org/officeDocument/2006/relationships/hyperlink" Target="https://techcombank.com/thong-tin/blog/co-nen-gui-tiet-kiem-ngan-hang" TargetMode="External"/><Relationship Id="rId1048" Type="http://schemas.openxmlformats.org/officeDocument/2006/relationships/hyperlink" Target="https://techcombank.com/thong-tin/blog/cach-lam-the-ngan-hang-chay-quang-cao-facebook" TargetMode="External"/><Relationship Id="rId2379" Type="http://schemas.openxmlformats.org/officeDocument/2006/relationships/hyperlink" Target="https://techcombank.com/thong-tin/blog/cong-thuc-tinh-lai-suat-thuc" TargetMode="External"/><Relationship Id="rId1049" Type="http://schemas.openxmlformats.org/officeDocument/2006/relationships/hyperlink" Target="https://techcombank.com/thong-tin/blog/co-nen-dung-the-tin-dung-khong" TargetMode="External"/><Relationship Id="rId217" Type="http://schemas.openxmlformats.org/officeDocument/2006/relationships/hyperlink" Target="https://techcombank.com/thong-tin/blog/kinh-nghiem-chuyen-doi-tu-ho-kinh-doanh-len-doanh-nghiep" TargetMode="External"/><Relationship Id="rId216" Type="http://schemas.openxmlformats.org/officeDocument/2006/relationships/hyperlink" Target="https://techcombank.com/thong-tin/blog/cong-ty-su-dung-tai-khoan-ca-nhan" TargetMode="External"/><Relationship Id="rId215" Type="http://schemas.openxmlformats.org/officeDocument/2006/relationships/hyperlink" Target="https://techcombank.com/thong-tin/blog/cac-sai-lam-pho-bien-khi-chuyen-doi-ho-kinh-doanh-len-sme" TargetMode="External"/><Relationship Id="rId214" Type="http://schemas.openxmlformats.org/officeDocument/2006/relationships/hyperlink" Target="https://techcombank.com/thong-tin/blog/tra-cuu-no-thue-hai-quan" TargetMode="External"/><Relationship Id="rId219" Type="http://schemas.openxmlformats.org/officeDocument/2006/relationships/hyperlink" Target="https://techcombank.com/thong-tin/blog/dong-tai-khoan-ngan-hang-cong-ty" TargetMode="External"/><Relationship Id="rId218" Type="http://schemas.openxmlformats.org/officeDocument/2006/relationships/hyperlink" Target="https://techcombank.com/thong-tin/blog/top-phan-mem-ban-hang" TargetMode="External"/><Relationship Id="rId2370" Type="http://schemas.openxmlformats.org/officeDocument/2006/relationships/hyperlink" Target="https://techcombank.com/thong-tin/blog/so-du-tai-khoan-thanh-toan" TargetMode="External"/><Relationship Id="rId1040" Type="http://schemas.openxmlformats.org/officeDocument/2006/relationships/hyperlink" Target="https://techcombank.com/thong-tin/blog/so-cvv-la-gi" TargetMode="External"/><Relationship Id="rId2371" Type="http://schemas.openxmlformats.org/officeDocument/2006/relationships/hyperlink" Target="https://techcombank.com/thong-tin/blog/gui-tiet-kiem-hang-thang" TargetMode="External"/><Relationship Id="rId1041" Type="http://schemas.openxmlformats.org/officeDocument/2006/relationships/hyperlink" Target="https://techcombank.com/thong-tin/blog/so-tai-khoan-ngan-hang" TargetMode="External"/><Relationship Id="rId2372" Type="http://schemas.openxmlformats.org/officeDocument/2006/relationships/hyperlink" Target="https://techcombank.com/thong-tin/blog/kinh-nghiem-vay-tien-ngan-hang-xay-nha" TargetMode="External"/><Relationship Id="rId1042" Type="http://schemas.openxmlformats.org/officeDocument/2006/relationships/hyperlink" Target="https://techcombank.com/thong-tin/blog/gui-tien-du-hoc" TargetMode="External"/><Relationship Id="rId2373" Type="http://schemas.openxmlformats.org/officeDocument/2006/relationships/hyperlink" Target="https://techcombank.com/thong-tin/blog/tai-khoan-ngan-hang-duoi-50k-co-bi-khoa-khong" TargetMode="External"/><Relationship Id="rId1043" Type="http://schemas.openxmlformats.org/officeDocument/2006/relationships/hyperlink" Target="https://techcombank.com/thong-tin/blog/tien-nhan-roi-nen-lam-gi" TargetMode="External"/><Relationship Id="rId2374" Type="http://schemas.openxmlformats.org/officeDocument/2006/relationships/hyperlink" Target="https://techcombank.com/thong-tin/blog/tien-gui-khong-ky-han" TargetMode="External"/><Relationship Id="rId213" Type="http://schemas.openxmlformats.org/officeDocument/2006/relationships/hyperlink" Target="https://techcombank.com/thong-tin/blog/ho-kinh-doanh-ca-the" TargetMode="External"/><Relationship Id="rId1044" Type="http://schemas.openxmlformats.org/officeDocument/2006/relationships/hyperlink" Target="https://techcombank.com/thong-tin/blog/ma-qr-techcombank" TargetMode="External"/><Relationship Id="rId2375" Type="http://schemas.openxmlformats.org/officeDocument/2006/relationships/hyperlink" Target="https://techcombank.com/thong-tin/blog/dao-han-la-gi" TargetMode="External"/><Relationship Id="rId212" Type="http://schemas.openxmlformats.org/officeDocument/2006/relationships/hyperlink" Target="https://techcombank.com/thong-tin/blog/thue-phi-co-dinh-khi-chuyen-doi-tu-ho-kinh-doanh-len-doanh-nghiep" TargetMode="External"/><Relationship Id="rId1045" Type="http://schemas.openxmlformats.org/officeDocument/2006/relationships/hyperlink" Target="https://techcombank.com/thong-tin/blog/chuyen-tien-tu-my-ve-viet-nam" TargetMode="External"/><Relationship Id="rId2376" Type="http://schemas.openxmlformats.org/officeDocument/2006/relationships/hyperlink" Target="https://techcombank.com/thong-tin/blog/thanh-toan-tien-dien-bang-the-tin-dung" TargetMode="External"/><Relationship Id="rId211" Type="http://schemas.openxmlformats.org/officeDocument/2006/relationships/hyperlink" Target="https://techcombank.com/thong-tin/blog/nen-thanh-lap-ho-kinh-doanh-ke-khai-hay-doanh-nghiep" TargetMode="External"/><Relationship Id="rId1046" Type="http://schemas.openxmlformats.org/officeDocument/2006/relationships/hyperlink" Target="https://techcombank.com/thong-tin/blog/cach-tinh-thue-thu-nhap-ca-nhan-2025" TargetMode="External"/><Relationship Id="rId2377" Type="http://schemas.openxmlformats.org/officeDocument/2006/relationships/hyperlink" Target="https://techcombank.com/thong-tin/blog/thanh-toan-hoa-don-tieu-dung" TargetMode="External"/><Relationship Id="rId210" Type="http://schemas.openxmlformats.org/officeDocument/2006/relationships/hyperlink" Target="https://techcombank.com/thong-tin/blog/chuyen-doi-ho-kinh-doanh-len-doanh-nghiep" TargetMode="External"/><Relationship Id="rId1047" Type="http://schemas.openxmlformats.org/officeDocument/2006/relationships/hyperlink" Target="https://techcombank.com/thong-tin/blog/mat-the-tin-dung-co-bi-mat-tien-khong" TargetMode="External"/><Relationship Id="rId2378" Type="http://schemas.openxmlformats.org/officeDocument/2006/relationships/hyperlink" Target="https://techcombank.com/thong-tin/blog/lai-suat-vay-kinh-doanh" TargetMode="External"/><Relationship Id="rId249" Type="http://schemas.openxmlformats.org/officeDocument/2006/relationships/hyperlink" Target="https://techcombank.com/thong-tin/blog/nhung-ho-kinh-doanh-duoc-mien-thue" TargetMode="External"/><Relationship Id="rId248" Type="http://schemas.openxmlformats.org/officeDocument/2006/relationships/hyperlink" Target="https://techcombank.com/thong-tin/blog/thue-phi-co-dinh-khi-chuyen-doi-tu-ho-kinh-doanh-len-doanh-nghiep" TargetMode="External"/><Relationship Id="rId247" Type="http://schemas.openxmlformats.org/officeDocument/2006/relationships/hyperlink" Target="https://techcombank.com/thong-tin/blog/ho-kinh-doanh-ca-the" TargetMode="External"/><Relationship Id="rId1070" Type="http://schemas.openxmlformats.org/officeDocument/2006/relationships/hyperlink" Target="https://techcombank.com/thong-tin/blog/ma-swift-ngan-hang" TargetMode="External"/><Relationship Id="rId1071" Type="http://schemas.openxmlformats.org/officeDocument/2006/relationships/hyperlink" Target="https://techcombank.com/thong-tin/blog/cach-su-dung-the-visa-techcombank" TargetMode="External"/><Relationship Id="rId1072" Type="http://schemas.openxmlformats.org/officeDocument/2006/relationships/hyperlink" Target="https://techcombank.com/thong-tin/blog/mua-nha-tra-gop-dua-truoc-100-trieu" TargetMode="External"/><Relationship Id="rId242" Type="http://schemas.openxmlformats.org/officeDocument/2006/relationships/hyperlink" Target="https://techcombank.com/thong-tin/blog/cong-ty-su-dung-tai-khoan-ca-nhan" TargetMode="External"/><Relationship Id="rId1073" Type="http://schemas.openxmlformats.org/officeDocument/2006/relationships/hyperlink" Target="https://techcombank.com/thong-tin/blog/di-du-lich-nuoc-ngoai-can-chuan-bi-gi" TargetMode="External"/><Relationship Id="rId241" Type="http://schemas.openxmlformats.org/officeDocument/2006/relationships/hyperlink" Target="https://techcombank.com/thong-tin/blog/tra-luong-tien-mat" TargetMode="External"/><Relationship Id="rId1074" Type="http://schemas.openxmlformats.org/officeDocument/2006/relationships/hyperlink" Target="https://techcombank.com/thong-tin/blog/ma-mcc" TargetMode="External"/><Relationship Id="rId240" Type="http://schemas.openxmlformats.org/officeDocument/2006/relationships/hyperlink" Target="https://techcombank.com/thong-tin/blog/gia-dien-sinh-hoat" TargetMode="External"/><Relationship Id="rId1075" Type="http://schemas.openxmlformats.org/officeDocument/2006/relationships/hyperlink" Target="https://techcombank.com/thong-tin/blog/ngan-hang-thu-huong-la-gi" TargetMode="External"/><Relationship Id="rId1076" Type="http://schemas.openxmlformats.org/officeDocument/2006/relationships/hyperlink" Target="https://techcombank.com/thong-tin/blog/the-visa-khong-thanh-toan-duoc" TargetMode="External"/><Relationship Id="rId246" Type="http://schemas.openxmlformats.org/officeDocument/2006/relationships/hyperlink" Target="https://techcombank.com/thong-tin/blog/thanh-toan-khi-du-lich-thai-lan" TargetMode="External"/><Relationship Id="rId1077" Type="http://schemas.openxmlformats.org/officeDocument/2006/relationships/hyperlink" Target="https://techcombank.com/thong-tin/blog/tra-cuu-ma-so-thue-ho-kinh-doanh" TargetMode="External"/><Relationship Id="rId245" Type="http://schemas.openxmlformats.org/officeDocument/2006/relationships/hyperlink" Target="https://techcombank.com/thong-tin/blog/thue-ho-kinh-doanh-2025" TargetMode="External"/><Relationship Id="rId1078" Type="http://schemas.openxmlformats.org/officeDocument/2006/relationships/hyperlink" Target="https://techcombank.com/thong-tin/blog/6-chiec-lo-tai-chinh-ca-nhan" TargetMode="External"/><Relationship Id="rId244" Type="http://schemas.openxmlformats.org/officeDocument/2006/relationships/hyperlink" Target="https://techcombank.com/thong-tin/blog/hieu-hiet-ve-tuan-thu-thue-cho-cac-doanh-nghiep-khoi-nghiep" TargetMode="External"/><Relationship Id="rId1079" Type="http://schemas.openxmlformats.org/officeDocument/2006/relationships/hyperlink" Target="https://techcombank.com/thong-tin/blog/so-the-visa-hop-le" TargetMode="External"/><Relationship Id="rId243" Type="http://schemas.openxmlformats.org/officeDocument/2006/relationships/hyperlink" Target="https://techcombank.com/thong-tin/blog/vi-dien-tu" TargetMode="External"/><Relationship Id="rId239" Type="http://schemas.openxmlformats.org/officeDocument/2006/relationships/hyperlink" Target="https://techcombank.com/thong-tin/blog/cach-su-dung-tai-khoan-cong-ty" TargetMode="External"/><Relationship Id="rId238" Type="http://schemas.openxmlformats.org/officeDocument/2006/relationships/hyperlink" Target="https://techcombank.com/thong-tin/blog/thue-khoan-ho-kinh-doanh-la-gi" TargetMode="External"/><Relationship Id="rId237" Type="http://schemas.openxmlformats.org/officeDocument/2006/relationships/hyperlink" Target="https://techcombank.com/thong-tin/blog/kinh-nghiem-chuyen-doi-tu-ho-kinh-doanh-len-doanh-nghiep" TargetMode="External"/><Relationship Id="rId236" Type="http://schemas.openxmlformats.org/officeDocument/2006/relationships/hyperlink" Target="https://techcombank.com/thong-tin/blog/cach-tinh-tien-dien-sinh-hoat" TargetMode="External"/><Relationship Id="rId2390" Type="http://schemas.openxmlformats.org/officeDocument/2006/relationships/hyperlink" Target="https://techcombank.com/thong-tin/blog/lai-suat-tiet-kiem" TargetMode="External"/><Relationship Id="rId1060" Type="http://schemas.openxmlformats.org/officeDocument/2006/relationships/hyperlink" Target="https://techcombank.com/thong-tin/blog/du-no-la-gi" TargetMode="External"/><Relationship Id="rId2391" Type="http://schemas.openxmlformats.org/officeDocument/2006/relationships/hyperlink" Target="https://techcombank.com/thong-tin/blog/co-nen-gui-tiet-kiem-online" TargetMode="External"/><Relationship Id="rId1061" Type="http://schemas.openxmlformats.org/officeDocument/2006/relationships/hyperlink" Target="https://techcombank.com/thong-tin/blog/cam-ket-tin-dung" TargetMode="External"/><Relationship Id="rId2392" Type="http://schemas.openxmlformats.org/officeDocument/2006/relationships/hyperlink" Target="https://techcombank.com/thong-tin/blog/gui-tiet-kiem-ngan-hang-van-la-lua-chon-an-toan-trong-thoi-ky-kinh-te-con-nhieu-bien-dong" TargetMode="External"/><Relationship Id="rId231" Type="http://schemas.openxmlformats.org/officeDocument/2006/relationships/hyperlink" Target="https://techcombank.com/thong-tin/blog/ke-khai-thue-doanh-nghiep" TargetMode="External"/><Relationship Id="rId1062" Type="http://schemas.openxmlformats.org/officeDocument/2006/relationships/hyperlink" Target="https://techcombank.com/thong-tin/blog/xep-hang-tin-dung" TargetMode="External"/><Relationship Id="rId2393" Type="http://schemas.openxmlformats.org/officeDocument/2006/relationships/hyperlink" Target="https://techcombank.com/thong-tin/blog/cach-gui-tiet-kiem-online" TargetMode="External"/><Relationship Id="rId230" Type="http://schemas.openxmlformats.org/officeDocument/2006/relationships/hyperlink" Target="https://techcombank.com/thong-tin/blog/loi-ich-khi-ho-kinh-doanh-chuyen-len-doanh-nghiep" TargetMode="External"/><Relationship Id="rId1063" Type="http://schemas.openxmlformats.org/officeDocument/2006/relationships/hyperlink" Target="https://techcombank.com/thong-tin/blog/thanh-toan-quoc-te" TargetMode="External"/><Relationship Id="rId2394" Type="http://schemas.openxmlformats.org/officeDocument/2006/relationships/hyperlink" Target="https://techcombank.com/thong-tin/blog/gui-tien-ngan-hang-co-an-toan-khong" TargetMode="External"/><Relationship Id="rId1064" Type="http://schemas.openxmlformats.org/officeDocument/2006/relationships/hyperlink" Target="https://techcombank.com/thong-tin/blog/dang-ky-nhieu-tai-khoan-ngan-hang-co-sao-khong" TargetMode="External"/><Relationship Id="rId2395" Type="http://schemas.openxmlformats.org/officeDocument/2006/relationships/hyperlink" Target="https://techcombank.com/thong-tin/blog/dau-tu-trai-phieu-doanh-nghiep-dung-ham-lai-suat-cao" TargetMode="External"/><Relationship Id="rId1065" Type="http://schemas.openxmlformats.org/officeDocument/2006/relationships/hyperlink" Target="https://techcombank.com/thong-tin/blog/the-mastercard-la-gi" TargetMode="External"/><Relationship Id="rId2396" Type="http://schemas.openxmlformats.org/officeDocument/2006/relationships/hyperlink" Target="https://techcombank.com/thong-tin/blog/nen-gui-tiet-kiem-6-thang-hay-1-nam" TargetMode="External"/><Relationship Id="rId235" Type="http://schemas.openxmlformats.org/officeDocument/2006/relationships/hyperlink" Target="https://techcombank.com/thong-tin/blog/nhung-chi-phi-khong-duoc-tru-khi-tinh-thue-tndn" TargetMode="External"/><Relationship Id="rId1066" Type="http://schemas.openxmlformats.org/officeDocument/2006/relationships/hyperlink" Target="https://techcombank.com/thong-tin/blog/tai-khoan-ngan-hang-bi-khoa" TargetMode="External"/><Relationship Id="rId2397" Type="http://schemas.openxmlformats.org/officeDocument/2006/relationships/hyperlink" Target="https://techcombank.com/thong-tin/blog/lai-suat-the-tin-dung" TargetMode="External"/><Relationship Id="rId234" Type="http://schemas.openxmlformats.org/officeDocument/2006/relationships/hyperlink" Target="https://techcombank.com/thong-tin/blog/thue-thuong-mai-dien-tu" TargetMode="External"/><Relationship Id="rId1067" Type="http://schemas.openxmlformats.org/officeDocument/2006/relationships/hyperlink" Target="https://techcombank.com/thong-tin/blog/vay-han-muc-la-gi" TargetMode="External"/><Relationship Id="rId2398" Type="http://schemas.openxmlformats.org/officeDocument/2006/relationships/hyperlink" Target="https://techcombank.com/thong-tin/blog/gui-tiet-kiem-tich-luy-la-gi" TargetMode="External"/><Relationship Id="rId233" Type="http://schemas.openxmlformats.org/officeDocument/2006/relationships/hyperlink" Target="https://techcombank.com/thong-tin/blog/thue-thu-nhap-doanh-nghiep" TargetMode="External"/><Relationship Id="rId1068" Type="http://schemas.openxmlformats.org/officeDocument/2006/relationships/hyperlink" Target="https://techcombank.com/thong-tin/blog/vang-14k-gia-hom-nay" TargetMode="External"/><Relationship Id="rId2399" Type="http://schemas.openxmlformats.org/officeDocument/2006/relationships/hyperlink" Target="https://techcombank.com/thong-tin/blog/lai-suat-vay-the-chap-so-do" TargetMode="External"/><Relationship Id="rId232" Type="http://schemas.openxmlformats.org/officeDocument/2006/relationships/hyperlink" Target="https://techcombank.com/thong-tin/blog/hoan-thue-doanh-nghiep" TargetMode="External"/><Relationship Id="rId1069" Type="http://schemas.openxmlformats.org/officeDocument/2006/relationships/hyperlink" Target="https://techcombank.com/thong-tin/blog/app-ngan-hang-uy-tin" TargetMode="External"/><Relationship Id="rId1015" Type="http://schemas.openxmlformats.org/officeDocument/2006/relationships/hyperlink" Target="https://techcombank.com/thong-tin/blog/hoan-thue-thu-nhap-ca-nhan" TargetMode="External"/><Relationship Id="rId2346" Type="http://schemas.openxmlformats.org/officeDocument/2006/relationships/hyperlink" Target="https://techcombank.com/thong-tin/blog/cach-quan-ly-tai-san" TargetMode="External"/><Relationship Id="rId1016" Type="http://schemas.openxmlformats.org/officeDocument/2006/relationships/hyperlink" Target="https://techcombank.com/thong-tin/blog/the-tin-dung-ao" TargetMode="External"/><Relationship Id="rId2347" Type="http://schemas.openxmlformats.org/officeDocument/2006/relationships/hyperlink" Target="https://techcombank.com/thong-tin/blog/vay-kinh-doanh-online" TargetMode="External"/><Relationship Id="rId1017" Type="http://schemas.openxmlformats.org/officeDocument/2006/relationships/hyperlink" Target="https://techcombank.com/thong-tin/blog/the-tin-dung-co-ma-pin-khong" TargetMode="External"/><Relationship Id="rId2348" Type="http://schemas.openxmlformats.org/officeDocument/2006/relationships/hyperlink" Target="https://techcombank.com/thong-tin/blog/chung-chi-tien-gui-co-duoc-bao-hiem-khong" TargetMode="External"/><Relationship Id="rId1018" Type="http://schemas.openxmlformats.org/officeDocument/2006/relationships/hyperlink" Target="https://techcombank.com/thong-tin/blog/mat-the-tin-dung-co-lam-lai-duoc-khong" TargetMode="External"/><Relationship Id="rId2349" Type="http://schemas.openxmlformats.org/officeDocument/2006/relationships/hyperlink" Target="https://techcombank.com/thong-tin/blog/chuyen-nhuong-chung-chi-tien-gui" TargetMode="External"/><Relationship Id="rId1019" Type="http://schemas.openxmlformats.org/officeDocument/2006/relationships/hyperlink" Target="https://techcombank.com/thong-tin/blog/ghi-chep-chi-tieu" TargetMode="External"/><Relationship Id="rId2340" Type="http://schemas.openxmlformats.org/officeDocument/2006/relationships/hyperlink" Target="https://techcombank.com/thong-tin/blog/tai-san-va-tieu-san-la-gi" TargetMode="External"/><Relationship Id="rId1010" Type="http://schemas.openxmlformats.org/officeDocument/2006/relationships/hyperlink" Target="https://techcombank.com/thong-tin/blog/tra-luong-tien-mat" TargetMode="External"/><Relationship Id="rId2341" Type="http://schemas.openxmlformats.org/officeDocument/2006/relationships/hyperlink" Target="https://techcombank.com/thong-tin/blog/thanh-toan-toi-thieu-the-tin-dung" TargetMode="External"/><Relationship Id="rId1011" Type="http://schemas.openxmlformats.org/officeDocument/2006/relationships/hyperlink" Target="https://techcombank.com/thong-tin/blog/so-the-tin-dung" TargetMode="External"/><Relationship Id="rId2342" Type="http://schemas.openxmlformats.org/officeDocument/2006/relationships/hyperlink" Target="https://techcombank.com/thong-tin/blog/fintech-la-gi" TargetMode="External"/><Relationship Id="rId1012" Type="http://schemas.openxmlformats.org/officeDocument/2006/relationships/hyperlink" Target="https://techcombank.com/thong-tin/blog/the-tin-dung-hoan-tien" TargetMode="External"/><Relationship Id="rId2343" Type="http://schemas.openxmlformats.org/officeDocument/2006/relationships/hyperlink" Target="https://techcombank.com/thong-tin/blog/ty-gia-la-gi" TargetMode="External"/><Relationship Id="rId1013" Type="http://schemas.openxmlformats.org/officeDocument/2006/relationships/hyperlink" Target="https://techcombank.com/thong-tin/blog/sang-ngang-the-tin-dung" TargetMode="External"/><Relationship Id="rId2344" Type="http://schemas.openxmlformats.org/officeDocument/2006/relationships/hyperlink" Target="https://techcombank.com/thong-tin/blog/6-chiec-lo-tai-chinh-ca-nhan" TargetMode="External"/><Relationship Id="rId1014" Type="http://schemas.openxmlformats.org/officeDocument/2006/relationships/hyperlink" Target="https://techcombank.com/thong-tin/blog/thanh-toan-online-bang-the-tin-dung" TargetMode="External"/><Relationship Id="rId2345" Type="http://schemas.openxmlformats.org/officeDocument/2006/relationships/hyperlink" Target="https://techcombank.com/thong-tin/blog/quy-trinh-cho-vay-tieu-dung" TargetMode="External"/><Relationship Id="rId1004" Type="http://schemas.openxmlformats.org/officeDocument/2006/relationships/hyperlink" Target="https://techcombank.com/thong-tin/blog/vay-ngan-hang-1-ty-moi-thang-tra-bao-nhieu" TargetMode="External"/><Relationship Id="rId2335" Type="http://schemas.openxmlformats.org/officeDocument/2006/relationships/hyperlink" Target="https://techcombank.com/thong-tin/blog/thu-tuc-vay-von-ngan-hang-de-xay-nha" TargetMode="External"/><Relationship Id="rId1005" Type="http://schemas.openxmlformats.org/officeDocument/2006/relationships/hyperlink" Target="https://techcombank.com/thong-tin/blog/cach-thanh-toan-the-tin-dung" TargetMode="External"/><Relationship Id="rId2336" Type="http://schemas.openxmlformats.org/officeDocument/2006/relationships/hyperlink" Target="https://techcombank.com/thong-tin/blog/du-no-la-gi" TargetMode="External"/><Relationship Id="rId1006" Type="http://schemas.openxmlformats.org/officeDocument/2006/relationships/hyperlink" Target="https://techcombank.com/thong-tin/blog/mua-truoc-tra-sau" TargetMode="External"/><Relationship Id="rId2337" Type="http://schemas.openxmlformats.org/officeDocument/2006/relationships/hyperlink" Target="https://techcombank.com/thong-tin/blog/nguyen-tac-quan-ly-tai-chinh-ca-nhan" TargetMode="External"/><Relationship Id="rId1007" Type="http://schemas.openxmlformats.org/officeDocument/2006/relationships/hyperlink" Target="https://techcombank.com/thong-tin/blog/tra-cuu-han-muc-the-tin-dung" TargetMode="External"/><Relationship Id="rId2338" Type="http://schemas.openxmlformats.org/officeDocument/2006/relationships/hyperlink" Target="https://techcombank.com/thong-tin/blog/5-trieu-mua-duoc-bao-nhieu-vang" TargetMode="External"/><Relationship Id="rId1008" Type="http://schemas.openxmlformats.org/officeDocument/2006/relationships/hyperlink" Target="https://techcombank.com/thong-tin/blog/kich-hoat-the-tin-dung-techcombank" TargetMode="External"/><Relationship Id="rId2339" Type="http://schemas.openxmlformats.org/officeDocument/2006/relationships/hyperlink" Target="https://techcombank.com/thong-tin/blog/quan-ly-tai-chinh-doanh-nghiep-nho" TargetMode="External"/><Relationship Id="rId1009" Type="http://schemas.openxmlformats.org/officeDocument/2006/relationships/hyperlink" Target="https://techcombank.com/thong-tin/blog/cach-kich-hoat-the-atm" TargetMode="External"/><Relationship Id="rId2330" Type="http://schemas.openxmlformats.org/officeDocument/2006/relationships/hyperlink" Target="https://techcombank.com/thong-tin/blog/tat-toan-chung-chi-tien-gui" TargetMode="External"/><Relationship Id="rId1000" Type="http://schemas.openxmlformats.org/officeDocument/2006/relationships/hyperlink" Target="https://techcombank.com/thong-tin/blog/tous-les-jours" TargetMode="External"/><Relationship Id="rId2331" Type="http://schemas.openxmlformats.org/officeDocument/2006/relationships/hyperlink" Target="https://techcombank.com/thong-tin/blog/tai-khoan-ngan-hang-la-gi" TargetMode="External"/><Relationship Id="rId1001" Type="http://schemas.openxmlformats.org/officeDocument/2006/relationships/hyperlink" Target="https://techcombank.com/thong-tin/blog/the-visa-co-can-mat-khau-khong" TargetMode="External"/><Relationship Id="rId2332" Type="http://schemas.openxmlformats.org/officeDocument/2006/relationships/hyperlink" Target="https://techcombank.com/thong-tin/blog/mo-the-tin-dung-khong-can-chung-minh-thu-nhap" TargetMode="External"/><Relationship Id="rId1002" Type="http://schemas.openxmlformats.org/officeDocument/2006/relationships/hyperlink" Target="https://techcombank.com/thong-tin/blog/thanh-toan-cuoc-truyen-hinh" TargetMode="External"/><Relationship Id="rId2333" Type="http://schemas.openxmlformats.org/officeDocument/2006/relationships/hyperlink" Target="https://techcombank.com/thong-tin/blog/tat-toan" TargetMode="External"/><Relationship Id="rId1003" Type="http://schemas.openxmlformats.org/officeDocument/2006/relationships/hyperlink" Target="https://techcombank.com/thong-tin/blog/the-tin-dung-quoc-te" TargetMode="External"/><Relationship Id="rId2334" Type="http://schemas.openxmlformats.org/officeDocument/2006/relationships/hyperlink" Target="https://techcombank.com/thong-tin/blog/so-du-kha-dung" TargetMode="External"/><Relationship Id="rId1037" Type="http://schemas.openxmlformats.org/officeDocument/2006/relationships/hyperlink" Target="https://techcombank.com/thong-tin/blog/nop-thue-hai-quan" TargetMode="External"/><Relationship Id="rId2368" Type="http://schemas.openxmlformats.org/officeDocument/2006/relationships/hyperlink" Target="https://techcombank.com/thong-tin/blog/ngan-hang-xanh" TargetMode="External"/><Relationship Id="rId1038" Type="http://schemas.openxmlformats.org/officeDocument/2006/relationships/hyperlink" Target="https://techcombank.com/thong-tin/blog/in-ma-qr-ngan-hang" TargetMode="External"/><Relationship Id="rId2369" Type="http://schemas.openxmlformats.org/officeDocument/2006/relationships/hyperlink" Target="https://techcombank.com/thong-tin/blog/chung-chi-quy-mo-va-dong" TargetMode="External"/><Relationship Id="rId1039" Type="http://schemas.openxmlformats.org/officeDocument/2006/relationships/hyperlink" Target="https://techcombank.com/thong-tin/blog/cac-loai-the-tin-dung" TargetMode="External"/><Relationship Id="rId206" Type="http://schemas.openxmlformats.org/officeDocument/2006/relationships/hyperlink" Target="https://techcombank.com/thong-tin/blog/nhung-ho-kinh-doanh-duoc-mien-thue" TargetMode="External"/><Relationship Id="rId205" Type="http://schemas.openxmlformats.org/officeDocument/2006/relationships/hyperlink" Target="https://techcombank.com/thong-tin/blog/roa" TargetMode="External"/><Relationship Id="rId204" Type="http://schemas.openxmlformats.org/officeDocument/2006/relationships/hyperlink" Target="https://techcombank.com/thong-tin/blog/khoi-nghiep-truoc-chinh-sach-thue-moi" TargetMode="External"/><Relationship Id="rId203" Type="http://schemas.openxmlformats.org/officeDocument/2006/relationships/hyperlink" Target="https://techcombank.com/thong-tin/blog/lai-suat-chung-chi-quy" TargetMode="External"/><Relationship Id="rId209" Type="http://schemas.openxmlformats.org/officeDocument/2006/relationships/hyperlink" Target="https://techcombank.com/thong-tin/blog/cach-nop-thue-dien-tu" TargetMode="External"/><Relationship Id="rId208" Type="http://schemas.openxmlformats.org/officeDocument/2006/relationships/hyperlink" Target="https://techcombank.com/thong-tin/blog/ho-kinh-doanh-dong-thue-nhu-nao" TargetMode="External"/><Relationship Id="rId207" Type="http://schemas.openxmlformats.org/officeDocument/2006/relationships/hyperlink" Target="https://techcombank.com/thong-tin/blog/toi-uu-hoa-chi-phi-trong-doanh-nghiep" TargetMode="External"/><Relationship Id="rId2360" Type="http://schemas.openxmlformats.org/officeDocument/2006/relationships/hyperlink" Target="https://techcombank.com/thong-tin/blog/the-tin-dung-hoan-tien" TargetMode="External"/><Relationship Id="rId1030" Type="http://schemas.openxmlformats.org/officeDocument/2006/relationships/hyperlink" Target="https://techcombank.com/thong-tin/blog/gui-tiet-kiem-lay-lai-hang-thang" TargetMode="External"/><Relationship Id="rId2361" Type="http://schemas.openxmlformats.org/officeDocument/2006/relationships/hyperlink" Target="https://techcombank.com/thong-tin/blog/bao-hiem-lien-ket-dau-tu" TargetMode="External"/><Relationship Id="rId1031" Type="http://schemas.openxmlformats.org/officeDocument/2006/relationships/hyperlink" Target="https://techcombank.com/thong-tin/blog/the-tin-dung-la-gi" TargetMode="External"/><Relationship Id="rId2362" Type="http://schemas.openxmlformats.org/officeDocument/2006/relationships/hyperlink" Target="https://techcombank.com/thong-tin/blog/anh-sang-cuoi-duong-ham-xuat-hien-trai-phieu-doanh-nghiep-tot-va-an-toan-se-duoc-nha-dau-tu-chon" TargetMode="External"/><Relationship Id="rId1032" Type="http://schemas.openxmlformats.org/officeDocument/2006/relationships/hyperlink" Target="https://techcombank.com/thong-tin/blog/hoan-thue-doanh-nghiep" TargetMode="External"/><Relationship Id="rId2363" Type="http://schemas.openxmlformats.org/officeDocument/2006/relationships/hyperlink" Target="https://techcombank.com/thong-tin/blog/dieu-kien-vay-the-chap" TargetMode="External"/><Relationship Id="rId202" Type="http://schemas.openxmlformats.org/officeDocument/2006/relationships/hyperlink" Target="https://techcombank.com/thong-tin/blog/gia-chung-chi-quy-la-gi" TargetMode="External"/><Relationship Id="rId1033" Type="http://schemas.openxmlformats.org/officeDocument/2006/relationships/hyperlink" Target="https://techcombank.com/thong-tin/blog/cach-huy-the-tin-dung" TargetMode="External"/><Relationship Id="rId2364" Type="http://schemas.openxmlformats.org/officeDocument/2006/relationships/hyperlink" Target="https://techcombank.com/thong-tin/blog/chung-chi-quy-dong" TargetMode="External"/><Relationship Id="rId201" Type="http://schemas.openxmlformats.org/officeDocument/2006/relationships/hyperlink" Target="https://techcombank.com/thong-tin/blog/quan-ly-tai-chinh-doanh-nghiep-la-gi" TargetMode="External"/><Relationship Id="rId1034" Type="http://schemas.openxmlformats.org/officeDocument/2006/relationships/hyperlink" Target="https://techcombank.com/thong-tin/blog/bao-lanh-thuc-hien-hop-dong" TargetMode="External"/><Relationship Id="rId2365" Type="http://schemas.openxmlformats.org/officeDocument/2006/relationships/hyperlink" Target="https://techcombank.com/thong-tin/blog/thu-tuc-vay-von-doanh-nghiep" TargetMode="External"/><Relationship Id="rId200" Type="http://schemas.openxmlformats.org/officeDocument/2006/relationships/hyperlink" Target="https://techcombank.com/thong-tin/blog/tra-cuu-no-thue-doanh-nghiep" TargetMode="External"/><Relationship Id="rId1035" Type="http://schemas.openxmlformats.org/officeDocument/2006/relationships/hyperlink" Target="https://techcombank.com/thong-tin/blog/chuyen-tien-tu-han-sang-viet-nam" TargetMode="External"/><Relationship Id="rId2366" Type="http://schemas.openxmlformats.org/officeDocument/2006/relationships/hyperlink" Target="https://techcombank.com/thong-tin/blog/bao-hiem-sinh-ky-la-gi" TargetMode="External"/><Relationship Id="rId1036" Type="http://schemas.openxmlformats.org/officeDocument/2006/relationships/hyperlink" Target="https://techcombank.com/thong-tin/blog/thanh-toan-tien-dien-bang-the-tin-dung" TargetMode="External"/><Relationship Id="rId2367" Type="http://schemas.openxmlformats.org/officeDocument/2006/relationships/hyperlink" Target="https://techcombank.com/thong-tin/blog/ly-do-ngan-hang-so-tro-thanh-cong-cu-tai-chinh-hang-dau-cua-gioi-tre" TargetMode="External"/><Relationship Id="rId1026" Type="http://schemas.openxmlformats.org/officeDocument/2006/relationships/hyperlink" Target="https://techcombank.com/thong-tin/blog/the-tin-dung-mien-lai-55-ngay" TargetMode="External"/><Relationship Id="rId2357" Type="http://schemas.openxmlformats.org/officeDocument/2006/relationships/hyperlink" Target="https://techcombank.com/thong-tin/blog/cach-tinh-loi-nhuan-chung-chi-tien-gui" TargetMode="External"/><Relationship Id="rId1027" Type="http://schemas.openxmlformats.org/officeDocument/2006/relationships/hyperlink" Target="https://techcombank.com/thong-tin/blog/softpos" TargetMode="External"/><Relationship Id="rId2358" Type="http://schemas.openxmlformats.org/officeDocument/2006/relationships/hyperlink" Target="https://techcombank.com/thong-tin/blog/rut-tien-bao-hiem-nhan-tho-khi-het-han" TargetMode="External"/><Relationship Id="rId1028" Type="http://schemas.openxmlformats.org/officeDocument/2006/relationships/hyperlink" Target="https://techcombank.com/thong-tin/blog/khach-hang-vip-bat-dong-san" TargetMode="External"/><Relationship Id="rId2359" Type="http://schemas.openxmlformats.org/officeDocument/2006/relationships/hyperlink" Target="https://techcombank.com/thong-tin/blog/ho-kinh-doanh-can-gi-o-tai-khoan-ngan-hang" TargetMode="External"/><Relationship Id="rId1029" Type="http://schemas.openxmlformats.org/officeDocument/2006/relationships/hyperlink" Target="https://techcombank.com/thong-tin/blog/uu-dai-mo-the-tin-dung" TargetMode="External"/><Relationship Id="rId2350" Type="http://schemas.openxmlformats.org/officeDocument/2006/relationships/hyperlink" Target="https://techcombank.com/thong-tin/blog/chung-chi-tien-gui-co-phai-la-trai-phieu-khong" TargetMode="External"/><Relationship Id="rId1020" Type="http://schemas.openxmlformats.org/officeDocument/2006/relationships/hyperlink" Target="https://techcombank.com/thong-tin/blog/mo-tai-khoan-ho-kinh-doanh" TargetMode="External"/><Relationship Id="rId2351" Type="http://schemas.openxmlformats.org/officeDocument/2006/relationships/hyperlink" Target="https://techcombank.com/thong-tin/blog/vay-tra-gop" TargetMode="External"/><Relationship Id="rId1021" Type="http://schemas.openxmlformats.org/officeDocument/2006/relationships/hyperlink" Target="https://techcombank.com/thong-tin/blog/voucher-highland" TargetMode="External"/><Relationship Id="rId2352" Type="http://schemas.openxmlformats.org/officeDocument/2006/relationships/hyperlink" Target="https://techcombank.com/thong-tin/blog/tinh-thanh-khoan-la-gi" TargetMode="External"/><Relationship Id="rId1022" Type="http://schemas.openxmlformats.org/officeDocument/2006/relationships/hyperlink" Target="https://techcombank.com/thong-tin/blog/tien-singapore" TargetMode="External"/><Relationship Id="rId2353" Type="http://schemas.openxmlformats.org/officeDocument/2006/relationships/hyperlink" Target="https://techcombank.com/thong-tin/blog/kinh-nghiem-mua-vang-tich-tru" TargetMode="External"/><Relationship Id="rId1023" Type="http://schemas.openxmlformats.org/officeDocument/2006/relationships/hyperlink" Target="https://techcombank.com/thong-tin/blog/merchant-portal" TargetMode="External"/><Relationship Id="rId2354" Type="http://schemas.openxmlformats.org/officeDocument/2006/relationships/hyperlink" Target="https://techcombank.com/thong-tin/blog/mo-tai-khoan-ngan-hang-cho-tre-em" TargetMode="External"/><Relationship Id="rId1024" Type="http://schemas.openxmlformats.org/officeDocument/2006/relationships/hyperlink" Target="https://techcombank.com/thong-tin/blog/mo-the-tin-dung-co-loi-ich-gi" TargetMode="External"/><Relationship Id="rId2355" Type="http://schemas.openxmlformats.org/officeDocument/2006/relationships/hyperlink" Target="https://techcombank.com/thong-tin/blog/1000-yen-bang-bao-nhieu-tien-viet" TargetMode="External"/><Relationship Id="rId1025" Type="http://schemas.openxmlformats.org/officeDocument/2006/relationships/hyperlink" Target="https://techcombank.com/thong-tin/blog/lam-the-tin-dung" TargetMode="External"/><Relationship Id="rId2356" Type="http://schemas.openxmlformats.org/officeDocument/2006/relationships/hyperlink" Target="https://techcombank.com/thong-tin/blog/vay-tin-chap-theo-luong" TargetMode="External"/><Relationship Id="rId1910" Type="http://schemas.openxmlformats.org/officeDocument/2006/relationships/hyperlink" Target="https://techcombank.com/thong-tin/blog/thanh-toan-khong-dung-tien-mat" TargetMode="External"/><Relationship Id="rId1911" Type="http://schemas.openxmlformats.org/officeDocument/2006/relationships/hyperlink" Target="https://techcombank.com/thong-tin/blog/mo-tai-khoan-ho-kinh-doanh" TargetMode="External"/><Relationship Id="rId1912" Type="http://schemas.openxmlformats.org/officeDocument/2006/relationships/hyperlink" Target="https://techcombank.com/thong-tin/blog/nhung-chi-phi-khong-duoc-tru-khi-tinh-thue-tndn" TargetMode="External"/><Relationship Id="rId1913" Type="http://schemas.openxmlformats.org/officeDocument/2006/relationships/hyperlink" Target="https://techcombank.com/thong-tin/blog/giai-dap-ve-thue-doanh-nghiep" TargetMode="External"/><Relationship Id="rId1914" Type="http://schemas.openxmlformats.org/officeDocument/2006/relationships/hyperlink" Target="https://techcombank.com/thong-tin/blog/nen-thanh-lap-ho-kinh-doanh-ke-khai-hay-doanh-nghiep" TargetMode="External"/><Relationship Id="rId1915" Type="http://schemas.openxmlformats.org/officeDocument/2006/relationships/hyperlink" Target="https://techcombank.com/thong-tin/blog/nop-thue-dat-qua-ngan-hang" TargetMode="External"/><Relationship Id="rId1916" Type="http://schemas.openxmlformats.org/officeDocument/2006/relationships/hyperlink" Target="https://techcombank.com/thong-tin/blog/vay-tin-chap-ho-kinh-doanh" TargetMode="External"/><Relationship Id="rId1917" Type="http://schemas.openxmlformats.org/officeDocument/2006/relationships/hyperlink" Target="https://techcombank.com/thong-tin/blog/tra-cuu-no-thue-ho-kinh-doanh" TargetMode="External"/><Relationship Id="rId1918" Type="http://schemas.openxmlformats.org/officeDocument/2006/relationships/hyperlink" Target="https://techcombank.com/thong-tin/blog/lien-ket-tai-khoan-ngan-hang-voi-etax-mobile" TargetMode="External"/><Relationship Id="rId1919" Type="http://schemas.openxmlformats.org/officeDocument/2006/relationships/hyperlink" Target="https://techcombank.com/thong-tin/blog/thu-tuc-vay-von-kinh-doanh-nho" TargetMode="External"/><Relationship Id="rId1900" Type="http://schemas.openxmlformats.org/officeDocument/2006/relationships/hyperlink" Target="https://techcombank.com/thong-tin/blog/kiem-tra-thue-thu-nhap-ca-nhan" TargetMode="External"/><Relationship Id="rId1901" Type="http://schemas.openxmlformats.org/officeDocument/2006/relationships/hyperlink" Target="https://techcombank.com/thong-tin/blog/loi-ich-khi-ho-kinh-doanh-chuyen-len-doanh-nghiep" TargetMode="External"/><Relationship Id="rId1902" Type="http://schemas.openxmlformats.org/officeDocument/2006/relationships/hyperlink" Target="https://techcombank.com/thong-tin/blog/tiem-nang-chuyen-doi-tu-ho-kinh-doanh-len-doanh-nghiep-sme" TargetMode="External"/><Relationship Id="rId1903" Type="http://schemas.openxmlformats.org/officeDocument/2006/relationships/hyperlink" Target="https://techcombank.com/thong-tin/blog/kinh-nghiem-chuyen-doi-tu-ho-kinh-doanh-len-doanh-nghiep" TargetMode="External"/><Relationship Id="rId1904" Type="http://schemas.openxmlformats.org/officeDocument/2006/relationships/hyperlink" Target="https://techcombank.com/thong-tin/blog/cach-tinh-thue-thu-nhap-doanh-nghiep" TargetMode="External"/><Relationship Id="rId1905" Type="http://schemas.openxmlformats.org/officeDocument/2006/relationships/hyperlink" Target="https://techcombank.com/thong-tin/blog/lai-suat-vay-kinh-doanh" TargetMode="External"/><Relationship Id="rId1906" Type="http://schemas.openxmlformats.org/officeDocument/2006/relationships/hyperlink" Target="https://techcombank.com/thong-tin/blog/khoi-nghiep-truoc-chinh-sach-thue-moi" TargetMode="External"/><Relationship Id="rId1907" Type="http://schemas.openxmlformats.org/officeDocument/2006/relationships/hyperlink" Target="https://techcombank.com/thong-tin/blog/cach-tra-cuu-hoa-don-dien-tu" TargetMode="External"/><Relationship Id="rId1908" Type="http://schemas.openxmlformats.org/officeDocument/2006/relationships/hyperlink" Target="https://techcombank.com/thong-tin/blog/tra-cuu-no-thue-hai-quan" TargetMode="External"/><Relationship Id="rId1909" Type="http://schemas.openxmlformats.org/officeDocument/2006/relationships/hyperlink" Target="https://techcombank.com/thong-tin/blog/chuyen-doi-ho-kinh-doanh-len-doanh-nghiep" TargetMode="External"/><Relationship Id="rId1090" Type="http://schemas.openxmlformats.org/officeDocument/2006/relationships/hyperlink" Target="https://techcombank.com/thong-tin/blog/thanh-toan-ve-may-bay-online" TargetMode="External"/><Relationship Id="rId1091" Type="http://schemas.openxmlformats.org/officeDocument/2006/relationships/hyperlink" Target="https://techcombank.com/thong-tin/blog/vay-15-trieu" TargetMode="External"/><Relationship Id="rId1092" Type="http://schemas.openxmlformats.org/officeDocument/2006/relationships/hyperlink" Target="https://techcombank.com/thong-tin/blog/thu-tuc-vay-von-ngan-hang-de-xay-nha" TargetMode="External"/><Relationship Id="rId1093" Type="http://schemas.openxmlformats.org/officeDocument/2006/relationships/hyperlink" Target="https://techcombank.com/thong-tin/blog/tat-toan-so-tiet-kiem" TargetMode="External"/><Relationship Id="rId1094" Type="http://schemas.openxmlformats.org/officeDocument/2006/relationships/hyperlink" Target="https://techcombank.com/thong-tin/blog/tin-chap-doanh-nghiep" TargetMode="External"/><Relationship Id="rId1095" Type="http://schemas.openxmlformats.org/officeDocument/2006/relationships/hyperlink" Target="https://techcombank.com/thong-tin/blog/thu-tuc-chuyen-tien-ra-nuoc-ngoai" TargetMode="External"/><Relationship Id="rId1096" Type="http://schemas.openxmlformats.org/officeDocument/2006/relationships/hyperlink" Target="https://techcombank.com/thong-tin/blog/qr-dong" TargetMode="External"/><Relationship Id="rId1097" Type="http://schemas.openxmlformats.org/officeDocument/2006/relationships/hyperlink" Target="https://techcombank.com/thong-tin/blog/so-the-ngan-hang" TargetMode="External"/><Relationship Id="rId1098" Type="http://schemas.openxmlformats.org/officeDocument/2006/relationships/hyperlink" Target="https://techcombank.com/thong-tin/blog/vay-tin-chap-toi-da-duoc-bao-nhieu" TargetMode="External"/><Relationship Id="rId1099" Type="http://schemas.openxmlformats.org/officeDocument/2006/relationships/hyperlink" Target="https://techcombank.com/thong-tin/blog/bao-hiem-vat-chat-xe-o-to" TargetMode="External"/><Relationship Id="rId1080" Type="http://schemas.openxmlformats.org/officeDocument/2006/relationships/hyperlink" Target="https://techcombank.com/thong-tin/blog/cho-vay-kinh-doanh-ho-gia-dinh" TargetMode="External"/><Relationship Id="rId1081" Type="http://schemas.openxmlformats.org/officeDocument/2006/relationships/hyperlink" Target="https://techcombank.com/thong-tin/blog/cua-hang-tien-loi" TargetMode="External"/><Relationship Id="rId1082" Type="http://schemas.openxmlformats.org/officeDocument/2006/relationships/hyperlink" Target="https://techcombank.com/thong-tin/blog/app-dong-tien-dien-online" TargetMode="External"/><Relationship Id="rId1083" Type="http://schemas.openxmlformats.org/officeDocument/2006/relationships/hyperlink" Target="https://techcombank.com/thong-tin/blog/lam-the-visa-online" TargetMode="External"/><Relationship Id="rId1084" Type="http://schemas.openxmlformats.org/officeDocument/2006/relationships/hyperlink" Target="https://techcombank.com/thong-tin/blog/dat-ve-may-bay" TargetMode="External"/><Relationship Id="rId1085" Type="http://schemas.openxmlformats.org/officeDocument/2006/relationships/hyperlink" Target="https://techcombank.com/thong-tin/blog/remittance-la-gi" TargetMode="External"/><Relationship Id="rId1086" Type="http://schemas.openxmlformats.org/officeDocument/2006/relationships/hyperlink" Target="https://techcombank.com/thong-tin/blog/cach-tao-ma-qr" TargetMode="External"/><Relationship Id="rId1087" Type="http://schemas.openxmlformats.org/officeDocument/2006/relationships/hyperlink" Target="https://techcombank.com/thong-tin/blog/the-visa-co-thanh-toan-quoc-te-duoc-khong" TargetMode="External"/><Relationship Id="rId1088" Type="http://schemas.openxmlformats.org/officeDocument/2006/relationships/hyperlink" Target="https://techcombank.com/thong-tin/blog/vay-mua-dien-thoai" TargetMode="External"/><Relationship Id="rId1089" Type="http://schemas.openxmlformats.org/officeDocument/2006/relationships/hyperlink" Target="https://techcombank.com/thong-tin/blog/ten-dang-nhap-tai-khoan-ngan-hang-la-gi" TargetMode="External"/><Relationship Id="rId1972" Type="http://schemas.openxmlformats.org/officeDocument/2006/relationships/hyperlink" Target="https://techcombank.com/thong-tin/blog/in-ma-qr-ngan-hang" TargetMode="External"/><Relationship Id="rId1973" Type="http://schemas.openxmlformats.org/officeDocument/2006/relationships/hyperlink" Target="https://techcombank.com/thong-tin/blog/lo-ma-qr-ngan-hang-co-sao-khong" TargetMode="External"/><Relationship Id="rId1974" Type="http://schemas.openxmlformats.org/officeDocument/2006/relationships/hyperlink" Target="https://techcombank.com/thong-tin/blog/lam-ma-qr-ngan-hang-co-mat-phi-khong" TargetMode="External"/><Relationship Id="rId1975" Type="http://schemas.openxmlformats.org/officeDocument/2006/relationships/hyperlink" Target="https://techcombank.com/thong-tin/blog/ma-qr-ngan-hang-khong-hop-le" TargetMode="External"/><Relationship Id="rId1976" Type="http://schemas.openxmlformats.org/officeDocument/2006/relationships/hyperlink" Target="https://techcombank.com/thong-tin/blog/quet-ma-qr-techcombank" TargetMode="External"/><Relationship Id="rId1977" Type="http://schemas.openxmlformats.org/officeDocument/2006/relationships/hyperlink" Target="https://techcombank.com/thong-tin/blog/tao-ma-qr-thanh-toan-cho-cua-hang" TargetMode="External"/><Relationship Id="rId1978" Type="http://schemas.openxmlformats.org/officeDocument/2006/relationships/hyperlink" Target="https://techcombank.com/thong-tin/blog/pos" TargetMode="External"/><Relationship Id="rId1979" Type="http://schemas.openxmlformats.org/officeDocument/2006/relationships/hyperlink" Target="https://techcombank.com/thong-tin/blog/phi-rut-tien-mat-the-tin-dung" TargetMode="External"/><Relationship Id="rId1970" Type="http://schemas.openxmlformats.org/officeDocument/2006/relationships/hyperlink" Target="https://techcombank.com/thong-tin/blog/dang-ky-kinh-doanh-la-gi" TargetMode="External"/><Relationship Id="rId1971" Type="http://schemas.openxmlformats.org/officeDocument/2006/relationships/hyperlink" Target="https://techcombank.com/thong-tin/blog/cach-tao-ma-qr" TargetMode="External"/><Relationship Id="rId1961" Type="http://schemas.openxmlformats.org/officeDocument/2006/relationships/hyperlink" Target="https://techcombank.com/thong-tin/blog/top-phan-mem-ban-hang" TargetMode="External"/><Relationship Id="rId1962" Type="http://schemas.openxmlformats.org/officeDocument/2006/relationships/hyperlink" Target="https://techcombank.com/thong-tin/blog/thue-phi-co-dinh-khi-chuyen-doi-tu-ho-kinh-doanh-len-doanh-nghiep" TargetMode="External"/><Relationship Id="rId1963" Type="http://schemas.openxmlformats.org/officeDocument/2006/relationships/hyperlink" Target="https://techcombank.com/thong-tin/blog/ho-kinh-doanh-ca-the" TargetMode="External"/><Relationship Id="rId1964" Type="http://schemas.openxmlformats.org/officeDocument/2006/relationships/hyperlink" Target="https://techcombank.com/thong-tin/blog/cac-sai-lam-pho-bien-khi-chuyen-doi-ho-kinh-doanh-len-sme" TargetMode="External"/><Relationship Id="rId1965" Type="http://schemas.openxmlformats.org/officeDocument/2006/relationships/hyperlink" Target="https://techcombank.com/thong-tin/blog/tim-hieu-ve-chinh-sach-thue-moi" TargetMode="External"/><Relationship Id="rId1966" Type="http://schemas.openxmlformats.org/officeDocument/2006/relationships/hyperlink" Target="https://techcombank.com/thong-tin/blog/chuyen-doi-ho-kinh-doanh-len-doanh-nghiep" TargetMode="External"/><Relationship Id="rId1967" Type="http://schemas.openxmlformats.org/officeDocument/2006/relationships/hyperlink" Target="https://techcombank.com/thong-tin/blog/nen-thanh-lap-ho-kinh-doanh-ke-khai-hay-doanh-nghiep" TargetMode="External"/><Relationship Id="rId1968" Type="http://schemas.openxmlformats.org/officeDocument/2006/relationships/hyperlink" Target="https://techcombank.com/thong-tin/blog/tiem-nang-chuyen-doi-tu-ho-kinh-doanh-len-doanh-nghiep-sme" TargetMode="External"/><Relationship Id="rId1969" Type="http://schemas.openxmlformats.org/officeDocument/2006/relationships/hyperlink" Target="https://techcombank.com/thong-tin/blog/giay-phep-kinh-doanh" TargetMode="External"/><Relationship Id="rId1960" Type="http://schemas.openxmlformats.org/officeDocument/2006/relationships/hyperlink" Target="https://techcombank.com/thong-tin/blog/tieu-dung-ben-vung" TargetMode="External"/><Relationship Id="rId1994" Type="http://schemas.openxmlformats.org/officeDocument/2006/relationships/hyperlink" Target="https://techcombank.com/thong-tin/blog/cach-chuyen-tien" TargetMode="External"/><Relationship Id="rId1995" Type="http://schemas.openxmlformats.org/officeDocument/2006/relationships/hyperlink" Target="https://techcombank.com/thong-tin/blog/cach-chuyen-tien-qua-ma-qr-techcombank" TargetMode="External"/><Relationship Id="rId1996" Type="http://schemas.openxmlformats.org/officeDocument/2006/relationships/hyperlink" Target="https://techcombank.com/thong-tin/blog/thanh-toan-qr-thai-lan" TargetMode="External"/><Relationship Id="rId1997" Type="http://schemas.openxmlformats.org/officeDocument/2006/relationships/hyperlink" Target="https://techcombank.com/thong-tin/blog/one-stop-shop" TargetMode="External"/><Relationship Id="rId1998" Type="http://schemas.openxmlformats.org/officeDocument/2006/relationships/hyperlink" Target="https://techcombank.com/thong-tin/blog/loa-thong-bao-chuyen-khoan" TargetMode="External"/><Relationship Id="rId1999" Type="http://schemas.openxmlformats.org/officeDocument/2006/relationships/hyperlink" Target="https://techcombank.com/thong-tin/blog/top-phan-mem-ban-hang" TargetMode="External"/><Relationship Id="rId1990" Type="http://schemas.openxmlformats.org/officeDocument/2006/relationships/hyperlink" Target="https://techcombank.com/thong-tin/blog/qr-code-phuong-thuc-thanh-toan-toi-uu-trong-ky-nguyen-so" TargetMode="External"/><Relationship Id="rId1991" Type="http://schemas.openxmlformats.org/officeDocument/2006/relationships/hyperlink" Target="https://techcombank.com/thong-tin/blog/rut-tien-bang-ma-qr-la-gi-cach-thuc-hien-nhu-the-nao" TargetMode="External"/><Relationship Id="rId1992" Type="http://schemas.openxmlformats.org/officeDocument/2006/relationships/hyperlink" Target="https://techcombank.com/thong-tin/blog/cach-chuyen-khoan-bang-dien-thoai" TargetMode="External"/><Relationship Id="rId1993" Type="http://schemas.openxmlformats.org/officeDocument/2006/relationships/hyperlink" Target="https://techcombank.com/thong-tin/blog/cach-rut-tien-atm" TargetMode="External"/><Relationship Id="rId1983" Type="http://schemas.openxmlformats.org/officeDocument/2006/relationships/hyperlink" Target="https://techcombank.com/thong-tin/blog/so-sanh-ma-qr-va-ma-vach" TargetMode="External"/><Relationship Id="rId1984" Type="http://schemas.openxmlformats.org/officeDocument/2006/relationships/hyperlink" Target="https://techcombank.com/thong-tin/blog/qr-code-doanh-nghiep" TargetMode="External"/><Relationship Id="rId1985" Type="http://schemas.openxmlformats.org/officeDocument/2006/relationships/hyperlink" Target="https://techcombank.com/thong-tin/blog/thanh-toan-bang-ma-qr" TargetMode="External"/><Relationship Id="rId1986" Type="http://schemas.openxmlformats.org/officeDocument/2006/relationships/hyperlink" Target="https://techcombank.com/thong-tin/blog/thanh-toan-truc-tuyen" TargetMode="External"/><Relationship Id="rId1987" Type="http://schemas.openxmlformats.org/officeDocument/2006/relationships/hyperlink" Target="https://techcombank.com/thong-tin/blog/qr-dong" TargetMode="External"/><Relationship Id="rId1988" Type="http://schemas.openxmlformats.org/officeDocument/2006/relationships/hyperlink" Target="https://techcombank.com/thong-tin/blog/rut-tien-bang-ma-qr-khac-ngan-hang-duoc-khong" TargetMode="External"/><Relationship Id="rId1989" Type="http://schemas.openxmlformats.org/officeDocument/2006/relationships/hyperlink" Target="https://techcombank.com/thong-tin/blog/thanh-toan-ma-qr-tro-thanh-phuong-thuc-duoc-ua-chuong-va-trien-khai-manh-me" TargetMode="External"/><Relationship Id="rId1980" Type="http://schemas.openxmlformats.org/officeDocument/2006/relationships/hyperlink" Target="https://techcombank.com/thong-tin/blog/merchant-la-gi" TargetMode="External"/><Relationship Id="rId1981" Type="http://schemas.openxmlformats.org/officeDocument/2006/relationships/hyperlink" Target="https://techcombank.com/thong-tin/blog/mo-tai-khoan-ho-kinh-doanh" TargetMode="External"/><Relationship Id="rId1982" Type="http://schemas.openxmlformats.org/officeDocument/2006/relationships/hyperlink" Target="https://techcombank.com/thong-tin/blog/ma-qr-techcombank" TargetMode="External"/><Relationship Id="rId1930" Type="http://schemas.openxmlformats.org/officeDocument/2006/relationships/hyperlink" Target="https://techcombank.com/thong-tin/blog/merchant-la-gi" TargetMode="External"/><Relationship Id="rId1931" Type="http://schemas.openxmlformats.org/officeDocument/2006/relationships/hyperlink" Target="https://techcombank.com/thong-tin/blog/hieu-hiet-ve-tuan-thu-thue-cho-cac-doanh-nghiep-khoi-nghiep" TargetMode="External"/><Relationship Id="rId1932" Type="http://schemas.openxmlformats.org/officeDocument/2006/relationships/hyperlink" Target="https://techcombank.com/thong-tin/blog/barcode-la-gi" TargetMode="External"/><Relationship Id="rId1933" Type="http://schemas.openxmlformats.org/officeDocument/2006/relationships/hyperlink" Target="https://techcombank.com/thong-tin/blog/tra-cuu-ma-so-thue-ho-kinh-doanh" TargetMode="External"/><Relationship Id="rId1934" Type="http://schemas.openxmlformats.org/officeDocument/2006/relationships/hyperlink" Target="https://techcombank.com/thong-tin/blog/dang-ky-thue-ho-kinh-doanh-ca-the-online" TargetMode="External"/><Relationship Id="rId1935" Type="http://schemas.openxmlformats.org/officeDocument/2006/relationships/hyperlink" Target="https://techcombank.com/thong-tin/blog/chuyen-doi-so-ho-kinh-doanh" TargetMode="External"/><Relationship Id="rId1936" Type="http://schemas.openxmlformats.org/officeDocument/2006/relationships/hyperlink" Target="https://techcombank.com/thong-tin/blog/chinh-sach-thue-moi" TargetMode="External"/><Relationship Id="rId1937" Type="http://schemas.openxmlformats.org/officeDocument/2006/relationships/hyperlink" Target="https://techcombank.com/thong-tin/blog/hoa-don-dien-tu" TargetMode="External"/><Relationship Id="rId1938" Type="http://schemas.openxmlformats.org/officeDocument/2006/relationships/hyperlink" Target="https://techcombank.com/thong-tin/blog/luat-thuong-mai-dien-tu" TargetMode="External"/><Relationship Id="rId1939" Type="http://schemas.openxmlformats.org/officeDocument/2006/relationships/hyperlink" Target="https://techcombank.com/thong-tin/blog/ke-khai-thue-ho-kinh-doanh-ca-the-online" TargetMode="External"/><Relationship Id="rId1920" Type="http://schemas.openxmlformats.org/officeDocument/2006/relationships/hyperlink" Target="https://techcombank.com/thong-tin/blog/kiem-tra-thue-ho-kinh-doanh" TargetMode="External"/><Relationship Id="rId1921" Type="http://schemas.openxmlformats.org/officeDocument/2006/relationships/hyperlink" Target="https://techcombank.com/thong-tin/blog/cac-sai-lam-pho-bien-khi-chuyen-doi-ho-kinh-doanh-len-sme" TargetMode="External"/><Relationship Id="rId1922" Type="http://schemas.openxmlformats.org/officeDocument/2006/relationships/hyperlink" Target="https://techcombank.com/thong-tin/blog/giay-phep-kinh-doanh" TargetMode="External"/><Relationship Id="rId1923" Type="http://schemas.openxmlformats.org/officeDocument/2006/relationships/hyperlink" Target="https://techcombank.com/thong-tin/blog/tra-cuu-no-thue-ca-nhan" TargetMode="External"/><Relationship Id="rId1924" Type="http://schemas.openxmlformats.org/officeDocument/2006/relationships/hyperlink" Target="https://techcombank.com/thong-tin/blog/chuyen-doi-hoa-don-dien-tu" TargetMode="External"/><Relationship Id="rId1925" Type="http://schemas.openxmlformats.org/officeDocument/2006/relationships/hyperlink" Target="https://techcombank.com/thong-tin/blog/khai-bao-tai-khoan-ngan-hang-voi-co-quan-thue" TargetMode="External"/><Relationship Id="rId1926" Type="http://schemas.openxmlformats.org/officeDocument/2006/relationships/hyperlink" Target="https://techcombank.com/thong-tin/blog/dang-ky-kinh-doanh-la-gi" TargetMode="External"/><Relationship Id="rId1927" Type="http://schemas.openxmlformats.org/officeDocument/2006/relationships/hyperlink" Target="https://techcombank.com/thong-tin/blog/thay-doi-dia-chi-ho-kinh-doanh" TargetMode="External"/><Relationship Id="rId1928" Type="http://schemas.openxmlformats.org/officeDocument/2006/relationships/hyperlink" Target="https://techcombank.com/thong-tin/blog/cach-dang-ky-ma-so-thue-ho-kinh-doanh-online" TargetMode="External"/><Relationship Id="rId1929" Type="http://schemas.openxmlformats.org/officeDocument/2006/relationships/hyperlink" Target="https://techcombank.com/thong-tin/blog/luu-y-khi-chuyen-doi-tu-ho-kinh-doanh-len-doanh-nghiep" TargetMode="External"/><Relationship Id="rId1950" Type="http://schemas.openxmlformats.org/officeDocument/2006/relationships/hyperlink" Target="https://techcombank.com/thong-tin/blog/kinh-nghiem-chuyen-doi-tu-ho-kinh-doanh-len-doanh-nghiep" TargetMode="External"/><Relationship Id="rId1951" Type="http://schemas.openxmlformats.org/officeDocument/2006/relationships/hyperlink" Target="https://techcombank.com/thong-tin/blog/thanh-toan-bang-ma-qr" TargetMode="External"/><Relationship Id="rId1952" Type="http://schemas.openxmlformats.org/officeDocument/2006/relationships/hyperlink" Target="https://techcombank.com/thong-tin/blog/vay-ngan-han" TargetMode="External"/><Relationship Id="rId1953" Type="http://schemas.openxmlformats.org/officeDocument/2006/relationships/hyperlink" Target="https://techcombank.com/thong-tin/blog/chuyen-doi-xanh" TargetMode="External"/><Relationship Id="rId1954" Type="http://schemas.openxmlformats.org/officeDocument/2006/relationships/hyperlink" Target="https://techcombank.com/thong-tin/blog/gia-cao-su" TargetMode="External"/><Relationship Id="rId1955" Type="http://schemas.openxmlformats.org/officeDocument/2006/relationships/hyperlink" Target="https://techcombank.com/thong-tin/blog/dang-ky-thue-ho-kinh-doanh-ca-the-online" TargetMode="External"/><Relationship Id="rId1956" Type="http://schemas.openxmlformats.org/officeDocument/2006/relationships/hyperlink" Target="https://techcombank.com/thong-tin/blog/huong-dan-dang-ky-thanh-lap-doanh-nghiep" TargetMode="External"/><Relationship Id="rId1957" Type="http://schemas.openxmlformats.org/officeDocument/2006/relationships/hyperlink" Target="https://techcombank.com/thong-tin/blog/mo-tai-khoan-ho-kinh-doanh" TargetMode="External"/><Relationship Id="rId1958" Type="http://schemas.openxmlformats.org/officeDocument/2006/relationships/hyperlink" Target="https://techcombank.com/thong-tin/blog/quan-ly-chuoi-cua-hang" TargetMode="External"/><Relationship Id="rId1959" Type="http://schemas.openxmlformats.org/officeDocument/2006/relationships/hyperlink" Target="https://techcombank.com/thong-tin/blog/tra-cuu-ma-so-thue-ho-kinh-doanh" TargetMode="External"/><Relationship Id="rId1940" Type="http://schemas.openxmlformats.org/officeDocument/2006/relationships/hyperlink" Target="https://techcombank.com/thong-tin/blog/vay-the-chap-kinh-doanh" TargetMode="External"/><Relationship Id="rId1941" Type="http://schemas.openxmlformats.org/officeDocument/2006/relationships/hyperlink" Target="https://techcombank.com/thong-tin/blog/nhuong-quyen-la-gi" TargetMode="External"/><Relationship Id="rId1942" Type="http://schemas.openxmlformats.org/officeDocument/2006/relationships/hyperlink" Target="https://techcombank.com/thong-tin/blog/kinh-doanh-online" TargetMode="External"/><Relationship Id="rId1943" Type="http://schemas.openxmlformats.org/officeDocument/2006/relationships/hyperlink" Target="https://techcombank.com/thong-tin/blog/one-stop-shop" TargetMode="External"/><Relationship Id="rId1944" Type="http://schemas.openxmlformats.org/officeDocument/2006/relationships/hyperlink" Target="https://techcombank.com/thong-tin/blog/cac-loai-hinh-doanh-nghiep" TargetMode="External"/><Relationship Id="rId1945" Type="http://schemas.openxmlformats.org/officeDocument/2006/relationships/hyperlink" Target="https://techcombank.com/thong-tin/blog/dao-tao-the-he-ke-can" TargetMode="External"/><Relationship Id="rId1946" Type="http://schemas.openxmlformats.org/officeDocument/2006/relationships/hyperlink" Target="https://techcombank.com/thong-tin/blog/roa" TargetMode="External"/><Relationship Id="rId1947" Type="http://schemas.openxmlformats.org/officeDocument/2006/relationships/hyperlink" Target="https://techcombank.com/thong-tin/blog/softpos" TargetMode="External"/><Relationship Id="rId1948" Type="http://schemas.openxmlformats.org/officeDocument/2006/relationships/hyperlink" Target="https://techcombank.com/thong-tin/blog/pos" TargetMode="External"/><Relationship Id="rId1949" Type="http://schemas.openxmlformats.org/officeDocument/2006/relationships/hyperlink" Target="https://techcombank.com/thong-tin/blog/nim-la-gi" TargetMode="External"/><Relationship Id="rId2423" Type="http://schemas.openxmlformats.org/officeDocument/2006/relationships/hyperlink" Target="https://techcombank.com/thong-tin/blog/gui-tiet-kiem-usd" TargetMode="External"/><Relationship Id="rId2424" Type="http://schemas.openxmlformats.org/officeDocument/2006/relationships/hyperlink" Target="https://techcombank.com/thong-tin/blog/lai-suat-chung-chi-tien-gui-cac-ngan-hang" TargetMode="External"/><Relationship Id="rId2425" Type="http://schemas.openxmlformats.org/officeDocument/2006/relationships/hyperlink" Target="https://techcombank.com/thong-tin/blog/so-tiet-kiem-ngan-hang" TargetMode="External"/><Relationship Id="rId2426" Type="http://schemas.openxmlformats.org/officeDocument/2006/relationships/hyperlink" Target="https://techcombank.com/thong-tin/blog/app-gui-tien-tiet-kiem" TargetMode="External"/><Relationship Id="rId2427" Type="http://schemas.openxmlformats.org/officeDocument/2006/relationships/hyperlink" Target="https://techcombank.com/thong-tin/blog/bi-quyet-tiet-kiem-tien-mua-nha" TargetMode="External"/><Relationship Id="rId2428" Type="http://schemas.openxmlformats.org/officeDocument/2006/relationships/hyperlink" Target="https://techcombank.com/thong-tin/blog/tat-toan-so-tiet-kiem" TargetMode="External"/><Relationship Id="rId2429" Type="http://schemas.openxmlformats.org/officeDocument/2006/relationships/hyperlink" Target="https://techcombank.com/thong-tin/blog/tra-gop-shopee" TargetMode="External"/><Relationship Id="rId509" Type="http://schemas.openxmlformats.org/officeDocument/2006/relationships/hyperlink" Target="https://techcombank.com/thong-tin/blog/nhung-chi-phi-khong-duoc-tru-khi-tinh-thue-tndn" TargetMode="External"/><Relationship Id="rId508" Type="http://schemas.openxmlformats.org/officeDocument/2006/relationships/hyperlink" Target="https://techcombank.com/thong-tin/blog/thue-phi-co-dinh-khi-chuyen-doi-tu-ho-kinh-doanh-len-doanh-nghiep" TargetMode="External"/><Relationship Id="rId503" Type="http://schemas.openxmlformats.org/officeDocument/2006/relationships/hyperlink" Target="https://techcombank.com/thong-tin/blog/vay-mua-nha-o-xa-hoi" TargetMode="External"/><Relationship Id="rId502" Type="http://schemas.openxmlformats.org/officeDocument/2006/relationships/hyperlink" Target="https://techcombank.com/thong-tin/blog/dong-ma-so-thue-ho-kinh-doanh" TargetMode="External"/><Relationship Id="rId501" Type="http://schemas.openxmlformats.org/officeDocument/2006/relationships/hyperlink" Target="https://techcombank.com/thong-tin/blog/co-100-trieu-co-mua-nen-mua-tra-gop" TargetMode="External"/><Relationship Id="rId500" Type="http://schemas.openxmlformats.org/officeDocument/2006/relationships/hyperlink" Target="https://techcombank.com/thong-tin/blog/nop-thue-dat-qua-ngan-hang" TargetMode="External"/><Relationship Id="rId507" Type="http://schemas.openxmlformats.org/officeDocument/2006/relationships/hyperlink" Target="https://techcombank.com/thong-tin/blog/hoa-don-dien-tu" TargetMode="External"/><Relationship Id="rId506" Type="http://schemas.openxmlformats.org/officeDocument/2006/relationships/hyperlink" Target="https://techcombank.com/thong-tin/blog/truy-thu-thue-ho-kinh-doanh" TargetMode="External"/><Relationship Id="rId505" Type="http://schemas.openxmlformats.org/officeDocument/2006/relationships/hyperlink" Target="https://techcombank.com/thong-tin/blog/mo-the-tin-dung-khong-can-chung-minh-thu-nhap" TargetMode="External"/><Relationship Id="rId504" Type="http://schemas.openxmlformats.org/officeDocument/2006/relationships/hyperlink" Target="https://techcombank.com/thong-tin/blog/vay-tien-online" TargetMode="External"/><Relationship Id="rId2420" Type="http://schemas.openxmlformats.org/officeDocument/2006/relationships/hyperlink" Target="https://techcombank.com/thong-tin/blog/vay-tin-chap-la-gi" TargetMode="External"/><Relationship Id="rId2421" Type="http://schemas.openxmlformats.org/officeDocument/2006/relationships/hyperlink" Target="https://techcombank.com/thong-tin/blog/tien-gui-co-ky-han" TargetMode="External"/><Relationship Id="rId2422" Type="http://schemas.openxmlformats.org/officeDocument/2006/relationships/hyperlink" Target="https://techcombank.com/thong-tin/blog/lai-suat-gui-tiet-kiem-usd" TargetMode="External"/><Relationship Id="rId2412" Type="http://schemas.openxmlformats.org/officeDocument/2006/relationships/hyperlink" Target="https://techcombank.com/thong-tin/blog/gui-tiet-kiem-online-co-rut-truoc-han-duoc-khong" TargetMode="External"/><Relationship Id="rId2413" Type="http://schemas.openxmlformats.org/officeDocument/2006/relationships/hyperlink" Target="https://techcombank.com/thong-tin/blog/chung-chi-tien-gui-khac-gi-so-tiet-kiem" TargetMode="External"/><Relationship Id="rId2414" Type="http://schemas.openxmlformats.org/officeDocument/2006/relationships/hyperlink" Target="https://techcombank.com/thong-tin/blog/rut-tien-mat-tu-the-tin-dung" TargetMode="External"/><Relationship Id="rId2415" Type="http://schemas.openxmlformats.org/officeDocument/2006/relationships/hyperlink" Target="https://techcombank.com/thong-tin/blog/so-sanh-gui-tiet-kiem-online-va-tai-quay" TargetMode="External"/><Relationship Id="rId2416" Type="http://schemas.openxmlformats.org/officeDocument/2006/relationships/hyperlink" Target="https://techcombank.com/thong-tin/blog/lai-suat-vay-tin-chap" TargetMode="External"/><Relationship Id="rId2417" Type="http://schemas.openxmlformats.org/officeDocument/2006/relationships/hyperlink" Target="https://techcombank.com/thong-tin/blog/cach-tiet-kiem-tien-sinh-loi" TargetMode="External"/><Relationship Id="rId2418" Type="http://schemas.openxmlformats.org/officeDocument/2006/relationships/hyperlink" Target="https://techcombank.com/thong-tin/blog/co-50-trieu-nen-mua-vang-hay-gui-tiet-kiem" TargetMode="External"/><Relationship Id="rId2419" Type="http://schemas.openxmlformats.org/officeDocument/2006/relationships/hyperlink" Target="https://techcombank.com/thong-tin/blog/vay-20-trieu" TargetMode="External"/><Relationship Id="rId2410" Type="http://schemas.openxmlformats.org/officeDocument/2006/relationships/hyperlink" Target="https://techcombank.com/thong-tin/blog/vay-thau-chi-bang-so-tiet-kiem" TargetMode="External"/><Relationship Id="rId2411" Type="http://schemas.openxmlformats.org/officeDocument/2006/relationships/hyperlink" Target="https://techcombank.com/thong-tin/blog/lai-suat-vay-ngan-hang" TargetMode="External"/><Relationship Id="rId1114" Type="http://schemas.openxmlformats.org/officeDocument/2006/relationships/hyperlink" Target="https://techcombank.com/thong-tin/blog/tai-khoan-thanh-toan-la-gi" TargetMode="External"/><Relationship Id="rId2445" Type="http://schemas.openxmlformats.org/officeDocument/2006/relationships/hyperlink" Target="https://techcombank.com/thong-tin/blog/rut-tien-tiet-kiem-truoc-thoi-han" TargetMode="External"/><Relationship Id="rId1115" Type="http://schemas.openxmlformats.org/officeDocument/2006/relationships/hyperlink" Target="https://techcombank.com/thong-tin/blog/cach-rut-tien-atm" TargetMode="External"/><Relationship Id="rId2446" Type="http://schemas.openxmlformats.org/officeDocument/2006/relationships/hyperlink" Target="https://techcombank.com/thong-tin/blog/lai-suat-la-gi" TargetMode="External"/><Relationship Id="rId1116" Type="http://schemas.openxmlformats.org/officeDocument/2006/relationships/hyperlink" Target="https://techcombank.com/thong-tin/blog/1-yen-bang-bao-nhieu-tien-viet-nam" TargetMode="External"/><Relationship Id="rId2447" Type="http://schemas.openxmlformats.org/officeDocument/2006/relationships/hyperlink" Target="https://techcombank.com/thong-tin/blog/vi-sao-lai-suat-trai-phieu-tai-tcbs-lai-thap-hon-so-voi-cac-to-chuc-phat-hanh-khac" TargetMode="External"/><Relationship Id="rId1117" Type="http://schemas.openxmlformats.org/officeDocument/2006/relationships/hyperlink" Target="https://techcombank.com/thong-tin/blog/vay-tra-gop" TargetMode="External"/><Relationship Id="rId2448" Type="http://schemas.openxmlformats.org/officeDocument/2006/relationships/hyperlink" Target="https://techcombank.com/thong-tin/blog/cach-dau-tu" TargetMode="External"/><Relationship Id="rId1118" Type="http://schemas.openxmlformats.org/officeDocument/2006/relationships/hyperlink" Target="https://techcombank.com/thong-tin/blog/merchant-la-gi" TargetMode="External"/><Relationship Id="rId2449" Type="http://schemas.openxmlformats.org/officeDocument/2006/relationships/hyperlink" Target="https://techcombank.com/thong-tin/blog/vay-bo-sung-von-luu-dong" TargetMode="External"/><Relationship Id="rId1119" Type="http://schemas.openxmlformats.org/officeDocument/2006/relationships/hyperlink" Target="https://techcombank.com/thong-tin/blog/chuyen-tien-tro-cap-than-nhan-o-nuoc-ngoai" TargetMode="External"/><Relationship Id="rId525" Type="http://schemas.openxmlformats.org/officeDocument/2006/relationships/hyperlink" Target="https://techcombank.com/thong-tin/blog/so-tai-khoan-dep" TargetMode="External"/><Relationship Id="rId524" Type="http://schemas.openxmlformats.org/officeDocument/2006/relationships/hyperlink" Target="https://techcombank.com/thong-tin/blog/so-the-ngan-hang" TargetMode="External"/><Relationship Id="rId523" Type="http://schemas.openxmlformats.org/officeDocument/2006/relationships/hyperlink" Target="https://techcombank.com/thong-tin/blog/so-8386" TargetMode="External"/><Relationship Id="rId522" Type="http://schemas.openxmlformats.org/officeDocument/2006/relationships/hyperlink" Target="https://techcombank.com/thong-tin/blog/66666-co-y-nghia-gi" TargetMode="External"/><Relationship Id="rId529" Type="http://schemas.openxmlformats.org/officeDocument/2006/relationships/hyperlink" Target="https://techcombank.com/thong-tin/blog/so-6868" TargetMode="External"/><Relationship Id="rId528" Type="http://schemas.openxmlformats.org/officeDocument/2006/relationships/hyperlink" Target="https://techcombank.com/thong-tin/blog/so-du-tien-gui-la-gi" TargetMode="External"/><Relationship Id="rId527" Type="http://schemas.openxmlformats.org/officeDocument/2006/relationships/hyperlink" Target="https://techcombank.com/thong-tin/blog/so-du-tai-khoan-thanh-toan" TargetMode="External"/><Relationship Id="rId526" Type="http://schemas.openxmlformats.org/officeDocument/2006/relationships/hyperlink" Target="https://techcombank.com/thong-tin/blog/99999-co-y-nghia-gi" TargetMode="External"/><Relationship Id="rId2440" Type="http://schemas.openxmlformats.org/officeDocument/2006/relationships/hyperlink" Target="https://techcombank.com/thong-tin/blog/lai-suat-cho-vay-doanh-nghiep" TargetMode="External"/><Relationship Id="rId521" Type="http://schemas.openxmlformats.org/officeDocument/2006/relationships/hyperlink" Target="https://techcombank.com/thong-tin/blog/day-so-phat-tai-phat-loc" TargetMode="External"/><Relationship Id="rId1110" Type="http://schemas.openxmlformats.org/officeDocument/2006/relationships/hyperlink" Target="https://techcombank.com/thong-tin/blog/cach-lien-ket-epass-voi-tai-khoan-ngan-hang" TargetMode="External"/><Relationship Id="rId2441" Type="http://schemas.openxmlformats.org/officeDocument/2006/relationships/hyperlink" Target="https://techcombank.com/thong-tin/blog/mo-tai-khoan-tiet-kiem-cho-con" TargetMode="External"/><Relationship Id="rId520" Type="http://schemas.openxmlformats.org/officeDocument/2006/relationships/hyperlink" Target="https://techcombank.com/thong-tin/blog/8868" TargetMode="External"/><Relationship Id="rId1111" Type="http://schemas.openxmlformats.org/officeDocument/2006/relationships/hyperlink" Target="https://techcombank.com/thong-tin/blog/1000-te-bang-bao-nhieu-tien-viet" TargetMode="External"/><Relationship Id="rId2442" Type="http://schemas.openxmlformats.org/officeDocument/2006/relationships/hyperlink" Target="https://techcombank.com/thong-tin/blog/vay-100-trieu" TargetMode="External"/><Relationship Id="rId1112" Type="http://schemas.openxmlformats.org/officeDocument/2006/relationships/hyperlink" Target="https://techcombank.com/thong-tin/blog/kinh-nghiem-vay-tien-mua-nha" TargetMode="External"/><Relationship Id="rId2443" Type="http://schemas.openxmlformats.org/officeDocument/2006/relationships/hyperlink" Target="https://techcombank.com/thong-tin/blog/quy-du-phong-tai-chinh-la-gi" TargetMode="External"/><Relationship Id="rId1113" Type="http://schemas.openxmlformats.org/officeDocument/2006/relationships/hyperlink" Target="https://techcombank.com/thong-tin/blog/dao-han-la-gi" TargetMode="External"/><Relationship Id="rId2444" Type="http://schemas.openxmlformats.org/officeDocument/2006/relationships/hyperlink" Target="https://techcombank.com/thong-tin/blog/loi-ich-cua-ngan-hang-so-voi-sme" TargetMode="External"/><Relationship Id="rId1103" Type="http://schemas.openxmlformats.org/officeDocument/2006/relationships/hyperlink" Target="https://techcombank.com/thong-tin/blog/mua-ve-xem-phim" TargetMode="External"/><Relationship Id="rId2434" Type="http://schemas.openxmlformats.org/officeDocument/2006/relationships/hyperlink" Target="https://techcombank.com/thong-tin/blog/the-visa-co-may-loai" TargetMode="External"/><Relationship Id="rId1104" Type="http://schemas.openxmlformats.org/officeDocument/2006/relationships/hyperlink" Target="https://techcombank.com/thong-tin/blog/cach-mo-tai-khoan" TargetMode="External"/><Relationship Id="rId2435" Type="http://schemas.openxmlformats.org/officeDocument/2006/relationships/hyperlink" Target="https://techcombank.com/thong-tin/blog/nghich-ly-nha-dau-tu-che-trai-phieu-lai-suat-cao-ua-ma-an-toan-du-lai-suat-thap-hon-05-1" TargetMode="External"/><Relationship Id="rId1105" Type="http://schemas.openxmlformats.org/officeDocument/2006/relationships/hyperlink" Target="https://techcombank.com/thong-tin/blog/vay-the-chap-xe-o-to-cu" TargetMode="External"/><Relationship Id="rId2436" Type="http://schemas.openxmlformats.org/officeDocument/2006/relationships/hyperlink" Target="https://techcombank.com/thong-tin/blog/thi-truong-trai-phieu-co-hoi-dau-tu-trai-phieu-vang-du-lai-suat-thap" TargetMode="External"/><Relationship Id="rId1106" Type="http://schemas.openxmlformats.org/officeDocument/2006/relationships/hyperlink" Target="https://techcombank.com/thong-tin/blog/so-sanh-bao-hiem-suc-khoe-bo-sung" TargetMode="External"/><Relationship Id="rId2437" Type="http://schemas.openxmlformats.org/officeDocument/2006/relationships/hyperlink" Target="https://techcombank.com/thong-tin/blog/techcombank-sinh-loi-tu-dong" TargetMode="External"/><Relationship Id="rId1107" Type="http://schemas.openxmlformats.org/officeDocument/2006/relationships/hyperlink" Target="https://techcombank.com/thong-tin/blog/rut-tien-mat-tu-tai-khoan-doanh-nghiep" TargetMode="External"/><Relationship Id="rId2438" Type="http://schemas.openxmlformats.org/officeDocument/2006/relationships/hyperlink" Target="https://techcombank.com/thong-tin/blog/mo-so-tiet-kiem-can-bao-nhieu-tien" TargetMode="External"/><Relationship Id="rId1108" Type="http://schemas.openxmlformats.org/officeDocument/2006/relationships/hyperlink" Target="https://techcombank.com/thong-tin/blog/the-chap-la-gi" TargetMode="External"/><Relationship Id="rId2439" Type="http://schemas.openxmlformats.org/officeDocument/2006/relationships/hyperlink" Target="https://techcombank.com/thong-tin/blog/lai-suat-chung-chi-quy" TargetMode="External"/><Relationship Id="rId1109" Type="http://schemas.openxmlformats.org/officeDocument/2006/relationships/hyperlink" Target="https://techcombank.com/thong-tin/blog/thay-doi-dia-chi-ho-kinh-doanh" TargetMode="External"/><Relationship Id="rId519" Type="http://schemas.openxmlformats.org/officeDocument/2006/relationships/hyperlink" Target="https://techcombank.com/thong-tin/blog/cach-chon-so-tai-khoan-dep" TargetMode="External"/><Relationship Id="rId514" Type="http://schemas.openxmlformats.org/officeDocument/2006/relationships/hyperlink" Target="https://techcombank.com/thong-tin/blog/sms-banking" TargetMode="External"/><Relationship Id="rId513" Type="http://schemas.openxmlformats.org/officeDocument/2006/relationships/hyperlink" Target="https://techcombank.com/thong-tin/blog/ma-giao-dich-la-gi" TargetMode="External"/><Relationship Id="rId512" Type="http://schemas.openxmlformats.org/officeDocument/2006/relationships/hyperlink" Target="https://techcombank.com/thong-tin/blog/so-du-kha-dung" TargetMode="External"/><Relationship Id="rId511" Type="http://schemas.openxmlformats.org/officeDocument/2006/relationships/hyperlink" Target="https://techcombank.com/thong-tin/blog/so-tai-khoan-ngan-hang" TargetMode="External"/><Relationship Id="rId518" Type="http://schemas.openxmlformats.org/officeDocument/2006/relationships/hyperlink" Target="https://techcombank.com/thong-tin/blog/lo-so-tai-khoan-ngan-hang-co-sao-khong" TargetMode="External"/><Relationship Id="rId517" Type="http://schemas.openxmlformats.org/officeDocument/2006/relationships/hyperlink" Target="https://techcombank.com/thong-tin/blog/cdm" TargetMode="External"/><Relationship Id="rId516" Type="http://schemas.openxmlformats.org/officeDocument/2006/relationships/hyperlink" Target="https://techcombank.com/thong-tin/blog/co-nen-mua-so-tai-khoan-ngan-hang-dep" TargetMode="External"/><Relationship Id="rId515" Type="http://schemas.openxmlformats.org/officeDocument/2006/relationships/hyperlink" Target="https://techcombank.com/thong-tin/blog/cach-kiem-tra-tai-khoan-ngan-hang-cua-cong-ty" TargetMode="External"/><Relationship Id="rId510" Type="http://schemas.openxmlformats.org/officeDocument/2006/relationships/hyperlink" Target="https://techcombank.com/thong-tin/blog/kiem-tra-ma-so-thue-doanh-nghiep" TargetMode="External"/><Relationship Id="rId2430" Type="http://schemas.openxmlformats.org/officeDocument/2006/relationships/hyperlink" Target="https://techcombank.com/thong-tin/blog/chung-chi-tien-gui-la-gi" TargetMode="External"/><Relationship Id="rId1100" Type="http://schemas.openxmlformats.org/officeDocument/2006/relationships/hyperlink" Target="https://techcombank.com/thong-tin/blog/quy-trinh-cho-vay-tieu-dung" TargetMode="External"/><Relationship Id="rId2431" Type="http://schemas.openxmlformats.org/officeDocument/2006/relationships/hyperlink" Target="https://techcombank.com/thong-tin/blog/ngan-hang-so" TargetMode="External"/><Relationship Id="rId1101" Type="http://schemas.openxmlformats.org/officeDocument/2006/relationships/hyperlink" Target="https://techcombank.com/thong-tin/blog/chuyen-tien-tu-duc-ve-viet-nam" TargetMode="External"/><Relationship Id="rId2432" Type="http://schemas.openxmlformats.org/officeDocument/2006/relationships/hyperlink" Target="https://techcombank.com/thong-tin/blog/giai-ngan-la-gi" TargetMode="External"/><Relationship Id="rId1102" Type="http://schemas.openxmlformats.org/officeDocument/2006/relationships/hyperlink" Target="https://techcombank.com/thong-tin/blog/cach-chuyen-tien" TargetMode="External"/><Relationship Id="rId2433" Type="http://schemas.openxmlformats.org/officeDocument/2006/relationships/hyperlink" Target="https://techcombank.com/thong-tin/blog/ke-hoach-tai-chinh" TargetMode="External"/><Relationship Id="rId2401" Type="http://schemas.openxmlformats.org/officeDocument/2006/relationships/hyperlink" Target="https://techcombank.com/thong-tin/blog/lai-suat-tha-noi" TargetMode="External"/><Relationship Id="rId2402" Type="http://schemas.openxmlformats.org/officeDocument/2006/relationships/hyperlink" Target="https://techcombank.com/thong-tin/blog/lai-suat-vay-tieu-dung" TargetMode="External"/><Relationship Id="rId2403" Type="http://schemas.openxmlformats.org/officeDocument/2006/relationships/hyperlink" Target="https://techcombank.com/thong-tin/blog/chon-kenh-dau-tu-an-toan-trong-boi-canh-thi-truong-bien-dong" TargetMode="External"/><Relationship Id="rId2404" Type="http://schemas.openxmlformats.org/officeDocument/2006/relationships/hyperlink" Target="https://techcombank.com/thong-tin/blog/gui-tiet-kiem-ngoai-te" TargetMode="External"/><Relationship Id="rId2405" Type="http://schemas.openxmlformats.org/officeDocument/2006/relationships/hyperlink" Target="https://techcombank.com/thong-tin/blog/lai-suat-ngan-hang-cho-vay-xay-nha" TargetMode="External"/><Relationship Id="rId2406" Type="http://schemas.openxmlformats.org/officeDocument/2006/relationships/hyperlink" Target="https://techcombank.com/thong-tin/blog/rui-ro-khi-gui-tiet-kiem-ngan-hang" TargetMode="External"/><Relationship Id="rId2407" Type="http://schemas.openxmlformats.org/officeDocument/2006/relationships/hyperlink" Target="https://techcombank.com/thong-tin/blog/cach-tinh-lai-vay-ngan-hang" TargetMode="External"/><Relationship Id="rId2408" Type="http://schemas.openxmlformats.org/officeDocument/2006/relationships/hyperlink" Target="https://techcombank.com/thong-tin/blog/gui-tiet-kiem-online-bi-mat-tien" TargetMode="External"/><Relationship Id="rId2409" Type="http://schemas.openxmlformats.org/officeDocument/2006/relationships/hyperlink" Target="https://techcombank.com/thong-tin/blog/kinh-nghiem-gui-tiet-kiem-online" TargetMode="External"/><Relationship Id="rId2400" Type="http://schemas.openxmlformats.org/officeDocument/2006/relationships/hyperlink" Target="https://techcombank.com/thong-tin/blog/rui-ro-khi-gui-tiet-kiem-online" TargetMode="External"/><Relationship Id="rId590" Type="http://schemas.openxmlformats.org/officeDocument/2006/relationships/hyperlink" Target="https://techcombank.com/thong-tin/blog/hoc-sinh-sinh-vien-nen-lam-the-ngan-hang-nao" TargetMode="External"/><Relationship Id="rId589" Type="http://schemas.openxmlformats.org/officeDocument/2006/relationships/hyperlink" Target="https://techcombank.com/thong-tin/blog/lai-suat-vay-tieu-dung" TargetMode="External"/><Relationship Id="rId588" Type="http://schemas.openxmlformats.org/officeDocument/2006/relationships/hyperlink" Target="https://techcombank.com/thong-tin/blog/vay-sinh-vien" TargetMode="External"/><Relationship Id="rId1170" Type="http://schemas.openxmlformats.org/officeDocument/2006/relationships/hyperlink" Target="https://techcombank.com/thong-tin/blog/rut-tien-mat-tu-tai-khoan-doanh-nghiep" TargetMode="External"/><Relationship Id="rId1171" Type="http://schemas.openxmlformats.org/officeDocument/2006/relationships/hyperlink" Target="https://techcombank.com/thong-tin/blog/cdm" TargetMode="External"/><Relationship Id="rId583" Type="http://schemas.openxmlformats.org/officeDocument/2006/relationships/hyperlink" Target="https://techcombank.com/thong-tin/blog/lam-the-visa-o-dau" TargetMode="External"/><Relationship Id="rId1172" Type="http://schemas.openxmlformats.org/officeDocument/2006/relationships/hyperlink" Target="https://techcombank.com/thong-tin/blog/cach-su-dung-tai-khoan-cong-ty" TargetMode="External"/><Relationship Id="rId582" Type="http://schemas.openxmlformats.org/officeDocument/2006/relationships/hyperlink" Target="https://techcombank.com/thong-tin/blog/vay-mua-xe-tra-gop-ngan-hang-nao-tot-nhat" TargetMode="External"/><Relationship Id="rId1173" Type="http://schemas.openxmlformats.org/officeDocument/2006/relationships/hyperlink" Target="https://techcombank.com/thong-tin/blog/rut-tien-bang-ma-qr-khac-ngan-hang-duoc-khong" TargetMode="External"/><Relationship Id="rId581" Type="http://schemas.openxmlformats.org/officeDocument/2006/relationships/hyperlink" Target="https://techcombank.com/thong-tin/blog/nen-vay-the-chap-ngan-hang-nao" TargetMode="External"/><Relationship Id="rId1174" Type="http://schemas.openxmlformats.org/officeDocument/2006/relationships/hyperlink" Target="https://techcombank.com/thong-tin/blog/tra-cuu-han-muc-the-tin-dung" TargetMode="External"/><Relationship Id="rId580" Type="http://schemas.openxmlformats.org/officeDocument/2006/relationships/hyperlink" Target="https://techcombank.com/thong-tin/blog/nen-vay-tin-chap-o-dau" TargetMode="External"/><Relationship Id="rId1175" Type="http://schemas.openxmlformats.org/officeDocument/2006/relationships/hyperlink" Target="https://techcombank.com/thong-tin/blog/the-visa-de-lam-gi" TargetMode="External"/><Relationship Id="rId587" Type="http://schemas.openxmlformats.org/officeDocument/2006/relationships/hyperlink" Target="https://techcombank.com/thong-tin/blog/cach-tinh-lai-suat-tien-gui-tiet-kiem" TargetMode="External"/><Relationship Id="rId1176" Type="http://schemas.openxmlformats.org/officeDocument/2006/relationships/hyperlink" Target="https://techcombank.com/thong-tin/blog/the-atm-khong-rut-duoc-tien" TargetMode="External"/><Relationship Id="rId586" Type="http://schemas.openxmlformats.org/officeDocument/2006/relationships/hyperlink" Target="https://techcombank.com/thong-tin/blog/app-ngan-hang" TargetMode="External"/><Relationship Id="rId1177" Type="http://schemas.openxmlformats.org/officeDocument/2006/relationships/hyperlink" Target="https://techcombank.com/thong-tin/blog/rut-tien-tiet-kiem-truoc-thoi-han" TargetMode="External"/><Relationship Id="rId585" Type="http://schemas.openxmlformats.org/officeDocument/2006/relationships/hyperlink" Target="https://techcombank.com/thong-tin/blog/uu-dai-mo-the-tin-dung" TargetMode="External"/><Relationship Id="rId1178" Type="http://schemas.openxmlformats.org/officeDocument/2006/relationships/hyperlink" Target="https://techcombank.com/thong-tin/blog/rut-tien-bang-ma-qr-la-gi-cach-thuc-hien-nhu-the-nao" TargetMode="External"/><Relationship Id="rId584" Type="http://schemas.openxmlformats.org/officeDocument/2006/relationships/hyperlink" Target="https://techcombank.com/thong-tin/blog/lai-suat-tiet-kiem" TargetMode="External"/><Relationship Id="rId1179" Type="http://schemas.openxmlformats.org/officeDocument/2006/relationships/hyperlink" Target="https://techcombank.com/thong-tin/blog/ty-le-thanh-toan-khong-dung-tien-mat-trong-linh-vuc-y-te-con-han-che" TargetMode="External"/><Relationship Id="rId1169" Type="http://schemas.openxmlformats.org/officeDocument/2006/relationships/hyperlink" Target="https://techcombank.com/thong-tin/blog/merchant-la-gi" TargetMode="External"/><Relationship Id="rId579" Type="http://schemas.openxmlformats.org/officeDocument/2006/relationships/hyperlink" Target="https://techcombank.com/thong-tin/blog/dieu-kien-vay-von-ngan-hang" TargetMode="External"/><Relationship Id="rId578" Type="http://schemas.openxmlformats.org/officeDocument/2006/relationships/hyperlink" Target="https://techcombank.com/thong-tin/blog/co-nen-gui-tiet-kiem-ngan-hang" TargetMode="External"/><Relationship Id="rId577" Type="http://schemas.openxmlformats.org/officeDocument/2006/relationships/hyperlink" Target="https://techcombank.com/thong-tin/blog/tin-chap-doanh-nghiep" TargetMode="External"/><Relationship Id="rId2490" Type="http://schemas.openxmlformats.org/officeDocument/2006/relationships/hyperlink" Target="https://techcombank.com/thong-tin/blog/nhung-kho-khan-khi-tiet-kiem-tien" TargetMode="External"/><Relationship Id="rId1160" Type="http://schemas.openxmlformats.org/officeDocument/2006/relationships/hyperlink" Target="https://techcombank.com/thong-tin/blog/the-atm-tu" TargetMode="External"/><Relationship Id="rId2491" Type="http://schemas.openxmlformats.org/officeDocument/2006/relationships/hyperlink" Target="https://techcombank.com/thong-tin/blog/cach-thanh-toan-the-tin-dung" TargetMode="External"/><Relationship Id="rId572" Type="http://schemas.openxmlformats.org/officeDocument/2006/relationships/hyperlink" Target="https://techcombank.com/thong-tin/blog/gui-tien-ngan-hang-co-an-toan-khong" TargetMode="External"/><Relationship Id="rId1161" Type="http://schemas.openxmlformats.org/officeDocument/2006/relationships/hyperlink" Target="https://techcombank.com/thong-tin/blog/phi-rut-tien-mat-the-tin-dung" TargetMode="External"/><Relationship Id="rId2492" Type="http://schemas.openxmlformats.org/officeDocument/2006/relationships/hyperlink" Target="https://techcombank.com/thong-tin/blog/xu-huong-dau-tu-trai-phieu-ky-han-duoi-mot-nam-lua-chon-an-toan-khi-thi-truong-bien-dong" TargetMode="External"/><Relationship Id="rId571" Type="http://schemas.openxmlformats.org/officeDocument/2006/relationships/hyperlink" Target="https://techcombank.com/thong-tin/blog/app-ngan-hang-uy-tin" TargetMode="External"/><Relationship Id="rId1162" Type="http://schemas.openxmlformats.org/officeDocument/2006/relationships/hyperlink" Target="https://techcombank.com/thong-tin/blog/the-visa-co-rut-tien-duoc-khong" TargetMode="External"/><Relationship Id="rId2493" Type="http://schemas.openxmlformats.org/officeDocument/2006/relationships/hyperlink" Target="https://techcombank.com/thong-tin/blog/nap-tien-vao-tai-khoan-ngan-hang" TargetMode="External"/><Relationship Id="rId570" Type="http://schemas.openxmlformats.org/officeDocument/2006/relationships/hyperlink" Target="https://techcombank.com/thong-tin/blog/mat-so-dien-thoai-dang-ky-tai-khoan-ngan-hang" TargetMode="External"/><Relationship Id="rId1163" Type="http://schemas.openxmlformats.org/officeDocument/2006/relationships/hyperlink" Target="https://techcombank.com/thong-tin/blog/the-tin-dung-co-chuyen-khoan-duoc-khong" TargetMode="External"/><Relationship Id="rId2494" Type="http://schemas.openxmlformats.org/officeDocument/2006/relationships/hyperlink" Target="https://techcombank.com/thong-tin/blog/dau-tu-tai-chinh-ca-nhan" TargetMode="External"/><Relationship Id="rId1164" Type="http://schemas.openxmlformats.org/officeDocument/2006/relationships/hyperlink" Target="https://techcombank.com/thong-tin/blog/in-ma-qr-ngan-hang" TargetMode="External"/><Relationship Id="rId2495" Type="http://schemas.openxmlformats.org/officeDocument/2006/relationships/hyperlink" Target="https://techcombank.com/thong-tin/blog/vay-ngan-hang-1-ty-moi-thang-tra-bao-nhieu" TargetMode="External"/><Relationship Id="rId576" Type="http://schemas.openxmlformats.org/officeDocument/2006/relationships/hyperlink" Target="https://techcombank.com/thong-tin/blog/rui-ro-khi-gui-tiet-kiem-ngan-hang" TargetMode="External"/><Relationship Id="rId1165" Type="http://schemas.openxmlformats.org/officeDocument/2006/relationships/hyperlink" Target="https://techcombank.com/thong-tin/blog/qua-han-thanh-toan-the-tin-dung-1-ngay" TargetMode="External"/><Relationship Id="rId2496" Type="http://schemas.openxmlformats.org/officeDocument/2006/relationships/hyperlink" Target="https://techcombank.com/thong-tin/blog/quan-ly-chuoi-cua-hang" TargetMode="External"/><Relationship Id="rId575" Type="http://schemas.openxmlformats.org/officeDocument/2006/relationships/hyperlink" Target="https://techcombank.com/thong-tin/blog/gia-tri-thuong-hieu" TargetMode="External"/><Relationship Id="rId1166" Type="http://schemas.openxmlformats.org/officeDocument/2006/relationships/hyperlink" Target="https://techcombank.com/thong-tin/blog/mo-the-tin-dung-co-loi-ich-gi" TargetMode="External"/><Relationship Id="rId2497" Type="http://schemas.openxmlformats.org/officeDocument/2006/relationships/hyperlink" Target="https://techcombank.com/thong-tin/blog/mobile-banking-la-gi" TargetMode="External"/><Relationship Id="rId574" Type="http://schemas.openxmlformats.org/officeDocument/2006/relationships/hyperlink" Target="https://techcombank.com/thong-tin/blog/kinh-nghiem-gui-tiet-kiem-online" TargetMode="External"/><Relationship Id="rId1167" Type="http://schemas.openxmlformats.org/officeDocument/2006/relationships/hyperlink" Target="https://techcombank.com/thong-tin/blog/vi-dien-tu" TargetMode="External"/><Relationship Id="rId2498" Type="http://schemas.openxmlformats.org/officeDocument/2006/relationships/hyperlink" Target="https://techcombank.com/thong-tin/blog/nap-xu-tiktok" TargetMode="External"/><Relationship Id="rId573" Type="http://schemas.openxmlformats.org/officeDocument/2006/relationships/hyperlink" Target="https://techcombank.com/thong-tin/blog/nen-mo-tai-khoan-ngan-hang-nao-cho-doanh-nghiep" TargetMode="External"/><Relationship Id="rId1168" Type="http://schemas.openxmlformats.org/officeDocument/2006/relationships/hyperlink" Target="https://techcombank.com/thong-tin/blog/mat-the-tin-dung-co-bi-mat-tien-khong" TargetMode="External"/><Relationship Id="rId2499" Type="http://schemas.openxmlformats.org/officeDocument/2006/relationships/hyperlink" Target="https://techcombank.com/thong-tin/blog/cach-tiet-kiem-tien-theo-tuan" TargetMode="External"/><Relationship Id="rId1190" Type="http://schemas.openxmlformats.org/officeDocument/2006/relationships/hyperlink" Target="https://techcombank.com/thong-tin/blog/the-tin-dung-co-ma-pin-khong" TargetMode="External"/><Relationship Id="rId1191" Type="http://schemas.openxmlformats.org/officeDocument/2006/relationships/hyperlink" Target="https://techcombank.com/thong-tin/blog/the-visa" TargetMode="External"/><Relationship Id="rId1192" Type="http://schemas.openxmlformats.org/officeDocument/2006/relationships/hyperlink" Target="https://techcombank.com/thong-tin/blog/cay-atm-gan-day" TargetMode="External"/><Relationship Id="rId1193" Type="http://schemas.openxmlformats.org/officeDocument/2006/relationships/hyperlink" Target="https://techcombank.com/thong-tin/blog/dang-vay-tra-gop-co-vay-them-duoc-khong" TargetMode="External"/><Relationship Id="rId1194" Type="http://schemas.openxmlformats.org/officeDocument/2006/relationships/hyperlink" Target="https://techcombank.com/thong-tin/blog/cach-su-dung-the-ghi-no" TargetMode="External"/><Relationship Id="rId1195" Type="http://schemas.openxmlformats.org/officeDocument/2006/relationships/hyperlink" Target="https://techcombank.com/thong-tin/blog/the-ghi-no-co-rut-tien-duoc-khong" TargetMode="External"/><Relationship Id="rId1196" Type="http://schemas.openxmlformats.org/officeDocument/2006/relationships/hyperlink" Target="https://techcombank.com/thong-tin/blog/tien-gui-co-ky-han" TargetMode="External"/><Relationship Id="rId1197" Type="http://schemas.openxmlformats.org/officeDocument/2006/relationships/hyperlink" Target="https://techcombank.com/thong-tin/blog/cic-la-gi" TargetMode="External"/><Relationship Id="rId1198" Type="http://schemas.openxmlformats.org/officeDocument/2006/relationships/hyperlink" Target="https://techcombank.com/thong-tin/blog/no-xau-nhom-2" TargetMode="External"/><Relationship Id="rId1199" Type="http://schemas.openxmlformats.org/officeDocument/2006/relationships/hyperlink" Target="https://techcombank.com/thong-tin/blog/han-muc-tra-gop-the-tin-dung" TargetMode="External"/><Relationship Id="rId599" Type="http://schemas.openxmlformats.org/officeDocument/2006/relationships/hyperlink" Target="https://techcombank.com/thong-tin/blog/ty-gia-cac-ngan-hang" TargetMode="External"/><Relationship Id="rId1180" Type="http://schemas.openxmlformats.org/officeDocument/2006/relationships/hyperlink" Target="https://techcombank.com/thong-tin/blog/thanh-toan-khong-dung-tien-mat-tro-thanh-xu-huong-tang-truong-chong-mat" TargetMode="External"/><Relationship Id="rId1181" Type="http://schemas.openxmlformats.org/officeDocument/2006/relationships/hyperlink" Target="https://techcombank.com/thong-tin/blog/tin-dung-la-gi" TargetMode="External"/><Relationship Id="rId1182" Type="http://schemas.openxmlformats.org/officeDocument/2006/relationships/hyperlink" Target="https://techcombank.com/thong-tin/blog/the-tin-dung-quoc-te" TargetMode="External"/><Relationship Id="rId594" Type="http://schemas.openxmlformats.org/officeDocument/2006/relationships/hyperlink" Target="https://techcombank.com/thong-tin/blog/mat-the-tin-dung-co-lam-lai-duoc-khong" TargetMode="External"/><Relationship Id="rId1183" Type="http://schemas.openxmlformats.org/officeDocument/2006/relationships/hyperlink" Target="https://techcombank.com/thong-tin/blog/the-visa-ao-la-gi" TargetMode="External"/><Relationship Id="rId593" Type="http://schemas.openxmlformats.org/officeDocument/2006/relationships/hyperlink" Target="https://techcombank.com/thong-tin/blog/lai-suat-vay-ngan-hang" TargetMode="External"/><Relationship Id="rId1184" Type="http://schemas.openxmlformats.org/officeDocument/2006/relationships/hyperlink" Target="https://techcombank.com/thong-tin/blog/cach-su-dung-the-tin-dung" TargetMode="External"/><Relationship Id="rId592" Type="http://schemas.openxmlformats.org/officeDocument/2006/relationships/hyperlink" Target="https://techcombank.com/thong-tin/blog/the-tin-dung-mien-lai-55-ngay" TargetMode="External"/><Relationship Id="rId1185" Type="http://schemas.openxmlformats.org/officeDocument/2006/relationships/hyperlink" Target="https://techcombank.com/thong-tin/blog/tien-gui-khong-ky-han" TargetMode="External"/><Relationship Id="rId591" Type="http://schemas.openxmlformats.org/officeDocument/2006/relationships/hyperlink" Target="https://techcombank.com/thong-tin/blog/gui-tiet-kiem-ngoai-te" TargetMode="External"/><Relationship Id="rId1186" Type="http://schemas.openxmlformats.org/officeDocument/2006/relationships/hyperlink" Target="https://techcombank.com/thong-tin/blog/xu-huong-thanh-toan-khong-dung-tien-mat-tai-viet-nam" TargetMode="External"/><Relationship Id="rId598" Type="http://schemas.openxmlformats.org/officeDocument/2006/relationships/hyperlink" Target="https://techcombank.com/thong-tin/blog/viet-kieu-co-mo-duoc-tai-khoan-ngan-hang-khong" TargetMode="External"/><Relationship Id="rId1187" Type="http://schemas.openxmlformats.org/officeDocument/2006/relationships/hyperlink" Target="https://techcombank.com/thong-tin/blog/cach-rut-tien-atm" TargetMode="External"/><Relationship Id="rId597" Type="http://schemas.openxmlformats.org/officeDocument/2006/relationships/hyperlink" Target="https://techcombank.com/thong-tin/blog/lai-suat-vay-tin-chap" TargetMode="External"/><Relationship Id="rId1188" Type="http://schemas.openxmlformats.org/officeDocument/2006/relationships/hyperlink" Target="https://techcombank.com/thong-tin/blog/lam-the-tin-dung-co-mat-phi-khong" TargetMode="External"/><Relationship Id="rId596" Type="http://schemas.openxmlformats.org/officeDocument/2006/relationships/hyperlink" Target="https://techcombank.com/thong-tin/blog/lai-suat-vay-mua-o-to" TargetMode="External"/><Relationship Id="rId1189" Type="http://schemas.openxmlformats.org/officeDocument/2006/relationships/hyperlink" Target="https://techcombank.com/thong-tin/blog/cach-su-dung-the-visa-techcombank" TargetMode="External"/><Relationship Id="rId595" Type="http://schemas.openxmlformats.org/officeDocument/2006/relationships/hyperlink" Target="https://techcombank.com/thong-tin/blog/lai-suat-chung-chi-tien-gui-cac-ngan-hang" TargetMode="External"/><Relationship Id="rId1136" Type="http://schemas.openxmlformats.org/officeDocument/2006/relationships/hyperlink" Target="https://techcombank.com/thong-tin/blog/cach-sao-ke-tai-khoan-ngan-hang" TargetMode="External"/><Relationship Id="rId2467" Type="http://schemas.openxmlformats.org/officeDocument/2006/relationships/hyperlink" Target="https://techcombank.com/thong-tin/blog/app-vay-tien-nhanh" TargetMode="External"/><Relationship Id="rId1137" Type="http://schemas.openxmlformats.org/officeDocument/2006/relationships/hyperlink" Target="https://techcombank.com/thong-tin/blog/cach-nap-the-viettel" TargetMode="External"/><Relationship Id="rId2468" Type="http://schemas.openxmlformats.org/officeDocument/2006/relationships/hyperlink" Target="https://techcombank.com/thong-tin/blog/tin-chap-doanh-nghiep" TargetMode="External"/><Relationship Id="rId1138" Type="http://schemas.openxmlformats.org/officeDocument/2006/relationships/hyperlink" Target="https://techcombank.com/thong-tin/blog/the-debit" TargetMode="External"/><Relationship Id="rId2469" Type="http://schemas.openxmlformats.org/officeDocument/2006/relationships/hyperlink" Target="https://techcombank.com/thong-tin/blog/vay-sinh-vien" TargetMode="External"/><Relationship Id="rId1139" Type="http://schemas.openxmlformats.org/officeDocument/2006/relationships/hyperlink" Target="https://techcombank.com/thong-tin/blog/thanh-toan-khi-du-lich-hong-kong" TargetMode="External"/><Relationship Id="rId547" Type="http://schemas.openxmlformats.org/officeDocument/2006/relationships/hyperlink" Target="https://techcombank.com/thong-tin/blog/xac-thuc-sinh-trac-hoc-khi-chuyen-tien" TargetMode="External"/><Relationship Id="rId546" Type="http://schemas.openxmlformats.org/officeDocument/2006/relationships/hyperlink" Target="https://techcombank.com/thong-tin/blog/bao-nhieu-tuoi-duoc-mo-tai-khoan-ngan-hang" TargetMode="External"/><Relationship Id="rId545" Type="http://schemas.openxmlformats.org/officeDocument/2006/relationships/hyperlink" Target="https://techcombank.com/thong-tin/blog/1-cmnd-dang-ky-duoc-may-tai-khoan-ngan-hang" TargetMode="External"/><Relationship Id="rId544" Type="http://schemas.openxmlformats.org/officeDocument/2006/relationships/hyperlink" Target="https://techcombank.com/thong-tin/blog/nho-nguoi-than-mo-tai-khoan-ngan-hang" TargetMode="External"/><Relationship Id="rId549" Type="http://schemas.openxmlformats.org/officeDocument/2006/relationships/hyperlink" Target="https://techcombank.com/thong-tin/blog/dong-tai-khoan-ngan-hang-cong-ty" TargetMode="External"/><Relationship Id="rId548" Type="http://schemas.openxmlformats.org/officeDocument/2006/relationships/hyperlink" Target="https://techcombank.com/thong-tin/blog/mo-tai-khoan-doanh-nghiep" TargetMode="External"/><Relationship Id="rId2460" Type="http://schemas.openxmlformats.org/officeDocument/2006/relationships/hyperlink" Target="https://techcombank.com/thong-tin/blog/diem-tin-dung" TargetMode="External"/><Relationship Id="rId1130" Type="http://schemas.openxmlformats.org/officeDocument/2006/relationships/hyperlink" Target="https://techcombank.com/thong-tin/blog/nap-xu-tiktok" TargetMode="External"/><Relationship Id="rId2461" Type="http://schemas.openxmlformats.org/officeDocument/2006/relationships/hyperlink" Target="https://techcombank.com/thong-tin/blog/kinh-nghiem-vay-the-chap-ngan-hang" TargetMode="External"/><Relationship Id="rId1131" Type="http://schemas.openxmlformats.org/officeDocument/2006/relationships/hyperlink" Target="https://techcombank.com/thong-tin/blog/ho-so-vay-von-cua-doanh-nghiep-gom-nhung-gi" TargetMode="External"/><Relationship Id="rId2462" Type="http://schemas.openxmlformats.org/officeDocument/2006/relationships/hyperlink" Target="https://techcombank.com/thong-tin/blog/cho-vay-tieu-dung-la-gi" TargetMode="External"/><Relationship Id="rId543" Type="http://schemas.openxmlformats.org/officeDocument/2006/relationships/hyperlink" Target="https://techcombank.com/thong-tin/blog/mo-tai-khoan-ngan-hang-co-mat-phi-khong" TargetMode="External"/><Relationship Id="rId1132" Type="http://schemas.openxmlformats.org/officeDocument/2006/relationships/hyperlink" Target="https://techcombank.com/thong-tin/blog/cac-loai-the-ngan-hang" TargetMode="External"/><Relationship Id="rId2463" Type="http://schemas.openxmlformats.org/officeDocument/2006/relationships/hyperlink" Target="https://techcombank.com/thong-tin/blog/vay-15-trieu" TargetMode="External"/><Relationship Id="rId542" Type="http://schemas.openxmlformats.org/officeDocument/2006/relationships/hyperlink" Target="https://techcombank.com/thong-tin/blog/mo-tai-khoan-ngan-hang-online-co-an-toan-khong" TargetMode="External"/><Relationship Id="rId1133" Type="http://schemas.openxmlformats.org/officeDocument/2006/relationships/hyperlink" Target="https://techcombank.com/thong-tin/blog/dieu-kien-thanh-lap-doanh-nghiep" TargetMode="External"/><Relationship Id="rId2464" Type="http://schemas.openxmlformats.org/officeDocument/2006/relationships/hyperlink" Target="https://techcombank.com/thong-tin/blog/vay-tien-mat" TargetMode="External"/><Relationship Id="rId541" Type="http://schemas.openxmlformats.org/officeDocument/2006/relationships/hyperlink" Target="https://techcombank.com/thong-tin/blog/tai-khoan-ngan-hang-la-gi" TargetMode="External"/><Relationship Id="rId1134" Type="http://schemas.openxmlformats.org/officeDocument/2006/relationships/hyperlink" Target="https://techcombank.com/thong-tin/blog/iban-la-gi" TargetMode="External"/><Relationship Id="rId2465" Type="http://schemas.openxmlformats.org/officeDocument/2006/relationships/hyperlink" Target="https://techcombank.com/thong-tin/blog/cach-tiet-kiem-tien" TargetMode="External"/><Relationship Id="rId540" Type="http://schemas.openxmlformats.org/officeDocument/2006/relationships/hyperlink" Target="https://techcombank.com/thong-tin/blog/mo-tai-khoan-ngan-hang-co-mat-phi-khong" TargetMode="External"/><Relationship Id="rId1135" Type="http://schemas.openxmlformats.org/officeDocument/2006/relationships/hyperlink" Target="https://techcombank.com/thong-tin/blog/cach-thanh-toan-quang-cao-tiktok" TargetMode="External"/><Relationship Id="rId2466" Type="http://schemas.openxmlformats.org/officeDocument/2006/relationships/hyperlink" Target="https://techcombank.com/thong-tin/blog/lai-suat-qua-han" TargetMode="External"/><Relationship Id="rId1125" Type="http://schemas.openxmlformats.org/officeDocument/2006/relationships/hyperlink" Target="https://techcombank.com/thong-tin/blog/ty-gia-hoi-doai-la-gi" TargetMode="External"/><Relationship Id="rId2456" Type="http://schemas.openxmlformats.org/officeDocument/2006/relationships/hyperlink" Target="https://techcombank.com/thong-tin/blog/chung-chi-tien-gui-co-an-toan-khong" TargetMode="External"/><Relationship Id="rId1126" Type="http://schemas.openxmlformats.org/officeDocument/2006/relationships/hyperlink" Target="https://techcombank.com/thong-tin/blog/1-te-bang-bao-nhieu-tien-viet-nam" TargetMode="External"/><Relationship Id="rId2457" Type="http://schemas.openxmlformats.org/officeDocument/2006/relationships/hyperlink" Target="https://techcombank.com/thong-tin/blog/vay-mua-dien-thoai" TargetMode="External"/><Relationship Id="rId1127" Type="http://schemas.openxmlformats.org/officeDocument/2006/relationships/hyperlink" Target="https://techcombank.com/thong-tin/blog/thanh-toan-bang-ma-qr" TargetMode="External"/><Relationship Id="rId2458" Type="http://schemas.openxmlformats.org/officeDocument/2006/relationships/hyperlink" Target="https://techcombank.com/thong-tin/blog/tien-nhan-roi-nen-lam-gi" TargetMode="External"/><Relationship Id="rId1128" Type="http://schemas.openxmlformats.org/officeDocument/2006/relationships/hyperlink" Target="https://techcombank.com/thong-tin/blog/tai-khoan-ngan-hang-duoi-50k-co-bi-khoa-khong" TargetMode="External"/><Relationship Id="rId2459" Type="http://schemas.openxmlformats.org/officeDocument/2006/relationships/hyperlink" Target="https://techcombank.com/thong-tin/blog/nen-vay-tin-chap-o-dau" TargetMode="External"/><Relationship Id="rId1129" Type="http://schemas.openxmlformats.org/officeDocument/2006/relationships/hyperlink" Target="https://techcombank.com/thong-tin/blog/truy-thu-thue-ho-kinh-doanh" TargetMode="External"/><Relationship Id="rId536" Type="http://schemas.openxmlformats.org/officeDocument/2006/relationships/hyperlink" Target="https://techcombank.com/thong-tin/blog/cach-lay-lai-tien-da-chuyen-khoan-khi-bi-lua" TargetMode="External"/><Relationship Id="rId535" Type="http://schemas.openxmlformats.org/officeDocument/2006/relationships/hyperlink" Target="https://techcombank.com/thong-tin/blog/1-cmnd-dang-ky-duoc-may-tai-khoan-ngan-hang" TargetMode="External"/><Relationship Id="rId534" Type="http://schemas.openxmlformats.org/officeDocument/2006/relationships/hyperlink" Target="https://techcombank.com/thong-tin/blog/nap-tien-vao-tai-khoan-ngan-hang" TargetMode="External"/><Relationship Id="rId533" Type="http://schemas.openxmlformats.org/officeDocument/2006/relationships/hyperlink" Target="https://techcombank.com/thong-tin/blog/cach-chuyen-khoan-bang-dien-thoai" TargetMode="External"/><Relationship Id="rId539" Type="http://schemas.openxmlformats.org/officeDocument/2006/relationships/hyperlink" Target="https://techcombank.com/thong-tin/blog/mo-tai-khoan-ngan-hang-online-co-an-toan-khong" TargetMode="External"/><Relationship Id="rId538" Type="http://schemas.openxmlformats.org/officeDocument/2006/relationships/hyperlink" Target="https://techcombank.com/thong-tin/blog/lo-ma-qr-ngan-hang-co-sao-khong" TargetMode="External"/><Relationship Id="rId537" Type="http://schemas.openxmlformats.org/officeDocument/2006/relationships/hyperlink" Target="https://techcombank.com/thong-tin/blog/cach-doi-mat-khau-tai-khoan-ngan-hang" TargetMode="External"/><Relationship Id="rId2450" Type="http://schemas.openxmlformats.org/officeDocument/2006/relationships/hyperlink" Target="https://techcombank.com/thong-tin/blog/vay-ngan-han" TargetMode="External"/><Relationship Id="rId1120" Type="http://schemas.openxmlformats.org/officeDocument/2006/relationships/hyperlink" Target="https://techcombank.com/thong-tin/blog/tat-toan" TargetMode="External"/><Relationship Id="rId2451" Type="http://schemas.openxmlformats.org/officeDocument/2006/relationships/hyperlink" Target="https://techcombank.com/thong-tin/blog/cho-vay-kinh-doanh-ho-gia-dinh" TargetMode="External"/><Relationship Id="rId532" Type="http://schemas.openxmlformats.org/officeDocument/2006/relationships/hyperlink" Target="https://techcombank.com/thong-tin/blog/vip-ngan-hang" TargetMode="External"/><Relationship Id="rId1121" Type="http://schemas.openxmlformats.org/officeDocument/2006/relationships/hyperlink" Target="https://techcombank.com/thong-tin/blog/hieu-hiet-ve-tuan-thu-thue-cho-cac-doanh-nghiep-khoi-nghiep" TargetMode="External"/><Relationship Id="rId2452" Type="http://schemas.openxmlformats.org/officeDocument/2006/relationships/hyperlink" Target="https://techcombank.com/thong-tin/blog/vay-von-doanh-nghiep-nho" TargetMode="External"/><Relationship Id="rId531" Type="http://schemas.openxmlformats.org/officeDocument/2006/relationships/hyperlink" Target="https://techcombank.com/thong-tin/blog/cach-chuyen-tien" TargetMode="External"/><Relationship Id="rId1122" Type="http://schemas.openxmlformats.org/officeDocument/2006/relationships/hyperlink" Target="https://techcombank.com/thong-tin/blog/dieu-kien-mua-usd-tu-ngan-hang" TargetMode="External"/><Relationship Id="rId2453" Type="http://schemas.openxmlformats.org/officeDocument/2006/relationships/hyperlink" Target="https://techcombank.com/thong-tin/blog/vay-mua-chung-cu" TargetMode="External"/><Relationship Id="rId530" Type="http://schemas.openxmlformats.org/officeDocument/2006/relationships/hyperlink" Target="https://techcombank.com/thong-tin/blog/y-nghia-so-68" TargetMode="External"/><Relationship Id="rId1123" Type="http://schemas.openxmlformats.org/officeDocument/2006/relationships/hyperlink" Target="https://techcombank.com/thong-tin/blog/mo-tai-khoan-ngan-hang-bang-so-dien-thoai" TargetMode="External"/><Relationship Id="rId2454" Type="http://schemas.openxmlformats.org/officeDocument/2006/relationships/hyperlink" Target="https://techcombank.com/thong-tin/blog/tra-gop-hoc-phi" TargetMode="External"/><Relationship Id="rId1124" Type="http://schemas.openxmlformats.org/officeDocument/2006/relationships/hyperlink" Target="https://techcombank.com/thong-tin/blog/thanh-toan-khi-du-lich-han-quoc" TargetMode="External"/><Relationship Id="rId2455" Type="http://schemas.openxmlformats.org/officeDocument/2006/relationships/hyperlink" Target="https://techcombank.com/thong-tin/blog/vay-50-trieu" TargetMode="External"/><Relationship Id="rId1158" Type="http://schemas.openxmlformats.org/officeDocument/2006/relationships/hyperlink" Target="https://techcombank.com/thong-tin/blog/sms-banking" TargetMode="External"/><Relationship Id="rId2489" Type="http://schemas.openxmlformats.org/officeDocument/2006/relationships/hyperlink" Target="https://techcombank.com/thong-tin/blog/ngan-hang-dien-tu" TargetMode="External"/><Relationship Id="rId1159" Type="http://schemas.openxmlformats.org/officeDocument/2006/relationships/hyperlink" Target="https://techcombank.com/thong-tin/blog/phi-thuong-nien-la-gi" TargetMode="External"/><Relationship Id="rId569" Type="http://schemas.openxmlformats.org/officeDocument/2006/relationships/hyperlink" Target="https://techcombank.com/thong-tin/blog/mo-tai-khoan-ngan-hang-duoi-18-tuoi" TargetMode="External"/><Relationship Id="rId568" Type="http://schemas.openxmlformats.org/officeDocument/2006/relationships/hyperlink" Target="https://techcombank.com/thong-tin/blog/mau-mo-tai-khoan-doanh-nghiep-techcombank" TargetMode="External"/><Relationship Id="rId567" Type="http://schemas.openxmlformats.org/officeDocument/2006/relationships/hyperlink" Target="https://techcombank.com/thong-tin/blog/cach-dong-tien-dien-qua-tai-khoan-ngan-hang" TargetMode="External"/><Relationship Id="rId566" Type="http://schemas.openxmlformats.org/officeDocument/2006/relationships/hyperlink" Target="https://techcombank.com/thong-tin/blog/thue-thu-nhap-ca-nhan" TargetMode="External"/><Relationship Id="rId2480" Type="http://schemas.openxmlformats.org/officeDocument/2006/relationships/hyperlink" Target="https://techcombank.com/thong-tin/blog/vay-mua-nha-o-xa-hoi" TargetMode="External"/><Relationship Id="rId561" Type="http://schemas.openxmlformats.org/officeDocument/2006/relationships/hyperlink" Target="https://techcombank.com/thong-tin/blog/cach-lien-ket-tai-khoan-ngan-hang-voi-vneid" TargetMode="External"/><Relationship Id="rId1150" Type="http://schemas.openxmlformats.org/officeDocument/2006/relationships/hyperlink" Target="https://techcombank.com/thong-tin/blog/cach-lien-ket-tai-khoan-ngan-hang-voi-vneid" TargetMode="External"/><Relationship Id="rId2481" Type="http://schemas.openxmlformats.org/officeDocument/2006/relationships/hyperlink" Target="https://techcombank.com/thong-tin/blog/vay-mua-xe-tra-gop-ngan-hang-nao-tot-nhat" TargetMode="External"/><Relationship Id="rId560" Type="http://schemas.openxmlformats.org/officeDocument/2006/relationships/hyperlink" Target="https://techcombank.com/thong-tin/blog/cach-doi-mat-khau-tai-khoan-ngan-hang" TargetMode="External"/><Relationship Id="rId1151" Type="http://schemas.openxmlformats.org/officeDocument/2006/relationships/hyperlink" Target="https://techcombank.com/thong-tin/blog/cach-nap-the-mobi" TargetMode="External"/><Relationship Id="rId2482" Type="http://schemas.openxmlformats.org/officeDocument/2006/relationships/hyperlink" Target="https://techcombank.com/thong-tin/blog/nen-mua-xe-tra-gop-hay-tra-thang" TargetMode="External"/><Relationship Id="rId1152" Type="http://schemas.openxmlformats.org/officeDocument/2006/relationships/hyperlink" Target="https://techcombank.com/thong-tin/blog/the-atm-gan-chip" TargetMode="External"/><Relationship Id="rId2483" Type="http://schemas.openxmlformats.org/officeDocument/2006/relationships/hyperlink" Target="https://techcombank.com/thong-tin/blog/vay-the-chap-kinh-doanh" TargetMode="External"/><Relationship Id="rId1153" Type="http://schemas.openxmlformats.org/officeDocument/2006/relationships/hyperlink" Target="https://techcombank.com/thong-tin/blog/quy-trinh-gui-tien-tiet-kiem" TargetMode="External"/><Relationship Id="rId2484" Type="http://schemas.openxmlformats.org/officeDocument/2006/relationships/hyperlink" Target="https://techcombank.com/thong-tin/blog/the-ghi-no-va-the-tin-dung" TargetMode="External"/><Relationship Id="rId565" Type="http://schemas.openxmlformats.org/officeDocument/2006/relationships/hyperlink" Target="https://techcombank.com/thong-tin/blog/dang-ky-nhieu-tai-khoan-ngan-hang-co-sao-khong" TargetMode="External"/><Relationship Id="rId1154" Type="http://schemas.openxmlformats.org/officeDocument/2006/relationships/hyperlink" Target="https://techcombank.com/thong-tin/blog/thue-thuong-mai-dien-tu" TargetMode="External"/><Relationship Id="rId2485" Type="http://schemas.openxmlformats.org/officeDocument/2006/relationships/hyperlink" Target="https://techcombank.com/thong-tin/blog/lai-suat-vay-the-chap" TargetMode="External"/><Relationship Id="rId564" Type="http://schemas.openxmlformats.org/officeDocument/2006/relationships/hyperlink" Target="https://techcombank.com/thong-tin/blog/88-la-gi" TargetMode="External"/><Relationship Id="rId1155" Type="http://schemas.openxmlformats.org/officeDocument/2006/relationships/hyperlink" Target="https://techcombank.com/thong-tin/blog/ma-pin-the-atm" TargetMode="External"/><Relationship Id="rId2486" Type="http://schemas.openxmlformats.org/officeDocument/2006/relationships/hyperlink" Target="https://techcombank.com/thong-tin/blog/uu-dai-the-tin-dung-techcombank-signature" TargetMode="External"/><Relationship Id="rId563" Type="http://schemas.openxmlformats.org/officeDocument/2006/relationships/hyperlink" Target="https://techcombank.com/thong-tin/blog/tai-khoan-ngan-hang-chua-toi-da-bao-nhieu-tien" TargetMode="External"/><Relationship Id="rId1156" Type="http://schemas.openxmlformats.org/officeDocument/2006/relationships/hyperlink" Target="https://techcombank.com/thong-tin/blog/atm-la-gi" TargetMode="External"/><Relationship Id="rId2487" Type="http://schemas.openxmlformats.org/officeDocument/2006/relationships/hyperlink" Target="https://techcombank.com/thong-tin/blog/vay-tin-chap-va-vay-the-chap" TargetMode="External"/><Relationship Id="rId562" Type="http://schemas.openxmlformats.org/officeDocument/2006/relationships/hyperlink" Target="https://techcombank.com/thong-tin/blog/lo-so-tai-khoan-ngan-hang-co-sao-khong" TargetMode="External"/><Relationship Id="rId1157" Type="http://schemas.openxmlformats.org/officeDocument/2006/relationships/hyperlink" Target="https://techcombank.com/thong-tin/blog/bao-hiem-suc-khoe-la-gi" TargetMode="External"/><Relationship Id="rId2488" Type="http://schemas.openxmlformats.org/officeDocument/2006/relationships/hyperlink" Target="https://techcombank.com/thong-tin/blog/the-tin-dung-phu-la-gi" TargetMode="External"/><Relationship Id="rId1147" Type="http://schemas.openxmlformats.org/officeDocument/2006/relationships/hyperlink" Target="https://techcombank.com/thong-tin/blog/cach-nap-the-vina" TargetMode="External"/><Relationship Id="rId2478" Type="http://schemas.openxmlformats.org/officeDocument/2006/relationships/hyperlink" Target="https://techcombank.com/thong-tin/blog/vay-30-trieu" TargetMode="External"/><Relationship Id="rId1148" Type="http://schemas.openxmlformats.org/officeDocument/2006/relationships/hyperlink" Target="https://techcombank.com/thong-tin/blog/dac-san-nha-trang" TargetMode="External"/><Relationship Id="rId2479" Type="http://schemas.openxmlformats.org/officeDocument/2006/relationships/hyperlink" Target="https://techcombank.com/thong-tin/blog/cach-su-dung-the-tin-dung" TargetMode="External"/><Relationship Id="rId1149" Type="http://schemas.openxmlformats.org/officeDocument/2006/relationships/hyperlink" Target="https://techcombank.com/thong-tin/blog/the-ghi-no-la-gi" TargetMode="External"/><Relationship Id="rId558" Type="http://schemas.openxmlformats.org/officeDocument/2006/relationships/hyperlink" Target="https://techcombank.com/thong-tin/blog/techcombank-sinh-loi-tu-dong" TargetMode="External"/><Relationship Id="rId557" Type="http://schemas.openxmlformats.org/officeDocument/2006/relationships/hyperlink" Target="https://techcombank.com/thong-tin/blog/mo-them-tai-khoan-ngan-hang-cho-cong-ty" TargetMode="External"/><Relationship Id="rId556" Type="http://schemas.openxmlformats.org/officeDocument/2006/relationships/hyperlink" Target="https://techcombank.com/thong-tin/blog/nen-mo-tai-khoan-ngan-hang-nao-cho-doanh-nghiep" TargetMode="External"/><Relationship Id="rId555" Type="http://schemas.openxmlformats.org/officeDocument/2006/relationships/hyperlink" Target="https://techcombank.com/thong-tin/blog/khai-bao-tai-khoan-ngan-hang-voi-co-quan-thue" TargetMode="External"/><Relationship Id="rId559" Type="http://schemas.openxmlformats.org/officeDocument/2006/relationships/hyperlink" Target="https://techcombank.com/thong-tin/blog/nap-tien-vao-tai-khoan-ngan-hang" TargetMode="External"/><Relationship Id="rId550" Type="http://schemas.openxmlformats.org/officeDocument/2006/relationships/hyperlink" Target="https://techcombank.com/thong-tin/blog/mo-tai-khoan-ho-kinh-doanh" TargetMode="External"/><Relationship Id="rId2470" Type="http://schemas.openxmlformats.org/officeDocument/2006/relationships/hyperlink" Target="https://techcombank.com/thong-tin/blog/vay-the-chap-so-hong" TargetMode="External"/><Relationship Id="rId1140" Type="http://schemas.openxmlformats.org/officeDocument/2006/relationships/hyperlink" Target="https://techcombank.com/thong-tin/blog/thanh-toan-khi-du-lich-singapore" TargetMode="External"/><Relationship Id="rId2471" Type="http://schemas.openxmlformats.org/officeDocument/2006/relationships/hyperlink" Target="https://techcombank.com/thong-tin/blog/lai-suat-vay-mua-o-to" TargetMode="External"/><Relationship Id="rId1141" Type="http://schemas.openxmlformats.org/officeDocument/2006/relationships/hyperlink" Target="https://techcombank.com/thong-tin/blog/cac-loai-bao-hiem-suc-khoe" TargetMode="External"/><Relationship Id="rId2472" Type="http://schemas.openxmlformats.org/officeDocument/2006/relationships/hyperlink" Target="https://techcombank.com/thong-tin/blog/nen-lam-the-visa-hay-noi-dia" TargetMode="External"/><Relationship Id="rId1142" Type="http://schemas.openxmlformats.org/officeDocument/2006/relationships/hyperlink" Target="https://techcombank.com/thong-tin/blog/wacc-la-gi" TargetMode="External"/><Relationship Id="rId2473" Type="http://schemas.openxmlformats.org/officeDocument/2006/relationships/hyperlink" Target="https://techcombank.com/thong-tin/blog/vay-300-trieu" TargetMode="External"/><Relationship Id="rId554" Type="http://schemas.openxmlformats.org/officeDocument/2006/relationships/hyperlink" Target="https://techcombank.com/thong-tin/blog/co-nen-mua-so-tai-khoan-ngan-hang-dep" TargetMode="External"/><Relationship Id="rId1143" Type="http://schemas.openxmlformats.org/officeDocument/2006/relationships/hyperlink" Target="https://techcombank.com/thong-tin/blog/cach-tra-cuu-hoa-don-dien-tu" TargetMode="External"/><Relationship Id="rId2474" Type="http://schemas.openxmlformats.org/officeDocument/2006/relationships/hyperlink" Target="https://techcombank.com/thong-tin/blog/vay-the-chap-xe-o-to-cu" TargetMode="External"/><Relationship Id="rId553" Type="http://schemas.openxmlformats.org/officeDocument/2006/relationships/hyperlink" Target="https://techcombank.com/thong-tin/blog/cach-lien-ket-epass-voi-tai-khoan-ngan-hang" TargetMode="External"/><Relationship Id="rId1144" Type="http://schemas.openxmlformats.org/officeDocument/2006/relationships/hyperlink" Target="https://techcombank.com/thong-tin/blog/the-ghi-no-co-rut-tien-duoc-khong" TargetMode="External"/><Relationship Id="rId2475" Type="http://schemas.openxmlformats.org/officeDocument/2006/relationships/hyperlink" Target="https://techcombank.com/thong-tin/blog/thu-tuc-mua-xe-tra-gop" TargetMode="External"/><Relationship Id="rId552" Type="http://schemas.openxmlformats.org/officeDocument/2006/relationships/hyperlink" Target="https://techcombank.com/thong-tin/blog/cach-kiem-tra-tai-khoan-ngan-hang-cua-cong-ty" TargetMode="External"/><Relationship Id="rId1145" Type="http://schemas.openxmlformats.org/officeDocument/2006/relationships/hyperlink" Target="https://techcombank.com/thong-tin/blog/luat-thuong-mai-dien-tu" TargetMode="External"/><Relationship Id="rId2476" Type="http://schemas.openxmlformats.org/officeDocument/2006/relationships/hyperlink" Target="https://techcombank.com/thong-tin/blog/tra-gop-lazada" TargetMode="External"/><Relationship Id="rId551" Type="http://schemas.openxmlformats.org/officeDocument/2006/relationships/hyperlink" Target="https://techcombank.com/thong-tin/blog/lien-ket-tai-khoan-ngan-hang-voi-etax-mobile" TargetMode="External"/><Relationship Id="rId1146" Type="http://schemas.openxmlformats.org/officeDocument/2006/relationships/hyperlink" Target="https://techcombank.com/thong-tin/blog/the-napas-la-gi" TargetMode="External"/><Relationship Id="rId2477" Type="http://schemas.openxmlformats.org/officeDocument/2006/relationships/hyperlink" Target="https://techcombank.com/thong-tin/blog/lam-ho-so-tra-gop-dien-thoai" TargetMode="External"/><Relationship Id="rId495" Type="http://schemas.openxmlformats.org/officeDocument/2006/relationships/hyperlink" Target="https://techcombank.com/thong-tin/blog/chuyen-doi-ho-kinh-doanh-len-doanh-nghiep" TargetMode="External"/><Relationship Id="rId494" Type="http://schemas.openxmlformats.org/officeDocument/2006/relationships/hyperlink" Target="https://techcombank.com/thong-tin/blog/ke-khai-thue-ho-kinh-doanh-ca-the-online" TargetMode="External"/><Relationship Id="rId493" Type="http://schemas.openxmlformats.org/officeDocument/2006/relationships/hyperlink" Target="https://techcombank.com/thong-tin/blog/giai-dap-ve-thue-doanh-nghiep" TargetMode="External"/><Relationship Id="rId492" Type="http://schemas.openxmlformats.org/officeDocument/2006/relationships/hyperlink" Target="https://techcombank.com/thong-tin/blog/tra-cuu-no-thue-doanh-nghiep" TargetMode="External"/><Relationship Id="rId499" Type="http://schemas.openxmlformats.org/officeDocument/2006/relationships/hyperlink" Target="https://techcombank.com/thong-tin/blog/hu-chi-tieu" TargetMode="External"/><Relationship Id="rId498" Type="http://schemas.openxmlformats.org/officeDocument/2006/relationships/hyperlink" Target="https://techcombank.com/thong-tin/blog/bao-hiem-nhan-tho-bao-nhieu-tien" TargetMode="External"/><Relationship Id="rId497" Type="http://schemas.openxmlformats.org/officeDocument/2006/relationships/hyperlink" Target="https://techcombank.com/thong-tin/blog/bi-quyet-tiet-kiem-tien-mua-nha" TargetMode="External"/><Relationship Id="rId496" Type="http://schemas.openxmlformats.org/officeDocument/2006/relationships/hyperlink" Target="https://techcombank.com/thong-tin/blog/nen-thanh-lap-ho-kinh-doanh-ke-khai-hay-doanh-nghiep" TargetMode="External"/><Relationship Id="rId1213" Type="http://schemas.openxmlformats.org/officeDocument/2006/relationships/hyperlink" Target="https://techcombank.com/thong-tin/blog/no-xau-mo-the-tin-dung-duoc-khong" TargetMode="External"/><Relationship Id="rId2544" Type="http://schemas.openxmlformats.org/officeDocument/2006/relationships/hyperlink" Target="https://techcombank.com/thong-tin/blog/the-napas-la-gi" TargetMode="External"/><Relationship Id="rId1214" Type="http://schemas.openxmlformats.org/officeDocument/2006/relationships/hyperlink" Target="https://techcombank.com/thong-tin/blog/the-tin-dung-phu-la-gi" TargetMode="External"/><Relationship Id="rId2545" Type="http://schemas.openxmlformats.org/officeDocument/2006/relationships/hyperlink" Target="https://techcombank.com/thong-tin/blog/kinh-nghiem-gui-tiet-kiem-online" TargetMode="External"/><Relationship Id="rId1215" Type="http://schemas.openxmlformats.org/officeDocument/2006/relationships/hyperlink" Target="https://techcombank.com/thong-tin/blog/co-nen-dung-the-tin-dung-khong" TargetMode="External"/><Relationship Id="rId2546" Type="http://schemas.openxmlformats.org/officeDocument/2006/relationships/hyperlink" Target="https://techcombank.com/thong-tin/blog/so-sanh-gui-tiet-kiem-online-va-tai-quay" TargetMode="External"/><Relationship Id="rId1216" Type="http://schemas.openxmlformats.org/officeDocument/2006/relationships/hyperlink" Target="https://techcombank.com/thong-tin/blog/the-tin-dung-ao" TargetMode="External"/><Relationship Id="rId2547" Type="http://schemas.openxmlformats.org/officeDocument/2006/relationships/hyperlink" Target="https://techcombank.com/thong-tin/blog/cach-tiet-kiem-tien-sinh-loi" TargetMode="External"/><Relationship Id="rId1217" Type="http://schemas.openxmlformats.org/officeDocument/2006/relationships/hyperlink" Target="https://techcombank.com/thong-tin/blog/no-xau-co-lam-the-visa-duoc-khong" TargetMode="External"/><Relationship Id="rId2548" Type="http://schemas.openxmlformats.org/officeDocument/2006/relationships/hyperlink" Target="https://techcombank.com/thong-tin/blog/gui-tiet-kiem-hang-thang" TargetMode="External"/><Relationship Id="rId1218" Type="http://schemas.openxmlformats.org/officeDocument/2006/relationships/hyperlink" Target="https://techcombank.com/thong-tin/blog/uu-dai-mo-the-tin-dung" TargetMode="External"/><Relationship Id="rId2549" Type="http://schemas.openxmlformats.org/officeDocument/2006/relationships/hyperlink" Target="https://techcombank.com/thong-tin/blog/gui-tiet-kiem-vang" TargetMode="External"/><Relationship Id="rId1219" Type="http://schemas.openxmlformats.org/officeDocument/2006/relationships/hyperlink" Target="https://techcombank.com/thong-tin/blog/khong-su-dung-the-tin-dung-co-mat-phi-khong" TargetMode="External"/><Relationship Id="rId2540" Type="http://schemas.openxmlformats.org/officeDocument/2006/relationships/hyperlink" Target="https://techcombank.com/thong-tin/blog/lai-suat-chung-chi-tien-gui-cac-ngan-hang" TargetMode="External"/><Relationship Id="rId1210" Type="http://schemas.openxmlformats.org/officeDocument/2006/relationships/hyperlink" Target="https://techcombank.com/thong-tin/blog/tra-gop-shopee" TargetMode="External"/><Relationship Id="rId2541" Type="http://schemas.openxmlformats.org/officeDocument/2006/relationships/hyperlink" Target="https://techcombank.com/thong-tin/blog/gui-tiet-kiem-theo-ngay" TargetMode="External"/><Relationship Id="rId1211" Type="http://schemas.openxmlformats.org/officeDocument/2006/relationships/hyperlink" Target="https://techcombank.com/thong-tin/blog/lam-the-tin-dung-co-mat-phi-khong" TargetMode="External"/><Relationship Id="rId2542" Type="http://schemas.openxmlformats.org/officeDocument/2006/relationships/hyperlink" Target="https://techcombank.com/thong-tin/blog/nen-gui-tiet-kiem-6-thang-hay-1-nam" TargetMode="External"/><Relationship Id="rId1212" Type="http://schemas.openxmlformats.org/officeDocument/2006/relationships/hyperlink" Target="https://techcombank.com/thong-tin/blog/mo-the-tin-dung-han-muc-cao" TargetMode="External"/><Relationship Id="rId2543" Type="http://schemas.openxmlformats.org/officeDocument/2006/relationships/hyperlink" Target="https://techcombank.com/thong-tin/blog/gui-tiet-kiem-online-quay-vong-ca-goc-va-lai" TargetMode="External"/><Relationship Id="rId1202" Type="http://schemas.openxmlformats.org/officeDocument/2006/relationships/hyperlink" Target="https://techcombank.com/thong-tin/blog/the-tin-dung-phu-la-gi" TargetMode="External"/><Relationship Id="rId2533" Type="http://schemas.openxmlformats.org/officeDocument/2006/relationships/hyperlink" Target="https://techcombank.com/thong-tin/blog/no-xau-mo-the-tin-dung-duoc-khong" TargetMode="External"/><Relationship Id="rId1203" Type="http://schemas.openxmlformats.org/officeDocument/2006/relationships/hyperlink" Target="https://techcombank.com/thong-tin/blog/cach-tiet-kiem-tien-cua-nguoi-nhat" TargetMode="External"/><Relationship Id="rId2534" Type="http://schemas.openxmlformats.org/officeDocument/2006/relationships/hyperlink" Target="https://techcombank.com/thong-tin/blog/rut-tien-bao-hiem-nhan-tho-khi-het-han" TargetMode="External"/><Relationship Id="rId1204" Type="http://schemas.openxmlformats.org/officeDocument/2006/relationships/hyperlink" Target="https://techcombank.com/thong-tin/blog/mo-the-tin-dung-han-muc-cao" TargetMode="External"/><Relationship Id="rId2535" Type="http://schemas.openxmlformats.org/officeDocument/2006/relationships/hyperlink" Target="https://techcombank.com/thong-tin/blog/mo-the-tin-dung-khong-can-chung-minh-thu-nhap" TargetMode="External"/><Relationship Id="rId1205" Type="http://schemas.openxmlformats.org/officeDocument/2006/relationships/hyperlink" Target="https://techcombank.com/thong-tin/blog/the-tin-dung-noi-dia" TargetMode="External"/><Relationship Id="rId2536" Type="http://schemas.openxmlformats.org/officeDocument/2006/relationships/hyperlink" Target="https://techcombank.com/thong-tin/blog/chung-chi-tien-gui-khac-gi-so-tiet-kiem" TargetMode="External"/><Relationship Id="rId1206" Type="http://schemas.openxmlformats.org/officeDocument/2006/relationships/hyperlink" Target="https://techcombank.com/thong-tin/blog/tra-gop-qua-the-tin-dung" TargetMode="External"/><Relationship Id="rId2537" Type="http://schemas.openxmlformats.org/officeDocument/2006/relationships/hyperlink" Target="https://techcombank.com/thong-tin/blog/chung-chi-tien-gui-co-duoc-rut-truoc-han" TargetMode="External"/><Relationship Id="rId1207" Type="http://schemas.openxmlformats.org/officeDocument/2006/relationships/hyperlink" Target="https://techcombank.com/thong-tin/blog/the-ghi-no-visa-la-gi" TargetMode="External"/><Relationship Id="rId2538" Type="http://schemas.openxmlformats.org/officeDocument/2006/relationships/hyperlink" Target="https://techcombank.com/thong-tin/blog/app-gui-tien-tiet-kiem" TargetMode="External"/><Relationship Id="rId1208" Type="http://schemas.openxmlformats.org/officeDocument/2006/relationships/hyperlink" Target="https://techcombank.com/thong-tin/blog/tra-gop-lazada" TargetMode="External"/><Relationship Id="rId2539" Type="http://schemas.openxmlformats.org/officeDocument/2006/relationships/hyperlink" Target="https://techcombank.com/thong-tin/blog/tien-gui-co-ky-han" TargetMode="External"/><Relationship Id="rId1209" Type="http://schemas.openxmlformats.org/officeDocument/2006/relationships/hyperlink" Target="https://techcombank.com/thong-tin/blog/lam-ho-so-tra-gop-dien-thoai" TargetMode="External"/><Relationship Id="rId2530" Type="http://schemas.openxmlformats.org/officeDocument/2006/relationships/hyperlink" Target="https://techcombank.com/thong-tin/blog/tai-sao-gui-tiet-kiem-online-lai-suat-cao-hon" TargetMode="External"/><Relationship Id="rId1200" Type="http://schemas.openxmlformats.org/officeDocument/2006/relationships/hyperlink" Target="https://techcombank.com/thong-tin/blog/sao-ke-the-tin-dung-la-gi" TargetMode="External"/><Relationship Id="rId2531" Type="http://schemas.openxmlformats.org/officeDocument/2006/relationships/hyperlink" Target="https://techcombank.com/thong-tin/blog/mo-so-tiet-kiem-can-bao-nhieu-tien" TargetMode="External"/><Relationship Id="rId1201" Type="http://schemas.openxmlformats.org/officeDocument/2006/relationships/hyperlink" Target="https://techcombank.com/thong-tin/blog/no-xau-mo-the-tin-dung-duoc-khong" TargetMode="External"/><Relationship Id="rId2532" Type="http://schemas.openxmlformats.org/officeDocument/2006/relationships/hyperlink" Target="https://techcombank.com/thong-tin/blog/dau-tu-ngan-han" TargetMode="External"/><Relationship Id="rId1235" Type="http://schemas.openxmlformats.org/officeDocument/2006/relationships/hyperlink" Target="https://techcombank.com/thong-tin/blog/the-visa-de-lam-gi" TargetMode="External"/><Relationship Id="rId2566" Type="http://schemas.openxmlformats.org/officeDocument/2006/relationships/hyperlink" Target="https://techcombank.com/thong-tin/blog/co-nen-gui-tiet-kiem-ngan-hang" TargetMode="External"/><Relationship Id="rId1236" Type="http://schemas.openxmlformats.org/officeDocument/2006/relationships/hyperlink" Target="https://techcombank.com/thong-tin/blog/the-tin-dung-het-han" TargetMode="External"/><Relationship Id="rId2567" Type="http://schemas.openxmlformats.org/officeDocument/2006/relationships/hyperlink" Target="https://techcombank.com/thong-tin/blog/lai-suat-tiet-kiem" TargetMode="External"/><Relationship Id="rId1237" Type="http://schemas.openxmlformats.org/officeDocument/2006/relationships/hyperlink" Target="https://techcombank.com/thong-tin/blog/lam-the-atm-bao-lau-co" TargetMode="External"/><Relationship Id="rId2568" Type="http://schemas.openxmlformats.org/officeDocument/2006/relationships/hyperlink" Target="https://techcombank.com/thong-tin/blog/co-nen-gui-tiet-kiem-online" TargetMode="External"/><Relationship Id="rId1238" Type="http://schemas.openxmlformats.org/officeDocument/2006/relationships/hyperlink" Target="https://techcombank.com/thong-tin/blog/the-napas-la-gi" TargetMode="External"/><Relationship Id="rId2569" Type="http://schemas.openxmlformats.org/officeDocument/2006/relationships/hyperlink" Target="https://techcombank.com/thong-tin/blog/cach-gui-tiet-kiem-online" TargetMode="External"/><Relationship Id="rId1239" Type="http://schemas.openxmlformats.org/officeDocument/2006/relationships/hyperlink" Target="https://techcombank.com/thong-tin/blog/ma-buu-chinh-the-tin-dung" TargetMode="External"/><Relationship Id="rId409" Type="http://schemas.openxmlformats.org/officeDocument/2006/relationships/hyperlink" Target="https://techcombank.com/thong-tin/blog/voucher-golden-gate" TargetMode="External"/><Relationship Id="rId404" Type="http://schemas.openxmlformats.org/officeDocument/2006/relationships/hyperlink" Target="https://techcombank.com/thong-tin/blog/thanh-toan-cuoc-truyen-hinh" TargetMode="External"/><Relationship Id="rId403" Type="http://schemas.openxmlformats.org/officeDocument/2006/relationships/hyperlink" Target="https://techcombank.com/thong-tin/blog/no-xau-mo-the-tin-dung-duoc-khong" TargetMode="External"/><Relationship Id="rId402" Type="http://schemas.openxmlformats.org/officeDocument/2006/relationships/hyperlink" Target="https://techcombank.com/thong-tin/blog/cach-su-dung-the-visa-techcombank" TargetMode="External"/><Relationship Id="rId401" Type="http://schemas.openxmlformats.org/officeDocument/2006/relationships/hyperlink" Target="https://techcombank.com/thong-tin/blog/the-tin-dung-la-gi" TargetMode="External"/><Relationship Id="rId408" Type="http://schemas.openxmlformats.org/officeDocument/2006/relationships/hyperlink" Target="https://techcombank.com/thong-tin/blog/thanh-toan-truc-tuyen" TargetMode="External"/><Relationship Id="rId407" Type="http://schemas.openxmlformats.org/officeDocument/2006/relationships/hyperlink" Target="https://techcombank.com/thong-tin/blog/the-visa-khong-thanh-toan-duoc" TargetMode="External"/><Relationship Id="rId406" Type="http://schemas.openxmlformats.org/officeDocument/2006/relationships/hyperlink" Target="https://techcombank.com/thong-tin/blog/nen-lam-the-visa-hay-noi-dia" TargetMode="External"/><Relationship Id="rId405" Type="http://schemas.openxmlformats.org/officeDocument/2006/relationships/hyperlink" Target="https://techcombank.com/thong-tin/blog/the-visa-co-may-loai" TargetMode="External"/><Relationship Id="rId2560" Type="http://schemas.openxmlformats.org/officeDocument/2006/relationships/hyperlink" Target="https://techcombank.com/thong-tin/blog/nen-gui-tiet-kiem-thong-thuong-hay-tich-luy" TargetMode="External"/><Relationship Id="rId1230" Type="http://schemas.openxmlformats.org/officeDocument/2006/relationships/hyperlink" Target="https://techcombank.com/thong-tin/blog/mua-iphone-17" TargetMode="External"/><Relationship Id="rId2561" Type="http://schemas.openxmlformats.org/officeDocument/2006/relationships/hyperlink" Target="https://techcombank.com/thong-tin/blog/tai-sao-gui-tiet-kiem-online-lai-suat-cao-hon" TargetMode="External"/><Relationship Id="rId400" Type="http://schemas.openxmlformats.org/officeDocument/2006/relationships/hyperlink" Target="https://techcombank.com/thong-tin/blog/so-du-tien-gui-la-gi" TargetMode="External"/><Relationship Id="rId1231" Type="http://schemas.openxmlformats.org/officeDocument/2006/relationships/hyperlink" Target="https://techcombank.com/thong-tin/blog/cach-lam-the-atm" TargetMode="External"/><Relationship Id="rId2562" Type="http://schemas.openxmlformats.org/officeDocument/2006/relationships/hyperlink" Target="https://techcombank.com/thong-tin/blog/tat-toan-so-tiet-kiem" TargetMode="External"/><Relationship Id="rId1232" Type="http://schemas.openxmlformats.org/officeDocument/2006/relationships/hyperlink" Target="https://techcombank.com/thong-tin/blog/the-visa-co-can-mat-khau-khong" TargetMode="External"/><Relationship Id="rId2563" Type="http://schemas.openxmlformats.org/officeDocument/2006/relationships/hyperlink" Target="https://techcombank.com/thong-tin/blog/tat-toan" TargetMode="External"/><Relationship Id="rId1233" Type="http://schemas.openxmlformats.org/officeDocument/2006/relationships/hyperlink" Target="https://techcombank.com/thong-tin/blog/mua-truoc-tra-sau" TargetMode="External"/><Relationship Id="rId2564" Type="http://schemas.openxmlformats.org/officeDocument/2006/relationships/hyperlink" Target="https://techcombank.com/thong-tin/blog/dao-han-la-gi" TargetMode="External"/><Relationship Id="rId1234" Type="http://schemas.openxmlformats.org/officeDocument/2006/relationships/hyperlink" Target="https://techcombank.com/thong-tin/blog/tra-cuu-han-muc-the-tin-dung" TargetMode="External"/><Relationship Id="rId2565" Type="http://schemas.openxmlformats.org/officeDocument/2006/relationships/hyperlink" Target="https://techcombank.com/thong-tin/blog/nen-de-tien-trong-the-hay-gui-tiet-kiem" TargetMode="External"/><Relationship Id="rId1224" Type="http://schemas.openxmlformats.org/officeDocument/2006/relationships/hyperlink" Target="https://techcombank.com/thong-tin/blog/uu-dai-mua-ve-may-bay-bang-the-tin-dung" TargetMode="External"/><Relationship Id="rId2555" Type="http://schemas.openxmlformats.org/officeDocument/2006/relationships/hyperlink" Target="https://techcombank.com/thong-tin/blog/quy-trinh-gui-tien-tiet-kiem" TargetMode="External"/><Relationship Id="rId1225" Type="http://schemas.openxmlformats.org/officeDocument/2006/relationships/hyperlink" Target="https://techcombank.com/thong-tin/blog/mat-the-tin-dung-co-bi-mat-tien-khong" TargetMode="External"/><Relationship Id="rId2556" Type="http://schemas.openxmlformats.org/officeDocument/2006/relationships/hyperlink" Target="https://techcombank.com/thong-tin/blog/mo-the-tin-dung-khong-can-chung-minh-thu-nhap" TargetMode="External"/><Relationship Id="rId1226" Type="http://schemas.openxmlformats.org/officeDocument/2006/relationships/hyperlink" Target="https://techcombank.com/thong-tin/blog/lam-the-atm-co-mat-phi-khong" TargetMode="External"/><Relationship Id="rId2557" Type="http://schemas.openxmlformats.org/officeDocument/2006/relationships/hyperlink" Target="https://techcombank.com/thong-tin/blog/rut-tien-tiet-kiem-truoc-thoi-han" TargetMode="External"/><Relationship Id="rId1227" Type="http://schemas.openxmlformats.org/officeDocument/2006/relationships/hyperlink" Target="https://techcombank.com/thong-tin/blog/the-tin-dung-nao-nhieu-uu-dai-nhat" TargetMode="External"/><Relationship Id="rId2558" Type="http://schemas.openxmlformats.org/officeDocument/2006/relationships/hyperlink" Target="https://techcombank.com/thong-tin/blog/vay-thau-chi-la-gi" TargetMode="External"/><Relationship Id="rId1228" Type="http://schemas.openxmlformats.org/officeDocument/2006/relationships/hyperlink" Target="https://techcombank.com/thong-tin/blog/cach-lam-the-ngan-hang-chay-quang-cao-facebook" TargetMode="External"/><Relationship Id="rId2559" Type="http://schemas.openxmlformats.org/officeDocument/2006/relationships/hyperlink" Target="https://techcombank.com/thong-tin/blog/tai-khoan-thanh-toan-la-gi" TargetMode="External"/><Relationship Id="rId1229" Type="http://schemas.openxmlformats.org/officeDocument/2006/relationships/hyperlink" Target="https://techcombank.com/thong-tin/blog/eco-card" TargetMode="External"/><Relationship Id="rId2550" Type="http://schemas.openxmlformats.org/officeDocument/2006/relationships/hyperlink" Target="https://techcombank.com/thong-tin/blog/cach-gui-tiet-kiem-online" TargetMode="External"/><Relationship Id="rId1220" Type="http://schemas.openxmlformats.org/officeDocument/2006/relationships/hyperlink" Target="https://techcombank.com/thong-tin/blog/tai-khoan-doanh-nghiep-co-the-khong" TargetMode="External"/><Relationship Id="rId2551" Type="http://schemas.openxmlformats.org/officeDocument/2006/relationships/hyperlink" Target="https://techcombank.com/thong-tin/blog/mo-so-tiet-kiem-can-bao-nhieu-tien" TargetMode="External"/><Relationship Id="rId1221" Type="http://schemas.openxmlformats.org/officeDocument/2006/relationships/hyperlink" Target="https://techcombank.com/thong-tin/blog/mm-yy-la-gi" TargetMode="External"/><Relationship Id="rId2552" Type="http://schemas.openxmlformats.org/officeDocument/2006/relationships/hyperlink" Target="https://techcombank.com/thong-tin/blog/mat-so-tiet-kiem" TargetMode="External"/><Relationship Id="rId1222" Type="http://schemas.openxmlformats.org/officeDocument/2006/relationships/hyperlink" Target="https://techcombank.com/thong-tin/blog/uu-dai-the-tin-dung-techcombank-signature" TargetMode="External"/><Relationship Id="rId2553" Type="http://schemas.openxmlformats.org/officeDocument/2006/relationships/hyperlink" Target="https://techcombank.com/thong-tin/blog/gui-them-tien-vao-so-tiet-kiem" TargetMode="External"/><Relationship Id="rId1223" Type="http://schemas.openxmlformats.org/officeDocument/2006/relationships/hyperlink" Target="https://techcombank.com/thong-tin/blog/the-tin-dung-mien-phi-thuong-nien" TargetMode="External"/><Relationship Id="rId2554" Type="http://schemas.openxmlformats.org/officeDocument/2006/relationships/hyperlink" Target="https://techcombank.com/thong-tin/blog/vay-thau-chi-bang-so-tiet-kiem" TargetMode="External"/><Relationship Id="rId2500" Type="http://schemas.openxmlformats.org/officeDocument/2006/relationships/hyperlink" Target="https://techcombank.com/thong-tin/blog/quan-ly-tai-chinh-cho-dan-van-phong" TargetMode="External"/><Relationship Id="rId2501" Type="http://schemas.openxmlformats.org/officeDocument/2006/relationships/hyperlink" Target="https://techcombank.com/thong-tin/blog/dau-tu-ngan-han" TargetMode="External"/><Relationship Id="rId2502" Type="http://schemas.openxmlformats.org/officeDocument/2006/relationships/hyperlink" Target="https://techcombank.com/thong-tin/blog/tiet-kiem-tien-moi-ngay" TargetMode="External"/><Relationship Id="rId2503" Type="http://schemas.openxmlformats.org/officeDocument/2006/relationships/hyperlink" Target="https://techcombank.com/thong-tin/blog/cach-tiet-kiem-100-trieu-1-nam" TargetMode="External"/><Relationship Id="rId2504" Type="http://schemas.openxmlformats.org/officeDocument/2006/relationships/hyperlink" Target="https://techcombank.com/thong-tin/blog/tai-khoan-tiet-kiem" TargetMode="External"/><Relationship Id="rId2505" Type="http://schemas.openxmlformats.org/officeDocument/2006/relationships/hyperlink" Target="https://techcombank.com/thong-tin/blog/the-nao-la-tiet-kiem" TargetMode="External"/><Relationship Id="rId2506" Type="http://schemas.openxmlformats.org/officeDocument/2006/relationships/hyperlink" Target="https://techcombank.com/thong-tin/blog/so-du-kha-dung" TargetMode="External"/><Relationship Id="rId2507" Type="http://schemas.openxmlformats.org/officeDocument/2006/relationships/hyperlink" Target="https://techcombank.com/thong-tin/blog/vay-kinh-doanh-online" TargetMode="External"/><Relationship Id="rId2508" Type="http://schemas.openxmlformats.org/officeDocument/2006/relationships/hyperlink" Target="https://techcombank.com/thong-tin/blog/the-tin-dung-hoan-tien" TargetMode="External"/><Relationship Id="rId2509" Type="http://schemas.openxmlformats.org/officeDocument/2006/relationships/hyperlink" Target="https://techcombank.com/thong-tin/blog/cach-tiet-kiem-tien-cua-nguoi-nhat" TargetMode="External"/><Relationship Id="rId2522" Type="http://schemas.openxmlformats.org/officeDocument/2006/relationships/hyperlink" Target="https://techcombank.com/thong-tin/blog/lai-kep-ngan-hang" TargetMode="External"/><Relationship Id="rId2523" Type="http://schemas.openxmlformats.org/officeDocument/2006/relationships/hyperlink" Target="https://techcombank.com/thong-tin/blog/mat-so-tiet-kiem" TargetMode="External"/><Relationship Id="rId2524" Type="http://schemas.openxmlformats.org/officeDocument/2006/relationships/hyperlink" Target="https://techcombank.com/thong-tin/blog/gui-them-tien-vao-so-tiet-kiem" TargetMode="External"/><Relationship Id="rId2525" Type="http://schemas.openxmlformats.org/officeDocument/2006/relationships/hyperlink" Target="https://techcombank.com/thong-tin/blog/thanh-khoan-la-gi" TargetMode="External"/><Relationship Id="rId2526" Type="http://schemas.openxmlformats.org/officeDocument/2006/relationships/hyperlink" Target="https://techcombank.com/thong-tin/blog/so-tiet-kiem-ngan-hang" TargetMode="External"/><Relationship Id="rId2527" Type="http://schemas.openxmlformats.org/officeDocument/2006/relationships/hyperlink" Target="https://techcombank.com/thong-tin/blog/tat-toan" TargetMode="External"/><Relationship Id="rId2528" Type="http://schemas.openxmlformats.org/officeDocument/2006/relationships/hyperlink" Target="https://techcombank.com/thong-tin/blog/dao-han-la-gi" TargetMode="External"/><Relationship Id="rId2529" Type="http://schemas.openxmlformats.org/officeDocument/2006/relationships/hyperlink" Target="https://techcombank.com/thong-tin/blog/quy-trinh-tat-toan-khoan-vay-the-chap" TargetMode="External"/><Relationship Id="rId2520" Type="http://schemas.openxmlformats.org/officeDocument/2006/relationships/hyperlink" Target="https://techcombank.com/thong-tin/blog/thanh-toan-khi-du-lich-han-quoc" TargetMode="External"/><Relationship Id="rId2521" Type="http://schemas.openxmlformats.org/officeDocument/2006/relationships/hyperlink" Target="https://techcombank.com/thong-tin/blog/vay-thau-chi-bang-so-tiet-kiem" TargetMode="External"/><Relationship Id="rId2511" Type="http://schemas.openxmlformats.org/officeDocument/2006/relationships/hyperlink" Target="https://techcombank.com/thong-tin/blog/gui-them-tien-vao-so-tiet-kiem" TargetMode="External"/><Relationship Id="rId2512" Type="http://schemas.openxmlformats.org/officeDocument/2006/relationships/hyperlink" Target="https://techcombank.com/thong-tin/blog/loi-ich-cua-viec-tiet-kiem-tien" TargetMode="External"/><Relationship Id="rId2513" Type="http://schemas.openxmlformats.org/officeDocument/2006/relationships/hyperlink" Target="https://techcombank.com/thong-tin/blog/dieu-kien-vay-the-chap" TargetMode="External"/><Relationship Id="rId2514" Type="http://schemas.openxmlformats.org/officeDocument/2006/relationships/hyperlink" Target="https://techcombank.com/thong-tin/blog/phan-mem-lap-ke-hoach-tai-chinh-ca-nhan" TargetMode="External"/><Relationship Id="rId2515" Type="http://schemas.openxmlformats.org/officeDocument/2006/relationships/hyperlink" Target="https://techcombank.com/thong-tin/blog/so-du-tai-khoan-thanh-toan" TargetMode="External"/><Relationship Id="rId2516" Type="http://schemas.openxmlformats.org/officeDocument/2006/relationships/hyperlink" Target="https://techcombank.com/thong-tin/blog/mat-so-tiet-kiem" TargetMode="External"/><Relationship Id="rId2517" Type="http://schemas.openxmlformats.org/officeDocument/2006/relationships/hyperlink" Target="https://techcombank.com/thong-tin/blog/tin-dung-doanh-nghiep" TargetMode="External"/><Relationship Id="rId2518" Type="http://schemas.openxmlformats.org/officeDocument/2006/relationships/hyperlink" Target="https://techcombank.com/thong-tin/blog/chung-chi-tien-gui-co-duoc-rut-truoc-han" TargetMode="External"/><Relationship Id="rId2519" Type="http://schemas.openxmlformats.org/officeDocument/2006/relationships/hyperlink" Target="https://techcombank.com/thong-tin/blog/cac-chung-chi-quy-o-viet-nam" TargetMode="External"/><Relationship Id="rId2510" Type="http://schemas.openxmlformats.org/officeDocument/2006/relationships/hyperlink" Target="https://techcombank.com/thong-tin/blog/tai-khoan-thanh-toan-la-gi" TargetMode="External"/><Relationship Id="rId469" Type="http://schemas.openxmlformats.org/officeDocument/2006/relationships/hyperlink" Target="https://techcombank.com/thong-tin/blog/gia-chung-chi-quy-la-gi" TargetMode="External"/><Relationship Id="rId468" Type="http://schemas.openxmlformats.org/officeDocument/2006/relationships/hyperlink" Target="https://techcombank.com/thong-tin/blog/hieu-hiet-ve-tuan-thu-thue-cho-cac-doanh-nghiep-khoi-nghiep" TargetMode="External"/><Relationship Id="rId467" Type="http://schemas.openxmlformats.org/officeDocument/2006/relationships/hyperlink" Target="https://techcombank.com/thong-tin/blog/thue-khoan-ho-kinh-doanh-la-gi" TargetMode="External"/><Relationship Id="rId1290" Type="http://schemas.openxmlformats.org/officeDocument/2006/relationships/hyperlink" Target="https://techcombank.com/thong-tin/blog/the-tin-dung-het-han" TargetMode="External"/><Relationship Id="rId1291" Type="http://schemas.openxmlformats.org/officeDocument/2006/relationships/hyperlink" Target="https://techcombank.com/thong-tin/blog/cach-huy-the-tin-dung" TargetMode="External"/><Relationship Id="rId1292" Type="http://schemas.openxmlformats.org/officeDocument/2006/relationships/hyperlink" Target="https://techcombank.com/thong-tin/blog/co-nen-dung-the-tin-dung-khong" TargetMode="External"/><Relationship Id="rId462" Type="http://schemas.openxmlformats.org/officeDocument/2006/relationships/hyperlink" Target="https://techcombank.com/thong-tin/blog/hoan-thue-thu-nhap-ca-nhan" TargetMode="External"/><Relationship Id="rId1293" Type="http://schemas.openxmlformats.org/officeDocument/2006/relationships/hyperlink" Target="https://techcombank.com/thong-tin/blog/ma-buu-chinh-the-tin-dung" TargetMode="External"/><Relationship Id="rId461" Type="http://schemas.openxmlformats.org/officeDocument/2006/relationships/hyperlink" Target="https://techcombank.com/thong-tin/blog/quyet-toan-thue-thu-nhap-ca-nhan" TargetMode="External"/><Relationship Id="rId1294" Type="http://schemas.openxmlformats.org/officeDocument/2006/relationships/hyperlink" Target="https://techcombank.com/thong-tin/blog/the-tin-dung-quoc-te" TargetMode="External"/><Relationship Id="rId460" Type="http://schemas.openxmlformats.org/officeDocument/2006/relationships/hyperlink" Target="https://techcombank.com/thong-tin/blog/rut-tien-bang-ma-qr-khac-ngan-hang-duoc-khong" TargetMode="External"/><Relationship Id="rId1295" Type="http://schemas.openxmlformats.org/officeDocument/2006/relationships/hyperlink" Target="https://techcombank.com/thong-tin/blog/qua-han-thanh-toan-the-tin-dung-1-ngay" TargetMode="External"/><Relationship Id="rId1296" Type="http://schemas.openxmlformats.org/officeDocument/2006/relationships/hyperlink" Target="https://techcombank.com/thong-tin/blog/phi-rut-tien-mat-the-tin-dung" TargetMode="External"/><Relationship Id="rId466" Type="http://schemas.openxmlformats.org/officeDocument/2006/relationships/hyperlink" Target="https://techcombank.com/thong-tin/blog/kinh-nghiem-chuyen-doi-tu-ho-kinh-doanh-len-doanh-nghiep" TargetMode="External"/><Relationship Id="rId1297" Type="http://schemas.openxmlformats.org/officeDocument/2006/relationships/hyperlink" Target="https://techcombank.com/thong-tin/blog/tiet-kiem-khi-di-du-lich" TargetMode="External"/><Relationship Id="rId465" Type="http://schemas.openxmlformats.org/officeDocument/2006/relationships/hyperlink" Target="https://techcombank.com/thong-tin/blog/tien-chuyen-vao-tai-khoan-co-bi-tinh-thue-khong" TargetMode="External"/><Relationship Id="rId1298" Type="http://schemas.openxmlformats.org/officeDocument/2006/relationships/hyperlink" Target="https://techcombank.com/thong-tin/blog/vay-ngan-hang-1-ty-moi-thang-tra-bao-nhieu" TargetMode="External"/><Relationship Id="rId464" Type="http://schemas.openxmlformats.org/officeDocument/2006/relationships/hyperlink" Target="https://techcombank.com/thong-tin/blog/sao-ke-luong" TargetMode="External"/><Relationship Id="rId1299" Type="http://schemas.openxmlformats.org/officeDocument/2006/relationships/hyperlink" Target="https://techcombank.com/thong-tin/blog/cach-thanh-toan-the-tin-dung" TargetMode="External"/><Relationship Id="rId463" Type="http://schemas.openxmlformats.org/officeDocument/2006/relationships/hyperlink" Target="https://techcombank.com/thong-tin/blog/dang-ky-ma-so-thue-ca-nhan" TargetMode="External"/><Relationship Id="rId459" Type="http://schemas.openxmlformats.org/officeDocument/2006/relationships/hyperlink" Target="https://techcombank.com/thong-tin/blog/cach-tao-ma-qr-code-mien-phi" TargetMode="External"/><Relationship Id="rId458" Type="http://schemas.openxmlformats.org/officeDocument/2006/relationships/hyperlink" Target="https://techcombank.com/thong-tin/blog/rut-tien-mat-tu-tai-khoan-doanh-nghiep" TargetMode="External"/><Relationship Id="rId457" Type="http://schemas.openxmlformats.org/officeDocument/2006/relationships/hyperlink" Target="https://techcombank.com/thong-tin/blog/ma-qr-ngan-hang-khong-hop-le" TargetMode="External"/><Relationship Id="rId456" Type="http://schemas.openxmlformats.org/officeDocument/2006/relationships/hyperlink" Target="https://techcombank.com/thong-tin/blog/co-nen-mua-so-tai-khoan-ngan-hang-dep" TargetMode="External"/><Relationship Id="rId1280" Type="http://schemas.openxmlformats.org/officeDocument/2006/relationships/hyperlink" Target="https://techcombank.com/thong-tin/blog/uu-dai-mua-ve-may-bay-bang-the-tin-dung" TargetMode="External"/><Relationship Id="rId1281" Type="http://schemas.openxmlformats.org/officeDocument/2006/relationships/hyperlink" Target="https://techcombank.com/thong-tin/blog/mat-the-tin-dung-co-bi-mat-tien-khong" TargetMode="External"/><Relationship Id="rId451" Type="http://schemas.openxmlformats.org/officeDocument/2006/relationships/hyperlink" Target="https://techcombank.com/thong-tin/blog/app-ngan-hang" TargetMode="External"/><Relationship Id="rId1282" Type="http://schemas.openxmlformats.org/officeDocument/2006/relationships/hyperlink" Target="https://techcombank.com/thong-tin/blog/so-cvv-la-gi" TargetMode="External"/><Relationship Id="rId450" Type="http://schemas.openxmlformats.org/officeDocument/2006/relationships/hyperlink" Target="https://techcombank.com/thong-tin/blog/lo-ma-qr-ngan-hang-co-sao-khong" TargetMode="External"/><Relationship Id="rId1283" Type="http://schemas.openxmlformats.org/officeDocument/2006/relationships/hyperlink" Target="https://techcombank.com/thong-tin/blog/the-tin-dung-nao-nhieu-uu-dai-nhat" TargetMode="External"/><Relationship Id="rId1284" Type="http://schemas.openxmlformats.org/officeDocument/2006/relationships/hyperlink" Target="https://techcombank.com/thong-tin/blog/cach-lam-the-ngan-hang-chay-quang-cao-facebook" TargetMode="External"/><Relationship Id="rId1285" Type="http://schemas.openxmlformats.org/officeDocument/2006/relationships/hyperlink" Target="https://techcombank.com/thong-tin/blog/mua-iphone-17" TargetMode="External"/><Relationship Id="rId455" Type="http://schemas.openxmlformats.org/officeDocument/2006/relationships/hyperlink" Target="https://techcombank.com/thong-tin/blog/thanh-toan-tra-sau-viettel-bang-tai-khoan-ngan-hang" TargetMode="External"/><Relationship Id="rId1286" Type="http://schemas.openxmlformats.org/officeDocument/2006/relationships/hyperlink" Target="https://techcombank.com/thong-tin/blog/the-visa-co-can-mat-khau-khong" TargetMode="External"/><Relationship Id="rId454" Type="http://schemas.openxmlformats.org/officeDocument/2006/relationships/hyperlink" Target="https://techcombank.com/thong-tin/blog/mo-tai-khoan-ngan-hang-co-mat-phi-khong" TargetMode="External"/><Relationship Id="rId1287" Type="http://schemas.openxmlformats.org/officeDocument/2006/relationships/hyperlink" Target="https://techcombank.com/thong-tin/blog/mua-truoc-tra-sau" TargetMode="External"/><Relationship Id="rId453" Type="http://schemas.openxmlformats.org/officeDocument/2006/relationships/hyperlink" Target="https://techcombank.com/thong-tin/blog/mo-tai-khoan-ngan-hang-online-co-an-toan-khong" TargetMode="External"/><Relationship Id="rId1288" Type="http://schemas.openxmlformats.org/officeDocument/2006/relationships/hyperlink" Target="https://techcombank.com/thong-tin/blog/tra-cuu-han-muc-the-tin-dung" TargetMode="External"/><Relationship Id="rId452" Type="http://schemas.openxmlformats.org/officeDocument/2006/relationships/hyperlink" Target="https://techcombank.com/thong-tin/blog/so-the-ngan-hang" TargetMode="External"/><Relationship Id="rId1289" Type="http://schemas.openxmlformats.org/officeDocument/2006/relationships/hyperlink" Target="https://techcombank.com/thong-tin/blog/the-ghi-no-va-the-tin-dung" TargetMode="External"/><Relationship Id="rId3018" Type="http://schemas.openxmlformats.org/officeDocument/2006/relationships/hyperlink" Target="https://techcombank.com/thong-tin/blog/dieu-kien-vay-the-chap" TargetMode="External"/><Relationship Id="rId3017" Type="http://schemas.openxmlformats.org/officeDocument/2006/relationships/hyperlink" Target="https://techcombank.com/thong-tin/blog/cic-la-gi" TargetMode="External"/><Relationship Id="rId3019" Type="http://schemas.openxmlformats.org/officeDocument/2006/relationships/hyperlink" Target="https://techcombank.com/thong-tin/blog/dao-han-la-gi" TargetMode="External"/><Relationship Id="rId491" Type="http://schemas.openxmlformats.org/officeDocument/2006/relationships/hyperlink" Target="https://techcombank.com/thong-tin/blog/thue-thuong-mai-dien-tu" TargetMode="External"/><Relationship Id="rId490" Type="http://schemas.openxmlformats.org/officeDocument/2006/relationships/hyperlink" Target="https://techcombank.com/thong-tin/blog/tim-hieu-ve-chinh-sach-thue-moi" TargetMode="External"/><Relationship Id="rId489" Type="http://schemas.openxmlformats.org/officeDocument/2006/relationships/hyperlink" Target="https://techcombank.com/thong-tin/blog/ke-khai-thue-doanh-nghiep" TargetMode="External"/><Relationship Id="rId484" Type="http://schemas.openxmlformats.org/officeDocument/2006/relationships/hyperlink" Target="https://techcombank.com/thong-tin/blog/chinh-sach-tang-luong-huu" TargetMode="External"/><Relationship Id="rId3010" Type="http://schemas.openxmlformats.org/officeDocument/2006/relationships/hyperlink" Target="https://techcombank.com/thong-tin/blog/lai-suat-tha-noi" TargetMode="External"/><Relationship Id="rId483" Type="http://schemas.openxmlformats.org/officeDocument/2006/relationships/hyperlink" Target="https://techcombank.com/thong-tin/blog/ho-kinh-doanh-dong-thue-nhu-nao" TargetMode="External"/><Relationship Id="rId482" Type="http://schemas.openxmlformats.org/officeDocument/2006/relationships/hyperlink" Target="https://techcombank.com/thong-tin/blog/app-tra-luong" TargetMode="External"/><Relationship Id="rId3012" Type="http://schemas.openxmlformats.org/officeDocument/2006/relationships/hyperlink" Target="https://techcombank.com/thong-tin/blog/vay-bo-sung-von-luu-dong" TargetMode="External"/><Relationship Id="rId481" Type="http://schemas.openxmlformats.org/officeDocument/2006/relationships/hyperlink" Target="https://techcombank.com/thong-tin/blog/nhung-ho-kinh-doanh-duoc-mien-thue" TargetMode="External"/><Relationship Id="rId3011" Type="http://schemas.openxmlformats.org/officeDocument/2006/relationships/hyperlink" Target="https://techcombank.com/thong-tin/blog/tra-no-vay-thau-chi-nhu-the-nao" TargetMode="External"/><Relationship Id="rId488" Type="http://schemas.openxmlformats.org/officeDocument/2006/relationships/hyperlink" Target="https://techcombank.com/thong-tin/blog/cach-tinh-thue-thu-nhap-doanh-nghiep" TargetMode="External"/><Relationship Id="rId3014" Type="http://schemas.openxmlformats.org/officeDocument/2006/relationships/hyperlink" Target="https://techcombank.com/thong-tin/blog/no-chu-y-la-gi" TargetMode="External"/><Relationship Id="rId487" Type="http://schemas.openxmlformats.org/officeDocument/2006/relationships/hyperlink" Target="https://techcombank.com/thong-tin/blog/thue-thu-nhap-doanh-nghiep" TargetMode="External"/><Relationship Id="rId3013" Type="http://schemas.openxmlformats.org/officeDocument/2006/relationships/hyperlink" Target="https://techcombank.com/thong-tin/blog/vay-tin-chap-ho-kinh-doanh" TargetMode="External"/><Relationship Id="rId486" Type="http://schemas.openxmlformats.org/officeDocument/2006/relationships/hyperlink" Target="https://techcombank.com/thong-tin/blog/hoc-cach-tiet-kiem-tien-luong" TargetMode="External"/><Relationship Id="rId3016" Type="http://schemas.openxmlformats.org/officeDocument/2006/relationships/hyperlink" Target="https://techcombank.com/thong-tin/blog/vay-mua-chung-cu" TargetMode="External"/><Relationship Id="rId485" Type="http://schemas.openxmlformats.org/officeDocument/2006/relationships/hyperlink" Target="https://techcombank.com/thong-tin/blog/kiem-tra-thue-thu-nhap-ca-nhan" TargetMode="External"/><Relationship Id="rId3015" Type="http://schemas.openxmlformats.org/officeDocument/2006/relationships/hyperlink" Target="https://techcombank.com/thong-tin/blog/no-xau-la-gi" TargetMode="External"/><Relationship Id="rId3007" Type="http://schemas.openxmlformats.org/officeDocument/2006/relationships/hyperlink" Target="https://techcombank.com/thong-tin/blog/co-nen-mua-o-to-tra-gop" TargetMode="External"/><Relationship Id="rId3006" Type="http://schemas.openxmlformats.org/officeDocument/2006/relationships/hyperlink" Target="https://techcombank.com/thong-tin/blog/vay-40-trieu" TargetMode="External"/><Relationship Id="rId3009" Type="http://schemas.openxmlformats.org/officeDocument/2006/relationships/hyperlink" Target="https://techcombank.com/thong-tin/blog/nen-vay-the-chap-ngan-hang-nao" TargetMode="External"/><Relationship Id="rId3008" Type="http://schemas.openxmlformats.org/officeDocument/2006/relationships/hyperlink" Target="https://techcombank.com/thong-tin/blog/vay-the-chap-so-bao-hiem-xa-hoi" TargetMode="External"/><Relationship Id="rId480" Type="http://schemas.openxmlformats.org/officeDocument/2006/relationships/hyperlink" Target="https://techcombank.com/thong-tin/blog/tra-cuu-no-thue-ca-nhan" TargetMode="External"/><Relationship Id="rId479" Type="http://schemas.openxmlformats.org/officeDocument/2006/relationships/hyperlink" Target="https://techcombank.com/thong-tin/blog/tra-luong-tien-mat" TargetMode="External"/><Relationship Id="rId478" Type="http://schemas.openxmlformats.org/officeDocument/2006/relationships/hyperlink" Target="https://techcombank.com/thong-tin/blog/cach-tinh-thue-ho-kinh-doanh-nho-le" TargetMode="External"/><Relationship Id="rId473" Type="http://schemas.openxmlformats.org/officeDocument/2006/relationships/hyperlink" Target="https://techcombank.com/thong-tin/blog/tiem-nang-chuyen-doi-tu-ho-kinh-doanh-len-doanh-nghiep-sme" TargetMode="External"/><Relationship Id="rId472" Type="http://schemas.openxmlformats.org/officeDocument/2006/relationships/hyperlink" Target="https://techcombank.com/thong-tin/blog/lai-suat-chung-chi-quy" TargetMode="External"/><Relationship Id="rId471" Type="http://schemas.openxmlformats.org/officeDocument/2006/relationships/hyperlink" Target="https://techcombank.com/thong-tin/blog/kieu-hoi-la-gi" TargetMode="External"/><Relationship Id="rId3001" Type="http://schemas.openxmlformats.org/officeDocument/2006/relationships/hyperlink" Target="https://techcombank.com/thong-tin/blog/thu-tuc-vay-von-ngan-hang-de-xay-nha" TargetMode="External"/><Relationship Id="rId470" Type="http://schemas.openxmlformats.org/officeDocument/2006/relationships/hyperlink" Target="https://techcombank.com/thong-tin/blog/ho-kinh-doanh-ca-the" TargetMode="External"/><Relationship Id="rId3000" Type="http://schemas.openxmlformats.org/officeDocument/2006/relationships/hyperlink" Target="https://techcombank.com/thong-tin/blog/thoi-han-vay-thau-chi" TargetMode="External"/><Relationship Id="rId477" Type="http://schemas.openxmlformats.org/officeDocument/2006/relationships/hyperlink" Target="https://techcombank.com/thong-tin/blog/chuyen-nhuong-chung-chi-tien-gui" TargetMode="External"/><Relationship Id="rId3003" Type="http://schemas.openxmlformats.org/officeDocument/2006/relationships/hyperlink" Target="https://techcombank.com/thong-tin/blog/the-chap-la-gi" TargetMode="External"/><Relationship Id="rId476" Type="http://schemas.openxmlformats.org/officeDocument/2006/relationships/hyperlink" Target="https://techcombank.com/thong-tin/blog/luu-y-khi-chuyen-doi-tu-ho-kinh-doanh-len-doanh-nghiep" TargetMode="External"/><Relationship Id="rId3002" Type="http://schemas.openxmlformats.org/officeDocument/2006/relationships/hyperlink" Target="https://techcombank.com/thong-tin/blog/phi-vay-the-chap" TargetMode="External"/><Relationship Id="rId475" Type="http://schemas.openxmlformats.org/officeDocument/2006/relationships/hyperlink" Target="https://techcombank.com/thong-tin/blog/thue-ho-kinh-doanh-2025" TargetMode="External"/><Relationship Id="rId3005" Type="http://schemas.openxmlformats.org/officeDocument/2006/relationships/hyperlink" Target="https://techcombank.com/thong-tin/blog/vay-the-chap-la-gi" TargetMode="External"/><Relationship Id="rId474" Type="http://schemas.openxmlformats.org/officeDocument/2006/relationships/hyperlink" Target="https://techcombank.com/thong-tin/blog/dau-tu-quy-mo" TargetMode="External"/><Relationship Id="rId3004" Type="http://schemas.openxmlformats.org/officeDocument/2006/relationships/hyperlink" Target="https://techcombank.com/thong-tin/blog/vay-the-chap-khong-chung-minh-thu-nhap" TargetMode="External"/><Relationship Id="rId1257" Type="http://schemas.openxmlformats.org/officeDocument/2006/relationships/hyperlink" Target="https://techcombank.com/thong-tin/blog/tra-cuu-han-muc-the-tin-dung" TargetMode="External"/><Relationship Id="rId2588" Type="http://schemas.openxmlformats.org/officeDocument/2006/relationships/hyperlink" Target="https://techcombank.com/thong-tin/blog/so-tai-khoan-dep" TargetMode="External"/><Relationship Id="rId1258" Type="http://schemas.openxmlformats.org/officeDocument/2006/relationships/hyperlink" Target="https://techcombank.com/thong-tin/blog/the-ghi-no-va-the-tin-dung" TargetMode="External"/><Relationship Id="rId2589" Type="http://schemas.openxmlformats.org/officeDocument/2006/relationships/hyperlink" Target="https://techcombank.com/thong-tin/blog/the-ghi-no-visa-la-gi" TargetMode="External"/><Relationship Id="rId1259" Type="http://schemas.openxmlformats.org/officeDocument/2006/relationships/hyperlink" Target="https://techcombank.com/thong-tin/blog/the-tin-dung-het-han" TargetMode="External"/><Relationship Id="rId426" Type="http://schemas.openxmlformats.org/officeDocument/2006/relationships/hyperlink" Target="https://techcombank.com/thong-tin/blog/thoi-gian-hoan-tien-the-tin-dung" TargetMode="External"/><Relationship Id="rId425" Type="http://schemas.openxmlformats.org/officeDocument/2006/relationships/hyperlink" Target="https://techcombank.com/thong-tin/blog/bao-hiem-nhan-tho-la-gi" TargetMode="External"/><Relationship Id="rId424" Type="http://schemas.openxmlformats.org/officeDocument/2006/relationships/hyperlink" Target="https://techcombank.com/thong-tin/blog/ke-khai-thue-ho-kinh-doanh-ca-the-online" TargetMode="External"/><Relationship Id="rId423" Type="http://schemas.openxmlformats.org/officeDocument/2006/relationships/hyperlink" Target="https://techcombank.com/thong-tin/blog/von-luu-dong-la-gi" TargetMode="External"/><Relationship Id="rId429" Type="http://schemas.openxmlformats.org/officeDocument/2006/relationships/hyperlink" Target="https://techcombank.com/thong-tin/blog/cach-tiet-kiem-100-trieu-1-nam" TargetMode="External"/><Relationship Id="rId428" Type="http://schemas.openxmlformats.org/officeDocument/2006/relationships/hyperlink" Target="https://techcombank.com/thong-tin/blog/chu-ky-so-huong-di-nang-cao-hieu-qua-trong-hoat-dong-ngan-hang" TargetMode="External"/><Relationship Id="rId427" Type="http://schemas.openxmlformats.org/officeDocument/2006/relationships/hyperlink" Target="https://techcombank.com/thong-tin/blog/techcombank-sinh-loi-tu-dong" TargetMode="External"/><Relationship Id="rId2580" Type="http://schemas.openxmlformats.org/officeDocument/2006/relationships/hyperlink" Target="https://techcombank.com/thong-tin/blog/gui-tiet-kiem-online-bi-mat-tien" TargetMode="External"/><Relationship Id="rId1250" Type="http://schemas.openxmlformats.org/officeDocument/2006/relationships/hyperlink" Target="https://techcombank.com/thong-tin/blog/uu-dai-mua-ve-may-bay-bang-the-tin-dung" TargetMode="External"/><Relationship Id="rId2581" Type="http://schemas.openxmlformats.org/officeDocument/2006/relationships/hyperlink" Target="https://techcombank.com/thong-tin/blog/cach-tiet-kiem-tien-theo-tuan" TargetMode="External"/><Relationship Id="rId1251" Type="http://schemas.openxmlformats.org/officeDocument/2006/relationships/hyperlink" Target="https://techcombank.com/thong-tin/blog/mat-the-tin-dung-co-bi-mat-tien-khong" TargetMode="External"/><Relationship Id="rId2582" Type="http://schemas.openxmlformats.org/officeDocument/2006/relationships/hyperlink" Target="https://techcombank.com/thong-tin/blog/tiet-kiem-tien-moi-ngay" TargetMode="External"/><Relationship Id="rId1252" Type="http://schemas.openxmlformats.org/officeDocument/2006/relationships/hyperlink" Target="https://techcombank.com/thong-tin/blog/so-cvv-la-gi" TargetMode="External"/><Relationship Id="rId2583" Type="http://schemas.openxmlformats.org/officeDocument/2006/relationships/hyperlink" Target="https://techcombank.com/thong-tin/blog/hoc-cach-tiet-kiem-tien-luong" TargetMode="External"/><Relationship Id="rId422" Type="http://schemas.openxmlformats.org/officeDocument/2006/relationships/hyperlink" Target="https://techcombank.com/thong-tin/blog/uu-dai-the-tin-dung-techcombank-signature" TargetMode="External"/><Relationship Id="rId1253" Type="http://schemas.openxmlformats.org/officeDocument/2006/relationships/hyperlink" Target="https://techcombank.com/thong-tin/blog/cach-lam-the-ngan-hang-chay-quang-cao-facebook" TargetMode="External"/><Relationship Id="rId2584" Type="http://schemas.openxmlformats.org/officeDocument/2006/relationships/hyperlink" Target="https://techcombank.com/thong-tin/blog/loi-ich-cua-viec-tiet-kiem-tien" TargetMode="External"/><Relationship Id="rId421" Type="http://schemas.openxmlformats.org/officeDocument/2006/relationships/hyperlink" Target="https://techcombank.com/thong-tin/blog/gia-chung-chi-quy-la-gi" TargetMode="External"/><Relationship Id="rId1254" Type="http://schemas.openxmlformats.org/officeDocument/2006/relationships/hyperlink" Target="https://techcombank.com/thong-tin/blog/mua-iphone-17" TargetMode="External"/><Relationship Id="rId2585" Type="http://schemas.openxmlformats.org/officeDocument/2006/relationships/hyperlink" Target="https://techcombank.com/thong-tin/blog/the-nao-la-tiet-kiem" TargetMode="External"/><Relationship Id="rId420" Type="http://schemas.openxmlformats.org/officeDocument/2006/relationships/hyperlink" Target="https://techcombank.com/thong-tin/blog/ho-kinh-doanh-can-gi-o-tai-khoan-ngan-hang" TargetMode="External"/><Relationship Id="rId1255" Type="http://schemas.openxmlformats.org/officeDocument/2006/relationships/hyperlink" Target="https://techcombank.com/thong-tin/blog/the-visa-co-can-mat-khau-khong" TargetMode="External"/><Relationship Id="rId2586" Type="http://schemas.openxmlformats.org/officeDocument/2006/relationships/hyperlink" Target="https://techcombank.com/thong-tin/blog/phi-rut-tien-mat-the-tin-dung" TargetMode="External"/><Relationship Id="rId1256" Type="http://schemas.openxmlformats.org/officeDocument/2006/relationships/hyperlink" Target="https://techcombank.com/thong-tin/blog/mua-truoc-tra-sau" TargetMode="External"/><Relationship Id="rId2587" Type="http://schemas.openxmlformats.org/officeDocument/2006/relationships/hyperlink" Target="https://techcombank.com/thong-tin/blog/cach-tiet-kiem-tien-sinh-loi" TargetMode="External"/><Relationship Id="rId1246" Type="http://schemas.openxmlformats.org/officeDocument/2006/relationships/hyperlink" Target="https://techcombank.com/thong-tin/blog/tai-khoan-doanh-nghiep-co-the-khong" TargetMode="External"/><Relationship Id="rId2577" Type="http://schemas.openxmlformats.org/officeDocument/2006/relationships/hyperlink" Target="https://techcombank.com/thong-tin/blog/gui-tiet-kiem-ngoai-te" TargetMode="External"/><Relationship Id="rId1247" Type="http://schemas.openxmlformats.org/officeDocument/2006/relationships/hyperlink" Target="https://techcombank.com/thong-tin/blog/mm-yy-la-gi" TargetMode="External"/><Relationship Id="rId2578" Type="http://schemas.openxmlformats.org/officeDocument/2006/relationships/hyperlink" Target="https://techcombank.com/thong-tin/blog/rui-ro-khi-gui-tiet-kiem-ngan-hang" TargetMode="External"/><Relationship Id="rId1248" Type="http://schemas.openxmlformats.org/officeDocument/2006/relationships/hyperlink" Target="https://techcombank.com/thong-tin/blog/uu-dai-the-tin-dung-techcombank-signature" TargetMode="External"/><Relationship Id="rId2579" Type="http://schemas.openxmlformats.org/officeDocument/2006/relationships/hyperlink" Target="https://techcombank.com/thong-tin/blog/gui-tiet-kiem-hang-thang" TargetMode="External"/><Relationship Id="rId1249" Type="http://schemas.openxmlformats.org/officeDocument/2006/relationships/hyperlink" Target="https://techcombank.com/thong-tin/blog/cach-su-dung-the-tin-dung" TargetMode="External"/><Relationship Id="rId415" Type="http://schemas.openxmlformats.org/officeDocument/2006/relationships/hyperlink" Target="https://techcombank.com/thong-tin/blog/gui-tien-du-hoc" TargetMode="External"/><Relationship Id="rId414" Type="http://schemas.openxmlformats.org/officeDocument/2006/relationships/hyperlink" Target="https://techcombank.com/thong-tin/blog/quan-ly-tai-chinh-cho-dan-van-phong" TargetMode="External"/><Relationship Id="rId413" Type="http://schemas.openxmlformats.org/officeDocument/2006/relationships/hyperlink" Target="https://techcombank.com/thong-tin/blog/kinh-nghiem-vay-tien-ngan-hang-xay-nha" TargetMode="External"/><Relationship Id="rId412" Type="http://schemas.openxmlformats.org/officeDocument/2006/relationships/hyperlink" Target="https://techcombank.com/thong-tin/blog/co-loyalty-la-gi" TargetMode="External"/><Relationship Id="rId419" Type="http://schemas.openxmlformats.org/officeDocument/2006/relationships/hyperlink" Target="https://techcombank.com/thong-tin/blog/ty-gia-hoi-doai-la-gi" TargetMode="External"/><Relationship Id="rId418" Type="http://schemas.openxmlformats.org/officeDocument/2006/relationships/hyperlink" Target="https://techcombank.com/thong-tin/blog/sinh-loi-rinh-loc" TargetMode="External"/><Relationship Id="rId417" Type="http://schemas.openxmlformats.org/officeDocument/2006/relationships/hyperlink" Target="https://techcombank.com/thong-tin/blog/remittance-la-gi" TargetMode="External"/><Relationship Id="rId416" Type="http://schemas.openxmlformats.org/officeDocument/2006/relationships/hyperlink" Target="https://techcombank.com/thong-tin/blog/ebitda-la-gi" TargetMode="External"/><Relationship Id="rId2570" Type="http://schemas.openxmlformats.org/officeDocument/2006/relationships/hyperlink" Target="https://techcombank.com/thong-tin/blog/gui-tien-ngan-hang-co-an-toan-khong" TargetMode="External"/><Relationship Id="rId1240" Type="http://schemas.openxmlformats.org/officeDocument/2006/relationships/hyperlink" Target="https://techcombank.com/thong-tin/blog/the-tin-dung-quoc-te" TargetMode="External"/><Relationship Id="rId2571" Type="http://schemas.openxmlformats.org/officeDocument/2006/relationships/hyperlink" Target="https://techcombank.com/thong-tin/blog/nen-gui-tiet-kiem-6-thang-hay-1-nam" TargetMode="External"/><Relationship Id="rId1241" Type="http://schemas.openxmlformats.org/officeDocument/2006/relationships/hyperlink" Target="https://techcombank.com/thong-tin/blog/anh-trai-vuot-ngan-chong-gai-mua-2" TargetMode="External"/><Relationship Id="rId2572" Type="http://schemas.openxmlformats.org/officeDocument/2006/relationships/hyperlink" Target="https://techcombank.com/thong-tin/blog/mo-tai-khoan-tiet-kiem-cho-con" TargetMode="External"/><Relationship Id="rId411" Type="http://schemas.openxmlformats.org/officeDocument/2006/relationships/hyperlink" Target="https://techcombank.com/thong-tin/blog/thanh-toan-tien-dien-bang-the-tin-dung" TargetMode="External"/><Relationship Id="rId1242" Type="http://schemas.openxmlformats.org/officeDocument/2006/relationships/hyperlink" Target="https://techcombank.com/thong-tin/blog/mo-the-tin-dung-co-loi-ich-gi" TargetMode="External"/><Relationship Id="rId2573" Type="http://schemas.openxmlformats.org/officeDocument/2006/relationships/hyperlink" Target="https://techcombank.com/thong-tin/blog/gui-tiet-kiem-tich-luy-la-gi" TargetMode="External"/><Relationship Id="rId410" Type="http://schemas.openxmlformats.org/officeDocument/2006/relationships/hyperlink" Target="https://techcombank.com/thong-tin/blog/voucher-the-pizza-company" TargetMode="External"/><Relationship Id="rId1243" Type="http://schemas.openxmlformats.org/officeDocument/2006/relationships/hyperlink" Target="https://techcombank.com/thong-tin/blog/lam-ho-so-tra-gop-dien-thoai" TargetMode="External"/><Relationship Id="rId2574" Type="http://schemas.openxmlformats.org/officeDocument/2006/relationships/hyperlink" Target="https://techcombank.com/thong-tin/blog/gui-tiet-kiem-lay-lai-hang-thang" TargetMode="External"/><Relationship Id="rId1244" Type="http://schemas.openxmlformats.org/officeDocument/2006/relationships/hyperlink" Target="https://techcombank.com/thong-tin/blog/loyalty-la-gi" TargetMode="External"/><Relationship Id="rId2575" Type="http://schemas.openxmlformats.org/officeDocument/2006/relationships/hyperlink" Target="https://techcombank.com/thong-tin/blog/rui-ro-khi-gui-tiet-kiem-online" TargetMode="External"/><Relationship Id="rId1245" Type="http://schemas.openxmlformats.org/officeDocument/2006/relationships/hyperlink" Target="https://techcombank.com/thong-tin/blog/rut-tien-mat-tu-the-tin-dung" TargetMode="External"/><Relationship Id="rId2576" Type="http://schemas.openxmlformats.org/officeDocument/2006/relationships/hyperlink" Target="https://techcombank.com/thong-tin/blog/cach-tinh-lai-suat-tien-gui-tiet-kiem" TargetMode="External"/><Relationship Id="rId1279" Type="http://schemas.openxmlformats.org/officeDocument/2006/relationships/hyperlink" Target="https://techcombank.com/thong-tin/blog/cac-loai-the-tin-dung" TargetMode="External"/><Relationship Id="rId448" Type="http://schemas.openxmlformats.org/officeDocument/2006/relationships/hyperlink" Target="https://techcombank.com/thong-tin/blog/cach-lay-lai-tien-da-chuyen-khoan-khi-bi-lua" TargetMode="External"/><Relationship Id="rId447" Type="http://schemas.openxmlformats.org/officeDocument/2006/relationships/hyperlink" Target="https://techcombank.com/thong-tin/blog/tao-ma-qr-thanh-toan-cho-cua-hang" TargetMode="External"/><Relationship Id="rId446" Type="http://schemas.openxmlformats.org/officeDocument/2006/relationships/hyperlink" Target="https://techcombank.com/thong-tin/blog/app-ngan-hang-uy-tin" TargetMode="External"/><Relationship Id="rId445" Type="http://schemas.openxmlformats.org/officeDocument/2006/relationships/hyperlink" Target="https://techcombank.com/thong-tin/blog/so-du-tai-khoan-thanh-toan" TargetMode="External"/><Relationship Id="rId449" Type="http://schemas.openxmlformats.org/officeDocument/2006/relationships/hyperlink" Target="https://techcombank.com/thong-tin/blog/cach-doi-mat-khau-tai-khoan-ngan-hang" TargetMode="External"/><Relationship Id="rId1270" Type="http://schemas.openxmlformats.org/officeDocument/2006/relationships/hyperlink" Target="https://techcombank.com/thong-tin/blog/dao-han-the-tin-dung" TargetMode="External"/><Relationship Id="rId440" Type="http://schemas.openxmlformats.org/officeDocument/2006/relationships/hyperlink" Target="https://techcombank.com/thong-tin/blog/cach-tiet-kiem-tien-cua-nguoi-nhat" TargetMode="External"/><Relationship Id="rId1271" Type="http://schemas.openxmlformats.org/officeDocument/2006/relationships/hyperlink" Target="https://techcombank.com/thong-tin/blog/thanh-toan-tien-dien-bang-the-tin-dung" TargetMode="External"/><Relationship Id="rId1272" Type="http://schemas.openxmlformats.org/officeDocument/2006/relationships/hyperlink" Target="https://techcombank.com/thong-tin/blog/cashback-the-thanh-toan" TargetMode="External"/><Relationship Id="rId1273" Type="http://schemas.openxmlformats.org/officeDocument/2006/relationships/hyperlink" Target="https://techcombank.com/thong-tin/blog/uu-dai-mo-the-tin-dung" TargetMode="External"/><Relationship Id="rId1274" Type="http://schemas.openxmlformats.org/officeDocument/2006/relationships/hyperlink" Target="https://techcombank.com/thong-tin/blog/the-tin-dung-mien-phi-thuong-nien" TargetMode="External"/><Relationship Id="rId444" Type="http://schemas.openxmlformats.org/officeDocument/2006/relationships/hyperlink" Target="https://techcombank.com/thong-tin/blog/gia-xang-dau-hom-nay" TargetMode="External"/><Relationship Id="rId1275" Type="http://schemas.openxmlformats.org/officeDocument/2006/relationships/hyperlink" Target="https://techcombank.com/thong-tin/blog/cach-su-dung-the-tin-dung" TargetMode="External"/><Relationship Id="rId443" Type="http://schemas.openxmlformats.org/officeDocument/2006/relationships/hyperlink" Target="https://techcombank.com/thong-tin/blog/techcombank-va-cong-cuoc-chuyen-doi-so-nganh-ngan-hang" TargetMode="External"/><Relationship Id="rId1276" Type="http://schemas.openxmlformats.org/officeDocument/2006/relationships/hyperlink" Target="https://techcombank.com/thong-tin/blog/tai-khoan-doanh-nghiep-co-the-khong" TargetMode="External"/><Relationship Id="rId442" Type="http://schemas.openxmlformats.org/officeDocument/2006/relationships/hyperlink" Target="https://techcombank.com/thong-tin/blog/thay-doi-dia-chi-ho-kinh-doanh" TargetMode="External"/><Relationship Id="rId1277" Type="http://schemas.openxmlformats.org/officeDocument/2006/relationships/hyperlink" Target="https://techcombank.com/thong-tin/blog/mm-yy-la-gi" TargetMode="External"/><Relationship Id="rId441" Type="http://schemas.openxmlformats.org/officeDocument/2006/relationships/hyperlink" Target="https://techcombank.com/thong-tin/blog/khai-bao-tai-khoan-ngan-hang-voi-co-quan-thue" TargetMode="External"/><Relationship Id="rId1278" Type="http://schemas.openxmlformats.org/officeDocument/2006/relationships/hyperlink" Target="https://techcombank.com/thong-tin/blog/uu-dai-the-tin-dung-techcombank-signature" TargetMode="External"/><Relationship Id="rId1268" Type="http://schemas.openxmlformats.org/officeDocument/2006/relationships/hyperlink" Target="https://techcombank.com/thong-tin/blog/cach-thanh-toan-the-tin-dung" TargetMode="External"/><Relationship Id="rId2599" Type="http://schemas.openxmlformats.org/officeDocument/2006/relationships/hyperlink" Target="https://techcombank.com/thong-tin/blog/quan-ly-tai-chinh-doanh-nghiep-la-gi" TargetMode="External"/><Relationship Id="rId1269" Type="http://schemas.openxmlformats.org/officeDocument/2006/relationships/hyperlink" Target="https://techcombank.com/thong-tin/blog/the-tin-dung-den" TargetMode="External"/><Relationship Id="rId437" Type="http://schemas.openxmlformats.org/officeDocument/2006/relationships/hyperlink" Target="https://techcombank.com/thong-tin/blog/giai-dap-ve-thue-doanh-nghiep" TargetMode="External"/><Relationship Id="rId436" Type="http://schemas.openxmlformats.org/officeDocument/2006/relationships/hyperlink" Target="https://techcombank.com/thong-tin/blog/chi-tra-luong-huu" TargetMode="External"/><Relationship Id="rId435" Type="http://schemas.openxmlformats.org/officeDocument/2006/relationships/hyperlink" Target="https://techcombank.com/thong-tin/blog/loi-nhuan" TargetMode="External"/><Relationship Id="rId434" Type="http://schemas.openxmlformats.org/officeDocument/2006/relationships/hyperlink" Target="https://techcombank.com/thong-tin/blog/nap-tien-vao-tai-khoan-ngan-hang" TargetMode="External"/><Relationship Id="rId439" Type="http://schemas.openxmlformats.org/officeDocument/2006/relationships/hyperlink" Target="https://techcombank.com/thong-tin/blog/kinh-doanh-online" TargetMode="External"/><Relationship Id="rId438" Type="http://schemas.openxmlformats.org/officeDocument/2006/relationships/hyperlink" Target="https://techcombank.com/thong-tin/blog/vong-quay-von" TargetMode="External"/><Relationship Id="rId2590" Type="http://schemas.openxmlformats.org/officeDocument/2006/relationships/hyperlink" Target="https://techcombank.com/thong-tin/blog/vi-dien-tu" TargetMode="External"/><Relationship Id="rId1260" Type="http://schemas.openxmlformats.org/officeDocument/2006/relationships/hyperlink" Target="https://techcombank.com/thong-tin/blog/cach-huy-the-tin-dung" TargetMode="External"/><Relationship Id="rId2591" Type="http://schemas.openxmlformats.org/officeDocument/2006/relationships/hyperlink" Target="https://techcombank.com/thong-tin/blog/ke-hoach-tai-chinh" TargetMode="External"/><Relationship Id="rId1261" Type="http://schemas.openxmlformats.org/officeDocument/2006/relationships/hyperlink" Target="https://techcombank.com/thong-tin/blog/co-nen-dung-the-tin-dung-khong" TargetMode="External"/><Relationship Id="rId2592" Type="http://schemas.openxmlformats.org/officeDocument/2006/relationships/hyperlink" Target="https://techcombank.com/thong-tin/blog/ghi-chep-chi-tieu" TargetMode="External"/><Relationship Id="rId1262" Type="http://schemas.openxmlformats.org/officeDocument/2006/relationships/hyperlink" Target="https://techcombank.com/thong-tin/blog/ma-buu-chinh-the-tin-dung" TargetMode="External"/><Relationship Id="rId2593" Type="http://schemas.openxmlformats.org/officeDocument/2006/relationships/hyperlink" Target="https://techcombank.com/thong-tin/blog/thue-phi-co-dinh-khi-chuyen-doi-tu-ho-kinh-doanh-len-doanh-nghiep" TargetMode="External"/><Relationship Id="rId1263" Type="http://schemas.openxmlformats.org/officeDocument/2006/relationships/hyperlink" Target="https://techcombank.com/thong-tin/blog/thanh-toan-tra-gop-qua-the-tin-dung" TargetMode="External"/><Relationship Id="rId2594" Type="http://schemas.openxmlformats.org/officeDocument/2006/relationships/hyperlink" Target="https://techcombank.com/thong-tin/blog/qua-han-thanh-toan-the-tin-dung-1-ngay" TargetMode="External"/><Relationship Id="rId433" Type="http://schemas.openxmlformats.org/officeDocument/2006/relationships/hyperlink" Target="https://techcombank.com/thong-tin/blog/hu-chi-tieu" TargetMode="External"/><Relationship Id="rId1264" Type="http://schemas.openxmlformats.org/officeDocument/2006/relationships/hyperlink" Target="https://techcombank.com/thong-tin/blog/qua-han-thanh-toan-the-tin-dung-1-ngay" TargetMode="External"/><Relationship Id="rId2595" Type="http://schemas.openxmlformats.org/officeDocument/2006/relationships/hyperlink" Target="https://techcombank.com/thong-tin/blog/chinh-sach-tang-luong-huu" TargetMode="External"/><Relationship Id="rId432" Type="http://schemas.openxmlformats.org/officeDocument/2006/relationships/hyperlink" Target="https://techcombank.com/thong-tin/blog/dau-tu-tai-chinh-ca-nhan" TargetMode="External"/><Relationship Id="rId1265" Type="http://schemas.openxmlformats.org/officeDocument/2006/relationships/hyperlink" Target="https://techcombank.com/thong-tin/blog/phi-rut-tien-mat-the-tin-dung" TargetMode="External"/><Relationship Id="rId2596" Type="http://schemas.openxmlformats.org/officeDocument/2006/relationships/hyperlink" Target="https://techcombank.com/thong-tin/blog/tinh-thanh-khoan-la-gi" TargetMode="External"/><Relationship Id="rId431" Type="http://schemas.openxmlformats.org/officeDocument/2006/relationships/hyperlink" Target="https://techcombank.com/thong-tin/blog/cpi-la-gi" TargetMode="External"/><Relationship Id="rId1266" Type="http://schemas.openxmlformats.org/officeDocument/2006/relationships/hyperlink" Target="https://techcombank.com/thong-tin/blog/thanh-toan-truc-tuyen" TargetMode="External"/><Relationship Id="rId2597" Type="http://schemas.openxmlformats.org/officeDocument/2006/relationships/hyperlink" Target="https://techcombank.com/thong-tin/blog/loi-ich-cua-ngan-hang-so-voi-sme" TargetMode="External"/><Relationship Id="rId430" Type="http://schemas.openxmlformats.org/officeDocument/2006/relationships/hyperlink" Target="https://techcombank.com/thong-tin/blog/ekyc-la-gi" TargetMode="External"/><Relationship Id="rId1267" Type="http://schemas.openxmlformats.org/officeDocument/2006/relationships/hyperlink" Target="https://techcombank.com/thong-tin/blog/vay-tin-chap-va-vay-the-chap" TargetMode="External"/><Relationship Id="rId2598" Type="http://schemas.openxmlformats.org/officeDocument/2006/relationships/hyperlink" Target="https://techcombank.com/thong-tin/blog/kinh-nghiem-gui-tiet-kiem-online" TargetMode="External"/><Relationship Id="rId3070" Type="http://schemas.openxmlformats.org/officeDocument/2006/relationships/hyperlink" Target="https://techcombank.com/thong-tin/blog/lai-suat-qua-han" TargetMode="External"/><Relationship Id="rId3072" Type="http://schemas.openxmlformats.org/officeDocument/2006/relationships/hyperlink" Target="https://techcombank.com/thong-tin/blog/lai-suat-gui-tiet-kiem-usd" TargetMode="External"/><Relationship Id="rId3071" Type="http://schemas.openxmlformats.org/officeDocument/2006/relationships/hyperlink" Target="https://techcombank.com/thong-tin/blog/chung-chi-tien-gui-khac-gi-so-tiet-kiem" TargetMode="External"/><Relationship Id="rId3074" Type="http://schemas.openxmlformats.org/officeDocument/2006/relationships/hyperlink" Target="https://techcombank.com/thong-tin/blog/nen-gui-tiet-kiem-6-thang-hay-1-nam" TargetMode="External"/><Relationship Id="rId3073" Type="http://schemas.openxmlformats.org/officeDocument/2006/relationships/hyperlink" Target="https://techcombank.com/thong-tin/blog/gui-tiet-kiem-theo-ngay" TargetMode="External"/><Relationship Id="rId3076" Type="http://schemas.openxmlformats.org/officeDocument/2006/relationships/hyperlink" Target="https://techcombank.com/thong-tin/blog/thanh-toan-toi-thieu-the-tin-dung" TargetMode="External"/><Relationship Id="rId3075" Type="http://schemas.openxmlformats.org/officeDocument/2006/relationships/hyperlink" Target="https://techcombank.com/thong-tin/blog/lai-suat-the-tin-dung" TargetMode="External"/><Relationship Id="rId3078" Type="http://schemas.openxmlformats.org/officeDocument/2006/relationships/hyperlink" Target="https://techcombank.com/thong-tin/blog/gui-tiet-kiem-ngoai-te" TargetMode="External"/><Relationship Id="rId3077" Type="http://schemas.openxmlformats.org/officeDocument/2006/relationships/hyperlink" Target="https://techcombank.com/thong-tin/blog/cach-tinh-lai-suat-tien-gui-tiet-kiem" TargetMode="External"/><Relationship Id="rId3079" Type="http://schemas.openxmlformats.org/officeDocument/2006/relationships/hyperlink" Target="https://techcombank.com/thong-tin/blog/gui-tiet-kiem-hang-thang" TargetMode="External"/><Relationship Id="rId3061" Type="http://schemas.openxmlformats.org/officeDocument/2006/relationships/hyperlink" Target="https://techcombank.com/thong-tin/blog/tien-gui-khong-ky-han" TargetMode="External"/><Relationship Id="rId3060" Type="http://schemas.openxmlformats.org/officeDocument/2006/relationships/hyperlink" Target="https://techcombank.com/thong-tin/blog/lai-kep-ngan-hang" TargetMode="External"/><Relationship Id="rId3063" Type="http://schemas.openxmlformats.org/officeDocument/2006/relationships/hyperlink" Target="https://techcombank.com/thong-tin/blog/cach-su-dung-the-visa-techcombank" TargetMode="External"/><Relationship Id="rId3062" Type="http://schemas.openxmlformats.org/officeDocument/2006/relationships/hyperlink" Target="https://techcombank.com/thong-tin/blog/app-ngan-hang-uy-tin" TargetMode="External"/><Relationship Id="rId3065" Type="http://schemas.openxmlformats.org/officeDocument/2006/relationships/hyperlink" Target="https://techcombank.com/thong-tin/blog/cach-tiet-kiem-tien-sinh-loi" TargetMode="External"/><Relationship Id="rId3064" Type="http://schemas.openxmlformats.org/officeDocument/2006/relationships/hyperlink" Target="https://techcombank.com/thong-tin/blog/so-sanh-gui-tiet-kiem-online-va-tai-quay" TargetMode="External"/><Relationship Id="rId3067" Type="http://schemas.openxmlformats.org/officeDocument/2006/relationships/hyperlink" Target="https://techcombank.com/thong-tin/blog/no-xau-co-lam-the-visa-duoc-khong" TargetMode="External"/><Relationship Id="rId3066" Type="http://schemas.openxmlformats.org/officeDocument/2006/relationships/hyperlink" Target="https://techcombank.com/thong-tin/blog/co-nen-gui-tiet-kiem-online" TargetMode="External"/><Relationship Id="rId3069" Type="http://schemas.openxmlformats.org/officeDocument/2006/relationships/hyperlink" Target="https://techcombank.com/thong-tin/blog/no-the-tin-dung-qua-han" TargetMode="External"/><Relationship Id="rId3068" Type="http://schemas.openxmlformats.org/officeDocument/2006/relationships/hyperlink" Target="https://techcombank.com/thong-tin/blog/the-tin-dung-bi-khoa" TargetMode="External"/><Relationship Id="rId3090" Type="http://schemas.openxmlformats.org/officeDocument/2006/relationships/hyperlink" Target="https://techcombank.com/thong-tin/blog/vay-ngan-hang-1-ty-moi-thang-tra-bao-nhieu" TargetMode="External"/><Relationship Id="rId3092" Type="http://schemas.openxmlformats.org/officeDocument/2006/relationships/hyperlink" Target="https://techcombank.com/thong-tin/blog/loi-nhuan" TargetMode="External"/><Relationship Id="rId3091" Type="http://schemas.openxmlformats.org/officeDocument/2006/relationships/hyperlink" Target="https://techcombank.com/thong-tin/blog/lai-suat-vay-kinh-doanh" TargetMode="External"/><Relationship Id="rId3094" Type="http://schemas.openxmlformats.org/officeDocument/2006/relationships/hyperlink" Target="https://techcombank.com/thong-tin/blog/lai-suat-vay-the-chap" TargetMode="External"/><Relationship Id="rId3093" Type="http://schemas.openxmlformats.org/officeDocument/2006/relationships/hyperlink" Target="https://techcombank.com/thong-tin/blog/vay-tin-chap-va-vay-the-chap" TargetMode="External"/><Relationship Id="rId3096" Type="http://schemas.openxmlformats.org/officeDocument/2006/relationships/hyperlink" Target="https://techcombank.com/thong-tin/blog/lai-suat-ngan-hang-cho-vay-xay-nha" TargetMode="External"/><Relationship Id="rId3095" Type="http://schemas.openxmlformats.org/officeDocument/2006/relationships/hyperlink" Target="https://techcombank.com/thong-tin/blog/lai-suat-vay-thau-chi" TargetMode="External"/><Relationship Id="rId3098" Type="http://schemas.openxmlformats.org/officeDocument/2006/relationships/hyperlink" Target="https://techcombank.com/thong-tin/blog/lai-suat-vay-mua-o-to" TargetMode="External"/><Relationship Id="rId3097" Type="http://schemas.openxmlformats.org/officeDocument/2006/relationships/hyperlink" Target="https://techcombank.com/thong-tin/blog/cach-tinh-lai-vay-ngan-hang" TargetMode="External"/><Relationship Id="rId3099" Type="http://schemas.openxmlformats.org/officeDocument/2006/relationships/hyperlink" Target="https://techcombank.com/thong-tin/blog/vay-tin-chap-la-gi" TargetMode="External"/><Relationship Id="rId3081" Type="http://schemas.openxmlformats.org/officeDocument/2006/relationships/hyperlink" Target="https://techcombank.com/thong-tin/blog/lai-suat-tiet-kiem" TargetMode="External"/><Relationship Id="rId3080" Type="http://schemas.openxmlformats.org/officeDocument/2006/relationships/hyperlink" Target="https://techcombank.com/thong-tin/blog/tien-gui-co-ky-han" TargetMode="External"/><Relationship Id="rId3083" Type="http://schemas.openxmlformats.org/officeDocument/2006/relationships/hyperlink" Target="https://techcombank.com/thong-tin/blog/uu-dai-the-tin-dung-techcombank-signature" TargetMode="External"/><Relationship Id="rId3082" Type="http://schemas.openxmlformats.org/officeDocument/2006/relationships/hyperlink" Target="https://techcombank.com/thong-tin/blog/cach-su-dung-the-tin-dung" TargetMode="External"/><Relationship Id="rId3085" Type="http://schemas.openxmlformats.org/officeDocument/2006/relationships/hyperlink" Target="https://techcombank.com/thong-tin/blog/lai-suat-vay-tieu-dung" TargetMode="External"/><Relationship Id="rId3084" Type="http://schemas.openxmlformats.org/officeDocument/2006/relationships/hyperlink" Target="https://techcombank.com/thong-tin/blog/lai-suat-la-gi" TargetMode="External"/><Relationship Id="rId3087" Type="http://schemas.openxmlformats.org/officeDocument/2006/relationships/hyperlink" Target="https://techcombank.com/thong-tin/blog/dieu-kien-vay-von-ngan-hang" TargetMode="External"/><Relationship Id="rId3086" Type="http://schemas.openxmlformats.org/officeDocument/2006/relationships/hyperlink" Target="https://techcombank.com/thong-tin/blog/lai-suat-vay-tin-chap" TargetMode="External"/><Relationship Id="rId3089" Type="http://schemas.openxmlformats.org/officeDocument/2006/relationships/hyperlink" Target="https://techcombank.com/thong-tin/blog/the-tin-dung-phu-la-gi" TargetMode="External"/><Relationship Id="rId3088" Type="http://schemas.openxmlformats.org/officeDocument/2006/relationships/hyperlink" Target="https://techcombank.com/thong-tin/blog/lai-suat-qua-han" TargetMode="External"/><Relationship Id="rId3039" Type="http://schemas.openxmlformats.org/officeDocument/2006/relationships/hyperlink" Target="https://techcombank.com/thong-tin/blog/tat-toan-so-tiet-kiem" TargetMode="External"/><Relationship Id="rId1" Type="http://schemas.openxmlformats.org/officeDocument/2006/relationships/hyperlink" Target="https://techcombank.com/thong-tin/blog/thu-tuc-mua-xe-tra-gop" TargetMode="External"/><Relationship Id="rId2" Type="http://schemas.openxmlformats.org/officeDocument/2006/relationships/hyperlink" Target="https://techcombank.com/thong-tin/blog/nen-mua-xe-tra-gop-hay-tra-thang" TargetMode="External"/><Relationship Id="rId3" Type="http://schemas.openxmlformats.org/officeDocument/2006/relationships/hyperlink" Target="https://techcombank.com/thong-tin/blog/vay-the-chap-xe-o-to-cu" TargetMode="External"/><Relationship Id="rId4" Type="http://schemas.openxmlformats.org/officeDocument/2006/relationships/hyperlink" Target="https://techcombank.com/thong-tin/blog/doi-xe-xang-lay-xe-dien" TargetMode="External"/><Relationship Id="rId3030" Type="http://schemas.openxmlformats.org/officeDocument/2006/relationships/hyperlink" Target="https://techcombank.com/thong-tin/blog/nhu-cau-vay-tieu-dung-cua-nguoi-viet-du-kien-tang-manh-trong-thoi-gian-toi" TargetMode="External"/><Relationship Id="rId9" Type="http://schemas.openxmlformats.org/officeDocument/2006/relationships/hyperlink" Target="https://techcombank.com/thong-tin/blog/nen-mua-xe-o-to-dien-hay-xe-xang" TargetMode="External"/><Relationship Id="rId3032" Type="http://schemas.openxmlformats.org/officeDocument/2006/relationships/hyperlink" Target="https://techcombank.com/thong-tin/blog/loi-nhuan" TargetMode="External"/><Relationship Id="rId3031" Type="http://schemas.openxmlformats.org/officeDocument/2006/relationships/hyperlink" Target="https://techcombank.com/thong-tin/blog/tap-doan-thanh-quang-khoi-sac-kinh-doanh-nho-nguon-von-vay-tin-dung-techcombank-tren-nen-tang-misa-lending" TargetMode="External"/><Relationship Id="rId3034" Type="http://schemas.openxmlformats.org/officeDocument/2006/relationships/hyperlink" Target="https://techcombank.com/thong-tin/blog/tra-gop-hoc-phi" TargetMode="External"/><Relationship Id="rId3033" Type="http://schemas.openxmlformats.org/officeDocument/2006/relationships/hyperlink" Target="https://techcombank.com/thong-tin/blog/dieu-kien-vay-von-ngan-hang" TargetMode="External"/><Relationship Id="rId5" Type="http://schemas.openxmlformats.org/officeDocument/2006/relationships/hyperlink" Target="https://techcombank.com/thong-tin/blog/tai-khoan-ngan-hang-la-gi" TargetMode="External"/><Relationship Id="rId3036" Type="http://schemas.openxmlformats.org/officeDocument/2006/relationships/hyperlink" Target="https://techcombank.com/thong-tin/blog/no-xau-mo-the-tin-dung-duoc-khong" TargetMode="External"/><Relationship Id="rId6" Type="http://schemas.openxmlformats.org/officeDocument/2006/relationships/hyperlink" Target="https://techcombank.com/thong-tin/blog/mua-bao-hiem-o-to-dien" TargetMode="External"/><Relationship Id="rId3035" Type="http://schemas.openxmlformats.org/officeDocument/2006/relationships/hyperlink" Target="https://techcombank.com/thong-tin/blog/vay-ngan-hang-1-ty-moi-thang-tra-bao-nhieu" TargetMode="External"/><Relationship Id="rId7" Type="http://schemas.openxmlformats.org/officeDocument/2006/relationships/hyperlink" Target="https://techcombank.com/thong-tin/blog/cho-vay-tung-lan" TargetMode="External"/><Relationship Id="rId3038" Type="http://schemas.openxmlformats.org/officeDocument/2006/relationships/hyperlink" Target="https://techcombank.com/thong-tin/blog/lam-ho-so-tra-gop-dien-thoai" TargetMode="External"/><Relationship Id="rId8" Type="http://schemas.openxmlformats.org/officeDocument/2006/relationships/hyperlink" Target="https://techcombank.com/thong-tin/blog/lam-ho-so-tra-gop-dien-thoai" TargetMode="External"/><Relationship Id="rId3037" Type="http://schemas.openxmlformats.org/officeDocument/2006/relationships/hyperlink" Target="https://techcombank.com/thong-tin/blog/gui-tiet-kiem-online-co-rut-truoc-han-duoc-khong" TargetMode="External"/><Relationship Id="rId3029" Type="http://schemas.openxmlformats.org/officeDocument/2006/relationships/hyperlink" Target="https://techcombank.com/thong-tin/blog/von-luu-dong-la-gi" TargetMode="External"/><Relationship Id="rId3028" Type="http://schemas.openxmlformats.org/officeDocument/2006/relationships/hyperlink" Target="https://techcombank.com/thong-tin/blog/cho-vay-hop-von-la-gi" TargetMode="External"/><Relationship Id="rId3021" Type="http://schemas.openxmlformats.org/officeDocument/2006/relationships/hyperlink" Target="https://techcombank.com/thong-tin/blog/vay-the-chap-khong-tra-duoc" TargetMode="External"/><Relationship Id="rId3020" Type="http://schemas.openxmlformats.org/officeDocument/2006/relationships/hyperlink" Target="https://techcombank.com/thong-tin/blog/cho-vay-tieu-dung-la-gi" TargetMode="External"/><Relationship Id="rId3023" Type="http://schemas.openxmlformats.org/officeDocument/2006/relationships/hyperlink" Target="https://techcombank.com/thong-tin/blog/thu-tuc-vay-von-doanh-nghiep" TargetMode="External"/><Relationship Id="rId3022" Type="http://schemas.openxmlformats.org/officeDocument/2006/relationships/hyperlink" Target="https://techcombank.com/thong-tin/blog/bao-lanh-vay-von" TargetMode="External"/><Relationship Id="rId3025" Type="http://schemas.openxmlformats.org/officeDocument/2006/relationships/hyperlink" Target="https://techcombank.com/thong-tin/blog/cho-vay-tung-lan" TargetMode="External"/><Relationship Id="rId3024" Type="http://schemas.openxmlformats.org/officeDocument/2006/relationships/hyperlink" Target="https://techcombank.com/thong-tin/blog/ho-so-vay-von-cua-doanh-nghiep-gom-nhung-gi" TargetMode="External"/><Relationship Id="rId3027" Type="http://schemas.openxmlformats.org/officeDocument/2006/relationships/hyperlink" Target="https://techcombank.com/thong-tin/blog/tin-dung-doanh-nghiep" TargetMode="External"/><Relationship Id="rId3026" Type="http://schemas.openxmlformats.org/officeDocument/2006/relationships/hyperlink" Target="https://techcombank.com/thong-tin/blog/tin-dung-tieu-dung" TargetMode="External"/><Relationship Id="rId3050" Type="http://schemas.openxmlformats.org/officeDocument/2006/relationships/hyperlink" Target="https://techcombank.com/thong-tin/blog/spaylater" TargetMode="External"/><Relationship Id="rId3052" Type="http://schemas.openxmlformats.org/officeDocument/2006/relationships/hyperlink" Target="https://techcombank.com/thong-tin/blog/lich-su-tin-dung" TargetMode="External"/><Relationship Id="rId3051" Type="http://schemas.openxmlformats.org/officeDocument/2006/relationships/hyperlink" Target="https://techcombank.com/thong-tin/blog/nang-han-muc-tin-dung" TargetMode="External"/><Relationship Id="rId3054" Type="http://schemas.openxmlformats.org/officeDocument/2006/relationships/hyperlink" Target="https://techcombank.com/thong-tin/blog/mo-the-tin-dung-han-muc-cao" TargetMode="External"/><Relationship Id="rId3053" Type="http://schemas.openxmlformats.org/officeDocument/2006/relationships/hyperlink" Target="https://techcombank.com/thong-tin/blog/lai-suat-la-gi" TargetMode="External"/><Relationship Id="rId3056" Type="http://schemas.openxmlformats.org/officeDocument/2006/relationships/hyperlink" Target="https://techcombank.com/thong-tin/blog/du-no-la-gi" TargetMode="External"/><Relationship Id="rId3055" Type="http://schemas.openxmlformats.org/officeDocument/2006/relationships/hyperlink" Target="https://techcombank.com/thong-tin/blog/tra-gop-qua-the-tin-dung" TargetMode="External"/><Relationship Id="rId3058" Type="http://schemas.openxmlformats.org/officeDocument/2006/relationships/hyperlink" Target="https://techcombank.com/thong-tin/blog/so-tiet-kiem-ngan-hang" TargetMode="External"/><Relationship Id="rId3057" Type="http://schemas.openxmlformats.org/officeDocument/2006/relationships/hyperlink" Target="https://techcombank.com/thong-tin/blog/cong-thuc-tinh-lai-suat-thuc" TargetMode="External"/><Relationship Id="rId3059" Type="http://schemas.openxmlformats.org/officeDocument/2006/relationships/hyperlink" Target="https://techcombank.com/thong-tin/blog/no-xau" TargetMode="External"/><Relationship Id="rId3041" Type="http://schemas.openxmlformats.org/officeDocument/2006/relationships/hyperlink" Target="https://techcombank.com/thong-tin/blog/nen-mua-xe-o-to-dien-hay-xe-xang" TargetMode="External"/><Relationship Id="rId3040" Type="http://schemas.openxmlformats.org/officeDocument/2006/relationships/hyperlink" Target="https://techcombank.com/thong-tin/blog/the-ghi-no-va-the-tin-dung" TargetMode="External"/><Relationship Id="rId3043" Type="http://schemas.openxmlformats.org/officeDocument/2006/relationships/hyperlink" Target="https://techcombank.com/thong-tin/blog/the-tin-dung-phu-la-gi" TargetMode="External"/><Relationship Id="rId3042" Type="http://schemas.openxmlformats.org/officeDocument/2006/relationships/hyperlink" Target="https://techcombank.com/thong-tin/blog/han-muc-the-tin-dung" TargetMode="External"/><Relationship Id="rId3045" Type="http://schemas.openxmlformats.org/officeDocument/2006/relationships/hyperlink" Target="https://techcombank.com/thong-tin/blog/the-visa-co-rut-tien-duoc-khong" TargetMode="External"/><Relationship Id="rId3044" Type="http://schemas.openxmlformats.org/officeDocument/2006/relationships/hyperlink" Target="https://techcombank.com/thong-tin/blog/rut-tien-mat-tu-the-tin-dung" TargetMode="External"/><Relationship Id="rId3047" Type="http://schemas.openxmlformats.org/officeDocument/2006/relationships/hyperlink" Target="https://techcombank.com/thong-tin/blog/app-mua-truoc-tra-sau" TargetMode="External"/><Relationship Id="rId3046" Type="http://schemas.openxmlformats.org/officeDocument/2006/relationships/hyperlink" Target="https://techcombank.com/thong-tin/blog/tai-khoan-ngan-hang-chua-toi-da-bao-nhieu-tien" TargetMode="External"/><Relationship Id="rId3049" Type="http://schemas.openxmlformats.org/officeDocument/2006/relationships/hyperlink" Target="https://techcombank.com/thong-tin/blog/ho-so-thu-tuc-xoa-the-chap" TargetMode="External"/><Relationship Id="rId3048" Type="http://schemas.openxmlformats.org/officeDocument/2006/relationships/hyperlink" Target="https://techcombank.com/thong-tin/blog/chuyen-gia-du-doan-gia-bat-dong-san-2025-va-cac-no-luc-tu-ngan-hang" TargetMode="External"/><Relationship Id="rId2600" Type="http://schemas.openxmlformats.org/officeDocument/2006/relationships/hyperlink" Target="https://techcombank.com/thong-tin/blog/cach-tinh-lai-suat-tien-gui-tiet-kiem" TargetMode="External"/><Relationship Id="rId2601" Type="http://schemas.openxmlformats.org/officeDocument/2006/relationships/hyperlink" Target="https://techcombank.com/thong-tin/blog/uu-dai-the-tin-dung-techcombank-signature" TargetMode="External"/><Relationship Id="rId2602" Type="http://schemas.openxmlformats.org/officeDocument/2006/relationships/hyperlink" Target="https://techcombank.com/thong-tin/blog/tai-san-va-tieu-san-la-gi" TargetMode="External"/><Relationship Id="rId2603" Type="http://schemas.openxmlformats.org/officeDocument/2006/relationships/hyperlink" Target="https://techcombank.com/thong-tin/blog/cach-tiet-kiem-tien-cua-nguoi-nhat" TargetMode="External"/><Relationship Id="rId2604" Type="http://schemas.openxmlformats.org/officeDocument/2006/relationships/hyperlink" Target="https://techcombank.com/thong-tin/blog/quan-ly-tai-chinh-cho-dan-van-phong" TargetMode="External"/><Relationship Id="rId2605" Type="http://schemas.openxmlformats.org/officeDocument/2006/relationships/hyperlink" Target="https://techcombank.com/thong-tin/blog/lam-phat-la-gi" TargetMode="External"/><Relationship Id="rId2606" Type="http://schemas.openxmlformats.org/officeDocument/2006/relationships/hyperlink" Target="https://techcombank.com/thong-tin/blog/cach-tiet-kiem-tien-hieu-qua-cho-gia-dinh" TargetMode="External"/><Relationship Id="rId808" Type="http://schemas.openxmlformats.org/officeDocument/2006/relationships/hyperlink" Target="https://techcombank.com/thong-tin/blog/thue-ho-kinh-doanh-2025" TargetMode="External"/><Relationship Id="rId2607" Type="http://schemas.openxmlformats.org/officeDocument/2006/relationships/hyperlink" Target="https://techcombank.com/thong-tin/blog/gui-tiet-kiem-lay-lai-hang-thang" TargetMode="External"/><Relationship Id="rId807" Type="http://schemas.openxmlformats.org/officeDocument/2006/relationships/hyperlink" Target="https://techcombank.com/thong-tin/blog/chuyen-doi-ho-kinh-doanh-len-doanh-nghiep" TargetMode="External"/><Relationship Id="rId2608" Type="http://schemas.openxmlformats.org/officeDocument/2006/relationships/hyperlink" Target="https://techcombank.com/thong-tin/blog/1-cmnd-dang-ky-duoc-may-tai-khoan-ngan-hang" TargetMode="External"/><Relationship Id="rId806" Type="http://schemas.openxmlformats.org/officeDocument/2006/relationships/hyperlink" Target="https://techcombank.com/thong-tin/blog/giai-dap-ve-thue-doanh-nghiep" TargetMode="External"/><Relationship Id="rId2609" Type="http://schemas.openxmlformats.org/officeDocument/2006/relationships/hyperlink" Target="https://techcombank.com/thong-tin/blog/dang-ky-nhieu-tai-khoan-ngan-hang-co-sao-khong" TargetMode="External"/><Relationship Id="rId805" Type="http://schemas.openxmlformats.org/officeDocument/2006/relationships/hyperlink" Target="https://techcombank.com/thong-tin/blog/thue-thuong-mai-dien-tu" TargetMode="External"/><Relationship Id="rId809" Type="http://schemas.openxmlformats.org/officeDocument/2006/relationships/hyperlink" Target="https://techcombank.com/thong-tin/blog/bi-quyet-tiet-kiem-tien-mua-nha" TargetMode="External"/><Relationship Id="rId800" Type="http://schemas.openxmlformats.org/officeDocument/2006/relationships/hyperlink" Target="https://techcombank.com/thong-tin/blog/nop-thue-hai-quan" TargetMode="External"/><Relationship Id="rId804" Type="http://schemas.openxmlformats.org/officeDocument/2006/relationships/hyperlink" Target="https://techcombank.com/thong-tin/blog/tra-luong-tien-mat" TargetMode="External"/><Relationship Id="rId803" Type="http://schemas.openxmlformats.org/officeDocument/2006/relationships/hyperlink" Target="https://techcombank.com/thong-tin/blog/cach-tra-cuu-hoa-don-dien-tu" TargetMode="External"/><Relationship Id="rId802" Type="http://schemas.openxmlformats.org/officeDocument/2006/relationships/hyperlink" Target="https://techcombank.com/thong-tin/blog/thay-doi-dia-chi-ho-kinh-doanh" TargetMode="External"/><Relationship Id="rId801" Type="http://schemas.openxmlformats.org/officeDocument/2006/relationships/hyperlink" Target="https://techcombank.com/thong-tin/blog/ke-khai-thue-doanh-nghiep" TargetMode="External"/><Relationship Id="rId1334" Type="http://schemas.openxmlformats.org/officeDocument/2006/relationships/hyperlink" Target="https://techcombank.com/thong-tin/blog/mo-the-tin-dung-han-muc-cao" TargetMode="External"/><Relationship Id="rId2665" Type="http://schemas.openxmlformats.org/officeDocument/2006/relationships/hyperlink" Target="https://techcombank.com/thong-tin/blog/vay-ngan-hang-chi-can-cccd" TargetMode="External"/><Relationship Id="rId1335" Type="http://schemas.openxmlformats.org/officeDocument/2006/relationships/hyperlink" Target="https://techcombank.com/thong-tin/blog/uu-dai-the-tin-dung" TargetMode="External"/><Relationship Id="rId2666" Type="http://schemas.openxmlformats.org/officeDocument/2006/relationships/hyperlink" Target="https://techcombank.com/thong-tin/blog/tra-gop-shopee" TargetMode="External"/><Relationship Id="rId1336" Type="http://schemas.openxmlformats.org/officeDocument/2006/relationships/hyperlink" Target="https://techcombank.com/thong-tin/blog/3d-secure" TargetMode="External"/><Relationship Id="rId2667" Type="http://schemas.openxmlformats.org/officeDocument/2006/relationships/hyperlink" Target="https://techcombank.com/thong-tin/blog/kinh-nghiem-gui-tiet-kiem-online" TargetMode="External"/><Relationship Id="rId1337" Type="http://schemas.openxmlformats.org/officeDocument/2006/relationships/hyperlink" Target="https://techcombank.com/thong-tin/blog/lai-suat-the-tin-dung" TargetMode="External"/><Relationship Id="rId2668" Type="http://schemas.openxmlformats.org/officeDocument/2006/relationships/hyperlink" Target="https://techcombank.com/thong-tin/blog/thanh-toan-tra-gop-qua-the-tin-dung" TargetMode="External"/><Relationship Id="rId1338" Type="http://schemas.openxmlformats.org/officeDocument/2006/relationships/hyperlink" Target="https://techcombank.com/thong-tin/blog/mo-the-tin-dung-co-loi-ich-gi" TargetMode="External"/><Relationship Id="rId2669" Type="http://schemas.openxmlformats.org/officeDocument/2006/relationships/hyperlink" Target="https://techcombank.com/thong-tin/blog/tra-gop-lazada" TargetMode="External"/><Relationship Id="rId1339" Type="http://schemas.openxmlformats.org/officeDocument/2006/relationships/hyperlink" Target="https://techcombank.com/thong-tin/blog/the-tin-dung-ao" TargetMode="External"/><Relationship Id="rId745" Type="http://schemas.openxmlformats.org/officeDocument/2006/relationships/hyperlink" Target="https://techcombank.com/thong-tin/blog/thoi-gian-hoan-tien-the-tin-dung" TargetMode="External"/><Relationship Id="rId744" Type="http://schemas.openxmlformats.org/officeDocument/2006/relationships/hyperlink" Target="https://techcombank.com/thong-tin/blog/the-debit-cho-con" TargetMode="External"/><Relationship Id="rId743" Type="http://schemas.openxmlformats.org/officeDocument/2006/relationships/hyperlink" Target="https://techcombank.com/thong-tin/blog/mo-the-tin-dung-chi-can-cccd" TargetMode="External"/><Relationship Id="rId742" Type="http://schemas.openxmlformats.org/officeDocument/2006/relationships/hyperlink" Target="https://techcombank.com/thong-tin/blog/cach-tiet-kiem-tien" TargetMode="External"/><Relationship Id="rId749" Type="http://schemas.openxmlformats.org/officeDocument/2006/relationships/hyperlink" Target="https://techcombank.com/thong-tin/blog/cic-la-gi" TargetMode="External"/><Relationship Id="rId748" Type="http://schemas.openxmlformats.org/officeDocument/2006/relationships/hyperlink" Target="https://techcombank.com/thong-tin/blog/the-visa-co-may-loai" TargetMode="External"/><Relationship Id="rId747" Type="http://schemas.openxmlformats.org/officeDocument/2006/relationships/hyperlink" Target="https://techcombank.com/thong-tin/blog/vay-tien-online" TargetMode="External"/><Relationship Id="rId746" Type="http://schemas.openxmlformats.org/officeDocument/2006/relationships/hyperlink" Target="https://techcombank.com/thong-tin/blog/the-ghi-no-co-rut-tien-duoc-khong" TargetMode="External"/><Relationship Id="rId2660" Type="http://schemas.openxmlformats.org/officeDocument/2006/relationships/hyperlink" Target="https://techcombank.com/thong-tin/blog/lai-suat-vay-thau-chi" TargetMode="External"/><Relationship Id="rId741" Type="http://schemas.openxmlformats.org/officeDocument/2006/relationships/hyperlink" Target="https://techcombank.com/thong-tin/blog/nang-han-muc-tin-dung" TargetMode="External"/><Relationship Id="rId1330" Type="http://schemas.openxmlformats.org/officeDocument/2006/relationships/hyperlink" Target="https://techcombank.com/thong-tin/blog/thanh-toan-online-bang-the-tin-dung" TargetMode="External"/><Relationship Id="rId2661" Type="http://schemas.openxmlformats.org/officeDocument/2006/relationships/hyperlink" Target="https://techcombank.com/thong-tin/blog/vay-mua-nha-tra-gop" TargetMode="External"/><Relationship Id="rId740" Type="http://schemas.openxmlformats.org/officeDocument/2006/relationships/hyperlink" Target="https://techcombank.com/thong-tin/blog/cashback-the-thanh-toan" TargetMode="External"/><Relationship Id="rId1331" Type="http://schemas.openxmlformats.org/officeDocument/2006/relationships/hyperlink" Target="https://techcombank.com/thong-tin/blog/uu-dai-mo-the-tin-dung" TargetMode="External"/><Relationship Id="rId2662" Type="http://schemas.openxmlformats.org/officeDocument/2006/relationships/hyperlink" Target="https://techcombank.com/thong-tin/blog/quy-trinh-tat-toan-khoan-vay-the-chap" TargetMode="External"/><Relationship Id="rId1332" Type="http://schemas.openxmlformats.org/officeDocument/2006/relationships/hyperlink" Target="https://techcombank.com/thong-tin/blog/the-tin-dung-co-chuyen-khoan-duoc-khong" TargetMode="External"/><Relationship Id="rId2663" Type="http://schemas.openxmlformats.org/officeDocument/2006/relationships/hyperlink" Target="https://techcombank.com/thong-tin/blog/vay-40-trieu" TargetMode="External"/><Relationship Id="rId1333" Type="http://schemas.openxmlformats.org/officeDocument/2006/relationships/hyperlink" Target="https://techcombank.com/thong-tin/blog/the-tin-dung-techcombank-visa-eco" TargetMode="External"/><Relationship Id="rId2664" Type="http://schemas.openxmlformats.org/officeDocument/2006/relationships/hyperlink" Target="https://techcombank.com/thong-tin/blog/thu-tuc-mua-xe-tra-gop" TargetMode="External"/><Relationship Id="rId1323" Type="http://schemas.openxmlformats.org/officeDocument/2006/relationships/hyperlink" Target="https://techcombank.com/thong-tin/blog/ma-buu-chinh-the-tin-dung" TargetMode="External"/><Relationship Id="rId2654" Type="http://schemas.openxmlformats.org/officeDocument/2006/relationships/hyperlink" Target="https://techcombank.com/thong-tin/blog/tai-khoan-ngan-hang-la-gi" TargetMode="External"/><Relationship Id="rId1324" Type="http://schemas.openxmlformats.org/officeDocument/2006/relationships/hyperlink" Target="https://techcombank.com/thong-tin/blog/the-tin-dung-quoc-te" TargetMode="External"/><Relationship Id="rId2655" Type="http://schemas.openxmlformats.org/officeDocument/2006/relationships/hyperlink" Target="https://techcombank.com/thong-tin/blog/vay-tin-chap-va-vay-the-chap" TargetMode="External"/><Relationship Id="rId1325" Type="http://schemas.openxmlformats.org/officeDocument/2006/relationships/hyperlink" Target="https://techcombank.com/thong-tin/blog/qua-han-thanh-toan-the-tin-dung-1-ngay" TargetMode="External"/><Relationship Id="rId2656" Type="http://schemas.openxmlformats.org/officeDocument/2006/relationships/hyperlink" Target="https://techcombank.com/thong-tin/blog/cach-tiet-kiem-tien-sinh-loi" TargetMode="External"/><Relationship Id="rId1326" Type="http://schemas.openxmlformats.org/officeDocument/2006/relationships/hyperlink" Target="https://techcombank.com/thong-tin/blog/phi-rut-tien-mat-the-tin-dung" TargetMode="External"/><Relationship Id="rId2657" Type="http://schemas.openxmlformats.org/officeDocument/2006/relationships/hyperlink" Target="https://techcombank.com/thong-tin/blog/tat-toan" TargetMode="External"/><Relationship Id="rId1327" Type="http://schemas.openxmlformats.org/officeDocument/2006/relationships/hyperlink" Target="https://techcombank.com/thong-tin/blog/cach-thanh-toan-the-tin-dung" TargetMode="External"/><Relationship Id="rId2658" Type="http://schemas.openxmlformats.org/officeDocument/2006/relationships/hyperlink" Target="https://techcombank.com/thong-tin/blog/dao-han-la-gi" TargetMode="External"/><Relationship Id="rId1328" Type="http://schemas.openxmlformats.org/officeDocument/2006/relationships/hyperlink" Target="https://techcombank.com/thong-tin/blog/the-tin-dung-den" TargetMode="External"/><Relationship Id="rId2659" Type="http://schemas.openxmlformats.org/officeDocument/2006/relationships/hyperlink" Target="https://techcombank.com/thong-tin/blog/vay-mua-xe-tra-gop-ngan-hang-nao-tot-nhat" TargetMode="External"/><Relationship Id="rId1329" Type="http://schemas.openxmlformats.org/officeDocument/2006/relationships/hyperlink" Target="https://techcombank.com/thong-tin/blog/dao-han-the-tin-dung" TargetMode="External"/><Relationship Id="rId739" Type="http://schemas.openxmlformats.org/officeDocument/2006/relationships/hyperlink" Target="https://techcombank.com/thong-tin/blog/sao-ke-the-tin-dung-la-gi" TargetMode="External"/><Relationship Id="rId734" Type="http://schemas.openxmlformats.org/officeDocument/2006/relationships/hyperlink" Target="https://techcombank.com/thong-tin/blog/cho-vay-tieu-dung-la-gi" TargetMode="External"/><Relationship Id="rId733" Type="http://schemas.openxmlformats.org/officeDocument/2006/relationships/hyperlink" Target="https://techcombank.com/thong-tin/blog/app-mua-truoc-tra-sau" TargetMode="External"/><Relationship Id="rId732" Type="http://schemas.openxmlformats.org/officeDocument/2006/relationships/hyperlink" Target="https://techcombank.com/thong-tin/blog/cach-tiet-kiem-tien-hieu-qua-cho-gia-dinh" TargetMode="External"/><Relationship Id="rId731" Type="http://schemas.openxmlformats.org/officeDocument/2006/relationships/hyperlink" Target="https://techcombank.com/thong-tin/blog/loi-ich-cua-viec-tiet-kiem-tien" TargetMode="External"/><Relationship Id="rId738" Type="http://schemas.openxmlformats.org/officeDocument/2006/relationships/hyperlink" Target="https://techcombank.com/thong-tin/blog/app-quan-ly-chi-tieu" TargetMode="External"/><Relationship Id="rId737" Type="http://schemas.openxmlformats.org/officeDocument/2006/relationships/hyperlink" Target="https://techcombank.com/thong-tin/blog/the-tin-dung-den" TargetMode="External"/><Relationship Id="rId736" Type="http://schemas.openxmlformats.org/officeDocument/2006/relationships/hyperlink" Target="https://techcombank.com/thong-tin/blog/so-tai-khoan-ngan-hang" TargetMode="External"/><Relationship Id="rId735" Type="http://schemas.openxmlformats.org/officeDocument/2006/relationships/hyperlink" Target="https://techcombank.com/thong-tin/blog/phan-mem-lap-ke-hoach-tai-chinh-ca-nhan" TargetMode="External"/><Relationship Id="rId730" Type="http://schemas.openxmlformats.org/officeDocument/2006/relationships/hyperlink" Target="https://techcombank.com/thong-tin/blog/vi-tra-sau" TargetMode="External"/><Relationship Id="rId2650" Type="http://schemas.openxmlformats.org/officeDocument/2006/relationships/hyperlink" Target="https://techcombank.com/thong-tin/blog/thanh-toan-khoan-vay" TargetMode="External"/><Relationship Id="rId1320" Type="http://schemas.openxmlformats.org/officeDocument/2006/relationships/hyperlink" Target="https://techcombank.com/thong-tin/blog/tra-cuu-han-muc-the-tin-dung" TargetMode="External"/><Relationship Id="rId2651" Type="http://schemas.openxmlformats.org/officeDocument/2006/relationships/hyperlink" Target="https://techcombank.com/thong-tin/blog/kiem-tra-no-xau" TargetMode="External"/><Relationship Id="rId1321" Type="http://schemas.openxmlformats.org/officeDocument/2006/relationships/hyperlink" Target="https://techcombank.com/thong-tin/blog/the-ghi-no-va-the-tin-dung" TargetMode="External"/><Relationship Id="rId2652" Type="http://schemas.openxmlformats.org/officeDocument/2006/relationships/hyperlink" Target="https://techcombank.com/thong-tin/blog/mua-truoc-tra-sau" TargetMode="External"/><Relationship Id="rId1322" Type="http://schemas.openxmlformats.org/officeDocument/2006/relationships/hyperlink" Target="https://techcombank.com/thong-tin/blog/co-nen-dung-the-tin-dung-khong" TargetMode="External"/><Relationship Id="rId2653" Type="http://schemas.openxmlformats.org/officeDocument/2006/relationships/hyperlink" Target="https://techcombank.com/thong-tin/blog/an-han-no-goc-la-gi" TargetMode="External"/><Relationship Id="rId1356" Type="http://schemas.openxmlformats.org/officeDocument/2006/relationships/hyperlink" Target="https://techcombank.com/thong-tin/blog/dao-han-la-gi" TargetMode="External"/><Relationship Id="rId2687" Type="http://schemas.openxmlformats.org/officeDocument/2006/relationships/hyperlink" Target="https://techcombank.com/thong-tin/blog/vay-han-muc-la-gi" TargetMode="External"/><Relationship Id="rId1357" Type="http://schemas.openxmlformats.org/officeDocument/2006/relationships/hyperlink" Target="https://techcombank.com/thong-tin/blog/vay-tin-chap-ho-kinh-doanh" TargetMode="External"/><Relationship Id="rId2688" Type="http://schemas.openxmlformats.org/officeDocument/2006/relationships/hyperlink" Target="https://techcombank.com/thong-tin/blog/lai-suat-vay-mua-o-to" TargetMode="External"/><Relationship Id="rId1358" Type="http://schemas.openxmlformats.org/officeDocument/2006/relationships/hyperlink" Target="https://techcombank.com/thong-tin/blog/vay-the-chap-khong-tra-duoc" TargetMode="External"/><Relationship Id="rId2689" Type="http://schemas.openxmlformats.org/officeDocument/2006/relationships/hyperlink" Target="https://techcombank.com/thong-tin/blog/no-xau-nhom-2" TargetMode="External"/><Relationship Id="rId1359" Type="http://schemas.openxmlformats.org/officeDocument/2006/relationships/hyperlink" Target="https://techcombank.com/thong-tin/blog/diem-tin-dung" TargetMode="External"/><Relationship Id="rId767" Type="http://schemas.openxmlformats.org/officeDocument/2006/relationships/hyperlink" Target="https://techcombank.com/thong-tin/blog/tin-dung-tieu-dung" TargetMode="External"/><Relationship Id="rId766" Type="http://schemas.openxmlformats.org/officeDocument/2006/relationships/hyperlink" Target="https://techcombank.com/thong-tin/blog/mo-tai-khoan-doanh-nghiep" TargetMode="External"/><Relationship Id="rId765" Type="http://schemas.openxmlformats.org/officeDocument/2006/relationships/hyperlink" Target="https://techcombank.com/thong-tin/blog/nen-mo-tai-khoan-ngan-hang-nao-cho-doanh-nghiep" TargetMode="External"/><Relationship Id="rId764" Type="http://schemas.openxmlformats.org/officeDocument/2006/relationships/hyperlink" Target="https://techcombank.com/thong-tin/blog/the-ghi-no-co-chuyen-khoan-duoc-khong" TargetMode="External"/><Relationship Id="rId769" Type="http://schemas.openxmlformats.org/officeDocument/2006/relationships/hyperlink" Target="https://techcombank.com/thong-tin/blog/chi-phi-mo-tai-khoan-ngan-hang-cho-cong-ty" TargetMode="External"/><Relationship Id="rId768" Type="http://schemas.openxmlformats.org/officeDocument/2006/relationships/hyperlink" Target="https://techcombank.com/thong-tin/blog/tai-khoan-doanh-nghiep-co-the-khong" TargetMode="External"/><Relationship Id="rId2680" Type="http://schemas.openxmlformats.org/officeDocument/2006/relationships/hyperlink" Target="https://techcombank.com/thong-tin/blog/vay-tin-chap-theo-luong" TargetMode="External"/><Relationship Id="rId1350" Type="http://schemas.openxmlformats.org/officeDocument/2006/relationships/hyperlink" Target="https://techcombank.com/thong-tin/blog/lam-ho-so-tra-gop-dien-thoai" TargetMode="External"/><Relationship Id="rId2681" Type="http://schemas.openxmlformats.org/officeDocument/2006/relationships/hyperlink" Target="https://techcombank.com/thong-tin/blog/tra-gop-qua-the-tin-dung" TargetMode="External"/><Relationship Id="rId1351" Type="http://schemas.openxmlformats.org/officeDocument/2006/relationships/hyperlink" Target="https://techcombank.com/thong-tin/blog/lich-su-tin-dung" TargetMode="External"/><Relationship Id="rId2682" Type="http://schemas.openxmlformats.org/officeDocument/2006/relationships/hyperlink" Target="https://techcombank.com/thong-tin/blog/tien-nhan-roi-nen-lam-gi" TargetMode="External"/><Relationship Id="rId763" Type="http://schemas.openxmlformats.org/officeDocument/2006/relationships/hyperlink" Target="https://techcombank.com/thong-tin/blog/cach-chuyen-tien" TargetMode="External"/><Relationship Id="rId1352" Type="http://schemas.openxmlformats.org/officeDocument/2006/relationships/hyperlink" Target="https://techcombank.com/thong-tin/blog/cach-su-dung-the-tin-dung" TargetMode="External"/><Relationship Id="rId2683" Type="http://schemas.openxmlformats.org/officeDocument/2006/relationships/hyperlink" Target="https://techcombank.com/thong-tin/blog/cach-su-dung-the-visa-techcombank" TargetMode="External"/><Relationship Id="rId762" Type="http://schemas.openxmlformats.org/officeDocument/2006/relationships/hyperlink" Target="https://techcombank.com/thong-tin/blog/y-nghia-so-68" TargetMode="External"/><Relationship Id="rId1353" Type="http://schemas.openxmlformats.org/officeDocument/2006/relationships/hyperlink" Target="https://techcombank.com/thong-tin/blog/no-xau-co-vay-the-chap-duoc-khong" TargetMode="External"/><Relationship Id="rId2684" Type="http://schemas.openxmlformats.org/officeDocument/2006/relationships/hyperlink" Target="https://techcombank.com/thong-tin/blog/lai-suat-vay-ngan-hang" TargetMode="External"/><Relationship Id="rId761" Type="http://schemas.openxmlformats.org/officeDocument/2006/relationships/hyperlink" Target="https://techcombank.com/thong-tin/blog/so-8386" TargetMode="External"/><Relationship Id="rId1354" Type="http://schemas.openxmlformats.org/officeDocument/2006/relationships/hyperlink" Target="https://techcombank.com/thong-tin/blog/tin-dung-la-gi" TargetMode="External"/><Relationship Id="rId2685" Type="http://schemas.openxmlformats.org/officeDocument/2006/relationships/hyperlink" Target="https://techcombank.com/thong-tin/blog/du-no-tin-dung-la-gi" TargetMode="External"/><Relationship Id="rId760" Type="http://schemas.openxmlformats.org/officeDocument/2006/relationships/hyperlink" Target="https://techcombank.com/thong-tin/blog/66666-co-y-nghia-gi" TargetMode="External"/><Relationship Id="rId1355" Type="http://schemas.openxmlformats.org/officeDocument/2006/relationships/hyperlink" Target="https://techcombank.com/thong-tin/blog/du-no-tin-dung-la-gi" TargetMode="External"/><Relationship Id="rId2686" Type="http://schemas.openxmlformats.org/officeDocument/2006/relationships/hyperlink" Target="https://techcombank.com/thong-tin/blog/mua-nha-tra-gop-dua-truoc-100-trieu" TargetMode="External"/><Relationship Id="rId1345" Type="http://schemas.openxmlformats.org/officeDocument/2006/relationships/hyperlink" Target="https://techcombank.com/thong-tin/blog/lam-the-tin-dung" TargetMode="External"/><Relationship Id="rId2676" Type="http://schemas.openxmlformats.org/officeDocument/2006/relationships/hyperlink" Target="https://techcombank.com/thong-tin/blog/thu-tuc-vay-von-ngan-hang-de-xay-nha" TargetMode="External"/><Relationship Id="rId1346" Type="http://schemas.openxmlformats.org/officeDocument/2006/relationships/hyperlink" Target="https://techcombank.com/thong-tin/blog/the-tin-dung-co-ma-pin-khong" TargetMode="External"/><Relationship Id="rId2677" Type="http://schemas.openxmlformats.org/officeDocument/2006/relationships/hyperlink" Target="https://techcombank.com/thong-tin/blog/cach-su-dung-the-tin-dung" TargetMode="External"/><Relationship Id="rId1347" Type="http://schemas.openxmlformats.org/officeDocument/2006/relationships/hyperlink" Target="https://techcombank.com/thong-tin/blog/cic-la-gi" TargetMode="External"/><Relationship Id="rId2678" Type="http://schemas.openxmlformats.org/officeDocument/2006/relationships/hyperlink" Target="https://techcombank.com/thong-tin/blog/khach-hang-vip-bat-dong-san" TargetMode="External"/><Relationship Id="rId1348" Type="http://schemas.openxmlformats.org/officeDocument/2006/relationships/hyperlink" Target="https://techcombank.com/thong-tin/blog/sao-ke-the-tin-dung-la-gi" TargetMode="External"/><Relationship Id="rId2679" Type="http://schemas.openxmlformats.org/officeDocument/2006/relationships/hyperlink" Target="https://techcombank.com/thong-tin/blog/kinh-nghiem-vay-tien-ngan-hang-xay-nha" TargetMode="External"/><Relationship Id="rId1349" Type="http://schemas.openxmlformats.org/officeDocument/2006/relationships/hyperlink" Target="https://techcombank.com/thong-tin/blog/the-tin-dung-noi-dia" TargetMode="External"/><Relationship Id="rId756" Type="http://schemas.openxmlformats.org/officeDocument/2006/relationships/hyperlink" Target="https://techcombank.com/thong-tin/blog/co-nen-mua-so-tai-khoan-ngan-hang-dep" TargetMode="External"/><Relationship Id="rId755" Type="http://schemas.openxmlformats.org/officeDocument/2006/relationships/hyperlink" Target="https://techcombank.com/thong-tin/blog/li-xi-so-dep" TargetMode="External"/><Relationship Id="rId754" Type="http://schemas.openxmlformats.org/officeDocument/2006/relationships/hyperlink" Target="https://techcombank.com/thong-tin/blog/cach-chon-so-tai-khoan-dep" TargetMode="External"/><Relationship Id="rId753" Type="http://schemas.openxmlformats.org/officeDocument/2006/relationships/hyperlink" Target="https://techcombank.com/thong-tin/blog/so-tai-khoan-dep" TargetMode="External"/><Relationship Id="rId759" Type="http://schemas.openxmlformats.org/officeDocument/2006/relationships/hyperlink" Target="https://techcombank.com/thong-tin/blog/8868" TargetMode="External"/><Relationship Id="rId758" Type="http://schemas.openxmlformats.org/officeDocument/2006/relationships/hyperlink" Target="https://techcombank.com/thong-tin/blog/vi-du-ve-ca-nhan-hoa" TargetMode="External"/><Relationship Id="rId757" Type="http://schemas.openxmlformats.org/officeDocument/2006/relationships/hyperlink" Target="https://techcombank.com/thong-tin/blog/li-xi-tet" TargetMode="External"/><Relationship Id="rId2670" Type="http://schemas.openxmlformats.org/officeDocument/2006/relationships/hyperlink" Target="https://techcombank.com/thong-tin/blog/lai-suat-la-gi" TargetMode="External"/><Relationship Id="rId1340" Type="http://schemas.openxmlformats.org/officeDocument/2006/relationships/hyperlink" Target="https://techcombank.com/thong-tin/blog/thanh-toan-toi-thieu-the-tin-dung" TargetMode="External"/><Relationship Id="rId2671" Type="http://schemas.openxmlformats.org/officeDocument/2006/relationships/hyperlink" Target="https://techcombank.com/thong-tin/blog/nen-mua-xe-tra-gop-hay-tra-thang" TargetMode="External"/><Relationship Id="rId752" Type="http://schemas.openxmlformats.org/officeDocument/2006/relationships/hyperlink" Target="https://techcombank.com/thong-tin/blog/so-6868" TargetMode="External"/><Relationship Id="rId1341" Type="http://schemas.openxmlformats.org/officeDocument/2006/relationships/hyperlink" Target="https://techcombank.com/thong-tin/blog/tra-gop-shopee" TargetMode="External"/><Relationship Id="rId2672" Type="http://schemas.openxmlformats.org/officeDocument/2006/relationships/hyperlink" Target="https://techcombank.com/thong-tin/blog/vay-15-trieu" TargetMode="External"/><Relationship Id="rId751" Type="http://schemas.openxmlformats.org/officeDocument/2006/relationships/hyperlink" Target="https://techcombank.com/thong-tin/blog/88-la-gi" TargetMode="External"/><Relationship Id="rId1342" Type="http://schemas.openxmlformats.org/officeDocument/2006/relationships/hyperlink" Target="https://techcombank.com/thong-tin/blog/thanh-toan-tien-dien-bang-the-tin-dung" TargetMode="External"/><Relationship Id="rId2673" Type="http://schemas.openxmlformats.org/officeDocument/2006/relationships/hyperlink" Target="https://techcombank.com/thong-tin/blog/lai-suat-vay-tieu-dung" TargetMode="External"/><Relationship Id="rId750" Type="http://schemas.openxmlformats.org/officeDocument/2006/relationships/hyperlink" Target="https://techcombank.com/thong-tin/blog/6-chiec-lo-tai-chinh-ca-nhan" TargetMode="External"/><Relationship Id="rId1343" Type="http://schemas.openxmlformats.org/officeDocument/2006/relationships/hyperlink" Target="https://techcombank.com/thong-tin/blog/thanh-toan-tra-gop-qua-the-tin-dung" TargetMode="External"/><Relationship Id="rId2674" Type="http://schemas.openxmlformats.org/officeDocument/2006/relationships/hyperlink" Target="https://techcombank.com/thong-tin/blog/cong-ty-su-dung-tai-khoan-ca-nhan" TargetMode="External"/><Relationship Id="rId1344" Type="http://schemas.openxmlformats.org/officeDocument/2006/relationships/hyperlink" Target="https://techcombank.com/thong-tin/blog/tra-gop-lazada" TargetMode="External"/><Relationship Id="rId2675" Type="http://schemas.openxmlformats.org/officeDocument/2006/relationships/hyperlink" Target="https://techcombank.com/thong-tin/blog/vay-30-trieu" TargetMode="External"/><Relationship Id="rId2621" Type="http://schemas.openxmlformats.org/officeDocument/2006/relationships/hyperlink" Target="https://techcombank.com/thong-tin/blog/gui-tiet-kiem-ngan-hang-van-la-lua-chon-an-toan-trong-thoi-ky-kinh-te-con-nhieu-bien-dong" TargetMode="External"/><Relationship Id="rId2622" Type="http://schemas.openxmlformats.org/officeDocument/2006/relationships/hyperlink" Target="https://techcombank.com/thong-tin/blog/quy-trinh-gui-tien-tiet-kiem" TargetMode="External"/><Relationship Id="rId2623" Type="http://schemas.openxmlformats.org/officeDocument/2006/relationships/hyperlink" Target="https://techcombank.com/thong-tin/blog/lai-suat-tiet-kiem" TargetMode="External"/><Relationship Id="rId2624" Type="http://schemas.openxmlformats.org/officeDocument/2006/relationships/hyperlink" Target="https://techcombank.com/thong-tin/blog/mat-so-tiet-kiem" TargetMode="External"/><Relationship Id="rId2625" Type="http://schemas.openxmlformats.org/officeDocument/2006/relationships/hyperlink" Target="https://techcombank.com/thong-tin/blog/quy-du-phong-tai-chinh-la-gi" TargetMode="External"/><Relationship Id="rId2626" Type="http://schemas.openxmlformats.org/officeDocument/2006/relationships/hyperlink" Target="https://techcombank.com/thong-tin/blog/5-trieu-mua-duoc-bao-nhieu-vang" TargetMode="External"/><Relationship Id="rId2627" Type="http://schemas.openxmlformats.org/officeDocument/2006/relationships/hyperlink" Target="https://techcombank.com/thong-tin/blog/tao-ma-qr-thanh-toan-cho-cua-hang" TargetMode="External"/><Relationship Id="rId2628" Type="http://schemas.openxmlformats.org/officeDocument/2006/relationships/hyperlink" Target="https://techcombank.com/thong-tin/blog/gui-tiet-kiem-vang" TargetMode="External"/><Relationship Id="rId709" Type="http://schemas.openxmlformats.org/officeDocument/2006/relationships/hyperlink" Target="https://techcombank.com/thong-tin/blog/cach-thanh-toan-the-tin-dung" TargetMode="External"/><Relationship Id="rId2629" Type="http://schemas.openxmlformats.org/officeDocument/2006/relationships/hyperlink" Target="https://techcombank.com/thong-tin/blog/smart-otp-la-gi" TargetMode="External"/><Relationship Id="rId708" Type="http://schemas.openxmlformats.org/officeDocument/2006/relationships/hyperlink" Target="https://techcombank.com/thong-tin/blog/cach-nap-the" TargetMode="External"/><Relationship Id="rId707" Type="http://schemas.openxmlformats.org/officeDocument/2006/relationships/hyperlink" Target="https://techcombank.com/thong-tin/blog/lam-the-atm-bao-lau-co" TargetMode="External"/><Relationship Id="rId706" Type="http://schemas.openxmlformats.org/officeDocument/2006/relationships/hyperlink" Target="https://techcombank.com/thong-tin/blog/the-atm-khong-rut-duoc-tien" TargetMode="External"/><Relationship Id="rId701" Type="http://schemas.openxmlformats.org/officeDocument/2006/relationships/hyperlink" Target="https://techcombank.com/thong-tin/blog/lam-the-atm-co-mat-phi-khong" TargetMode="External"/><Relationship Id="rId700" Type="http://schemas.openxmlformats.org/officeDocument/2006/relationships/hyperlink" Target="https://techcombank.com/thong-tin/blog/cach-su-dung-tai-khoan-cong-ty" TargetMode="External"/><Relationship Id="rId705" Type="http://schemas.openxmlformats.org/officeDocument/2006/relationships/hyperlink" Target="https://techcombank.com/thong-tin/blog/the-visa-de-lam-gi" TargetMode="External"/><Relationship Id="rId704" Type="http://schemas.openxmlformats.org/officeDocument/2006/relationships/hyperlink" Target="https://techcombank.com/thong-tin/blog/tra-cuu-han-muc-the-tin-dung" TargetMode="External"/><Relationship Id="rId703" Type="http://schemas.openxmlformats.org/officeDocument/2006/relationships/hyperlink" Target="https://techcombank.com/thong-tin/blog/cach-lam-the-atm" TargetMode="External"/><Relationship Id="rId702" Type="http://schemas.openxmlformats.org/officeDocument/2006/relationships/hyperlink" Target="https://techcombank.com/thong-tin/blog/rut-tien-bang-ma-qr-khac-ngan-hang-duoc-khong" TargetMode="External"/><Relationship Id="rId2620" Type="http://schemas.openxmlformats.org/officeDocument/2006/relationships/hyperlink" Target="https://techcombank.com/thong-tin/blog/cach-tiet-kiem-tien-sinh-loi" TargetMode="External"/><Relationship Id="rId2610" Type="http://schemas.openxmlformats.org/officeDocument/2006/relationships/hyperlink" Target="https://techcombank.com/thong-tin/blog/phan-mem-quan-ly-tai-chinh-doanh-nghiep" TargetMode="External"/><Relationship Id="rId2611" Type="http://schemas.openxmlformats.org/officeDocument/2006/relationships/hyperlink" Target="https://techcombank.com/thong-tin/blog/co-nen-gui-tiet-kiem-online" TargetMode="External"/><Relationship Id="rId2612" Type="http://schemas.openxmlformats.org/officeDocument/2006/relationships/hyperlink" Target="https://techcombank.com/thong-tin/blog/kinh-nghiem-gui-tiet-kiem-online" TargetMode="External"/><Relationship Id="rId2613" Type="http://schemas.openxmlformats.org/officeDocument/2006/relationships/hyperlink" Target="https://techcombank.com/thong-tin/blog/cach-gui-tiet-kiem-online" TargetMode="External"/><Relationship Id="rId2614" Type="http://schemas.openxmlformats.org/officeDocument/2006/relationships/hyperlink" Target="https://techcombank.com/thong-tin/blog/rui-ro-khi-gui-tiet-kiem-ngan-hang" TargetMode="External"/><Relationship Id="rId2615" Type="http://schemas.openxmlformats.org/officeDocument/2006/relationships/hyperlink" Target="https://techcombank.com/thong-tin/blog/so-sanh-gui-tiet-kiem-online-va-tai-quay" TargetMode="External"/><Relationship Id="rId2616" Type="http://schemas.openxmlformats.org/officeDocument/2006/relationships/hyperlink" Target="https://techcombank.com/thong-tin/blog/tra-luong-tien-mat" TargetMode="External"/><Relationship Id="rId2617" Type="http://schemas.openxmlformats.org/officeDocument/2006/relationships/hyperlink" Target="https://techcombank.com/thong-tin/blog/gui-tiet-kiem-lay-lai-hang-thang" TargetMode="External"/><Relationship Id="rId2618" Type="http://schemas.openxmlformats.org/officeDocument/2006/relationships/hyperlink" Target="https://techcombank.com/thong-tin/blog/quy-trinh-tat-toan-khoan-vay-the-chap" TargetMode="External"/><Relationship Id="rId2619" Type="http://schemas.openxmlformats.org/officeDocument/2006/relationships/hyperlink" Target="https://techcombank.com/thong-tin/blog/gui-tiet-kiem-hang-thang" TargetMode="External"/><Relationship Id="rId1312" Type="http://schemas.openxmlformats.org/officeDocument/2006/relationships/hyperlink" Target="https://techcombank.com/thong-tin/blog/uu-dai-mua-ve-may-bay-bang-the-tin-dung" TargetMode="External"/><Relationship Id="rId2643" Type="http://schemas.openxmlformats.org/officeDocument/2006/relationships/hyperlink" Target="https://techcombank.com/thong-tin/blog/dang-vay-tra-gop-co-vay-them-duoc-khong" TargetMode="External"/><Relationship Id="rId1313" Type="http://schemas.openxmlformats.org/officeDocument/2006/relationships/hyperlink" Target="https://techcombank.com/thong-tin/blog/mat-the-tin-dung-co-bi-mat-tien-khong" TargetMode="External"/><Relationship Id="rId2644" Type="http://schemas.openxmlformats.org/officeDocument/2006/relationships/hyperlink" Target="https://techcombank.com/thong-tin/blog/the-visa-co-may-loai" TargetMode="External"/><Relationship Id="rId1314" Type="http://schemas.openxmlformats.org/officeDocument/2006/relationships/hyperlink" Target="https://techcombank.com/thong-tin/blog/so-cvv-la-gi" TargetMode="External"/><Relationship Id="rId2645" Type="http://schemas.openxmlformats.org/officeDocument/2006/relationships/hyperlink" Target="https://techcombank.com/thong-tin/blog/lai-suat-qua-han" TargetMode="External"/><Relationship Id="rId1315" Type="http://schemas.openxmlformats.org/officeDocument/2006/relationships/hyperlink" Target="https://techcombank.com/thong-tin/blog/the-tin-dung-nao-nhieu-uu-dai-nhat" TargetMode="External"/><Relationship Id="rId2646" Type="http://schemas.openxmlformats.org/officeDocument/2006/relationships/hyperlink" Target="https://techcombank.com/thong-tin/blog/lai-suat-vay-kinh-doanh" TargetMode="External"/><Relationship Id="rId1316" Type="http://schemas.openxmlformats.org/officeDocument/2006/relationships/hyperlink" Target="https://techcombank.com/thong-tin/blog/cach-lam-the-ngan-hang-chay-quang-cao-facebook" TargetMode="External"/><Relationship Id="rId2647" Type="http://schemas.openxmlformats.org/officeDocument/2006/relationships/hyperlink" Target="https://techcombank.com/thong-tin/blog/cac-hinh-thuc-vay-von-ngan-hang" TargetMode="External"/><Relationship Id="rId1317" Type="http://schemas.openxmlformats.org/officeDocument/2006/relationships/hyperlink" Target="https://techcombank.com/thong-tin/blog/mua-iphone-17" TargetMode="External"/><Relationship Id="rId2648" Type="http://schemas.openxmlformats.org/officeDocument/2006/relationships/hyperlink" Target="https://techcombank.com/thong-tin/blog/loi-nhuan" TargetMode="External"/><Relationship Id="rId1318" Type="http://schemas.openxmlformats.org/officeDocument/2006/relationships/hyperlink" Target="https://techcombank.com/thong-tin/blog/the-visa-co-can-mat-khau-khong" TargetMode="External"/><Relationship Id="rId2649" Type="http://schemas.openxmlformats.org/officeDocument/2006/relationships/hyperlink" Target="https://techcombank.com/thong-tin/blog/co-nen-mua-o-to-tra-gop" TargetMode="External"/><Relationship Id="rId1319" Type="http://schemas.openxmlformats.org/officeDocument/2006/relationships/hyperlink" Target="https://techcombank.com/thong-tin/blog/mua-truoc-tra-sau" TargetMode="External"/><Relationship Id="rId729" Type="http://schemas.openxmlformats.org/officeDocument/2006/relationships/hyperlink" Target="https://techcombank.com/thong-tin/blog/gui-tien-ngan-hang-co-an-toan-khong" TargetMode="External"/><Relationship Id="rId728" Type="http://schemas.openxmlformats.org/officeDocument/2006/relationships/hyperlink" Target="https://techcombank.com/thong-tin/blog/han-muc-thau-chi-la-gi" TargetMode="External"/><Relationship Id="rId723" Type="http://schemas.openxmlformats.org/officeDocument/2006/relationships/hyperlink" Target="https://techcombank.com/thong-tin/blog/vay-the-chap-qua-luong" TargetMode="External"/><Relationship Id="rId722" Type="http://schemas.openxmlformats.org/officeDocument/2006/relationships/hyperlink" Target="https://techcombank.com/thong-tin/blog/sao-ke-tai-khoan-doanh-nghiep" TargetMode="External"/><Relationship Id="rId721" Type="http://schemas.openxmlformats.org/officeDocument/2006/relationships/hyperlink" Target="https://techcombank.com/thong-tin/blog/sao-ke-luong" TargetMode="External"/><Relationship Id="rId720" Type="http://schemas.openxmlformats.org/officeDocument/2006/relationships/hyperlink" Target="https://techcombank.com/thong-tin/blog/the-visa-ao-la-gi" TargetMode="External"/><Relationship Id="rId727" Type="http://schemas.openxmlformats.org/officeDocument/2006/relationships/hyperlink" Target="https://techcombank.com/thong-tin/blog/the-tin-dung-quoc-te" TargetMode="External"/><Relationship Id="rId726" Type="http://schemas.openxmlformats.org/officeDocument/2006/relationships/hyperlink" Target="https://techcombank.com/thong-tin/blog/giai-ngan-la-gi" TargetMode="External"/><Relationship Id="rId725" Type="http://schemas.openxmlformats.org/officeDocument/2006/relationships/hyperlink" Target="https://techcombank.com/thong-tin/blog/ghi-chep-chi-tieu" TargetMode="External"/><Relationship Id="rId724" Type="http://schemas.openxmlformats.org/officeDocument/2006/relationships/hyperlink" Target="https://techcombank.com/thong-tin/blog/tien-chuyen-vao-tai-khoan-co-bi-tinh-thue-khong" TargetMode="External"/><Relationship Id="rId2640" Type="http://schemas.openxmlformats.org/officeDocument/2006/relationships/hyperlink" Target="https://techcombank.com/thong-tin/blog/nen-de-tien-trong-the-hay-gui-tiet-kiem" TargetMode="External"/><Relationship Id="rId1310" Type="http://schemas.openxmlformats.org/officeDocument/2006/relationships/hyperlink" Target="https://techcombank.com/thong-tin/blog/cac-loai-the-tin-dung" TargetMode="External"/><Relationship Id="rId2641" Type="http://schemas.openxmlformats.org/officeDocument/2006/relationships/hyperlink" Target="https://techcombank.com/thong-tin/blog/vay-100-trieu" TargetMode="External"/><Relationship Id="rId1311" Type="http://schemas.openxmlformats.org/officeDocument/2006/relationships/hyperlink" Target="https://techcombank.com/thong-tin/blog/the-tin-dung-mien-phi-thuong-nien" TargetMode="External"/><Relationship Id="rId2642" Type="http://schemas.openxmlformats.org/officeDocument/2006/relationships/hyperlink" Target="https://techcombank.com/thong-tin/blog/vay-tra-gop" TargetMode="External"/><Relationship Id="rId1301" Type="http://schemas.openxmlformats.org/officeDocument/2006/relationships/hyperlink" Target="https://techcombank.com/thong-tin/blog/phi-thuong-nien-la-gi" TargetMode="External"/><Relationship Id="rId2632" Type="http://schemas.openxmlformats.org/officeDocument/2006/relationships/hyperlink" Target="https://techcombank.com/thong-tin/blog/hom-nay-co-nen-mua-vang-khong" TargetMode="External"/><Relationship Id="rId1302" Type="http://schemas.openxmlformats.org/officeDocument/2006/relationships/hyperlink" Target="https://techcombank.com/thong-tin/blog/khong-su-dung-the-tin-dung-co-mat-phi-khong" TargetMode="External"/><Relationship Id="rId2633" Type="http://schemas.openxmlformats.org/officeDocument/2006/relationships/hyperlink" Target="https://techcombank.com/thong-tin/blog/phuong-phap-dau-tu-chung-chi-quy" TargetMode="External"/><Relationship Id="rId1303" Type="http://schemas.openxmlformats.org/officeDocument/2006/relationships/hyperlink" Target="https://techcombank.com/thong-tin/blog/cach-khoa-the-ngan-hang" TargetMode="External"/><Relationship Id="rId2634" Type="http://schemas.openxmlformats.org/officeDocument/2006/relationships/hyperlink" Target="https://techcombank.com/thong-tin/blog/chung-chi-tien-gui-co-duoc-bao-hiem-khong" TargetMode="External"/><Relationship Id="rId1304" Type="http://schemas.openxmlformats.org/officeDocument/2006/relationships/hyperlink" Target="https://techcombank.com/thong-tin/blog/the-tin-dung-bi-khoa" TargetMode="External"/><Relationship Id="rId2635" Type="http://schemas.openxmlformats.org/officeDocument/2006/relationships/hyperlink" Target="https://techcombank.com/thong-tin/blog/chung-chi-tien-gui-co-phai-la-trai-phieu-khong" TargetMode="External"/><Relationship Id="rId1305" Type="http://schemas.openxmlformats.org/officeDocument/2006/relationships/hyperlink" Target="https://techcombank.com/thong-tin/blog/the-tin-dung-het-han" TargetMode="External"/><Relationship Id="rId2636" Type="http://schemas.openxmlformats.org/officeDocument/2006/relationships/hyperlink" Target="https://techcombank.com/thong-tin/blog/the-visa-khong-thanh-toan-duoc" TargetMode="External"/><Relationship Id="rId1306" Type="http://schemas.openxmlformats.org/officeDocument/2006/relationships/hyperlink" Target="https://techcombank.com/thong-tin/blog/lam-the-tin-dung-co-mat-phi-khong" TargetMode="External"/><Relationship Id="rId2637" Type="http://schemas.openxmlformats.org/officeDocument/2006/relationships/hyperlink" Target="https://techcombank.com/thong-tin/blog/chuyen-tien-tu-han-sang-viet-nam" TargetMode="External"/><Relationship Id="rId1307" Type="http://schemas.openxmlformats.org/officeDocument/2006/relationships/hyperlink" Target="https://techcombank.com/thong-tin/blog/tai-khoan-doanh-nghiep-co-the-khong" TargetMode="External"/><Relationship Id="rId2638" Type="http://schemas.openxmlformats.org/officeDocument/2006/relationships/hyperlink" Target="https://techcombank.com/thong-tin/blog/cac-chung-chi-quy-o-viet-nam" TargetMode="External"/><Relationship Id="rId1308" Type="http://schemas.openxmlformats.org/officeDocument/2006/relationships/hyperlink" Target="https://techcombank.com/thong-tin/blog/mm-yy-la-gi" TargetMode="External"/><Relationship Id="rId2639" Type="http://schemas.openxmlformats.org/officeDocument/2006/relationships/hyperlink" Target="https://techcombank.com/thong-tin/blog/tien-nhan-roi-nen-lam-gi" TargetMode="External"/><Relationship Id="rId1309" Type="http://schemas.openxmlformats.org/officeDocument/2006/relationships/hyperlink" Target="https://techcombank.com/thong-tin/blog/uu-dai-the-tin-dung-techcombank-signature" TargetMode="External"/><Relationship Id="rId719" Type="http://schemas.openxmlformats.org/officeDocument/2006/relationships/hyperlink" Target="https://techcombank.com/thong-tin/blog/1-cmnd-dang-ky-duoc-may-tai-khoan-ngan-hang" TargetMode="External"/><Relationship Id="rId718" Type="http://schemas.openxmlformats.org/officeDocument/2006/relationships/hyperlink" Target="https://techcombank.com/thong-tin/blog/atm-la-gi" TargetMode="External"/><Relationship Id="rId717" Type="http://schemas.openxmlformats.org/officeDocument/2006/relationships/hyperlink" Target="https://techcombank.com/thong-tin/blog/cach-kich-hoat-the-atm" TargetMode="External"/><Relationship Id="rId712" Type="http://schemas.openxmlformats.org/officeDocument/2006/relationships/hyperlink" Target="https://techcombank.com/thong-tin/blog/rut-tien-bang-ma-qr-la-gi-cach-thuc-hien-nhu-the-nao" TargetMode="External"/><Relationship Id="rId711" Type="http://schemas.openxmlformats.org/officeDocument/2006/relationships/hyperlink" Target="https://techcombank.com/thong-tin/blog/the-atm-gan-chip" TargetMode="External"/><Relationship Id="rId710" Type="http://schemas.openxmlformats.org/officeDocument/2006/relationships/hyperlink" Target="https://techcombank.com/thong-tin/blog/nap-tien-dien-thoai-online" TargetMode="External"/><Relationship Id="rId716" Type="http://schemas.openxmlformats.org/officeDocument/2006/relationships/hyperlink" Target="https://techcombank.com/thong-tin/blog/cach-rut-tien-atm" TargetMode="External"/><Relationship Id="rId715" Type="http://schemas.openxmlformats.org/officeDocument/2006/relationships/hyperlink" Target="https://techcombank.com/thong-tin/blog/1-nguoi-co-the-lam-duoc-bao-nhieu-the-atm" TargetMode="External"/><Relationship Id="rId714" Type="http://schemas.openxmlformats.org/officeDocument/2006/relationships/hyperlink" Target="https://techcombank.com/thong-tin/blog/ma-pin-the-atm" TargetMode="External"/><Relationship Id="rId713" Type="http://schemas.openxmlformats.org/officeDocument/2006/relationships/hyperlink" Target="https://techcombank.com/thong-tin/blog/bi-nuot-the-atm-phai-lam-sao" TargetMode="External"/><Relationship Id="rId2630" Type="http://schemas.openxmlformats.org/officeDocument/2006/relationships/hyperlink" Target="https://techcombank.com/thong-tin/blog/tai-sao-gui-tiet-kiem-online-lai-suat-cao-hon" TargetMode="External"/><Relationship Id="rId1300" Type="http://schemas.openxmlformats.org/officeDocument/2006/relationships/hyperlink" Target="https://techcombank.com/thong-tin/blog/the-tin-dung-den" TargetMode="External"/><Relationship Id="rId2631" Type="http://schemas.openxmlformats.org/officeDocument/2006/relationships/hyperlink" Target="https://techcombank.com/thong-tin/blog/rui-ro-khi-vay-the-chap-ngan-hang" TargetMode="External"/><Relationship Id="rId3117" Type="http://schemas.openxmlformats.org/officeDocument/2006/relationships/hyperlink" Target="https://techcombank.com/thong-tin/blog/cho-vay-kinh-doanh-ho-gia-dinh" TargetMode="External"/><Relationship Id="rId3116" Type="http://schemas.openxmlformats.org/officeDocument/2006/relationships/hyperlink" Target="https://techcombank.com/thong-tin/blog/vay-ngan-han" TargetMode="External"/><Relationship Id="rId3119" Type="http://schemas.openxmlformats.org/officeDocument/2006/relationships/hyperlink" Target="https://techcombank.com/thong-tin/blog/vay-15-trieu" TargetMode="External"/><Relationship Id="rId3118" Type="http://schemas.openxmlformats.org/officeDocument/2006/relationships/hyperlink" Target="https://techcombank.com/thong-tin/blog/vay-von-doanh-nghiep-nho" TargetMode="External"/><Relationship Id="rId3111" Type="http://schemas.openxmlformats.org/officeDocument/2006/relationships/hyperlink" Target="https://techcombank.com/thong-tin/blog/vay-100-trieu" TargetMode="External"/><Relationship Id="rId3110" Type="http://schemas.openxmlformats.org/officeDocument/2006/relationships/hyperlink" Target="https://techcombank.com/thong-tin/blog/vay-mua-xe-tra-gop-ngan-hang-nao-tot-nhat" TargetMode="External"/><Relationship Id="rId3113" Type="http://schemas.openxmlformats.org/officeDocument/2006/relationships/hyperlink" Target="https://techcombank.com/thong-tin/blog/vay-the-chap-kinh-doanh" TargetMode="External"/><Relationship Id="rId3112" Type="http://schemas.openxmlformats.org/officeDocument/2006/relationships/hyperlink" Target="https://techcombank.com/thong-tin/blog/vay-thau-chi-bang-so-tiet-kiem" TargetMode="External"/><Relationship Id="rId3115" Type="http://schemas.openxmlformats.org/officeDocument/2006/relationships/hyperlink" Target="https://techcombank.com/thong-tin/blog/vay-mua-dien-thoai" TargetMode="External"/><Relationship Id="rId3114" Type="http://schemas.openxmlformats.org/officeDocument/2006/relationships/hyperlink" Target="https://techcombank.com/thong-tin/blog/vay-tien-mat" TargetMode="External"/><Relationship Id="rId3106" Type="http://schemas.openxmlformats.org/officeDocument/2006/relationships/hyperlink" Target="https://techcombank.com/thong-tin/blog/vay-300-trieu" TargetMode="External"/><Relationship Id="rId3105" Type="http://schemas.openxmlformats.org/officeDocument/2006/relationships/hyperlink" Target="https://techcombank.com/thong-tin/blog/vay-30-trieu" TargetMode="External"/><Relationship Id="rId3108" Type="http://schemas.openxmlformats.org/officeDocument/2006/relationships/hyperlink" Target="https://techcombank.com/thong-tin/blog/thu-tuc-mua-xe-tra-gop" TargetMode="External"/><Relationship Id="rId3107" Type="http://schemas.openxmlformats.org/officeDocument/2006/relationships/hyperlink" Target="https://techcombank.com/thong-tin/blog/nen-vay-tin-chap-o-dau" TargetMode="External"/><Relationship Id="rId3109" Type="http://schemas.openxmlformats.org/officeDocument/2006/relationships/hyperlink" Target="https://techcombank.com/thong-tin/blog/vay-the-chap-so-hong" TargetMode="External"/><Relationship Id="rId3100" Type="http://schemas.openxmlformats.org/officeDocument/2006/relationships/hyperlink" Target="https://techcombank.com/thong-tin/blog/lai-suat-cho-vay-doanh-nghiep" TargetMode="External"/><Relationship Id="rId3102" Type="http://schemas.openxmlformats.org/officeDocument/2006/relationships/hyperlink" Target="https://techcombank.com/thong-tin/blog/tin-chap-doanh-nghiep" TargetMode="External"/><Relationship Id="rId3101" Type="http://schemas.openxmlformats.org/officeDocument/2006/relationships/hyperlink" Target="https://techcombank.com/thong-tin/blog/nen-mua-xe-tra-gop-hay-tra-thang" TargetMode="External"/><Relationship Id="rId3104" Type="http://schemas.openxmlformats.org/officeDocument/2006/relationships/hyperlink" Target="https://techcombank.com/thong-tin/blog/vay-the-chap-xe-o-to-cu" TargetMode="External"/><Relationship Id="rId3103" Type="http://schemas.openxmlformats.org/officeDocument/2006/relationships/hyperlink" Target="https://techcombank.com/thong-tin/blog/vay-mua-nha-o-xa-hoi" TargetMode="External"/><Relationship Id="rId3139" Type="http://schemas.openxmlformats.org/officeDocument/2006/relationships/hyperlink" Target="https://techcombank.com/thong-tin/blog/giai-ngan-vay-the-chap" TargetMode="External"/><Relationship Id="rId3138" Type="http://schemas.openxmlformats.org/officeDocument/2006/relationships/hyperlink" Target="https://techcombank.com/thong-tin/blog/vay-the-chap-hop-dong-mua-ban-can-ho" TargetMode="External"/><Relationship Id="rId3131" Type="http://schemas.openxmlformats.org/officeDocument/2006/relationships/hyperlink" Target="https://techcombank.com/thong-tin/blog/vay-tra-gop" TargetMode="External"/><Relationship Id="rId3130" Type="http://schemas.openxmlformats.org/officeDocument/2006/relationships/hyperlink" Target="https://techcombank.com/thong-tin/blog/app-vay-tien-nhanh" TargetMode="External"/><Relationship Id="rId3133" Type="http://schemas.openxmlformats.org/officeDocument/2006/relationships/hyperlink" Target="https://techcombank.com/thong-tin/blog/vay-mua-chung-cu" TargetMode="External"/><Relationship Id="rId3132" Type="http://schemas.openxmlformats.org/officeDocument/2006/relationships/hyperlink" Target="https://techcombank.com/thong-tin/blog/vay-bo-sung-von-luu-dong" TargetMode="External"/><Relationship Id="rId3135" Type="http://schemas.openxmlformats.org/officeDocument/2006/relationships/hyperlink" Target="https://techcombank.com/thong-tin/blog/kiem-tra-no-xau" TargetMode="External"/><Relationship Id="rId3134" Type="http://schemas.openxmlformats.org/officeDocument/2006/relationships/hyperlink" Target="https://techcombank.com/thong-tin/blog/vay-200-trieu" TargetMode="External"/><Relationship Id="rId3137" Type="http://schemas.openxmlformats.org/officeDocument/2006/relationships/hyperlink" Target="https://techcombank.com/thong-tin/blog/cho-vay-tieu-dung-la-gi" TargetMode="External"/><Relationship Id="rId3136" Type="http://schemas.openxmlformats.org/officeDocument/2006/relationships/hyperlink" Target="https://techcombank.com/thong-tin/blog/quy-trinh-tat-toan-khoan-vay-the-chap" TargetMode="External"/><Relationship Id="rId3128" Type="http://schemas.openxmlformats.org/officeDocument/2006/relationships/hyperlink" Target="https://techcombank.com/thong-tin/blog/vay-50-trieu" TargetMode="External"/><Relationship Id="rId3127" Type="http://schemas.openxmlformats.org/officeDocument/2006/relationships/hyperlink" Target="https://techcombank.com/thong-tin/blog/lai-suat-tha-noi" TargetMode="External"/><Relationship Id="rId3129" Type="http://schemas.openxmlformats.org/officeDocument/2006/relationships/hyperlink" Target="https://techcombank.com/thong-tin/blog/mua-nha-tra-gop-dua-truoc-100-trieu" TargetMode="External"/><Relationship Id="rId3120" Type="http://schemas.openxmlformats.org/officeDocument/2006/relationships/hyperlink" Target="https://techcombank.com/thong-tin/blog/diem-tin-dung" TargetMode="External"/><Relationship Id="rId3122" Type="http://schemas.openxmlformats.org/officeDocument/2006/relationships/hyperlink" Target="https://techcombank.com/thong-tin/blog/bi-quyet-tiet-kiem-tien-mua-nha" TargetMode="External"/><Relationship Id="rId3121" Type="http://schemas.openxmlformats.org/officeDocument/2006/relationships/hyperlink" Target="https://techcombank.com/thong-tin/blog/kinh-nghiem-vay-the-chap-ngan-hang" TargetMode="External"/><Relationship Id="rId3124" Type="http://schemas.openxmlformats.org/officeDocument/2006/relationships/hyperlink" Target="https://techcombank.com/thong-tin/blog/vay-san-xuat-kinh-doanh" TargetMode="External"/><Relationship Id="rId3123" Type="http://schemas.openxmlformats.org/officeDocument/2006/relationships/hyperlink" Target="https://techcombank.com/thong-tin/blog/vay-sinh-vien" TargetMode="External"/><Relationship Id="rId3126" Type="http://schemas.openxmlformats.org/officeDocument/2006/relationships/hyperlink" Target="https://techcombank.com/thong-tin/blog/co-100-trieu-co-mua-nen-mua-tra-gop" TargetMode="External"/><Relationship Id="rId3125" Type="http://schemas.openxmlformats.org/officeDocument/2006/relationships/hyperlink" Target="https://techcombank.com/thong-tin/blog/cac-hinh-thuc-vay-von-ngan-hang" TargetMode="External"/><Relationship Id="rId1378" Type="http://schemas.openxmlformats.org/officeDocument/2006/relationships/hyperlink" Target="https://techcombank.com/thong-tin/blog/vay-tin-chap-no-xau" TargetMode="External"/><Relationship Id="rId1379" Type="http://schemas.openxmlformats.org/officeDocument/2006/relationships/hyperlink" Target="https://techcombank.com/thong-tin/blog/uu-dai-the-tin-dung-techcombank-signature" TargetMode="External"/><Relationship Id="rId789" Type="http://schemas.openxmlformats.org/officeDocument/2006/relationships/hyperlink" Target="https://techcombank.com/thong-tin/blog/kiem-tra-thue-ho-kinh-doanh" TargetMode="External"/><Relationship Id="rId788" Type="http://schemas.openxmlformats.org/officeDocument/2006/relationships/hyperlink" Target="https://techcombank.com/thong-tin/blog/tra-cuu-no-thue-ho-kinh-doanh" TargetMode="External"/><Relationship Id="rId787" Type="http://schemas.openxmlformats.org/officeDocument/2006/relationships/hyperlink" Target="https://techcombank.com/thong-tin/blog/tra-cuu-no-thue-hai-quan" TargetMode="External"/><Relationship Id="rId786" Type="http://schemas.openxmlformats.org/officeDocument/2006/relationships/hyperlink" Target="https://techcombank.com/thong-tin/blog/cach-tinh-thue-ho-kinh-doanh-nho-le" TargetMode="External"/><Relationship Id="rId781" Type="http://schemas.openxmlformats.org/officeDocument/2006/relationships/hyperlink" Target="https://techcombank.com/thong-tin/blog/tra-cuu-no-thue-ca-nhan" TargetMode="External"/><Relationship Id="rId1370" Type="http://schemas.openxmlformats.org/officeDocument/2006/relationships/hyperlink" Target="https://techcombank.com/thong-tin/blog/uu-dai-mua-ve-may-bay-bang-the-tin-dung" TargetMode="External"/><Relationship Id="rId780" Type="http://schemas.openxmlformats.org/officeDocument/2006/relationships/hyperlink" Target="https://techcombank.com/thong-tin/blog/thue-thu-nhap-doanh-nghiep" TargetMode="External"/><Relationship Id="rId1371" Type="http://schemas.openxmlformats.org/officeDocument/2006/relationships/hyperlink" Target="https://techcombank.com/thong-tin/blog/no-nhom-3" TargetMode="External"/><Relationship Id="rId1372" Type="http://schemas.openxmlformats.org/officeDocument/2006/relationships/hyperlink" Target="https://techcombank.com/thong-tin/blog/no-xau-nhom-2" TargetMode="External"/><Relationship Id="rId1373" Type="http://schemas.openxmlformats.org/officeDocument/2006/relationships/hyperlink" Target="https://techcombank.com/thong-tin/blog/mo-so-tiet-kiem-can-bao-nhieu-tien" TargetMode="External"/><Relationship Id="rId785" Type="http://schemas.openxmlformats.org/officeDocument/2006/relationships/hyperlink" Target="https://techcombank.com/thong-tin/blog/quyet-toan-thue-thu-nhap-ca-nhan" TargetMode="External"/><Relationship Id="rId1374" Type="http://schemas.openxmlformats.org/officeDocument/2006/relationships/hyperlink" Target="https://techcombank.com/thong-tin/blog/no-xau-mo-the-tin-dung-duoc-khong" TargetMode="External"/><Relationship Id="rId784" Type="http://schemas.openxmlformats.org/officeDocument/2006/relationships/hyperlink" Target="https://techcombank.com/thong-tin/blog/hoan-thue-thu-nhap-ca-nhan" TargetMode="External"/><Relationship Id="rId1375" Type="http://schemas.openxmlformats.org/officeDocument/2006/relationships/hyperlink" Target="https://techcombank.com/thong-tin/blog/no-the-tin-dung-qua-han" TargetMode="External"/><Relationship Id="rId783" Type="http://schemas.openxmlformats.org/officeDocument/2006/relationships/hyperlink" Target="https://techcombank.com/thong-tin/blog/lien-ket-tai-khoan-ngan-hang-voi-etax-mobile" TargetMode="External"/><Relationship Id="rId1376" Type="http://schemas.openxmlformats.org/officeDocument/2006/relationships/hyperlink" Target="https://techcombank.com/thong-tin/blog/luu-y-khi-su-dung-the-tin-dung" TargetMode="External"/><Relationship Id="rId782" Type="http://schemas.openxmlformats.org/officeDocument/2006/relationships/hyperlink" Target="https://techcombank.com/thong-tin/blog/dang-ky-ma-so-thue-ca-nhan" TargetMode="External"/><Relationship Id="rId1377" Type="http://schemas.openxmlformats.org/officeDocument/2006/relationships/hyperlink" Target="https://techcombank.com/thong-tin/blog/han-muc-vay-the-chap-so-do" TargetMode="External"/><Relationship Id="rId1367" Type="http://schemas.openxmlformats.org/officeDocument/2006/relationships/hyperlink" Target="https://techcombank.com/thong-tin/blog/thanh-toan-khoan-vay" TargetMode="External"/><Relationship Id="rId2698" Type="http://schemas.openxmlformats.org/officeDocument/2006/relationships/hyperlink" Target="https://techcombank.com/thong-tin/blog/vay-mua-dien-thoai" TargetMode="External"/><Relationship Id="rId1368" Type="http://schemas.openxmlformats.org/officeDocument/2006/relationships/hyperlink" Target="https://techcombank.com/thong-tin/blog/nang-han-muc-tin-dung" TargetMode="External"/><Relationship Id="rId2699" Type="http://schemas.openxmlformats.org/officeDocument/2006/relationships/hyperlink" Target="https://techcombank.com/thong-tin/blog/vay-the-chap-hop-dong-mua-ban-can-ho" TargetMode="External"/><Relationship Id="rId1369" Type="http://schemas.openxmlformats.org/officeDocument/2006/relationships/hyperlink" Target="https://techcombank.com/thong-tin/blog/spaylater" TargetMode="External"/><Relationship Id="rId778" Type="http://schemas.openxmlformats.org/officeDocument/2006/relationships/hyperlink" Target="https://techcombank.com/thong-tin/blog/nop-thue-hai-quan" TargetMode="External"/><Relationship Id="rId777" Type="http://schemas.openxmlformats.org/officeDocument/2006/relationships/hyperlink" Target="https://techcombank.com/thong-tin/blog/app-ngan-hang-uy-tin" TargetMode="External"/><Relationship Id="rId776" Type="http://schemas.openxmlformats.org/officeDocument/2006/relationships/hyperlink" Target="https://techcombank.com/thong-tin/blog/cach-tinh-thue-thu-nhap-doanh-nghiep" TargetMode="External"/><Relationship Id="rId775" Type="http://schemas.openxmlformats.org/officeDocument/2006/relationships/hyperlink" Target="https://techcombank.com/thong-tin/blog/mo-tai-khoan-ho-kinh-doanh" TargetMode="External"/><Relationship Id="rId779" Type="http://schemas.openxmlformats.org/officeDocument/2006/relationships/hyperlink" Target="https://techcombank.com/thong-tin/blog/tai-khoan-ngan-hang-bi-khoa" TargetMode="External"/><Relationship Id="rId770" Type="http://schemas.openxmlformats.org/officeDocument/2006/relationships/hyperlink" Target="https://techcombank.com/thong-tin/blog/mo-them-tai-khoan-ngan-hang-cho-cong-ty" TargetMode="External"/><Relationship Id="rId2690" Type="http://schemas.openxmlformats.org/officeDocument/2006/relationships/hyperlink" Target="https://techcombank.com/thong-tin/blog/lai-suat-vay-tin-chap" TargetMode="External"/><Relationship Id="rId1360" Type="http://schemas.openxmlformats.org/officeDocument/2006/relationships/hyperlink" Target="https://techcombank.com/thong-tin/blog/kiem-tra-no-xau" TargetMode="External"/><Relationship Id="rId2691" Type="http://schemas.openxmlformats.org/officeDocument/2006/relationships/hyperlink" Target="https://techcombank.com/thong-tin/blog/co-100-trieu-co-mua-nen-mua-tra-gop" TargetMode="External"/><Relationship Id="rId1361" Type="http://schemas.openxmlformats.org/officeDocument/2006/relationships/hyperlink" Target="https://techcombank.com/thong-tin/blog/no-xau" TargetMode="External"/><Relationship Id="rId2692" Type="http://schemas.openxmlformats.org/officeDocument/2006/relationships/hyperlink" Target="https://techcombank.com/thong-tin/blog/nen-de-tien-trong-the-hay-gui-tiet-kiem" TargetMode="External"/><Relationship Id="rId1362" Type="http://schemas.openxmlformats.org/officeDocument/2006/relationships/hyperlink" Target="https://techcombank.com/thong-tin/blog/no-xau-la-gi" TargetMode="External"/><Relationship Id="rId2693" Type="http://schemas.openxmlformats.org/officeDocument/2006/relationships/hyperlink" Target="https://techcombank.com/thong-tin/blog/mo-so-tiet-kiem-can-bao-nhieu-tien" TargetMode="External"/><Relationship Id="rId774" Type="http://schemas.openxmlformats.org/officeDocument/2006/relationships/hyperlink" Target="https://techcombank.com/thong-tin/blog/ngan-hang-so-cho-doanh-nghiep" TargetMode="External"/><Relationship Id="rId1363" Type="http://schemas.openxmlformats.org/officeDocument/2006/relationships/hyperlink" Target="https://techcombank.com/thong-tin/blog/thi-truong-trai-phieu-co-hoi-dau-tu-trai-phieu-vang-du-lai-suat-thap" TargetMode="External"/><Relationship Id="rId2694" Type="http://schemas.openxmlformats.org/officeDocument/2006/relationships/hyperlink" Target="https://techcombank.com/thong-tin/blog/quy-trinh-cho-vay-tieu-dung" TargetMode="External"/><Relationship Id="rId773" Type="http://schemas.openxmlformats.org/officeDocument/2006/relationships/hyperlink" Target="https://techcombank.com/thong-tin/blog/cach-kiem-tra-tai-khoan-ngan-hang" TargetMode="External"/><Relationship Id="rId1364" Type="http://schemas.openxmlformats.org/officeDocument/2006/relationships/hyperlink" Target="https://techcombank.com/thong-tin/blog/qua-han-thanh-toan-the-tin-dung-1-ngay" TargetMode="External"/><Relationship Id="rId2695" Type="http://schemas.openxmlformats.org/officeDocument/2006/relationships/hyperlink" Target="https://techcombank.com/thong-tin/blog/vay-20-trieu" TargetMode="External"/><Relationship Id="rId772" Type="http://schemas.openxmlformats.org/officeDocument/2006/relationships/hyperlink" Target="https://techcombank.com/thong-tin/blog/chuyen-khoan-lien-ngan-hang" TargetMode="External"/><Relationship Id="rId1365" Type="http://schemas.openxmlformats.org/officeDocument/2006/relationships/hyperlink" Target="https://techcombank.com/thong-tin/blog/kinh-nghiem-vay-tien-mua-nha" TargetMode="External"/><Relationship Id="rId2696" Type="http://schemas.openxmlformats.org/officeDocument/2006/relationships/hyperlink" Target="https://techcombank.com/thong-tin/blog/co-nen-gui-tiet-kiem-online" TargetMode="External"/><Relationship Id="rId771" Type="http://schemas.openxmlformats.org/officeDocument/2006/relationships/hyperlink" Target="https://techcombank.com/thong-tin/blog/99999-co-y-nghia-gi" TargetMode="External"/><Relationship Id="rId1366" Type="http://schemas.openxmlformats.org/officeDocument/2006/relationships/hyperlink" Target="https://techcombank.com/thong-tin/blog/no-xau-co-lam-the-visa-duoc-khong" TargetMode="External"/><Relationship Id="rId2697" Type="http://schemas.openxmlformats.org/officeDocument/2006/relationships/hyperlink" Target="https://techcombank.com/thong-tin/blog/vay-tin-chap-la-gi" TargetMode="External"/><Relationship Id="rId1390" Type="http://schemas.openxmlformats.org/officeDocument/2006/relationships/hyperlink" Target="https://techcombank.com/thong-tin/blog/sao-ke-tai-khoan-doanh-nghiep" TargetMode="External"/><Relationship Id="rId1391" Type="http://schemas.openxmlformats.org/officeDocument/2006/relationships/hyperlink" Target="https://techcombank.com/thong-tin/blog/uu-dai-the-tin-dung-techcombank-signature" TargetMode="External"/><Relationship Id="rId1392" Type="http://schemas.openxmlformats.org/officeDocument/2006/relationships/hyperlink" Target="https://techcombank.com/thong-tin/blog/cac-loai-the-tin-dung" TargetMode="External"/><Relationship Id="rId1393" Type="http://schemas.openxmlformats.org/officeDocument/2006/relationships/hyperlink" Target="https://techcombank.com/thong-tin/blog/the-tin-dung-mien-phi-thuong-nien" TargetMode="External"/><Relationship Id="rId1394" Type="http://schemas.openxmlformats.org/officeDocument/2006/relationships/hyperlink" Target="https://techcombank.com/thong-tin/blog/uu-dai-mua-ve-may-bay-bang-the-tin-dung" TargetMode="External"/><Relationship Id="rId1395" Type="http://schemas.openxmlformats.org/officeDocument/2006/relationships/hyperlink" Target="https://techcombank.com/thong-tin/blog/mat-the-tin-dung-co-bi-mat-tien-khong" TargetMode="External"/><Relationship Id="rId1396" Type="http://schemas.openxmlformats.org/officeDocument/2006/relationships/hyperlink" Target="https://techcombank.com/thong-tin/blog/so-cvv-la-gi" TargetMode="External"/><Relationship Id="rId1397" Type="http://schemas.openxmlformats.org/officeDocument/2006/relationships/hyperlink" Target="https://techcombank.com/thong-tin/blog/the-tin-dung-nao-nhieu-uu-dai-nhat" TargetMode="External"/><Relationship Id="rId1398" Type="http://schemas.openxmlformats.org/officeDocument/2006/relationships/hyperlink" Target="https://techcombank.com/thong-tin/blog/cach-lam-the-ngan-hang-chay-quang-cao-facebook" TargetMode="External"/><Relationship Id="rId1399" Type="http://schemas.openxmlformats.org/officeDocument/2006/relationships/hyperlink" Target="https://techcombank.com/thong-tin/blog/mua-iphone-17" TargetMode="External"/><Relationship Id="rId1389" Type="http://schemas.openxmlformats.org/officeDocument/2006/relationships/hyperlink" Target="https://techcombank.com/thong-tin/blog/mm-yy-la-gi" TargetMode="External"/><Relationship Id="rId799" Type="http://schemas.openxmlformats.org/officeDocument/2006/relationships/hyperlink" Target="https://techcombank.com/thong-tin/blog/tra-cuu-ma-so-thue-ho-kinh-doanh" TargetMode="External"/><Relationship Id="rId798" Type="http://schemas.openxmlformats.org/officeDocument/2006/relationships/hyperlink" Target="https://techcombank.com/thong-tin/blog/cach-nop-thue-dien-tu" TargetMode="External"/><Relationship Id="rId797" Type="http://schemas.openxmlformats.org/officeDocument/2006/relationships/hyperlink" Target="https://techcombank.com/thong-tin/blog/nop-thue-dat-qua-ngan-hang" TargetMode="External"/><Relationship Id="rId1380" Type="http://schemas.openxmlformats.org/officeDocument/2006/relationships/hyperlink" Target="https://techcombank.com/thong-tin/blog/nghich-ly-nha-dau-tu-che-trai-phieu-lai-suat-cao-ua-ma-an-toan-du-lai-suat-thap-hon-05-1" TargetMode="External"/><Relationship Id="rId792" Type="http://schemas.openxmlformats.org/officeDocument/2006/relationships/hyperlink" Target="https://techcombank.com/thong-tin/blog/ho-kinh-doanh-dong-thue-nhu-nao" TargetMode="External"/><Relationship Id="rId1381" Type="http://schemas.openxmlformats.org/officeDocument/2006/relationships/hyperlink" Target="https://techcombank.com/thong-tin/blog/the-tin-dung-mien-lai-55-ngay" TargetMode="External"/><Relationship Id="rId791" Type="http://schemas.openxmlformats.org/officeDocument/2006/relationships/hyperlink" Target="https://techcombank.com/thong-tin/blog/phan-mem-lap-ke-hoach-tai-chinh-ca-nhan" TargetMode="External"/><Relationship Id="rId1382" Type="http://schemas.openxmlformats.org/officeDocument/2006/relationships/hyperlink" Target="https://techcombank.com/thong-tin/blog/dao-han-la-gi" TargetMode="External"/><Relationship Id="rId790" Type="http://schemas.openxmlformats.org/officeDocument/2006/relationships/hyperlink" Target="https://techcombank.com/thong-tin/blog/nhung-ho-kinh-doanh-duoc-mien-thue" TargetMode="External"/><Relationship Id="rId1383" Type="http://schemas.openxmlformats.org/officeDocument/2006/relationships/hyperlink" Target="https://techcombank.com/thong-tin/blog/app-ngan-hang-uy-tin" TargetMode="External"/><Relationship Id="rId1384" Type="http://schemas.openxmlformats.org/officeDocument/2006/relationships/hyperlink" Target="https://techcombank.com/thong-tin/blog/mobile-banking-la-gi" TargetMode="External"/><Relationship Id="rId796" Type="http://schemas.openxmlformats.org/officeDocument/2006/relationships/hyperlink" Target="https://techcombank.com/thong-tin/blog/thue-thu-nhap-ca-nhan" TargetMode="External"/><Relationship Id="rId1385" Type="http://schemas.openxmlformats.org/officeDocument/2006/relationships/hyperlink" Target="https://techcombank.com/thong-tin/blog/diem-tin-dung" TargetMode="External"/><Relationship Id="rId795" Type="http://schemas.openxmlformats.org/officeDocument/2006/relationships/hyperlink" Target="https://techcombank.com/thong-tin/blog/cach-tinh-thue-thu-nhap-ca-nhan-2025" TargetMode="External"/><Relationship Id="rId1386" Type="http://schemas.openxmlformats.org/officeDocument/2006/relationships/hyperlink" Target="https://techcombank.com/thong-tin/blog/ca-nhan-hoa" TargetMode="External"/><Relationship Id="rId794" Type="http://schemas.openxmlformats.org/officeDocument/2006/relationships/hyperlink" Target="https://techcombank.com/thong-tin/blog/tien-chuyen-vao-tai-khoan-co-bi-tinh-thue-khong" TargetMode="External"/><Relationship Id="rId1387" Type="http://schemas.openxmlformats.org/officeDocument/2006/relationships/hyperlink" Target="https://techcombank.com/thong-tin/blog/du-no-la-gi" TargetMode="External"/><Relationship Id="rId793" Type="http://schemas.openxmlformats.org/officeDocument/2006/relationships/hyperlink" Target="https://techcombank.com/thong-tin/blog/tra-cuu-no-thue-doanh-nghiep" TargetMode="External"/><Relationship Id="rId1388" Type="http://schemas.openxmlformats.org/officeDocument/2006/relationships/hyperlink" Target="https://techcombank.com/thong-tin/blog/tai-khoan-doanh-nghiep-co-the-khong" TargetMode="External"/><Relationship Id="rId3191" Type="http://schemas.openxmlformats.org/officeDocument/2006/relationships/hyperlink" Target="https://techcombank.com/thong-tin/blog/no-chu-y-la-gi" TargetMode="External"/><Relationship Id="rId3190" Type="http://schemas.openxmlformats.org/officeDocument/2006/relationships/hyperlink" Target="https://techcombank.com/thong-tin/blog/gui-tiet-kiem-online-co-rut-truoc-han-duoc-khong" TargetMode="External"/><Relationship Id="rId3193" Type="http://schemas.openxmlformats.org/officeDocument/2006/relationships/hyperlink" Target="https://techcombank.com/thong-tin/blog/tap-doan-thanh-quang-khoi-sac-kinh-doanh-nho-nguon-von-vay-tin-dung-techcombank-tren-nen-tang-misa-lending" TargetMode="External"/><Relationship Id="rId3192" Type="http://schemas.openxmlformats.org/officeDocument/2006/relationships/hyperlink" Target="https://techcombank.com/thong-tin/blog/thanh-toan-bang-ma-qr" TargetMode="External"/><Relationship Id="rId3195" Type="http://schemas.openxmlformats.org/officeDocument/2006/relationships/hyperlink" Target="https://techcombank.com/thong-tin/blog/cach-gui-tiet-kiem-online" TargetMode="External"/><Relationship Id="rId3194" Type="http://schemas.openxmlformats.org/officeDocument/2006/relationships/hyperlink" Target="https://techcombank.com/thong-tin/blog/phi-thuong-nien-la-gi" TargetMode="External"/><Relationship Id="rId3197" Type="http://schemas.openxmlformats.org/officeDocument/2006/relationships/hyperlink" Target="https://techcombank.com/thong-tin/blog/vay-san-xuat-kinh-doanh" TargetMode="External"/><Relationship Id="rId3196" Type="http://schemas.openxmlformats.org/officeDocument/2006/relationships/hyperlink" Target="https://techcombank.com/thong-tin/blog/cac-hinh-thuc-vay-von-ngan-hang" TargetMode="External"/><Relationship Id="rId3199" Type="http://schemas.openxmlformats.org/officeDocument/2006/relationships/hyperlink" Target="https://techcombank.com/thong-tin/blog/tin-chap-doanh-nghiep" TargetMode="External"/><Relationship Id="rId3198" Type="http://schemas.openxmlformats.org/officeDocument/2006/relationships/hyperlink" Target="https://techcombank.com/thong-tin/blog/nen-mua-xe-tra-gop-hay-tra-thang" TargetMode="External"/><Relationship Id="rId3180" Type="http://schemas.openxmlformats.org/officeDocument/2006/relationships/hyperlink" Target="https://techcombank.com/thong-tin/blog/nen-vay-the-chap-ngan-hang-nao" TargetMode="External"/><Relationship Id="rId3182" Type="http://schemas.openxmlformats.org/officeDocument/2006/relationships/hyperlink" Target="https://techcombank.com/thong-tin/blog/tra-no-vay-thau-chi-nhu-the-nao" TargetMode="External"/><Relationship Id="rId3181" Type="http://schemas.openxmlformats.org/officeDocument/2006/relationships/hyperlink" Target="https://techcombank.com/thong-tin/blog/vay-ngan-hang-chi-can-cccd" TargetMode="External"/><Relationship Id="rId3184" Type="http://schemas.openxmlformats.org/officeDocument/2006/relationships/hyperlink" Target="https://techcombank.com/thong-tin/blog/tra-no-vay-thau-chi-nhu-the-nao" TargetMode="External"/><Relationship Id="rId3183" Type="http://schemas.openxmlformats.org/officeDocument/2006/relationships/hyperlink" Target="https://techcombank.com/thong-tin/blog/vay-tin-chap-ho-kinh-doanh" TargetMode="External"/><Relationship Id="rId3186" Type="http://schemas.openxmlformats.org/officeDocument/2006/relationships/hyperlink" Target="https://techcombank.com/thong-tin/blog/nhu-cau-vay-tieu-dung-cua-nguoi-viet-du-kien-tang-manh-trong-thoi-gian-toi" TargetMode="External"/><Relationship Id="rId3185" Type="http://schemas.openxmlformats.org/officeDocument/2006/relationships/hyperlink" Target="https://techcombank.com/thong-tin/blog/lai-suat-vay-kinh-doanh" TargetMode="External"/><Relationship Id="rId3188" Type="http://schemas.openxmlformats.org/officeDocument/2006/relationships/hyperlink" Target="https://techcombank.com/thong-tin/blog/vay-han-muc-la-gi" TargetMode="External"/><Relationship Id="rId3187" Type="http://schemas.openxmlformats.org/officeDocument/2006/relationships/hyperlink" Target="https://techcombank.com/thong-tin/blog/dang-vay-tra-gop-co-vay-them-duoc-khong" TargetMode="External"/><Relationship Id="rId3189" Type="http://schemas.openxmlformats.org/officeDocument/2006/relationships/hyperlink" Target="https://techcombank.com/thong-tin/blog/vay-the-chap-qua-luong" TargetMode="External"/><Relationship Id="rId3151" Type="http://schemas.openxmlformats.org/officeDocument/2006/relationships/hyperlink" Target="https://techcombank.com/thong-tin/blog/no-nhom-3" TargetMode="External"/><Relationship Id="rId3150" Type="http://schemas.openxmlformats.org/officeDocument/2006/relationships/hyperlink" Target="https://techcombank.com/thong-tin/blog/no-xau-nhom-2" TargetMode="External"/><Relationship Id="rId3153" Type="http://schemas.openxmlformats.org/officeDocument/2006/relationships/hyperlink" Target="https://techcombank.com/thong-tin/blog/du-no-tin-dung-la-gi" TargetMode="External"/><Relationship Id="rId3152" Type="http://schemas.openxmlformats.org/officeDocument/2006/relationships/hyperlink" Target="https://techcombank.com/thong-tin/blog/han-muc-vay-the-chap-so-do" TargetMode="External"/><Relationship Id="rId3155" Type="http://schemas.openxmlformats.org/officeDocument/2006/relationships/hyperlink" Target="https://techcombank.com/thong-tin/blog/vay-tin-chap-no-xau" TargetMode="External"/><Relationship Id="rId3154" Type="http://schemas.openxmlformats.org/officeDocument/2006/relationships/hyperlink" Target="https://techcombank.com/thong-tin/blog/vay-20-trieu" TargetMode="External"/><Relationship Id="rId3157" Type="http://schemas.openxmlformats.org/officeDocument/2006/relationships/hyperlink" Target="https://techcombank.com/thong-tin/blog/no-xau-co-vay-the-chap-duoc-khong" TargetMode="External"/><Relationship Id="rId3156" Type="http://schemas.openxmlformats.org/officeDocument/2006/relationships/hyperlink" Target="https://techcombank.com/thong-tin/blog/tat-toan" TargetMode="External"/><Relationship Id="rId3159" Type="http://schemas.openxmlformats.org/officeDocument/2006/relationships/hyperlink" Target="https://techcombank.com/thong-tin/blog/rui-ro-khi-vay-the-chap-ngan-hang" TargetMode="External"/><Relationship Id="rId3158" Type="http://schemas.openxmlformats.org/officeDocument/2006/relationships/hyperlink" Target="https://techcombank.com/thong-tin/blog/thu-tuc-vay-von-kinh-doanh-nho" TargetMode="External"/><Relationship Id="rId3149" Type="http://schemas.openxmlformats.org/officeDocument/2006/relationships/hyperlink" Target="https://techcombank.com/thong-tin/blog/tra-gop-hoc-phi" TargetMode="External"/><Relationship Id="rId3140" Type="http://schemas.openxmlformats.org/officeDocument/2006/relationships/hyperlink" Target="https://techcombank.com/thong-tin/blog/vay-the-chap-toi-da-duoc-bao-nhieu" TargetMode="External"/><Relationship Id="rId3142" Type="http://schemas.openxmlformats.org/officeDocument/2006/relationships/hyperlink" Target="https://techcombank.com/thong-tin/blog/vay-tin-chap-toi-da-duoc-bao-nhieu" TargetMode="External"/><Relationship Id="rId3141" Type="http://schemas.openxmlformats.org/officeDocument/2006/relationships/hyperlink" Target="https://techcombank.com/thong-tin/blog/vay-han-muc-la-gi" TargetMode="External"/><Relationship Id="rId3144" Type="http://schemas.openxmlformats.org/officeDocument/2006/relationships/hyperlink" Target="https://techcombank.com/thong-tin/blog/vay-tin-chap-theo-luong" TargetMode="External"/><Relationship Id="rId3143" Type="http://schemas.openxmlformats.org/officeDocument/2006/relationships/hyperlink" Target="https://techcombank.com/thong-tin/blog/kinh-nghiem-vay-tien-ngan-hang-xay-nha" TargetMode="External"/><Relationship Id="rId3146" Type="http://schemas.openxmlformats.org/officeDocument/2006/relationships/hyperlink" Target="https://techcombank.com/thong-tin/blog/kinh-nghiem-vay-tien-mua-nha" TargetMode="External"/><Relationship Id="rId3145" Type="http://schemas.openxmlformats.org/officeDocument/2006/relationships/hyperlink" Target="https://techcombank.com/thong-tin/blog/cac-hinh-thuc-cho-vay-tieu-dung" TargetMode="External"/><Relationship Id="rId3148" Type="http://schemas.openxmlformats.org/officeDocument/2006/relationships/hyperlink" Target="https://techcombank.com/thong-tin/blog/vay-mua-nha-tra-gop" TargetMode="External"/><Relationship Id="rId3147" Type="http://schemas.openxmlformats.org/officeDocument/2006/relationships/hyperlink" Target="https://techcombank.com/thong-tin/blog/han-muc-thau-chi-la-gi" TargetMode="External"/><Relationship Id="rId3171" Type="http://schemas.openxmlformats.org/officeDocument/2006/relationships/hyperlink" Target="https://techcombank.com/thong-tin/blog/phi-vay-the-chap" TargetMode="External"/><Relationship Id="rId3170" Type="http://schemas.openxmlformats.org/officeDocument/2006/relationships/hyperlink" Target="https://techcombank.com/thong-tin/blog/thu-tuc-vay-von-ngan-hang-de-xay-nha" TargetMode="External"/><Relationship Id="rId3173" Type="http://schemas.openxmlformats.org/officeDocument/2006/relationships/hyperlink" Target="https://techcombank.com/thong-tin/blog/vay-the-chap-khong-chung-minh-thu-nhap" TargetMode="External"/><Relationship Id="rId3172" Type="http://schemas.openxmlformats.org/officeDocument/2006/relationships/hyperlink" Target="https://techcombank.com/thong-tin/blog/the-chap-la-gi" TargetMode="External"/><Relationship Id="rId3175" Type="http://schemas.openxmlformats.org/officeDocument/2006/relationships/hyperlink" Target="https://techcombank.com/thong-tin/blog/vay-the-chap-la-gi" TargetMode="External"/><Relationship Id="rId3174" Type="http://schemas.openxmlformats.org/officeDocument/2006/relationships/hyperlink" Target="https://techcombank.com/thong-tin/blog/quy-trinh-cho-vay-tieu-dung" TargetMode="External"/><Relationship Id="rId3177" Type="http://schemas.openxmlformats.org/officeDocument/2006/relationships/hyperlink" Target="https://techcombank.com/thong-tin/blog/dang-vay-tra-gop-co-vay-them-duoc-khong" TargetMode="External"/><Relationship Id="rId3176" Type="http://schemas.openxmlformats.org/officeDocument/2006/relationships/hyperlink" Target="https://techcombank.com/thong-tin/blog/vay-40-trieu" TargetMode="External"/><Relationship Id="rId3179" Type="http://schemas.openxmlformats.org/officeDocument/2006/relationships/hyperlink" Target="https://techcombank.com/thong-tin/blog/vay-the-chap-so-bao-hiem-xa-hoi" TargetMode="External"/><Relationship Id="rId3178" Type="http://schemas.openxmlformats.org/officeDocument/2006/relationships/hyperlink" Target="https://techcombank.com/thong-tin/blog/co-nen-mua-o-to-tra-gop" TargetMode="External"/><Relationship Id="rId3160" Type="http://schemas.openxmlformats.org/officeDocument/2006/relationships/hyperlink" Target="https://techcombank.com/thong-tin/blog/vay-kinh-doanh-online" TargetMode="External"/><Relationship Id="rId3162" Type="http://schemas.openxmlformats.org/officeDocument/2006/relationships/hyperlink" Target="https://techcombank.com/thong-tin/blog/vay-tin-chap-khong-tra-duoc-co-sao-khong" TargetMode="External"/><Relationship Id="rId3161" Type="http://schemas.openxmlformats.org/officeDocument/2006/relationships/hyperlink" Target="https://techcombank.com/thong-tin/blog/vay-thau-chi-la-gi" TargetMode="External"/><Relationship Id="rId3164" Type="http://schemas.openxmlformats.org/officeDocument/2006/relationships/hyperlink" Target="https://techcombank.com/thong-tin/blog/vay-tin-chap-cho-doanh-nghiep-moi-thanh-lap" TargetMode="External"/><Relationship Id="rId3163" Type="http://schemas.openxmlformats.org/officeDocument/2006/relationships/hyperlink" Target="https://techcombank.com/thong-tin/blog/vay-von-doanh-nghiep-khong-the-chap" TargetMode="External"/><Relationship Id="rId3166" Type="http://schemas.openxmlformats.org/officeDocument/2006/relationships/hyperlink" Target="https://techcombank.com/thong-tin/blog/co-nen-vay-ngan-hang-mua-nha" TargetMode="External"/><Relationship Id="rId3165" Type="http://schemas.openxmlformats.org/officeDocument/2006/relationships/hyperlink" Target="https://techcombank.com/thong-tin/blog/thanh-toan-khoan-vay" TargetMode="External"/><Relationship Id="rId3168" Type="http://schemas.openxmlformats.org/officeDocument/2006/relationships/hyperlink" Target="https://techcombank.com/thong-tin/blog/thu-tuc-vay-ngan-hang-mua-nha" TargetMode="External"/><Relationship Id="rId3167" Type="http://schemas.openxmlformats.org/officeDocument/2006/relationships/hyperlink" Target="https://techcombank.com/thong-tin/blog/ho-so-vay-tin-chap" TargetMode="External"/><Relationship Id="rId3169" Type="http://schemas.openxmlformats.org/officeDocument/2006/relationships/hyperlink" Target="https://techcombank.com/thong-tin/blog/thoi-han-vay-thau-chi" TargetMode="External"/><Relationship Id="rId2700" Type="http://schemas.openxmlformats.org/officeDocument/2006/relationships/hyperlink" Target="https://techcombank.com/thong-tin/blog/lai-suat-cho-vay-doanh-nghiep" TargetMode="External"/><Relationship Id="rId2701" Type="http://schemas.openxmlformats.org/officeDocument/2006/relationships/hyperlink" Target="https://techcombank.com/thong-tin/blog/vay-thau-chi-bang-so-tiet-kiem" TargetMode="External"/><Relationship Id="rId2702" Type="http://schemas.openxmlformats.org/officeDocument/2006/relationships/hyperlink" Target="https://techcombank.com/thong-tin/blog/lai-suat-ngan-hang-cho-vay-xay-nha" TargetMode="External"/><Relationship Id="rId2703" Type="http://schemas.openxmlformats.org/officeDocument/2006/relationships/hyperlink" Target="https://techcombank.com/thong-tin/blog/lai-suat-tha-noi" TargetMode="External"/><Relationship Id="rId2704" Type="http://schemas.openxmlformats.org/officeDocument/2006/relationships/hyperlink" Target="https://techcombank.com/thong-tin/blog/tra-no-vay-thau-chi-nhu-the-nao" TargetMode="External"/><Relationship Id="rId2705" Type="http://schemas.openxmlformats.org/officeDocument/2006/relationships/hyperlink" Target="https://techcombank.com/thong-tin/blog/tin-chap-doanh-nghiep" TargetMode="External"/><Relationship Id="rId2706" Type="http://schemas.openxmlformats.org/officeDocument/2006/relationships/hyperlink" Target="https://techcombank.com/thong-tin/blog/vay-the-chap-xe-o-to-cu" TargetMode="External"/><Relationship Id="rId2707" Type="http://schemas.openxmlformats.org/officeDocument/2006/relationships/hyperlink" Target="https://techcombank.com/thong-tin/blog/vay-san-xuat-kinh-doanh" TargetMode="External"/><Relationship Id="rId2708" Type="http://schemas.openxmlformats.org/officeDocument/2006/relationships/hyperlink" Target="https://techcombank.com/thong-tin/blog/nen-vay-tin-chap-o-dau" TargetMode="External"/><Relationship Id="rId2709" Type="http://schemas.openxmlformats.org/officeDocument/2006/relationships/hyperlink" Target="https://techcombank.com/thong-tin/blog/cach-tiet-kiem-tien" TargetMode="External"/><Relationship Id="rId2720" Type="http://schemas.openxmlformats.org/officeDocument/2006/relationships/hyperlink" Target="https://techcombank.com/thong-tin/blog/kinh-nghiem-vay-the-chap-ngan-hang" TargetMode="External"/><Relationship Id="rId2721" Type="http://schemas.openxmlformats.org/officeDocument/2006/relationships/hyperlink" Target="https://techcombank.com/thong-tin/blog/cach-thanh-toan-the-tin-dung" TargetMode="External"/><Relationship Id="rId2722" Type="http://schemas.openxmlformats.org/officeDocument/2006/relationships/hyperlink" Target="https://techcombank.com/thong-tin/blog/no-nhom-3" TargetMode="External"/><Relationship Id="rId2723" Type="http://schemas.openxmlformats.org/officeDocument/2006/relationships/hyperlink" Target="https://techcombank.com/thong-tin/blog/vay-tien-mat" TargetMode="External"/><Relationship Id="rId2724" Type="http://schemas.openxmlformats.org/officeDocument/2006/relationships/hyperlink" Target="https://techcombank.com/thong-tin/blog/han-muc-vay-the-chap-so-do" TargetMode="External"/><Relationship Id="rId2725" Type="http://schemas.openxmlformats.org/officeDocument/2006/relationships/hyperlink" Target="https://techcombank.com/thong-tin/blog/vay-sinh-vien" TargetMode="External"/><Relationship Id="rId2726" Type="http://schemas.openxmlformats.org/officeDocument/2006/relationships/hyperlink" Target="https://techcombank.com/thong-tin/blog/vay-tin-chap-no-xau" TargetMode="External"/><Relationship Id="rId2727" Type="http://schemas.openxmlformats.org/officeDocument/2006/relationships/hyperlink" Target="https://techcombank.com/thong-tin/blog/no-xau-co-vay-the-chap-duoc-khong" TargetMode="External"/><Relationship Id="rId2728" Type="http://schemas.openxmlformats.org/officeDocument/2006/relationships/hyperlink" Target="https://techcombank.com/thong-tin/blog/thu-tuc-vay-von-kinh-doanh-nho" TargetMode="External"/><Relationship Id="rId2729" Type="http://schemas.openxmlformats.org/officeDocument/2006/relationships/hyperlink" Target="https://techcombank.com/thong-tin/blog/vay-thau-chi-la-gi" TargetMode="External"/><Relationship Id="rId2710" Type="http://schemas.openxmlformats.org/officeDocument/2006/relationships/hyperlink" Target="https://techcombank.com/thong-tin/blog/vay-the-chap-kinh-doanh" TargetMode="External"/><Relationship Id="rId2711" Type="http://schemas.openxmlformats.org/officeDocument/2006/relationships/hyperlink" Target="https://techcombank.com/thong-tin/blog/giai-ngan-vay-the-chap" TargetMode="External"/><Relationship Id="rId2712" Type="http://schemas.openxmlformats.org/officeDocument/2006/relationships/hyperlink" Target="https://techcombank.com/thong-tin/blog/vay-the-chap-toi-da-duoc-bao-nhieu" TargetMode="External"/><Relationship Id="rId2713" Type="http://schemas.openxmlformats.org/officeDocument/2006/relationships/hyperlink" Target="https://techcombank.com/thong-tin/blog/cac-hinh-thuc-cho-vay-tieu-dung" TargetMode="External"/><Relationship Id="rId2714" Type="http://schemas.openxmlformats.org/officeDocument/2006/relationships/hyperlink" Target="https://techcombank.com/thong-tin/blog/vay-ngan-han" TargetMode="External"/><Relationship Id="rId2715" Type="http://schemas.openxmlformats.org/officeDocument/2006/relationships/hyperlink" Target="https://techcombank.com/thong-tin/blog/cho-vay-kinh-doanh-ho-gia-dinh" TargetMode="External"/><Relationship Id="rId2716" Type="http://schemas.openxmlformats.org/officeDocument/2006/relationships/hyperlink" Target="https://techcombank.com/thong-tin/blog/vay-von-doanh-nghiep-nho" TargetMode="External"/><Relationship Id="rId2717" Type="http://schemas.openxmlformats.org/officeDocument/2006/relationships/hyperlink" Target="https://techcombank.com/thong-tin/blog/han-muc-thau-chi-la-gi" TargetMode="External"/><Relationship Id="rId2718" Type="http://schemas.openxmlformats.org/officeDocument/2006/relationships/hyperlink" Target="https://techcombank.com/thong-tin/blog/vay-tin-chap-toi-da-duoc-bao-nhieu" TargetMode="External"/><Relationship Id="rId2719" Type="http://schemas.openxmlformats.org/officeDocument/2006/relationships/hyperlink" Target="https://techcombank.com/thong-tin/blog/diem-tin-dung" TargetMode="External"/><Relationship Id="rId1455" Type="http://schemas.openxmlformats.org/officeDocument/2006/relationships/hyperlink" Target="https://techcombank.com/thong-tin/blog/so-tiet-kiem-ngan-hang" TargetMode="External"/><Relationship Id="rId2786" Type="http://schemas.openxmlformats.org/officeDocument/2006/relationships/hyperlink" Target="https://techcombank.com/thong-tin/blog/gui-tiet-kiem-ngan-hang-van-la-lua-chon-an-toan-trong-thoi-ky-kinh-te-con-nhieu-bien-dong" TargetMode="External"/><Relationship Id="rId1456" Type="http://schemas.openxmlformats.org/officeDocument/2006/relationships/hyperlink" Target="https://techcombank.com/thong-tin/blog/tien-gui-khong-ky-han" TargetMode="External"/><Relationship Id="rId2787" Type="http://schemas.openxmlformats.org/officeDocument/2006/relationships/hyperlink" Target="https://techcombank.com/thong-tin/blog/tai-khoan-ngan-hang-chua-toi-da-bao-nhieu-tien" TargetMode="External"/><Relationship Id="rId1457" Type="http://schemas.openxmlformats.org/officeDocument/2006/relationships/hyperlink" Target="https://techcombank.com/thong-tin/blog/tien-gui-co-ky-han" TargetMode="External"/><Relationship Id="rId2788" Type="http://schemas.openxmlformats.org/officeDocument/2006/relationships/hyperlink" Target="https://techcombank.com/thong-tin/blog/chuyen-doi-xanh" TargetMode="External"/><Relationship Id="rId1458" Type="http://schemas.openxmlformats.org/officeDocument/2006/relationships/hyperlink" Target="https://techcombank.com/thong-tin/blog/gui-tiet-kiem-theo-ngay" TargetMode="External"/><Relationship Id="rId2789" Type="http://schemas.openxmlformats.org/officeDocument/2006/relationships/hyperlink" Target="https://techcombank.com/thong-tin/blog/chuyen-gia-du-doan-gia-bat-dong-san-2025-va-cac-no-luc-tu-ngan-hang" TargetMode="External"/><Relationship Id="rId1459" Type="http://schemas.openxmlformats.org/officeDocument/2006/relationships/hyperlink" Target="https://techcombank.com/thong-tin/blog/nen-gui-tiet-kiem-6-thang-hay-1-nam" TargetMode="External"/><Relationship Id="rId629" Type="http://schemas.openxmlformats.org/officeDocument/2006/relationships/hyperlink" Target="https://techcombank.com/thong-tin/blog/dinh-cu-chau-au" TargetMode="External"/><Relationship Id="rId624" Type="http://schemas.openxmlformats.org/officeDocument/2006/relationships/hyperlink" Target="https://techcombank.com/thong-tin/blog/xac-thuc-sinh-trac-hoc-khi-chuyen-tien" TargetMode="External"/><Relationship Id="rId623" Type="http://schemas.openxmlformats.org/officeDocument/2006/relationships/hyperlink" Target="https://techcombank.com/thong-tin/blog/token-la-gi" TargetMode="External"/><Relationship Id="rId622" Type="http://schemas.openxmlformats.org/officeDocument/2006/relationships/hyperlink" Target="https://techcombank.com/thong-tin/blog/vi-dien-tu-la-gi" TargetMode="External"/><Relationship Id="rId621" Type="http://schemas.openxmlformats.org/officeDocument/2006/relationships/hyperlink" Target="https://techcombank.com/thong-tin/blog/tai-khoan-ngan-hang-con-0-dong-co-sao-khong" TargetMode="External"/><Relationship Id="rId628" Type="http://schemas.openxmlformats.org/officeDocument/2006/relationships/hyperlink" Target="https://techcombank.com/thong-tin/blog/chuyen-tien-dinh-cu" TargetMode="External"/><Relationship Id="rId627" Type="http://schemas.openxmlformats.org/officeDocument/2006/relationships/hyperlink" Target="https://techcombank.com/thong-tin/blog/the-ghi-no-co-chuyen-khoan-duoc-khong" TargetMode="External"/><Relationship Id="rId626" Type="http://schemas.openxmlformats.org/officeDocument/2006/relationships/hyperlink" Target="https://techcombank.com/thong-tin/blog/cach-chuyen-tien-qua-ma-qr-techcombank" TargetMode="External"/><Relationship Id="rId625" Type="http://schemas.openxmlformats.org/officeDocument/2006/relationships/hyperlink" Target="https://techcombank.com/thong-tin/blog/casa-la-gi" TargetMode="External"/><Relationship Id="rId2780" Type="http://schemas.openxmlformats.org/officeDocument/2006/relationships/hyperlink" Target="https://techcombank.com/thong-tin/blog/gui-tiet-kiem-online-co-rut-truoc-han-duoc-khong" TargetMode="External"/><Relationship Id="rId1450" Type="http://schemas.openxmlformats.org/officeDocument/2006/relationships/hyperlink" Target="https://techcombank.com/thong-tin/blog/cach-tinh-lai-suat-tien-gui-tiet-kiem" TargetMode="External"/><Relationship Id="rId2781" Type="http://schemas.openxmlformats.org/officeDocument/2006/relationships/hyperlink" Target="https://techcombank.com/thong-tin/blog/tat-toan-so-tiet-kiem" TargetMode="External"/><Relationship Id="rId620" Type="http://schemas.openxmlformats.org/officeDocument/2006/relationships/hyperlink" Target="https://techcombank.com/thong-tin/blog/cach-su-dung-the-visa-techcombank" TargetMode="External"/><Relationship Id="rId1451" Type="http://schemas.openxmlformats.org/officeDocument/2006/relationships/hyperlink" Target="https://techcombank.com/thong-tin/blog/chon-kenh-dau-tu-an-toan-trong-boi-canh-thi-truong-bien-dong" TargetMode="External"/><Relationship Id="rId2782" Type="http://schemas.openxmlformats.org/officeDocument/2006/relationships/hyperlink" Target="https://techcombank.com/thong-tin/blog/the-ghi-no-va-the-tin-dung" TargetMode="External"/><Relationship Id="rId1452" Type="http://schemas.openxmlformats.org/officeDocument/2006/relationships/hyperlink" Target="https://techcombank.com/thong-tin/blog/tien-nhan-roi-nen-lam-gi" TargetMode="External"/><Relationship Id="rId2783" Type="http://schemas.openxmlformats.org/officeDocument/2006/relationships/hyperlink" Target="https://techcombank.com/thong-tin/blog/giai-ngan-la-gi" TargetMode="External"/><Relationship Id="rId1453" Type="http://schemas.openxmlformats.org/officeDocument/2006/relationships/hyperlink" Target="https://techcombank.com/thong-tin/blog/chung-chi-tien-gui-co-phai-la-trai-phieu-khong" TargetMode="External"/><Relationship Id="rId2784" Type="http://schemas.openxmlformats.org/officeDocument/2006/relationships/hyperlink" Target="https://techcombank.com/thong-tin/blog/nen-mua-xe-o-to-dien-hay-xe-xang" TargetMode="External"/><Relationship Id="rId1454" Type="http://schemas.openxmlformats.org/officeDocument/2006/relationships/hyperlink" Target="https://techcombank.com/thong-tin/blog/quan-ly-tai-chinh-doanh-nghiep-nho" TargetMode="External"/><Relationship Id="rId2785" Type="http://schemas.openxmlformats.org/officeDocument/2006/relationships/hyperlink" Target="https://techcombank.com/thong-tin/blog/rut-tien-mat-tu-the-tin-dung" TargetMode="External"/><Relationship Id="rId1444" Type="http://schemas.openxmlformats.org/officeDocument/2006/relationships/hyperlink" Target="https://techcombank.com/thong-tin/blog/chuyen-nhuong-chung-chi-tien-gui" TargetMode="External"/><Relationship Id="rId2775" Type="http://schemas.openxmlformats.org/officeDocument/2006/relationships/hyperlink" Target="https://techcombank.com/thong-tin/blog/vay-tien-online" TargetMode="External"/><Relationship Id="rId1445" Type="http://schemas.openxmlformats.org/officeDocument/2006/relationships/hyperlink" Target="https://techcombank.com/thong-tin/blog/chung-chi-tien-gui-co-duoc-bao-hiem-khong" TargetMode="External"/><Relationship Id="rId2776" Type="http://schemas.openxmlformats.org/officeDocument/2006/relationships/hyperlink" Target="https://techcombank.com/thong-tin/blog/vay-du-hoc" TargetMode="External"/><Relationship Id="rId1446" Type="http://schemas.openxmlformats.org/officeDocument/2006/relationships/hyperlink" Target="https://techcombank.com/thong-tin/blog/chung-chi-tien-gui-la-gi" TargetMode="External"/><Relationship Id="rId2777" Type="http://schemas.openxmlformats.org/officeDocument/2006/relationships/hyperlink" Target="https://techcombank.com/thong-tin/blog/casa-la-gi" TargetMode="External"/><Relationship Id="rId1447" Type="http://schemas.openxmlformats.org/officeDocument/2006/relationships/hyperlink" Target="https://techcombank.com/thong-tin/blog/lai-suat-tiet-kiem" TargetMode="External"/><Relationship Id="rId2778" Type="http://schemas.openxmlformats.org/officeDocument/2006/relationships/hyperlink" Target="https://techcombank.com/thong-tin/blog/no-xau-mo-the-tin-dung-duoc-khong" TargetMode="External"/><Relationship Id="rId1448" Type="http://schemas.openxmlformats.org/officeDocument/2006/relationships/hyperlink" Target="https://techcombank.com/thong-tin/blog/co-nen-gui-chung-chi-tien-gui" TargetMode="External"/><Relationship Id="rId2779" Type="http://schemas.openxmlformats.org/officeDocument/2006/relationships/hyperlink" Target="https://techcombank.com/thong-tin/blog/qua-han-thanh-toan-the-tin-dung-1-ngay" TargetMode="External"/><Relationship Id="rId1449" Type="http://schemas.openxmlformats.org/officeDocument/2006/relationships/hyperlink" Target="https://techcombank.com/thong-tin/blog/dau-tu-trai-phieu-doanh-nghiep-dung-ham-lai-suat-cao" TargetMode="External"/><Relationship Id="rId619" Type="http://schemas.openxmlformats.org/officeDocument/2006/relationships/hyperlink" Target="https://techcombank.com/thong-tin/blog/cach-chuyen-khoan-bang-dien-thoai" TargetMode="External"/><Relationship Id="rId618" Type="http://schemas.openxmlformats.org/officeDocument/2006/relationships/hyperlink" Target="https://techcombank.com/thong-tin/blog/tai-khoan-ngan-hang-bi-khoa" TargetMode="External"/><Relationship Id="rId613" Type="http://schemas.openxmlformats.org/officeDocument/2006/relationships/hyperlink" Target="https://techcombank.com/thong-tin/blog/loa-ting-ting" TargetMode="External"/><Relationship Id="rId612" Type="http://schemas.openxmlformats.org/officeDocument/2006/relationships/hyperlink" Target="https://techcombank.com/thong-tin/blog/cach-tao-ma-qr-code-mien-phi" TargetMode="External"/><Relationship Id="rId611" Type="http://schemas.openxmlformats.org/officeDocument/2006/relationships/hyperlink" Target="https://techcombank.com/thong-tin/blog/cach-su-dung-tai-khoan-cong-ty" TargetMode="External"/><Relationship Id="rId610" Type="http://schemas.openxmlformats.org/officeDocument/2006/relationships/hyperlink" Target="https://techcombank.com/thong-tin/blog/cdm" TargetMode="External"/><Relationship Id="rId617" Type="http://schemas.openxmlformats.org/officeDocument/2006/relationships/hyperlink" Target="https://techcombank.com/thong-tin/blog/iban-la-gi" TargetMode="External"/><Relationship Id="rId616" Type="http://schemas.openxmlformats.org/officeDocument/2006/relationships/hyperlink" Target="https://techcombank.com/thong-tin/blog/gui-tien-du-hoc" TargetMode="External"/><Relationship Id="rId615" Type="http://schemas.openxmlformats.org/officeDocument/2006/relationships/hyperlink" Target="https://techcombank.com/thong-tin/blog/cach-nap-tien-vao-the-ghi-no" TargetMode="External"/><Relationship Id="rId614" Type="http://schemas.openxmlformats.org/officeDocument/2006/relationships/hyperlink" Target="https://techcombank.com/thong-tin/blog/cach-lay-lai-tien-da-chuyen-khoan-khi-bi-lua" TargetMode="External"/><Relationship Id="rId2770" Type="http://schemas.openxmlformats.org/officeDocument/2006/relationships/hyperlink" Target="https://techcombank.com/thong-tin/blog/von-luu-dong-la-gi" TargetMode="External"/><Relationship Id="rId1440" Type="http://schemas.openxmlformats.org/officeDocument/2006/relationships/hyperlink" Target="https://techcombank.com/thong-tin/blog/tat-toan-chung-chi-tien-gui" TargetMode="External"/><Relationship Id="rId2771" Type="http://schemas.openxmlformats.org/officeDocument/2006/relationships/hyperlink" Target="https://techcombank.com/thong-tin/blog/nhu-cau-vay-tieu-dung-cua-nguoi-viet-du-kien-tang-manh-trong-thoi-gian-toi" TargetMode="External"/><Relationship Id="rId1441" Type="http://schemas.openxmlformats.org/officeDocument/2006/relationships/hyperlink" Target="https://techcombank.com/thong-tin/blog/cach-tinh-loi-nhuan-chung-chi-tien-gui" TargetMode="External"/><Relationship Id="rId2772" Type="http://schemas.openxmlformats.org/officeDocument/2006/relationships/hyperlink" Target="https://techcombank.com/thong-tin/blog/vay-sieu-toc" TargetMode="External"/><Relationship Id="rId1442" Type="http://schemas.openxmlformats.org/officeDocument/2006/relationships/hyperlink" Target="https://techcombank.com/thong-tin/blog/tat-toan-chung-chi-tien-gui" TargetMode="External"/><Relationship Id="rId2773" Type="http://schemas.openxmlformats.org/officeDocument/2006/relationships/hyperlink" Target="https://techcombank.com/thong-tin/blog/tap-doan-thanh-quang-khoi-sac-kinh-doanh-nho-nguon-von-vay-tin-dung-techcombank-tren-nen-tang-misa-lending" TargetMode="External"/><Relationship Id="rId1443" Type="http://schemas.openxmlformats.org/officeDocument/2006/relationships/hyperlink" Target="https://techcombank.com/thong-tin/blog/chung-chi-tien-gui-co-duoc-rut-truoc-han" TargetMode="External"/><Relationship Id="rId2774" Type="http://schemas.openxmlformats.org/officeDocument/2006/relationships/hyperlink" Target="https://techcombank.com/thong-tin/blog/dieu-kien-vay-von-ngan-hang" TargetMode="External"/><Relationship Id="rId1477" Type="http://schemas.openxmlformats.org/officeDocument/2006/relationships/hyperlink" Target="https://techcombank.com/thong-tin/blog/han-muc-mua-ngoai-te-khi-di-du-lich" TargetMode="External"/><Relationship Id="rId1478" Type="http://schemas.openxmlformats.org/officeDocument/2006/relationships/hyperlink" Target="https://techcombank.com/thong-tin/blog/ngoai-te-la-gi" TargetMode="External"/><Relationship Id="rId1479" Type="http://schemas.openxmlformats.org/officeDocument/2006/relationships/hyperlink" Target="https://techcombank.com/thong-tin/blog/tai-khoan-ngan-hang-la-gi" TargetMode="External"/><Relationship Id="rId646" Type="http://schemas.openxmlformats.org/officeDocument/2006/relationships/hyperlink" Target="https://techcombank.com/thong-tin/blog/mat-so-dien-thoai-dang-ky-tai-khoan-ngan-hang" TargetMode="External"/><Relationship Id="rId645" Type="http://schemas.openxmlformats.org/officeDocument/2006/relationships/hyperlink" Target="https://techcombank.com/thong-tin/blog/mo-tai-khoan-ngan-hang-duoi-18-tuoi" TargetMode="External"/><Relationship Id="rId644" Type="http://schemas.openxmlformats.org/officeDocument/2006/relationships/hyperlink" Target="https://techcombank.com/thong-tin/blog/lam-the-visa-o-dau" TargetMode="External"/><Relationship Id="rId643" Type="http://schemas.openxmlformats.org/officeDocument/2006/relationships/hyperlink" Target="https://techcombank.com/thong-tin/blog/co-nen-dung-the-tin-dung-khong" TargetMode="External"/><Relationship Id="rId649" Type="http://schemas.openxmlformats.org/officeDocument/2006/relationships/hyperlink" Target="https://techcombank.com/thong-tin/blog/lam-the-tin-dung" TargetMode="External"/><Relationship Id="rId648" Type="http://schemas.openxmlformats.org/officeDocument/2006/relationships/hyperlink" Target="https://techcombank.com/thong-tin/blog/vi-du-ve-ca-nhan-hoa" TargetMode="External"/><Relationship Id="rId647" Type="http://schemas.openxmlformats.org/officeDocument/2006/relationships/hyperlink" Target="https://techcombank.com/thong-tin/blog/vay-tin-chap-cho-doanh-nghiep-moi-thanh-lap" TargetMode="External"/><Relationship Id="rId1470" Type="http://schemas.openxmlformats.org/officeDocument/2006/relationships/hyperlink" Target="https://techcombank.com/thong-tin/blog/lai-suat-cho-vay-doanh-nghiep" TargetMode="External"/><Relationship Id="rId1471" Type="http://schemas.openxmlformats.org/officeDocument/2006/relationships/hyperlink" Target="https://techcombank.com/thong-tin/blog/tien-trung-quoc" TargetMode="External"/><Relationship Id="rId1472" Type="http://schemas.openxmlformats.org/officeDocument/2006/relationships/hyperlink" Target="https://techcombank.com/thong-tin/blog/1-van-te-bang-bao-nhieu-tien-viet" TargetMode="External"/><Relationship Id="rId642" Type="http://schemas.openxmlformats.org/officeDocument/2006/relationships/hyperlink" Target="https://techcombank.com/thong-tin/blog/cach-chon-so-tai-khoan-dep" TargetMode="External"/><Relationship Id="rId1473" Type="http://schemas.openxmlformats.org/officeDocument/2006/relationships/hyperlink" Target="https://techcombank.com/thong-tin/blog/1000-te-bang-bao-nhieu-tien-viet" TargetMode="External"/><Relationship Id="rId641" Type="http://schemas.openxmlformats.org/officeDocument/2006/relationships/hyperlink" Target="https://techcombank.com/thong-tin/blog/ngan-hang-so-cho-doanh-nghiep" TargetMode="External"/><Relationship Id="rId1474" Type="http://schemas.openxmlformats.org/officeDocument/2006/relationships/hyperlink" Target="https://techcombank.com/thong-tin/blog/thanh-toan-khi-du-lich-trung-quoc" TargetMode="External"/><Relationship Id="rId640" Type="http://schemas.openxmlformats.org/officeDocument/2006/relationships/hyperlink" Target="https://techcombank.com/thong-tin/blog/ma-otp-la-gi" TargetMode="External"/><Relationship Id="rId1475" Type="http://schemas.openxmlformats.org/officeDocument/2006/relationships/hyperlink" Target="https://techcombank.com/thong-tin/blog/gui-tiet-kiem-ngoai-te" TargetMode="External"/><Relationship Id="rId1476" Type="http://schemas.openxmlformats.org/officeDocument/2006/relationships/hyperlink" Target="https://techcombank.com/thong-tin/blog/1-man-bang-bao-nhieu-tien-viet" TargetMode="External"/><Relationship Id="rId1466" Type="http://schemas.openxmlformats.org/officeDocument/2006/relationships/hyperlink" Target="https://techcombank.com/thong-tin/blog/lai-kep-ngan-hang" TargetMode="External"/><Relationship Id="rId2797" Type="http://schemas.openxmlformats.org/officeDocument/2006/relationships/hyperlink" Target="https://techcombank.com/thong-tin/blog/cong-thuc-tinh-lai-suat-thuc" TargetMode="External"/><Relationship Id="rId1467" Type="http://schemas.openxmlformats.org/officeDocument/2006/relationships/hyperlink" Target="https://techcombank.com/thong-tin/blog/bi-quyet-tiet-kiem-tien-mua-nha" TargetMode="External"/><Relationship Id="rId2798" Type="http://schemas.openxmlformats.org/officeDocument/2006/relationships/hyperlink" Target="https://techcombank.com/thong-tin/blog/tai-khoan-thanh-toan-la-gi" TargetMode="External"/><Relationship Id="rId1468" Type="http://schemas.openxmlformats.org/officeDocument/2006/relationships/hyperlink" Target="https://techcombank.com/thong-tin/blog/tat-toan-so-tiet-kiem" TargetMode="External"/><Relationship Id="rId2799" Type="http://schemas.openxmlformats.org/officeDocument/2006/relationships/hyperlink" Target="https://techcombank.com/thong-tin/blog/xu-huong-dau-tu-trai-phieu-ky-han-duoi-mot-nam-lua-chon-an-toan-khi-thi-truong-bien-dong" TargetMode="External"/><Relationship Id="rId1469" Type="http://schemas.openxmlformats.org/officeDocument/2006/relationships/hyperlink" Target="https://techcombank.com/thong-tin/blog/lai-suat-chung-chi-quy" TargetMode="External"/><Relationship Id="rId635" Type="http://schemas.openxmlformats.org/officeDocument/2006/relationships/hyperlink" Target="https://techcombank.com/thong-tin/blog/lam-the-atm-bao-lau-co" TargetMode="External"/><Relationship Id="rId634" Type="http://schemas.openxmlformats.org/officeDocument/2006/relationships/hyperlink" Target="https://techcombank.com/thong-tin/blog/1-nguoi-co-the-lam-duoc-bao-nhieu-the-atm" TargetMode="External"/><Relationship Id="rId633" Type="http://schemas.openxmlformats.org/officeDocument/2006/relationships/hyperlink" Target="https://techcombank.com/thong-tin/blog/cach-lam-the-atm" TargetMode="External"/><Relationship Id="rId632" Type="http://schemas.openxmlformats.org/officeDocument/2006/relationships/hyperlink" Target="https://techcombank.com/thong-tin/blog/hoc-sinh-sinh-vien-nen-lam-the-ngan-hang-nao" TargetMode="External"/><Relationship Id="rId639" Type="http://schemas.openxmlformats.org/officeDocument/2006/relationships/hyperlink" Target="https://techcombank.com/thong-tin/blog/lam-the-atm-co-mat-phi-khong" TargetMode="External"/><Relationship Id="rId638" Type="http://schemas.openxmlformats.org/officeDocument/2006/relationships/hyperlink" Target="https://techcombank.com/thong-tin/blog/nho-nguoi-than-mo-tai-khoan-ngan-hang" TargetMode="External"/><Relationship Id="rId637" Type="http://schemas.openxmlformats.org/officeDocument/2006/relationships/hyperlink" Target="https://techcombank.com/thong-tin/blog/cach-chuyen-tien-qua-ma-qr-techcombank" TargetMode="External"/><Relationship Id="rId636" Type="http://schemas.openxmlformats.org/officeDocument/2006/relationships/hyperlink" Target="https://techcombank.com/thong-tin/blog/quan-ly-chuoi-cua-hang" TargetMode="External"/><Relationship Id="rId2790" Type="http://schemas.openxmlformats.org/officeDocument/2006/relationships/hyperlink" Target="https://techcombank.com/thong-tin/blog/nap-tien-vao-tai-khoan-ngan-hang" TargetMode="External"/><Relationship Id="rId1460" Type="http://schemas.openxmlformats.org/officeDocument/2006/relationships/hyperlink" Target="https://techcombank.com/thong-tin/blog/so-sanh-gui-tiet-kiem-online-va-tai-quay" TargetMode="External"/><Relationship Id="rId2791" Type="http://schemas.openxmlformats.org/officeDocument/2006/relationships/hyperlink" Target="https://techcombank.com/thong-tin/blog/cach-tiet-kiem-100-trieu-1-nam" TargetMode="External"/><Relationship Id="rId1461" Type="http://schemas.openxmlformats.org/officeDocument/2006/relationships/hyperlink" Target="https://techcombank.com/thong-tin/blog/cach-tiet-kiem-tien-sinh-loi" TargetMode="External"/><Relationship Id="rId2792" Type="http://schemas.openxmlformats.org/officeDocument/2006/relationships/hyperlink" Target="https://techcombank.com/thong-tin/blog/co-50-trieu-nen-mua-vang-hay-gui-tiet-kiem" TargetMode="External"/><Relationship Id="rId631" Type="http://schemas.openxmlformats.org/officeDocument/2006/relationships/hyperlink" Target="https://techcombank.com/thong-tin/blog/mo-tai-khoan-ngan-hang-cho-tre-em" TargetMode="External"/><Relationship Id="rId1462" Type="http://schemas.openxmlformats.org/officeDocument/2006/relationships/hyperlink" Target="https://techcombank.com/thong-tin/blog/gui-tiet-kiem-hang-thang" TargetMode="External"/><Relationship Id="rId2793" Type="http://schemas.openxmlformats.org/officeDocument/2006/relationships/hyperlink" Target="https://techcombank.com/thong-tin/blog/gui-tiet-kiem-tich-luy-la-gi" TargetMode="External"/><Relationship Id="rId630" Type="http://schemas.openxmlformats.org/officeDocument/2006/relationships/hyperlink" Target="https://techcombank.com/thong-tin/blog/cam-nang-dinh-cu-my" TargetMode="External"/><Relationship Id="rId1463" Type="http://schemas.openxmlformats.org/officeDocument/2006/relationships/hyperlink" Target="https://techcombank.com/thong-tin/blog/nguyen-tac-quan-ly-tai-chinh-ca-nhan" TargetMode="External"/><Relationship Id="rId2794" Type="http://schemas.openxmlformats.org/officeDocument/2006/relationships/hyperlink" Target="https://techcombank.com/thong-tin/blog/quy-trinh-gui-tien-tiet-kiem" TargetMode="External"/><Relationship Id="rId1464" Type="http://schemas.openxmlformats.org/officeDocument/2006/relationships/hyperlink" Target="https://techcombank.com/thong-tin/blog/thi-truong-trai-phieu-co-hoi-dau-tu-trai-phieu-vang-du-lai-suat-thap" TargetMode="External"/><Relationship Id="rId2795" Type="http://schemas.openxmlformats.org/officeDocument/2006/relationships/hyperlink" Target="https://techcombank.com/thong-tin/blog/nen-de-tien-trong-the-hay-gui-tiet-kiem" TargetMode="External"/><Relationship Id="rId1465" Type="http://schemas.openxmlformats.org/officeDocument/2006/relationships/hyperlink" Target="https://techcombank.com/thong-tin/blog/thanh-khoan-la-gi" TargetMode="External"/><Relationship Id="rId2796" Type="http://schemas.openxmlformats.org/officeDocument/2006/relationships/hyperlink" Target="https://techcombank.com/thong-tin/blog/lai-suat-vay-the-chap" TargetMode="External"/><Relationship Id="rId1411" Type="http://schemas.openxmlformats.org/officeDocument/2006/relationships/hyperlink" Target="https://techcombank.com/thong-tin/blog/chung-chi-tien-gui-khac-gi-so-tiet-kiem" TargetMode="External"/><Relationship Id="rId2742" Type="http://schemas.openxmlformats.org/officeDocument/2006/relationships/hyperlink" Target="https://techcombank.com/thong-tin/blog/vay-bo-sung-von-luu-dong" TargetMode="External"/><Relationship Id="rId1412" Type="http://schemas.openxmlformats.org/officeDocument/2006/relationships/hyperlink" Target="https://techcombank.com/thong-tin/blog/co-nen-gui-chung-chi-tien-gui" TargetMode="External"/><Relationship Id="rId2743" Type="http://schemas.openxmlformats.org/officeDocument/2006/relationships/hyperlink" Target="https://techcombank.com/thong-tin/blog/cong-thuc-tinh-lai-suat-thuc" TargetMode="External"/><Relationship Id="rId1413" Type="http://schemas.openxmlformats.org/officeDocument/2006/relationships/hyperlink" Target="https://techcombank.com/thong-tin/blog/cach-tinh-loi-nhuan-chung-chi-tien-gui" TargetMode="External"/><Relationship Id="rId2744" Type="http://schemas.openxmlformats.org/officeDocument/2006/relationships/hyperlink" Target="https://techcombank.com/thong-tin/blog/vay-the-chap-so-bao-hiem-xa-hoi" TargetMode="External"/><Relationship Id="rId1414" Type="http://schemas.openxmlformats.org/officeDocument/2006/relationships/hyperlink" Target="https://techcombank.com/thong-tin/blog/lai-suat-chung-chi-tien-gui-cac-ngan-hang" TargetMode="External"/><Relationship Id="rId2745" Type="http://schemas.openxmlformats.org/officeDocument/2006/relationships/hyperlink" Target="https://techcombank.com/thong-tin/blog/nen-vay-the-chap-ngan-hang-nao" TargetMode="External"/><Relationship Id="rId1415" Type="http://schemas.openxmlformats.org/officeDocument/2006/relationships/hyperlink" Target="https://techcombank.com/thong-tin/blog/tien-nhan-roi-nen-lam-gi" TargetMode="External"/><Relationship Id="rId2746" Type="http://schemas.openxmlformats.org/officeDocument/2006/relationships/hyperlink" Target="https://techcombank.com/thong-tin/blog/tin-dung-la-gi" TargetMode="External"/><Relationship Id="rId1416" Type="http://schemas.openxmlformats.org/officeDocument/2006/relationships/hyperlink" Target="https://techcombank.com/thong-tin/blog/nguyen-tac-quan-ly-tai-chinh-ca-nhan" TargetMode="External"/><Relationship Id="rId2747" Type="http://schemas.openxmlformats.org/officeDocument/2006/relationships/hyperlink" Target="https://techcombank.com/thong-tin/blog/tien-gui-khong-ky-han" TargetMode="External"/><Relationship Id="rId1417" Type="http://schemas.openxmlformats.org/officeDocument/2006/relationships/hyperlink" Target="https://techcombank.com/thong-tin/blog/thanh-khoan-la-gi" TargetMode="External"/><Relationship Id="rId2748" Type="http://schemas.openxmlformats.org/officeDocument/2006/relationships/hyperlink" Target="https://techcombank.com/thong-tin/blog/vay-mua-chung-cu" TargetMode="External"/><Relationship Id="rId1418" Type="http://schemas.openxmlformats.org/officeDocument/2006/relationships/hyperlink" Target="https://techcombank.com/thong-tin/blog/tat-toan" TargetMode="External"/><Relationship Id="rId2749" Type="http://schemas.openxmlformats.org/officeDocument/2006/relationships/hyperlink" Target="https://techcombank.com/thong-tin/blog/vay-50-trieu" TargetMode="External"/><Relationship Id="rId1419" Type="http://schemas.openxmlformats.org/officeDocument/2006/relationships/hyperlink" Target="https://techcombank.com/thong-tin/blog/dau-tu-quy-mo" TargetMode="External"/><Relationship Id="rId2740" Type="http://schemas.openxmlformats.org/officeDocument/2006/relationships/hyperlink" Target="https://techcombank.com/thong-tin/blog/vay-the-chap-khong-chung-minh-thu-nhap" TargetMode="External"/><Relationship Id="rId1410" Type="http://schemas.openxmlformats.org/officeDocument/2006/relationships/hyperlink" Target="https://techcombank.com/thong-tin/blog/the-tin-dung-den" TargetMode="External"/><Relationship Id="rId2741" Type="http://schemas.openxmlformats.org/officeDocument/2006/relationships/hyperlink" Target="https://techcombank.com/thong-tin/blog/vay-the-chap-la-gi" TargetMode="External"/><Relationship Id="rId1400" Type="http://schemas.openxmlformats.org/officeDocument/2006/relationships/hyperlink" Target="https://techcombank.com/thong-tin/blog/the-visa-co-can-mat-khau-khong" TargetMode="External"/><Relationship Id="rId2731" Type="http://schemas.openxmlformats.org/officeDocument/2006/relationships/hyperlink" Target="https://techcombank.com/thong-tin/blog/vay-von-doanh-nghiep-khong-the-chap" TargetMode="External"/><Relationship Id="rId1401" Type="http://schemas.openxmlformats.org/officeDocument/2006/relationships/hyperlink" Target="https://techcombank.com/thong-tin/blog/mua-truoc-tra-sau" TargetMode="External"/><Relationship Id="rId2732" Type="http://schemas.openxmlformats.org/officeDocument/2006/relationships/hyperlink" Target="https://techcombank.com/thong-tin/blog/vay-tin-chap-cho-doanh-nghiep-moi-thanh-lap" TargetMode="External"/><Relationship Id="rId1402" Type="http://schemas.openxmlformats.org/officeDocument/2006/relationships/hyperlink" Target="https://techcombank.com/thong-tin/blog/tra-cuu-han-muc-the-tin-dung" TargetMode="External"/><Relationship Id="rId2733" Type="http://schemas.openxmlformats.org/officeDocument/2006/relationships/hyperlink" Target="https://techcombank.com/thong-tin/blog/vay-kinh-doanh-online" TargetMode="External"/><Relationship Id="rId1403" Type="http://schemas.openxmlformats.org/officeDocument/2006/relationships/hyperlink" Target="https://techcombank.com/thong-tin/blog/the-ghi-no-va-the-tin-dung" TargetMode="External"/><Relationship Id="rId2734" Type="http://schemas.openxmlformats.org/officeDocument/2006/relationships/hyperlink" Target="https://techcombank.com/thong-tin/blog/co-nen-vay-ngan-hang-mua-nha" TargetMode="External"/><Relationship Id="rId1404" Type="http://schemas.openxmlformats.org/officeDocument/2006/relationships/hyperlink" Target="https://techcombank.com/thong-tin/blog/the-tin-dung-het-han" TargetMode="External"/><Relationship Id="rId2735" Type="http://schemas.openxmlformats.org/officeDocument/2006/relationships/hyperlink" Target="https://techcombank.com/thong-tin/blog/ho-so-vay-tin-chap" TargetMode="External"/><Relationship Id="rId1405" Type="http://schemas.openxmlformats.org/officeDocument/2006/relationships/hyperlink" Target="https://techcombank.com/thong-tin/blog/cach-huy-the-tin-dung" TargetMode="External"/><Relationship Id="rId2736" Type="http://schemas.openxmlformats.org/officeDocument/2006/relationships/hyperlink" Target="https://techcombank.com/thong-tin/blog/thu-tuc-vay-ngan-hang-mua-nha" TargetMode="External"/><Relationship Id="rId1406" Type="http://schemas.openxmlformats.org/officeDocument/2006/relationships/hyperlink" Target="https://techcombank.com/thong-tin/blog/co-nen-dung-the-tin-dung-khong" TargetMode="External"/><Relationship Id="rId2737" Type="http://schemas.openxmlformats.org/officeDocument/2006/relationships/hyperlink" Target="https://techcombank.com/thong-tin/blog/thoi-han-vay-thau-chi" TargetMode="External"/><Relationship Id="rId1407" Type="http://schemas.openxmlformats.org/officeDocument/2006/relationships/hyperlink" Target="https://techcombank.com/thong-tin/blog/ma-buu-chinh-the-tin-dung" TargetMode="External"/><Relationship Id="rId2738" Type="http://schemas.openxmlformats.org/officeDocument/2006/relationships/hyperlink" Target="https://techcombank.com/thong-tin/blog/phi-vay-the-chap" TargetMode="External"/><Relationship Id="rId1408" Type="http://schemas.openxmlformats.org/officeDocument/2006/relationships/hyperlink" Target="https://techcombank.com/thong-tin/blog/loyalty-la-gi" TargetMode="External"/><Relationship Id="rId2739" Type="http://schemas.openxmlformats.org/officeDocument/2006/relationships/hyperlink" Target="https://techcombank.com/thong-tin/blog/the-chap-la-gi" TargetMode="External"/><Relationship Id="rId1409" Type="http://schemas.openxmlformats.org/officeDocument/2006/relationships/hyperlink" Target="https://techcombank.com/thong-tin/blog/vay-ngan-hang-1-ty-moi-thang-tra-bao-nhieu" TargetMode="External"/><Relationship Id="rId2730" Type="http://schemas.openxmlformats.org/officeDocument/2006/relationships/hyperlink" Target="https://techcombank.com/thong-tin/blog/vay-tin-chap-khong-tra-duoc-co-sao-khong" TargetMode="External"/><Relationship Id="rId1433" Type="http://schemas.openxmlformats.org/officeDocument/2006/relationships/hyperlink" Target="https://techcombank.com/thong-tin/blog/chung-chi-tien-gui-co-duoc-bao-hiem-khong" TargetMode="External"/><Relationship Id="rId2764" Type="http://schemas.openxmlformats.org/officeDocument/2006/relationships/hyperlink" Target="https://techcombank.com/thong-tin/blog/thu-tuc-vay-von-doanh-nghiep" TargetMode="External"/><Relationship Id="rId1434" Type="http://schemas.openxmlformats.org/officeDocument/2006/relationships/hyperlink" Target="https://techcombank.com/thong-tin/blog/quan-ly-tai-chinh-cho-dan-van-phong" TargetMode="External"/><Relationship Id="rId2765" Type="http://schemas.openxmlformats.org/officeDocument/2006/relationships/hyperlink" Target="https://techcombank.com/thong-tin/blog/ho-so-vay-von-cua-doanh-nghiep-gom-nhung-gi" TargetMode="External"/><Relationship Id="rId1435" Type="http://schemas.openxmlformats.org/officeDocument/2006/relationships/hyperlink" Target="https://techcombank.com/thong-tin/blog/co-nen-gui-tiet-kiem-ngan-hang" TargetMode="External"/><Relationship Id="rId2766" Type="http://schemas.openxmlformats.org/officeDocument/2006/relationships/hyperlink" Target="https://techcombank.com/thong-tin/blog/cho-vay-tung-lan" TargetMode="External"/><Relationship Id="rId1436" Type="http://schemas.openxmlformats.org/officeDocument/2006/relationships/hyperlink" Target="https://techcombank.com/thong-tin/blog/co-nen-gui-tiet-kiem-online" TargetMode="External"/><Relationship Id="rId2767" Type="http://schemas.openxmlformats.org/officeDocument/2006/relationships/hyperlink" Target="https://techcombank.com/thong-tin/blog/tin-dung-tieu-dung" TargetMode="External"/><Relationship Id="rId1437" Type="http://schemas.openxmlformats.org/officeDocument/2006/relationships/hyperlink" Target="https://techcombank.com/thong-tin/blog/gui-tiet-kiem-ngan-hang-van-la-lua-chon-an-toan-trong-thoi-ky-kinh-te-con-nhieu-bien-dong" TargetMode="External"/><Relationship Id="rId2768" Type="http://schemas.openxmlformats.org/officeDocument/2006/relationships/hyperlink" Target="https://techcombank.com/thong-tin/blog/tin-dung-doanh-nghiep" TargetMode="External"/><Relationship Id="rId1438" Type="http://schemas.openxmlformats.org/officeDocument/2006/relationships/hyperlink" Target="https://techcombank.com/thong-tin/blog/gui-tien-ngan-hang-co-an-toan-khong" TargetMode="External"/><Relationship Id="rId2769" Type="http://schemas.openxmlformats.org/officeDocument/2006/relationships/hyperlink" Target="https://techcombank.com/thong-tin/blog/cho-vay-hop-von-la-gi" TargetMode="External"/><Relationship Id="rId1439" Type="http://schemas.openxmlformats.org/officeDocument/2006/relationships/hyperlink" Target="https://techcombank.com/thong-tin/blog/dau-tu-trai-phieu-doanh-nghiep-dung-ham-lai-suat-cao" TargetMode="External"/><Relationship Id="rId609" Type="http://schemas.openxmlformats.org/officeDocument/2006/relationships/hyperlink" Target="https://techcombank.com/thong-tin/blog/remittance-la-gi" TargetMode="External"/><Relationship Id="rId608" Type="http://schemas.openxmlformats.org/officeDocument/2006/relationships/hyperlink" Target="https://techcombank.com/thong-tin/blog/luu-y-khi-chuyen-tien-vao-tai-khoan-cong-ty" TargetMode="External"/><Relationship Id="rId607" Type="http://schemas.openxmlformats.org/officeDocument/2006/relationships/hyperlink" Target="https://techcombank.com/thong-tin/blog/ma-qr-ngan-hang-khong-hop-le" TargetMode="External"/><Relationship Id="rId602" Type="http://schemas.openxmlformats.org/officeDocument/2006/relationships/hyperlink" Target="https://techcombank.com/thong-tin/blog/ma-giao-dich-la-gi" TargetMode="External"/><Relationship Id="rId601" Type="http://schemas.openxmlformats.org/officeDocument/2006/relationships/hyperlink" Target="https://techcombank.com/thong-tin/blog/cach-chuyen-tien" TargetMode="External"/><Relationship Id="rId600" Type="http://schemas.openxmlformats.org/officeDocument/2006/relationships/hyperlink" Target="https://techcombank.com/thong-tin/blog/ty-gia-la-gi" TargetMode="External"/><Relationship Id="rId606" Type="http://schemas.openxmlformats.org/officeDocument/2006/relationships/hyperlink" Target="https://techcombank.com/thong-tin/blog/loa-thong-bao-chuyen-khoan" TargetMode="External"/><Relationship Id="rId605" Type="http://schemas.openxmlformats.org/officeDocument/2006/relationships/hyperlink" Target="https://techcombank.com/thong-tin/blog/ho-kinh-doanh-can-gi-o-tai-khoan-ngan-hang" TargetMode="External"/><Relationship Id="rId604" Type="http://schemas.openxmlformats.org/officeDocument/2006/relationships/hyperlink" Target="https://techcombank.com/thong-tin/blog/ngan-hang-thu-huong-la-gi" TargetMode="External"/><Relationship Id="rId603" Type="http://schemas.openxmlformats.org/officeDocument/2006/relationships/hyperlink" Target="https://techcombank.com/thong-tin/blog/chuyen-nham-tien-co-lay-lai-duoc-khong" TargetMode="External"/><Relationship Id="rId2760" Type="http://schemas.openxmlformats.org/officeDocument/2006/relationships/hyperlink" Target="https://techcombank.com/thong-tin/blog/tien-gui-co-ky-han" TargetMode="External"/><Relationship Id="rId1430" Type="http://schemas.openxmlformats.org/officeDocument/2006/relationships/hyperlink" Target="https://techcombank.com/thong-tin/blog/gui-tiet-kiem-vang" TargetMode="External"/><Relationship Id="rId2761" Type="http://schemas.openxmlformats.org/officeDocument/2006/relationships/hyperlink" Target="https://techcombank.com/thong-tin/blog/vay-the-chap-khong-tra-duoc" TargetMode="External"/><Relationship Id="rId1431" Type="http://schemas.openxmlformats.org/officeDocument/2006/relationships/hyperlink" Target="https://techcombank.com/thong-tin/blog/nen-gui-tiet-kiem-thong-thuong-hay-tich-luy" TargetMode="External"/><Relationship Id="rId2762" Type="http://schemas.openxmlformats.org/officeDocument/2006/relationships/hyperlink" Target="https://techcombank.com/thong-tin/blog/vay-the-chap-qua-luong" TargetMode="External"/><Relationship Id="rId1432" Type="http://schemas.openxmlformats.org/officeDocument/2006/relationships/hyperlink" Target="https://techcombank.com/thong-tin/blog/tai-sao-gui-tiet-kiem-online-lai-suat-cao-hon" TargetMode="External"/><Relationship Id="rId2763" Type="http://schemas.openxmlformats.org/officeDocument/2006/relationships/hyperlink" Target="https://techcombank.com/thong-tin/blog/bao-lanh-vay-von" TargetMode="External"/><Relationship Id="rId1422" Type="http://schemas.openxmlformats.org/officeDocument/2006/relationships/hyperlink" Target="https://techcombank.com/thong-tin/blog/6-chiec-lo-tai-chinh-ca-nhan" TargetMode="External"/><Relationship Id="rId2753" Type="http://schemas.openxmlformats.org/officeDocument/2006/relationships/hyperlink" Target="https://techcombank.com/thong-tin/blog/cho-vay-tieu-dung-la-gi" TargetMode="External"/><Relationship Id="rId1423" Type="http://schemas.openxmlformats.org/officeDocument/2006/relationships/hyperlink" Target="https://techcombank.com/thong-tin/blog/lam-phat-la-gi" TargetMode="External"/><Relationship Id="rId2754" Type="http://schemas.openxmlformats.org/officeDocument/2006/relationships/hyperlink" Target="https://techcombank.com/thong-tin/blog/cic-la-gi" TargetMode="External"/><Relationship Id="rId1424" Type="http://schemas.openxmlformats.org/officeDocument/2006/relationships/hyperlink" Target="https://techcombank.com/thong-tin/blog/cac-chung-chi-quy-o-viet-nam" TargetMode="External"/><Relationship Id="rId2755" Type="http://schemas.openxmlformats.org/officeDocument/2006/relationships/hyperlink" Target="https://techcombank.com/thong-tin/blog/tieu-dung-ben-vung" TargetMode="External"/><Relationship Id="rId1425" Type="http://schemas.openxmlformats.org/officeDocument/2006/relationships/hyperlink" Target="https://techcombank.com/thong-tin/blog/the-napas-la-gi" TargetMode="External"/><Relationship Id="rId2756" Type="http://schemas.openxmlformats.org/officeDocument/2006/relationships/hyperlink" Target="https://techcombank.com/thong-tin/blog/app-vay-tien-nhanh" TargetMode="External"/><Relationship Id="rId1426" Type="http://schemas.openxmlformats.org/officeDocument/2006/relationships/hyperlink" Target="https://techcombank.com/thong-tin/blog/kinh-nghiem-gui-tiet-kiem-online" TargetMode="External"/><Relationship Id="rId2757" Type="http://schemas.openxmlformats.org/officeDocument/2006/relationships/hyperlink" Target="https://techcombank.com/thong-tin/blog/lai-suat-the-tin-dung" TargetMode="External"/><Relationship Id="rId1427" Type="http://schemas.openxmlformats.org/officeDocument/2006/relationships/hyperlink" Target="https://techcombank.com/thong-tin/blog/vay-the-chap-toi-da-duoc-bao-nhieu" TargetMode="External"/><Relationship Id="rId2758" Type="http://schemas.openxmlformats.org/officeDocument/2006/relationships/hyperlink" Target="https://techcombank.com/thong-tin/blog/cach-tinh-lai-suat-tien-gui-tiet-kiem" TargetMode="External"/><Relationship Id="rId1428" Type="http://schemas.openxmlformats.org/officeDocument/2006/relationships/hyperlink" Target="https://techcombank.com/thong-tin/blog/app-ngan-hang-uy-tin" TargetMode="External"/><Relationship Id="rId2759" Type="http://schemas.openxmlformats.org/officeDocument/2006/relationships/hyperlink" Target="https://techcombank.com/thong-tin/blog/gui-tiet-kiem-hang-thang" TargetMode="External"/><Relationship Id="rId1429" Type="http://schemas.openxmlformats.org/officeDocument/2006/relationships/hyperlink" Target="https://techcombank.com/thong-tin/blog/gui-tiet-kiem-hang-thang" TargetMode="External"/><Relationship Id="rId2750" Type="http://schemas.openxmlformats.org/officeDocument/2006/relationships/hyperlink" Target="https://techcombank.com/thong-tin/blog/vay-tin-chap-ho-kinh-doanh" TargetMode="External"/><Relationship Id="rId1420" Type="http://schemas.openxmlformats.org/officeDocument/2006/relationships/hyperlink" Target="https://techcombank.com/thong-tin/blog/dau-tu-tai-chinh-ca-nhan" TargetMode="External"/><Relationship Id="rId2751" Type="http://schemas.openxmlformats.org/officeDocument/2006/relationships/hyperlink" Target="https://techcombank.com/thong-tin/blog/no-chu-y-la-gi" TargetMode="External"/><Relationship Id="rId1421" Type="http://schemas.openxmlformats.org/officeDocument/2006/relationships/hyperlink" Target="https://techcombank.com/thong-tin/blog/mo-so-tiet-kiem-can-bao-nhieu-tien" TargetMode="External"/><Relationship Id="rId2752" Type="http://schemas.openxmlformats.org/officeDocument/2006/relationships/hyperlink" Target="https://techcombank.com/thong-tin/blog/no-xau-la-gi" TargetMode="External"/><Relationship Id="rId3238" Type="http://schemas.openxmlformats.org/officeDocument/2006/relationships/hyperlink" Target="https://techcombank.com/thong-tin/blog/thanh-toan-tra-gop-qua-the-tin-dung" TargetMode="External"/><Relationship Id="rId3237" Type="http://schemas.openxmlformats.org/officeDocument/2006/relationships/hyperlink" Target="https://techcombank.com/thong-tin/blog/cam-ket-tin-dung" TargetMode="External"/><Relationship Id="rId3239" Type="http://schemas.openxmlformats.org/officeDocument/2006/relationships/hyperlink" Target="https://techcombank.com/thong-tin/blog/no-chu-y-la-gi" TargetMode="External"/><Relationship Id="rId3230" Type="http://schemas.openxmlformats.org/officeDocument/2006/relationships/hyperlink" Target="https://techcombank.com/thong-tin/blog/vay-tien-mat" TargetMode="External"/><Relationship Id="rId3232" Type="http://schemas.openxmlformats.org/officeDocument/2006/relationships/hyperlink" Target="https://techcombank.com/thong-tin/blog/vay-mua-dien-thoai" TargetMode="External"/><Relationship Id="rId3231" Type="http://schemas.openxmlformats.org/officeDocument/2006/relationships/hyperlink" Target="https://techcombank.com/thong-tin/blog/no-xau-nhom-2" TargetMode="External"/><Relationship Id="rId3234" Type="http://schemas.openxmlformats.org/officeDocument/2006/relationships/hyperlink" Target="https://techcombank.com/thong-tin/blog/no-xau-mo-the-tin-dung-duoc-khong" TargetMode="External"/><Relationship Id="rId3233" Type="http://schemas.openxmlformats.org/officeDocument/2006/relationships/hyperlink" Target="https://techcombank.com/thong-tin/blog/vay-ngan-han" TargetMode="External"/><Relationship Id="rId3236" Type="http://schemas.openxmlformats.org/officeDocument/2006/relationships/hyperlink" Target="https://techcombank.com/thong-tin/blog/no-xau-nhom-2" TargetMode="External"/><Relationship Id="rId3235" Type="http://schemas.openxmlformats.org/officeDocument/2006/relationships/hyperlink" Target="https://techcombank.com/thong-tin/blog/vay-tin-chap-no-xau" TargetMode="External"/><Relationship Id="rId3227" Type="http://schemas.openxmlformats.org/officeDocument/2006/relationships/hyperlink" Target="https://techcombank.com/thong-tin/blog/cac-hinh-thuc-cho-vay-tieu-dung" TargetMode="External"/><Relationship Id="rId3226" Type="http://schemas.openxmlformats.org/officeDocument/2006/relationships/hyperlink" Target="https://techcombank.com/thong-tin/blog/vay-tin-chap-theo-luong" TargetMode="External"/><Relationship Id="rId3229" Type="http://schemas.openxmlformats.org/officeDocument/2006/relationships/hyperlink" Target="https://techcombank.com/thong-tin/blog/vay-mua-nha-tra-gop" TargetMode="External"/><Relationship Id="rId3228" Type="http://schemas.openxmlformats.org/officeDocument/2006/relationships/hyperlink" Target="https://techcombank.com/thong-tin/blog/kinh-nghiem-vay-tien-mua-nha" TargetMode="External"/><Relationship Id="rId699" Type="http://schemas.openxmlformats.org/officeDocument/2006/relationships/hyperlink" Target="https://techcombank.com/thong-tin/blog/cach-su-dung-the-visa-techcombank" TargetMode="External"/><Relationship Id="rId698" Type="http://schemas.openxmlformats.org/officeDocument/2006/relationships/hyperlink" Target="https://techcombank.com/thong-tin/blog/the-ghi-no-visa-la-gi" TargetMode="External"/><Relationship Id="rId693" Type="http://schemas.openxmlformats.org/officeDocument/2006/relationships/hyperlink" Target="https://techcombank.com/thong-tin/blog/tai-khoan-ngan-hang-con-0-dong-co-sao-khong" TargetMode="External"/><Relationship Id="rId692" Type="http://schemas.openxmlformats.org/officeDocument/2006/relationships/hyperlink" Target="https://techcombank.com/thong-tin/blog/cach-nap-tien-vao-the-ghi-no" TargetMode="External"/><Relationship Id="rId691" Type="http://schemas.openxmlformats.org/officeDocument/2006/relationships/hyperlink" Target="https://techcombank.com/thong-tin/blog/cdm" TargetMode="External"/><Relationship Id="rId3221" Type="http://schemas.openxmlformats.org/officeDocument/2006/relationships/hyperlink" Target="https://techcombank.com/thong-tin/blog/vay-mua-xe-tra-gop-ngan-hang-nao-tot-nhat" TargetMode="External"/><Relationship Id="rId690" Type="http://schemas.openxmlformats.org/officeDocument/2006/relationships/hyperlink" Target="https://techcombank.com/thong-tin/blog/nap-tien-vao-tai-khoan-ngan-hang" TargetMode="External"/><Relationship Id="rId3220" Type="http://schemas.openxmlformats.org/officeDocument/2006/relationships/hyperlink" Target="https://techcombank.com/thong-tin/blog/lai-suat-vay-the-chap" TargetMode="External"/><Relationship Id="rId697" Type="http://schemas.openxmlformats.org/officeDocument/2006/relationships/hyperlink" Target="https://techcombank.com/thong-tin/blog/tin-chap-doanh-nghiep" TargetMode="External"/><Relationship Id="rId3223" Type="http://schemas.openxmlformats.org/officeDocument/2006/relationships/hyperlink" Target="https://techcombank.com/thong-tin/blog/vay-the-chap-hop-dong-mua-ban-can-ho" TargetMode="External"/><Relationship Id="rId696" Type="http://schemas.openxmlformats.org/officeDocument/2006/relationships/hyperlink" Target="https://techcombank.com/thong-tin/blog/gui-tiet-kiem-tich-luy-la-gi" TargetMode="External"/><Relationship Id="rId3222" Type="http://schemas.openxmlformats.org/officeDocument/2006/relationships/hyperlink" Target="https://techcombank.com/thong-tin/blog/vay-100-trieu" TargetMode="External"/><Relationship Id="rId695" Type="http://schemas.openxmlformats.org/officeDocument/2006/relationships/hyperlink" Target="https://techcombank.com/thong-tin/blog/cong-ty-su-dung-tai-khoan-ca-nhan" TargetMode="External"/><Relationship Id="rId3225" Type="http://schemas.openxmlformats.org/officeDocument/2006/relationships/hyperlink" Target="https://techcombank.com/thong-tin/blog/kinh-nghiem-vay-tien-ngan-hang-xay-nha" TargetMode="External"/><Relationship Id="rId694" Type="http://schemas.openxmlformats.org/officeDocument/2006/relationships/hyperlink" Target="https://techcombank.com/thong-tin/blog/nop-tien-mat-vao-tai-khoan-cong-ty" TargetMode="External"/><Relationship Id="rId3224" Type="http://schemas.openxmlformats.org/officeDocument/2006/relationships/hyperlink" Target="https://techcombank.com/thong-tin/blog/giai-ngan-vay-the-chap" TargetMode="External"/><Relationship Id="rId3259" Type="http://schemas.openxmlformats.org/officeDocument/2006/relationships/hyperlink" Target="https://techcombank.com/thong-tin/blog/tra-gop-hoc-phi" TargetMode="External"/><Relationship Id="rId3250" Type="http://schemas.openxmlformats.org/officeDocument/2006/relationships/hyperlink" Target="https://techcombank.com/thong-tin/blog/the-ghi-no-co-rut-tien-duoc-khong" TargetMode="External"/><Relationship Id="rId3252" Type="http://schemas.openxmlformats.org/officeDocument/2006/relationships/hyperlink" Target="https://techcombank.com/thong-tin/blog/du-no-tin-dung-la-gi" TargetMode="External"/><Relationship Id="rId3251" Type="http://schemas.openxmlformats.org/officeDocument/2006/relationships/hyperlink" Target="https://techcombank.com/thong-tin/blog/co-nen-dung-the-tin-dung-khong" TargetMode="External"/><Relationship Id="rId3254" Type="http://schemas.openxmlformats.org/officeDocument/2006/relationships/hyperlink" Target="https://techcombank.com/thong-tin/blog/vay-ngan-hang-1-ty-moi-thang-tra-bao-nhieu" TargetMode="External"/><Relationship Id="rId3253" Type="http://schemas.openxmlformats.org/officeDocument/2006/relationships/hyperlink" Target="https://techcombank.com/thong-tin/blog/thue-thuong-mai-dien-tu" TargetMode="External"/><Relationship Id="rId3256" Type="http://schemas.openxmlformats.org/officeDocument/2006/relationships/hyperlink" Target="https://techcombank.com/thong-tin/blog/cach-tinh-thue-ho-kinh-doanh-nho-le" TargetMode="External"/><Relationship Id="rId3255" Type="http://schemas.openxmlformats.org/officeDocument/2006/relationships/hyperlink" Target="https://techcombank.com/thong-tin/blog/nhung-ho-kinh-doanh-duoc-mien-thue" TargetMode="External"/><Relationship Id="rId3258" Type="http://schemas.openxmlformats.org/officeDocument/2006/relationships/hyperlink" Target="https://techcombank.com/thong-tin/blog/ho-kinh-doanh-ca-the" TargetMode="External"/><Relationship Id="rId3257" Type="http://schemas.openxmlformats.org/officeDocument/2006/relationships/hyperlink" Target="https://techcombank.com/thong-tin/blog/thue-ho-kinh-doanh-2025" TargetMode="External"/><Relationship Id="rId3249" Type="http://schemas.openxmlformats.org/officeDocument/2006/relationships/hyperlink" Target="https://techcombank.com/thong-tin/blog/cach-thanh-toan-the-tin-dung" TargetMode="External"/><Relationship Id="rId3248" Type="http://schemas.openxmlformats.org/officeDocument/2006/relationships/hyperlink" Target="https://techcombank.com/thong-tin/blog/nen-de-tien-trong-the-hay-gui-tiet-kiem" TargetMode="External"/><Relationship Id="rId3241" Type="http://schemas.openxmlformats.org/officeDocument/2006/relationships/hyperlink" Target="https://techcombank.com/thong-tin/blog/no-xau" TargetMode="External"/><Relationship Id="rId3240" Type="http://schemas.openxmlformats.org/officeDocument/2006/relationships/hyperlink" Target="https://techcombank.com/thong-tin/blog/kiem-tra-thue-thu-nhap-ca-nhan" TargetMode="External"/><Relationship Id="rId3243" Type="http://schemas.openxmlformats.org/officeDocument/2006/relationships/hyperlink" Target="https://techcombank.com/thong-tin/blog/thanh-toan-toi-thieu-the-tin-dung" TargetMode="External"/><Relationship Id="rId3242" Type="http://schemas.openxmlformats.org/officeDocument/2006/relationships/hyperlink" Target="https://techcombank.com/thong-tin/blog/no-xau-la-gi" TargetMode="External"/><Relationship Id="rId3245" Type="http://schemas.openxmlformats.org/officeDocument/2006/relationships/hyperlink" Target="https://techcombank.com/thong-tin/blog/no-nhom-3" TargetMode="External"/><Relationship Id="rId3244" Type="http://schemas.openxmlformats.org/officeDocument/2006/relationships/hyperlink" Target="https://techcombank.com/thong-tin/blog/cach-huy-the-tin-dung" TargetMode="External"/><Relationship Id="rId3247" Type="http://schemas.openxmlformats.org/officeDocument/2006/relationships/hyperlink" Target="https://techcombank.com/thong-tin/blog/the-tin-dung-phu-la-gi" TargetMode="External"/><Relationship Id="rId3246" Type="http://schemas.openxmlformats.org/officeDocument/2006/relationships/hyperlink" Target="https://techcombank.com/thong-tin/blog/cic-la-gi" TargetMode="External"/><Relationship Id="rId1499" Type="http://schemas.openxmlformats.org/officeDocument/2006/relationships/hyperlink" Target="https://techcombank.com/thong-tin/blog/gui-tien-du-hoc" TargetMode="External"/><Relationship Id="rId668" Type="http://schemas.openxmlformats.org/officeDocument/2006/relationships/hyperlink" Target="https://techcombank.com/thong-tin/blog/cach-quet-nfc-cccd-tren-iphone" TargetMode="External"/><Relationship Id="rId667" Type="http://schemas.openxmlformats.org/officeDocument/2006/relationships/hyperlink" Target="https://techcombank.com/thong-tin/blog/xac-thuc-sinh-trac-hoc-khi-chuyen-tien" TargetMode="External"/><Relationship Id="rId666" Type="http://schemas.openxmlformats.org/officeDocument/2006/relationships/hyperlink" Target="https://techcombank.com/thong-tin/blog/cach-bao-ve-tai-khoan" TargetMode="External"/><Relationship Id="rId665" Type="http://schemas.openxmlformats.org/officeDocument/2006/relationships/hyperlink" Target="https://techcombank.com/thong-tin/blog/mo-tai-khoan-ngan-hang-online-co-an-toan-khong" TargetMode="External"/><Relationship Id="rId669" Type="http://schemas.openxmlformats.org/officeDocument/2006/relationships/hyperlink" Target="https://techcombank.com/thong-tin/blog/ngan-hang-so-cho-doanh-nghiep" TargetMode="External"/><Relationship Id="rId1490" Type="http://schemas.openxmlformats.org/officeDocument/2006/relationships/hyperlink" Target="https://techcombank.com/thong-tin/blog/ty-gia-la-gi" TargetMode="External"/><Relationship Id="rId660" Type="http://schemas.openxmlformats.org/officeDocument/2006/relationships/hyperlink" Target="https://techcombank.com/thong-tin/blog/tai-khoan-ngan-hang-con-0-dong-co-sao-khong" TargetMode="External"/><Relationship Id="rId1491" Type="http://schemas.openxmlformats.org/officeDocument/2006/relationships/hyperlink" Target="https://techcombank.com/thong-tin/blog/1-dong-do-la-my-bang-bao-nhieu-tien-viet-nam" TargetMode="External"/><Relationship Id="rId1492" Type="http://schemas.openxmlformats.org/officeDocument/2006/relationships/hyperlink" Target="https://techcombank.com/thong-tin/blog/doi-tien-do-o-dau" TargetMode="External"/><Relationship Id="rId1493" Type="http://schemas.openxmlformats.org/officeDocument/2006/relationships/hyperlink" Target="https://techcombank.com/thong-tin/blog/tien-singapore" TargetMode="External"/><Relationship Id="rId1494" Type="http://schemas.openxmlformats.org/officeDocument/2006/relationships/hyperlink" Target="https://techcombank.com/thong-tin/blog/1000-yen-bang-bao-nhieu-tien-viet" TargetMode="External"/><Relationship Id="rId664" Type="http://schemas.openxmlformats.org/officeDocument/2006/relationships/hyperlink" Target="https://techcombank.com/thong-tin/blog/ma-otp-la-gi" TargetMode="External"/><Relationship Id="rId1495" Type="http://schemas.openxmlformats.org/officeDocument/2006/relationships/hyperlink" Target="https://techcombank.com/thong-tin/blog/100-riel-bang-bao-nhieu-tien-viet-nam" TargetMode="External"/><Relationship Id="rId663" Type="http://schemas.openxmlformats.org/officeDocument/2006/relationships/hyperlink" Target="https://techcombank.com/thong-tin/blog/quy-gia-dinh" TargetMode="External"/><Relationship Id="rId1496" Type="http://schemas.openxmlformats.org/officeDocument/2006/relationships/hyperlink" Target="https://techcombank.com/thong-tin/blog/tien-indonesia" TargetMode="External"/><Relationship Id="rId662" Type="http://schemas.openxmlformats.org/officeDocument/2006/relationships/hyperlink" Target="https://techcombank.com/thong-tin/blog/mo-tai-khoan-ngan-hang-bang-so-dien-thoai" TargetMode="External"/><Relationship Id="rId1497" Type="http://schemas.openxmlformats.org/officeDocument/2006/relationships/hyperlink" Target="https://techcombank.com/thong-tin/blog/1-won-bang-bao-nhieu-tien-viet" TargetMode="External"/><Relationship Id="rId661" Type="http://schemas.openxmlformats.org/officeDocument/2006/relationships/hyperlink" Target="https://techcombank.com/thong-tin/blog/the-debit-cho-con" TargetMode="External"/><Relationship Id="rId1498" Type="http://schemas.openxmlformats.org/officeDocument/2006/relationships/hyperlink" Target="https://techcombank.com/thong-tin/blog/1-do-uc-bang-bao-nhieu-tien-viet" TargetMode="External"/><Relationship Id="rId1488" Type="http://schemas.openxmlformats.org/officeDocument/2006/relationships/hyperlink" Target="https://techcombank.com/thong-tin/blog/tien-dai-loan" TargetMode="External"/><Relationship Id="rId1489" Type="http://schemas.openxmlformats.org/officeDocument/2006/relationships/hyperlink" Target="https://techcombank.com/thong-tin/blog/ty-gia-cac-ngan-hang" TargetMode="External"/><Relationship Id="rId657" Type="http://schemas.openxmlformats.org/officeDocument/2006/relationships/hyperlink" Target="https://techcombank.com/thong-tin/blog/vay-thau-chi-bang-so-tiet-kiem" TargetMode="External"/><Relationship Id="rId656" Type="http://schemas.openxmlformats.org/officeDocument/2006/relationships/hyperlink" Target="https://techcombank.com/thong-tin/blog/lam-the-thanh-toan-quoc-te" TargetMode="External"/><Relationship Id="rId655" Type="http://schemas.openxmlformats.org/officeDocument/2006/relationships/hyperlink" Target="https://techcombank.com/thong-tin/blog/the-debit-cho-con" TargetMode="External"/><Relationship Id="rId654" Type="http://schemas.openxmlformats.org/officeDocument/2006/relationships/hyperlink" Target="https://techcombank.com/thong-tin/blog/ty-le-khach-hang-su-dung-chu-ky-so-trong-linh-vuc-ngan-hang-dang-o-muc-5" TargetMode="External"/><Relationship Id="rId659" Type="http://schemas.openxmlformats.org/officeDocument/2006/relationships/hyperlink" Target="https://techcombank.com/thong-tin/blog/cach-chuyen-tien" TargetMode="External"/><Relationship Id="rId658" Type="http://schemas.openxmlformats.org/officeDocument/2006/relationships/hyperlink" Target="https://techcombank.com/thong-tin/blog/thanh-toan-hoc-phi-online" TargetMode="External"/><Relationship Id="rId1480" Type="http://schemas.openxmlformats.org/officeDocument/2006/relationships/hyperlink" Target="https://techcombank.com/thong-tin/blog/di-du-lich-nuoc-ngoai-can-chuan-bi-gi" TargetMode="External"/><Relationship Id="rId1481" Type="http://schemas.openxmlformats.org/officeDocument/2006/relationships/hyperlink" Target="https://techcombank.com/thong-tin/blog/quy-dinh-ve-mua-ban-ngoai-te-cua-doanh-nghiep" TargetMode="External"/><Relationship Id="rId1482" Type="http://schemas.openxmlformats.org/officeDocument/2006/relationships/hyperlink" Target="https://techcombank.com/thong-tin/blog/chuyen-tien-tu-duc-ve-viet-nam" TargetMode="External"/><Relationship Id="rId1483" Type="http://schemas.openxmlformats.org/officeDocument/2006/relationships/hyperlink" Target="https://techcombank.com/thong-tin/blog/cach-nhan-tien-tu-nuoc-ngoai-ve-viet-nam" TargetMode="External"/><Relationship Id="rId653" Type="http://schemas.openxmlformats.org/officeDocument/2006/relationships/hyperlink" Target="https://techcombank.com/thong-tin/blog/lam-the-visa-online" TargetMode="External"/><Relationship Id="rId1484" Type="http://schemas.openxmlformats.org/officeDocument/2006/relationships/hyperlink" Target="https://techcombank.com/thong-tin/blog/ngoai-hoi-la-gi" TargetMode="External"/><Relationship Id="rId652" Type="http://schemas.openxmlformats.org/officeDocument/2006/relationships/hyperlink" Target="https://techcombank.com/thong-tin/blog/kinh-nghiem-gui-tiet-kiem-online" TargetMode="External"/><Relationship Id="rId1485" Type="http://schemas.openxmlformats.org/officeDocument/2006/relationships/hyperlink" Target="https://techcombank.com/thong-tin/blog/phi-chuyen-doi-ngoai-te" TargetMode="External"/><Relationship Id="rId651" Type="http://schemas.openxmlformats.org/officeDocument/2006/relationships/hyperlink" Target="https://techcombank.com/thong-tin/blog/mo-tai-khoan-ho-kinh-doanh" TargetMode="External"/><Relationship Id="rId1486" Type="http://schemas.openxmlformats.org/officeDocument/2006/relationships/hyperlink" Target="https://techcombank.com/thong-tin/blog/chuyen-tien-tu-nhat-ve-viet-nam" TargetMode="External"/><Relationship Id="rId650" Type="http://schemas.openxmlformats.org/officeDocument/2006/relationships/hyperlink" Target="https://techcombank.com/thong-tin/blog/shopeepay-la-gi" TargetMode="External"/><Relationship Id="rId1487" Type="http://schemas.openxmlformats.org/officeDocument/2006/relationships/hyperlink" Target="https://techcombank.com/thong-tin/blog/1000-won-bang-bao-nhieu-tien-viet" TargetMode="External"/><Relationship Id="rId3216" Type="http://schemas.openxmlformats.org/officeDocument/2006/relationships/hyperlink" Target="https://techcombank.com/thong-tin/blog/vay-300-trieu" TargetMode="External"/><Relationship Id="rId3215" Type="http://schemas.openxmlformats.org/officeDocument/2006/relationships/hyperlink" Target="https://techcombank.com/thong-tin/blog/vay-200-trieu" TargetMode="External"/><Relationship Id="rId3218" Type="http://schemas.openxmlformats.org/officeDocument/2006/relationships/hyperlink" Target="https://techcombank.com/thong-tin/blog/kiem-tra-no-xau" TargetMode="External"/><Relationship Id="rId3217" Type="http://schemas.openxmlformats.org/officeDocument/2006/relationships/hyperlink" Target="https://techcombank.com/thong-tin/blog/nen-vay-tin-chap-o-dau" TargetMode="External"/><Relationship Id="rId3219" Type="http://schemas.openxmlformats.org/officeDocument/2006/relationships/hyperlink" Target="https://techcombank.com/thong-tin/blog/thu-tuc-mua-xe-tra-gop" TargetMode="External"/><Relationship Id="rId689" Type="http://schemas.openxmlformats.org/officeDocument/2006/relationships/hyperlink" Target="https://techcombank.com/thong-tin/blog/thanh-toan-khong-tien-mat-trong-nganh-giao-duc-co-hoi-va-thach-thuc" TargetMode="External"/><Relationship Id="rId688" Type="http://schemas.openxmlformats.org/officeDocument/2006/relationships/hyperlink" Target="https://techcombank.com/thong-tin/blog/ngan-hang-thu-huong-la-gi" TargetMode="External"/><Relationship Id="rId687" Type="http://schemas.openxmlformats.org/officeDocument/2006/relationships/hyperlink" Target="https://techcombank.com/thong-tin/blog/mobile-banking-la-gi" TargetMode="External"/><Relationship Id="rId682" Type="http://schemas.openxmlformats.org/officeDocument/2006/relationships/hyperlink" Target="https://techcombank.com/thong-tin/blog/so-tai-khoan-dep" TargetMode="External"/><Relationship Id="rId681" Type="http://schemas.openxmlformats.org/officeDocument/2006/relationships/hyperlink" Target="https://techcombank.com/thong-tin/blog/tai-khoan-ngan-hang-con-0-dong-co-sao-khong" TargetMode="External"/><Relationship Id="rId680" Type="http://schemas.openxmlformats.org/officeDocument/2006/relationships/hyperlink" Target="https://techcombank.com/thong-tin/blog/8868" TargetMode="External"/><Relationship Id="rId3210" Type="http://schemas.openxmlformats.org/officeDocument/2006/relationships/hyperlink" Target="https://techcombank.com/thong-tin/blog/vay-tin-chap-va-vay-the-chap" TargetMode="External"/><Relationship Id="rId686" Type="http://schemas.openxmlformats.org/officeDocument/2006/relationships/hyperlink" Target="https://techcombank.com/thong-tin/blog/viet-kieu-co-mo-duoc-tai-khoan-ngan-hang-khong" TargetMode="External"/><Relationship Id="rId3212" Type="http://schemas.openxmlformats.org/officeDocument/2006/relationships/hyperlink" Target="https://techcombank.com/thong-tin/blog/mua-nha-tra-gop-dua-truoc-100-trieu" TargetMode="External"/><Relationship Id="rId685" Type="http://schemas.openxmlformats.org/officeDocument/2006/relationships/hyperlink" Target="https://techcombank.com/thong-tin/blog/shopeepay-la-gi" TargetMode="External"/><Relationship Id="rId3211" Type="http://schemas.openxmlformats.org/officeDocument/2006/relationships/hyperlink" Target="https://techcombank.com/thong-tin/blog/co-100-trieu-co-mua-nen-mua-tra-gop" TargetMode="External"/><Relationship Id="rId684" Type="http://schemas.openxmlformats.org/officeDocument/2006/relationships/hyperlink" Target="https://techcombank.com/thong-tin/blog/mo-tai-khoan-ngan-hang-trung-so-dien-thoai" TargetMode="External"/><Relationship Id="rId3214" Type="http://schemas.openxmlformats.org/officeDocument/2006/relationships/hyperlink" Target="https://techcombank.com/thong-tin/blog/vay-30-trieu" TargetMode="External"/><Relationship Id="rId683" Type="http://schemas.openxmlformats.org/officeDocument/2006/relationships/hyperlink" Target="https://techcombank.com/thong-tin/blog/the-ghi-no-co-chuyen-khoan-duoc-khong" TargetMode="External"/><Relationship Id="rId3213" Type="http://schemas.openxmlformats.org/officeDocument/2006/relationships/hyperlink" Target="https://techcombank.com/thong-tin/blog/vay-tra-gop" TargetMode="External"/><Relationship Id="rId3205" Type="http://schemas.openxmlformats.org/officeDocument/2006/relationships/hyperlink" Target="https://techcombank.com/thong-tin/blog/vay-tin-chap-toi-da-duoc-bao-nhieu" TargetMode="External"/><Relationship Id="rId3204" Type="http://schemas.openxmlformats.org/officeDocument/2006/relationships/hyperlink" Target="https://techcombank.com/thong-tin/blog/vay-the-chap-toi-da-duoc-bao-nhieu" TargetMode="External"/><Relationship Id="rId3207" Type="http://schemas.openxmlformats.org/officeDocument/2006/relationships/hyperlink" Target="https://techcombank.com/thong-tin/blog/vay-von-doanh-nghiep-nho" TargetMode="External"/><Relationship Id="rId3206" Type="http://schemas.openxmlformats.org/officeDocument/2006/relationships/hyperlink" Target="https://techcombank.com/thong-tin/blog/cho-vay-kinh-doanh-ho-gia-dinh" TargetMode="External"/><Relationship Id="rId3209" Type="http://schemas.openxmlformats.org/officeDocument/2006/relationships/hyperlink" Target="https://techcombank.com/thong-tin/blog/lai-suat-vay-tin-chap" TargetMode="External"/><Relationship Id="rId3208" Type="http://schemas.openxmlformats.org/officeDocument/2006/relationships/hyperlink" Target="https://techcombank.com/thong-tin/blog/han-muc-vay-the-chap-so-do" TargetMode="External"/><Relationship Id="rId679" Type="http://schemas.openxmlformats.org/officeDocument/2006/relationships/hyperlink" Target="https://techcombank.com/thong-tin/blog/bao-nhieu-tuoi-duoc-mo-tai-khoan-ngan-hang" TargetMode="External"/><Relationship Id="rId678" Type="http://schemas.openxmlformats.org/officeDocument/2006/relationships/hyperlink" Target="https://techcombank.com/thong-tin/blog/cach-chuyen-tien" TargetMode="External"/><Relationship Id="rId677" Type="http://schemas.openxmlformats.org/officeDocument/2006/relationships/hyperlink" Target="https://techcombank.com/thong-tin/blog/dang-ky-nhieu-tai-khoan-ngan-hang-co-sao-khong" TargetMode="External"/><Relationship Id="rId676" Type="http://schemas.openxmlformats.org/officeDocument/2006/relationships/hyperlink" Target="https://techcombank.com/thong-tin/blog/cach-chon-so-tai-khoan-dep" TargetMode="External"/><Relationship Id="rId671" Type="http://schemas.openxmlformats.org/officeDocument/2006/relationships/hyperlink" Target="https://techcombank.com/thong-tin/blog/mo-tai-khoan-ngan-hang-cho-tre-em" TargetMode="External"/><Relationship Id="rId670" Type="http://schemas.openxmlformats.org/officeDocument/2006/relationships/hyperlink" Target="https://techcombank.com/thong-tin/blog/mo-tai-khoan-ho-kinh-doanh" TargetMode="External"/><Relationship Id="rId675" Type="http://schemas.openxmlformats.org/officeDocument/2006/relationships/hyperlink" Target="https://techcombank.com/thong-tin/blog/thanh-toan-hoc-phi-online" TargetMode="External"/><Relationship Id="rId3201" Type="http://schemas.openxmlformats.org/officeDocument/2006/relationships/hyperlink" Target="https://techcombank.com/thong-tin/blog/lai-suat-vay-the-chap-so-do" TargetMode="External"/><Relationship Id="rId674" Type="http://schemas.openxmlformats.org/officeDocument/2006/relationships/hyperlink" Target="https://techcombank.com/thong-tin/blog/so-tai-khoan-ngan-hang" TargetMode="External"/><Relationship Id="rId3200" Type="http://schemas.openxmlformats.org/officeDocument/2006/relationships/hyperlink" Target="https://techcombank.com/thong-tin/blog/vay-mua-nha-o-xa-hoi" TargetMode="External"/><Relationship Id="rId673" Type="http://schemas.openxmlformats.org/officeDocument/2006/relationships/hyperlink" Target="https://techcombank.com/thong-tin/blog/hoc-sinh-sinh-vien-nen-lam-the-ngan-hang-nao" TargetMode="External"/><Relationship Id="rId3203" Type="http://schemas.openxmlformats.org/officeDocument/2006/relationships/hyperlink" Target="https://techcombank.com/thong-tin/blog/vay-the-chap-kinh-doanh" TargetMode="External"/><Relationship Id="rId672" Type="http://schemas.openxmlformats.org/officeDocument/2006/relationships/hyperlink" Target="https://techcombank.com/thong-tin/blog/nap-xu-tiktok" TargetMode="External"/><Relationship Id="rId3202" Type="http://schemas.openxmlformats.org/officeDocument/2006/relationships/hyperlink" Target="https://techcombank.com/thong-tin/blog/vay-the-chap-so-hong" TargetMode="External"/><Relationship Id="rId190" Type="http://schemas.openxmlformats.org/officeDocument/2006/relationships/hyperlink" Target="https://techcombank.com/thong-tin/blog/wacc-la-gi" TargetMode="External"/><Relationship Id="rId194" Type="http://schemas.openxmlformats.org/officeDocument/2006/relationships/hyperlink" Target="https://techcombank.com/thong-tin/blog/giai-dap-ve-thue-doanh-nghiep" TargetMode="External"/><Relationship Id="rId193" Type="http://schemas.openxmlformats.org/officeDocument/2006/relationships/hyperlink" Target="https://techcombank.com/thong-tin/blog/cach-tinh-thue-thu-nhap-doanh-nghiep" TargetMode="External"/><Relationship Id="rId192" Type="http://schemas.openxmlformats.org/officeDocument/2006/relationships/hyperlink" Target="https://techcombank.com/thong-tin/blog/khau-hao" TargetMode="External"/><Relationship Id="rId191" Type="http://schemas.openxmlformats.org/officeDocument/2006/relationships/hyperlink" Target="https://techcombank.com/thong-tin/blog/cach-su-dung-tai-khoan-cong-ty" TargetMode="External"/><Relationship Id="rId187" Type="http://schemas.openxmlformats.org/officeDocument/2006/relationships/hyperlink" Target="https://techcombank.com/thong-tin/blog/ebitda-la-gi" TargetMode="External"/><Relationship Id="rId186" Type="http://schemas.openxmlformats.org/officeDocument/2006/relationships/hyperlink" Target="https://techcombank.com/thong-tin/blog/tra-luong-tien-mat" TargetMode="External"/><Relationship Id="rId185" Type="http://schemas.openxmlformats.org/officeDocument/2006/relationships/hyperlink" Target="https://techcombank.com/thong-tin/blog/hoan-thue-doanh-nghiep" TargetMode="External"/><Relationship Id="rId184" Type="http://schemas.openxmlformats.org/officeDocument/2006/relationships/hyperlink" Target="https://techcombank.com/thong-tin/blog/loi-nhuan" TargetMode="External"/><Relationship Id="rId189" Type="http://schemas.openxmlformats.org/officeDocument/2006/relationships/hyperlink" Target="https://techcombank.com/thong-tin/blog/tiem-nang-chuyen-doi-tu-ho-kinh-doanh-len-doanh-nghiep-sme" TargetMode="External"/><Relationship Id="rId188" Type="http://schemas.openxmlformats.org/officeDocument/2006/relationships/hyperlink" Target="https://techcombank.com/thong-tin/blog/luu-y-khi-chuyen-doi-tu-ho-kinh-doanh-len-doanh-nghiep" TargetMode="External"/><Relationship Id="rId183" Type="http://schemas.openxmlformats.org/officeDocument/2006/relationships/hyperlink" Target="https://techcombank.com/thong-tin/blog/doanh-nghiep-moi-thanh-lap-duoc-uu-dai-gi" TargetMode="External"/><Relationship Id="rId182" Type="http://schemas.openxmlformats.org/officeDocument/2006/relationships/hyperlink" Target="https://techcombank.com/thong-tin/blog/quyet-toan-thue-doanh-nghiep" TargetMode="External"/><Relationship Id="rId181" Type="http://schemas.openxmlformats.org/officeDocument/2006/relationships/hyperlink" Target="https://techcombank.com/thong-tin/blog/nhung-chi-phi-khong-duoc-tru-khi-tinh-thue-tndn" TargetMode="External"/><Relationship Id="rId180" Type="http://schemas.openxmlformats.org/officeDocument/2006/relationships/hyperlink" Target="https://techcombank.com/thong-tin/blog/khoi-nghiep-truoc-chinh-sach-thue-moi" TargetMode="External"/><Relationship Id="rId176" Type="http://schemas.openxmlformats.org/officeDocument/2006/relationships/hyperlink" Target="https://techcombank.com/thong-tin/blog/phat-cham-dang-ky-thue-ho-kinh-doanh" TargetMode="External"/><Relationship Id="rId175" Type="http://schemas.openxmlformats.org/officeDocument/2006/relationships/hyperlink" Target="https://techcombank.com/thong-tin/blog/doanh-nghiep-moi-thanh-lap-duoc-uu-dai-gi" TargetMode="External"/><Relationship Id="rId174" Type="http://schemas.openxmlformats.org/officeDocument/2006/relationships/hyperlink" Target="https://techcombank.com/thong-tin/blog/thue-khoan-ho-kinh-doanh-la-gi" TargetMode="External"/><Relationship Id="rId173" Type="http://schemas.openxmlformats.org/officeDocument/2006/relationships/hyperlink" Target="https://techcombank.com/thong-tin/blog/dang-ky-ma-so-thue-ca-nhan" TargetMode="External"/><Relationship Id="rId179" Type="http://schemas.openxmlformats.org/officeDocument/2006/relationships/hyperlink" Target="https://techcombank.com/thong-tin/blog/thue-doanh-nghiep-2025" TargetMode="External"/><Relationship Id="rId178" Type="http://schemas.openxmlformats.org/officeDocument/2006/relationships/hyperlink" Target="https://techcombank.com/thong-tin/blog/nhung-ho-kinh-doanh-duoc-mien-thue" TargetMode="External"/><Relationship Id="rId177" Type="http://schemas.openxmlformats.org/officeDocument/2006/relationships/hyperlink" Target="https://techcombank.com/thong-tin/blog/thu-tuc-thanh-lap-doanh-nghiep" TargetMode="External"/><Relationship Id="rId198" Type="http://schemas.openxmlformats.org/officeDocument/2006/relationships/hyperlink" Target="https://techcombank.com/thong-tin/blog/tim-hieu-ve-chinh-sach-thue-moi" TargetMode="External"/><Relationship Id="rId197" Type="http://schemas.openxmlformats.org/officeDocument/2006/relationships/hyperlink" Target="https://techcombank.com/thong-tin/blog/thue-doanh-nghiep" TargetMode="External"/><Relationship Id="rId196" Type="http://schemas.openxmlformats.org/officeDocument/2006/relationships/hyperlink" Target="https://techcombank.com/thong-tin/blog/kiem-tra-ma-so-thue-doanh-nghiep" TargetMode="External"/><Relationship Id="rId195" Type="http://schemas.openxmlformats.org/officeDocument/2006/relationships/hyperlink" Target="https://techcombank.com/thong-tin/blog/loi-nhuan-rong" TargetMode="External"/><Relationship Id="rId199" Type="http://schemas.openxmlformats.org/officeDocument/2006/relationships/hyperlink" Target="https://techcombank.com/thong-tin/blog/ke-khai-thue-doanh-nghiep" TargetMode="External"/><Relationship Id="rId150" Type="http://schemas.openxmlformats.org/officeDocument/2006/relationships/hyperlink" Target="https://techcombank.com/thong-tin/blog/thue-thu-nhap-ca-nhan" TargetMode="External"/><Relationship Id="rId149" Type="http://schemas.openxmlformats.org/officeDocument/2006/relationships/hyperlink" Target="https://techcombank.com/thong-tin/blog/cach-tinh-thue-thu-nhap-ca-nhan-2025" TargetMode="External"/><Relationship Id="rId148" Type="http://schemas.openxmlformats.org/officeDocument/2006/relationships/hyperlink" Target="https://techcombank.com/thong-tin/blog/tien-chuyen-vao-tai-khoan-co-bi-tinh-thue-khong" TargetMode="External"/><Relationship Id="rId3270" Type="http://schemas.openxmlformats.org/officeDocument/2006/relationships/hyperlink" Target="https://techcombank.com/thong-tin/blog/bao-hiem-suc-khoe-la-gi" TargetMode="External"/><Relationship Id="rId3272" Type="http://schemas.openxmlformats.org/officeDocument/2006/relationships/hyperlink" Target="https://techcombank.com/thong-tin/blog/mua-chung-chi-quy" TargetMode="External"/><Relationship Id="rId3271" Type="http://schemas.openxmlformats.org/officeDocument/2006/relationships/hyperlink" Target="https://techcombank.com/thong-tin/blog/uu-dai-the-tin-dung-techcombank-signature" TargetMode="External"/><Relationship Id="rId143" Type="http://schemas.openxmlformats.org/officeDocument/2006/relationships/hyperlink" Target="https://techcombank.com/thong-tin/blog/ho-kinh-doanh-dong-thue-nhu-nao" TargetMode="External"/><Relationship Id="rId3274" Type="http://schemas.openxmlformats.org/officeDocument/2006/relationships/hyperlink" Target="https://techcombank.com/thong-tin/blog/tin-chap-doanh-nghiep" TargetMode="External"/><Relationship Id="rId142" Type="http://schemas.openxmlformats.org/officeDocument/2006/relationships/hyperlink" Target="https://techcombank.com/thong-tin/blog/thue-thuong-mai-dien-tu" TargetMode="External"/><Relationship Id="rId3273" Type="http://schemas.openxmlformats.org/officeDocument/2006/relationships/hyperlink" Target="https://techcombank.com/thong-tin/blog/lam-the-tin-dung" TargetMode="External"/><Relationship Id="rId141" Type="http://schemas.openxmlformats.org/officeDocument/2006/relationships/hyperlink" Target="https://techcombank.com/thong-tin/blog/tra-cuu-no-thue-ca-nhan" TargetMode="External"/><Relationship Id="rId3276" Type="http://schemas.openxmlformats.org/officeDocument/2006/relationships/hyperlink" Target="https://techcombank.com/thong-tin/blog/vay-the-chap-qua-luong" TargetMode="External"/><Relationship Id="rId140" Type="http://schemas.openxmlformats.org/officeDocument/2006/relationships/hyperlink" Target="https://techcombank.com/thong-tin/blog/kiem-tra-thue-ho-kinh-doanh" TargetMode="External"/><Relationship Id="rId3275" Type="http://schemas.openxmlformats.org/officeDocument/2006/relationships/hyperlink" Target="https://techcombank.com/thong-tin/blog/vay-von-doanh-nghiep-khong-the-chap" TargetMode="External"/><Relationship Id="rId147" Type="http://schemas.openxmlformats.org/officeDocument/2006/relationships/hyperlink" Target="https://techcombank.com/thong-tin/blog/tra-cuu-no-thue-doanh-nghiep" TargetMode="External"/><Relationship Id="rId3278" Type="http://schemas.openxmlformats.org/officeDocument/2006/relationships/hyperlink" Target="https://techcombank.com/thong-tin/blog/lam-the-visa-o-dau" TargetMode="External"/><Relationship Id="rId146" Type="http://schemas.openxmlformats.org/officeDocument/2006/relationships/hyperlink" Target="https://techcombank.com/thong-tin/blog/ke-khai-thue-doanh-nghiep" TargetMode="External"/><Relationship Id="rId3277" Type="http://schemas.openxmlformats.org/officeDocument/2006/relationships/hyperlink" Target="https://techcombank.com/thong-tin/blog/vay-ngan-hang-chi-can-cccd" TargetMode="External"/><Relationship Id="rId145" Type="http://schemas.openxmlformats.org/officeDocument/2006/relationships/hyperlink" Target="https://techcombank.com/thong-tin/blog/quyet-toan-thue-doanh-nghiep" TargetMode="External"/><Relationship Id="rId144" Type="http://schemas.openxmlformats.org/officeDocument/2006/relationships/hyperlink" Target="https://techcombank.com/thong-tin/blog/thue-thu-nhap-doanh-nghiep" TargetMode="External"/><Relationship Id="rId3279" Type="http://schemas.openxmlformats.org/officeDocument/2006/relationships/hyperlink" Target="https://techcombank.com/thong-tin/blog/vay-the-chap-la-gi" TargetMode="External"/><Relationship Id="rId139" Type="http://schemas.openxmlformats.org/officeDocument/2006/relationships/hyperlink" Target="https://techcombank.com/thong-tin/blog/truy-thu-thue-ho-kinh-doanh" TargetMode="External"/><Relationship Id="rId138" Type="http://schemas.openxmlformats.org/officeDocument/2006/relationships/hyperlink" Target="https://techcombank.com/thong-tin/blog/tra-cuu-no-thue-ho-kinh-doanh" TargetMode="External"/><Relationship Id="rId137" Type="http://schemas.openxmlformats.org/officeDocument/2006/relationships/hyperlink" Target="https://techcombank.com/thong-tin/blog/tra-cuu-no-thue-hai-quan" TargetMode="External"/><Relationship Id="rId3261" Type="http://schemas.openxmlformats.org/officeDocument/2006/relationships/hyperlink" Target="https://techcombank.com/thong-tin/blog/tra-cuu-no-thue-ca-nhan" TargetMode="External"/><Relationship Id="rId3260" Type="http://schemas.openxmlformats.org/officeDocument/2006/relationships/hyperlink" Target="https://techcombank.com/thong-tin/blog/lap-ke-hoach-chi-tieu-ca-nhan" TargetMode="External"/><Relationship Id="rId132" Type="http://schemas.openxmlformats.org/officeDocument/2006/relationships/hyperlink" Target="https://techcombank.com/thong-tin/blog/quyet-toan-thue-thu-nhap-ca-nhan" TargetMode="External"/><Relationship Id="rId3263" Type="http://schemas.openxmlformats.org/officeDocument/2006/relationships/hyperlink" Target="https://techcombank.com/thong-tin/blog/cach-su-dung-the-ghi-no" TargetMode="External"/><Relationship Id="rId131" Type="http://schemas.openxmlformats.org/officeDocument/2006/relationships/hyperlink" Target="https://techcombank.com/thong-tin/blog/lien-ket-tai-khoan-ngan-hang-voi-etax-mobile" TargetMode="External"/><Relationship Id="rId3262" Type="http://schemas.openxmlformats.org/officeDocument/2006/relationships/hyperlink" Target="https://techcombank.com/thong-tin/blog/kiem-tra-thue-ho-kinh-doanh" TargetMode="External"/><Relationship Id="rId130" Type="http://schemas.openxmlformats.org/officeDocument/2006/relationships/hyperlink" Target="https://techcombank.com/thong-tin/blog/bao-lanh-thuc-hien-hop-dong" TargetMode="External"/><Relationship Id="rId3265" Type="http://schemas.openxmlformats.org/officeDocument/2006/relationships/hyperlink" Target="https://techcombank.com/thong-tin/blog/lai-suat-vay-tin-chap" TargetMode="External"/><Relationship Id="rId3264" Type="http://schemas.openxmlformats.org/officeDocument/2006/relationships/hyperlink" Target="https://techcombank.com/thong-tin/blog/vay-tin-chap-toi-da-duoc-bao-nhieu" TargetMode="External"/><Relationship Id="rId136" Type="http://schemas.openxmlformats.org/officeDocument/2006/relationships/hyperlink" Target="https://techcombank.com/thong-tin/blog/hoan-thue-doanh-nghiep" TargetMode="External"/><Relationship Id="rId3267" Type="http://schemas.openxmlformats.org/officeDocument/2006/relationships/hyperlink" Target="https://techcombank.com/thong-tin/blog/dao-han-la-gi" TargetMode="External"/><Relationship Id="rId135" Type="http://schemas.openxmlformats.org/officeDocument/2006/relationships/hyperlink" Target="https://techcombank.com/thong-tin/blog/nop-thue-hai-quan" TargetMode="External"/><Relationship Id="rId3266" Type="http://schemas.openxmlformats.org/officeDocument/2006/relationships/hyperlink" Target="https://techcombank.com/thong-tin/blog/vay-the-chap-so-hong" TargetMode="External"/><Relationship Id="rId134" Type="http://schemas.openxmlformats.org/officeDocument/2006/relationships/hyperlink" Target="https://techcombank.com/thong-tin/blog/hoan-thue-thu-nhap-ca-nhan" TargetMode="External"/><Relationship Id="rId3269" Type="http://schemas.openxmlformats.org/officeDocument/2006/relationships/hyperlink" Target="https://techcombank.com/thong-tin/blog/vay-tin-chap-ho-kinh-doanh" TargetMode="External"/><Relationship Id="rId133" Type="http://schemas.openxmlformats.org/officeDocument/2006/relationships/hyperlink" Target="https://techcombank.com/thong-tin/blog/ke-khai-thue-ho-kinh-doanh-ca-the-online" TargetMode="External"/><Relationship Id="rId3268" Type="http://schemas.openxmlformats.org/officeDocument/2006/relationships/hyperlink" Target="https://techcombank.com/thong-tin/blog/han-muc-vay-the-chap-so-do" TargetMode="External"/><Relationship Id="rId172" Type="http://schemas.openxmlformats.org/officeDocument/2006/relationships/hyperlink" Target="https://techcombank.com/thong-tin/blog/luat-thuong-mai-dien-tu" TargetMode="External"/><Relationship Id="rId171" Type="http://schemas.openxmlformats.org/officeDocument/2006/relationships/hyperlink" Target="https://techcombank.com/thong-tin/blog/dang-ky-thue-ho-kinh-doanh-ca-the-online" TargetMode="External"/><Relationship Id="rId170" Type="http://schemas.openxmlformats.org/officeDocument/2006/relationships/hyperlink" Target="https://techcombank.com/thong-tin/blog/khai-bao-tai-khoan-ngan-hang-voi-co-quan-thue" TargetMode="External"/><Relationship Id="rId3290" Type="http://schemas.openxmlformats.org/officeDocument/2006/relationships/hyperlink" Target="https://techcombank.com/thong-tin/blog/app-vay-tien-nhanh" TargetMode="External"/><Relationship Id="rId3292" Type="http://schemas.openxmlformats.org/officeDocument/2006/relationships/hyperlink" Target="https://techcombank.com/thong-tin/blog/vay-20-trieu" TargetMode="External"/><Relationship Id="rId3291" Type="http://schemas.openxmlformats.org/officeDocument/2006/relationships/hyperlink" Target="https://techcombank.com/thong-tin/blog/vay-tra-gop" TargetMode="External"/><Relationship Id="rId3294" Type="http://schemas.openxmlformats.org/officeDocument/2006/relationships/hyperlink" Target="https://techcombank.com/thong-tin/blog/no-nhom-3" TargetMode="External"/><Relationship Id="rId3293" Type="http://schemas.openxmlformats.org/officeDocument/2006/relationships/hyperlink" Target="https://techcombank.com/thong-tin/blog/kinh-nghiem-vay-tien-mua-nha" TargetMode="External"/><Relationship Id="rId165" Type="http://schemas.openxmlformats.org/officeDocument/2006/relationships/hyperlink" Target="https://techcombank.com/thong-tin/blog/kiem-tra-ma-so-thue-doanh-nghiep" TargetMode="External"/><Relationship Id="rId3296" Type="http://schemas.openxmlformats.org/officeDocument/2006/relationships/hyperlink" Target="https://techcombank.com/thong-tin/blog/du-no-tin-dung-la-gi" TargetMode="External"/><Relationship Id="rId164" Type="http://schemas.openxmlformats.org/officeDocument/2006/relationships/hyperlink" Target="https://techcombank.com/thong-tin/blog/cach-dang-ky-ma-so-thue-ho-kinh-doanh-online" TargetMode="External"/><Relationship Id="rId3295" Type="http://schemas.openxmlformats.org/officeDocument/2006/relationships/hyperlink" Target="https://techcombank.com/thong-tin/blog/co-nen-dung-the-tin-dung-khong" TargetMode="External"/><Relationship Id="rId163" Type="http://schemas.openxmlformats.org/officeDocument/2006/relationships/hyperlink" Target="https://techcombank.com/thong-tin/blog/cac-sai-lam-pho-bien-khi-chuyen-doi-ho-kinh-doanh-len-sme" TargetMode="External"/><Relationship Id="rId3298" Type="http://schemas.openxmlformats.org/officeDocument/2006/relationships/hyperlink" Target="https://techcombank.com/thong-tin/blog/no-xau" TargetMode="External"/><Relationship Id="rId162" Type="http://schemas.openxmlformats.org/officeDocument/2006/relationships/hyperlink" Target="https://techcombank.com/thong-tin/blog/one-stop-shop" TargetMode="External"/><Relationship Id="rId3297" Type="http://schemas.openxmlformats.org/officeDocument/2006/relationships/hyperlink" Target="https://techcombank.com/thong-tin/blog/no-the-tin-dung-qua-han" TargetMode="External"/><Relationship Id="rId169" Type="http://schemas.openxmlformats.org/officeDocument/2006/relationships/hyperlink" Target="https://techcombank.com/thong-tin/blog/top-phan-mem-ban-hang" TargetMode="External"/><Relationship Id="rId168" Type="http://schemas.openxmlformats.org/officeDocument/2006/relationships/hyperlink" Target="https://techcombank.com/thong-tin/blog/kinh-nghiem-chuyen-doi-tu-ho-kinh-doanh-len-doanh-nghiep" TargetMode="External"/><Relationship Id="rId3299" Type="http://schemas.openxmlformats.org/officeDocument/2006/relationships/hyperlink" Target="https://techcombank.com/thong-tin/blog/lam-the-tin-dung" TargetMode="External"/><Relationship Id="rId167" Type="http://schemas.openxmlformats.org/officeDocument/2006/relationships/hyperlink" Target="https://techcombank.com/thong-tin/blog/cong-ty-su-dung-tai-khoan-ca-nhan" TargetMode="External"/><Relationship Id="rId166" Type="http://schemas.openxmlformats.org/officeDocument/2006/relationships/hyperlink" Target="https://techcombank.com/thong-tin/blog/tra-cuu-ma-so-thue-ho-kinh-doanh" TargetMode="External"/><Relationship Id="rId161" Type="http://schemas.openxmlformats.org/officeDocument/2006/relationships/hyperlink" Target="https://techcombank.com/thong-tin/blog/hoa-don-dien-tu" TargetMode="External"/><Relationship Id="rId160" Type="http://schemas.openxmlformats.org/officeDocument/2006/relationships/hyperlink" Target="https://techcombank.com/thong-tin/blog/nhung-chi-phi-khong-duoc-tru-khi-tinh-thue-tndn" TargetMode="External"/><Relationship Id="rId159" Type="http://schemas.openxmlformats.org/officeDocument/2006/relationships/hyperlink" Target="https://techcombank.com/thong-tin/blog/ho-kinh-doanh-ca-the" TargetMode="External"/><Relationship Id="rId3281" Type="http://schemas.openxmlformats.org/officeDocument/2006/relationships/hyperlink" Target="https://techcombank.com/thong-tin/blog/kinh-nghiem-vay-the-chap-ngan-hang" TargetMode="External"/><Relationship Id="rId3280" Type="http://schemas.openxmlformats.org/officeDocument/2006/relationships/hyperlink" Target="https://techcombank.com/thong-tin/blog/vay-sinh-vien" TargetMode="External"/><Relationship Id="rId3283" Type="http://schemas.openxmlformats.org/officeDocument/2006/relationships/hyperlink" Target="https://techcombank.com/thong-tin/blog/vay-the-chap-khong-chung-minh-thu-nhap" TargetMode="External"/><Relationship Id="rId3282" Type="http://schemas.openxmlformats.org/officeDocument/2006/relationships/hyperlink" Target="https://techcombank.com/thong-tin/blog/vay-von-doanh-nghiep-nho" TargetMode="External"/><Relationship Id="rId154" Type="http://schemas.openxmlformats.org/officeDocument/2006/relationships/hyperlink" Target="https://techcombank.com/thong-tin/blog/chuyen-doi-ho-kinh-doanh-len-doanh-nghiep" TargetMode="External"/><Relationship Id="rId3285" Type="http://schemas.openxmlformats.org/officeDocument/2006/relationships/hyperlink" Target="https://techcombank.com/thong-tin/blog/mo-them-tai-khoan-ngan-hang-cho-cong-ty" TargetMode="External"/><Relationship Id="rId153" Type="http://schemas.openxmlformats.org/officeDocument/2006/relationships/hyperlink" Target="https://techcombank.com/thong-tin/blog/tim-hieu-ve-chinh-sach-thue-moi" TargetMode="External"/><Relationship Id="rId3284" Type="http://schemas.openxmlformats.org/officeDocument/2006/relationships/hyperlink" Target="https://techcombank.com/thong-tin/blog/the-tin-dung-la-gi" TargetMode="External"/><Relationship Id="rId152" Type="http://schemas.openxmlformats.org/officeDocument/2006/relationships/hyperlink" Target="https://techcombank.com/thong-tin/blog/nop-thue-dat-qua-ngan-hang" TargetMode="External"/><Relationship Id="rId3287" Type="http://schemas.openxmlformats.org/officeDocument/2006/relationships/hyperlink" Target="https://techcombank.com/thong-tin/blog/quy-trinh-cho-vay-tieu-dung" TargetMode="External"/><Relationship Id="rId151" Type="http://schemas.openxmlformats.org/officeDocument/2006/relationships/hyperlink" Target="https://techcombank.com/thong-tin/blog/kinh-doanh-online" TargetMode="External"/><Relationship Id="rId3286" Type="http://schemas.openxmlformats.org/officeDocument/2006/relationships/hyperlink" Target="https://techcombank.com/thong-tin/blog/dang-vay-tra-gop-co-vay-them-duoc-khong" TargetMode="External"/><Relationship Id="rId158" Type="http://schemas.openxmlformats.org/officeDocument/2006/relationships/hyperlink" Target="https://techcombank.com/thong-tin/blog/thue-phi-co-dinh-khi-chuyen-doi-tu-ho-kinh-doanh-len-doanh-nghiep" TargetMode="External"/><Relationship Id="rId3289" Type="http://schemas.openxmlformats.org/officeDocument/2006/relationships/hyperlink" Target="https://techcombank.com/thong-tin/blog/cac-hinh-thuc-cho-vay-tieu-dung" TargetMode="External"/><Relationship Id="rId157" Type="http://schemas.openxmlformats.org/officeDocument/2006/relationships/hyperlink" Target="https://techcombank.com/thong-tin/blog/dong-ma-so-thue-ho-kinh-doanh" TargetMode="External"/><Relationship Id="rId3288" Type="http://schemas.openxmlformats.org/officeDocument/2006/relationships/hyperlink" Target="https://techcombank.com/thong-tin/blog/vay-tin-chap-khong-tra-duoc-co-sao-khong" TargetMode="External"/><Relationship Id="rId156" Type="http://schemas.openxmlformats.org/officeDocument/2006/relationships/hyperlink" Target="https://techcombank.com/thong-tin/blog/giai-dap-ve-thue-doanh-nghiep" TargetMode="External"/><Relationship Id="rId155" Type="http://schemas.openxmlformats.org/officeDocument/2006/relationships/hyperlink" Target="https://techcombank.com/thong-tin/blog/nen-thanh-lap-ho-kinh-doanh-ke-khai-hay-doanh-nghiep" TargetMode="External"/><Relationship Id="rId2820" Type="http://schemas.openxmlformats.org/officeDocument/2006/relationships/hyperlink" Target="https://techcombank.com/thong-tin/blog/lai-suat-vay-the-chap-so-do" TargetMode="External"/><Relationship Id="rId2821" Type="http://schemas.openxmlformats.org/officeDocument/2006/relationships/hyperlink" Target="https://techcombank.com/thong-tin/blog/gui-tiet-kiem-lay-lai-hang-thang" TargetMode="External"/><Relationship Id="rId2822" Type="http://schemas.openxmlformats.org/officeDocument/2006/relationships/hyperlink" Target="https://techcombank.com/thong-tin/blog/rui-ro-khi-gui-tiet-kiem-online" TargetMode="External"/><Relationship Id="rId2823" Type="http://schemas.openxmlformats.org/officeDocument/2006/relationships/hyperlink" Target="https://techcombank.com/thong-tin/blog/the-ghi-no-visa-la-gi" TargetMode="External"/><Relationship Id="rId2824" Type="http://schemas.openxmlformats.org/officeDocument/2006/relationships/hyperlink" Target="https://techcombank.com/thong-tin/blog/cach-tinh-lai-suat-tien-gui-tiet-kiem" TargetMode="External"/><Relationship Id="rId2825" Type="http://schemas.openxmlformats.org/officeDocument/2006/relationships/hyperlink" Target="https://techcombank.com/thong-tin/blog/lai-suat-tha-noi" TargetMode="External"/><Relationship Id="rId2826" Type="http://schemas.openxmlformats.org/officeDocument/2006/relationships/hyperlink" Target="https://techcombank.com/thong-tin/blog/loyalty-la-gi" TargetMode="External"/><Relationship Id="rId2827" Type="http://schemas.openxmlformats.org/officeDocument/2006/relationships/hyperlink" Target="https://techcombank.com/thong-tin/blog/chon-kenh-dau-tu-an-toan-trong-boi-canh-thi-truong-bien-dong" TargetMode="External"/><Relationship Id="rId2828" Type="http://schemas.openxmlformats.org/officeDocument/2006/relationships/hyperlink" Target="https://techcombank.com/thong-tin/blog/gui-tiet-kiem-ngoai-te" TargetMode="External"/><Relationship Id="rId2829" Type="http://schemas.openxmlformats.org/officeDocument/2006/relationships/hyperlink" Target="https://techcombank.com/thong-tin/blog/ngan-hang-so-cho-doanh-nghiep" TargetMode="External"/><Relationship Id="rId2810" Type="http://schemas.openxmlformats.org/officeDocument/2006/relationships/hyperlink" Target="https://techcombank.com/thong-tin/blog/lai-suat-tiet-kiem" TargetMode="External"/><Relationship Id="rId2811" Type="http://schemas.openxmlformats.org/officeDocument/2006/relationships/hyperlink" Target="https://techcombank.com/thong-tin/blog/co-nen-gui-tiet-kiem-online" TargetMode="External"/><Relationship Id="rId2812" Type="http://schemas.openxmlformats.org/officeDocument/2006/relationships/hyperlink" Target="https://techcombank.com/thong-tin/blog/cac-chung-chi-quy-o-viet-nam" TargetMode="External"/><Relationship Id="rId2813" Type="http://schemas.openxmlformats.org/officeDocument/2006/relationships/hyperlink" Target="https://techcombank.com/thong-tin/blog/cach-gui-tiet-kiem-online" TargetMode="External"/><Relationship Id="rId2814" Type="http://schemas.openxmlformats.org/officeDocument/2006/relationships/hyperlink" Target="https://techcombank.com/thong-tin/blog/gui-tien-ngan-hang-co-an-toan-khong" TargetMode="External"/><Relationship Id="rId2815" Type="http://schemas.openxmlformats.org/officeDocument/2006/relationships/hyperlink" Target="https://techcombank.com/thong-tin/blog/dau-tu-trai-phieu-doanh-nghiep-dung-ham-lai-suat-cao" TargetMode="External"/><Relationship Id="rId2816" Type="http://schemas.openxmlformats.org/officeDocument/2006/relationships/hyperlink" Target="https://techcombank.com/thong-tin/blog/nen-gui-tiet-kiem-6-thang-hay-1-nam" TargetMode="External"/><Relationship Id="rId2817" Type="http://schemas.openxmlformats.org/officeDocument/2006/relationships/hyperlink" Target="https://techcombank.com/thong-tin/blog/mo-tai-khoan-tiet-kiem-cho-con" TargetMode="External"/><Relationship Id="rId2818" Type="http://schemas.openxmlformats.org/officeDocument/2006/relationships/hyperlink" Target="https://techcombank.com/thong-tin/blog/so-du-tien-gui-la-gi" TargetMode="External"/><Relationship Id="rId2819" Type="http://schemas.openxmlformats.org/officeDocument/2006/relationships/hyperlink" Target="https://techcombank.com/thong-tin/blog/quy-gia-dinh" TargetMode="External"/><Relationship Id="rId1510" Type="http://schemas.openxmlformats.org/officeDocument/2006/relationships/hyperlink" Target="https://techcombank.com/thong-tin/blog/han-muc-mua-ngoai-te-khi-di-du-lich" TargetMode="External"/><Relationship Id="rId2841" Type="http://schemas.openxmlformats.org/officeDocument/2006/relationships/hyperlink" Target="https://techcombank.com/thong-tin/blog/gui-tiet-kiem-online-quay-vong-ca-goc-va-lai" TargetMode="External"/><Relationship Id="rId1511" Type="http://schemas.openxmlformats.org/officeDocument/2006/relationships/hyperlink" Target="https://techcombank.com/thong-tin/blog/gui-tiet-kiem-usd" TargetMode="External"/><Relationship Id="rId2842" Type="http://schemas.openxmlformats.org/officeDocument/2006/relationships/hyperlink" Target="https://techcombank.com/thong-tin/blog/chung-chi-tien-gui-khac-gi-so-tiet-kiem" TargetMode="External"/><Relationship Id="rId1512" Type="http://schemas.openxmlformats.org/officeDocument/2006/relationships/hyperlink" Target="https://techcombank.com/thong-tin/blog/chuyen-tien-di-uc" TargetMode="External"/><Relationship Id="rId2843" Type="http://schemas.openxmlformats.org/officeDocument/2006/relationships/hyperlink" Target="https://techcombank.com/thong-tin/blog/mo-tai-khoan-ho-kinh-doanh" TargetMode="External"/><Relationship Id="rId1513" Type="http://schemas.openxmlformats.org/officeDocument/2006/relationships/hyperlink" Target="https://techcombank.com/thong-tin/blog/1-trieu-do-bang-bao-nhieu-tien-viet" TargetMode="External"/><Relationship Id="rId2844" Type="http://schemas.openxmlformats.org/officeDocument/2006/relationships/hyperlink" Target="https://techcombank.com/thong-tin/blog/so-sanh-gui-tiet-kiem-online-va-tai-quay" TargetMode="External"/><Relationship Id="rId1514" Type="http://schemas.openxmlformats.org/officeDocument/2006/relationships/hyperlink" Target="https://techcombank.com/thong-tin/blog/tien-singapore" TargetMode="External"/><Relationship Id="rId2845" Type="http://schemas.openxmlformats.org/officeDocument/2006/relationships/hyperlink" Target="https://techcombank.com/thong-tin/blog/chung-chi-tien-gui-co-phai-la-trai-phieu-khong" TargetMode="External"/><Relationship Id="rId1515" Type="http://schemas.openxmlformats.org/officeDocument/2006/relationships/hyperlink" Target="https://techcombank.com/thong-tin/blog/1-do-uc-bang-bao-nhieu-tien-viet" TargetMode="External"/><Relationship Id="rId2846" Type="http://schemas.openxmlformats.org/officeDocument/2006/relationships/hyperlink" Target="https://techcombank.com/thong-tin/blog/cach-tiet-kiem-tien-sinh-loi" TargetMode="External"/><Relationship Id="rId1516" Type="http://schemas.openxmlformats.org/officeDocument/2006/relationships/hyperlink" Target="https://techcombank.com/thong-tin/blog/1-te-bang-bao-nhieu-tien-viet-nam" TargetMode="External"/><Relationship Id="rId2847" Type="http://schemas.openxmlformats.org/officeDocument/2006/relationships/hyperlink" Target="https://techcombank.com/thong-tin/blog/thanh-toan-tra-gop-qua-the-tin-dung" TargetMode="External"/><Relationship Id="rId1517" Type="http://schemas.openxmlformats.org/officeDocument/2006/relationships/hyperlink" Target="https://techcombank.com/thong-tin/blog/tien-trung-quoc" TargetMode="External"/><Relationship Id="rId2848" Type="http://schemas.openxmlformats.org/officeDocument/2006/relationships/hyperlink" Target="https://techcombank.com/thong-tin/blog/nen-lam-the-visa-hay-noi-dia" TargetMode="External"/><Relationship Id="rId1518" Type="http://schemas.openxmlformats.org/officeDocument/2006/relationships/hyperlink" Target="https://techcombank.com/thong-tin/blog/1000-won-bang-bao-nhieu-tien-viet" TargetMode="External"/><Relationship Id="rId2849" Type="http://schemas.openxmlformats.org/officeDocument/2006/relationships/hyperlink" Target="https://techcombank.com/thong-tin/blog/tien-nhan-roi-nen-lam-gi" TargetMode="External"/><Relationship Id="rId1519" Type="http://schemas.openxmlformats.org/officeDocument/2006/relationships/hyperlink" Target="https://techcombank.com/thong-tin/blog/1000-yen-bang-bao-nhieu-tien-viet" TargetMode="External"/><Relationship Id="rId2840" Type="http://schemas.openxmlformats.org/officeDocument/2006/relationships/hyperlink" Target="https://techcombank.com/thong-tin/blog/gui-tiet-kiem-online-co-rut-truoc-han-duoc-khong" TargetMode="External"/><Relationship Id="rId2830" Type="http://schemas.openxmlformats.org/officeDocument/2006/relationships/hyperlink" Target="https://techcombank.com/thong-tin/blog/rui-ro-khi-gui-tiet-kiem-ngan-hang" TargetMode="External"/><Relationship Id="rId1500" Type="http://schemas.openxmlformats.org/officeDocument/2006/relationships/hyperlink" Target="https://techcombank.com/thong-tin/blog/1-cent-bang-bao-nhieu-tien-viet" TargetMode="External"/><Relationship Id="rId2831" Type="http://schemas.openxmlformats.org/officeDocument/2006/relationships/hyperlink" Target="https://techcombank.com/thong-tin/blog/gui-tiet-kiem-hang-thang" TargetMode="External"/><Relationship Id="rId1501" Type="http://schemas.openxmlformats.org/officeDocument/2006/relationships/hyperlink" Target="https://techcombank.com/thong-tin/blog/xu-huong-ty-gia-usd" TargetMode="External"/><Relationship Id="rId2832" Type="http://schemas.openxmlformats.org/officeDocument/2006/relationships/hyperlink" Target="https://techcombank.com/thong-tin/blog/cach-tiet-kiem-tien" TargetMode="External"/><Relationship Id="rId1502" Type="http://schemas.openxmlformats.org/officeDocument/2006/relationships/hyperlink" Target="https://techcombank.com/thong-tin/blog/dieu-kien-mua-usd-tu-ngan-hang" TargetMode="External"/><Relationship Id="rId2833" Type="http://schemas.openxmlformats.org/officeDocument/2006/relationships/hyperlink" Target="https://techcombank.com/thong-tin/blog/giai-ngan-la-gi" TargetMode="External"/><Relationship Id="rId1503" Type="http://schemas.openxmlformats.org/officeDocument/2006/relationships/hyperlink" Target="https://techcombank.com/thong-tin/blog/1-cent-bang-bao-nhieu-tien-viet" TargetMode="External"/><Relationship Id="rId2834" Type="http://schemas.openxmlformats.org/officeDocument/2006/relationships/hyperlink" Target="https://techcombank.com/thong-tin/blog/vay-the-chap-so-hong" TargetMode="External"/><Relationship Id="rId1504" Type="http://schemas.openxmlformats.org/officeDocument/2006/relationships/hyperlink" Target="https://techcombank.com/thong-tin/blog/lai-suat-gui-tiet-kiem-usd" TargetMode="External"/><Relationship Id="rId2835" Type="http://schemas.openxmlformats.org/officeDocument/2006/relationships/hyperlink" Target="https://techcombank.com/thong-tin/blog/cach-tinh-lai-vay-ngan-hang" TargetMode="External"/><Relationship Id="rId1505" Type="http://schemas.openxmlformats.org/officeDocument/2006/relationships/hyperlink" Target="https://techcombank.com/thong-tin/blog/chuyen-tien-tu-my-ve-viet-nam" TargetMode="External"/><Relationship Id="rId2836" Type="http://schemas.openxmlformats.org/officeDocument/2006/relationships/hyperlink" Target="https://techcombank.com/thong-tin/blog/gui-tiet-kiem-online-bi-mat-tien" TargetMode="External"/><Relationship Id="rId1506" Type="http://schemas.openxmlformats.org/officeDocument/2006/relationships/hyperlink" Target="https://techcombank.com/thong-tin/blog/du-bao-gia-vang" TargetMode="External"/><Relationship Id="rId2837" Type="http://schemas.openxmlformats.org/officeDocument/2006/relationships/hyperlink" Target="https://techcombank.com/thong-tin/blog/kinh-nghiem-gui-tiet-kiem-online" TargetMode="External"/><Relationship Id="rId1507" Type="http://schemas.openxmlformats.org/officeDocument/2006/relationships/hyperlink" Target="https://techcombank.com/thong-tin/blog/vang-14k-gia-hom-nay" TargetMode="External"/><Relationship Id="rId2838" Type="http://schemas.openxmlformats.org/officeDocument/2006/relationships/hyperlink" Target="https://techcombank.com/thong-tin/blog/vay-thau-chi-bang-so-tiet-kiem" TargetMode="External"/><Relationship Id="rId1508" Type="http://schemas.openxmlformats.org/officeDocument/2006/relationships/hyperlink" Target="https://techcombank.com/thong-tin/blog/cach-tinh-gia-vang" TargetMode="External"/><Relationship Id="rId2839" Type="http://schemas.openxmlformats.org/officeDocument/2006/relationships/hyperlink" Target="https://techcombank.com/thong-tin/blog/vay-du-hoc" TargetMode="External"/><Relationship Id="rId1509" Type="http://schemas.openxmlformats.org/officeDocument/2006/relationships/hyperlink" Target="https://techcombank.com/thong-tin/blog/gia-vang-16k-hom-nay" TargetMode="External"/><Relationship Id="rId2800" Type="http://schemas.openxmlformats.org/officeDocument/2006/relationships/hyperlink" Target="https://techcombank.com/thong-tin/blog/gui-tiet-kiem-theo-ngay" TargetMode="External"/><Relationship Id="rId2801" Type="http://schemas.openxmlformats.org/officeDocument/2006/relationships/hyperlink" Target="https://techcombank.com/thong-tin/blog/gui-tiet-kiem-vang" TargetMode="External"/><Relationship Id="rId2802" Type="http://schemas.openxmlformats.org/officeDocument/2006/relationships/hyperlink" Target="https://techcombank.com/thong-tin/blog/nen-gui-tiet-kiem-thong-thuong-hay-tich-luy" TargetMode="External"/><Relationship Id="rId2803" Type="http://schemas.openxmlformats.org/officeDocument/2006/relationships/hyperlink" Target="https://techcombank.com/thong-tin/blog/tai-sao-gui-tiet-kiem-online-lai-suat-cao-hon" TargetMode="External"/><Relationship Id="rId2804" Type="http://schemas.openxmlformats.org/officeDocument/2006/relationships/hyperlink" Target="https://techcombank.com/thong-tin/blog/rui-ro-khi-vay-the-chap-ngan-hang" TargetMode="External"/><Relationship Id="rId2805" Type="http://schemas.openxmlformats.org/officeDocument/2006/relationships/hyperlink" Target="https://techcombank.com/thong-tin/blog/lai-kep-ngan-hang" TargetMode="External"/><Relationship Id="rId2806" Type="http://schemas.openxmlformats.org/officeDocument/2006/relationships/hyperlink" Target="https://techcombank.com/thong-tin/blog/lai-suat-vay-thau-chi" TargetMode="External"/><Relationship Id="rId2807" Type="http://schemas.openxmlformats.org/officeDocument/2006/relationships/hyperlink" Target="https://techcombank.com/thong-tin/blog/tien-gui-khong-ky-han" TargetMode="External"/><Relationship Id="rId2808" Type="http://schemas.openxmlformats.org/officeDocument/2006/relationships/hyperlink" Target="https://techcombank.com/thong-tin/blog/dau-tu-ngan-han" TargetMode="External"/><Relationship Id="rId2809" Type="http://schemas.openxmlformats.org/officeDocument/2006/relationships/hyperlink" Target="https://techcombank.com/thong-tin/blog/co-nen-gui-tiet-kiem-ngan-hang" TargetMode="External"/><Relationship Id="rId1576" Type="http://schemas.openxmlformats.org/officeDocument/2006/relationships/hyperlink" Target="https://techcombank.com/thong-tin/blog/1000-te-bang-bao-nhieu-tien-viet" TargetMode="External"/><Relationship Id="rId1577" Type="http://schemas.openxmlformats.org/officeDocument/2006/relationships/hyperlink" Target="https://techcombank.com/thong-tin/blog/100-riel-bang-bao-nhieu-tien-viet-nam" TargetMode="External"/><Relationship Id="rId1578" Type="http://schemas.openxmlformats.org/officeDocument/2006/relationships/hyperlink" Target="https://techcombank.com/thong-tin/blog/tien-indonesia" TargetMode="External"/><Relationship Id="rId1579" Type="http://schemas.openxmlformats.org/officeDocument/2006/relationships/hyperlink" Target="https://techcombank.com/thong-tin/blog/1-trieu-do-bang-bao-nhieu-tien-viet" TargetMode="External"/><Relationship Id="rId987" Type="http://schemas.openxmlformats.org/officeDocument/2006/relationships/hyperlink" Target="https://techcombank.com/thong-tin/blog/han-muc-the-tin-dung" TargetMode="External"/><Relationship Id="rId986" Type="http://schemas.openxmlformats.org/officeDocument/2006/relationships/hyperlink" Target="https://techcombank.com/thong-tin/blog/rut-tien-mat-tu-the-tin-dung" TargetMode="External"/><Relationship Id="rId985" Type="http://schemas.openxmlformats.org/officeDocument/2006/relationships/hyperlink" Target="https://techcombank.com/thong-tin/blog/vay-tin-chap-khong-tra-duoc-co-sao-khong" TargetMode="External"/><Relationship Id="rId984" Type="http://schemas.openxmlformats.org/officeDocument/2006/relationships/hyperlink" Target="https://techcombank.com/thong-tin/blog/sao-ke-the-tin-dung-la-gi" TargetMode="External"/><Relationship Id="rId989" Type="http://schemas.openxmlformats.org/officeDocument/2006/relationships/hyperlink" Target="https://techcombank.com/thong-tin/blog/kiem-tra-ma-so-thue-doanh-nghiep" TargetMode="External"/><Relationship Id="rId988" Type="http://schemas.openxmlformats.org/officeDocument/2006/relationships/hyperlink" Target="https://techcombank.com/thong-tin/blog/kiem-tra-thue-thu-nhap-ca-nhan" TargetMode="External"/><Relationship Id="rId1570" Type="http://schemas.openxmlformats.org/officeDocument/2006/relationships/hyperlink" Target="https://techcombank.com/thong-tin/blog/tien-trung-quoc" TargetMode="External"/><Relationship Id="rId1571" Type="http://schemas.openxmlformats.org/officeDocument/2006/relationships/hyperlink" Target="https://techcombank.com/thong-tin/blog/doi-tien-do-o-dau" TargetMode="External"/><Relationship Id="rId983" Type="http://schemas.openxmlformats.org/officeDocument/2006/relationships/hyperlink" Target="https://techcombank.com/thong-tin/blog/han-muc-tra-gop-the-tin-dung" TargetMode="External"/><Relationship Id="rId1572" Type="http://schemas.openxmlformats.org/officeDocument/2006/relationships/hyperlink" Target="https://techcombank.com/thong-tin/blog/tien-singapore" TargetMode="External"/><Relationship Id="rId982" Type="http://schemas.openxmlformats.org/officeDocument/2006/relationships/hyperlink" Target="https://techcombank.com/thong-tin/blog/kinh-nghiem-vay-the-chap-ngan-hang" TargetMode="External"/><Relationship Id="rId1573" Type="http://schemas.openxmlformats.org/officeDocument/2006/relationships/hyperlink" Target="https://techcombank.com/thong-tin/blog/1000-won-bang-bao-nhieu-tien-viet" TargetMode="External"/><Relationship Id="rId981" Type="http://schemas.openxmlformats.org/officeDocument/2006/relationships/hyperlink" Target="https://techcombank.com/thong-tin/blog/vay-tin-chap-no-xau" TargetMode="External"/><Relationship Id="rId1574" Type="http://schemas.openxmlformats.org/officeDocument/2006/relationships/hyperlink" Target="https://techcombank.com/thong-tin/blog/1-van-tien-dai-loan-bang-bao-nhieu-tien-viet" TargetMode="External"/><Relationship Id="rId980" Type="http://schemas.openxmlformats.org/officeDocument/2006/relationships/hyperlink" Target="https://techcombank.com/thong-tin/blog/han-muc-vay-the-chap-so-do" TargetMode="External"/><Relationship Id="rId1575" Type="http://schemas.openxmlformats.org/officeDocument/2006/relationships/hyperlink" Target="https://techcombank.com/thong-tin/blog/1-van-te-bang-bao-nhieu-tien-viet" TargetMode="External"/><Relationship Id="rId1565" Type="http://schemas.openxmlformats.org/officeDocument/2006/relationships/hyperlink" Target="https://techcombank.com/thong-tin/blog/cach-rut-tien-atm" TargetMode="External"/><Relationship Id="rId2896" Type="http://schemas.openxmlformats.org/officeDocument/2006/relationships/hyperlink" Target="https://techcombank.com/thong-tin/blog/tin-dung-la-gi" TargetMode="External"/><Relationship Id="rId1566" Type="http://schemas.openxmlformats.org/officeDocument/2006/relationships/hyperlink" Target="https://techcombank.com/thong-tin/blog/han-muc-mua-ngoai-te-khi-di-du-lich" TargetMode="External"/><Relationship Id="rId2897" Type="http://schemas.openxmlformats.org/officeDocument/2006/relationships/hyperlink" Target="https://techcombank.com/thong-tin/blog/don-bay-tai-chinh" TargetMode="External"/><Relationship Id="rId1567" Type="http://schemas.openxmlformats.org/officeDocument/2006/relationships/hyperlink" Target="https://techcombank.com/thong-tin/blog/thanh-toan-khi-du-lich-nhat-ban" TargetMode="External"/><Relationship Id="rId2898" Type="http://schemas.openxmlformats.org/officeDocument/2006/relationships/hyperlink" Target="https://techcombank.com/thong-tin/blog/ebitda-la-gi" TargetMode="External"/><Relationship Id="rId1568" Type="http://schemas.openxmlformats.org/officeDocument/2006/relationships/hyperlink" Target="https://techcombank.com/thong-tin/blog/1-dong-do-la-my-bang-bao-nhieu-tien-viet-nam" TargetMode="External"/><Relationship Id="rId2899" Type="http://schemas.openxmlformats.org/officeDocument/2006/relationships/hyperlink" Target="https://techcombank.com/thong-tin/blog/an-han-no-goc-la-gi" TargetMode="External"/><Relationship Id="rId1569" Type="http://schemas.openxmlformats.org/officeDocument/2006/relationships/hyperlink" Target="https://techcombank.com/thong-tin/blog/1-te-bang-bao-nhieu-tien-viet-nam" TargetMode="External"/><Relationship Id="rId976" Type="http://schemas.openxmlformats.org/officeDocument/2006/relationships/hyperlink" Target="https://techcombank.com/thong-tin/blog/no-xau-mo-the-tin-dung-duoc-khong" TargetMode="External"/><Relationship Id="rId975" Type="http://schemas.openxmlformats.org/officeDocument/2006/relationships/hyperlink" Target="https://techcombank.com/thong-tin/blog/app-mua-truoc-tra-sau" TargetMode="External"/><Relationship Id="rId974" Type="http://schemas.openxmlformats.org/officeDocument/2006/relationships/hyperlink" Target="https://techcombank.com/thong-tin/blog/spaylater" TargetMode="External"/><Relationship Id="rId973" Type="http://schemas.openxmlformats.org/officeDocument/2006/relationships/hyperlink" Target="https://techcombank.com/thong-tin/blog/thanh-toan-toi-thieu-the-tin-dung" TargetMode="External"/><Relationship Id="rId979" Type="http://schemas.openxmlformats.org/officeDocument/2006/relationships/hyperlink" Target="https://techcombank.com/thong-tin/blog/no-xau-co-vay-the-chap-duoc-khong" TargetMode="External"/><Relationship Id="rId978" Type="http://schemas.openxmlformats.org/officeDocument/2006/relationships/hyperlink" Target="https://techcombank.com/thong-tin/blog/luu-y-khi-su-dung-the-tin-dung" TargetMode="External"/><Relationship Id="rId977" Type="http://schemas.openxmlformats.org/officeDocument/2006/relationships/hyperlink" Target="https://techcombank.com/thong-tin/blog/no-the-tin-dung-qua-han" TargetMode="External"/><Relationship Id="rId2890" Type="http://schemas.openxmlformats.org/officeDocument/2006/relationships/hyperlink" Target="https://techcombank.com/thong-tin/blog/chung-chi-quy" TargetMode="External"/><Relationship Id="rId1560" Type="http://schemas.openxmlformats.org/officeDocument/2006/relationships/hyperlink" Target="https://techcombank.com/thong-tin/blog/cach-nhan-tien-tu-nuoc-ngoai-ve-viet-nam" TargetMode="External"/><Relationship Id="rId2891" Type="http://schemas.openxmlformats.org/officeDocument/2006/relationships/hyperlink" Target="https://techcombank.com/thong-tin/blog/vay-tien-online" TargetMode="External"/><Relationship Id="rId972" Type="http://schemas.openxmlformats.org/officeDocument/2006/relationships/hyperlink" Target="https://techcombank.com/thong-tin/blog/no-xau-co-lam-the-visa-duoc-khong" TargetMode="External"/><Relationship Id="rId1561" Type="http://schemas.openxmlformats.org/officeDocument/2006/relationships/hyperlink" Target="https://techcombank.com/thong-tin/blog/1000-yen-bang-bao-nhieu-tien-viet" TargetMode="External"/><Relationship Id="rId2892" Type="http://schemas.openxmlformats.org/officeDocument/2006/relationships/hyperlink" Target="https://techcombank.com/thong-tin/blog/vay-ngan-hang-chi-can-cccd" TargetMode="External"/><Relationship Id="rId971" Type="http://schemas.openxmlformats.org/officeDocument/2006/relationships/hyperlink" Target="https://techcombank.com/thong-tin/blog/qua-han-thanh-toan-the-tin-dung-1-ngay" TargetMode="External"/><Relationship Id="rId1562" Type="http://schemas.openxmlformats.org/officeDocument/2006/relationships/hyperlink" Target="https://techcombank.com/thong-tin/blog/tien-nhat" TargetMode="External"/><Relationship Id="rId2893" Type="http://schemas.openxmlformats.org/officeDocument/2006/relationships/hyperlink" Target="https://techcombank.com/thong-tin/blog/vay-30-trieu" TargetMode="External"/><Relationship Id="rId970" Type="http://schemas.openxmlformats.org/officeDocument/2006/relationships/hyperlink" Target="https://techcombank.com/thong-tin/blog/han-muc-thau-chi-la-gi" TargetMode="External"/><Relationship Id="rId1563" Type="http://schemas.openxmlformats.org/officeDocument/2006/relationships/hyperlink" Target="https://techcombank.com/thong-tin/blog/1-man-bang-bao-nhieu-tien-viet" TargetMode="External"/><Relationship Id="rId2894" Type="http://schemas.openxmlformats.org/officeDocument/2006/relationships/hyperlink" Target="https://techcombank.com/thong-tin/blog/vay-50-trieu" TargetMode="External"/><Relationship Id="rId1564" Type="http://schemas.openxmlformats.org/officeDocument/2006/relationships/hyperlink" Target="https://techcombank.com/thong-tin/blog/chuyen-tien-tu-nhat-ve-viet-nam" TargetMode="External"/><Relationship Id="rId2895" Type="http://schemas.openxmlformats.org/officeDocument/2006/relationships/hyperlink" Target="https://techcombank.com/thong-tin/blog/vay-sieu-toc" TargetMode="External"/><Relationship Id="rId1598" Type="http://schemas.openxmlformats.org/officeDocument/2006/relationships/hyperlink" Target="https://techcombank.com/thong-tin/blog/tien-trung-quoc" TargetMode="External"/><Relationship Id="rId1599" Type="http://schemas.openxmlformats.org/officeDocument/2006/relationships/hyperlink" Target="https://techcombank.com/thong-tin/blog/doi-tien-do-o-dau" TargetMode="External"/><Relationship Id="rId1590" Type="http://schemas.openxmlformats.org/officeDocument/2006/relationships/hyperlink" Target="https://techcombank.com/thong-tin/blog/vnd-to-myr" TargetMode="External"/><Relationship Id="rId1591" Type="http://schemas.openxmlformats.org/officeDocument/2006/relationships/hyperlink" Target="https://techcombank.com/thong-tin/blog/1-trieu-won-bang-bao-nhieu-tien-viet" TargetMode="External"/><Relationship Id="rId1592" Type="http://schemas.openxmlformats.org/officeDocument/2006/relationships/hyperlink" Target="https://techcombank.com/thong-tin/blog/1000-won-bang-bao-nhieu-tien-viet" TargetMode="External"/><Relationship Id="rId1593" Type="http://schemas.openxmlformats.org/officeDocument/2006/relationships/hyperlink" Target="https://techcombank.com/thong-tin/blog/thanh-toan-khi-du-lich-han-quoc" TargetMode="External"/><Relationship Id="rId1594" Type="http://schemas.openxmlformats.org/officeDocument/2006/relationships/hyperlink" Target="https://techcombank.com/thong-tin/blog/chuyen-tien-tu-han-sang-viet-nam" TargetMode="External"/><Relationship Id="rId1595" Type="http://schemas.openxmlformats.org/officeDocument/2006/relationships/hyperlink" Target="https://techcombank.com/thong-tin/blog/ty-gia-cac-ngan-hang" TargetMode="External"/><Relationship Id="rId1596" Type="http://schemas.openxmlformats.org/officeDocument/2006/relationships/hyperlink" Target="https://techcombank.com/thong-tin/blog/1-dong-do-la-my-bang-bao-nhieu-tien-viet-nam" TargetMode="External"/><Relationship Id="rId1597" Type="http://schemas.openxmlformats.org/officeDocument/2006/relationships/hyperlink" Target="https://techcombank.com/thong-tin/blog/1-te-bang-bao-nhieu-tien-viet-nam" TargetMode="External"/><Relationship Id="rId1587" Type="http://schemas.openxmlformats.org/officeDocument/2006/relationships/hyperlink" Target="https://techcombank.com/thong-tin/blog/tien-thai-lan" TargetMode="External"/><Relationship Id="rId1588" Type="http://schemas.openxmlformats.org/officeDocument/2006/relationships/hyperlink" Target="https://techcombank.com/thong-tin/blog/tien-lao" TargetMode="External"/><Relationship Id="rId1589" Type="http://schemas.openxmlformats.org/officeDocument/2006/relationships/hyperlink" Target="https://techcombank.com/thong-tin/blog/tien-malaysia" TargetMode="External"/><Relationship Id="rId998" Type="http://schemas.openxmlformats.org/officeDocument/2006/relationships/hyperlink" Target="https://techcombank.com/thong-tin/blog/mat-so-dien-thoai-dang-ky-tai-khoan-ngan-hang" TargetMode="External"/><Relationship Id="rId997" Type="http://schemas.openxmlformats.org/officeDocument/2006/relationships/hyperlink" Target="https://techcombank.com/thong-tin/blog/thanh-toan-tra-gop-qua-the-tin-dung" TargetMode="External"/><Relationship Id="rId996" Type="http://schemas.openxmlformats.org/officeDocument/2006/relationships/hyperlink" Target="https://techcombank.com/thong-tin/blog/tra-gop-shopee" TargetMode="External"/><Relationship Id="rId995" Type="http://schemas.openxmlformats.org/officeDocument/2006/relationships/hyperlink" Target="https://techcombank.com/thong-tin/blog/lam-ho-so-tra-gop-dien-thoai" TargetMode="External"/><Relationship Id="rId999" Type="http://schemas.openxmlformats.org/officeDocument/2006/relationships/hyperlink" Target="https://techcombank.com/thong-tin/blog/du-no-tin-dung-la-gi" TargetMode="External"/><Relationship Id="rId990" Type="http://schemas.openxmlformats.org/officeDocument/2006/relationships/hyperlink" Target="https://techcombank.com/thong-tin/blog/ngan-hang-so-cho-doanh-nghiep" TargetMode="External"/><Relationship Id="rId1580" Type="http://schemas.openxmlformats.org/officeDocument/2006/relationships/hyperlink" Target="https://techcombank.com/thong-tin/blog/chuyen-tien-di-uc" TargetMode="External"/><Relationship Id="rId1581" Type="http://schemas.openxmlformats.org/officeDocument/2006/relationships/hyperlink" Target="https://techcombank.com/thong-tin/blog/tien-dai-loan" TargetMode="External"/><Relationship Id="rId1582" Type="http://schemas.openxmlformats.org/officeDocument/2006/relationships/hyperlink" Target="https://techcombank.com/thong-tin/blog/1-cent-bang-bao-nhieu-tien-viet" TargetMode="External"/><Relationship Id="rId994" Type="http://schemas.openxmlformats.org/officeDocument/2006/relationships/hyperlink" Target="https://techcombank.com/thong-tin/blog/tra-gop-lazada" TargetMode="External"/><Relationship Id="rId1583" Type="http://schemas.openxmlformats.org/officeDocument/2006/relationships/hyperlink" Target="https://techcombank.com/thong-tin/blog/1-won-bang-bao-nhieu-tien-viet" TargetMode="External"/><Relationship Id="rId993" Type="http://schemas.openxmlformats.org/officeDocument/2006/relationships/hyperlink" Target="https://techcombank.com/thong-tin/blog/the-ghi-no-visa-la-gi" TargetMode="External"/><Relationship Id="rId1584" Type="http://schemas.openxmlformats.org/officeDocument/2006/relationships/hyperlink" Target="https://techcombank.com/thong-tin/blog/1-do-uc-bang-bao-nhieu-tien-viet" TargetMode="External"/><Relationship Id="rId992" Type="http://schemas.openxmlformats.org/officeDocument/2006/relationships/hyperlink" Target="https://techcombank.com/thong-tin/blog/thanh-toan-tien-internet-online" TargetMode="External"/><Relationship Id="rId1585" Type="http://schemas.openxmlformats.org/officeDocument/2006/relationships/hyperlink" Target="https://techcombank.com/thong-tin/blog/vi-dien-tu-la-gi" TargetMode="External"/><Relationship Id="rId991" Type="http://schemas.openxmlformats.org/officeDocument/2006/relationships/hyperlink" Target="https://techcombank.com/thong-tin/blog/giai-ngan-la-gi" TargetMode="External"/><Relationship Id="rId1586" Type="http://schemas.openxmlformats.org/officeDocument/2006/relationships/hyperlink" Target="https://techcombank.com/thong-tin/blog/shopeepay-la-gi" TargetMode="External"/><Relationship Id="rId1532" Type="http://schemas.openxmlformats.org/officeDocument/2006/relationships/hyperlink" Target="https://techcombank.com/thong-tin/blog/chuyen-tien-tu-nhat-ve-viet-nam" TargetMode="External"/><Relationship Id="rId2863" Type="http://schemas.openxmlformats.org/officeDocument/2006/relationships/hyperlink" Target="https://techcombank.com/thong-tin/blog/nghich-ly-nha-dau-tu-che-trai-phieu-lai-suat-cao-ua-ma-an-toan-du-lai-suat-thap-hon-05-1" TargetMode="External"/><Relationship Id="rId1533" Type="http://schemas.openxmlformats.org/officeDocument/2006/relationships/hyperlink" Target="https://techcombank.com/thong-tin/blog/1-man-bang-bao-nhieu-tien-viet" TargetMode="External"/><Relationship Id="rId2864" Type="http://schemas.openxmlformats.org/officeDocument/2006/relationships/hyperlink" Target="https://techcombank.com/thong-tin/blog/thi-truong-trai-phieu-co-hoi-dau-tu-trai-phieu-vang-du-lai-suat-thap" TargetMode="External"/><Relationship Id="rId1534" Type="http://schemas.openxmlformats.org/officeDocument/2006/relationships/hyperlink" Target="https://techcombank.com/thong-tin/blog/cach-tiet-kiem-tien-cua-nguoi-nhat" TargetMode="External"/><Relationship Id="rId2865" Type="http://schemas.openxmlformats.org/officeDocument/2006/relationships/hyperlink" Target="https://techcombank.com/thong-tin/blog/app-ngan-hang-uy-tin" TargetMode="External"/><Relationship Id="rId1535" Type="http://schemas.openxmlformats.org/officeDocument/2006/relationships/hyperlink" Target="https://techcombank.com/thong-tin/blog/phi-rut-tien-mat-the-tin-dung" TargetMode="External"/><Relationship Id="rId2866" Type="http://schemas.openxmlformats.org/officeDocument/2006/relationships/hyperlink" Target="https://techcombank.com/thong-tin/blog/mo-so-tiet-kiem-can-bao-nhieu-tien" TargetMode="External"/><Relationship Id="rId1536" Type="http://schemas.openxmlformats.org/officeDocument/2006/relationships/hyperlink" Target="https://techcombank.com/thong-tin/blog/cach-tinh-lai-suat-tien-gui-tiet-kiem" TargetMode="External"/><Relationship Id="rId2867" Type="http://schemas.openxmlformats.org/officeDocument/2006/relationships/hyperlink" Target="https://techcombank.com/thong-tin/blog/lai-suat-chung-chi-quy" TargetMode="External"/><Relationship Id="rId1537" Type="http://schemas.openxmlformats.org/officeDocument/2006/relationships/hyperlink" Target="https://techcombank.com/thong-tin/blog/han-muc-mua-ngoai-te-khi-di-du-lich" TargetMode="External"/><Relationship Id="rId2868" Type="http://schemas.openxmlformats.org/officeDocument/2006/relationships/hyperlink" Target="https://techcombank.com/thong-tin/blog/lai-suat-cho-vay-doanh-nghiep" TargetMode="External"/><Relationship Id="rId1538" Type="http://schemas.openxmlformats.org/officeDocument/2006/relationships/hyperlink" Target="https://techcombank.com/thong-tin/blog/1000-yen-bang-bao-nhieu-tien-viet" TargetMode="External"/><Relationship Id="rId2869" Type="http://schemas.openxmlformats.org/officeDocument/2006/relationships/hyperlink" Target="https://techcombank.com/thong-tin/blog/thue-thu-nhap-doanh-nghiep" TargetMode="External"/><Relationship Id="rId1539" Type="http://schemas.openxmlformats.org/officeDocument/2006/relationships/hyperlink" Target="https://techcombank.com/thong-tin/blog/1-dong-do-la-my-bang-bao-nhieu-tien-viet-nam" TargetMode="External"/><Relationship Id="rId949" Type="http://schemas.openxmlformats.org/officeDocument/2006/relationships/hyperlink" Target="https://techcombank.com/thong-tin/blog/xu-huong-tieu-dung" TargetMode="External"/><Relationship Id="rId948" Type="http://schemas.openxmlformats.org/officeDocument/2006/relationships/hyperlink" Target="https://techcombank.com/thong-tin/blog/cac-loai-the-tin-dung" TargetMode="External"/><Relationship Id="rId943" Type="http://schemas.openxmlformats.org/officeDocument/2006/relationships/hyperlink" Target="https://techcombank.com/thong-tin/blog/phi-thuong-nien-la-gi" TargetMode="External"/><Relationship Id="rId942" Type="http://schemas.openxmlformats.org/officeDocument/2006/relationships/hyperlink" Target="https://techcombank.com/thong-tin/blog/mr-eco" TargetMode="External"/><Relationship Id="rId941" Type="http://schemas.openxmlformats.org/officeDocument/2006/relationships/hyperlink" Target="https://techcombank.com/thong-tin/blog/tieu-dung-ben-vung" TargetMode="External"/><Relationship Id="rId940" Type="http://schemas.openxmlformats.org/officeDocument/2006/relationships/hyperlink" Target="https://techcombank.com/thong-tin/blog/the-tin-dung-nao-nhieu-uu-dai-nhat" TargetMode="External"/><Relationship Id="rId947" Type="http://schemas.openxmlformats.org/officeDocument/2006/relationships/hyperlink" Target="https://techcombank.com/thong-tin/blog/the-tin-dung-hoan-tien" TargetMode="External"/><Relationship Id="rId946" Type="http://schemas.openxmlformats.org/officeDocument/2006/relationships/hyperlink" Target="https://techcombank.com/thong-tin/blog/uu-dai-the-tin-dung" TargetMode="External"/><Relationship Id="rId945" Type="http://schemas.openxmlformats.org/officeDocument/2006/relationships/hyperlink" Target="https://techcombank.com/thong-tin/blog/the-tin-dung-quoc-te" TargetMode="External"/><Relationship Id="rId944" Type="http://schemas.openxmlformats.org/officeDocument/2006/relationships/hyperlink" Target="https://techcombank.com/thong-tin/blog/tra-gop-hoc-phi" TargetMode="External"/><Relationship Id="rId2860" Type="http://schemas.openxmlformats.org/officeDocument/2006/relationships/hyperlink" Target="https://techcombank.com/thong-tin/blog/dao-han-la-gi" TargetMode="External"/><Relationship Id="rId1530" Type="http://schemas.openxmlformats.org/officeDocument/2006/relationships/hyperlink" Target="https://techcombank.com/thong-tin/blog/tien-malaysia" TargetMode="External"/><Relationship Id="rId2861" Type="http://schemas.openxmlformats.org/officeDocument/2006/relationships/hyperlink" Target="https://techcombank.com/thong-tin/blog/khai-bao-tai-khoan-ngan-hang-voi-co-quan-thue" TargetMode="External"/><Relationship Id="rId1531" Type="http://schemas.openxmlformats.org/officeDocument/2006/relationships/hyperlink" Target="https://techcombank.com/thong-tin/blog/thanh-toan-khi-du-lich-nhat-ban" TargetMode="External"/><Relationship Id="rId2862" Type="http://schemas.openxmlformats.org/officeDocument/2006/relationships/hyperlink" Target="https://techcombank.com/thong-tin/blog/dang-ky-nhieu-tai-khoan-ngan-hang-co-sao-khong" TargetMode="External"/><Relationship Id="rId1521" Type="http://schemas.openxmlformats.org/officeDocument/2006/relationships/hyperlink" Target="https://techcombank.com/thong-tin/blog/1-van-te-bang-bao-nhieu-tien-viet" TargetMode="External"/><Relationship Id="rId2852" Type="http://schemas.openxmlformats.org/officeDocument/2006/relationships/hyperlink" Target="https://techcombank.com/thong-tin/blog/gui-tiet-kiem-usd" TargetMode="External"/><Relationship Id="rId1522" Type="http://schemas.openxmlformats.org/officeDocument/2006/relationships/hyperlink" Target="https://techcombank.com/thong-tin/blog/1000-te-bang-bao-nhieu-tien-viet" TargetMode="External"/><Relationship Id="rId2853" Type="http://schemas.openxmlformats.org/officeDocument/2006/relationships/hyperlink" Target="https://techcombank.com/thong-tin/blog/so-tiet-kiem-ngan-hang" TargetMode="External"/><Relationship Id="rId1523" Type="http://schemas.openxmlformats.org/officeDocument/2006/relationships/hyperlink" Target="https://techcombank.com/thong-tin/blog/100-riel-bang-bao-nhieu-tien-viet-nam" TargetMode="External"/><Relationship Id="rId2854" Type="http://schemas.openxmlformats.org/officeDocument/2006/relationships/hyperlink" Target="https://techcombank.com/thong-tin/blog/quan-ly-tai-chinh-cho-dan-van-phong" TargetMode="External"/><Relationship Id="rId1524" Type="http://schemas.openxmlformats.org/officeDocument/2006/relationships/hyperlink" Target="https://techcombank.com/thong-tin/blog/tien-indonesia" TargetMode="External"/><Relationship Id="rId2855" Type="http://schemas.openxmlformats.org/officeDocument/2006/relationships/hyperlink" Target="https://techcombank.com/thong-tin/blog/app-gui-tien-tiet-kiem" TargetMode="External"/><Relationship Id="rId1525" Type="http://schemas.openxmlformats.org/officeDocument/2006/relationships/hyperlink" Target="https://techcombank.com/thong-tin/blog/tien-dai-loan" TargetMode="External"/><Relationship Id="rId2856" Type="http://schemas.openxmlformats.org/officeDocument/2006/relationships/hyperlink" Target="https://techcombank.com/thong-tin/blog/bi-quyet-tiet-kiem-tien-mua-nha" TargetMode="External"/><Relationship Id="rId1526" Type="http://schemas.openxmlformats.org/officeDocument/2006/relationships/hyperlink" Target="https://techcombank.com/thong-tin/blog/1-won-bang-bao-nhieu-tien-viet" TargetMode="External"/><Relationship Id="rId2857" Type="http://schemas.openxmlformats.org/officeDocument/2006/relationships/hyperlink" Target="https://techcombank.com/thong-tin/blog/tat-toan-so-tiet-kiem" TargetMode="External"/><Relationship Id="rId1527" Type="http://schemas.openxmlformats.org/officeDocument/2006/relationships/hyperlink" Target="https://techcombank.com/thong-tin/blog/gui-tien-du-hoc" TargetMode="External"/><Relationship Id="rId2858" Type="http://schemas.openxmlformats.org/officeDocument/2006/relationships/hyperlink" Target="https://techcombank.com/thong-tin/blog/cach-tinh-thue-thu-nhap-doanh-nghiep" TargetMode="External"/><Relationship Id="rId1528" Type="http://schemas.openxmlformats.org/officeDocument/2006/relationships/hyperlink" Target="https://techcombank.com/thong-tin/blog/tien-nhat" TargetMode="External"/><Relationship Id="rId2859" Type="http://schemas.openxmlformats.org/officeDocument/2006/relationships/hyperlink" Target="https://techcombank.com/thong-tin/blog/co-nen-vay-ngan-hang-mua-nha" TargetMode="External"/><Relationship Id="rId1529" Type="http://schemas.openxmlformats.org/officeDocument/2006/relationships/hyperlink" Target="https://techcombank.com/thong-tin/blog/vay-du-hoc" TargetMode="External"/><Relationship Id="rId939" Type="http://schemas.openxmlformats.org/officeDocument/2006/relationships/hyperlink" Target="https://techcombank.com/thong-tin/blog/rut-tien-tiet-kiem-truoc-thoi-han" TargetMode="External"/><Relationship Id="rId938" Type="http://schemas.openxmlformats.org/officeDocument/2006/relationships/hyperlink" Target="https://techcombank.com/thong-tin/blog/the-tin-dung-mien-phi-thuong-nien" TargetMode="External"/><Relationship Id="rId937" Type="http://schemas.openxmlformats.org/officeDocument/2006/relationships/hyperlink" Target="https://techcombank.com/thong-tin/blog/esg" TargetMode="External"/><Relationship Id="rId932" Type="http://schemas.openxmlformats.org/officeDocument/2006/relationships/hyperlink" Target="https://techcombank.com/thong-tin/blog/san-pham-xanh" TargetMode="External"/><Relationship Id="rId931" Type="http://schemas.openxmlformats.org/officeDocument/2006/relationships/hyperlink" Target="https://techcombank.com/thong-tin/blog/dau-chan-carbon" TargetMode="External"/><Relationship Id="rId930" Type="http://schemas.openxmlformats.org/officeDocument/2006/relationships/hyperlink" Target="https://techcombank.com/thong-tin/blog/tao-ma-qr-thanh-toan-cho-cua-hang" TargetMode="External"/><Relationship Id="rId936" Type="http://schemas.openxmlformats.org/officeDocument/2006/relationships/hyperlink" Target="https://techcombank.com/thong-tin/blog/han-muc-thau-chi-la-gi" TargetMode="External"/><Relationship Id="rId935" Type="http://schemas.openxmlformats.org/officeDocument/2006/relationships/hyperlink" Target="https://techcombank.com/thong-tin/blog/voucher-starbucks" TargetMode="External"/><Relationship Id="rId934" Type="http://schemas.openxmlformats.org/officeDocument/2006/relationships/hyperlink" Target="https://techcombank.com/thong-tin/blog/qr-code-doanh-nghiep" TargetMode="External"/><Relationship Id="rId933" Type="http://schemas.openxmlformats.org/officeDocument/2006/relationships/hyperlink" Target="https://techcombank.com/thong-tin/blog/phi-rut-tien-mat-the-tin-dung" TargetMode="External"/><Relationship Id="rId2850" Type="http://schemas.openxmlformats.org/officeDocument/2006/relationships/hyperlink" Target="https://techcombank.com/thong-tin/blog/tien-gui-co-ky-han" TargetMode="External"/><Relationship Id="rId1520" Type="http://schemas.openxmlformats.org/officeDocument/2006/relationships/hyperlink" Target="https://techcombank.com/thong-tin/blog/chuyen-tien-tu-nhat-ve-viet-nam" TargetMode="External"/><Relationship Id="rId2851" Type="http://schemas.openxmlformats.org/officeDocument/2006/relationships/hyperlink" Target="https://techcombank.com/thong-tin/blog/lai-suat-gui-tiet-kiem-usd" TargetMode="External"/><Relationship Id="rId1554" Type="http://schemas.openxmlformats.org/officeDocument/2006/relationships/hyperlink" Target="https://techcombank.com/thong-tin/blog/1-won-bang-bao-nhieu-tien-viet" TargetMode="External"/><Relationship Id="rId2885" Type="http://schemas.openxmlformats.org/officeDocument/2006/relationships/hyperlink" Target="https://techcombank.com/thong-tin/blog/thay-doi-dia-chi-ho-kinh-doanh" TargetMode="External"/><Relationship Id="rId1555" Type="http://schemas.openxmlformats.org/officeDocument/2006/relationships/hyperlink" Target="https://techcombank.com/thong-tin/blog/1-do-uc-bang-bao-nhieu-tien-viet" TargetMode="External"/><Relationship Id="rId2886" Type="http://schemas.openxmlformats.org/officeDocument/2006/relationships/hyperlink" Target="https://techcombank.com/thong-tin/blog/lai-suat-qua-han" TargetMode="External"/><Relationship Id="rId1556" Type="http://schemas.openxmlformats.org/officeDocument/2006/relationships/hyperlink" Target="https://techcombank.com/thong-tin/blog/ma-swift-ngan-hang" TargetMode="External"/><Relationship Id="rId2887" Type="http://schemas.openxmlformats.org/officeDocument/2006/relationships/hyperlink" Target="https://techcombank.com/thong-tin/blog/khoi-nghiep-truoc-chinh-sach-thue-moi" TargetMode="External"/><Relationship Id="rId1557" Type="http://schemas.openxmlformats.org/officeDocument/2006/relationships/hyperlink" Target="https://techcombank.com/thong-tin/blog/co-nen-gui-tiet-kiem-online" TargetMode="External"/><Relationship Id="rId2888" Type="http://schemas.openxmlformats.org/officeDocument/2006/relationships/hyperlink" Target="https://techcombank.com/thong-tin/blog/merchant-la-gi" TargetMode="External"/><Relationship Id="rId1558" Type="http://schemas.openxmlformats.org/officeDocument/2006/relationships/hyperlink" Target="https://techcombank.com/thong-tin/blog/vnd-to-myr" TargetMode="External"/><Relationship Id="rId2889" Type="http://schemas.openxmlformats.org/officeDocument/2006/relationships/hyperlink" Target="https://techcombank.com/thong-tin/blog/hieu-hiet-ve-tuan-thu-thue-cho-cac-doanh-nghiep-khoi-nghiep" TargetMode="External"/><Relationship Id="rId1559" Type="http://schemas.openxmlformats.org/officeDocument/2006/relationships/hyperlink" Target="https://techcombank.com/thong-tin/blog/thu-tuc-chuyen-tien-ra-nuoc-ngoai" TargetMode="External"/><Relationship Id="rId965" Type="http://schemas.openxmlformats.org/officeDocument/2006/relationships/hyperlink" Target="https://techcombank.com/thong-tin/blog/no-xau-nhom-2" TargetMode="External"/><Relationship Id="rId964" Type="http://schemas.openxmlformats.org/officeDocument/2006/relationships/hyperlink" Target="https://techcombank.com/thong-tin/blog/no-chu-y-la-gi" TargetMode="External"/><Relationship Id="rId963" Type="http://schemas.openxmlformats.org/officeDocument/2006/relationships/hyperlink" Target="https://techcombank.com/thong-tin/blog/no-nhom-3" TargetMode="External"/><Relationship Id="rId962" Type="http://schemas.openxmlformats.org/officeDocument/2006/relationships/hyperlink" Target="https://techcombank.com/thong-tin/blog/lich-su-tin-dung" TargetMode="External"/><Relationship Id="rId969" Type="http://schemas.openxmlformats.org/officeDocument/2006/relationships/hyperlink" Target="https://techcombank.com/thong-tin/blog/no-xau-la-gi" TargetMode="External"/><Relationship Id="rId968" Type="http://schemas.openxmlformats.org/officeDocument/2006/relationships/hyperlink" Target="https://techcombank.com/thong-tin/blog/no-xau" TargetMode="External"/><Relationship Id="rId967" Type="http://schemas.openxmlformats.org/officeDocument/2006/relationships/hyperlink" Target="https://techcombank.com/thong-tin/blog/kiem-tra-no-xau" TargetMode="External"/><Relationship Id="rId966" Type="http://schemas.openxmlformats.org/officeDocument/2006/relationships/hyperlink" Target="https://techcombank.com/thong-tin/blog/vay-von-doanh-nghiep-khong-the-chap" TargetMode="External"/><Relationship Id="rId2880" Type="http://schemas.openxmlformats.org/officeDocument/2006/relationships/hyperlink" Target="https://techcombank.com/thong-tin/blog/tra-cuu-ma-so-thue-ho-kinh-doanh" TargetMode="External"/><Relationship Id="rId961" Type="http://schemas.openxmlformats.org/officeDocument/2006/relationships/hyperlink" Target="https://techcombank.com/thong-tin/blog/diem-tin-dung" TargetMode="External"/><Relationship Id="rId1550" Type="http://schemas.openxmlformats.org/officeDocument/2006/relationships/hyperlink" Target="https://techcombank.com/thong-tin/blog/nop-thue-hai-quan" TargetMode="External"/><Relationship Id="rId2881" Type="http://schemas.openxmlformats.org/officeDocument/2006/relationships/hyperlink" Target="https://techcombank.com/thong-tin/blog/chuan-bi-cho-doanh-nghiep-khoi-nghiep-truoc-nhung-thay-doi-ve-thue" TargetMode="External"/><Relationship Id="rId960" Type="http://schemas.openxmlformats.org/officeDocument/2006/relationships/hyperlink" Target="https://techcombank.com/thong-tin/blog/cach-nap-tien-vao-the-ghi-no" TargetMode="External"/><Relationship Id="rId1551" Type="http://schemas.openxmlformats.org/officeDocument/2006/relationships/hyperlink" Target="https://techcombank.com/thong-tin/blog/chuyen-tien-di-uc" TargetMode="External"/><Relationship Id="rId2882" Type="http://schemas.openxmlformats.org/officeDocument/2006/relationships/hyperlink" Target="https://techcombank.com/thong-tin/blog/thanh-toan-ve-may-bay-online" TargetMode="External"/><Relationship Id="rId1552" Type="http://schemas.openxmlformats.org/officeDocument/2006/relationships/hyperlink" Target="https://techcombank.com/thong-tin/blog/tien-dai-loan" TargetMode="External"/><Relationship Id="rId2883" Type="http://schemas.openxmlformats.org/officeDocument/2006/relationships/hyperlink" Target="https://techcombank.com/thong-tin/blog/vay-mua-chung-cu" TargetMode="External"/><Relationship Id="rId1553" Type="http://schemas.openxmlformats.org/officeDocument/2006/relationships/hyperlink" Target="https://techcombank.com/thong-tin/blog/nen-de-tien-trong-the-hay-gui-tiet-kiem" TargetMode="External"/><Relationship Id="rId2884" Type="http://schemas.openxmlformats.org/officeDocument/2006/relationships/hyperlink" Target="https://techcombank.com/thong-tin/blog/cach-tiet-kiem-tien-hieu-qua-cho-gia-dinh" TargetMode="External"/><Relationship Id="rId1543" Type="http://schemas.openxmlformats.org/officeDocument/2006/relationships/hyperlink" Target="https://techcombank.com/thong-tin/blog/tien-singapore" TargetMode="External"/><Relationship Id="rId2874" Type="http://schemas.openxmlformats.org/officeDocument/2006/relationships/hyperlink" Target="https://techcombank.com/thong-tin/blog/vi-sao-lai-suat-trai-phieu-tai-tcbs-lai-thap-hon-so-voi-cac-to-chuc-phat-hanh-khac" TargetMode="External"/><Relationship Id="rId1544" Type="http://schemas.openxmlformats.org/officeDocument/2006/relationships/hyperlink" Target="https://techcombank.com/thong-tin/blog/1000-won-bang-bao-nhieu-tien-viet" TargetMode="External"/><Relationship Id="rId2875" Type="http://schemas.openxmlformats.org/officeDocument/2006/relationships/hyperlink" Target="https://techcombank.com/thong-tin/blog/cach-dau-tu" TargetMode="External"/><Relationship Id="rId1545" Type="http://schemas.openxmlformats.org/officeDocument/2006/relationships/hyperlink" Target="https://techcombank.com/thong-tin/blog/chuyen-tien-tu-han-sang-viet-nam" TargetMode="External"/><Relationship Id="rId2876" Type="http://schemas.openxmlformats.org/officeDocument/2006/relationships/hyperlink" Target="https://techcombank.com/thong-tin/blog/vi-dien-tu" TargetMode="External"/><Relationship Id="rId1546" Type="http://schemas.openxmlformats.org/officeDocument/2006/relationships/hyperlink" Target="https://techcombank.com/thong-tin/blog/1-van-te-bang-bao-nhieu-tien-viet" TargetMode="External"/><Relationship Id="rId2877" Type="http://schemas.openxmlformats.org/officeDocument/2006/relationships/hyperlink" Target="https://techcombank.com/thong-tin/blog/chung-chi-tien-gui-co-an-toan-khong" TargetMode="External"/><Relationship Id="rId1547" Type="http://schemas.openxmlformats.org/officeDocument/2006/relationships/hyperlink" Target="https://techcombank.com/thong-tin/blog/1000-te-bang-bao-nhieu-tien-viet" TargetMode="External"/><Relationship Id="rId2878" Type="http://schemas.openxmlformats.org/officeDocument/2006/relationships/hyperlink" Target="https://techcombank.com/thong-tin/blog/ung-dung-cong-nghe" TargetMode="External"/><Relationship Id="rId1548" Type="http://schemas.openxmlformats.org/officeDocument/2006/relationships/hyperlink" Target="https://techcombank.com/thong-tin/blog/100-riel-bang-bao-nhieu-tien-viet-nam" TargetMode="External"/><Relationship Id="rId2879" Type="http://schemas.openxmlformats.org/officeDocument/2006/relationships/hyperlink" Target="https://techcombank.com/thong-tin/blog/vay-bo-sung-von-luu-dong" TargetMode="External"/><Relationship Id="rId1549" Type="http://schemas.openxmlformats.org/officeDocument/2006/relationships/hyperlink" Target="https://techcombank.com/thong-tin/blog/tien-indonesia" TargetMode="External"/><Relationship Id="rId959" Type="http://schemas.openxmlformats.org/officeDocument/2006/relationships/hyperlink" Target="https://techcombank.com/thong-tin/blog/the-ghi-no-noi-dia" TargetMode="External"/><Relationship Id="rId954" Type="http://schemas.openxmlformats.org/officeDocument/2006/relationships/hyperlink" Target="https://techcombank.com/thong-tin/blog/the-ghi-no-va-the-tin-dung" TargetMode="External"/><Relationship Id="rId953" Type="http://schemas.openxmlformats.org/officeDocument/2006/relationships/hyperlink" Target="https://techcombank.com/thong-tin/blog/cach-tiet-kiem-tien-hieu-qua-cho-gia-dinh" TargetMode="External"/><Relationship Id="rId952" Type="http://schemas.openxmlformats.org/officeDocument/2006/relationships/hyperlink" Target="https://techcombank.com/thong-tin/blog/giao-thong-xanh" TargetMode="External"/><Relationship Id="rId951" Type="http://schemas.openxmlformats.org/officeDocument/2006/relationships/hyperlink" Target="https://techcombank.com/thong-tin/blog/the-tin-dung-techcombank-visa-eco" TargetMode="External"/><Relationship Id="rId958" Type="http://schemas.openxmlformats.org/officeDocument/2006/relationships/hyperlink" Target="https://techcombank.com/thong-tin/blog/mo-the-ghi-no" TargetMode="External"/><Relationship Id="rId957" Type="http://schemas.openxmlformats.org/officeDocument/2006/relationships/hyperlink" Target="https://techcombank.com/thong-tin/blog/the-ghi-no-la-gi" TargetMode="External"/><Relationship Id="rId956" Type="http://schemas.openxmlformats.org/officeDocument/2006/relationships/hyperlink" Target="https://techcombank.com/thong-tin/blog/gia-tri-tai-san-rong" TargetMode="External"/><Relationship Id="rId955" Type="http://schemas.openxmlformats.org/officeDocument/2006/relationships/hyperlink" Target="https://techcombank.com/thong-tin/blog/khau-vi-nha-dau-tu-tpdn-thay-doi-the-nao-sau-nhung-bien-dong-vua-qua" TargetMode="External"/><Relationship Id="rId950" Type="http://schemas.openxmlformats.org/officeDocument/2006/relationships/hyperlink" Target="https://techcombank.com/thong-tin/blog/oneu" TargetMode="External"/><Relationship Id="rId2870" Type="http://schemas.openxmlformats.org/officeDocument/2006/relationships/hyperlink" Target="https://techcombank.com/thong-tin/blog/quy-du-phong-tai-chinh-la-gi" TargetMode="External"/><Relationship Id="rId1540" Type="http://schemas.openxmlformats.org/officeDocument/2006/relationships/hyperlink" Target="https://techcombank.com/thong-tin/blog/1-te-bang-bao-nhieu-tien-viet-nam" TargetMode="External"/><Relationship Id="rId2871" Type="http://schemas.openxmlformats.org/officeDocument/2006/relationships/hyperlink" Target="https://techcombank.com/thong-tin/blog/thue-khoan-ho-kinh-doanh-la-gi" TargetMode="External"/><Relationship Id="rId1541" Type="http://schemas.openxmlformats.org/officeDocument/2006/relationships/hyperlink" Target="https://techcombank.com/thong-tin/blog/tien-trung-quoc" TargetMode="External"/><Relationship Id="rId2872" Type="http://schemas.openxmlformats.org/officeDocument/2006/relationships/hyperlink" Target="https://techcombank.com/thong-tin/blog/rut-tien-tiet-kiem-truoc-thoi-han" TargetMode="External"/><Relationship Id="rId1542" Type="http://schemas.openxmlformats.org/officeDocument/2006/relationships/hyperlink" Target="https://techcombank.com/thong-tin/blog/gui-tiet-kiem-lay-lai-hang-thang" TargetMode="External"/><Relationship Id="rId2873" Type="http://schemas.openxmlformats.org/officeDocument/2006/relationships/hyperlink" Target="https://techcombank.com/thong-tin/blog/lai-suat-la-gi" TargetMode="External"/><Relationship Id="rId2027" Type="http://schemas.openxmlformats.org/officeDocument/2006/relationships/hyperlink" Target="https://techcombank.com/thong-tin/blog/nhung-ho-kinh-doanh-duoc-mien-thue" TargetMode="External"/><Relationship Id="rId3359" Type="http://schemas.openxmlformats.org/officeDocument/2006/relationships/hyperlink" Target="https://techcombank.com/thong-tin/blog/dau-co-va-dau-tu" TargetMode="External"/><Relationship Id="rId2028" Type="http://schemas.openxmlformats.org/officeDocument/2006/relationships/hyperlink" Target="https://techcombank.com/thong-tin/blog/luu-y-khi-chuyen-doi-tu-ho-kinh-doanh-len-doanh-nghiep" TargetMode="External"/><Relationship Id="rId3358" Type="http://schemas.openxmlformats.org/officeDocument/2006/relationships/hyperlink" Target="https://techcombank.com/thong-tin/blog/danh-muc-dau-tu" TargetMode="External"/><Relationship Id="rId2029" Type="http://schemas.openxmlformats.org/officeDocument/2006/relationships/hyperlink" Target="https://techcombank.com/thong-tin/blog/barcode-la-gi" TargetMode="External"/><Relationship Id="rId107" Type="http://schemas.openxmlformats.org/officeDocument/2006/relationships/hyperlink" Target="https://techcombank.com/thong-tin/blog/thay-doi-dia-chi-ho-kinh-doanh" TargetMode="External"/><Relationship Id="rId106" Type="http://schemas.openxmlformats.org/officeDocument/2006/relationships/hyperlink" Target="https://techcombank.com/thong-tin/blog/dang-ky-kinh-doanh-la-gi" TargetMode="External"/><Relationship Id="rId105" Type="http://schemas.openxmlformats.org/officeDocument/2006/relationships/hyperlink" Target="https://techcombank.com/thong-tin/blog/giay-phep-kinh-doanh" TargetMode="External"/><Relationship Id="rId104" Type="http://schemas.openxmlformats.org/officeDocument/2006/relationships/hyperlink" Target="https://techcombank.com/thong-tin/blog/due-diligence" TargetMode="External"/><Relationship Id="rId109" Type="http://schemas.openxmlformats.org/officeDocument/2006/relationships/hyperlink" Target="https://techcombank.com/thong-tin/blog/dieu-kien-vay-von-ngan-hang" TargetMode="External"/><Relationship Id="rId108" Type="http://schemas.openxmlformats.org/officeDocument/2006/relationships/hyperlink" Target="https://techcombank.com/thong-tin/blog/chuan-bi-cho-doanh-nghiep-khoi-nghiep-truoc-nhung-thay-doi-ve-thue" TargetMode="External"/><Relationship Id="rId3351" Type="http://schemas.openxmlformats.org/officeDocument/2006/relationships/hyperlink" Target="https://techcombank.com/thong-tin/blog/no-xau-co-vay-the-chap-duoc-khong" TargetMode="External"/><Relationship Id="rId2020" Type="http://schemas.openxmlformats.org/officeDocument/2006/relationships/hyperlink" Target="https://techcombank.com/thong-tin/blog/truy-thu-thue-ho-kinh-doanh" TargetMode="External"/><Relationship Id="rId3350" Type="http://schemas.openxmlformats.org/officeDocument/2006/relationships/hyperlink" Target="https://techcombank.com/thong-tin/blog/no-xau-mo-the-tin-dung-duoc-khong" TargetMode="External"/><Relationship Id="rId2021" Type="http://schemas.openxmlformats.org/officeDocument/2006/relationships/hyperlink" Target="https://techcombank.com/thong-tin/blog/kiem-tra-thue-ho-kinh-doanh" TargetMode="External"/><Relationship Id="rId3353" Type="http://schemas.openxmlformats.org/officeDocument/2006/relationships/hyperlink" Target="https://techcombank.com/thong-tin/blog/cac-hinh-thuc-cho-vay-tieu-dung" TargetMode="External"/><Relationship Id="rId2022" Type="http://schemas.openxmlformats.org/officeDocument/2006/relationships/hyperlink" Target="https://techcombank.com/thong-tin/blog/cac-sai-lam-pho-bien-khi-chuyen-doi-ho-kinh-doanh-len-sme" TargetMode="External"/><Relationship Id="rId3352" Type="http://schemas.openxmlformats.org/officeDocument/2006/relationships/hyperlink" Target="https://techcombank.com/thong-tin/blog/vay-tin-chap-no-xau" TargetMode="External"/><Relationship Id="rId103" Type="http://schemas.openxmlformats.org/officeDocument/2006/relationships/hyperlink" Target="https://techcombank.com/thong-tin/blog/tiem-nang-chuyen-doi-tu-ho-kinh-doanh-len-doanh-nghiep-sme" TargetMode="External"/><Relationship Id="rId2023" Type="http://schemas.openxmlformats.org/officeDocument/2006/relationships/hyperlink" Target="https://techcombank.com/thong-tin/blog/giay-phep-kinh-doanh" TargetMode="External"/><Relationship Id="rId3355" Type="http://schemas.openxmlformats.org/officeDocument/2006/relationships/hyperlink" Target="https://techcombank.com/thong-tin/blog/mua-chung-chi-quy" TargetMode="External"/><Relationship Id="rId102" Type="http://schemas.openxmlformats.org/officeDocument/2006/relationships/hyperlink" Target="https://techcombank.com/thong-tin/blog/loi-ich-khi-ho-kinh-doanh-chuyen-len-doanh-nghiep" TargetMode="External"/><Relationship Id="rId2024" Type="http://schemas.openxmlformats.org/officeDocument/2006/relationships/hyperlink" Target="https://techcombank.com/thong-tin/blog/chuyen-doi-hoa-don-dien-tu" TargetMode="External"/><Relationship Id="rId3354" Type="http://schemas.openxmlformats.org/officeDocument/2006/relationships/hyperlink" Target="https://techcombank.com/thong-tin/blog/chung-chi-quy" TargetMode="External"/><Relationship Id="rId101" Type="http://schemas.openxmlformats.org/officeDocument/2006/relationships/hyperlink" Target="https://techcombank.com/thong-tin/blog/mo-tai-khoan-doanh-nghiep" TargetMode="External"/><Relationship Id="rId2025" Type="http://schemas.openxmlformats.org/officeDocument/2006/relationships/hyperlink" Target="https://techcombank.com/thong-tin/blog/dang-ky-kinh-doanh-la-gi" TargetMode="External"/><Relationship Id="rId3357" Type="http://schemas.openxmlformats.org/officeDocument/2006/relationships/hyperlink" Target="https://techcombank.com/thong-tin/blog/chung-chi-quy-va-co-phieu" TargetMode="External"/><Relationship Id="rId100" Type="http://schemas.openxmlformats.org/officeDocument/2006/relationships/hyperlink" Target="https://techcombank.com/thong-tin/blog/thue-ho-kinh-doanh-2025" TargetMode="External"/><Relationship Id="rId2026" Type="http://schemas.openxmlformats.org/officeDocument/2006/relationships/hyperlink" Target="https://techcombank.com/thong-tin/blog/thay-doi-dia-chi-ho-kinh-doanh" TargetMode="External"/><Relationship Id="rId3356" Type="http://schemas.openxmlformats.org/officeDocument/2006/relationships/hyperlink" Target="https://techcombank.com/thong-tin/blog/app-theo-doi-chung-chi-quy" TargetMode="External"/><Relationship Id="rId2016" Type="http://schemas.openxmlformats.org/officeDocument/2006/relationships/hyperlink" Target="https://techcombank.com/thong-tin/blog/nen-thanh-lap-ho-kinh-doanh-ke-khai-hay-doanh-nghiep" TargetMode="External"/><Relationship Id="rId3348" Type="http://schemas.openxmlformats.org/officeDocument/2006/relationships/hyperlink" Target="https://techcombank.com/thong-tin/blog/vay-200-trieu" TargetMode="External"/><Relationship Id="rId2017" Type="http://schemas.openxmlformats.org/officeDocument/2006/relationships/hyperlink" Target="https://techcombank.com/thong-tin/blog/vay-tin-chap-ho-kinh-doanh" TargetMode="External"/><Relationship Id="rId3347" Type="http://schemas.openxmlformats.org/officeDocument/2006/relationships/hyperlink" Target="https://techcombank.com/thong-tin/blog/vay-tin-chap-toi-da-duoc-bao-nhieu" TargetMode="External"/><Relationship Id="rId2018" Type="http://schemas.openxmlformats.org/officeDocument/2006/relationships/hyperlink" Target="https://techcombank.com/thong-tin/blog/tra-cuu-no-thue-ho-kinh-doanh" TargetMode="External"/><Relationship Id="rId2019" Type="http://schemas.openxmlformats.org/officeDocument/2006/relationships/hyperlink" Target="https://techcombank.com/thong-tin/blog/thu-tuc-vay-von-kinh-doanh-nho" TargetMode="External"/><Relationship Id="rId3349" Type="http://schemas.openxmlformats.org/officeDocument/2006/relationships/hyperlink" Target="https://techcombank.com/thong-tin/blog/vay-20-trieu" TargetMode="External"/><Relationship Id="rId3340" Type="http://schemas.openxmlformats.org/officeDocument/2006/relationships/hyperlink" Target="https://techcombank.com/thong-tin/blog/vay-tin-chap-va-vay-the-chap" TargetMode="External"/><Relationship Id="rId2010" Type="http://schemas.openxmlformats.org/officeDocument/2006/relationships/hyperlink" Target="https://techcombank.com/thong-tin/blog/cach-tinh-thue-ho-kinh-doanh-nho-le" TargetMode="External"/><Relationship Id="rId3342" Type="http://schemas.openxmlformats.org/officeDocument/2006/relationships/hyperlink" Target="https://techcombank.com/thong-tin/blog/qua-han-thanh-toan-the-tin-dung-1-ngay" TargetMode="External"/><Relationship Id="rId2011" Type="http://schemas.openxmlformats.org/officeDocument/2006/relationships/hyperlink" Target="https://techcombank.com/thong-tin/blog/loi-ich-khi-ho-kinh-doanh-chuyen-len-doanh-nghiep" TargetMode="External"/><Relationship Id="rId3341" Type="http://schemas.openxmlformats.org/officeDocument/2006/relationships/hyperlink" Target="https://techcombank.com/thong-tin/blog/no-xau-la-gi" TargetMode="External"/><Relationship Id="rId2012" Type="http://schemas.openxmlformats.org/officeDocument/2006/relationships/hyperlink" Target="https://techcombank.com/thong-tin/blog/tiem-nang-chuyen-doi-tu-ho-kinh-doanh-len-doanh-nghiep-sme" TargetMode="External"/><Relationship Id="rId3344" Type="http://schemas.openxmlformats.org/officeDocument/2006/relationships/hyperlink" Target="https://techcombank.com/thong-tin/blog/ho-so-vay-tin-chap" TargetMode="External"/><Relationship Id="rId2013" Type="http://schemas.openxmlformats.org/officeDocument/2006/relationships/hyperlink" Target="https://techcombank.com/thong-tin/blog/lai-suat-vay-kinh-doanh" TargetMode="External"/><Relationship Id="rId3343" Type="http://schemas.openxmlformats.org/officeDocument/2006/relationships/hyperlink" Target="https://techcombank.com/thong-tin/blog/no-xau-co-lam-the-visa-duoc-khong" TargetMode="External"/><Relationship Id="rId2014" Type="http://schemas.openxmlformats.org/officeDocument/2006/relationships/hyperlink" Target="https://techcombank.com/thong-tin/blog/chuyen-doi-ho-kinh-doanh-len-doanh-nghiep" TargetMode="External"/><Relationship Id="rId3346" Type="http://schemas.openxmlformats.org/officeDocument/2006/relationships/hyperlink" Target="https://techcombank.com/thong-tin/blog/no-nhom-3" TargetMode="External"/><Relationship Id="rId2015" Type="http://schemas.openxmlformats.org/officeDocument/2006/relationships/hyperlink" Target="https://techcombank.com/thong-tin/blog/thanh-toan-khong-dung-tien-mat" TargetMode="External"/><Relationship Id="rId3345" Type="http://schemas.openxmlformats.org/officeDocument/2006/relationships/hyperlink" Target="https://techcombank.com/thong-tin/blog/thanh-toan-toi-thieu-the-tin-dung" TargetMode="External"/><Relationship Id="rId2049" Type="http://schemas.openxmlformats.org/officeDocument/2006/relationships/hyperlink" Target="https://techcombank.com/thong-tin/blog/lien-ket-tai-khoan-ngan-hang-voi-etax-mobile" TargetMode="External"/><Relationship Id="rId129" Type="http://schemas.openxmlformats.org/officeDocument/2006/relationships/hyperlink" Target="https://techcombank.com/thong-tin/blog/von-luu-dong-la-gi" TargetMode="External"/><Relationship Id="rId128" Type="http://schemas.openxmlformats.org/officeDocument/2006/relationships/hyperlink" Target="https://techcombank.com/thong-tin/blog/vay-von-doanh-nghiep-nho" TargetMode="External"/><Relationship Id="rId127" Type="http://schemas.openxmlformats.org/officeDocument/2006/relationships/hyperlink" Target="https://techcombank.com/thong-tin/blog/ebitda-la-gi" TargetMode="External"/><Relationship Id="rId126" Type="http://schemas.openxmlformats.org/officeDocument/2006/relationships/hyperlink" Target="https://techcombank.com/thong-tin/blog/roa" TargetMode="External"/><Relationship Id="rId3371" Type="http://schemas.openxmlformats.org/officeDocument/2006/relationships/hyperlink" Target="https://techcombank.com/thong-tin/blog/chien-luoc-dau-tu" TargetMode="External"/><Relationship Id="rId2040" Type="http://schemas.openxmlformats.org/officeDocument/2006/relationships/hyperlink" Target="https://techcombank.com/thong-tin/blog/loi-ich-khi-ho-kinh-doanh-chuyen-len-doanh-nghiep" TargetMode="External"/><Relationship Id="rId3370" Type="http://schemas.openxmlformats.org/officeDocument/2006/relationships/hyperlink" Target="https://techcombank.com/thong-tin/blog/dau-tu-ngan-han" TargetMode="External"/><Relationship Id="rId121" Type="http://schemas.openxmlformats.org/officeDocument/2006/relationships/hyperlink" Target="https://techcombank.com/thong-tin/blog/lai-suat-vay-kinh-doanh" TargetMode="External"/><Relationship Id="rId2041" Type="http://schemas.openxmlformats.org/officeDocument/2006/relationships/hyperlink" Target="https://techcombank.com/thong-tin/blog/tiem-nang-chuyen-doi-tu-ho-kinh-doanh-len-doanh-nghiep-sme" TargetMode="External"/><Relationship Id="rId3373" Type="http://schemas.openxmlformats.org/officeDocument/2006/relationships/hyperlink" Target="https://techcombank.com/thong-tin/blog/thoi-gian-khop-lech-chung-chi-quy" TargetMode="External"/><Relationship Id="rId120" Type="http://schemas.openxmlformats.org/officeDocument/2006/relationships/hyperlink" Target="https://techcombank.com/thong-tin/blog/nhung-ho-kinh-doanh-duoc-mien-thue" TargetMode="External"/><Relationship Id="rId2042" Type="http://schemas.openxmlformats.org/officeDocument/2006/relationships/hyperlink" Target="https://techcombank.com/thong-tin/blog/lai-suat-vay-kinh-doanh" TargetMode="External"/><Relationship Id="rId3372" Type="http://schemas.openxmlformats.org/officeDocument/2006/relationships/hyperlink" Target="https://techcombank.com/thong-tin/blog/app-gui-tien-tiet-kiem" TargetMode="External"/><Relationship Id="rId2043" Type="http://schemas.openxmlformats.org/officeDocument/2006/relationships/hyperlink" Target="https://techcombank.com/thong-tin/blog/chuyen-doi-ho-kinh-doanh-len-doanh-nghiep" TargetMode="External"/><Relationship Id="rId3375" Type="http://schemas.openxmlformats.org/officeDocument/2006/relationships/hyperlink" Target="https://techcombank.com/thong-tin/blog/cam-nang-dinh-cu-my" TargetMode="External"/><Relationship Id="rId2044" Type="http://schemas.openxmlformats.org/officeDocument/2006/relationships/hyperlink" Target="https://techcombank.com/thong-tin/blog/thanh-toan-khong-dung-tien-mat" TargetMode="External"/><Relationship Id="rId3374" Type="http://schemas.openxmlformats.org/officeDocument/2006/relationships/hyperlink" Target="https://techcombank.com/thong-tin/blog/cac-chung-chi-quy-o-viet-nam" TargetMode="External"/><Relationship Id="rId125" Type="http://schemas.openxmlformats.org/officeDocument/2006/relationships/hyperlink" Target="https://techcombank.com/thong-tin/blog/vay-bo-sung-von-luu-dong" TargetMode="External"/><Relationship Id="rId2045" Type="http://schemas.openxmlformats.org/officeDocument/2006/relationships/hyperlink" Target="https://techcombank.com/thong-tin/blog/mo-tai-khoan-ho-kinh-doanh" TargetMode="External"/><Relationship Id="rId3377" Type="http://schemas.openxmlformats.org/officeDocument/2006/relationships/hyperlink" Target="https://techcombank.com/thong-tin/blog/lap-ke-hoach-tai-chinh-ca-nhan" TargetMode="External"/><Relationship Id="rId124" Type="http://schemas.openxmlformats.org/officeDocument/2006/relationships/hyperlink" Target="https://techcombank.com/thong-tin/blog/tin-dung-doanh-nghiep" TargetMode="External"/><Relationship Id="rId2046" Type="http://schemas.openxmlformats.org/officeDocument/2006/relationships/hyperlink" Target="https://techcombank.com/thong-tin/blog/nen-thanh-lap-ho-kinh-doanh-ke-khai-hay-doanh-nghiep" TargetMode="External"/><Relationship Id="rId3376" Type="http://schemas.openxmlformats.org/officeDocument/2006/relationships/hyperlink" Target="https://techcombank.com/thong-tin/blog/gia-chung-chi-quy-la-gi" TargetMode="External"/><Relationship Id="rId123" Type="http://schemas.openxmlformats.org/officeDocument/2006/relationships/hyperlink" Target="https://techcombank.com/thong-tin/blog/bao-lanh-ngan-hang-infographic" TargetMode="External"/><Relationship Id="rId2047" Type="http://schemas.openxmlformats.org/officeDocument/2006/relationships/hyperlink" Target="https://techcombank.com/thong-tin/blog/vay-tin-chap-ho-kinh-doanh" TargetMode="External"/><Relationship Id="rId3379" Type="http://schemas.openxmlformats.org/officeDocument/2006/relationships/hyperlink" Target="https://techcombank.com/thong-tin/blog/lai-suat-chung-chi-quy" TargetMode="External"/><Relationship Id="rId122" Type="http://schemas.openxmlformats.org/officeDocument/2006/relationships/hyperlink" Target="https://techcombank.com/thong-tin/blog/bao-lanh-bao-hanh" TargetMode="External"/><Relationship Id="rId2048" Type="http://schemas.openxmlformats.org/officeDocument/2006/relationships/hyperlink" Target="https://techcombank.com/thong-tin/blog/tra-cuu-no-thue-ho-kinh-doanh" TargetMode="External"/><Relationship Id="rId3378" Type="http://schemas.openxmlformats.org/officeDocument/2006/relationships/hyperlink" Target="https://techcombank.com/thong-tin/blog/chung-chi-quy-va-chung-khoan" TargetMode="External"/><Relationship Id="rId2038" Type="http://schemas.openxmlformats.org/officeDocument/2006/relationships/hyperlink" Target="https://techcombank.com/thong-tin/blog/thue-ho-kinh-doanh-2025" TargetMode="External"/><Relationship Id="rId2039" Type="http://schemas.openxmlformats.org/officeDocument/2006/relationships/hyperlink" Target="https://techcombank.com/thong-tin/blog/cach-tao-ma-qr" TargetMode="External"/><Relationship Id="rId3369" Type="http://schemas.openxmlformats.org/officeDocument/2006/relationships/hyperlink" Target="https://techcombank.com/thong-tin/blog/lai-suat-vay-ngan-hang" TargetMode="External"/><Relationship Id="rId118" Type="http://schemas.openxmlformats.org/officeDocument/2006/relationships/hyperlink" Target="https://techcombank.com/thong-tin/blog/cach-su-dung-tai-khoan-cong-ty" TargetMode="External"/><Relationship Id="rId117" Type="http://schemas.openxmlformats.org/officeDocument/2006/relationships/hyperlink" Target="https://techcombank.com/thong-tin/blog/vay-the-chap-kinh-doanh" TargetMode="External"/><Relationship Id="rId116" Type="http://schemas.openxmlformats.org/officeDocument/2006/relationships/hyperlink" Target="https://techcombank.com/thong-tin/blog/chinh-sach-thue-moi" TargetMode="External"/><Relationship Id="rId115" Type="http://schemas.openxmlformats.org/officeDocument/2006/relationships/hyperlink" Target="https://techcombank.com/thong-tin/blog/chuyen-doi-hoa-don-dien-tu" TargetMode="External"/><Relationship Id="rId3360" Type="http://schemas.openxmlformats.org/officeDocument/2006/relationships/hyperlink" Target="https://techcombank.com/thong-tin/blog/thi-truong-trai-phieu-co-hoi-dau-tu-trai-phieu-vang-du-lai-suat-thap" TargetMode="External"/><Relationship Id="rId119" Type="http://schemas.openxmlformats.org/officeDocument/2006/relationships/hyperlink" Target="https://techcombank.com/thong-tin/blog/cach-tinh-thue-ho-kinh-doanh-nho-le" TargetMode="External"/><Relationship Id="rId110" Type="http://schemas.openxmlformats.org/officeDocument/2006/relationships/hyperlink" Target="https://techcombank.com/thong-tin/blog/luu-y-khi-chuyen-doi-tu-ho-kinh-doanh-len-doanh-nghiep" TargetMode="External"/><Relationship Id="rId2030" Type="http://schemas.openxmlformats.org/officeDocument/2006/relationships/hyperlink" Target="https://techcombank.com/thong-tin/blog/tra-cuu-ma-so-thue-ho-kinh-doanh" TargetMode="External"/><Relationship Id="rId3362" Type="http://schemas.openxmlformats.org/officeDocument/2006/relationships/hyperlink" Target="https://techcombank.com/thong-tin/blog/bang-gia-chung-chi-quy" TargetMode="External"/><Relationship Id="rId2031" Type="http://schemas.openxmlformats.org/officeDocument/2006/relationships/hyperlink" Target="https://techcombank.com/thong-tin/blog/ke-khai-thue-ho-kinh-doanh-ca-the-online" TargetMode="External"/><Relationship Id="rId3361" Type="http://schemas.openxmlformats.org/officeDocument/2006/relationships/hyperlink" Target="https://techcombank.com/thong-tin/blog/gui-tiet-kiem-vang" TargetMode="External"/><Relationship Id="rId2032" Type="http://schemas.openxmlformats.org/officeDocument/2006/relationships/hyperlink" Target="https://techcombank.com/thong-tin/blog/kiem-tra-thue-ho-kinh-doanh" TargetMode="External"/><Relationship Id="rId3364" Type="http://schemas.openxmlformats.org/officeDocument/2006/relationships/hyperlink" Target="https://techcombank.com/thong-tin/blog/dau-tu-tai-chinh-ca-nhan" TargetMode="External"/><Relationship Id="rId2033" Type="http://schemas.openxmlformats.org/officeDocument/2006/relationships/hyperlink" Target="https://techcombank.com/thong-tin/blog/thue-thuong-mai-dien-tu" TargetMode="External"/><Relationship Id="rId3363" Type="http://schemas.openxmlformats.org/officeDocument/2006/relationships/hyperlink" Target="https://techcombank.com/thong-tin/blog/cach-dau-tu" TargetMode="External"/><Relationship Id="rId114" Type="http://schemas.openxmlformats.org/officeDocument/2006/relationships/hyperlink" Target="https://techcombank.com/thong-tin/blog/cach-tao-ma-qr" TargetMode="External"/><Relationship Id="rId2034" Type="http://schemas.openxmlformats.org/officeDocument/2006/relationships/hyperlink" Target="https://techcombank.com/thong-tin/blog/chinh-sach-thue-moi" TargetMode="External"/><Relationship Id="rId3366" Type="http://schemas.openxmlformats.org/officeDocument/2006/relationships/hyperlink" Target="https://techcombank.com/thong-tin/blog/vi-du-ve-ca-nhan-hoa" TargetMode="External"/><Relationship Id="rId113" Type="http://schemas.openxmlformats.org/officeDocument/2006/relationships/hyperlink" Target="https://techcombank.com/thong-tin/blog/dang-ky-ma-so-thue-ca-nhan" TargetMode="External"/><Relationship Id="rId2035" Type="http://schemas.openxmlformats.org/officeDocument/2006/relationships/hyperlink" Target="https://techcombank.com/thong-tin/blog/ho-kinh-doanh-ca-the" TargetMode="External"/><Relationship Id="rId3365" Type="http://schemas.openxmlformats.org/officeDocument/2006/relationships/hyperlink" Target="https://techcombank.com/thong-tin/blog/dau-tu-dai-han" TargetMode="External"/><Relationship Id="rId112" Type="http://schemas.openxmlformats.org/officeDocument/2006/relationships/hyperlink" Target="https://techcombank.com/thong-tin/blog/thue-doanh-nghiep" TargetMode="External"/><Relationship Id="rId2036" Type="http://schemas.openxmlformats.org/officeDocument/2006/relationships/hyperlink" Target="https://techcombank.com/thong-tin/blog/ho-kinh-doanh-la-gi" TargetMode="External"/><Relationship Id="rId3368" Type="http://schemas.openxmlformats.org/officeDocument/2006/relationships/hyperlink" Target="https://techcombank.com/thong-tin/blog/dinh-cu-chau-au" TargetMode="External"/><Relationship Id="rId111" Type="http://schemas.openxmlformats.org/officeDocument/2006/relationships/hyperlink" Target="https://techcombank.com/thong-tin/blog/cach-kiem-tra-tai-khoan-ngan-hang-cua-cong-ty" TargetMode="External"/><Relationship Id="rId2037" Type="http://schemas.openxmlformats.org/officeDocument/2006/relationships/hyperlink" Target="https://techcombank.com/thong-tin/blog/thanh-lap-ho-kinh-doanh-ca-the" TargetMode="External"/><Relationship Id="rId3367" Type="http://schemas.openxmlformats.org/officeDocument/2006/relationships/hyperlink" Target="https://techcombank.com/thong-tin/blog/tien-nhan-roi-nen-lam-gi" TargetMode="External"/><Relationship Id="rId3315" Type="http://schemas.openxmlformats.org/officeDocument/2006/relationships/hyperlink" Target="https://techcombank.com/thong-tin/blog/the-tin-dung-bi-khoa" TargetMode="External"/><Relationship Id="rId3314" Type="http://schemas.openxmlformats.org/officeDocument/2006/relationships/hyperlink" Target="https://techcombank.com/thong-tin/blog/thanh-toan-toi-thieu-the-tin-dung" TargetMode="External"/><Relationship Id="rId3317" Type="http://schemas.openxmlformats.org/officeDocument/2006/relationships/hyperlink" Target="https://techcombank.com/thong-tin/blog/no-xau-co-vay-the-chap-duoc-khong" TargetMode="External"/><Relationship Id="rId3316" Type="http://schemas.openxmlformats.org/officeDocument/2006/relationships/hyperlink" Target="https://techcombank.com/thong-tin/blog/no-xau-mo-the-tin-dung-duoc-khong" TargetMode="External"/><Relationship Id="rId3319" Type="http://schemas.openxmlformats.org/officeDocument/2006/relationships/hyperlink" Target="https://techcombank.com/thong-tin/blog/lai-suat-qua-han" TargetMode="External"/><Relationship Id="rId3318" Type="http://schemas.openxmlformats.org/officeDocument/2006/relationships/hyperlink" Target="https://techcombank.com/thong-tin/blog/vay-tin-chap-no-xau" TargetMode="External"/><Relationship Id="rId3311" Type="http://schemas.openxmlformats.org/officeDocument/2006/relationships/hyperlink" Target="https://techcombank.com/thong-tin/blog/kiem-tra-no-xau" TargetMode="External"/><Relationship Id="rId3310" Type="http://schemas.openxmlformats.org/officeDocument/2006/relationships/hyperlink" Target="https://techcombank.com/thong-tin/blog/du-no-la-gi" TargetMode="External"/><Relationship Id="rId3313" Type="http://schemas.openxmlformats.org/officeDocument/2006/relationships/hyperlink" Target="https://techcombank.com/thong-tin/blog/no-xau-co-lam-the-visa-duoc-khong" TargetMode="External"/><Relationship Id="rId3312" Type="http://schemas.openxmlformats.org/officeDocument/2006/relationships/hyperlink" Target="https://techcombank.com/thong-tin/blog/qua-han-thanh-toan-the-tin-dung-1-ngay" TargetMode="External"/><Relationship Id="rId3304" Type="http://schemas.openxmlformats.org/officeDocument/2006/relationships/hyperlink" Target="https://techcombank.com/thong-tin/blog/lai-suat-vay-tin-chap" TargetMode="External"/><Relationship Id="rId3303" Type="http://schemas.openxmlformats.org/officeDocument/2006/relationships/hyperlink" Target="https://techcombank.com/thong-tin/blog/vay-tien-mat" TargetMode="External"/><Relationship Id="rId3306" Type="http://schemas.openxmlformats.org/officeDocument/2006/relationships/hyperlink" Target="https://techcombank.com/thong-tin/blog/nang-han-muc-tin-dung" TargetMode="External"/><Relationship Id="rId3305" Type="http://schemas.openxmlformats.org/officeDocument/2006/relationships/hyperlink" Target="https://techcombank.com/thong-tin/blog/vay-tin-chap-la-gi" TargetMode="External"/><Relationship Id="rId3308" Type="http://schemas.openxmlformats.org/officeDocument/2006/relationships/hyperlink" Target="https://techcombank.com/thong-tin/blog/ho-so-vay-tin-chap" TargetMode="External"/><Relationship Id="rId3307" Type="http://schemas.openxmlformats.org/officeDocument/2006/relationships/hyperlink" Target="https://techcombank.com/thong-tin/blog/vay-thau-chi-la-gi" TargetMode="External"/><Relationship Id="rId3309" Type="http://schemas.openxmlformats.org/officeDocument/2006/relationships/hyperlink" Target="https://techcombank.com/thong-tin/blog/phi-rut-tien-mat-the-tin-dung" TargetMode="External"/><Relationship Id="rId3300" Type="http://schemas.openxmlformats.org/officeDocument/2006/relationships/hyperlink" Target="https://techcombank.com/thong-tin/blog/nim-la-gi" TargetMode="External"/><Relationship Id="rId3302" Type="http://schemas.openxmlformats.org/officeDocument/2006/relationships/hyperlink" Target="https://techcombank.com/thong-tin/blog/the-tin-dung-phu-la-gi" TargetMode="External"/><Relationship Id="rId3301" Type="http://schemas.openxmlformats.org/officeDocument/2006/relationships/hyperlink" Target="https://techcombank.com/thong-tin/blog/cach-dang-ky-the-visa" TargetMode="External"/><Relationship Id="rId2005" Type="http://schemas.openxmlformats.org/officeDocument/2006/relationships/hyperlink" Target="https://techcombank.com/thong-tin/blog/cach-dang-ky-ma-so-thue-ho-kinh-doanh-online" TargetMode="External"/><Relationship Id="rId3337" Type="http://schemas.openxmlformats.org/officeDocument/2006/relationships/hyperlink" Target="https://techcombank.com/thong-tin/blog/no-chu-y-la-gi" TargetMode="External"/><Relationship Id="rId2006" Type="http://schemas.openxmlformats.org/officeDocument/2006/relationships/hyperlink" Target="https://techcombank.com/thong-tin/blog/quan-ly-chuoi-cua-hang" TargetMode="External"/><Relationship Id="rId3336" Type="http://schemas.openxmlformats.org/officeDocument/2006/relationships/hyperlink" Target="https://techcombank.com/thong-tin/blog/nen-vay-tin-chap-o-dau" TargetMode="External"/><Relationship Id="rId2007" Type="http://schemas.openxmlformats.org/officeDocument/2006/relationships/hyperlink" Target="https://techcombank.com/thong-tin/blog/ho-kinh-doanh-la-gi" TargetMode="External"/><Relationship Id="rId3339" Type="http://schemas.openxmlformats.org/officeDocument/2006/relationships/hyperlink" Target="https://techcombank.com/thong-tin/blog/no-xau" TargetMode="External"/><Relationship Id="rId2008" Type="http://schemas.openxmlformats.org/officeDocument/2006/relationships/hyperlink" Target="https://techcombank.com/thong-tin/blog/thue-ho-kinh-doanh-2025" TargetMode="External"/><Relationship Id="rId3338" Type="http://schemas.openxmlformats.org/officeDocument/2006/relationships/hyperlink" Target="https://techcombank.com/thong-tin/blog/kiem-tra-no-xau" TargetMode="External"/><Relationship Id="rId2009" Type="http://schemas.openxmlformats.org/officeDocument/2006/relationships/hyperlink" Target="https://techcombank.com/thong-tin/blog/cach-tao-ma-qr" TargetMode="External"/><Relationship Id="rId3331" Type="http://schemas.openxmlformats.org/officeDocument/2006/relationships/hyperlink" Target="https://techcombank.com/thong-tin/blog/vay-tin-chap-cho-doanh-nghiep-moi-thanh-lap" TargetMode="External"/><Relationship Id="rId2000" Type="http://schemas.openxmlformats.org/officeDocument/2006/relationships/hyperlink" Target="https://techcombank.com/thong-tin/blog/loa-ting-ting" TargetMode="External"/><Relationship Id="rId3330" Type="http://schemas.openxmlformats.org/officeDocument/2006/relationships/hyperlink" Target="https://techcombank.com/thong-tin/blog/vay-tin-chap-ho-kinh-doanh" TargetMode="External"/><Relationship Id="rId2001" Type="http://schemas.openxmlformats.org/officeDocument/2006/relationships/hyperlink" Target="https://techcombank.com/thong-tin/blog/ho-kinh-doanh-can-gi-o-tai-khoan-ngan-hang" TargetMode="External"/><Relationship Id="rId3333" Type="http://schemas.openxmlformats.org/officeDocument/2006/relationships/hyperlink" Target="https://techcombank.com/thong-tin/blog/cac-hinh-thuc-vay-von-ngan-hang" TargetMode="External"/><Relationship Id="rId2002" Type="http://schemas.openxmlformats.org/officeDocument/2006/relationships/hyperlink" Target="https://techcombank.com/thong-tin/blog/thanh-lap-ho-kinh-doanh-ca-the" TargetMode="External"/><Relationship Id="rId3332" Type="http://schemas.openxmlformats.org/officeDocument/2006/relationships/hyperlink" Target="https://techcombank.com/thong-tin/blog/thu-tuc-vay-von-kinh-doanh-nho" TargetMode="External"/><Relationship Id="rId2003" Type="http://schemas.openxmlformats.org/officeDocument/2006/relationships/hyperlink" Target="https://techcombank.com/thong-tin/blog/khai-bao-tai-khoan-ngan-hang-voi-co-quan-thue" TargetMode="External"/><Relationship Id="rId3335" Type="http://schemas.openxmlformats.org/officeDocument/2006/relationships/hyperlink" Target="https://techcombank.com/thong-tin/blog/tin-chap-doanh-nghiep" TargetMode="External"/><Relationship Id="rId2004" Type="http://schemas.openxmlformats.org/officeDocument/2006/relationships/hyperlink" Target="https://techcombank.com/thong-tin/blog/ho-kinh-doanh-ca-the" TargetMode="External"/><Relationship Id="rId3334" Type="http://schemas.openxmlformats.org/officeDocument/2006/relationships/hyperlink" Target="https://techcombank.com/thong-tin/blog/vay-san-xuat-kinh-doanh" TargetMode="External"/><Relationship Id="rId3326" Type="http://schemas.openxmlformats.org/officeDocument/2006/relationships/hyperlink" Target="https://techcombank.com/thong-tin/blog/no-the-tin-dung-qua-han" TargetMode="External"/><Relationship Id="rId3325" Type="http://schemas.openxmlformats.org/officeDocument/2006/relationships/hyperlink" Target="https://techcombank.com/thong-tin/blog/lai-suat-qua-han" TargetMode="External"/><Relationship Id="rId3328" Type="http://schemas.openxmlformats.org/officeDocument/2006/relationships/hyperlink" Target="https://techcombank.com/thong-tin/blog/lam-ho-so-tra-gop-dien-thoai" TargetMode="External"/><Relationship Id="rId3327" Type="http://schemas.openxmlformats.org/officeDocument/2006/relationships/hyperlink" Target="https://techcombank.com/thong-tin/blog/vay-tin-chap-la-gi" TargetMode="External"/><Relationship Id="rId3329" Type="http://schemas.openxmlformats.org/officeDocument/2006/relationships/hyperlink" Target="https://techcombank.com/thong-tin/blog/du-no-la-gi" TargetMode="External"/><Relationship Id="rId3320" Type="http://schemas.openxmlformats.org/officeDocument/2006/relationships/hyperlink" Target="https://techcombank.com/thong-tin/blog/cic-la-gi" TargetMode="External"/><Relationship Id="rId3322" Type="http://schemas.openxmlformats.org/officeDocument/2006/relationships/hyperlink" Target="https://techcombank.com/thong-tin/blog/dieu-kien-vay-the-chap" TargetMode="External"/><Relationship Id="rId3321" Type="http://schemas.openxmlformats.org/officeDocument/2006/relationships/hyperlink" Target="https://techcombank.com/thong-tin/blog/vay-tin-chap-theo-luong" TargetMode="External"/><Relationship Id="rId3324" Type="http://schemas.openxmlformats.org/officeDocument/2006/relationships/hyperlink" Target="https://techcombank.com/thong-tin/blog/vay-the-chap-khong-tra-duoc" TargetMode="External"/><Relationship Id="rId3323" Type="http://schemas.openxmlformats.org/officeDocument/2006/relationships/hyperlink" Target="https://techcombank.com/thong-tin/blog/vay-the-chap-khong-tra-duoc" TargetMode="External"/><Relationship Id="rId2090" Type="http://schemas.openxmlformats.org/officeDocument/2006/relationships/hyperlink" Target="https://techcombank.com/thong-tin/blog/tra-gop-hoc-phi" TargetMode="External"/><Relationship Id="rId2091" Type="http://schemas.openxmlformats.org/officeDocument/2006/relationships/hyperlink" Target="https://techcombank.com/thong-tin/blog/lai-suat-la-gi" TargetMode="External"/><Relationship Id="rId2092" Type="http://schemas.openxmlformats.org/officeDocument/2006/relationships/hyperlink" Target="https://techcombank.com/thong-tin/blog/tra-gop-lazada" TargetMode="External"/><Relationship Id="rId2093" Type="http://schemas.openxmlformats.org/officeDocument/2006/relationships/hyperlink" Target="https://techcombank.com/thong-tin/blog/lai-suat-vay-the-chap-so-do" TargetMode="External"/><Relationship Id="rId2094" Type="http://schemas.openxmlformats.org/officeDocument/2006/relationships/hyperlink" Target="https://techcombank.com/thong-tin/blog/nen-mua-xe-tra-gop-hay-tra-thang" TargetMode="External"/><Relationship Id="rId2095" Type="http://schemas.openxmlformats.org/officeDocument/2006/relationships/hyperlink" Target="https://techcombank.com/thong-tin/blog/vay-15-trieu" TargetMode="External"/><Relationship Id="rId2096" Type="http://schemas.openxmlformats.org/officeDocument/2006/relationships/hyperlink" Target="https://techcombank.com/thong-tin/blog/sao-ke-the-tin-dung-la-gi" TargetMode="External"/><Relationship Id="rId2097" Type="http://schemas.openxmlformats.org/officeDocument/2006/relationships/hyperlink" Target="https://techcombank.com/thong-tin/blog/lai-suat-vay-tieu-dung" TargetMode="External"/><Relationship Id="rId2098" Type="http://schemas.openxmlformats.org/officeDocument/2006/relationships/hyperlink" Target="https://techcombank.com/thong-tin/blog/lam-ho-so-tra-gop-dien-thoai" TargetMode="External"/><Relationship Id="rId2099" Type="http://schemas.openxmlformats.org/officeDocument/2006/relationships/hyperlink" Target="https://techcombank.com/thong-tin/blog/vay-30-trieu" TargetMode="External"/><Relationship Id="rId2060" Type="http://schemas.openxmlformats.org/officeDocument/2006/relationships/hyperlink" Target="https://techcombank.com/thong-tin/blog/barcode-la-gi" TargetMode="External"/><Relationship Id="rId2061" Type="http://schemas.openxmlformats.org/officeDocument/2006/relationships/hyperlink" Target="https://techcombank.com/thong-tin/blog/du-no-la-gi" TargetMode="External"/><Relationship Id="rId2062" Type="http://schemas.openxmlformats.org/officeDocument/2006/relationships/hyperlink" Target="https://techcombank.com/thong-tin/blog/an-han-no-goc-la-gi" TargetMode="External"/><Relationship Id="rId2063" Type="http://schemas.openxmlformats.org/officeDocument/2006/relationships/hyperlink" Target="https://techcombank.com/thong-tin/blog/lai-suat-tha-noi" TargetMode="External"/><Relationship Id="rId2064" Type="http://schemas.openxmlformats.org/officeDocument/2006/relationships/hyperlink" Target="https://techcombank.com/thong-tin/blog/cong-thuc-tinh-lai-suat-thuc" TargetMode="External"/><Relationship Id="rId2065" Type="http://schemas.openxmlformats.org/officeDocument/2006/relationships/hyperlink" Target="https://techcombank.com/thong-tin/blog/vay-tra-gop" TargetMode="External"/><Relationship Id="rId2066" Type="http://schemas.openxmlformats.org/officeDocument/2006/relationships/hyperlink" Target="https://techcombank.com/thong-tin/blog/phi-vay-the-chap" TargetMode="External"/><Relationship Id="rId2067" Type="http://schemas.openxmlformats.org/officeDocument/2006/relationships/hyperlink" Target="https://techcombank.com/thong-tin/blog/the-tin-dung-phu-la-gi" TargetMode="External"/><Relationship Id="rId2068" Type="http://schemas.openxmlformats.org/officeDocument/2006/relationships/hyperlink" Target="https://techcombank.com/thong-tin/blog/vay-ngan-hang-1-ty-moi-thang-tra-bao-nhieu" TargetMode="External"/><Relationship Id="rId2069" Type="http://schemas.openxmlformats.org/officeDocument/2006/relationships/hyperlink" Target="https://techcombank.com/thong-tin/blog/uu-dai-the-tin-dung-techcombank-signature" TargetMode="External"/><Relationship Id="rId3380" Type="http://schemas.openxmlformats.org/officeDocument/2006/relationships/hyperlink" Target="https://techcombank.com/thong-tin/blog/6-chiec-lo-tai-chinh-ca-nhan" TargetMode="External"/><Relationship Id="rId2050" Type="http://schemas.openxmlformats.org/officeDocument/2006/relationships/hyperlink" Target="https://techcombank.com/thong-tin/blog/hoa-don-dien-tu" TargetMode="External"/><Relationship Id="rId3382" Type="http://schemas.openxmlformats.org/officeDocument/2006/relationships/hyperlink" Target="https://techcombank.com/thong-tin/blog/phan-bo-tai-san" TargetMode="External"/><Relationship Id="rId2051" Type="http://schemas.openxmlformats.org/officeDocument/2006/relationships/hyperlink" Target="https://techcombank.com/thong-tin/blog/truy-thu-thue-ho-kinh-doanh" TargetMode="External"/><Relationship Id="rId3381" Type="http://schemas.openxmlformats.org/officeDocument/2006/relationships/hyperlink" Target="https://techcombank.com/thong-tin/blog/co-nen-gui-chung-chi-tien-gui" TargetMode="External"/><Relationship Id="rId2052" Type="http://schemas.openxmlformats.org/officeDocument/2006/relationships/hyperlink" Target="https://techcombank.com/thong-tin/blog/cac-sai-lam-pho-bien-khi-chuyen-doi-ho-kinh-doanh-len-sme" TargetMode="External"/><Relationship Id="rId3384" Type="http://schemas.openxmlformats.org/officeDocument/2006/relationships/drawing" Target="../drawings/drawing3.xml"/><Relationship Id="rId2053" Type="http://schemas.openxmlformats.org/officeDocument/2006/relationships/hyperlink" Target="https://techcombank.com/thong-tin/blog/ho-kinh-doanh-dong-thue-nhu-nao" TargetMode="External"/><Relationship Id="rId3383" Type="http://schemas.openxmlformats.org/officeDocument/2006/relationships/hyperlink" Target="https://techcombank.com/thong-tin/blog/phan-mem-lap-ke-hoach-tai-chinh-ca-nhan" TargetMode="External"/><Relationship Id="rId2054" Type="http://schemas.openxmlformats.org/officeDocument/2006/relationships/hyperlink" Target="https://techcombank.com/thong-tin/blog/chuyen-doi-hoa-don-dien-tu" TargetMode="External"/><Relationship Id="rId2055" Type="http://schemas.openxmlformats.org/officeDocument/2006/relationships/hyperlink" Target="https://techcombank.com/thong-tin/blog/dang-ky-kinh-doanh-la-gi" TargetMode="External"/><Relationship Id="rId2056" Type="http://schemas.openxmlformats.org/officeDocument/2006/relationships/hyperlink" Target="https://techcombank.com/thong-tin/blog/thay-doi-dia-chi-ho-kinh-doanh" TargetMode="External"/><Relationship Id="rId2057" Type="http://schemas.openxmlformats.org/officeDocument/2006/relationships/hyperlink" Target="https://techcombank.com/thong-tin/blog/cach-dang-ky-ma-so-thue-ho-kinh-doanh-online" TargetMode="External"/><Relationship Id="rId2058" Type="http://schemas.openxmlformats.org/officeDocument/2006/relationships/hyperlink" Target="https://techcombank.com/thong-tin/blog/nhung-ho-kinh-doanh-duoc-mien-thue" TargetMode="External"/><Relationship Id="rId2059" Type="http://schemas.openxmlformats.org/officeDocument/2006/relationships/hyperlink" Target="https://techcombank.com/thong-tin/blog/luu-y-khi-chuyen-doi-tu-ho-kinh-doanh-len-doanh-nghiep" TargetMode="External"/><Relationship Id="rId2080" Type="http://schemas.openxmlformats.org/officeDocument/2006/relationships/hyperlink" Target="https://techcombank.com/thong-tin/blog/tat-toan" TargetMode="External"/><Relationship Id="rId2081" Type="http://schemas.openxmlformats.org/officeDocument/2006/relationships/hyperlink" Target="https://techcombank.com/thong-tin/blog/dao-han-la-gi" TargetMode="External"/><Relationship Id="rId2082" Type="http://schemas.openxmlformats.org/officeDocument/2006/relationships/hyperlink" Target="https://techcombank.com/thong-tin/blog/vay-mua-xe-tra-gop-ngan-hang-nao-tot-nhat" TargetMode="External"/><Relationship Id="rId2083" Type="http://schemas.openxmlformats.org/officeDocument/2006/relationships/hyperlink" Target="https://techcombank.com/thong-tin/blog/lai-suat-vay-thau-chi" TargetMode="External"/><Relationship Id="rId2084" Type="http://schemas.openxmlformats.org/officeDocument/2006/relationships/hyperlink" Target="https://techcombank.com/thong-tin/blog/vay-mua-nha-tra-gop" TargetMode="External"/><Relationship Id="rId2085" Type="http://schemas.openxmlformats.org/officeDocument/2006/relationships/hyperlink" Target="https://techcombank.com/thong-tin/blog/cach-thanh-toan-the-tin-dung" TargetMode="External"/><Relationship Id="rId2086" Type="http://schemas.openxmlformats.org/officeDocument/2006/relationships/hyperlink" Target="https://techcombank.com/thong-tin/blog/quy-trinh-tat-toan-khoan-vay-the-chap" TargetMode="External"/><Relationship Id="rId2087" Type="http://schemas.openxmlformats.org/officeDocument/2006/relationships/hyperlink" Target="https://techcombank.com/thong-tin/blog/vay-40-trieu" TargetMode="External"/><Relationship Id="rId2088" Type="http://schemas.openxmlformats.org/officeDocument/2006/relationships/hyperlink" Target="https://techcombank.com/thong-tin/blog/thu-tuc-mua-xe-tra-gop" TargetMode="External"/><Relationship Id="rId2089" Type="http://schemas.openxmlformats.org/officeDocument/2006/relationships/hyperlink" Target="https://techcombank.com/thong-tin/blog/vay-100-trieu" TargetMode="External"/><Relationship Id="rId2070" Type="http://schemas.openxmlformats.org/officeDocument/2006/relationships/hyperlink" Target="https://techcombank.com/thong-tin/blog/lai-suat-tiet-kiem" TargetMode="External"/><Relationship Id="rId2071" Type="http://schemas.openxmlformats.org/officeDocument/2006/relationships/hyperlink" Target="https://techcombank.com/thong-tin/blog/nen-gui-tiet-kiem-6-thang-hay-1-nam" TargetMode="External"/><Relationship Id="rId2072" Type="http://schemas.openxmlformats.org/officeDocument/2006/relationships/hyperlink" Target="https://techcombank.com/thong-tin/blog/lai-suat-vay-kinh-doanh" TargetMode="External"/><Relationship Id="rId2073" Type="http://schemas.openxmlformats.org/officeDocument/2006/relationships/hyperlink" Target="https://techcombank.com/thong-tin/blog/cac-hinh-thuc-vay-von-ngan-hang" TargetMode="External"/><Relationship Id="rId2074" Type="http://schemas.openxmlformats.org/officeDocument/2006/relationships/hyperlink" Target="https://techcombank.com/thong-tin/blog/loi-nhuan" TargetMode="External"/><Relationship Id="rId2075" Type="http://schemas.openxmlformats.org/officeDocument/2006/relationships/hyperlink" Target="https://techcombank.com/thong-tin/blog/co-nen-mua-o-to-tra-gop" TargetMode="External"/><Relationship Id="rId2076" Type="http://schemas.openxmlformats.org/officeDocument/2006/relationships/hyperlink" Target="https://techcombank.com/thong-tin/blog/vay-300-trieu" TargetMode="External"/><Relationship Id="rId2077" Type="http://schemas.openxmlformats.org/officeDocument/2006/relationships/hyperlink" Target="https://techcombank.com/thong-tin/blog/rui-ro-khi-vay-the-chap-ngan-hang" TargetMode="External"/><Relationship Id="rId2078" Type="http://schemas.openxmlformats.org/officeDocument/2006/relationships/hyperlink" Target="https://techcombank.com/thong-tin/blog/vay-tin-chap-va-vay-the-chap" TargetMode="External"/><Relationship Id="rId2079" Type="http://schemas.openxmlformats.org/officeDocument/2006/relationships/hyperlink" Target="https://techcombank.com/thong-tin/blog/lai-suat-vay-the-chap" TargetMode="External"/><Relationship Id="rId2940" Type="http://schemas.openxmlformats.org/officeDocument/2006/relationships/hyperlink" Target="https://techcombank.com/thong-tin/blog/vay-the-chap-xe-o-to-cu" TargetMode="External"/><Relationship Id="rId1610" Type="http://schemas.openxmlformats.org/officeDocument/2006/relationships/hyperlink" Target="https://techcombank.com/thong-tin/blog/chuyen-tien-di-uc" TargetMode="External"/><Relationship Id="rId2941" Type="http://schemas.openxmlformats.org/officeDocument/2006/relationships/hyperlink" Target="https://techcombank.com/thong-tin/blog/cach-tinh-lai-vay-ngan-hang" TargetMode="External"/><Relationship Id="rId1611" Type="http://schemas.openxmlformats.org/officeDocument/2006/relationships/hyperlink" Target="https://techcombank.com/thong-tin/blog/tien-dai-loan" TargetMode="External"/><Relationship Id="rId2942" Type="http://schemas.openxmlformats.org/officeDocument/2006/relationships/hyperlink" Target="https://techcombank.com/thong-tin/blog/vay-san-xuat-kinh-doanh" TargetMode="External"/><Relationship Id="rId1612" Type="http://schemas.openxmlformats.org/officeDocument/2006/relationships/hyperlink" Target="https://techcombank.com/thong-tin/blog/1-cent-bang-bao-nhieu-tien-viet" TargetMode="External"/><Relationship Id="rId2943" Type="http://schemas.openxmlformats.org/officeDocument/2006/relationships/hyperlink" Target="https://techcombank.com/thong-tin/blog/lai-suat-vay-tin-chap" TargetMode="External"/><Relationship Id="rId1613" Type="http://schemas.openxmlformats.org/officeDocument/2006/relationships/hyperlink" Target="https://techcombank.com/thong-tin/blog/1-do-uc-bang-bao-nhieu-tien-viet" TargetMode="External"/><Relationship Id="rId2944" Type="http://schemas.openxmlformats.org/officeDocument/2006/relationships/hyperlink" Target="https://techcombank.com/thong-tin/blog/cac-hinh-thuc-vay-von-ngan-hang" TargetMode="External"/><Relationship Id="rId1614" Type="http://schemas.openxmlformats.org/officeDocument/2006/relationships/hyperlink" Target="https://techcombank.com/thong-tin/blog/gui-tien-du-hoc" TargetMode="External"/><Relationship Id="rId2945" Type="http://schemas.openxmlformats.org/officeDocument/2006/relationships/hyperlink" Target="https://techcombank.com/thong-tin/blog/vay-tin-chap-va-vay-the-chap" TargetMode="External"/><Relationship Id="rId1615" Type="http://schemas.openxmlformats.org/officeDocument/2006/relationships/hyperlink" Target="https://techcombank.com/thong-tin/blog/chuyen-tien-dinh-cu" TargetMode="External"/><Relationship Id="rId2946" Type="http://schemas.openxmlformats.org/officeDocument/2006/relationships/hyperlink" Target="https://techcombank.com/thong-tin/blog/lai-suat-vay-the-chap-so-do" TargetMode="External"/><Relationship Id="rId1616" Type="http://schemas.openxmlformats.org/officeDocument/2006/relationships/hyperlink" Target="https://techcombank.com/thong-tin/blog/han-muc-mua-ngoai-te-khi-di-du-lich" TargetMode="External"/><Relationship Id="rId2947" Type="http://schemas.openxmlformats.org/officeDocument/2006/relationships/hyperlink" Target="https://techcombank.com/thong-tin/blog/co-100-trieu-co-mua-nen-mua-tra-gop" TargetMode="External"/><Relationship Id="rId907" Type="http://schemas.openxmlformats.org/officeDocument/2006/relationships/hyperlink" Target="https://techcombank.com/thong-tin/blog/dang-ky-ma-so-thue-ca-nhan" TargetMode="External"/><Relationship Id="rId1617" Type="http://schemas.openxmlformats.org/officeDocument/2006/relationships/hyperlink" Target="https://techcombank.com/thong-tin/blog/1-van-tien-dai-loan-bang-bao-nhieu-tien-viet" TargetMode="External"/><Relationship Id="rId2948" Type="http://schemas.openxmlformats.org/officeDocument/2006/relationships/hyperlink" Target="https://techcombank.com/thong-tin/blog/mua-nha-tra-gop-dua-truoc-100-trieu" TargetMode="External"/><Relationship Id="rId906" Type="http://schemas.openxmlformats.org/officeDocument/2006/relationships/hyperlink" Target="https://techcombank.com/thong-tin/blog/cach-mo-tai-khoan" TargetMode="External"/><Relationship Id="rId1618" Type="http://schemas.openxmlformats.org/officeDocument/2006/relationships/hyperlink" Target="https://techcombank.com/thong-tin/blog/1-man-bang-bao-nhieu-tien-viet" TargetMode="External"/><Relationship Id="rId2949" Type="http://schemas.openxmlformats.org/officeDocument/2006/relationships/hyperlink" Target="https://techcombank.com/thong-tin/blog/vay-200-trieu" TargetMode="External"/><Relationship Id="rId905" Type="http://schemas.openxmlformats.org/officeDocument/2006/relationships/hyperlink" Target="https://techcombank.com/thong-tin/blog/mo-tai-khoan-ngan-hang-online-co-an-toan-khong" TargetMode="External"/><Relationship Id="rId1619" Type="http://schemas.openxmlformats.org/officeDocument/2006/relationships/hyperlink" Target="https://techcombank.com/thong-tin/blog/thanh-toan-bang-the-quoc-te" TargetMode="External"/><Relationship Id="rId904" Type="http://schemas.openxmlformats.org/officeDocument/2006/relationships/hyperlink" Target="https://techcombank.com/thong-tin/blog/mo-tai-khoan-ngan-hang-bang-so-dien-thoai" TargetMode="External"/><Relationship Id="rId909" Type="http://schemas.openxmlformats.org/officeDocument/2006/relationships/hyperlink" Target="https://techcombank.com/thong-tin/blog/thanh-toan-khong-cham-tuong-lai-cua-thanh-toan-so-tai-viet-nam" TargetMode="External"/><Relationship Id="rId908" Type="http://schemas.openxmlformats.org/officeDocument/2006/relationships/hyperlink" Target="https://techcombank.com/thong-tin/blog/spaylater" TargetMode="External"/><Relationship Id="rId903" Type="http://schemas.openxmlformats.org/officeDocument/2006/relationships/hyperlink" Target="https://techcombank.com/thong-tin/blog/cach-dang-ky-dinh-danh-muc-2" TargetMode="External"/><Relationship Id="rId902" Type="http://schemas.openxmlformats.org/officeDocument/2006/relationships/hyperlink" Target="https://techcombank.com/thong-tin/blog/ekyc-la-gi" TargetMode="External"/><Relationship Id="rId901" Type="http://schemas.openxmlformats.org/officeDocument/2006/relationships/hyperlink" Target="https://techcombank.com/thong-tin/blog/xac-thuc-sinh-trac-hoc-khi-chuyen-tien" TargetMode="External"/><Relationship Id="rId900" Type="http://schemas.openxmlformats.org/officeDocument/2006/relationships/hyperlink" Target="https://techcombank.com/thong-tin/blog/tra-cuu-han-muc-the-tin-dung" TargetMode="External"/><Relationship Id="rId2930" Type="http://schemas.openxmlformats.org/officeDocument/2006/relationships/hyperlink" Target="https://techcombank.com/thong-tin/blog/dang-vay-tra-gop-co-vay-them-duoc-khong" TargetMode="External"/><Relationship Id="rId1600" Type="http://schemas.openxmlformats.org/officeDocument/2006/relationships/hyperlink" Target="https://techcombank.com/thong-tin/blog/1000-yen-bang-bao-nhieu-tien-viet" TargetMode="External"/><Relationship Id="rId2931" Type="http://schemas.openxmlformats.org/officeDocument/2006/relationships/hyperlink" Target="https://techcombank.com/thong-tin/blog/vay-tra-gop" TargetMode="External"/><Relationship Id="rId1601" Type="http://schemas.openxmlformats.org/officeDocument/2006/relationships/hyperlink" Target="https://techcombank.com/thong-tin/blog/chuyen-tien-tu-nhat-ve-viet-nam" TargetMode="External"/><Relationship Id="rId2932" Type="http://schemas.openxmlformats.org/officeDocument/2006/relationships/hyperlink" Target="https://techcombank.com/thong-tin/blog/quy-trinh-cho-vay-tieu-dung" TargetMode="External"/><Relationship Id="rId1602" Type="http://schemas.openxmlformats.org/officeDocument/2006/relationships/hyperlink" Target="https://techcombank.com/thong-tin/blog/tien-singapore" TargetMode="External"/><Relationship Id="rId2933" Type="http://schemas.openxmlformats.org/officeDocument/2006/relationships/hyperlink" Target="https://techcombank.com/thong-tin/blog/kinh-nghiem-vay-tien-mua-nha" TargetMode="External"/><Relationship Id="rId1603" Type="http://schemas.openxmlformats.org/officeDocument/2006/relationships/hyperlink" Target="https://techcombank.com/thong-tin/blog/di-du-lich-nuoc-ngoai-can-chuan-bi-gi" TargetMode="External"/><Relationship Id="rId2934" Type="http://schemas.openxmlformats.org/officeDocument/2006/relationships/hyperlink" Target="https://techcombank.com/thong-tin/blog/vay-the-chap-hop-dong-mua-ban-can-ho" TargetMode="External"/><Relationship Id="rId1604" Type="http://schemas.openxmlformats.org/officeDocument/2006/relationships/hyperlink" Target="https://techcombank.com/thong-tin/blog/tien-nhat" TargetMode="External"/><Relationship Id="rId2935" Type="http://schemas.openxmlformats.org/officeDocument/2006/relationships/hyperlink" Target="https://techcombank.com/thong-tin/blog/vay-du-hoc" TargetMode="External"/><Relationship Id="rId1605" Type="http://schemas.openxmlformats.org/officeDocument/2006/relationships/hyperlink" Target="https://techcombank.com/thong-tin/blog/1-van-te-bang-bao-nhieu-tien-viet" TargetMode="External"/><Relationship Id="rId2936" Type="http://schemas.openxmlformats.org/officeDocument/2006/relationships/hyperlink" Target="https://techcombank.com/thong-tin/blog/nen-mua-xe-tra-gop-hay-tra-thang" TargetMode="External"/><Relationship Id="rId1606" Type="http://schemas.openxmlformats.org/officeDocument/2006/relationships/hyperlink" Target="https://techcombank.com/thong-tin/blog/1000-te-bang-bao-nhieu-tien-viet" TargetMode="External"/><Relationship Id="rId2937" Type="http://schemas.openxmlformats.org/officeDocument/2006/relationships/hyperlink" Target="https://techcombank.com/thong-tin/blog/lai-suat-vay-mua-o-to" TargetMode="External"/><Relationship Id="rId1607" Type="http://schemas.openxmlformats.org/officeDocument/2006/relationships/hyperlink" Target="https://techcombank.com/thong-tin/blog/100-riel-bang-bao-nhieu-tien-viet-nam" TargetMode="External"/><Relationship Id="rId2938" Type="http://schemas.openxmlformats.org/officeDocument/2006/relationships/hyperlink" Target="https://techcombank.com/thong-tin/blog/tin-chap-doanh-nghiep" TargetMode="External"/><Relationship Id="rId1608" Type="http://schemas.openxmlformats.org/officeDocument/2006/relationships/hyperlink" Target="https://techcombank.com/thong-tin/blog/tien-indonesia" TargetMode="External"/><Relationship Id="rId2939" Type="http://schemas.openxmlformats.org/officeDocument/2006/relationships/hyperlink" Target="https://techcombank.com/thong-tin/blog/vay-mua-nha-o-xa-hoi" TargetMode="External"/><Relationship Id="rId1609" Type="http://schemas.openxmlformats.org/officeDocument/2006/relationships/hyperlink" Target="https://techcombank.com/thong-tin/blog/dieu-kien-mua-usd-tu-ngan-hang" TargetMode="External"/><Relationship Id="rId1631" Type="http://schemas.openxmlformats.org/officeDocument/2006/relationships/hyperlink" Target="https://techcombank.com/thong-tin/blog/1000-yen-bang-bao-nhieu-tien-viet" TargetMode="External"/><Relationship Id="rId2962" Type="http://schemas.openxmlformats.org/officeDocument/2006/relationships/hyperlink" Target="https://techcombank.com/thong-tin/blog/giai-ngan-vay-the-chap" TargetMode="External"/><Relationship Id="rId1632" Type="http://schemas.openxmlformats.org/officeDocument/2006/relationships/hyperlink" Target="https://techcombank.com/thong-tin/blog/chuyen-tien-tu-nhat-ve-viet-nam" TargetMode="External"/><Relationship Id="rId2963" Type="http://schemas.openxmlformats.org/officeDocument/2006/relationships/hyperlink" Target="https://techcombank.com/thong-tin/blog/vay-the-chap-toi-da-duoc-bao-nhieu" TargetMode="External"/><Relationship Id="rId1633" Type="http://schemas.openxmlformats.org/officeDocument/2006/relationships/hyperlink" Target="https://techcombank.com/thong-tin/blog/tien-singapore" TargetMode="External"/><Relationship Id="rId2964" Type="http://schemas.openxmlformats.org/officeDocument/2006/relationships/hyperlink" Target="https://techcombank.com/thong-tin/blog/vay-han-muc-la-gi" TargetMode="External"/><Relationship Id="rId1634" Type="http://schemas.openxmlformats.org/officeDocument/2006/relationships/hyperlink" Target="https://techcombank.com/thong-tin/blog/di-du-lich-nuoc-ngoai-can-chuan-bi-gi" TargetMode="External"/><Relationship Id="rId2965" Type="http://schemas.openxmlformats.org/officeDocument/2006/relationships/hyperlink" Target="https://techcombank.com/thong-tin/blog/vay-tin-chap-theo-luong" TargetMode="External"/><Relationship Id="rId1635" Type="http://schemas.openxmlformats.org/officeDocument/2006/relationships/hyperlink" Target="https://techcombank.com/thong-tin/blog/tien-nhat" TargetMode="External"/><Relationship Id="rId2966" Type="http://schemas.openxmlformats.org/officeDocument/2006/relationships/hyperlink" Target="https://techcombank.com/thong-tin/blog/cac-hinh-thuc-cho-vay-tieu-dung" TargetMode="External"/><Relationship Id="rId1636" Type="http://schemas.openxmlformats.org/officeDocument/2006/relationships/hyperlink" Target="https://techcombank.com/thong-tin/blog/1-van-te-bang-bao-nhieu-tien-viet" TargetMode="External"/><Relationship Id="rId2967" Type="http://schemas.openxmlformats.org/officeDocument/2006/relationships/hyperlink" Target="https://techcombank.com/thong-tin/blog/han-muc-thau-chi-la-gi" TargetMode="External"/><Relationship Id="rId1637" Type="http://schemas.openxmlformats.org/officeDocument/2006/relationships/hyperlink" Target="https://techcombank.com/thong-tin/blog/1000-te-bang-bao-nhieu-tien-viet" TargetMode="External"/><Relationship Id="rId2968" Type="http://schemas.openxmlformats.org/officeDocument/2006/relationships/hyperlink" Target="https://techcombank.com/thong-tin/blog/vay-mua-nha-tra-gop" TargetMode="External"/><Relationship Id="rId1638" Type="http://schemas.openxmlformats.org/officeDocument/2006/relationships/hyperlink" Target="https://techcombank.com/thong-tin/blog/100-riel-bang-bao-nhieu-tien-viet-nam" TargetMode="External"/><Relationship Id="rId2969" Type="http://schemas.openxmlformats.org/officeDocument/2006/relationships/hyperlink" Target="https://techcombank.com/thong-tin/blog/no-xau-nhom-2" TargetMode="External"/><Relationship Id="rId929" Type="http://schemas.openxmlformats.org/officeDocument/2006/relationships/hyperlink" Target="https://techcombank.com/thong-tin/blog/gui-ma-qr-ngan-hang" TargetMode="External"/><Relationship Id="rId1639" Type="http://schemas.openxmlformats.org/officeDocument/2006/relationships/hyperlink" Target="https://techcombank.com/thong-tin/blog/tien-indonesia" TargetMode="External"/><Relationship Id="rId928" Type="http://schemas.openxmlformats.org/officeDocument/2006/relationships/hyperlink" Target="https://techcombank.com/thong-tin/blog/so-tai-khoan-ngan-hang" TargetMode="External"/><Relationship Id="rId927" Type="http://schemas.openxmlformats.org/officeDocument/2006/relationships/hyperlink" Target="https://techcombank.com/thong-tin/blog/thanh-toan-tra-sau-viettel-bang-tai-khoan-ngan-hang" TargetMode="External"/><Relationship Id="rId926" Type="http://schemas.openxmlformats.org/officeDocument/2006/relationships/hyperlink" Target="https://techcombank.com/thong-tin/blog/cach-kiem-tra-tai-khoan-ngan-hang" TargetMode="External"/><Relationship Id="rId921" Type="http://schemas.openxmlformats.org/officeDocument/2006/relationships/hyperlink" Target="https://techcombank.com/thong-tin/blog/cach-chuyen-tien-qua-ma-qr-techcombank" TargetMode="External"/><Relationship Id="rId920" Type="http://schemas.openxmlformats.org/officeDocument/2006/relationships/hyperlink" Target="https://techcombank.com/thong-tin/blog/ngan-hang-thu-huong-la-gi" TargetMode="External"/><Relationship Id="rId925" Type="http://schemas.openxmlformats.org/officeDocument/2006/relationships/hyperlink" Target="https://techcombank.com/thong-tin/blog/chuyen-khoan-lien-ngan-hang" TargetMode="External"/><Relationship Id="rId924" Type="http://schemas.openxmlformats.org/officeDocument/2006/relationships/hyperlink" Target="https://techcombank.com/thong-tin/blog/99999-co-y-nghia-gi" TargetMode="External"/><Relationship Id="rId923" Type="http://schemas.openxmlformats.org/officeDocument/2006/relationships/hyperlink" Target="https://techcombank.com/thong-tin/blog/uu-dai-mua-iphone-18" TargetMode="External"/><Relationship Id="rId922" Type="http://schemas.openxmlformats.org/officeDocument/2006/relationships/hyperlink" Target="https://techcombank.com/thong-tin/blog/nap-tien-vao-tai-khoan-ngan-hang" TargetMode="External"/><Relationship Id="rId2960" Type="http://schemas.openxmlformats.org/officeDocument/2006/relationships/hyperlink" Target="https://techcombank.com/thong-tin/blog/lai-suat-vay-the-chap" TargetMode="External"/><Relationship Id="rId1630" Type="http://schemas.openxmlformats.org/officeDocument/2006/relationships/hyperlink" Target="https://techcombank.com/thong-tin/blog/1000-won-bang-bao-nhieu-tien-viet" TargetMode="External"/><Relationship Id="rId2961" Type="http://schemas.openxmlformats.org/officeDocument/2006/relationships/hyperlink" Target="https://techcombank.com/thong-tin/blog/vay-the-chap-kinh-doanh" TargetMode="External"/><Relationship Id="rId1620" Type="http://schemas.openxmlformats.org/officeDocument/2006/relationships/hyperlink" Target="https://techcombank.com/thong-tin/blog/vay-du-hoc" TargetMode="External"/><Relationship Id="rId2951" Type="http://schemas.openxmlformats.org/officeDocument/2006/relationships/hyperlink" Target="https://techcombank.com/thong-tin/blog/nen-vay-tin-chap-o-dau" TargetMode="External"/><Relationship Id="rId1621" Type="http://schemas.openxmlformats.org/officeDocument/2006/relationships/hyperlink" Target="https://techcombank.com/thong-tin/blog/1-van-tien-dai-loan-bang-bao-nhieu-tien-viet" TargetMode="External"/><Relationship Id="rId2952" Type="http://schemas.openxmlformats.org/officeDocument/2006/relationships/hyperlink" Target="https://techcombank.com/thong-tin/blog/kiem-tra-no-xau" TargetMode="External"/><Relationship Id="rId1622" Type="http://schemas.openxmlformats.org/officeDocument/2006/relationships/hyperlink" Target="https://techcombank.com/thong-tin/blog/ngoai-te-la-gi" TargetMode="External"/><Relationship Id="rId2953" Type="http://schemas.openxmlformats.org/officeDocument/2006/relationships/hyperlink" Target="https://techcombank.com/thong-tin/blog/quy-trinh-tat-toan-khoan-vay-the-chap" TargetMode="External"/><Relationship Id="rId1623" Type="http://schemas.openxmlformats.org/officeDocument/2006/relationships/hyperlink" Target="https://techcombank.com/thong-tin/blog/ty-gia-cac-ngan-hang" TargetMode="External"/><Relationship Id="rId2954" Type="http://schemas.openxmlformats.org/officeDocument/2006/relationships/hyperlink" Target="https://techcombank.com/thong-tin/blog/thu-tuc-mua-xe-tra-gop" TargetMode="External"/><Relationship Id="rId1624" Type="http://schemas.openxmlformats.org/officeDocument/2006/relationships/hyperlink" Target="https://techcombank.com/thong-tin/blog/han-muc-mua-ngoai-te-khi-di-du-lich" TargetMode="External"/><Relationship Id="rId2955" Type="http://schemas.openxmlformats.org/officeDocument/2006/relationships/hyperlink" Target="https://techcombank.com/thong-tin/blog/vay-the-chap-so-hong" TargetMode="External"/><Relationship Id="rId1625" Type="http://schemas.openxmlformats.org/officeDocument/2006/relationships/hyperlink" Target="https://techcombank.com/thong-tin/blog/shang-chi" TargetMode="External"/><Relationship Id="rId2956" Type="http://schemas.openxmlformats.org/officeDocument/2006/relationships/hyperlink" Target="https://techcombank.com/thong-tin/blog/vay-mua-xe-tra-gop-ngan-hang-nao-tot-nhat" TargetMode="External"/><Relationship Id="rId1626" Type="http://schemas.openxmlformats.org/officeDocument/2006/relationships/hyperlink" Target="https://techcombank.com/thong-tin/blog/1-dong-do-la-my-bang-bao-nhieu-tien-viet-nam" TargetMode="External"/><Relationship Id="rId2957" Type="http://schemas.openxmlformats.org/officeDocument/2006/relationships/hyperlink" Target="https://techcombank.com/thong-tin/blog/lai-suat-vay-thau-chi" TargetMode="External"/><Relationship Id="rId1627" Type="http://schemas.openxmlformats.org/officeDocument/2006/relationships/hyperlink" Target="https://techcombank.com/thong-tin/blog/1-te-bang-bao-nhieu-tien-viet-nam" TargetMode="External"/><Relationship Id="rId2958" Type="http://schemas.openxmlformats.org/officeDocument/2006/relationships/hyperlink" Target="https://techcombank.com/thong-tin/blog/vay-100-trieu" TargetMode="External"/><Relationship Id="rId918" Type="http://schemas.openxmlformats.org/officeDocument/2006/relationships/hyperlink" Target="https://techcombank.com/thong-tin/blog/cach-chuyen-khoan-bang-dien-thoai" TargetMode="External"/><Relationship Id="rId1628" Type="http://schemas.openxmlformats.org/officeDocument/2006/relationships/hyperlink" Target="https://techcombank.com/thong-tin/blog/tien-trung-quoc" TargetMode="External"/><Relationship Id="rId2959" Type="http://schemas.openxmlformats.org/officeDocument/2006/relationships/hyperlink" Target="https://techcombank.com/thong-tin/blog/vay-thau-chi-bang-so-tiet-kiem" TargetMode="External"/><Relationship Id="rId917" Type="http://schemas.openxmlformats.org/officeDocument/2006/relationships/hyperlink" Target="https://techcombank.com/thong-tin/blog/the-ghi-no-co-chuyen-khoan-duoc-khong" TargetMode="External"/><Relationship Id="rId1629" Type="http://schemas.openxmlformats.org/officeDocument/2006/relationships/hyperlink" Target="https://techcombank.com/thong-tin/blog/doi-tien-do-o-dau" TargetMode="External"/><Relationship Id="rId916" Type="http://schemas.openxmlformats.org/officeDocument/2006/relationships/hyperlink" Target="https://techcombank.com/thong-tin/blog/cach-chuyen-tien" TargetMode="External"/><Relationship Id="rId915" Type="http://schemas.openxmlformats.org/officeDocument/2006/relationships/hyperlink" Target="https://techcombank.com/thong-tin/blog/1-cmnd-dang-ky-duoc-may-tai-khoan-ngan-hang" TargetMode="External"/><Relationship Id="rId919" Type="http://schemas.openxmlformats.org/officeDocument/2006/relationships/hyperlink" Target="https://techcombank.com/thong-tin/blog/mobile-banking-la-gi" TargetMode="External"/><Relationship Id="rId910" Type="http://schemas.openxmlformats.org/officeDocument/2006/relationships/hyperlink" Target="https://techcombank.com/thong-tin/blog/the-mastercard-la-gi" TargetMode="External"/><Relationship Id="rId914" Type="http://schemas.openxmlformats.org/officeDocument/2006/relationships/hyperlink" Target="https://techcombank.com/thong-tin/blog/cach-chon-so-tai-khoan-dep" TargetMode="External"/><Relationship Id="rId913" Type="http://schemas.openxmlformats.org/officeDocument/2006/relationships/hyperlink" Target="https://techcombank.com/thong-tin/blog/app-vay-tien-nhanh" TargetMode="External"/><Relationship Id="rId912" Type="http://schemas.openxmlformats.org/officeDocument/2006/relationships/hyperlink" Target="https://techcombank.com/thong-tin/blog/cach-khoa-the-ngan-hang" TargetMode="External"/><Relationship Id="rId911" Type="http://schemas.openxmlformats.org/officeDocument/2006/relationships/hyperlink" Target="https://techcombank.com/thong-tin/blog/quy-trinh-gui-tien-tiet-kiem" TargetMode="External"/><Relationship Id="rId2950" Type="http://schemas.openxmlformats.org/officeDocument/2006/relationships/hyperlink" Target="https://techcombank.com/thong-tin/blog/vay-300-trieu" TargetMode="External"/><Relationship Id="rId2900" Type="http://schemas.openxmlformats.org/officeDocument/2006/relationships/hyperlink" Target="https://techcombank.com/thong-tin/blog/wacc-la-gi" TargetMode="External"/><Relationship Id="rId2901" Type="http://schemas.openxmlformats.org/officeDocument/2006/relationships/hyperlink" Target="https://techcombank.com/thong-tin/blog/xep-hang-tin-dung" TargetMode="External"/><Relationship Id="rId2902" Type="http://schemas.openxmlformats.org/officeDocument/2006/relationships/hyperlink" Target="https://techcombank.com/thong-tin/blog/quan-ly-tai-chinh-doanh-nghiep-nho" TargetMode="External"/><Relationship Id="rId2903" Type="http://schemas.openxmlformats.org/officeDocument/2006/relationships/hyperlink" Target="https://techcombank.com/thong-tin/blog/quan-ly-chi-phi-doanh-nghiep" TargetMode="External"/><Relationship Id="rId2904" Type="http://schemas.openxmlformats.org/officeDocument/2006/relationships/hyperlink" Target="https://techcombank.com/thong-tin/blog/nhung-chi-phi-khong-duoc-tru-khi-tinh-thue-tndn" TargetMode="External"/><Relationship Id="rId2905" Type="http://schemas.openxmlformats.org/officeDocument/2006/relationships/hyperlink" Target="https://techcombank.com/thong-tin/blog/fintech-la-gi" TargetMode="External"/><Relationship Id="rId2906" Type="http://schemas.openxmlformats.org/officeDocument/2006/relationships/hyperlink" Target="https://techcombank.com/thong-tin/blog/thanh-ly-tai-san" TargetMode="External"/><Relationship Id="rId2907" Type="http://schemas.openxmlformats.org/officeDocument/2006/relationships/hyperlink" Target="https://techcombank.com/thong-tin/blog/quan-ly-tai-chinh-doanh-nghiep-la-gi" TargetMode="External"/><Relationship Id="rId2908" Type="http://schemas.openxmlformats.org/officeDocument/2006/relationships/hyperlink" Target="https://techcombank.com/thong-tin/blog/doi-xe-xang-lay-xe-dien" TargetMode="External"/><Relationship Id="rId2909" Type="http://schemas.openxmlformats.org/officeDocument/2006/relationships/hyperlink" Target="https://techcombank.com/thong-tin/blog/mo-them-tai-khoan-ngan-hang-cho-cong-ty" TargetMode="External"/><Relationship Id="rId2920" Type="http://schemas.openxmlformats.org/officeDocument/2006/relationships/hyperlink" Target="https://techcombank.com/thong-tin/blog/thay-doi-dia-chi-ho-kinh-doanh" TargetMode="External"/><Relationship Id="rId2921" Type="http://schemas.openxmlformats.org/officeDocument/2006/relationships/hyperlink" Target="https://techcombank.com/thong-tin/blog/kiem-tra-thue-ho-kinh-doanh" TargetMode="External"/><Relationship Id="rId2922" Type="http://schemas.openxmlformats.org/officeDocument/2006/relationships/hyperlink" Target="https://techcombank.com/thong-tin/blog/dang-ky-thue-ho-kinh-doanh-ca-the-online" TargetMode="External"/><Relationship Id="rId2923" Type="http://schemas.openxmlformats.org/officeDocument/2006/relationships/hyperlink" Target="https://techcombank.com/thong-tin/blog/ngan-hang-xanh" TargetMode="External"/><Relationship Id="rId2924" Type="http://schemas.openxmlformats.org/officeDocument/2006/relationships/hyperlink" Target="https://techcombank.com/thong-tin/blog/vay-kinh-doanh-online" TargetMode="External"/><Relationship Id="rId2925" Type="http://schemas.openxmlformats.org/officeDocument/2006/relationships/hyperlink" Target="https://techcombank.com/thong-tin/blog/vay-the-chap-qua-luong" TargetMode="External"/><Relationship Id="rId2926" Type="http://schemas.openxmlformats.org/officeDocument/2006/relationships/hyperlink" Target="https://techcombank.com/thong-tin/blog/vay-tien-mat" TargetMode="External"/><Relationship Id="rId2927" Type="http://schemas.openxmlformats.org/officeDocument/2006/relationships/hyperlink" Target="https://techcombank.com/thong-tin/blog/vay-tin-chap-toi-da-duoc-bao-nhieu" TargetMode="External"/><Relationship Id="rId2928" Type="http://schemas.openxmlformats.org/officeDocument/2006/relationships/hyperlink" Target="https://techcombank.com/thong-tin/blog/kinh-nghiem-vay-tien-ngan-hang-xay-nha" TargetMode="External"/><Relationship Id="rId2929" Type="http://schemas.openxmlformats.org/officeDocument/2006/relationships/hyperlink" Target="https://techcombank.com/thong-tin/blog/lai-suat-vay-ngan-hang" TargetMode="External"/><Relationship Id="rId2910" Type="http://schemas.openxmlformats.org/officeDocument/2006/relationships/hyperlink" Target="https://techcombank.com/thong-tin/blog/thue-thu-nhap-doanh-nghiep" TargetMode="External"/><Relationship Id="rId2911" Type="http://schemas.openxmlformats.org/officeDocument/2006/relationships/hyperlink" Target="https://techcombank.com/thong-tin/blog/co-nen-dung-the-tin-dung-khong" TargetMode="External"/><Relationship Id="rId2912" Type="http://schemas.openxmlformats.org/officeDocument/2006/relationships/hyperlink" Target="https://techcombank.com/thong-tin/blog/doanh-nghiep-moi-thanh-lap-duoc-uu-dai-gi" TargetMode="External"/><Relationship Id="rId2913" Type="http://schemas.openxmlformats.org/officeDocument/2006/relationships/hyperlink" Target="https://techcombank.com/thong-tin/blog/one-stop-shop" TargetMode="External"/><Relationship Id="rId2914" Type="http://schemas.openxmlformats.org/officeDocument/2006/relationships/hyperlink" Target="https://techcombank.com/thong-tin/blog/hoc-cach-tiet-kiem-tien-luong" TargetMode="External"/><Relationship Id="rId2915" Type="http://schemas.openxmlformats.org/officeDocument/2006/relationships/hyperlink" Target="https://techcombank.com/thong-tin/blog/nim-la-gi" TargetMode="External"/><Relationship Id="rId2916" Type="http://schemas.openxmlformats.org/officeDocument/2006/relationships/hyperlink" Target="https://techcombank.com/thong-tin/blog/dang-ky-kinh-doanh-la-gi" TargetMode="External"/><Relationship Id="rId2917" Type="http://schemas.openxmlformats.org/officeDocument/2006/relationships/hyperlink" Target="https://techcombank.com/thong-tin/blog/tiem-nang-chuyen-doi-tu-ho-kinh-doanh-len-doanh-nghiep-sme" TargetMode="External"/><Relationship Id="rId2918" Type="http://schemas.openxmlformats.org/officeDocument/2006/relationships/hyperlink" Target="https://techcombank.com/thong-tin/blog/kinh-nghiem-chuyen-doi-tu-ho-kinh-doanh-len-doanh-nghiep" TargetMode="External"/><Relationship Id="rId2919" Type="http://schemas.openxmlformats.org/officeDocument/2006/relationships/hyperlink" Target="https://techcombank.com/thong-tin/blog/khai-bao-tai-khoan-ngan-hang-voi-co-quan-thue" TargetMode="External"/><Relationship Id="rId1697" Type="http://schemas.openxmlformats.org/officeDocument/2006/relationships/hyperlink" Target="https://techcombank.com/thong-tin/blog/chuyen-doi-so-nganh-ngan-hang-thach-thuc-va-co-hoi" TargetMode="External"/><Relationship Id="rId1698" Type="http://schemas.openxmlformats.org/officeDocument/2006/relationships/hyperlink" Target="https://techcombank.com/thong-tin/blog/gia-tri-thuong-hieu" TargetMode="External"/><Relationship Id="rId1699" Type="http://schemas.openxmlformats.org/officeDocument/2006/relationships/hyperlink" Target="https://techcombank.com/thong-tin/blog/gui-tiet-kiem-ngan-hang-van-la-lua-chon-an-toan-trong-thoi-ky-kinh-te-con-nhieu-bien-dong" TargetMode="External"/><Relationship Id="rId866" Type="http://schemas.openxmlformats.org/officeDocument/2006/relationships/hyperlink" Target="https://techcombank.com/thong-tin/blog/tra-cuu-no-thue-doanh-nghiep" TargetMode="External"/><Relationship Id="rId865" Type="http://schemas.openxmlformats.org/officeDocument/2006/relationships/hyperlink" Target="https://techcombank.com/thong-tin/blog/thue-thuong-mai-dien-tu" TargetMode="External"/><Relationship Id="rId864" Type="http://schemas.openxmlformats.org/officeDocument/2006/relationships/hyperlink" Target="https://techcombank.com/thong-tin/blog/tra-luong-tien-mat" TargetMode="External"/><Relationship Id="rId863" Type="http://schemas.openxmlformats.org/officeDocument/2006/relationships/hyperlink" Target="https://techcombank.com/thong-tin/blog/tim-hieu-ve-chinh-sach-thue-moi" TargetMode="External"/><Relationship Id="rId869" Type="http://schemas.openxmlformats.org/officeDocument/2006/relationships/hyperlink" Target="https://techcombank.com/thong-tin/blog/chuyen-doi-ho-kinh-doanh-len-doanh-nghiep" TargetMode="External"/><Relationship Id="rId868" Type="http://schemas.openxmlformats.org/officeDocument/2006/relationships/hyperlink" Target="https://techcombank.com/thong-tin/blog/giai-dap-ve-thue-doanh-nghiep" TargetMode="External"/><Relationship Id="rId867" Type="http://schemas.openxmlformats.org/officeDocument/2006/relationships/hyperlink" Target="https://techcombank.com/thong-tin/blog/ke-khai-thue-ho-kinh-doanh-ca-the-online" TargetMode="External"/><Relationship Id="rId1690" Type="http://schemas.openxmlformats.org/officeDocument/2006/relationships/hyperlink" Target="https://techcombank.com/thong-tin/blog/ebitda-la-gi" TargetMode="External"/><Relationship Id="rId1691" Type="http://schemas.openxmlformats.org/officeDocument/2006/relationships/hyperlink" Target="https://techcombank.com/thong-tin/blog/cach-lam-the-ngan-hang-chay-quang-cao-facebook" TargetMode="External"/><Relationship Id="rId1692" Type="http://schemas.openxmlformats.org/officeDocument/2006/relationships/hyperlink" Target="https://techcombank.com/thong-tin/blog/cach-tiet-kiem-tien-hieu-qua-cho-gia-dinh" TargetMode="External"/><Relationship Id="rId862" Type="http://schemas.openxmlformats.org/officeDocument/2006/relationships/hyperlink" Target="https://techcombank.com/thong-tin/blog/ke-khai-thue-doanh-nghiep" TargetMode="External"/><Relationship Id="rId1693" Type="http://schemas.openxmlformats.org/officeDocument/2006/relationships/hyperlink" Target="https://techcombank.com/thong-tin/blog/atm-la-gi" TargetMode="External"/><Relationship Id="rId861" Type="http://schemas.openxmlformats.org/officeDocument/2006/relationships/hyperlink" Target="https://techcombank.com/thong-tin/blog/cach-nop-thue-dien-tu" TargetMode="External"/><Relationship Id="rId1694" Type="http://schemas.openxmlformats.org/officeDocument/2006/relationships/hyperlink" Target="https://techcombank.com/thong-tin/blog/thanh-toan-bang-ma-qr" TargetMode="External"/><Relationship Id="rId860" Type="http://schemas.openxmlformats.org/officeDocument/2006/relationships/hyperlink" Target="https://techcombank.com/thong-tin/blog/cach-tinh-thue-thu-nhap-doanh-nghiep" TargetMode="External"/><Relationship Id="rId1695" Type="http://schemas.openxmlformats.org/officeDocument/2006/relationships/hyperlink" Target="https://techcombank.com/thong-tin/blog/dieu-kien-thanh-lap-doanh-nghiep" TargetMode="External"/><Relationship Id="rId1696" Type="http://schemas.openxmlformats.org/officeDocument/2006/relationships/hyperlink" Target="https://techcombank.com/thong-tin/blog/cac-loai-bao-hiem-suc-khoe" TargetMode="External"/><Relationship Id="rId1686" Type="http://schemas.openxmlformats.org/officeDocument/2006/relationships/hyperlink" Target="https://techcombank.com/thong-tin/blog/rut-tien-mat-tu-the-tin-dung" TargetMode="External"/><Relationship Id="rId1687" Type="http://schemas.openxmlformats.org/officeDocument/2006/relationships/hyperlink" Target="https://techcombank.com/thong-tin/blog/cach-thanh-toan-quang-cao-tiktok" TargetMode="External"/><Relationship Id="rId1688" Type="http://schemas.openxmlformats.org/officeDocument/2006/relationships/hyperlink" Target="https://techcombank.com/thong-tin/blog/hoan-thue-doanh-nghiep" TargetMode="External"/><Relationship Id="rId1689" Type="http://schemas.openxmlformats.org/officeDocument/2006/relationships/hyperlink" Target="https://techcombank.com/thong-tin/blog/nop-thue-hai-quan" TargetMode="External"/><Relationship Id="rId855" Type="http://schemas.openxmlformats.org/officeDocument/2006/relationships/hyperlink" Target="https://techcombank.com/thong-tin/blog/chinh-sach-tang-luong-huu" TargetMode="External"/><Relationship Id="rId854" Type="http://schemas.openxmlformats.org/officeDocument/2006/relationships/hyperlink" Target="https://techcombank.com/thong-tin/blog/app-tra-luong" TargetMode="External"/><Relationship Id="rId853" Type="http://schemas.openxmlformats.org/officeDocument/2006/relationships/hyperlink" Target="https://techcombank.com/thong-tin/blog/nhung-ho-kinh-doanh-duoc-mien-thue" TargetMode="External"/><Relationship Id="rId852" Type="http://schemas.openxmlformats.org/officeDocument/2006/relationships/hyperlink" Target="https://techcombank.com/thong-tin/blog/hoan-thue-thu-nhap-ca-nhan" TargetMode="External"/><Relationship Id="rId859" Type="http://schemas.openxmlformats.org/officeDocument/2006/relationships/hyperlink" Target="https://techcombank.com/thong-tin/blog/thue-thu-nhap-doanh-nghiep" TargetMode="External"/><Relationship Id="rId858" Type="http://schemas.openxmlformats.org/officeDocument/2006/relationships/hyperlink" Target="https://techcombank.com/thong-tin/blog/hoc-cach-tiet-kiem-tien-luong" TargetMode="External"/><Relationship Id="rId857" Type="http://schemas.openxmlformats.org/officeDocument/2006/relationships/hyperlink" Target="https://techcombank.com/thong-tin/blog/cach-tinh-thue-thu-nhap-ca-nhan-2025" TargetMode="External"/><Relationship Id="rId856" Type="http://schemas.openxmlformats.org/officeDocument/2006/relationships/hyperlink" Target="https://techcombank.com/thong-tin/blog/dang-ky-ma-so-thue-ca-nhan" TargetMode="External"/><Relationship Id="rId1680" Type="http://schemas.openxmlformats.org/officeDocument/2006/relationships/hyperlink" Target="https://techcombank.com/thong-tin/blog/atm-la-gi" TargetMode="External"/><Relationship Id="rId1681" Type="http://schemas.openxmlformats.org/officeDocument/2006/relationships/hyperlink" Target="https://techcombank.com/thong-tin/blog/thanh-toan-khi-du-lich-thai-lan" TargetMode="External"/><Relationship Id="rId851" Type="http://schemas.openxmlformats.org/officeDocument/2006/relationships/hyperlink" Target="https://techcombank.com/thong-tin/blog/quyet-toan-thue-thu-nhap-ca-nhan" TargetMode="External"/><Relationship Id="rId1682" Type="http://schemas.openxmlformats.org/officeDocument/2006/relationships/hyperlink" Target="https://techcombank.com/thong-tin/blog/thanh-toan-qr-thai-lan" TargetMode="External"/><Relationship Id="rId850" Type="http://schemas.openxmlformats.org/officeDocument/2006/relationships/hyperlink" Target="https://techcombank.com/thong-tin/blog/cach-tinh-thue-ho-kinh-doanh-nho-le" TargetMode="External"/><Relationship Id="rId1683" Type="http://schemas.openxmlformats.org/officeDocument/2006/relationships/hyperlink" Target="https://techcombank.com/thong-tin/blog/1-trieu-do-bang-bao-nhieu-tien-viet" TargetMode="External"/><Relationship Id="rId1684" Type="http://schemas.openxmlformats.org/officeDocument/2006/relationships/hyperlink" Target="https://techcombank.com/thong-tin/blog/the-tin-dung-noi-dia" TargetMode="External"/><Relationship Id="rId1685" Type="http://schemas.openxmlformats.org/officeDocument/2006/relationships/hyperlink" Target="https://techcombank.com/thong-tin/blog/tai-tro-fifa-world-cup" TargetMode="External"/><Relationship Id="rId888" Type="http://schemas.openxmlformats.org/officeDocument/2006/relationships/hyperlink" Target="https://techcombank.com/thong-tin/blog/cdm" TargetMode="External"/><Relationship Id="rId887" Type="http://schemas.openxmlformats.org/officeDocument/2006/relationships/hyperlink" Target="https://techcombank.com/thong-tin/blog/mm-yy-la-gi" TargetMode="External"/><Relationship Id="rId886" Type="http://schemas.openxmlformats.org/officeDocument/2006/relationships/hyperlink" Target="https://techcombank.com/thong-tin/blog/in-ma-qr-ngan-hang" TargetMode="External"/><Relationship Id="rId885" Type="http://schemas.openxmlformats.org/officeDocument/2006/relationships/hyperlink" Target="https://techcombank.com/thong-tin/blog/rut-tien-mat-tu-tai-khoan-doanh-nghiep" TargetMode="External"/><Relationship Id="rId889" Type="http://schemas.openxmlformats.org/officeDocument/2006/relationships/hyperlink" Target="https://techcombank.com/thong-tin/blog/ma-qr-lam-gia-duoc-khong" TargetMode="External"/><Relationship Id="rId880" Type="http://schemas.openxmlformats.org/officeDocument/2006/relationships/hyperlink" Target="https://techcombank.com/thong-tin/blog/cach-tao-ma-qr" TargetMode="External"/><Relationship Id="rId884" Type="http://schemas.openxmlformats.org/officeDocument/2006/relationships/hyperlink" Target="https://techcombank.com/thong-tin/blog/ma-qr-ngan-hang-khong-hop-le" TargetMode="External"/><Relationship Id="rId883" Type="http://schemas.openxmlformats.org/officeDocument/2006/relationships/hyperlink" Target="https://techcombank.com/thong-tin/blog/softpos" TargetMode="External"/><Relationship Id="rId882" Type="http://schemas.openxmlformats.org/officeDocument/2006/relationships/hyperlink" Target="https://techcombank.com/thong-tin/blog/pos" TargetMode="External"/><Relationship Id="rId881" Type="http://schemas.openxmlformats.org/officeDocument/2006/relationships/hyperlink" Target="https://techcombank.com/thong-tin/blog/tao-ma-qr-thanh-toan-cho-cua-hang" TargetMode="External"/><Relationship Id="rId877" Type="http://schemas.openxmlformats.org/officeDocument/2006/relationships/hyperlink" Target="https://techcombank.com/thong-tin/blog/app-ngan-hang-uy-tin" TargetMode="External"/><Relationship Id="rId876" Type="http://schemas.openxmlformats.org/officeDocument/2006/relationships/hyperlink" Target="https://techcombank.com/thong-tin/blog/so-tai-khoan-ngan-hang" TargetMode="External"/><Relationship Id="rId875" Type="http://schemas.openxmlformats.org/officeDocument/2006/relationships/hyperlink" Target="https://techcombank.com/thong-tin/blog/cach-kich-hoat-the-atm" TargetMode="External"/><Relationship Id="rId874" Type="http://schemas.openxmlformats.org/officeDocument/2006/relationships/hyperlink" Target="https://techcombank.com/thong-tin/blog/thue-ho-kinh-doanh-2025" TargetMode="External"/><Relationship Id="rId879" Type="http://schemas.openxmlformats.org/officeDocument/2006/relationships/hyperlink" Target="https://techcombank.com/thong-tin/blog/gui-ma-qr-ngan-hang" TargetMode="External"/><Relationship Id="rId878" Type="http://schemas.openxmlformats.org/officeDocument/2006/relationships/hyperlink" Target="https://techcombank.com/thong-tin/blog/quet-ma-qr-techcombank" TargetMode="External"/><Relationship Id="rId873" Type="http://schemas.openxmlformats.org/officeDocument/2006/relationships/hyperlink" Target="https://techcombank.com/thong-tin/blog/the-ghi-no-co-rut-tien-duoc-khong" TargetMode="External"/><Relationship Id="rId872" Type="http://schemas.openxmlformats.org/officeDocument/2006/relationships/hyperlink" Target="https://techcombank.com/thong-tin/blog/cach-su-dung-the-ghi-no" TargetMode="External"/><Relationship Id="rId871" Type="http://schemas.openxmlformats.org/officeDocument/2006/relationships/hyperlink" Target="https://techcombank.com/thong-tin/blog/the-atm-khong-rut-duoc-tien" TargetMode="External"/><Relationship Id="rId870" Type="http://schemas.openxmlformats.org/officeDocument/2006/relationships/hyperlink" Target="https://techcombank.com/thong-tin/blog/nen-thanh-lap-ho-kinh-doanh-ke-khai-hay-doanh-nghiep" TargetMode="External"/><Relationship Id="rId1653" Type="http://schemas.openxmlformats.org/officeDocument/2006/relationships/hyperlink" Target="https://techcombank.com/thong-tin/blog/1000-yen-bang-bao-nhieu-tien-viet" TargetMode="External"/><Relationship Id="rId2984" Type="http://schemas.openxmlformats.org/officeDocument/2006/relationships/hyperlink" Target="https://techcombank.com/thong-tin/blog/vay-tin-chap-la-gi" TargetMode="External"/><Relationship Id="rId1654" Type="http://schemas.openxmlformats.org/officeDocument/2006/relationships/hyperlink" Target="https://techcombank.com/thong-tin/blog/chuyen-tien-tu-nhat-ve-viet-nam" TargetMode="External"/><Relationship Id="rId2985" Type="http://schemas.openxmlformats.org/officeDocument/2006/relationships/hyperlink" Target="https://techcombank.com/thong-tin/blog/lai-suat-cho-vay-doanh-nghiep" TargetMode="External"/><Relationship Id="rId1655" Type="http://schemas.openxmlformats.org/officeDocument/2006/relationships/hyperlink" Target="https://techcombank.com/thong-tin/blog/cach-rut-tien-atm" TargetMode="External"/><Relationship Id="rId2986" Type="http://schemas.openxmlformats.org/officeDocument/2006/relationships/hyperlink" Target="https://techcombank.com/thong-tin/blog/tat-toan" TargetMode="External"/><Relationship Id="rId1656" Type="http://schemas.openxmlformats.org/officeDocument/2006/relationships/hyperlink" Target="https://techcombank.com/thong-tin/blog/1-van-tien-dai-loan-bang-bao-nhieu-tien-viet" TargetMode="External"/><Relationship Id="rId2987" Type="http://schemas.openxmlformats.org/officeDocument/2006/relationships/hyperlink" Target="https://techcombank.com/thong-tin/blog/lai-suat-vay-tieu-dung" TargetMode="External"/><Relationship Id="rId1657" Type="http://schemas.openxmlformats.org/officeDocument/2006/relationships/hyperlink" Target="https://techcombank.com/thong-tin/blog/han-muc-mua-ngoai-te-khi-di-du-lich" TargetMode="External"/><Relationship Id="rId2988" Type="http://schemas.openxmlformats.org/officeDocument/2006/relationships/hyperlink" Target="https://techcombank.com/thong-tin/blog/no-xau-co-vay-the-chap-duoc-khong" TargetMode="External"/><Relationship Id="rId1658" Type="http://schemas.openxmlformats.org/officeDocument/2006/relationships/hyperlink" Target="https://techcombank.com/thong-tin/blog/1-dong-do-la-my-bang-bao-nhieu-tien-viet-nam" TargetMode="External"/><Relationship Id="rId2989" Type="http://schemas.openxmlformats.org/officeDocument/2006/relationships/hyperlink" Target="https://techcombank.com/thong-tin/blog/thu-tuc-vay-von-kinh-doanh-nho" TargetMode="External"/><Relationship Id="rId1659" Type="http://schemas.openxmlformats.org/officeDocument/2006/relationships/hyperlink" Target="https://techcombank.com/thong-tin/blog/1-te-bang-bao-nhieu-tien-viet-nam" TargetMode="External"/><Relationship Id="rId829" Type="http://schemas.openxmlformats.org/officeDocument/2006/relationships/hyperlink" Target="https://techcombank.com/thong-tin/blog/cach-gui-tiet-kiem-online" TargetMode="External"/><Relationship Id="rId828" Type="http://schemas.openxmlformats.org/officeDocument/2006/relationships/hyperlink" Target="https://techcombank.com/thong-tin/blog/cach-thanh-toan-the-tin-dung" TargetMode="External"/><Relationship Id="rId827" Type="http://schemas.openxmlformats.org/officeDocument/2006/relationships/hyperlink" Target="https://techcombank.com/thong-tin/blog/ngan-hang-thu-huong-la-gi" TargetMode="External"/><Relationship Id="rId822" Type="http://schemas.openxmlformats.org/officeDocument/2006/relationships/hyperlink" Target="https://techcombank.com/thong-tin/blog/thanh-toan-ve-may-bay-online" TargetMode="External"/><Relationship Id="rId821" Type="http://schemas.openxmlformats.org/officeDocument/2006/relationships/hyperlink" Target="https://techcombank.com/thong-tin/blog/cach-kiem-tra-tai-khoan-ngan-hang-cua-cong-ty" TargetMode="External"/><Relationship Id="rId820" Type="http://schemas.openxmlformats.org/officeDocument/2006/relationships/hyperlink" Target="https://techcombank.com/thong-tin/blog/gui-ma-qr-ngan-hang" TargetMode="External"/><Relationship Id="rId826" Type="http://schemas.openxmlformats.org/officeDocument/2006/relationships/hyperlink" Target="https://techcombank.com/thong-tin/blog/ma-otp-la-gi" TargetMode="External"/><Relationship Id="rId825" Type="http://schemas.openxmlformats.org/officeDocument/2006/relationships/hyperlink" Target="https://techcombank.com/thong-tin/blog/lo-ma-qr-ngan-hang-co-sao-khong" TargetMode="External"/><Relationship Id="rId824" Type="http://schemas.openxmlformats.org/officeDocument/2006/relationships/hyperlink" Target="https://techcombank.com/thong-tin/blog/lo-so-tai-khoan-ngan-hang-co-sao-khong" TargetMode="External"/><Relationship Id="rId823" Type="http://schemas.openxmlformats.org/officeDocument/2006/relationships/hyperlink" Target="https://techcombank.com/thong-tin/blog/cach-lam-the-atm" TargetMode="External"/><Relationship Id="rId2980" Type="http://schemas.openxmlformats.org/officeDocument/2006/relationships/hyperlink" Target="https://techcombank.com/thong-tin/blog/bi-quyet-tiet-kiem-tien-mua-nha" TargetMode="External"/><Relationship Id="rId1650" Type="http://schemas.openxmlformats.org/officeDocument/2006/relationships/hyperlink" Target="https://techcombank.com/thong-tin/blog/cach-nhan-tien-tu-nuoc-ngoai-ve-viet-nam" TargetMode="External"/><Relationship Id="rId2981" Type="http://schemas.openxmlformats.org/officeDocument/2006/relationships/hyperlink" Target="https://techcombank.com/thong-tin/blog/vay-sinh-vien" TargetMode="External"/><Relationship Id="rId1651" Type="http://schemas.openxmlformats.org/officeDocument/2006/relationships/hyperlink" Target="https://techcombank.com/thong-tin/blog/tien-nhat" TargetMode="External"/><Relationship Id="rId2982" Type="http://schemas.openxmlformats.org/officeDocument/2006/relationships/hyperlink" Target="https://techcombank.com/thong-tin/blog/lai-suat-ngan-hang-cho-vay-xay-nha" TargetMode="External"/><Relationship Id="rId1652" Type="http://schemas.openxmlformats.org/officeDocument/2006/relationships/hyperlink" Target="https://techcombank.com/thong-tin/blog/1-yen-bang-bao-nhieu-tien-viet-nam" TargetMode="External"/><Relationship Id="rId2983" Type="http://schemas.openxmlformats.org/officeDocument/2006/relationships/hyperlink" Target="https://techcombank.com/thong-tin/blog/vay-tin-chap-no-xau" TargetMode="External"/><Relationship Id="rId1642" Type="http://schemas.openxmlformats.org/officeDocument/2006/relationships/hyperlink" Target="https://techcombank.com/thong-tin/blog/chuyen-tien-di-uc" TargetMode="External"/><Relationship Id="rId2973" Type="http://schemas.openxmlformats.org/officeDocument/2006/relationships/hyperlink" Target="https://techcombank.com/thong-tin/blog/no-nhom-3" TargetMode="External"/><Relationship Id="rId1643" Type="http://schemas.openxmlformats.org/officeDocument/2006/relationships/hyperlink" Target="https://techcombank.com/thong-tin/blog/1-cent-bang-bao-nhieu-tien-viet" TargetMode="External"/><Relationship Id="rId2974" Type="http://schemas.openxmlformats.org/officeDocument/2006/relationships/hyperlink" Target="https://techcombank.com/thong-tin/blog/vay-15-trieu" TargetMode="External"/><Relationship Id="rId1644" Type="http://schemas.openxmlformats.org/officeDocument/2006/relationships/hyperlink" Target="https://techcombank.com/thong-tin/blog/1-do-uc-bang-bao-nhieu-tien-viet" TargetMode="External"/><Relationship Id="rId2975" Type="http://schemas.openxmlformats.org/officeDocument/2006/relationships/hyperlink" Target="https://techcombank.com/thong-tin/blog/han-muc-vay-the-chap-so-do" TargetMode="External"/><Relationship Id="rId1645" Type="http://schemas.openxmlformats.org/officeDocument/2006/relationships/hyperlink" Target="https://techcombank.com/thong-tin/blog/gui-tien-du-hoc" TargetMode="External"/><Relationship Id="rId2976" Type="http://schemas.openxmlformats.org/officeDocument/2006/relationships/hyperlink" Target="https://techcombank.com/thong-tin/blog/du-no-tin-dung-la-gi" TargetMode="External"/><Relationship Id="rId1646" Type="http://schemas.openxmlformats.org/officeDocument/2006/relationships/hyperlink" Target="https://techcombank.com/thong-tin/blog/vay-the-chap-hop-dong-mua-ban-can-ho" TargetMode="External"/><Relationship Id="rId2977" Type="http://schemas.openxmlformats.org/officeDocument/2006/relationships/hyperlink" Target="https://techcombank.com/thong-tin/blog/vay-20-trieu" TargetMode="External"/><Relationship Id="rId1647" Type="http://schemas.openxmlformats.org/officeDocument/2006/relationships/hyperlink" Target="https://techcombank.com/thong-tin/blog/thu-tuc-chuyen-tien-ra-nuoc-ngoai" TargetMode="External"/><Relationship Id="rId2978" Type="http://schemas.openxmlformats.org/officeDocument/2006/relationships/hyperlink" Target="https://techcombank.com/thong-tin/blog/diem-tin-dung" TargetMode="External"/><Relationship Id="rId1648" Type="http://schemas.openxmlformats.org/officeDocument/2006/relationships/hyperlink" Target="https://techcombank.com/thong-tin/blog/gui-tien-sang-nuoc-ngoai" TargetMode="External"/><Relationship Id="rId2979" Type="http://schemas.openxmlformats.org/officeDocument/2006/relationships/hyperlink" Target="https://techcombank.com/thong-tin/blog/kinh-nghiem-vay-the-chap-ngan-hang" TargetMode="External"/><Relationship Id="rId1649" Type="http://schemas.openxmlformats.org/officeDocument/2006/relationships/hyperlink" Target="https://techcombank.com/thong-tin/blog/chuyen-tien-tu-duc-ve-viet-nam" TargetMode="External"/><Relationship Id="rId819" Type="http://schemas.openxmlformats.org/officeDocument/2006/relationships/hyperlink" Target="https://techcombank.com/thong-tin/blog/softpos" TargetMode="External"/><Relationship Id="rId818" Type="http://schemas.openxmlformats.org/officeDocument/2006/relationships/hyperlink" Target="https://techcombank.com/thong-tin/blog/merchant-portal" TargetMode="External"/><Relationship Id="rId817" Type="http://schemas.openxmlformats.org/officeDocument/2006/relationships/hyperlink" Target="https://techcombank.com/thong-tin/blog/ekyc-la-gi" TargetMode="External"/><Relationship Id="rId816" Type="http://schemas.openxmlformats.org/officeDocument/2006/relationships/hyperlink" Target="https://techcombank.com/thong-tin/blog/cach-mo-tai-khoan" TargetMode="External"/><Relationship Id="rId811" Type="http://schemas.openxmlformats.org/officeDocument/2006/relationships/hyperlink" Target="https://techcombank.com/thong-tin/blog/cach-doi-mat-khau-tai-khoan-ngan-hang" TargetMode="External"/><Relationship Id="rId810" Type="http://schemas.openxmlformats.org/officeDocument/2006/relationships/hyperlink" Target="https://techcombank.com/thong-tin/blog/thanh-toan-khi-du-lich-thai-lan" TargetMode="External"/><Relationship Id="rId815" Type="http://schemas.openxmlformats.org/officeDocument/2006/relationships/hyperlink" Target="https://techcombank.com/thong-tin/blog/mat-so-dien-thoai-dang-ky-tai-khoan-ngan-hang" TargetMode="External"/><Relationship Id="rId814" Type="http://schemas.openxmlformats.org/officeDocument/2006/relationships/hyperlink" Target="https://techcombank.com/thong-tin/blog/smart-otp-la-gi" TargetMode="External"/><Relationship Id="rId813" Type="http://schemas.openxmlformats.org/officeDocument/2006/relationships/hyperlink" Target="https://techcombank.com/thong-tin/blog/mau-mo-tai-khoan-doanh-nghiep-techcombank" TargetMode="External"/><Relationship Id="rId812" Type="http://schemas.openxmlformats.org/officeDocument/2006/relationships/hyperlink" Target="https://techcombank.com/thong-tin/blog/cach-bao-ve-tai-khoan" TargetMode="External"/><Relationship Id="rId2970" Type="http://schemas.openxmlformats.org/officeDocument/2006/relationships/hyperlink" Target="https://techcombank.com/thong-tin/blog/vay-ngan-han" TargetMode="External"/><Relationship Id="rId1640" Type="http://schemas.openxmlformats.org/officeDocument/2006/relationships/hyperlink" Target="https://techcombank.com/thong-tin/blog/1-won-bang-bao-nhieu-tien-viet" TargetMode="External"/><Relationship Id="rId2971" Type="http://schemas.openxmlformats.org/officeDocument/2006/relationships/hyperlink" Target="https://techcombank.com/thong-tin/blog/cho-vay-kinh-doanh-ho-gia-dinh" TargetMode="External"/><Relationship Id="rId1641" Type="http://schemas.openxmlformats.org/officeDocument/2006/relationships/hyperlink" Target="https://techcombank.com/thong-tin/blog/dieu-kien-mua-usd-tu-ngan-hang" TargetMode="External"/><Relationship Id="rId2972" Type="http://schemas.openxmlformats.org/officeDocument/2006/relationships/hyperlink" Target="https://techcombank.com/thong-tin/blog/vay-von-doanh-nghiep-nho" TargetMode="External"/><Relationship Id="rId1675" Type="http://schemas.openxmlformats.org/officeDocument/2006/relationships/hyperlink" Target="https://techcombank.com/thong-tin/blog/the-tin-dung-nao-nhieu-uu-dai-nhat" TargetMode="External"/><Relationship Id="rId1676" Type="http://schemas.openxmlformats.org/officeDocument/2006/relationships/hyperlink" Target="https://techcombank.com/thong-tin/blog/cach-tinh-lai-suat-tien-gui-tiet-kiem" TargetMode="External"/><Relationship Id="rId1677" Type="http://schemas.openxmlformats.org/officeDocument/2006/relationships/hyperlink" Target="https://techcombank.com/thong-tin/blog/tien-thai-lan" TargetMode="External"/><Relationship Id="rId1678" Type="http://schemas.openxmlformats.org/officeDocument/2006/relationships/hyperlink" Target="https://techcombank.com/thong-tin/blog/tien-lao" TargetMode="External"/><Relationship Id="rId1679" Type="http://schemas.openxmlformats.org/officeDocument/2006/relationships/hyperlink" Target="https://techcombank.com/thong-tin/blog/nen-de-tien-trong-the-hay-gui-tiet-kiem" TargetMode="External"/><Relationship Id="rId849" Type="http://schemas.openxmlformats.org/officeDocument/2006/relationships/hyperlink" Target="https://techcombank.com/thong-tin/blog/gia-chung-chi-quy-la-gi" TargetMode="External"/><Relationship Id="rId844" Type="http://schemas.openxmlformats.org/officeDocument/2006/relationships/hyperlink" Target="https://techcombank.com/thong-tin/blog/sao-ke-luong" TargetMode="External"/><Relationship Id="rId843" Type="http://schemas.openxmlformats.org/officeDocument/2006/relationships/hyperlink" Target="https://techcombank.com/thong-tin/blog/thue-ho-kinh-doanh-2025" TargetMode="External"/><Relationship Id="rId842" Type="http://schemas.openxmlformats.org/officeDocument/2006/relationships/hyperlink" Target="https://techcombank.com/thong-tin/blog/tra-cuu-no-thue-ca-nhan" TargetMode="External"/><Relationship Id="rId841" Type="http://schemas.openxmlformats.org/officeDocument/2006/relationships/hyperlink" Target="https://techcombank.com/thong-tin/blog/tien-chuyen-vao-tai-khoan-co-bi-tinh-thue-khong" TargetMode="External"/><Relationship Id="rId848" Type="http://schemas.openxmlformats.org/officeDocument/2006/relationships/hyperlink" Target="https://techcombank.com/thong-tin/blog/hieu-hiet-ve-tuan-thu-thue-cho-cac-doanh-nghiep-khoi-nghiep" TargetMode="External"/><Relationship Id="rId847" Type="http://schemas.openxmlformats.org/officeDocument/2006/relationships/hyperlink" Target="https://techcombank.com/thong-tin/blog/khoi-nghiep-truoc-chinh-sach-thue-moi" TargetMode="External"/><Relationship Id="rId846" Type="http://schemas.openxmlformats.org/officeDocument/2006/relationships/hyperlink" Target="https://techcombank.com/thong-tin/blog/thue-khoan-ho-kinh-doanh-la-gi" TargetMode="External"/><Relationship Id="rId845" Type="http://schemas.openxmlformats.org/officeDocument/2006/relationships/hyperlink" Target="https://techcombank.com/thong-tin/blog/kinh-nghiem-chuyen-doi-tu-ho-kinh-doanh-len-doanh-nghiep" TargetMode="External"/><Relationship Id="rId1670" Type="http://schemas.openxmlformats.org/officeDocument/2006/relationships/hyperlink" Target="https://techcombank.com/thong-tin/blog/1-won-bang-bao-nhieu-tien-viet" TargetMode="External"/><Relationship Id="rId840" Type="http://schemas.openxmlformats.org/officeDocument/2006/relationships/hyperlink" Target="https://techcombank.com/thong-tin/blog/thanh-toan-hoa-don-tieu-dung" TargetMode="External"/><Relationship Id="rId1671" Type="http://schemas.openxmlformats.org/officeDocument/2006/relationships/hyperlink" Target="https://techcombank.com/thong-tin/blog/1-euro-bang-bao-nhieu-tien-viet" TargetMode="External"/><Relationship Id="rId1672" Type="http://schemas.openxmlformats.org/officeDocument/2006/relationships/hyperlink" Target="https://techcombank.com/thong-tin/blog/1-trieu-won-bang-bao-nhieu-tien-viet" TargetMode="External"/><Relationship Id="rId1673" Type="http://schemas.openxmlformats.org/officeDocument/2006/relationships/hyperlink" Target="https://techcombank.com/thong-tin/blog/1-cent-bang-bao-nhieu-tien-viet" TargetMode="External"/><Relationship Id="rId1674" Type="http://schemas.openxmlformats.org/officeDocument/2006/relationships/hyperlink" Target="https://techcombank.com/thong-tin/blog/1-do-uc-bang-bao-nhieu-tien-viet" TargetMode="External"/><Relationship Id="rId1664" Type="http://schemas.openxmlformats.org/officeDocument/2006/relationships/hyperlink" Target="https://techcombank.com/thong-tin/blog/vi-dien-tu-la-gi" TargetMode="External"/><Relationship Id="rId2995" Type="http://schemas.openxmlformats.org/officeDocument/2006/relationships/hyperlink" Target="https://techcombank.com/thong-tin/blog/vay-tin-chap-cho-doanh-nghiep-moi-thanh-lap" TargetMode="External"/><Relationship Id="rId1665" Type="http://schemas.openxmlformats.org/officeDocument/2006/relationships/hyperlink" Target="https://techcombank.com/thong-tin/blog/tien-dai-loan" TargetMode="External"/><Relationship Id="rId2996" Type="http://schemas.openxmlformats.org/officeDocument/2006/relationships/hyperlink" Target="https://techcombank.com/thong-tin/blog/thanh-toan-khoan-vay" TargetMode="External"/><Relationship Id="rId1666" Type="http://schemas.openxmlformats.org/officeDocument/2006/relationships/hyperlink" Target="https://techcombank.com/thong-tin/blog/1-van-te-bang-bao-nhieu-tien-viet" TargetMode="External"/><Relationship Id="rId2997" Type="http://schemas.openxmlformats.org/officeDocument/2006/relationships/hyperlink" Target="https://techcombank.com/thong-tin/blog/co-nen-vay-ngan-hang-mua-nha" TargetMode="External"/><Relationship Id="rId1667" Type="http://schemas.openxmlformats.org/officeDocument/2006/relationships/hyperlink" Target="https://techcombank.com/thong-tin/blog/1000-te-bang-bao-nhieu-tien-viet" TargetMode="External"/><Relationship Id="rId2998" Type="http://schemas.openxmlformats.org/officeDocument/2006/relationships/hyperlink" Target="https://techcombank.com/thong-tin/blog/ho-so-vay-tin-chap" TargetMode="External"/><Relationship Id="rId1668" Type="http://schemas.openxmlformats.org/officeDocument/2006/relationships/hyperlink" Target="https://techcombank.com/thong-tin/blog/100-riel-bang-bao-nhieu-tien-viet-nam" TargetMode="External"/><Relationship Id="rId2999" Type="http://schemas.openxmlformats.org/officeDocument/2006/relationships/hyperlink" Target="https://techcombank.com/thong-tin/blog/thu-tuc-vay-ngan-hang-mua-nha" TargetMode="External"/><Relationship Id="rId1669" Type="http://schemas.openxmlformats.org/officeDocument/2006/relationships/hyperlink" Target="https://techcombank.com/thong-tin/blog/shopeepay-la-gi" TargetMode="External"/><Relationship Id="rId839" Type="http://schemas.openxmlformats.org/officeDocument/2006/relationships/hyperlink" Target="https://techcombank.com/thong-tin/blog/thanh-toan-tra-sau-viettel-bang-tai-khoan-ngan-hang" TargetMode="External"/><Relationship Id="rId838" Type="http://schemas.openxmlformats.org/officeDocument/2006/relationships/hyperlink" Target="https://techcombank.com/thong-tin/blog/cach-kich-hoat-the-atm" TargetMode="External"/><Relationship Id="rId833" Type="http://schemas.openxmlformats.org/officeDocument/2006/relationships/hyperlink" Target="https://techcombank.com/thong-tin/blog/tai-khoan-ngan-hang-bi-khoa" TargetMode="External"/><Relationship Id="rId832" Type="http://schemas.openxmlformats.org/officeDocument/2006/relationships/hyperlink" Target="https://techcombank.com/thong-tin/blog/thanh-toan-tien-dien-bang-the-tin-dung" TargetMode="External"/><Relationship Id="rId831" Type="http://schemas.openxmlformats.org/officeDocument/2006/relationships/hyperlink" Target="https://techcombank.com/thong-tin/blog/cach-khoa-the-ngan-hang" TargetMode="External"/><Relationship Id="rId830" Type="http://schemas.openxmlformats.org/officeDocument/2006/relationships/hyperlink" Target="https://techcombank.com/thong-tin/blog/cach-nap-tien-vao-the-ghi-no" TargetMode="External"/><Relationship Id="rId837" Type="http://schemas.openxmlformats.org/officeDocument/2006/relationships/hyperlink" Target="https://techcombank.com/thong-tin/blog/rui-ro-khi-gui-tiet-kiem-ngan-hang" TargetMode="External"/><Relationship Id="rId836" Type="http://schemas.openxmlformats.org/officeDocument/2006/relationships/hyperlink" Target="https://techcombank.com/thong-tin/blog/mobile-banking-la-gi" TargetMode="External"/><Relationship Id="rId835" Type="http://schemas.openxmlformats.org/officeDocument/2006/relationships/hyperlink" Target="https://techcombank.com/thong-tin/blog/thanh-toan-tien-nuoc-online" TargetMode="External"/><Relationship Id="rId834" Type="http://schemas.openxmlformats.org/officeDocument/2006/relationships/hyperlink" Target="https://techcombank.com/thong-tin/blog/cic-la-gi" TargetMode="External"/><Relationship Id="rId2990" Type="http://schemas.openxmlformats.org/officeDocument/2006/relationships/hyperlink" Target="https://techcombank.com/thong-tin/blog/rui-ro-khi-vay-the-chap-ngan-hang" TargetMode="External"/><Relationship Id="rId1660" Type="http://schemas.openxmlformats.org/officeDocument/2006/relationships/hyperlink" Target="https://techcombank.com/thong-tin/blog/tien-trung-quoc" TargetMode="External"/><Relationship Id="rId2991" Type="http://schemas.openxmlformats.org/officeDocument/2006/relationships/hyperlink" Target="https://techcombank.com/thong-tin/blog/lai-suat-vay-kinh-doanh" TargetMode="External"/><Relationship Id="rId1661" Type="http://schemas.openxmlformats.org/officeDocument/2006/relationships/hyperlink" Target="https://techcombank.com/thong-tin/blog/1-trieu-do-bang-bao-nhieu-tien-viet" TargetMode="External"/><Relationship Id="rId2992" Type="http://schemas.openxmlformats.org/officeDocument/2006/relationships/hyperlink" Target="https://techcombank.com/thong-tin/blog/vay-thau-chi-la-gi" TargetMode="External"/><Relationship Id="rId1662" Type="http://schemas.openxmlformats.org/officeDocument/2006/relationships/hyperlink" Target="https://techcombank.com/thong-tin/blog/1000-won-bang-bao-nhieu-tien-viet" TargetMode="External"/><Relationship Id="rId2993" Type="http://schemas.openxmlformats.org/officeDocument/2006/relationships/hyperlink" Target="https://techcombank.com/thong-tin/blog/vay-tin-chap-khong-tra-duoc-co-sao-khong" TargetMode="External"/><Relationship Id="rId1663" Type="http://schemas.openxmlformats.org/officeDocument/2006/relationships/hyperlink" Target="https://techcombank.com/thong-tin/blog/tien-singapore" TargetMode="External"/><Relationship Id="rId2994" Type="http://schemas.openxmlformats.org/officeDocument/2006/relationships/hyperlink" Target="https://techcombank.com/thong-tin/blog/vay-von-doanh-nghiep-khong-the-chap" TargetMode="External"/><Relationship Id="rId2148" Type="http://schemas.openxmlformats.org/officeDocument/2006/relationships/hyperlink" Target="https://techcombank.com/thong-tin/blog/thu-tuc-vay-von-kinh-doanh-nho" TargetMode="External"/><Relationship Id="rId2149" Type="http://schemas.openxmlformats.org/officeDocument/2006/relationships/hyperlink" Target="https://techcombank.com/thong-tin/blog/cac-hinh-thuc-vay-von-ngan-hang" TargetMode="External"/><Relationship Id="rId2140" Type="http://schemas.openxmlformats.org/officeDocument/2006/relationships/hyperlink" Target="https://techcombank.com/thong-tin/blog/vay-the-chap-khong-chung-minh-thu-nhap" TargetMode="External"/><Relationship Id="rId2141" Type="http://schemas.openxmlformats.org/officeDocument/2006/relationships/hyperlink" Target="https://techcombank.com/thong-tin/blog/quy-trinh-tat-toan-khoan-vay-the-chap" TargetMode="External"/><Relationship Id="rId2142" Type="http://schemas.openxmlformats.org/officeDocument/2006/relationships/hyperlink" Target="https://techcombank.com/thong-tin/blog/tat-toan" TargetMode="External"/><Relationship Id="rId2143" Type="http://schemas.openxmlformats.org/officeDocument/2006/relationships/hyperlink" Target="https://techcombank.com/thong-tin/blog/the-chap-la-gi" TargetMode="External"/><Relationship Id="rId2144" Type="http://schemas.openxmlformats.org/officeDocument/2006/relationships/hyperlink" Target="https://techcombank.com/thong-tin/blog/giai-ngan-vay-the-chap" TargetMode="External"/><Relationship Id="rId2145" Type="http://schemas.openxmlformats.org/officeDocument/2006/relationships/hyperlink" Target="https://techcombank.com/thong-tin/blog/vay-tien-mat" TargetMode="External"/><Relationship Id="rId2146" Type="http://schemas.openxmlformats.org/officeDocument/2006/relationships/hyperlink" Target="https://techcombank.com/thong-tin/blog/vay-von-doanh-nghiep-khong-the-chap" TargetMode="External"/><Relationship Id="rId2147" Type="http://schemas.openxmlformats.org/officeDocument/2006/relationships/hyperlink" Target="https://techcombank.com/thong-tin/blog/thu-tuc-mua-xe-tra-gop" TargetMode="External"/><Relationship Id="rId2137" Type="http://schemas.openxmlformats.org/officeDocument/2006/relationships/hyperlink" Target="https://techcombank.com/thong-tin/blog/dieu-kien-vay-the-chap" TargetMode="External"/><Relationship Id="rId2138" Type="http://schemas.openxmlformats.org/officeDocument/2006/relationships/hyperlink" Target="https://techcombank.com/thong-tin/blog/lai-suat-vay-mua-o-to" TargetMode="External"/><Relationship Id="rId2139" Type="http://schemas.openxmlformats.org/officeDocument/2006/relationships/hyperlink" Target="https://techcombank.com/thong-tin/blog/the-chap-la-gi" TargetMode="External"/><Relationship Id="rId2130" Type="http://schemas.openxmlformats.org/officeDocument/2006/relationships/hyperlink" Target="https://techcombank.com/thong-tin/blog/ho-so-thu-tuc-xoa-the-chap" TargetMode="External"/><Relationship Id="rId2131" Type="http://schemas.openxmlformats.org/officeDocument/2006/relationships/hyperlink" Target="https://techcombank.com/thong-tin/blog/nen-mua-xe-tra-gop-hay-tra-thang" TargetMode="External"/><Relationship Id="rId2132" Type="http://schemas.openxmlformats.org/officeDocument/2006/relationships/hyperlink" Target="https://techcombank.com/thong-tin/blog/giai-ngan-vay-the-chap" TargetMode="External"/><Relationship Id="rId2133" Type="http://schemas.openxmlformats.org/officeDocument/2006/relationships/hyperlink" Target="https://techcombank.com/thong-tin/blog/no-xau-co-vay-the-chap-duoc-khong" TargetMode="External"/><Relationship Id="rId2134" Type="http://schemas.openxmlformats.org/officeDocument/2006/relationships/hyperlink" Target="https://techcombank.com/thong-tin/blog/phi-vay-the-chap" TargetMode="External"/><Relationship Id="rId2135" Type="http://schemas.openxmlformats.org/officeDocument/2006/relationships/hyperlink" Target="https://techcombank.com/thong-tin/blog/cac-hinh-thuc-cho-vay-tieu-dung" TargetMode="External"/><Relationship Id="rId2136" Type="http://schemas.openxmlformats.org/officeDocument/2006/relationships/hyperlink" Target="https://techcombank.com/thong-tin/blog/vay-the-chap-toi-da-duoc-bao-nhieu" TargetMode="External"/><Relationship Id="rId2160" Type="http://schemas.openxmlformats.org/officeDocument/2006/relationships/hyperlink" Target="https://techcombank.com/thong-tin/blog/vay-tin-chap-theo-luong" TargetMode="External"/><Relationship Id="rId2161" Type="http://schemas.openxmlformats.org/officeDocument/2006/relationships/hyperlink" Target="https://techcombank.com/thong-tin/blog/cac-hinh-thuc-cho-vay-tieu-dung" TargetMode="External"/><Relationship Id="rId2162" Type="http://schemas.openxmlformats.org/officeDocument/2006/relationships/hyperlink" Target="https://techcombank.com/thong-tin/blog/lai-suat-vay-the-chap-so-do" TargetMode="External"/><Relationship Id="rId2163" Type="http://schemas.openxmlformats.org/officeDocument/2006/relationships/hyperlink" Target="https://techcombank.com/thong-tin/blog/ho-so-vay-tin-chap" TargetMode="External"/><Relationship Id="rId2164" Type="http://schemas.openxmlformats.org/officeDocument/2006/relationships/hyperlink" Target="https://techcombank.com/thong-tin/blog/mo-tai-khoan-ho-kinh-doanh" TargetMode="External"/><Relationship Id="rId2165" Type="http://schemas.openxmlformats.org/officeDocument/2006/relationships/hyperlink" Target="https://techcombank.com/thong-tin/blog/vay-the-chap-toi-da-duoc-bao-nhieu" TargetMode="External"/><Relationship Id="rId2166" Type="http://schemas.openxmlformats.org/officeDocument/2006/relationships/hyperlink" Target="https://techcombank.com/thong-tin/blog/so-tai-khoan-ngan-hang" TargetMode="External"/><Relationship Id="rId2167" Type="http://schemas.openxmlformats.org/officeDocument/2006/relationships/hyperlink" Target="https://techcombank.com/thong-tin/blog/khai-bao-tai-khoan-ngan-hang-voi-co-quan-thue" TargetMode="External"/><Relationship Id="rId2168" Type="http://schemas.openxmlformats.org/officeDocument/2006/relationships/hyperlink" Target="https://techcombank.com/thong-tin/blog/han-muc-vay-the-chap-so-do" TargetMode="External"/><Relationship Id="rId2169" Type="http://schemas.openxmlformats.org/officeDocument/2006/relationships/hyperlink" Target="https://techcombank.com/thong-tin/blog/thay-doi-dia-chi-ho-kinh-doanh" TargetMode="External"/><Relationship Id="rId2159" Type="http://schemas.openxmlformats.org/officeDocument/2006/relationships/hyperlink" Target="https://techcombank.com/thong-tin/blog/vay-200-trieu" TargetMode="External"/><Relationship Id="rId2150" Type="http://schemas.openxmlformats.org/officeDocument/2006/relationships/hyperlink" Target="https://techcombank.com/thong-tin/blog/vay-san-xuat-kinh-doanh" TargetMode="External"/><Relationship Id="rId2151" Type="http://schemas.openxmlformats.org/officeDocument/2006/relationships/hyperlink" Target="https://techcombank.com/thong-tin/blog/vay-the-chap-kinh-doanh" TargetMode="External"/><Relationship Id="rId2152" Type="http://schemas.openxmlformats.org/officeDocument/2006/relationships/hyperlink" Target="https://techcombank.com/thong-tin/blog/vay-the-chap-so-bao-hiem-xa-hoi" TargetMode="External"/><Relationship Id="rId2153" Type="http://schemas.openxmlformats.org/officeDocument/2006/relationships/hyperlink" Target="https://techcombank.com/thong-tin/blog/vay-300-trieu" TargetMode="External"/><Relationship Id="rId2154" Type="http://schemas.openxmlformats.org/officeDocument/2006/relationships/hyperlink" Target="https://techcombank.com/thong-tin/blog/vay-the-chap-la-gi" TargetMode="External"/><Relationship Id="rId2155" Type="http://schemas.openxmlformats.org/officeDocument/2006/relationships/hyperlink" Target="https://techcombank.com/thong-tin/blog/cach-gui-tiet-kiem-online" TargetMode="External"/><Relationship Id="rId2156" Type="http://schemas.openxmlformats.org/officeDocument/2006/relationships/hyperlink" Target="https://techcombank.com/thong-tin/blog/rui-ro-khi-vay-the-chap-ngan-hang" TargetMode="External"/><Relationship Id="rId2157" Type="http://schemas.openxmlformats.org/officeDocument/2006/relationships/hyperlink" Target="https://techcombank.com/thong-tin/blog/viet-kieu-co-mo-duoc-tai-khoan-ngan-hang-khong" TargetMode="External"/><Relationship Id="rId2158" Type="http://schemas.openxmlformats.org/officeDocument/2006/relationships/hyperlink" Target="https://techcombank.com/thong-tin/blog/kich-hoat-the-tin-dung-techcombank" TargetMode="External"/><Relationship Id="rId2104" Type="http://schemas.openxmlformats.org/officeDocument/2006/relationships/hyperlink" Target="https://techcombank.com/thong-tin/blog/vay-200-trieu" TargetMode="External"/><Relationship Id="rId2105" Type="http://schemas.openxmlformats.org/officeDocument/2006/relationships/hyperlink" Target="https://techcombank.com/thong-tin/blog/kinh-nghiem-vay-tien-ngan-hang-xay-nha" TargetMode="External"/><Relationship Id="rId2106" Type="http://schemas.openxmlformats.org/officeDocument/2006/relationships/hyperlink" Target="https://techcombank.com/thong-tin/blog/vay-tin-chap-theo-luong" TargetMode="External"/><Relationship Id="rId2107" Type="http://schemas.openxmlformats.org/officeDocument/2006/relationships/hyperlink" Target="https://techcombank.com/thong-tin/blog/tra-gop-qua-the-tin-dung" TargetMode="External"/><Relationship Id="rId2108" Type="http://schemas.openxmlformats.org/officeDocument/2006/relationships/hyperlink" Target="https://techcombank.com/thong-tin/blog/lai-suat-vay-tin-chap" TargetMode="External"/><Relationship Id="rId2109" Type="http://schemas.openxmlformats.org/officeDocument/2006/relationships/hyperlink" Target="https://techcombank.com/thong-tin/blog/lai-suat-vay-ngan-hang" TargetMode="External"/><Relationship Id="rId2100" Type="http://schemas.openxmlformats.org/officeDocument/2006/relationships/hyperlink" Target="https://techcombank.com/thong-tin/blog/thu-tuc-vay-von-ngan-hang-de-xay-nha" TargetMode="External"/><Relationship Id="rId2101" Type="http://schemas.openxmlformats.org/officeDocument/2006/relationships/hyperlink" Target="https://techcombank.com/thong-tin/blog/lai-suat-ngan-hang-cho-vay-xay-nha" TargetMode="External"/><Relationship Id="rId2102" Type="http://schemas.openxmlformats.org/officeDocument/2006/relationships/hyperlink" Target="https://techcombank.com/thong-tin/blog/dieu-kien-vay-von-ngan-hang" TargetMode="External"/><Relationship Id="rId2103" Type="http://schemas.openxmlformats.org/officeDocument/2006/relationships/hyperlink" Target="https://techcombank.com/thong-tin/blog/vay-mua-nha-o-xa-hoi" TargetMode="External"/><Relationship Id="rId899" Type="http://schemas.openxmlformats.org/officeDocument/2006/relationships/hyperlink" Target="https://techcombank.com/thong-tin/blog/thanh-toan-ma-qr-tro-thanh-phuong-thuc-duoc-ua-chuong-va-trien-khai-manh-me" TargetMode="External"/><Relationship Id="rId898" Type="http://schemas.openxmlformats.org/officeDocument/2006/relationships/hyperlink" Target="https://techcombank.com/thong-tin/blog/nap-tien-vao-tai-khoan-ngan-hang" TargetMode="External"/><Relationship Id="rId897" Type="http://schemas.openxmlformats.org/officeDocument/2006/relationships/hyperlink" Target="https://techcombank.com/thong-tin/blog/lam-the-atm-co-mat-phi-khong" TargetMode="External"/><Relationship Id="rId896" Type="http://schemas.openxmlformats.org/officeDocument/2006/relationships/hyperlink" Target="https://techcombank.com/thong-tin/blog/qr-dong" TargetMode="External"/><Relationship Id="rId891" Type="http://schemas.openxmlformats.org/officeDocument/2006/relationships/hyperlink" Target="https://techcombank.com/thong-tin/blog/cach-su-dung-tai-khoan-cong-ty" TargetMode="External"/><Relationship Id="rId890" Type="http://schemas.openxmlformats.org/officeDocument/2006/relationships/hyperlink" Target="https://techcombank.com/thong-tin/blog/ma-qr-techcombank" TargetMode="External"/><Relationship Id="rId895" Type="http://schemas.openxmlformats.org/officeDocument/2006/relationships/hyperlink" Target="https://techcombank.com/thong-tin/blog/cach-tao-ma-qr-code-mien-phi" TargetMode="External"/><Relationship Id="rId894" Type="http://schemas.openxmlformats.org/officeDocument/2006/relationships/hyperlink" Target="https://techcombank.com/thong-tin/blog/lam-ma-qr-ngan-hang-co-mat-phi-khong" TargetMode="External"/><Relationship Id="rId893" Type="http://schemas.openxmlformats.org/officeDocument/2006/relationships/hyperlink" Target="https://techcombank.com/thong-tin/blog/thanh-toan-bang-ma-qr" TargetMode="External"/><Relationship Id="rId892" Type="http://schemas.openxmlformats.org/officeDocument/2006/relationships/hyperlink" Target="https://techcombank.com/thong-tin/blog/qr-code-doanh-nghiep" TargetMode="External"/><Relationship Id="rId2126" Type="http://schemas.openxmlformats.org/officeDocument/2006/relationships/hyperlink" Target="https://techcombank.com/thong-tin/blog/lai-suat-vay-the-chap" TargetMode="External"/><Relationship Id="rId2127" Type="http://schemas.openxmlformats.org/officeDocument/2006/relationships/hyperlink" Target="https://techcombank.com/thong-tin/blog/quy-trinh-tat-toan-khoan-vay-the-chap" TargetMode="External"/><Relationship Id="rId2128" Type="http://schemas.openxmlformats.org/officeDocument/2006/relationships/hyperlink" Target="https://techcombank.com/thong-tin/blog/vay-the-chap-xe-o-to-cu" TargetMode="External"/><Relationship Id="rId2129" Type="http://schemas.openxmlformats.org/officeDocument/2006/relationships/hyperlink" Target="https://techcombank.com/thong-tin/blog/vay-the-chap-qua-luong" TargetMode="External"/><Relationship Id="rId2120" Type="http://schemas.openxmlformats.org/officeDocument/2006/relationships/hyperlink" Target="https://techcombank.com/thong-tin/blog/vay-san-xuat-kinh-doanh" TargetMode="External"/><Relationship Id="rId2121" Type="http://schemas.openxmlformats.org/officeDocument/2006/relationships/hyperlink" Target="https://techcombank.com/thong-tin/blog/vay-the-chap-kinh-doanh" TargetMode="External"/><Relationship Id="rId2122" Type="http://schemas.openxmlformats.org/officeDocument/2006/relationships/hyperlink" Target="https://techcombank.com/thong-tin/blog/vay-the-chap-khong-tra-duoc" TargetMode="External"/><Relationship Id="rId2123" Type="http://schemas.openxmlformats.org/officeDocument/2006/relationships/hyperlink" Target="https://techcombank.com/thong-tin/blog/vay-the-chap-so-bao-hiem-xa-hoi" TargetMode="External"/><Relationship Id="rId2124" Type="http://schemas.openxmlformats.org/officeDocument/2006/relationships/hyperlink" Target="https://techcombank.com/thong-tin/blog/rui-ro-khi-vay-the-chap-ngan-hang" TargetMode="External"/><Relationship Id="rId2125" Type="http://schemas.openxmlformats.org/officeDocument/2006/relationships/hyperlink" Target="https://techcombank.com/thong-tin/blog/vay-tin-chap-va-vay-the-chap" TargetMode="External"/><Relationship Id="rId2115" Type="http://schemas.openxmlformats.org/officeDocument/2006/relationships/hyperlink" Target="https://techcombank.com/thong-tin/blog/vay-the-chap-la-gi" TargetMode="External"/><Relationship Id="rId2116" Type="http://schemas.openxmlformats.org/officeDocument/2006/relationships/hyperlink" Target="https://techcombank.com/thong-tin/blog/so-tai-khoan-ngan-hang" TargetMode="External"/><Relationship Id="rId2117" Type="http://schemas.openxmlformats.org/officeDocument/2006/relationships/hyperlink" Target="https://techcombank.com/thong-tin/blog/vay-von-doanh-nghiep-khong-the-chap" TargetMode="External"/><Relationship Id="rId2118" Type="http://schemas.openxmlformats.org/officeDocument/2006/relationships/hyperlink" Target="https://techcombank.com/thong-tin/blog/thu-tuc-vay-von-kinh-doanh-nho" TargetMode="External"/><Relationship Id="rId2119" Type="http://schemas.openxmlformats.org/officeDocument/2006/relationships/hyperlink" Target="https://techcombank.com/thong-tin/blog/cac-hinh-thuc-vay-von-ngan-hang" TargetMode="External"/><Relationship Id="rId2110" Type="http://schemas.openxmlformats.org/officeDocument/2006/relationships/hyperlink" Target="https://techcombank.com/thong-tin/blog/du-no-tin-dung-la-gi" TargetMode="External"/><Relationship Id="rId2111" Type="http://schemas.openxmlformats.org/officeDocument/2006/relationships/hyperlink" Target="https://techcombank.com/thong-tin/blog/han-muc-vay-the-chap-so-do" TargetMode="External"/><Relationship Id="rId2112" Type="http://schemas.openxmlformats.org/officeDocument/2006/relationships/hyperlink" Target="https://techcombank.com/thong-tin/blog/vay-the-chap-so-hong" TargetMode="External"/><Relationship Id="rId2113" Type="http://schemas.openxmlformats.org/officeDocument/2006/relationships/hyperlink" Target="https://techcombank.com/thong-tin/blog/kinh-nghiem-vay-the-chap-ngan-hang" TargetMode="External"/><Relationship Id="rId2114" Type="http://schemas.openxmlformats.org/officeDocument/2006/relationships/hyperlink" Target="https://techcombank.com/thong-tin/blog/nen-vay-the-chap-ngan-hang-nao"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92" Type="http://schemas.openxmlformats.org/officeDocument/2006/relationships/hyperlink" Target="https://techcombank.com/thong-tin/blog/the-tin-dung-hoan-tien" TargetMode="External"/><Relationship Id="rId391" Type="http://schemas.openxmlformats.org/officeDocument/2006/relationships/hyperlink" Target="https://techcombank.com/thong-tin/blog/the-napas-la-gi" TargetMode="External"/><Relationship Id="rId390" Type="http://schemas.openxmlformats.org/officeDocument/2006/relationships/hyperlink" Target="https://techcombank.com/thong-tin/blog/the-ghi-no-co-chuyen-khoan-duoc-khong" TargetMode="External"/><Relationship Id="rId385" Type="http://schemas.openxmlformats.org/officeDocument/2006/relationships/hyperlink" Target="https://techcombank.com/thong-tin/blog/tai-khoan-ngan-hang-con-0-dong-co-sao-khong" TargetMode="External"/><Relationship Id="rId384" Type="http://schemas.openxmlformats.org/officeDocument/2006/relationships/hyperlink" Target="https://techcombank.com/thong-tin/blog/tai-khoan-ngan-hang-bi-khoa" TargetMode="External"/><Relationship Id="rId383" Type="http://schemas.openxmlformats.org/officeDocument/2006/relationships/hyperlink" Target="https://techcombank.com/thong-tin/blog/spaylater" TargetMode="External"/><Relationship Id="rId382" Type="http://schemas.openxmlformats.org/officeDocument/2006/relationships/hyperlink" Target="https://techcombank.com/thong-tin/blog/softpos" TargetMode="External"/><Relationship Id="rId389" Type="http://schemas.openxmlformats.org/officeDocument/2006/relationships/hyperlink" Target="https://techcombank.com/thong-tin/blog/thanh-toan-ve-may-bay-online" TargetMode="External"/><Relationship Id="rId388" Type="http://schemas.openxmlformats.org/officeDocument/2006/relationships/hyperlink" Target="https://techcombank.com/thong-tin/blog/thanh-toan-tra-sau-viettel-bang-tai-khoan-ngan-hang" TargetMode="External"/><Relationship Id="rId387" Type="http://schemas.openxmlformats.org/officeDocument/2006/relationships/hyperlink" Target="https://techcombank.com/thong-tin/blog/thanh-toan-khoan-vay" TargetMode="External"/><Relationship Id="rId386" Type="http://schemas.openxmlformats.org/officeDocument/2006/relationships/hyperlink" Target="https://techcombank.com/thong-tin/blog/thanh-lap-ho-kinh-doanh-ca-the" TargetMode="External"/><Relationship Id="rId381" Type="http://schemas.openxmlformats.org/officeDocument/2006/relationships/hyperlink" Target="https://techcombank.com/thong-tin/blog/so-tai-khoan-dep" TargetMode="External"/><Relationship Id="rId380" Type="http://schemas.openxmlformats.org/officeDocument/2006/relationships/hyperlink" Target="https://techcombank.com/thong-tin/blog/so-du-tai-khoan-thanh-toan" TargetMode="External"/><Relationship Id="rId379" Type="http://schemas.openxmlformats.org/officeDocument/2006/relationships/hyperlink" Target="https://techcombank.com/thong-tin/blog/rut-tien-bang-ma-qr-khac-ngan-hang-duoc-khong" TargetMode="External"/><Relationship Id="rId374" Type="http://schemas.openxmlformats.org/officeDocument/2006/relationships/hyperlink" Target="https://techcombank.com/thong-tin/blog/phi-thuong-nien-la-gi" TargetMode="External"/><Relationship Id="rId373" Type="http://schemas.openxmlformats.org/officeDocument/2006/relationships/hyperlink" Target="https://techcombank.com/thong-tin/blog/nhu-cau-vay-tieu-dung-cua-nguoi-viet-du-kien-tang-manh-trong-thoi-gian-toi" TargetMode="External"/><Relationship Id="rId372" Type="http://schemas.openxmlformats.org/officeDocument/2006/relationships/hyperlink" Target="https://techcombank.com/thong-tin/blog/ngoai-te-la-gi" TargetMode="External"/><Relationship Id="rId371" Type="http://schemas.openxmlformats.org/officeDocument/2006/relationships/hyperlink" Target="https://techcombank.com/thong-tin/blog/nghich-ly-nha-dau-tu-che-trai-phieu-lai-suat-cao-ua-ma-an-toan-du-lai-suat-thap-hon-05-1" TargetMode="External"/><Relationship Id="rId378" Type="http://schemas.openxmlformats.org/officeDocument/2006/relationships/hyperlink" Target="https://techcombank.com/thong-tin/blog/rui-ro-khi-gui-tiet-kiem-online" TargetMode="External"/><Relationship Id="rId377" Type="http://schemas.openxmlformats.org/officeDocument/2006/relationships/hyperlink" Target="https://techcombank.com/thong-tin/blog/remittance-la-gi" TargetMode="External"/><Relationship Id="rId376" Type="http://schemas.openxmlformats.org/officeDocument/2006/relationships/hyperlink" Target="https://techcombank.com/thong-tin/blog/quy-du-phong-tai-chinh-la-gi" TargetMode="External"/><Relationship Id="rId375" Type="http://schemas.openxmlformats.org/officeDocument/2006/relationships/hyperlink" Target="https://techcombank.com/thong-tin/blog/quan-ly-tai-chinh-doanh-nghiep-la-gi" TargetMode="External"/><Relationship Id="rId396" Type="http://schemas.openxmlformats.org/officeDocument/2006/relationships/hyperlink" Target="https://techcombank.com/thong-tin/blog/tra-no-vay-thau-chi-nhu-the-nao" TargetMode="External"/><Relationship Id="rId395" Type="http://schemas.openxmlformats.org/officeDocument/2006/relationships/hyperlink" Target="https://techcombank.com/thong-tin/blog/tin-dung-tieu-dung" TargetMode="External"/><Relationship Id="rId394" Type="http://schemas.openxmlformats.org/officeDocument/2006/relationships/hyperlink" Target="https://techcombank.com/thong-tin/blog/tieu-dung-ben-vung" TargetMode="External"/><Relationship Id="rId393" Type="http://schemas.openxmlformats.org/officeDocument/2006/relationships/hyperlink" Target="https://techcombank.com/thong-tin/blog/thu-tuc-chuyen-tien-ra-nuoc-ngoai" TargetMode="External"/><Relationship Id="rId399" Type="http://schemas.openxmlformats.org/officeDocument/2006/relationships/hyperlink" Target="https://techcombank.com/thong-tin/blog/vay-ngan-hang-chi-can-cccd" TargetMode="External"/><Relationship Id="rId398" Type="http://schemas.openxmlformats.org/officeDocument/2006/relationships/hyperlink" Target="https://techcombank.com/thong-tin/blog/ty-gia-la-gi" TargetMode="External"/><Relationship Id="rId397" Type="http://schemas.openxmlformats.org/officeDocument/2006/relationships/hyperlink" Target="https://techcombank.com/thong-tin/blog/ty-gia-cac-ngan-hang" TargetMode="External"/><Relationship Id="rId40" Type="http://schemas.openxmlformats.org/officeDocument/2006/relationships/hyperlink" Target="https://techcombank.com/thong-tin/blog/thue-ho-kinh-doanh-2025" TargetMode="External"/><Relationship Id="rId42" Type="http://schemas.openxmlformats.org/officeDocument/2006/relationships/hyperlink" Target="https://techcombank.com/thong-tin/blog/thue-thuong-mai-dien-tu" TargetMode="External"/><Relationship Id="rId41" Type="http://schemas.openxmlformats.org/officeDocument/2006/relationships/hyperlink" Target="https://techcombank.com/thong-tin/blog/thue-thu-nhap-doanh-nghiep" TargetMode="External"/><Relationship Id="rId44" Type="http://schemas.openxmlformats.org/officeDocument/2006/relationships/hyperlink" Target="https://techcombank.com/thong-tin/blog/1-cent-bang-bao-nhieu-tien-viet" TargetMode="External"/><Relationship Id="rId43" Type="http://schemas.openxmlformats.org/officeDocument/2006/relationships/hyperlink" Target="https://techcombank.com/thong-tin/blog/vay-tra-gop" TargetMode="External"/><Relationship Id="rId46" Type="http://schemas.openxmlformats.org/officeDocument/2006/relationships/hyperlink" Target="https://techcombank.com/thong-tin/blog/100-riel-bang-bao-nhieu-tien-viet-nam" TargetMode="External"/><Relationship Id="rId45" Type="http://schemas.openxmlformats.org/officeDocument/2006/relationships/hyperlink" Target="https://techcombank.com/thong-tin/blog/1-dong-do-la-my-bang-bao-nhieu-tien-viet-nam" TargetMode="External"/><Relationship Id="rId48" Type="http://schemas.openxmlformats.org/officeDocument/2006/relationships/hyperlink" Target="https://techcombank.com/thong-tin/blog/cac-hinh-thuc-vay-von-ngan-hang" TargetMode="External"/><Relationship Id="rId47" Type="http://schemas.openxmlformats.org/officeDocument/2006/relationships/hyperlink" Target="https://techcombank.com/thong-tin/blog/app-ngan-hang-uy-tin" TargetMode="External"/><Relationship Id="rId49" Type="http://schemas.openxmlformats.org/officeDocument/2006/relationships/hyperlink" Target="https://techcombank.com/thong-tin/blog/cach-gui-tiet-kiem-online" TargetMode="External"/><Relationship Id="rId31" Type="http://schemas.openxmlformats.org/officeDocument/2006/relationships/hyperlink" Target="https://techcombank.com/thong-tin/blog/gui-tiet-kiem-hang-thang" TargetMode="External"/><Relationship Id="rId30" Type="http://schemas.openxmlformats.org/officeDocument/2006/relationships/hyperlink" Target="https://techcombank.com/thong-tin/blog/gui-tien-du-hoc" TargetMode="External"/><Relationship Id="rId33" Type="http://schemas.openxmlformats.org/officeDocument/2006/relationships/hyperlink" Target="https://techcombank.com/thong-tin/blog/han-muc-vay-the-chap-so-do" TargetMode="External"/><Relationship Id="rId32" Type="http://schemas.openxmlformats.org/officeDocument/2006/relationships/hyperlink" Target="https://techcombank.com/thong-tin/blog/han-muc-mua-ngoai-te-khi-di-du-lich" TargetMode="External"/><Relationship Id="rId35" Type="http://schemas.openxmlformats.org/officeDocument/2006/relationships/hyperlink" Target="https://techcombank.com/thong-tin/blog/ho-kinh-doanh-ca-the" TargetMode="External"/><Relationship Id="rId34" Type="http://schemas.openxmlformats.org/officeDocument/2006/relationships/hyperlink" Target="https://techcombank.com/thong-tin/blog/hieu-hiet-ve-tuan-thu-thue-cho-cac-doanh-nghiep-khoi-nghiep" TargetMode="External"/><Relationship Id="rId37" Type="http://schemas.openxmlformats.org/officeDocument/2006/relationships/hyperlink" Target="https://techcombank.com/thong-tin/blog/lai-suat-vay-the-chap" TargetMode="External"/><Relationship Id="rId36" Type="http://schemas.openxmlformats.org/officeDocument/2006/relationships/hyperlink" Target="https://techcombank.com/thong-tin/blog/kinh-nghiem-gui-tiet-kiem-online" TargetMode="External"/><Relationship Id="rId39" Type="http://schemas.openxmlformats.org/officeDocument/2006/relationships/hyperlink" Target="https://techcombank.com/thong-tin/blog/phi-rut-tien-mat-the-tin-dung" TargetMode="External"/><Relationship Id="rId38" Type="http://schemas.openxmlformats.org/officeDocument/2006/relationships/hyperlink" Target="https://techcombank.com/thong-tin/blog/lam-ho-so-tra-gop-dien-thoai" TargetMode="External"/><Relationship Id="rId20" Type="http://schemas.openxmlformats.org/officeDocument/2006/relationships/hyperlink" Target="https://techcombank.com/thong-tin/blog/nhung-ho-kinh-doanh-duoc-mien-thue" TargetMode="External"/><Relationship Id="rId22" Type="http://schemas.openxmlformats.org/officeDocument/2006/relationships/hyperlink" Target="https://techcombank.com/thong-tin/blog/thay-doi-dia-chi-ho-kinh-doanh" TargetMode="External"/><Relationship Id="rId21" Type="http://schemas.openxmlformats.org/officeDocument/2006/relationships/hyperlink" Target="https://techcombank.com/thong-tin/blog/tat-toan" TargetMode="External"/><Relationship Id="rId24" Type="http://schemas.openxmlformats.org/officeDocument/2006/relationships/hyperlink" Target="https://techcombank.com/thong-tin/blog/vay-the-chap-kinh-doanh" TargetMode="External"/><Relationship Id="rId23" Type="http://schemas.openxmlformats.org/officeDocument/2006/relationships/hyperlink" Target="https://techcombank.com/thong-tin/blog/tien-trung-quoc" TargetMode="External"/><Relationship Id="rId26" Type="http://schemas.openxmlformats.org/officeDocument/2006/relationships/hyperlink" Target="https://techcombank.com/thong-tin/blog/1-te-bang-bao-nhieu-tien-viet-nam" TargetMode="External"/><Relationship Id="rId25" Type="http://schemas.openxmlformats.org/officeDocument/2006/relationships/hyperlink" Target="https://techcombank.com/thong-tin/blog/vay-tin-chap-va-vay-the-chap" TargetMode="External"/><Relationship Id="rId28" Type="http://schemas.openxmlformats.org/officeDocument/2006/relationships/hyperlink" Target="https://techcombank.com/thong-tin/blog/1000-yen-bang-bao-nhieu-tien-viet" TargetMode="External"/><Relationship Id="rId27" Type="http://schemas.openxmlformats.org/officeDocument/2006/relationships/hyperlink" Target="https://techcombank.com/thong-tin/blog/1-van-te-bang-bao-nhieu-tien-viet" TargetMode="External"/><Relationship Id="rId29" Type="http://schemas.openxmlformats.org/officeDocument/2006/relationships/hyperlink" Target="https://techcombank.com/thong-tin/blog/cach-tinh-lai-suat-tien-gui-tiet-kiem" TargetMode="External"/><Relationship Id="rId11" Type="http://schemas.openxmlformats.org/officeDocument/2006/relationships/hyperlink" Target="https://techcombank.com/thong-tin/blog/1000-te-bang-bao-nhieu-tien-viet" TargetMode="External"/><Relationship Id="rId10" Type="http://schemas.openxmlformats.org/officeDocument/2006/relationships/hyperlink" Target="https://techcombank.com/thong-tin/blog/1-do-uc-bang-bao-nhieu-tien-viet" TargetMode="External"/><Relationship Id="rId13" Type="http://schemas.openxmlformats.org/officeDocument/2006/relationships/hyperlink" Target="https://techcombank.com/thong-tin/blog/co-nen-dung-the-tin-dung-khong" TargetMode="External"/><Relationship Id="rId12" Type="http://schemas.openxmlformats.org/officeDocument/2006/relationships/hyperlink" Target="https://techcombank.com/thong-tin/blog/cach-thanh-toan-the-tin-dung" TargetMode="External"/><Relationship Id="rId15" Type="http://schemas.openxmlformats.org/officeDocument/2006/relationships/hyperlink" Target="https://techcombank.com/thong-tin/blog/khai-bao-tai-khoan-ngan-hang-voi-co-quan-thue" TargetMode="External"/><Relationship Id="rId14" Type="http://schemas.openxmlformats.org/officeDocument/2006/relationships/hyperlink" Target="https://techcombank.com/thong-tin/blog/giai-dap-ve-thue-doanh-nghiep" TargetMode="External"/><Relationship Id="rId17" Type="http://schemas.openxmlformats.org/officeDocument/2006/relationships/hyperlink" Target="https://techcombank.com/thong-tin/blog/lai-suat-vay-tin-chap" TargetMode="External"/><Relationship Id="rId16" Type="http://schemas.openxmlformats.org/officeDocument/2006/relationships/hyperlink" Target="https://techcombank.com/thong-tin/blog/lai-suat-vay-kinh-doanh" TargetMode="External"/><Relationship Id="rId19" Type="http://schemas.openxmlformats.org/officeDocument/2006/relationships/hyperlink" Target="https://techcombank.com/thong-tin/blog/nen-de-tien-trong-the-hay-gui-tiet-kiem" TargetMode="External"/><Relationship Id="rId18" Type="http://schemas.openxmlformats.org/officeDocument/2006/relationships/hyperlink" Target="https://techcombank.com/thong-tin/blog/nap-tien-vao-tai-khoan-ngan-hang" TargetMode="External"/><Relationship Id="rId84" Type="http://schemas.openxmlformats.org/officeDocument/2006/relationships/hyperlink" Target="https://techcombank.com/thong-tin/blog/1000-won-bang-bao-nhieu-tien-viet" TargetMode="External"/><Relationship Id="rId83" Type="http://schemas.openxmlformats.org/officeDocument/2006/relationships/hyperlink" Target="https://techcombank.com/thong-tin/blog/1-won-bang-bao-nhieu-tien-viet" TargetMode="External"/><Relationship Id="rId86" Type="http://schemas.openxmlformats.org/officeDocument/2006/relationships/hyperlink" Target="https://techcombank.com/thong-tin/blog/cac-hinh-thuc-cho-vay-tieu-dung" TargetMode="External"/><Relationship Id="rId85" Type="http://schemas.openxmlformats.org/officeDocument/2006/relationships/hyperlink" Target="https://techcombank.com/thong-tin/blog/bi-quyet-tiet-kiem-tien-mua-nha" TargetMode="External"/><Relationship Id="rId88" Type="http://schemas.openxmlformats.org/officeDocument/2006/relationships/hyperlink" Target="https://techcombank.com/thong-tin/blog/cach-chuyen-tien" TargetMode="External"/><Relationship Id="rId87" Type="http://schemas.openxmlformats.org/officeDocument/2006/relationships/hyperlink" Target="https://techcombank.com/thong-tin/blog/cac-sai-lam-pho-bien-khi-chuyen-doi-ho-kinh-doanh-len-sme" TargetMode="External"/><Relationship Id="rId89" Type="http://schemas.openxmlformats.org/officeDocument/2006/relationships/hyperlink" Target="https://techcombank.com/thong-tin/blog/cach-tiet-kiem-tien-sinh-loi" TargetMode="External"/><Relationship Id="rId80" Type="http://schemas.openxmlformats.org/officeDocument/2006/relationships/hyperlink" Target="https://techcombank.com/thong-tin/blog/vay-thau-chi-bang-so-tiet-kiem" TargetMode="External"/><Relationship Id="rId82" Type="http://schemas.openxmlformats.org/officeDocument/2006/relationships/hyperlink" Target="https://techcombank.com/thong-tin/blog/vay-tin-chap-ho-kinh-doanh" TargetMode="External"/><Relationship Id="rId81" Type="http://schemas.openxmlformats.org/officeDocument/2006/relationships/hyperlink" Target="https://techcombank.com/thong-tin/blog/vay-the-chap-so-hong" TargetMode="External"/><Relationship Id="rId73" Type="http://schemas.openxmlformats.org/officeDocument/2006/relationships/hyperlink" Target="https://techcombank.com/thong-tin/blog/tra-cuu-han-muc-the-tin-dung" TargetMode="External"/><Relationship Id="rId72" Type="http://schemas.openxmlformats.org/officeDocument/2006/relationships/hyperlink" Target="https://techcombank.com/thong-tin/blog/tim-hieu-ve-chinh-sach-thue-moi" TargetMode="External"/><Relationship Id="rId75" Type="http://schemas.openxmlformats.org/officeDocument/2006/relationships/hyperlink" Target="https://techcombank.com/thong-tin/blog/tra-luong-tien-mat" TargetMode="External"/><Relationship Id="rId74" Type="http://schemas.openxmlformats.org/officeDocument/2006/relationships/hyperlink" Target="https://techcombank.com/thong-tin/blog/tra-cuu-ma-so-thue-ho-kinh-doanh" TargetMode="External"/><Relationship Id="rId77" Type="http://schemas.openxmlformats.org/officeDocument/2006/relationships/hyperlink" Target="https://techcombank.com/thong-tin/blog/vay-300-trieu" TargetMode="External"/><Relationship Id="rId76" Type="http://schemas.openxmlformats.org/officeDocument/2006/relationships/hyperlink" Target="https://techcombank.com/thong-tin/blog/vay-100-trieu" TargetMode="External"/><Relationship Id="rId79" Type="http://schemas.openxmlformats.org/officeDocument/2006/relationships/hyperlink" Target="https://techcombank.com/thong-tin/blog/vay-ngan-hang-1-ty-moi-thang-tra-bao-nhieu" TargetMode="External"/><Relationship Id="rId78" Type="http://schemas.openxmlformats.org/officeDocument/2006/relationships/hyperlink" Target="https://techcombank.com/thong-tin/blog/vay-mua-xe-tra-gop-ngan-hang-nao-tot-nhat" TargetMode="External"/><Relationship Id="rId71" Type="http://schemas.openxmlformats.org/officeDocument/2006/relationships/hyperlink" Target="https://techcombank.com/thong-tin/blog/tien-nhan-roi-nen-lam-gi" TargetMode="External"/><Relationship Id="rId70" Type="http://schemas.openxmlformats.org/officeDocument/2006/relationships/hyperlink" Target="https://techcombank.com/thong-tin/blog/tien-indonesia" TargetMode="External"/><Relationship Id="rId62" Type="http://schemas.openxmlformats.org/officeDocument/2006/relationships/hyperlink" Target="https://techcombank.com/thong-tin/blog/nhung-chi-phi-khong-duoc-tru-khi-tinh-thue-tndn" TargetMode="External"/><Relationship Id="rId61" Type="http://schemas.openxmlformats.org/officeDocument/2006/relationships/hyperlink" Target="https://techcombank.com/thong-tin/blog/nen-vay-tin-chap-o-dau" TargetMode="External"/><Relationship Id="rId64" Type="http://schemas.openxmlformats.org/officeDocument/2006/relationships/hyperlink" Target="https://techcombank.com/thong-tin/blog/the-ghi-no-va-the-tin-dung" TargetMode="External"/><Relationship Id="rId63" Type="http://schemas.openxmlformats.org/officeDocument/2006/relationships/hyperlink" Target="https://techcombank.com/thong-tin/blog/quy-trinh-tat-toan-khoan-vay-the-chap" TargetMode="External"/><Relationship Id="rId66" Type="http://schemas.openxmlformats.org/officeDocument/2006/relationships/hyperlink" Target="https://techcombank.com/thong-tin/blog/thu-tuc-mua-xe-tra-gop" TargetMode="External"/><Relationship Id="rId65" Type="http://schemas.openxmlformats.org/officeDocument/2006/relationships/hyperlink" Target="https://techcombank.com/thong-tin/blog/the-tin-dung-phu-la-gi" TargetMode="External"/><Relationship Id="rId68" Type="http://schemas.openxmlformats.org/officeDocument/2006/relationships/hyperlink" Target="https://techcombank.com/thong-tin/blog/tiem-nang-chuyen-doi-tu-ho-kinh-doanh-len-doanh-nghiep-sme" TargetMode="External"/><Relationship Id="rId67" Type="http://schemas.openxmlformats.org/officeDocument/2006/relationships/hyperlink" Target="https://techcombank.com/thong-tin/blog/thu-tuc-vay-von-kinh-doanh-nho" TargetMode="External"/><Relationship Id="rId60" Type="http://schemas.openxmlformats.org/officeDocument/2006/relationships/hyperlink" Target="https://techcombank.com/thong-tin/blog/nen-mua-xe-tra-gop-hay-tra-thang" TargetMode="External"/><Relationship Id="rId69" Type="http://schemas.openxmlformats.org/officeDocument/2006/relationships/hyperlink" Target="https://techcombank.com/thong-tin/blog/tien-dai-loan" TargetMode="External"/><Relationship Id="rId51" Type="http://schemas.openxmlformats.org/officeDocument/2006/relationships/hyperlink" Target="https://techcombank.com/thong-tin/blog/cach-su-dung-tai-khoan-cong-ty" TargetMode="External"/><Relationship Id="rId50" Type="http://schemas.openxmlformats.org/officeDocument/2006/relationships/hyperlink" Target="https://techcombank.com/thong-tin/blog/cach-nop-thue-dien-tu" TargetMode="External"/><Relationship Id="rId53" Type="http://schemas.openxmlformats.org/officeDocument/2006/relationships/hyperlink" Target="https://techcombank.com/thong-tin/blog/cach-tinh-thue-thu-nhap-doanh-nghiep" TargetMode="External"/><Relationship Id="rId52" Type="http://schemas.openxmlformats.org/officeDocument/2006/relationships/hyperlink" Target="https://techcombank.com/thong-tin/blog/cach-su-dung-the-tin-dung" TargetMode="External"/><Relationship Id="rId55" Type="http://schemas.openxmlformats.org/officeDocument/2006/relationships/hyperlink" Target="https://techcombank.com/thong-tin/blog/hoan-thue-doanh-nghiep" TargetMode="External"/><Relationship Id="rId54" Type="http://schemas.openxmlformats.org/officeDocument/2006/relationships/hyperlink" Target="https://techcombank.com/thong-tin/blog/chuyen-tien-tu-nhat-ve-viet-nam" TargetMode="External"/><Relationship Id="rId57" Type="http://schemas.openxmlformats.org/officeDocument/2006/relationships/hyperlink" Target="https://techcombank.com/thong-tin/blog/kiem-tra-thue-ho-kinh-doanh" TargetMode="External"/><Relationship Id="rId56" Type="http://schemas.openxmlformats.org/officeDocument/2006/relationships/hyperlink" Target="https://techcombank.com/thong-tin/blog/ke-khai-thue-doanh-nghiep" TargetMode="External"/><Relationship Id="rId59" Type="http://schemas.openxmlformats.org/officeDocument/2006/relationships/hyperlink" Target="https://techcombank.com/thong-tin/blog/lai-suat-vay-the-chap-so-do" TargetMode="External"/><Relationship Id="rId58" Type="http://schemas.openxmlformats.org/officeDocument/2006/relationships/hyperlink" Target="https://techcombank.com/thong-tin/blog/kinh-nghiem-vay-the-chap-ngan-hang" TargetMode="External"/><Relationship Id="rId349" Type="http://schemas.openxmlformats.org/officeDocument/2006/relationships/hyperlink" Target="https://techcombank.com/thong-tin/blog/dau-tu-tai-chinh-ca-nhan" TargetMode="External"/><Relationship Id="rId348" Type="http://schemas.openxmlformats.org/officeDocument/2006/relationships/hyperlink" Target="https://techcombank.com/thong-tin/blog/co-nen-mua-so-tai-khoan-ngan-hang-dep" TargetMode="External"/><Relationship Id="rId347" Type="http://schemas.openxmlformats.org/officeDocument/2006/relationships/hyperlink" Target="https://techcombank.com/thong-tin/blog/co-nen-mua-o-to-tra-gop" TargetMode="External"/><Relationship Id="rId346" Type="http://schemas.openxmlformats.org/officeDocument/2006/relationships/hyperlink" Target="https://techcombank.com/thong-tin/blog/co-nen-gui-chung-chi-tien-gui" TargetMode="External"/><Relationship Id="rId341" Type="http://schemas.openxmlformats.org/officeDocument/2006/relationships/hyperlink" Target="https://techcombank.com/thong-tin/blog/chung-chi-tien-gui-co-duoc-bao-hiem-khong" TargetMode="External"/><Relationship Id="rId340" Type="http://schemas.openxmlformats.org/officeDocument/2006/relationships/hyperlink" Target="https://techcombank.com/thong-tin/blog/chuan-bi-cho-doanh-nghiep-khoi-nghiep-truoc-nhung-thay-doi-ve-thue" TargetMode="External"/><Relationship Id="rId345" Type="http://schemas.openxmlformats.org/officeDocument/2006/relationships/hyperlink" Target="https://techcombank.com/thong-tin/blog/chuyen-tien-dinh-cu" TargetMode="External"/><Relationship Id="rId344" Type="http://schemas.openxmlformats.org/officeDocument/2006/relationships/hyperlink" Target="https://techcombank.com/thong-tin/blog/chuyen-doi-hoa-don-dien-tu" TargetMode="External"/><Relationship Id="rId343" Type="http://schemas.openxmlformats.org/officeDocument/2006/relationships/hyperlink" Target="https://techcombank.com/thong-tin/blog/chung-chi-tien-gui-co-phai-la-trai-phieu-khong" TargetMode="External"/><Relationship Id="rId342" Type="http://schemas.openxmlformats.org/officeDocument/2006/relationships/hyperlink" Target="https://techcombank.com/thong-tin/blog/chung-chi-tien-gui-co-duoc-rut-truoc-han" TargetMode="External"/><Relationship Id="rId338" Type="http://schemas.openxmlformats.org/officeDocument/2006/relationships/hyperlink" Target="https://techcombank.com/thong-tin/blog/cach-tiet-kiem-tien-theo-tuan" TargetMode="External"/><Relationship Id="rId337" Type="http://schemas.openxmlformats.org/officeDocument/2006/relationships/hyperlink" Target="https://techcombank.com/thong-tin/blog/cach-tiet-kiem-tien" TargetMode="External"/><Relationship Id="rId336" Type="http://schemas.openxmlformats.org/officeDocument/2006/relationships/hyperlink" Target="https://techcombank.com/thong-tin/blog/cach-tiet-kiem-100-trieu-1-nam" TargetMode="External"/><Relationship Id="rId335" Type="http://schemas.openxmlformats.org/officeDocument/2006/relationships/hyperlink" Target="https://techcombank.com/thong-tin/blog/cach-lam-the-atm" TargetMode="External"/><Relationship Id="rId339" Type="http://schemas.openxmlformats.org/officeDocument/2006/relationships/hyperlink" Target="https://techcombank.com/thong-tin/blog/chon-kenh-dau-tu-an-toan-trong-boi-canh-thi-truong-bien-dong" TargetMode="External"/><Relationship Id="rId330" Type="http://schemas.openxmlformats.org/officeDocument/2006/relationships/hyperlink" Target="https://techcombank.com/thong-tin/blog/1-trieu-won-bang-bao-nhieu-tien-viet" TargetMode="External"/><Relationship Id="rId334" Type="http://schemas.openxmlformats.org/officeDocument/2006/relationships/hyperlink" Target="https://techcombank.com/thong-tin/blog/cach-kich-hoat-the-atm" TargetMode="External"/><Relationship Id="rId333" Type="http://schemas.openxmlformats.org/officeDocument/2006/relationships/hyperlink" Target="https://techcombank.com/thong-tin/blog/cach-doi-mat-khau-tai-khoan-ngan-hang" TargetMode="External"/><Relationship Id="rId332" Type="http://schemas.openxmlformats.org/officeDocument/2006/relationships/hyperlink" Target="https://techcombank.com/thong-tin/blog/cach-chuyen-tien-qua-ma-qr-techcombank" TargetMode="External"/><Relationship Id="rId331" Type="http://schemas.openxmlformats.org/officeDocument/2006/relationships/hyperlink" Target="https://techcombank.com/thong-tin/blog/atm-la-gi" TargetMode="External"/><Relationship Id="rId370" Type="http://schemas.openxmlformats.org/officeDocument/2006/relationships/hyperlink" Target="https://techcombank.com/thong-tin/blog/nap-xu-tiktok" TargetMode="External"/><Relationship Id="rId369" Type="http://schemas.openxmlformats.org/officeDocument/2006/relationships/hyperlink" Target="https://techcombank.com/thong-tin/blog/nang-han-muc-tin-dung" TargetMode="External"/><Relationship Id="rId368" Type="http://schemas.openxmlformats.org/officeDocument/2006/relationships/hyperlink" Target="https://techcombank.com/thong-tin/blog/mo-the-tin-dung-khong-can-chung-minh-thu-nhap" TargetMode="External"/><Relationship Id="rId363" Type="http://schemas.openxmlformats.org/officeDocument/2006/relationships/hyperlink" Target="https://techcombank.com/thong-tin/blog/lo-ma-qr-ngan-hang-co-sao-khong" TargetMode="External"/><Relationship Id="rId362" Type="http://schemas.openxmlformats.org/officeDocument/2006/relationships/hyperlink" Target="https://techcombank.com/thong-tin/blog/lam-the-atm-co-mat-phi-khong" TargetMode="External"/><Relationship Id="rId361" Type="http://schemas.openxmlformats.org/officeDocument/2006/relationships/hyperlink" Target="https://techcombank.com/thong-tin/blog/lai-kep-ngan-hang" TargetMode="External"/><Relationship Id="rId360" Type="http://schemas.openxmlformats.org/officeDocument/2006/relationships/hyperlink" Target="https://techcombank.com/thong-tin/blog/kinh-doanh-online" TargetMode="External"/><Relationship Id="rId367" Type="http://schemas.openxmlformats.org/officeDocument/2006/relationships/hyperlink" Target="https://techcombank.com/thong-tin/blog/mo-the-tin-dung-han-muc-cao" TargetMode="External"/><Relationship Id="rId366" Type="http://schemas.openxmlformats.org/officeDocument/2006/relationships/hyperlink" Target="https://techcombank.com/thong-tin/blog/mo-tai-khoan-tiet-kiem-cho-con" TargetMode="External"/><Relationship Id="rId365" Type="http://schemas.openxmlformats.org/officeDocument/2006/relationships/hyperlink" Target="https://techcombank.com/thong-tin/blog/ma-qr-ngan-hang-khong-hop-le" TargetMode="External"/><Relationship Id="rId364" Type="http://schemas.openxmlformats.org/officeDocument/2006/relationships/hyperlink" Target="https://techcombank.com/thong-tin/blog/loi-ich-cua-viec-tiet-kiem-tien" TargetMode="External"/><Relationship Id="rId95" Type="http://schemas.openxmlformats.org/officeDocument/2006/relationships/hyperlink" Target="https://techcombank.com/thong-tin/blog/diem-tin-dung" TargetMode="External"/><Relationship Id="rId94" Type="http://schemas.openxmlformats.org/officeDocument/2006/relationships/hyperlink" Target="https://techcombank.com/thong-tin/blog/cong-ty-su-dung-tai-khoan-ca-nhan" TargetMode="External"/><Relationship Id="rId97" Type="http://schemas.openxmlformats.org/officeDocument/2006/relationships/hyperlink" Target="https://techcombank.com/thong-tin/blog/du-no-tin-dung-la-gi" TargetMode="External"/><Relationship Id="rId96" Type="http://schemas.openxmlformats.org/officeDocument/2006/relationships/hyperlink" Target="https://techcombank.com/thong-tin/blog/du-no-la-gi" TargetMode="External"/><Relationship Id="rId99" Type="http://schemas.openxmlformats.org/officeDocument/2006/relationships/hyperlink" Target="https://techcombank.com/thong-tin/blog/kiem-tra-no-xau" TargetMode="External"/><Relationship Id="rId98" Type="http://schemas.openxmlformats.org/officeDocument/2006/relationships/hyperlink" Target="https://techcombank.com/thong-tin/blog/ke-khai-thue-ho-kinh-doanh-ca-the-online" TargetMode="External"/><Relationship Id="rId91" Type="http://schemas.openxmlformats.org/officeDocument/2006/relationships/hyperlink" Target="https://techcombank.com/thong-tin/blog/cic-la-gi" TargetMode="External"/><Relationship Id="rId90" Type="http://schemas.openxmlformats.org/officeDocument/2006/relationships/hyperlink" Target="https://techcombank.com/thong-tin/blog/chuyen-tien-di-uc" TargetMode="External"/><Relationship Id="rId93" Type="http://schemas.openxmlformats.org/officeDocument/2006/relationships/hyperlink" Target="https://techcombank.com/thong-tin/blog/co-nen-gui-tiet-kiem-online" TargetMode="External"/><Relationship Id="rId92" Type="http://schemas.openxmlformats.org/officeDocument/2006/relationships/hyperlink" Target="https://techcombank.com/thong-tin/blog/co-100-trieu-co-mua-nen-mua-tra-gop" TargetMode="External"/><Relationship Id="rId359" Type="http://schemas.openxmlformats.org/officeDocument/2006/relationships/hyperlink" Target="https://techcombank.com/thong-tin/blog/khach-hang-vip-bat-dong-san" TargetMode="External"/><Relationship Id="rId358" Type="http://schemas.openxmlformats.org/officeDocument/2006/relationships/hyperlink" Target="https://techcombank.com/thong-tin/blog/in-ma-qr-ngan-hang" TargetMode="External"/><Relationship Id="rId357" Type="http://schemas.openxmlformats.org/officeDocument/2006/relationships/hyperlink" Target="https://techcombank.com/thong-tin/blog/gui-tiet-kiem-usd" TargetMode="External"/><Relationship Id="rId352" Type="http://schemas.openxmlformats.org/officeDocument/2006/relationships/hyperlink" Target="https://techcombank.com/thong-tin/blog/dong-tai-khoan-ngan-hang-cong-ty" TargetMode="External"/><Relationship Id="rId351" Type="http://schemas.openxmlformats.org/officeDocument/2006/relationships/hyperlink" Target="https://techcombank.com/thong-tin/blog/doi-tien-do-o-dau" TargetMode="External"/><Relationship Id="rId350" Type="http://schemas.openxmlformats.org/officeDocument/2006/relationships/hyperlink" Target="https://techcombank.com/thong-tin/blog/dieu-kien-mua-usd-tu-ngan-hang" TargetMode="External"/><Relationship Id="rId356" Type="http://schemas.openxmlformats.org/officeDocument/2006/relationships/hyperlink" Target="https://techcombank.com/thong-tin/blog/gui-tiet-kiem-online-bi-mat-tien" TargetMode="External"/><Relationship Id="rId355" Type="http://schemas.openxmlformats.org/officeDocument/2006/relationships/hyperlink" Target="https://techcombank.com/thong-tin/blog/gui-them-tien-vao-so-tiet-kiem" TargetMode="External"/><Relationship Id="rId354" Type="http://schemas.openxmlformats.org/officeDocument/2006/relationships/hyperlink" Target="https://techcombank.com/thong-tin/blog/giay-phep-kinh-doanh" TargetMode="External"/><Relationship Id="rId353" Type="http://schemas.openxmlformats.org/officeDocument/2006/relationships/hyperlink" Target="https://techcombank.com/thong-tin/blog/ghi-chep-chi-tieu" TargetMode="External"/><Relationship Id="rId305" Type="http://schemas.openxmlformats.org/officeDocument/2006/relationships/hyperlink" Target="https://techcombank.com/thong-tin/blog/tai-khoan-ngan-hang-la-gi" TargetMode="External"/><Relationship Id="rId304" Type="http://schemas.openxmlformats.org/officeDocument/2006/relationships/hyperlink" Target="https://techcombank.com/thong-tin/blog/so-cvv-la-gi" TargetMode="External"/><Relationship Id="rId303" Type="http://schemas.openxmlformats.org/officeDocument/2006/relationships/hyperlink" Target="https://techcombank.com/thong-tin/blog/sao-ke-the-tin-dung-la-gi" TargetMode="External"/><Relationship Id="rId302" Type="http://schemas.openxmlformats.org/officeDocument/2006/relationships/hyperlink" Target="https://techcombank.com/thong-tin/blog/rut-tien-mat-tu-tai-khoan-doanh-nghiep" TargetMode="External"/><Relationship Id="rId309" Type="http://schemas.openxmlformats.org/officeDocument/2006/relationships/hyperlink" Target="https://techcombank.com/thong-tin/blog/thanh-toan-khi-du-lich-han-quoc" TargetMode="External"/><Relationship Id="rId308" Type="http://schemas.openxmlformats.org/officeDocument/2006/relationships/hyperlink" Target="https://techcombank.com/thong-tin/blog/techcombank-sinh-loi-tu-dong" TargetMode="External"/><Relationship Id="rId307" Type="http://schemas.openxmlformats.org/officeDocument/2006/relationships/hyperlink" Target="https://techcombank.com/thong-tin/blog/tao-ma-qr-thanh-toan-cho-cua-hang" TargetMode="External"/><Relationship Id="rId306" Type="http://schemas.openxmlformats.org/officeDocument/2006/relationships/hyperlink" Target="https://techcombank.com/thong-tin/blog/tai-khoan-thanh-toan-la-gi" TargetMode="External"/><Relationship Id="rId301" Type="http://schemas.openxmlformats.org/officeDocument/2006/relationships/hyperlink" Target="https://techcombank.com/thong-tin/blog/quyet-toan-thue-thu-nhap-ca-nhan" TargetMode="External"/><Relationship Id="rId300" Type="http://schemas.openxmlformats.org/officeDocument/2006/relationships/hyperlink" Target="https://techcombank.com/thong-tin/blog/quan-ly-chuoi-cua-hang" TargetMode="External"/><Relationship Id="rId327" Type="http://schemas.openxmlformats.org/officeDocument/2006/relationships/hyperlink" Target="https://techcombank.com/thong-tin/blog/vay-the-chap-so-bao-hiem-xa-hoi" TargetMode="External"/><Relationship Id="rId326" Type="http://schemas.openxmlformats.org/officeDocument/2006/relationships/hyperlink" Target="https://techcombank.com/thong-tin/blog/vay-the-chap-khong-chung-minh-thu-nhap" TargetMode="External"/><Relationship Id="rId325" Type="http://schemas.openxmlformats.org/officeDocument/2006/relationships/hyperlink" Target="https://techcombank.com/thong-tin/blog/vay-thau-chi-la-gi" TargetMode="External"/><Relationship Id="rId324" Type="http://schemas.openxmlformats.org/officeDocument/2006/relationships/hyperlink" Target="https://techcombank.com/thong-tin/blog/vay-kinh-doanh-online" TargetMode="External"/><Relationship Id="rId329" Type="http://schemas.openxmlformats.org/officeDocument/2006/relationships/hyperlink" Target="https://techcombank.com/thong-tin/blog/vi-dien-tu-la-gi" TargetMode="External"/><Relationship Id="rId328" Type="http://schemas.openxmlformats.org/officeDocument/2006/relationships/hyperlink" Target="https://techcombank.com/thong-tin/blog/vay-tin-chap-khong-tra-duoc-co-sao-khong" TargetMode="External"/><Relationship Id="rId323" Type="http://schemas.openxmlformats.org/officeDocument/2006/relationships/hyperlink" Target="https://techcombank.com/thong-tin/blog/vay-han-muc-la-gi" TargetMode="External"/><Relationship Id="rId322" Type="http://schemas.openxmlformats.org/officeDocument/2006/relationships/hyperlink" Target="https://techcombank.com/thong-tin/blog/vay-50-trieu" TargetMode="External"/><Relationship Id="rId321" Type="http://schemas.openxmlformats.org/officeDocument/2006/relationships/hyperlink" Target="https://techcombank.com/thong-tin/blog/vay-40-trieu" TargetMode="External"/><Relationship Id="rId320" Type="http://schemas.openxmlformats.org/officeDocument/2006/relationships/hyperlink" Target="https://techcombank.com/thong-tin/blog/tra-gop-qua-the-tin-dung" TargetMode="External"/><Relationship Id="rId316" Type="http://schemas.openxmlformats.org/officeDocument/2006/relationships/hyperlink" Target="https://techcombank.com/thong-tin/blog/thue-thu-nhap-ca-nhan" TargetMode="External"/><Relationship Id="rId315" Type="http://schemas.openxmlformats.org/officeDocument/2006/relationships/hyperlink" Target="https://techcombank.com/thong-tin/blog/thue-doanh-nghiep" TargetMode="External"/><Relationship Id="rId314" Type="http://schemas.openxmlformats.org/officeDocument/2006/relationships/hyperlink" Target="https://techcombank.com/thong-tin/blog/thu-tuc-thanh-lap-doanh-nghiep" TargetMode="External"/><Relationship Id="rId313" Type="http://schemas.openxmlformats.org/officeDocument/2006/relationships/hyperlink" Target="https://techcombank.com/thong-tin/blog/the-tin-dung-mien-phi-thuong-nien" TargetMode="External"/><Relationship Id="rId319" Type="http://schemas.openxmlformats.org/officeDocument/2006/relationships/hyperlink" Target="https://techcombank.com/thong-tin/blog/top-phan-mem-ban-hang" TargetMode="External"/><Relationship Id="rId318" Type="http://schemas.openxmlformats.org/officeDocument/2006/relationships/hyperlink" Target="https://techcombank.com/thong-tin/blog/tin-dung-la-gi" TargetMode="External"/><Relationship Id="rId317" Type="http://schemas.openxmlformats.org/officeDocument/2006/relationships/hyperlink" Target="https://techcombank.com/thong-tin/blog/tin-dung-doanh-nghiep" TargetMode="External"/><Relationship Id="rId312" Type="http://schemas.openxmlformats.org/officeDocument/2006/relationships/hyperlink" Target="https://techcombank.com/thong-tin/blog/the-tin-dung-het-han" TargetMode="External"/><Relationship Id="rId311" Type="http://schemas.openxmlformats.org/officeDocument/2006/relationships/hyperlink" Target="https://techcombank.com/thong-tin/blog/the-tin-dung-den" TargetMode="External"/><Relationship Id="rId310" Type="http://schemas.openxmlformats.org/officeDocument/2006/relationships/hyperlink" Target="https://techcombank.com/thong-tin/blog/the-ghi-no-co-rut-tien-duoc-khong" TargetMode="External"/><Relationship Id="rId297" Type="http://schemas.openxmlformats.org/officeDocument/2006/relationships/hyperlink" Target="https://techcombank.com/thong-tin/blog/nop-thue-dat-qua-ngan-hang" TargetMode="External"/><Relationship Id="rId296" Type="http://schemas.openxmlformats.org/officeDocument/2006/relationships/hyperlink" Target="https://techcombank.com/thong-tin/blog/no-the-tin-dung-qua-han" TargetMode="External"/><Relationship Id="rId295" Type="http://schemas.openxmlformats.org/officeDocument/2006/relationships/hyperlink" Target="https://techcombank.com/thong-tin/blog/ngan-hang-thu-huong-la-gi" TargetMode="External"/><Relationship Id="rId294" Type="http://schemas.openxmlformats.org/officeDocument/2006/relationships/hyperlink" Target="https://techcombank.com/thong-tin/blog/ngan-hang-so-cho-doanh-nghiep" TargetMode="External"/><Relationship Id="rId299" Type="http://schemas.openxmlformats.org/officeDocument/2006/relationships/hyperlink" Target="https://techcombank.com/thong-tin/blog/phi-vay-the-chap" TargetMode="External"/><Relationship Id="rId298" Type="http://schemas.openxmlformats.org/officeDocument/2006/relationships/hyperlink" Target="https://techcombank.com/thong-tin/blog/phan-mem-lap-ke-hoach-tai-chinh-ca-nhan" TargetMode="External"/><Relationship Id="rId271" Type="http://schemas.openxmlformats.org/officeDocument/2006/relationships/hyperlink" Target="https://techcombank.com/thong-tin/blog/dang-ky-thue-ho-kinh-doanh-ca-the-online" TargetMode="External"/><Relationship Id="rId270" Type="http://schemas.openxmlformats.org/officeDocument/2006/relationships/hyperlink" Target="https://techcombank.com/thong-tin/blog/chuyen-tien-tu-han-sang-viet-nam" TargetMode="External"/><Relationship Id="rId269" Type="http://schemas.openxmlformats.org/officeDocument/2006/relationships/hyperlink" Target="https://techcombank.com/thong-tin/blog/chung-chi-tien-gui-khac-gi-so-tiet-kiem" TargetMode="External"/><Relationship Id="rId264" Type="http://schemas.openxmlformats.org/officeDocument/2006/relationships/hyperlink" Target="https://techcombank.com/thong-tin/blog/cach-nap-tien-vao-the-ghi-no" TargetMode="External"/><Relationship Id="rId263" Type="http://schemas.openxmlformats.org/officeDocument/2006/relationships/hyperlink" Target="https://techcombank.com/thong-tin/blog/cach-huy-the-tin-dung" TargetMode="External"/><Relationship Id="rId262" Type="http://schemas.openxmlformats.org/officeDocument/2006/relationships/hyperlink" Target="https://techcombank.com/thong-tin/blog/cach-dau-tu" TargetMode="External"/><Relationship Id="rId261" Type="http://schemas.openxmlformats.org/officeDocument/2006/relationships/hyperlink" Target="https://techcombank.com/thong-tin/blog/cach-chuyen-khoan-bang-dien-thoai" TargetMode="External"/><Relationship Id="rId268" Type="http://schemas.openxmlformats.org/officeDocument/2006/relationships/hyperlink" Target="https://techcombank.com/thong-tin/blog/cho-vay-tung-lan" TargetMode="External"/><Relationship Id="rId267" Type="http://schemas.openxmlformats.org/officeDocument/2006/relationships/hyperlink" Target="https://techcombank.com/thong-tin/blog/chinh-sach-thue-moi" TargetMode="External"/><Relationship Id="rId266" Type="http://schemas.openxmlformats.org/officeDocument/2006/relationships/hyperlink" Target="https://techcombank.com/thong-tin/blog/chi-phi-mo-tai-khoan-ngan-hang-cho-cong-ty" TargetMode="External"/><Relationship Id="rId265" Type="http://schemas.openxmlformats.org/officeDocument/2006/relationships/hyperlink" Target="https://techcombank.com/thong-tin/blog/cdm" TargetMode="External"/><Relationship Id="rId260" Type="http://schemas.openxmlformats.org/officeDocument/2006/relationships/hyperlink" Target="https://techcombank.com/thong-tin/blog/cach-chon-so-tai-khoan-dep" TargetMode="External"/><Relationship Id="rId259" Type="http://schemas.openxmlformats.org/officeDocument/2006/relationships/hyperlink" Target="https://techcombank.com/thong-tin/blog/cac-loai-the-tin-dung" TargetMode="External"/><Relationship Id="rId258" Type="http://schemas.openxmlformats.org/officeDocument/2006/relationships/hyperlink" Target="https://techcombank.com/thong-tin/blog/cac-chung-chi-quy-o-viet-nam" TargetMode="External"/><Relationship Id="rId253" Type="http://schemas.openxmlformats.org/officeDocument/2006/relationships/hyperlink" Target="https://techcombank.com/thong-tin/blog/vay-the-chap-hop-dong-mua-ban-can-ho" TargetMode="External"/><Relationship Id="rId252" Type="http://schemas.openxmlformats.org/officeDocument/2006/relationships/hyperlink" Target="https://techcombank.com/thong-tin/blog/vay-mua-dien-thoai" TargetMode="External"/><Relationship Id="rId251" Type="http://schemas.openxmlformats.org/officeDocument/2006/relationships/hyperlink" Target="https://techcombank.com/thong-tin/blog/vay-mua-chung-cu" TargetMode="External"/><Relationship Id="rId250" Type="http://schemas.openxmlformats.org/officeDocument/2006/relationships/hyperlink" Target="https://techcombank.com/thong-tin/blog/uu-dai-mo-the-tin-dung" TargetMode="External"/><Relationship Id="rId257" Type="http://schemas.openxmlformats.org/officeDocument/2006/relationships/hyperlink" Target="https://techcombank.com/thong-tin/blog/app-gui-tien-tiet-kiem" TargetMode="External"/><Relationship Id="rId256" Type="http://schemas.openxmlformats.org/officeDocument/2006/relationships/hyperlink" Target="https://techcombank.com/thong-tin/blog/6-chiec-lo-tai-chinh-ca-nhan" TargetMode="External"/><Relationship Id="rId255" Type="http://schemas.openxmlformats.org/officeDocument/2006/relationships/hyperlink" Target="https://techcombank.com/thong-tin/blog/1-van-tien-dai-loan-bang-bao-nhieu-tien-viet" TargetMode="External"/><Relationship Id="rId254" Type="http://schemas.openxmlformats.org/officeDocument/2006/relationships/hyperlink" Target="https://techcombank.com/thong-tin/blog/vay-the-chap-qua-luong" TargetMode="External"/><Relationship Id="rId293" Type="http://schemas.openxmlformats.org/officeDocument/2006/relationships/hyperlink" Target="https://techcombank.com/thong-tin/blog/nen-vay-the-chap-ngan-hang-nao" TargetMode="External"/><Relationship Id="rId292" Type="http://schemas.openxmlformats.org/officeDocument/2006/relationships/hyperlink" Target="https://techcombank.com/thong-tin/blog/nen-gui-tiet-kiem-thong-thuong-hay-tich-luy" TargetMode="External"/><Relationship Id="rId291" Type="http://schemas.openxmlformats.org/officeDocument/2006/relationships/hyperlink" Target="https://techcombank.com/thong-tin/blog/mua-iphone-17" TargetMode="External"/><Relationship Id="rId290" Type="http://schemas.openxmlformats.org/officeDocument/2006/relationships/hyperlink" Target="https://techcombank.com/thong-tin/blog/mo-them-tai-khoan-ngan-hang-cho-cong-ty" TargetMode="External"/><Relationship Id="rId286" Type="http://schemas.openxmlformats.org/officeDocument/2006/relationships/hyperlink" Target="https://techcombank.com/thong-tin/blog/luu-y-khi-chuyen-tien-vao-tai-khoan-cong-ty" TargetMode="External"/><Relationship Id="rId285" Type="http://schemas.openxmlformats.org/officeDocument/2006/relationships/hyperlink" Target="https://techcombank.com/thong-tin/blog/luat-thuong-mai-dien-tu" TargetMode="External"/><Relationship Id="rId284" Type="http://schemas.openxmlformats.org/officeDocument/2006/relationships/hyperlink" Target="https://techcombank.com/thong-tin/blog/loi-ich-khi-ho-kinh-doanh-chuyen-len-doanh-nghiep" TargetMode="External"/><Relationship Id="rId283" Type="http://schemas.openxmlformats.org/officeDocument/2006/relationships/hyperlink" Target="https://techcombank.com/thong-tin/blog/lien-ket-tai-khoan-ngan-hang-voi-etax-mobile" TargetMode="External"/><Relationship Id="rId289" Type="http://schemas.openxmlformats.org/officeDocument/2006/relationships/hyperlink" Target="https://techcombank.com/thong-tin/blog/mo-tai-khoan-ngan-hang-online-co-an-toan-khong" TargetMode="External"/><Relationship Id="rId288" Type="http://schemas.openxmlformats.org/officeDocument/2006/relationships/hyperlink" Target="https://techcombank.com/thong-tin/blog/mo-tai-khoan-doanh-nghiep" TargetMode="External"/><Relationship Id="rId287" Type="http://schemas.openxmlformats.org/officeDocument/2006/relationships/hyperlink" Target="https://techcombank.com/thong-tin/blog/mat-so-tiet-kiem" TargetMode="External"/><Relationship Id="rId282" Type="http://schemas.openxmlformats.org/officeDocument/2006/relationships/hyperlink" Target="https://techcombank.com/thong-tin/blog/lam-the-tin-dung" TargetMode="External"/><Relationship Id="rId281" Type="http://schemas.openxmlformats.org/officeDocument/2006/relationships/hyperlink" Target="https://techcombank.com/thong-tin/blog/lai-suat-gui-tiet-kiem-usd" TargetMode="External"/><Relationship Id="rId280" Type="http://schemas.openxmlformats.org/officeDocument/2006/relationships/hyperlink" Target="https://techcombank.com/thong-tin/blog/lai-suat-chung-chi-tien-gui-cac-ngan-hang" TargetMode="External"/><Relationship Id="rId275" Type="http://schemas.openxmlformats.org/officeDocument/2006/relationships/hyperlink" Target="https://techcombank.com/thong-tin/blog/dieu-kien-vay-the-chap" TargetMode="External"/><Relationship Id="rId274" Type="http://schemas.openxmlformats.org/officeDocument/2006/relationships/hyperlink" Target="https://techcombank.com/thong-tin/blog/dieu-kien-thanh-lap-doanh-nghiep" TargetMode="External"/><Relationship Id="rId273" Type="http://schemas.openxmlformats.org/officeDocument/2006/relationships/hyperlink" Target="https://techcombank.com/thong-tin/blog/dau-tu-trai-phieu-doanh-nghiep-dung-ham-lai-suat-cao" TargetMode="External"/><Relationship Id="rId272" Type="http://schemas.openxmlformats.org/officeDocument/2006/relationships/hyperlink" Target="https://techcombank.com/thong-tin/blog/dau-tu-ngan-han" TargetMode="External"/><Relationship Id="rId279" Type="http://schemas.openxmlformats.org/officeDocument/2006/relationships/hyperlink" Target="https://techcombank.com/thong-tin/blog/ho-kinh-doanh-can-gi-o-tai-khoan-ngan-hang" TargetMode="External"/><Relationship Id="rId278" Type="http://schemas.openxmlformats.org/officeDocument/2006/relationships/hyperlink" Target="https://techcombank.com/thong-tin/blog/gui-tiet-kiem-tich-luy-la-gi" TargetMode="External"/><Relationship Id="rId277" Type="http://schemas.openxmlformats.org/officeDocument/2006/relationships/hyperlink" Target="https://techcombank.com/thong-tin/blog/giai-ngan-la-gi" TargetMode="External"/><Relationship Id="rId276" Type="http://schemas.openxmlformats.org/officeDocument/2006/relationships/hyperlink" Target="https://techcombank.com/thong-tin/blog/dong-ma-so-thue-ho-kinh-doanh" TargetMode="External"/><Relationship Id="rId228" Type="http://schemas.openxmlformats.org/officeDocument/2006/relationships/hyperlink" Target="https://techcombank.com/thong-tin/blog/mua-nha-tra-gop-dua-truoc-100-trieu" TargetMode="External"/><Relationship Id="rId227" Type="http://schemas.openxmlformats.org/officeDocument/2006/relationships/hyperlink" Target="https://techcombank.com/thong-tin/blog/merchant-la-gi" TargetMode="External"/><Relationship Id="rId226" Type="http://schemas.openxmlformats.org/officeDocument/2006/relationships/hyperlink" Target="https://techcombank.com/thong-tin/blog/mat-so-dien-thoai-dang-ky-tai-khoan-ngan-hang" TargetMode="External"/><Relationship Id="rId225" Type="http://schemas.openxmlformats.org/officeDocument/2006/relationships/hyperlink" Target="https://techcombank.com/thong-tin/blog/ma-buu-chinh-the-tin-dung" TargetMode="External"/><Relationship Id="rId229" Type="http://schemas.openxmlformats.org/officeDocument/2006/relationships/hyperlink" Target="https://techcombank.com/thong-tin/blog/nen-lam-the-visa-hay-noi-dia" TargetMode="External"/><Relationship Id="rId220" Type="http://schemas.openxmlformats.org/officeDocument/2006/relationships/hyperlink" Target="https://techcombank.com/thong-tin/blog/kiem-tra-thue-thu-nhap-ca-nhan" TargetMode="External"/><Relationship Id="rId224" Type="http://schemas.openxmlformats.org/officeDocument/2006/relationships/hyperlink" Target="https://techcombank.com/thong-tin/blog/luu-y-khi-chuyen-doi-tu-ho-kinh-doanh-len-doanh-nghiep" TargetMode="External"/><Relationship Id="rId223" Type="http://schemas.openxmlformats.org/officeDocument/2006/relationships/hyperlink" Target="https://techcombank.com/thong-tin/blog/lai-suat-the-tin-dung" TargetMode="External"/><Relationship Id="rId222" Type="http://schemas.openxmlformats.org/officeDocument/2006/relationships/hyperlink" Target="https://techcombank.com/thong-tin/blog/lai-suat-ngan-hang-cho-vay-xay-nha" TargetMode="External"/><Relationship Id="rId221" Type="http://schemas.openxmlformats.org/officeDocument/2006/relationships/hyperlink" Target="https://techcombank.com/thong-tin/blog/kinh-nghiem-vay-tien-mua-nha" TargetMode="External"/><Relationship Id="rId217" Type="http://schemas.openxmlformats.org/officeDocument/2006/relationships/hyperlink" Target="https://techcombank.com/thong-tin/blog/ho-so-vay-tin-chap" TargetMode="External"/><Relationship Id="rId216" Type="http://schemas.openxmlformats.org/officeDocument/2006/relationships/hyperlink" Target="https://techcombank.com/thong-tin/blog/ho-kinh-doanh-dong-thue-nhu-nao" TargetMode="External"/><Relationship Id="rId215" Type="http://schemas.openxmlformats.org/officeDocument/2006/relationships/hyperlink" Target="https://techcombank.com/thong-tin/blog/han-muc-thau-chi-la-gi" TargetMode="External"/><Relationship Id="rId214" Type="http://schemas.openxmlformats.org/officeDocument/2006/relationships/hyperlink" Target="https://techcombank.com/thong-tin/blog/gui-tiet-kiem-theo-ngay" TargetMode="External"/><Relationship Id="rId219" Type="http://schemas.openxmlformats.org/officeDocument/2006/relationships/hyperlink" Target="https://techcombank.com/thong-tin/blog/hoc-cach-tiet-kiem-tien-luong" TargetMode="External"/><Relationship Id="rId218" Type="http://schemas.openxmlformats.org/officeDocument/2006/relationships/hyperlink" Target="https://techcombank.com/thong-tin/blog/hoa-don-dien-tu" TargetMode="External"/><Relationship Id="rId213" Type="http://schemas.openxmlformats.org/officeDocument/2006/relationships/hyperlink" Target="https://techcombank.com/thong-tin/blog/gui-tiet-kiem-online-co-rut-truoc-han-duoc-khong" TargetMode="External"/><Relationship Id="rId212" Type="http://schemas.openxmlformats.org/officeDocument/2006/relationships/hyperlink" Target="https://techcombank.com/thong-tin/blog/gui-tiet-kiem-ngan-hang-van-la-lua-chon-an-toan-trong-thoi-ky-kinh-te-con-nhieu-bien-dong" TargetMode="External"/><Relationship Id="rId211" Type="http://schemas.openxmlformats.org/officeDocument/2006/relationships/hyperlink" Target="https://techcombank.com/thong-tin/blog/giai-ngan-vay-the-chap" TargetMode="External"/><Relationship Id="rId210" Type="http://schemas.openxmlformats.org/officeDocument/2006/relationships/hyperlink" Target="https://techcombank.com/thong-tin/blog/gia-chung-chi-quy-la-gi" TargetMode="External"/><Relationship Id="rId249" Type="http://schemas.openxmlformats.org/officeDocument/2006/relationships/hyperlink" Target="https://techcombank.com/thong-tin/blog/tra-gop-shopee" TargetMode="External"/><Relationship Id="rId248" Type="http://schemas.openxmlformats.org/officeDocument/2006/relationships/hyperlink" Target="https://techcombank.com/thong-tin/blog/thue-doanh-nghiep-2025" TargetMode="External"/><Relationship Id="rId247" Type="http://schemas.openxmlformats.org/officeDocument/2006/relationships/hyperlink" Target="https://techcombank.com/thong-tin/blog/thu-tuc-vay-von-ngan-hang-de-xay-nha" TargetMode="External"/><Relationship Id="rId242" Type="http://schemas.openxmlformats.org/officeDocument/2006/relationships/hyperlink" Target="https://techcombank.com/thong-tin/blog/the-chap-la-gi" TargetMode="External"/><Relationship Id="rId241" Type="http://schemas.openxmlformats.org/officeDocument/2006/relationships/hyperlink" Target="https://techcombank.com/thong-tin/blog/thanh-toan-tra-gop-qua-the-tin-dung" TargetMode="External"/><Relationship Id="rId240" Type="http://schemas.openxmlformats.org/officeDocument/2006/relationships/hyperlink" Target="https://techcombank.com/thong-tin/blog/thanh-toan-bang-ma-qr" TargetMode="External"/><Relationship Id="rId246" Type="http://schemas.openxmlformats.org/officeDocument/2006/relationships/hyperlink" Target="https://techcombank.com/thong-tin/blog/thi-truong-trai-phieu-co-hoi-dau-tu-trai-phieu-vang-du-lai-suat-thap" TargetMode="External"/><Relationship Id="rId245" Type="http://schemas.openxmlformats.org/officeDocument/2006/relationships/hyperlink" Target="https://techcombank.com/thong-tin/blog/the-visa-co-may-loai" TargetMode="External"/><Relationship Id="rId244" Type="http://schemas.openxmlformats.org/officeDocument/2006/relationships/hyperlink" Target="https://techcombank.com/thong-tin/blog/the-visa-co-can-mat-khau-khong" TargetMode="External"/><Relationship Id="rId243" Type="http://schemas.openxmlformats.org/officeDocument/2006/relationships/hyperlink" Target="https://techcombank.com/thong-tin/blog/the-ghi-no-visa-la-gi" TargetMode="External"/><Relationship Id="rId239" Type="http://schemas.openxmlformats.org/officeDocument/2006/relationships/hyperlink" Target="https://techcombank.com/thong-tin/blog/so-tiet-kiem-ngan-hang" TargetMode="External"/><Relationship Id="rId238" Type="http://schemas.openxmlformats.org/officeDocument/2006/relationships/hyperlink" Target="https://techcombank.com/thong-tin/blog/shopeepay-la-gi" TargetMode="External"/><Relationship Id="rId237" Type="http://schemas.openxmlformats.org/officeDocument/2006/relationships/hyperlink" Target="https://techcombank.com/thong-tin/blog/rut-tien-tiet-kiem-truoc-thoi-han" TargetMode="External"/><Relationship Id="rId236" Type="http://schemas.openxmlformats.org/officeDocument/2006/relationships/hyperlink" Target="https://techcombank.com/thong-tin/blog/quyet-toan-thue-doanh-nghiep" TargetMode="External"/><Relationship Id="rId231" Type="http://schemas.openxmlformats.org/officeDocument/2006/relationships/hyperlink" Target="https://techcombank.com/thong-tin/blog/no-xau" TargetMode="External"/><Relationship Id="rId230" Type="http://schemas.openxmlformats.org/officeDocument/2006/relationships/hyperlink" Target="https://techcombank.com/thong-tin/blog/no-chu-y-la-gi" TargetMode="External"/><Relationship Id="rId235" Type="http://schemas.openxmlformats.org/officeDocument/2006/relationships/hyperlink" Target="https://techcombank.com/thong-tin/blog/quy-trinh-gui-tien-tiet-kiem" TargetMode="External"/><Relationship Id="rId234" Type="http://schemas.openxmlformats.org/officeDocument/2006/relationships/hyperlink" Target="https://techcombank.com/thong-tin/blog/quy-trinh-cho-vay-tieu-dung" TargetMode="External"/><Relationship Id="rId233" Type="http://schemas.openxmlformats.org/officeDocument/2006/relationships/hyperlink" Target="https://techcombank.com/thong-tin/blog/one-stop-shop" TargetMode="External"/><Relationship Id="rId232" Type="http://schemas.openxmlformats.org/officeDocument/2006/relationships/hyperlink" Target="https://techcombank.com/thong-tin/blog/no-xau-la-gi" TargetMode="External"/><Relationship Id="rId206" Type="http://schemas.openxmlformats.org/officeDocument/2006/relationships/hyperlink" Target="https://techcombank.com/thong-tin/blog/cong-thuc-tinh-lai-suat-thuc" TargetMode="External"/><Relationship Id="rId205" Type="http://schemas.openxmlformats.org/officeDocument/2006/relationships/hyperlink" Target="https://techcombank.com/thong-tin/blog/co-nen-vay-ngan-hang-mua-nha" TargetMode="External"/><Relationship Id="rId204" Type="http://schemas.openxmlformats.org/officeDocument/2006/relationships/hyperlink" Target="https://techcombank.com/thong-tin/blog/co-nen-gui-tiet-kiem-ngan-hang" TargetMode="External"/><Relationship Id="rId203" Type="http://schemas.openxmlformats.org/officeDocument/2006/relationships/hyperlink" Target="https://techcombank.com/thong-tin/blog/cho-vay-tieu-dung-la-gi" TargetMode="External"/><Relationship Id="rId209" Type="http://schemas.openxmlformats.org/officeDocument/2006/relationships/hyperlink" Target="https://techcombank.com/thong-tin/blog/ebitda-la-gi" TargetMode="External"/><Relationship Id="rId208" Type="http://schemas.openxmlformats.org/officeDocument/2006/relationships/hyperlink" Target="https://techcombank.com/thong-tin/blog/doanh-nghiep-moi-thanh-lap-duoc-uu-dai-gi" TargetMode="External"/><Relationship Id="rId207" Type="http://schemas.openxmlformats.org/officeDocument/2006/relationships/hyperlink" Target="https://techcombank.com/thong-tin/blog/dang-ky-kinh-doanh-la-gi" TargetMode="External"/><Relationship Id="rId202" Type="http://schemas.openxmlformats.org/officeDocument/2006/relationships/hyperlink" Target="https://techcombank.com/thong-tin/blog/cach-tra-cuu-hoa-don-dien-tu" TargetMode="External"/><Relationship Id="rId201" Type="http://schemas.openxmlformats.org/officeDocument/2006/relationships/hyperlink" Target="https://techcombank.com/thong-tin/blog/cach-tinh-lai-vay-ngan-hang" TargetMode="External"/><Relationship Id="rId200" Type="http://schemas.openxmlformats.org/officeDocument/2006/relationships/hyperlink" Target="https://techcombank.com/thong-tin/blog/cach-tiet-kiem-tien-hieu-qua-cho-gia-dinh" TargetMode="External"/><Relationship Id="rId509" Type="http://schemas.openxmlformats.org/officeDocument/2006/relationships/hyperlink" Target="https://techcombank.com/thong-tin/blog/viet-kieu-co-mo-duoc-tai-khoan-ngan-hang-khong" TargetMode="External"/><Relationship Id="rId508" Type="http://schemas.openxmlformats.org/officeDocument/2006/relationships/hyperlink" Target="https://techcombank.com/thong-tin/blog/vi-sao-lai-suat-trai-phieu-tai-tcbs-lai-thap-hon-so-voi-cac-to-chuc-phat-hanh-khac" TargetMode="External"/><Relationship Id="rId503" Type="http://schemas.openxmlformats.org/officeDocument/2006/relationships/hyperlink" Target="https://techcombank.com/thong-tin/blog/tiet-kiem-tien-moi-ngay" TargetMode="External"/><Relationship Id="rId502" Type="http://schemas.openxmlformats.org/officeDocument/2006/relationships/hyperlink" Target="https://techcombank.com/thong-tin/blog/tien-thai-lan" TargetMode="External"/><Relationship Id="rId501" Type="http://schemas.openxmlformats.org/officeDocument/2006/relationships/hyperlink" Target="https://techcombank.com/thong-tin/blog/tien-malaysia" TargetMode="External"/><Relationship Id="rId500" Type="http://schemas.openxmlformats.org/officeDocument/2006/relationships/hyperlink" Target="https://techcombank.com/thong-tin/blog/tien-lao" TargetMode="External"/><Relationship Id="rId507" Type="http://schemas.openxmlformats.org/officeDocument/2006/relationships/hyperlink" Target="https://techcombank.com/thong-tin/blog/vi-du-ve-ca-nhan-hoa" TargetMode="External"/><Relationship Id="rId506" Type="http://schemas.openxmlformats.org/officeDocument/2006/relationships/hyperlink" Target="https://techcombank.com/thong-tin/blog/vay-sieu-toc" TargetMode="External"/><Relationship Id="rId505" Type="http://schemas.openxmlformats.org/officeDocument/2006/relationships/hyperlink" Target="https://techcombank.com/thong-tin/blog/uu-dai-the-tin-dung" TargetMode="External"/><Relationship Id="rId504" Type="http://schemas.openxmlformats.org/officeDocument/2006/relationships/hyperlink" Target="https://techcombank.com/thong-tin/blog/tous-les-jours" TargetMode="External"/><Relationship Id="rId525" Type="http://schemas.openxmlformats.org/officeDocument/2006/relationships/hyperlink" Target="https://techcombank.com/thong-tin/blog/cac-loai-bao-hiem-suc-khoe" TargetMode="External"/><Relationship Id="rId524" Type="http://schemas.openxmlformats.org/officeDocument/2006/relationships/hyperlink" Target="https://techcombank.com/thong-tin/blog/bao-nhieu-tuoi-duoc-mo-tai-khoan-ngan-hang" TargetMode="External"/><Relationship Id="rId523" Type="http://schemas.openxmlformats.org/officeDocument/2006/relationships/hyperlink" Target="https://techcombank.com/thong-tin/blog/bao-lanh-vay-von" TargetMode="External"/><Relationship Id="rId522" Type="http://schemas.openxmlformats.org/officeDocument/2006/relationships/hyperlink" Target="https://techcombank.com/thong-tin/blog/bao-lanh-thuc-hien-hop-dong" TargetMode="External"/><Relationship Id="rId529" Type="http://schemas.openxmlformats.org/officeDocument/2006/relationships/hyperlink" Target="https://techcombank.com/thong-tin/blog/cach-lien-ket-epass-voi-tai-khoan-ngan-hang" TargetMode="External"/><Relationship Id="rId528" Type="http://schemas.openxmlformats.org/officeDocument/2006/relationships/hyperlink" Target="https://techcombank.com/thong-tin/blog/cach-dong-tien-dien-qua-tai-khoan-ngan-hang" TargetMode="External"/><Relationship Id="rId527" Type="http://schemas.openxmlformats.org/officeDocument/2006/relationships/hyperlink" Target="https://techcombank.com/thong-tin/blog/cach-bao-ve-tai-khoan" TargetMode="External"/><Relationship Id="rId526" Type="http://schemas.openxmlformats.org/officeDocument/2006/relationships/hyperlink" Target="https://techcombank.com/thong-tin/blog/cac-loai-hinh-doanh-nghiep" TargetMode="External"/><Relationship Id="rId521" Type="http://schemas.openxmlformats.org/officeDocument/2006/relationships/hyperlink" Target="https://techcombank.com/thong-tin/blog/bao-hiem-sinh-ky-la-gi" TargetMode="External"/><Relationship Id="rId520" Type="http://schemas.openxmlformats.org/officeDocument/2006/relationships/hyperlink" Target="https://techcombank.com/thong-tin/blog/app-tra-luong" TargetMode="External"/><Relationship Id="rId519" Type="http://schemas.openxmlformats.org/officeDocument/2006/relationships/hyperlink" Target="https://techcombank.com/thong-tin/blog/app-theo-doi-chung-chi-quy" TargetMode="External"/><Relationship Id="rId514" Type="http://schemas.openxmlformats.org/officeDocument/2006/relationships/hyperlink" Target="https://techcombank.com/thong-tin/blog/5-trieu-mua-duoc-bao-nhieu-vang" TargetMode="External"/><Relationship Id="rId513" Type="http://schemas.openxmlformats.org/officeDocument/2006/relationships/hyperlink" Target="https://techcombank.com/thong-tin/blog/1-nguoi-co-the-lam-duoc-bao-nhieu-the-atm" TargetMode="External"/><Relationship Id="rId512" Type="http://schemas.openxmlformats.org/officeDocument/2006/relationships/hyperlink" Target="https://techcombank.com/thong-tin/blog/xu-huong-dau-tu-trai-phieu-ky-han-duoi-mot-nam-lua-chon-an-toan-khi-thi-truong-bien-dong" TargetMode="External"/><Relationship Id="rId511" Type="http://schemas.openxmlformats.org/officeDocument/2006/relationships/hyperlink" Target="https://techcombank.com/thong-tin/blog/voucher-the-pizza-company" TargetMode="External"/><Relationship Id="rId518" Type="http://schemas.openxmlformats.org/officeDocument/2006/relationships/hyperlink" Target="https://techcombank.com/thong-tin/blog/app-ngan-hang" TargetMode="External"/><Relationship Id="rId517" Type="http://schemas.openxmlformats.org/officeDocument/2006/relationships/hyperlink" Target="https://techcombank.com/thong-tin/blog/app-dong-tien-dien-online" TargetMode="External"/><Relationship Id="rId516" Type="http://schemas.openxmlformats.org/officeDocument/2006/relationships/hyperlink" Target="https://techcombank.com/thong-tin/blog/88-la-gi" TargetMode="External"/><Relationship Id="rId515" Type="http://schemas.openxmlformats.org/officeDocument/2006/relationships/hyperlink" Target="https://techcombank.com/thong-tin/blog/66666-co-y-nghia-gi" TargetMode="External"/><Relationship Id="rId510" Type="http://schemas.openxmlformats.org/officeDocument/2006/relationships/hyperlink" Target="https://techcombank.com/thong-tin/blog/voucher-highland" TargetMode="External"/><Relationship Id="rId590" Type="http://schemas.openxmlformats.org/officeDocument/2006/relationships/hyperlink" Target="https://techcombank.com/thong-tin/blog/so-8386" TargetMode="External"/><Relationship Id="rId589" Type="http://schemas.openxmlformats.org/officeDocument/2006/relationships/hyperlink" Target="https://techcombank.com/thong-tin/blog/so-6868" TargetMode="External"/><Relationship Id="rId588" Type="http://schemas.openxmlformats.org/officeDocument/2006/relationships/hyperlink" Target="https://techcombank.com/thong-tin/blog/sms-banking" TargetMode="External"/><Relationship Id="rId583" Type="http://schemas.openxmlformats.org/officeDocument/2006/relationships/hyperlink" Target="https://techcombank.com/thong-tin/blog/phi-chuyen-doi-ngoai-te" TargetMode="External"/><Relationship Id="rId582" Type="http://schemas.openxmlformats.org/officeDocument/2006/relationships/hyperlink" Target="https://techcombank.com/thong-tin/blog/phan-mem-quan-ly-tai-chinh-doanh-nghiep" TargetMode="External"/><Relationship Id="rId581" Type="http://schemas.openxmlformats.org/officeDocument/2006/relationships/hyperlink" Target="https://techcombank.com/thong-tin/blog/nho-nguoi-than-mo-tai-khoan-ngan-hang" TargetMode="External"/><Relationship Id="rId580" Type="http://schemas.openxmlformats.org/officeDocument/2006/relationships/hyperlink" Target="https://techcombank.com/thong-tin/blog/ngan-hang-xanh" TargetMode="External"/><Relationship Id="rId587" Type="http://schemas.openxmlformats.org/officeDocument/2006/relationships/hyperlink" Target="https://techcombank.com/thong-tin/blog/smart-otp-la-gi" TargetMode="External"/><Relationship Id="rId586" Type="http://schemas.openxmlformats.org/officeDocument/2006/relationships/hyperlink" Target="https://techcombank.com/thong-tin/blog/shang-chi" TargetMode="External"/><Relationship Id="rId585" Type="http://schemas.openxmlformats.org/officeDocument/2006/relationships/hyperlink" Target="https://techcombank.com/thong-tin/blog/rut-tien-bao-hiem-nhan-tho-khi-het-han" TargetMode="External"/><Relationship Id="rId584" Type="http://schemas.openxmlformats.org/officeDocument/2006/relationships/hyperlink" Target="https://techcombank.com/thong-tin/blog/quet-ma-qr-techcombank" TargetMode="External"/><Relationship Id="rId579" Type="http://schemas.openxmlformats.org/officeDocument/2006/relationships/hyperlink" Target="https://techcombank.com/thong-tin/blog/ngan-hang-so" TargetMode="External"/><Relationship Id="rId578" Type="http://schemas.openxmlformats.org/officeDocument/2006/relationships/hyperlink" Target="https://techcombank.com/thong-tin/blog/ngan-hang-dien-tu" TargetMode="External"/><Relationship Id="rId577" Type="http://schemas.openxmlformats.org/officeDocument/2006/relationships/hyperlink" Target="https://techcombank.com/thong-tin/blog/nap-tien-dien-thoai-online" TargetMode="External"/><Relationship Id="rId572" Type="http://schemas.openxmlformats.org/officeDocument/2006/relationships/hyperlink" Target="https://techcombank.com/thong-tin/blog/may-tinh-tien" TargetMode="External"/><Relationship Id="rId571" Type="http://schemas.openxmlformats.org/officeDocument/2006/relationships/hyperlink" Target="https://techcombank.com/thong-tin/blog/mat-the-tin-dung-co-lam-lai-duoc-khong" TargetMode="External"/><Relationship Id="rId570" Type="http://schemas.openxmlformats.org/officeDocument/2006/relationships/hyperlink" Target="https://techcombank.com/thong-tin/blog/ma-giao-dich-la-gi" TargetMode="External"/><Relationship Id="rId576" Type="http://schemas.openxmlformats.org/officeDocument/2006/relationships/hyperlink" Target="https://techcombank.com/thong-tin/blog/mua-chung-chi-quy" TargetMode="External"/><Relationship Id="rId575" Type="http://schemas.openxmlformats.org/officeDocument/2006/relationships/hyperlink" Target="https://techcombank.com/thong-tin/blog/mr-eco" TargetMode="External"/><Relationship Id="rId574" Type="http://schemas.openxmlformats.org/officeDocument/2006/relationships/hyperlink" Target="https://techcombank.com/thong-tin/blog/mo-tai-khoan-ngan-hang-duoi-18-tuoi" TargetMode="External"/><Relationship Id="rId573" Type="http://schemas.openxmlformats.org/officeDocument/2006/relationships/hyperlink" Target="https://techcombank.com/thong-tin/blog/merchant-portal" TargetMode="External"/><Relationship Id="rId599" Type="http://schemas.openxmlformats.org/officeDocument/2006/relationships/hyperlink" Target="https://techcombank.com/thong-tin/blog/thanh-toan-khi-du-lich-singapore" TargetMode="External"/><Relationship Id="rId594" Type="http://schemas.openxmlformats.org/officeDocument/2006/relationships/hyperlink" Target="https://techcombank.com/thong-tin/blog/techcombank-va-cong-cuoc-chuyen-doi-so-nganh-ngan-hang" TargetMode="External"/><Relationship Id="rId593" Type="http://schemas.openxmlformats.org/officeDocument/2006/relationships/hyperlink" Target="https://techcombank.com/thong-tin/blog/tai-san-va-tieu-san-la-gi" TargetMode="External"/><Relationship Id="rId592" Type="http://schemas.openxmlformats.org/officeDocument/2006/relationships/hyperlink" Target="https://techcombank.com/thong-tin/blog/tai-khoan-tiet-kiem" TargetMode="External"/><Relationship Id="rId591" Type="http://schemas.openxmlformats.org/officeDocument/2006/relationships/hyperlink" Target="https://techcombank.com/thong-tin/blog/tai-khoan-ngan-hang-duoi-50k-co-bi-khoa-khong" TargetMode="External"/><Relationship Id="rId598" Type="http://schemas.openxmlformats.org/officeDocument/2006/relationships/hyperlink" Target="https://techcombank.com/thong-tin/blog/thanh-toan-khi-du-lich-nhat-ban" TargetMode="External"/><Relationship Id="rId597" Type="http://schemas.openxmlformats.org/officeDocument/2006/relationships/hyperlink" Target="https://techcombank.com/thong-tin/blog/thanh-toan-hoc-phi-online" TargetMode="External"/><Relationship Id="rId596" Type="http://schemas.openxmlformats.org/officeDocument/2006/relationships/hyperlink" Target="https://techcombank.com/thong-tin/blog/thanh-toan-hoa-don-tieu-dung" TargetMode="External"/><Relationship Id="rId595" Type="http://schemas.openxmlformats.org/officeDocument/2006/relationships/hyperlink" Target="https://techcombank.com/thong-tin/blog/thanh-toan-cuoc-truyen-hinh" TargetMode="External"/><Relationship Id="rId547" Type="http://schemas.openxmlformats.org/officeDocument/2006/relationships/hyperlink" Target="https://techcombank.com/thong-tin/blog/gia-tri-thuong-hieu" TargetMode="External"/><Relationship Id="rId546" Type="http://schemas.openxmlformats.org/officeDocument/2006/relationships/hyperlink" Target="https://techcombank.com/thong-tin/blog/fintech-la-gi" TargetMode="External"/><Relationship Id="rId545" Type="http://schemas.openxmlformats.org/officeDocument/2006/relationships/hyperlink" Target="https://techcombank.com/thong-tin/blog/eco-card" TargetMode="External"/><Relationship Id="rId544" Type="http://schemas.openxmlformats.org/officeDocument/2006/relationships/hyperlink" Target="https://techcombank.com/thong-tin/blog/doi-xe-xang-lay-xe-dien" TargetMode="External"/><Relationship Id="rId549" Type="http://schemas.openxmlformats.org/officeDocument/2006/relationships/hyperlink" Target="https://techcombank.com/thong-tin/blog/han-muc-the-tin-dung" TargetMode="External"/><Relationship Id="rId548" Type="http://schemas.openxmlformats.org/officeDocument/2006/relationships/hyperlink" Target="https://techcombank.com/thong-tin/blog/gui-tiet-kiem-online-quay-vong-ca-goc-va-lai" TargetMode="External"/><Relationship Id="rId543" Type="http://schemas.openxmlformats.org/officeDocument/2006/relationships/hyperlink" Target="https://techcombank.com/thong-tin/blog/dau-tu-quy-mo" TargetMode="External"/><Relationship Id="rId542" Type="http://schemas.openxmlformats.org/officeDocument/2006/relationships/hyperlink" Target="https://techcombank.com/thong-tin/blog/dao-han-the-tin-dung" TargetMode="External"/><Relationship Id="rId541" Type="http://schemas.openxmlformats.org/officeDocument/2006/relationships/hyperlink" Target="https://techcombank.com/thong-tin/blog/cua-hang-tien-loi" TargetMode="External"/><Relationship Id="rId540" Type="http://schemas.openxmlformats.org/officeDocument/2006/relationships/hyperlink" Target="https://techcombank.com/thong-tin/blog/chuyen-tien-tro-cap-than-nhan-o-nuoc-ngoai" TargetMode="External"/><Relationship Id="rId536" Type="http://schemas.openxmlformats.org/officeDocument/2006/relationships/hyperlink" Target="https://techcombank.com/thong-tin/blog/cam-ket-tin-dung" TargetMode="External"/><Relationship Id="rId535" Type="http://schemas.openxmlformats.org/officeDocument/2006/relationships/hyperlink" Target="https://techcombank.com/thong-tin/blog/cach-tinh-gia-vang" TargetMode="External"/><Relationship Id="rId534" Type="http://schemas.openxmlformats.org/officeDocument/2006/relationships/hyperlink" Target="https://techcombank.com/thong-tin/blog/cach-thanh-toan-quang-cao-tiktok" TargetMode="External"/><Relationship Id="rId533" Type="http://schemas.openxmlformats.org/officeDocument/2006/relationships/hyperlink" Target="https://techcombank.com/thong-tin/blog/cach-nap-the-vina" TargetMode="External"/><Relationship Id="rId539" Type="http://schemas.openxmlformats.org/officeDocument/2006/relationships/hyperlink" Target="https://techcombank.com/thong-tin/blog/chung-chi-quy" TargetMode="External"/><Relationship Id="rId538" Type="http://schemas.openxmlformats.org/officeDocument/2006/relationships/hyperlink" Target="https://techcombank.com/thong-tin/blog/cho-vay-hop-von-la-gi" TargetMode="External"/><Relationship Id="rId537" Type="http://schemas.openxmlformats.org/officeDocument/2006/relationships/hyperlink" Target="https://techcombank.com/thong-tin/blog/cam-nang-dinh-cu-my" TargetMode="External"/><Relationship Id="rId532" Type="http://schemas.openxmlformats.org/officeDocument/2006/relationships/hyperlink" Target="https://techcombank.com/thong-tin/blog/cach-nap-the-mobi" TargetMode="External"/><Relationship Id="rId531" Type="http://schemas.openxmlformats.org/officeDocument/2006/relationships/hyperlink" Target="https://techcombank.com/thong-tin/blog/cach-nap-the" TargetMode="External"/><Relationship Id="rId530" Type="http://schemas.openxmlformats.org/officeDocument/2006/relationships/hyperlink" Target="https://techcombank.com/thong-tin/blog/cach-lien-ket-tai-khoan-ngan-hang-voi-vneid" TargetMode="External"/><Relationship Id="rId569" Type="http://schemas.openxmlformats.org/officeDocument/2006/relationships/hyperlink" Target="https://techcombank.com/thong-tin/blog/luu-y-khi-su-dung-the-tin-dung" TargetMode="External"/><Relationship Id="rId568" Type="http://schemas.openxmlformats.org/officeDocument/2006/relationships/hyperlink" Target="https://techcombank.com/thong-tin/blog/loi-nhuan-rong" TargetMode="External"/><Relationship Id="rId567" Type="http://schemas.openxmlformats.org/officeDocument/2006/relationships/hyperlink" Target="https://techcombank.com/thong-tin/blog/loi-ich-cua-ngan-hang-so-voi-sme" TargetMode="External"/><Relationship Id="rId566" Type="http://schemas.openxmlformats.org/officeDocument/2006/relationships/hyperlink" Target="https://techcombank.com/thong-tin/blog/loa-ting-ting" TargetMode="External"/><Relationship Id="rId561" Type="http://schemas.openxmlformats.org/officeDocument/2006/relationships/hyperlink" Target="https://techcombank.com/thong-tin/blog/lam-phat-la-gi" TargetMode="External"/><Relationship Id="rId560" Type="http://schemas.openxmlformats.org/officeDocument/2006/relationships/hyperlink" Target="https://techcombank.com/thong-tin/blog/lam-ma-qr-ngan-hang-co-mat-phi-khong" TargetMode="External"/><Relationship Id="rId565" Type="http://schemas.openxmlformats.org/officeDocument/2006/relationships/hyperlink" Target="https://techcombank.com/thong-tin/blog/loa-thong-bao-chuyen-khoan" TargetMode="External"/><Relationship Id="rId564" Type="http://schemas.openxmlformats.org/officeDocument/2006/relationships/hyperlink" Target="https://techcombank.com/thong-tin/blog/li-xi-tet" TargetMode="External"/><Relationship Id="rId563" Type="http://schemas.openxmlformats.org/officeDocument/2006/relationships/hyperlink" Target="https://techcombank.com/thong-tin/blog/lam-the-visa-online" TargetMode="External"/><Relationship Id="rId562" Type="http://schemas.openxmlformats.org/officeDocument/2006/relationships/hyperlink" Target="https://techcombank.com/thong-tin/blog/lam-the-thanh-toan-quoc-te" TargetMode="External"/><Relationship Id="rId558" Type="http://schemas.openxmlformats.org/officeDocument/2006/relationships/hyperlink" Target="https://techcombank.com/thong-tin/blog/khong-su-dung-the-tin-dung-co-mat-phi-khong" TargetMode="External"/><Relationship Id="rId557" Type="http://schemas.openxmlformats.org/officeDocument/2006/relationships/hyperlink" Target="https://techcombank.com/thong-tin/blog/khau-vi-nha-dau-tu-tpdn-thay-doi-the-nao-sau-nhung-bien-dong-vua-qua" TargetMode="External"/><Relationship Id="rId556" Type="http://schemas.openxmlformats.org/officeDocument/2006/relationships/hyperlink" Target="https://techcombank.com/thong-tin/blog/khau-hao" TargetMode="External"/><Relationship Id="rId555" Type="http://schemas.openxmlformats.org/officeDocument/2006/relationships/hyperlink" Target="https://techcombank.com/thong-tin/blog/ke-hoach-tai-chinh" TargetMode="External"/><Relationship Id="rId559" Type="http://schemas.openxmlformats.org/officeDocument/2006/relationships/hyperlink" Target="https://techcombank.com/thong-tin/blog/kich-hoat-the-tin-dung-techcombank" TargetMode="External"/><Relationship Id="rId550" Type="http://schemas.openxmlformats.org/officeDocument/2006/relationships/hyperlink" Target="https://techcombank.com/thong-tin/blog/han-muc-tra-gop-the-tin-dung" TargetMode="External"/><Relationship Id="rId554" Type="http://schemas.openxmlformats.org/officeDocument/2006/relationships/hyperlink" Target="https://techcombank.com/thong-tin/blog/huong-dan-dang-ky-thanh-lap-doanh-nghiep" TargetMode="External"/><Relationship Id="rId553" Type="http://schemas.openxmlformats.org/officeDocument/2006/relationships/hyperlink" Target="https://techcombank.com/thong-tin/blog/hu-chi-tieu" TargetMode="External"/><Relationship Id="rId552" Type="http://schemas.openxmlformats.org/officeDocument/2006/relationships/hyperlink" Target="https://techcombank.com/thong-tin/blog/ho-so-thu-tuc-xoa-the-chap" TargetMode="External"/><Relationship Id="rId551" Type="http://schemas.openxmlformats.org/officeDocument/2006/relationships/hyperlink" Target="https://techcombank.com/thong-tin/blog/ho-so-dang-ky-thanh-lap-doanh-nghiep" TargetMode="External"/><Relationship Id="rId495" Type="http://schemas.openxmlformats.org/officeDocument/2006/relationships/hyperlink" Target="https://techcombank.com/thong-tin/blog/the-visa-de-lam-gi" TargetMode="External"/><Relationship Id="rId494" Type="http://schemas.openxmlformats.org/officeDocument/2006/relationships/hyperlink" Target="https://techcombank.com/thong-tin/blog/the-visa-ao-la-gi" TargetMode="External"/><Relationship Id="rId493" Type="http://schemas.openxmlformats.org/officeDocument/2006/relationships/hyperlink" Target="https://techcombank.com/thong-tin/blog/the-tin-dung-noi-dia" TargetMode="External"/><Relationship Id="rId492" Type="http://schemas.openxmlformats.org/officeDocument/2006/relationships/hyperlink" Target="https://techcombank.com/thong-tin/blog/the-tin-dung-mien-lai-55-ngay" TargetMode="External"/><Relationship Id="rId499" Type="http://schemas.openxmlformats.org/officeDocument/2006/relationships/hyperlink" Target="https://techcombank.com/thong-tin/blog/thu-tuc-vay-von-doanh-nghiep" TargetMode="External"/><Relationship Id="rId498" Type="http://schemas.openxmlformats.org/officeDocument/2006/relationships/hyperlink" Target="https://techcombank.com/thong-tin/blog/thu-tuc-vay-ngan-hang-mua-nha" TargetMode="External"/><Relationship Id="rId497" Type="http://schemas.openxmlformats.org/officeDocument/2006/relationships/hyperlink" Target="https://techcombank.com/thong-tin/blog/thoi-han-vay-thau-chi" TargetMode="External"/><Relationship Id="rId496" Type="http://schemas.openxmlformats.org/officeDocument/2006/relationships/hyperlink" Target="https://techcombank.com/thong-tin/blog/the-visa-khong-thanh-toan-duoc" TargetMode="External"/><Relationship Id="rId409" Type="http://schemas.openxmlformats.org/officeDocument/2006/relationships/hyperlink" Target="https://techcombank.com/thong-tin/blog/99999-co-y-nghia-gi" TargetMode="External"/><Relationship Id="rId404" Type="http://schemas.openxmlformats.org/officeDocument/2006/relationships/hyperlink" Target="https://techcombank.com/thong-tin/blog/wacc-la-gi" TargetMode="External"/><Relationship Id="rId403" Type="http://schemas.openxmlformats.org/officeDocument/2006/relationships/hyperlink" Target="https://techcombank.com/thong-tin/blog/von-luu-dong-la-gi" TargetMode="External"/><Relationship Id="rId402" Type="http://schemas.openxmlformats.org/officeDocument/2006/relationships/hyperlink" Target="https://techcombank.com/thong-tin/blog/vnd-to-myr" TargetMode="External"/><Relationship Id="rId401" Type="http://schemas.openxmlformats.org/officeDocument/2006/relationships/hyperlink" Target="https://techcombank.com/thong-tin/blog/vi-dien-tu" TargetMode="External"/><Relationship Id="rId408" Type="http://schemas.openxmlformats.org/officeDocument/2006/relationships/hyperlink" Target="https://techcombank.com/thong-tin/blog/8868" TargetMode="External"/><Relationship Id="rId407" Type="http://schemas.openxmlformats.org/officeDocument/2006/relationships/hyperlink" Target="https://techcombank.com/thong-tin/blog/1-yen-bang-bao-nhieu-tien-viet-nam" TargetMode="External"/><Relationship Id="rId406" Type="http://schemas.openxmlformats.org/officeDocument/2006/relationships/hyperlink" Target="https://techcombank.com/thong-tin/blog/1-euro-bang-bao-nhieu-tien-viet" TargetMode="External"/><Relationship Id="rId405" Type="http://schemas.openxmlformats.org/officeDocument/2006/relationships/hyperlink" Target="https://techcombank.com/thong-tin/blog/xac-thuc-sinh-trac-hoc-khi-chuyen-tien" TargetMode="External"/><Relationship Id="rId400" Type="http://schemas.openxmlformats.org/officeDocument/2006/relationships/hyperlink" Target="https://techcombank.com/thong-tin/blog/vay-tien-online" TargetMode="External"/><Relationship Id="rId469" Type="http://schemas.openxmlformats.org/officeDocument/2006/relationships/hyperlink" Target="https://techcombank.com/thong-tin/blog/roa" TargetMode="External"/><Relationship Id="rId468" Type="http://schemas.openxmlformats.org/officeDocument/2006/relationships/hyperlink" Target="https://techcombank.com/thong-tin/blog/quy-gia-dinh" TargetMode="External"/><Relationship Id="rId467" Type="http://schemas.openxmlformats.org/officeDocument/2006/relationships/hyperlink" Target="https://techcombank.com/thong-tin/blog/quan-ly-tai-chinh-doanh-nghiep-nho" TargetMode="External"/><Relationship Id="rId462" Type="http://schemas.openxmlformats.org/officeDocument/2006/relationships/hyperlink" Target="https://techcombank.com/thong-tin/blog/nop-tien-mat-vao-tai-khoan-cong-ty" TargetMode="External"/><Relationship Id="rId461" Type="http://schemas.openxmlformats.org/officeDocument/2006/relationships/hyperlink" Target="https://techcombank.com/thong-tin/blog/nim-la-gi" TargetMode="External"/><Relationship Id="rId460" Type="http://schemas.openxmlformats.org/officeDocument/2006/relationships/hyperlink" Target="https://techcombank.com/thong-tin/blog/nhung-kho-khan-khi-tiet-kiem-tien" TargetMode="External"/><Relationship Id="rId466" Type="http://schemas.openxmlformats.org/officeDocument/2006/relationships/hyperlink" Target="https://techcombank.com/thong-tin/blog/qr-dong" TargetMode="External"/><Relationship Id="rId465" Type="http://schemas.openxmlformats.org/officeDocument/2006/relationships/hyperlink" Target="https://techcombank.com/thong-tin/blog/qr-code-doanh-nghiep" TargetMode="External"/><Relationship Id="rId464" Type="http://schemas.openxmlformats.org/officeDocument/2006/relationships/hyperlink" Target="https://techcombank.com/thong-tin/blog/pos" TargetMode="External"/><Relationship Id="rId463" Type="http://schemas.openxmlformats.org/officeDocument/2006/relationships/hyperlink" Target="https://techcombank.com/thong-tin/blog/phat-cham-dang-ky-thue-ho-kinh-doanh" TargetMode="External"/><Relationship Id="rId459" Type="http://schemas.openxmlformats.org/officeDocument/2006/relationships/hyperlink" Target="https://techcombank.com/thong-tin/blog/nhan-tien-western-union" TargetMode="External"/><Relationship Id="rId458" Type="http://schemas.openxmlformats.org/officeDocument/2006/relationships/hyperlink" Target="https://techcombank.com/thong-tin/blog/nguyen-tac-quan-ly-tai-chinh-ca-nhan" TargetMode="External"/><Relationship Id="rId457" Type="http://schemas.openxmlformats.org/officeDocument/2006/relationships/hyperlink" Target="https://techcombank.com/thong-tin/blog/nen-mua-xe-o-to-dien-hay-xe-xang" TargetMode="External"/><Relationship Id="rId456" Type="http://schemas.openxmlformats.org/officeDocument/2006/relationships/hyperlink" Target="https://techcombank.com/thong-tin/blog/nen-mo-tai-khoan-ngan-hang-nao-cho-doanh-nghiep" TargetMode="External"/><Relationship Id="rId451" Type="http://schemas.openxmlformats.org/officeDocument/2006/relationships/hyperlink" Target="https://techcombank.com/thong-tin/blog/ma-swift-ngan-hang" TargetMode="External"/><Relationship Id="rId450" Type="http://schemas.openxmlformats.org/officeDocument/2006/relationships/hyperlink" Target="https://techcombank.com/thong-tin/blog/ma-qr-techcombank" TargetMode="External"/><Relationship Id="rId455" Type="http://schemas.openxmlformats.org/officeDocument/2006/relationships/hyperlink" Target="https://techcombank.com/thong-tin/blog/mo-tai-khoan-ngan-hang-co-mat-phi-khong" TargetMode="External"/><Relationship Id="rId454" Type="http://schemas.openxmlformats.org/officeDocument/2006/relationships/hyperlink" Target="https://techcombank.com/thong-tin/blog/mo-tai-khoan-ngan-hang-cho-tre-em" TargetMode="External"/><Relationship Id="rId453" Type="http://schemas.openxmlformats.org/officeDocument/2006/relationships/hyperlink" Target="https://techcombank.com/thong-tin/blog/mo-tai-khoan-ngan-hang-bang-so-dien-thoai" TargetMode="External"/><Relationship Id="rId452" Type="http://schemas.openxmlformats.org/officeDocument/2006/relationships/hyperlink" Target="https://techcombank.com/thong-tin/blog/mau-mo-tai-khoan-doanh-nghiep-techcombank" TargetMode="External"/><Relationship Id="rId491" Type="http://schemas.openxmlformats.org/officeDocument/2006/relationships/hyperlink" Target="https://techcombank.com/thong-tin/blog/the-tin-dung-la-gi" TargetMode="External"/><Relationship Id="rId490" Type="http://schemas.openxmlformats.org/officeDocument/2006/relationships/hyperlink" Target="https://techcombank.com/thong-tin/blog/the-tin-dung-co-ma-pin-khong" TargetMode="External"/><Relationship Id="rId489" Type="http://schemas.openxmlformats.org/officeDocument/2006/relationships/hyperlink" Target="https://techcombank.com/thong-tin/blog/the-tin-dung-bi-khoa" TargetMode="External"/><Relationship Id="rId484" Type="http://schemas.openxmlformats.org/officeDocument/2006/relationships/hyperlink" Target="https://techcombank.com/thong-tin/blog/thanh-toan-truc-tuyen" TargetMode="External"/><Relationship Id="rId483" Type="http://schemas.openxmlformats.org/officeDocument/2006/relationships/hyperlink" Target="https://techcombank.com/thong-tin/blog/thanh-toan-qr-thai-lan" TargetMode="External"/><Relationship Id="rId482" Type="http://schemas.openxmlformats.org/officeDocument/2006/relationships/hyperlink" Target="https://techcombank.com/thong-tin/blog/thanh-toan-khong-dung-tien-mat" TargetMode="External"/><Relationship Id="rId481" Type="http://schemas.openxmlformats.org/officeDocument/2006/relationships/hyperlink" Target="https://techcombank.com/thong-tin/blog/thanh-toan-khi-du-lich-thai-lan" TargetMode="External"/><Relationship Id="rId488" Type="http://schemas.openxmlformats.org/officeDocument/2006/relationships/hyperlink" Target="https://techcombank.com/thong-tin/blog/the-tin-dung-ao" TargetMode="External"/><Relationship Id="rId487" Type="http://schemas.openxmlformats.org/officeDocument/2006/relationships/hyperlink" Target="https://techcombank.com/thong-tin/blog/the-nao-la-tiet-kiem" TargetMode="External"/><Relationship Id="rId486" Type="http://schemas.openxmlformats.org/officeDocument/2006/relationships/hyperlink" Target="https://techcombank.com/thong-tin/blog/the-debit-cho-con" TargetMode="External"/><Relationship Id="rId485" Type="http://schemas.openxmlformats.org/officeDocument/2006/relationships/hyperlink" Target="https://techcombank.com/thong-tin/blog/the-atm-khong-rut-duoc-tien" TargetMode="External"/><Relationship Id="rId480" Type="http://schemas.openxmlformats.org/officeDocument/2006/relationships/hyperlink" Target="https://techcombank.com/thong-tin/blog/thanh-toan-bang-the-quoc-te" TargetMode="External"/><Relationship Id="rId479" Type="http://schemas.openxmlformats.org/officeDocument/2006/relationships/hyperlink" Target="https://techcombank.com/thong-tin/blog/thanh-khoan-la-gi" TargetMode="External"/><Relationship Id="rId478" Type="http://schemas.openxmlformats.org/officeDocument/2006/relationships/hyperlink" Target="https://techcombank.com/thong-tin/blog/tat-toan-chung-chi-tien-gui" TargetMode="External"/><Relationship Id="rId473" Type="http://schemas.openxmlformats.org/officeDocument/2006/relationships/hyperlink" Target="https://techcombank.com/thong-tin/blog/so-du-kha-dung" TargetMode="External"/><Relationship Id="rId472" Type="http://schemas.openxmlformats.org/officeDocument/2006/relationships/hyperlink" Target="https://techcombank.com/thong-tin/blog/sao-ke-tai-khoan-doanh-nghiep" TargetMode="External"/><Relationship Id="rId471" Type="http://schemas.openxmlformats.org/officeDocument/2006/relationships/hyperlink" Target="https://techcombank.com/thong-tin/blog/sao-ke-luong" TargetMode="External"/><Relationship Id="rId470" Type="http://schemas.openxmlformats.org/officeDocument/2006/relationships/hyperlink" Target="https://techcombank.com/thong-tin/blog/rut-tien-bang-ma-qr-la-gi-cach-thuc-hien-nhu-the-nao" TargetMode="External"/><Relationship Id="rId477" Type="http://schemas.openxmlformats.org/officeDocument/2006/relationships/hyperlink" Target="https://techcombank.com/thong-tin/blog/tap-doan-thanh-quang-khoi-sac-kinh-doanh-nho-nguon-von-vay-tin-dung-techcombank-tren-nen-tang-misa-lending" TargetMode="External"/><Relationship Id="rId476" Type="http://schemas.openxmlformats.org/officeDocument/2006/relationships/hyperlink" Target="https://techcombank.com/thong-tin/blog/tai-khoan-ngan-hang-chua-toi-da-bao-nhieu-tien" TargetMode="External"/><Relationship Id="rId475" Type="http://schemas.openxmlformats.org/officeDocument/2006/relationships/hyperlink" Target="https://techcombank.com/thong-tin/blog/so-the-ngan-hang" TargetMode="External"/><Relationship Id="rId474" Type="http://schemas.openxmlformats.org/officeDocument/2006/relationships/hyperlink" Target="https://techcombank.com/thong-tin/blog/so-du-tien-gui-la-gi" TargetMode="External"/><Relationship Id="rId426" Type="http://schemas.openxmlformats.org/officeDocument/2006/relationships/hyperlink" Target="https://techcombank.com/thong-tin/blog/chung-chi-tien-gui-la-gi" TargetMode="External"/><Relationship Id="rId425" Type="http://schemas.openxmlformats.org/officeDocument/2006/relationships/hyperlink" Target="https://techcombank.com/thong-tin/blog/chung-chi-tien-gui-co-an-toan-khong" TargetMode="External"/><Relationship Id="rId424" Type="http://schemas.openxmlformats.org/officeDocument/2006/relationships/hyperlink" Target="https://techcombank.com/thong-tin/blog/chinh-sach-tang-luong-huu" TargetMode="External"/><Relationship Id="rId423" Type="http://schemas.openxmlformats.org/officeDocument/2006/relationships/hyperlink" Target="https://techcombank.com/thong-tin/blog/cashback-the-thanh-toan" TargetMode="External"/><Relationship Id="rId429" Type="http://schemas.openxmlformats.org/officeDocument/2006/relationships/hyperlink" Target="https://techcombank.com/thong-tin/blog/chuyen-khoan-lien-ngan-hang" TargetMode="External"/><Relationship Id="rId428" Type="http://schemas.openxmlformats.org/officeDocument/2006/relationships/hyperlink" Target="https://techcombank.com/thong-tin/blog/chuyen-gia-du-doan-gia-bat-dong-san-2025-va-cac-no-luc-tu-ngan-hang" TargetMode="External"/><Relationship Id="rId427" Type="http://schemas.openxmlformats.org/officeDocument/2006/relationships/hyperlink" Target="https://techcombank.com/thong-tin/blog/chuyen-doi-xanh" TargetMode="External"/><Relationship Id="rId422" Type="http://schemas.openxmlformats.org/officeDocument/2006/relationships/hyperlink" Target="https://techcombank.com/thong-tin/blog/casa-la-gi" TargetMode="External"/><Relationship Id="rId421" Type="http://schemas.openxmlformats.org/officeDocument/2006/relationships/hyperlink" Target="https://techcombank.com/thong-tin/blog/cach-tinh-loi-nhuan-chung-chi-tien-gui" TargetMode="External"/><Relationship Id="rId420" Type="http://schemas.openxmlformats.org/officeDocument/2006/relationships/hyperlink" Target="https://techcombank.com/thong-tin/blog/cach-tao-ma-qr-code-mien-phi" TargetMode="External"/><Relationship Id="rId415" Type="http://schemas.openxmlformats.org/officeDocument/2006/relationships/hyperlink" Target="https://techcombank.com/thong-tin/blog/cach-kiem-tra-tai-khoan-ngan-hang" TargetMode="External"/><Relationship Id="rId414" Type="http://schemas.openxmlformats.org/officeDocument/2006/relationships/hyperlink" Target="https://techcombank.com/thong-tin/blog/cach-khoa-the-ngan-hang" TargetMode="External"/><Relationship Id="rId413" Type="http://schemas.openxmlformats.org/officeDocument/2006/relationships/hyperlink" Target="https://techcombank.com/thong-tin/blog/barcode-la-gi" TargetMode="External"/><Relationship Id="rId412" Type="http://schemas.openxmlformats.org/officeDocument/2006/relationships/hyperlink" Target="https://techcombank.com/thong-tin/blog/bao-hiem-suc-khoe-la-gi" TargetMode="External"/><Relationship Id="rId419" Type="http://schemas.openxmlformats.org/officeDocument/2006/relationships/hyperlink" Target="https://techcombank.com/thong-tin/blog/cach-su-dung-the-ghi-no" TargetMode="External"/><Relationship Id="rId418" Type="http://schemas.openxmlformats.org/officeDocument/2006/relationships/hyperlink" Target="https://techcombank.com/thong-tin/blog/cach-nhan-tien-tu-nuoc-ngoai-ve-viet-nam" TargetMode="External"/><Relationship Id="rId417" Type="http://schemas.openxmlformats.org/officeDocument/2006/relationships/hyperlink" Target="https://techcombank.com/thong-tin/blog/cach-mo-tai-khoan" TargetMode="External"/><Relationship Id="rId416" Type="http://schemas.openxmlformats.org/officeDocument/2006/relationships/hyperlink" Target="https://techcombank.com/thong-tin/blog/cach-lay-lai-tien-da-chuyen-khoan-khi-bi-lua" TargetMode="External"/><Relationship Id="rId411" Type="http://schemas.openxmlformats.org/officeDocument/2006/relationships/hyperlink" Target="https://techcombank.com/thong-tin/blog/app-mua-truoc-tra-sau" TargetMode="External"/><Relationship Id="rId410" Type="http://schemas.openxmlformats.org/officeDocument/2006/relationships/hyperlink" Target="https://techcombank.com/thong-tin/blog/an-han-no-goc-la-gi" TargetMode="External"/><Relationship Id="rId448" Type="http://schemas.openxmlformats.org/officeDocument/2006/relationships/hyperlink" Target="https://techcombank.com/thong-tin/blog/ma-otp-la-gi" TargetMode="External"/><Relationship Id="rId447" Type="http://schemas.openxmlformats.org/officeDocument/2006/relationships/hyperlink" Target="https://techcombank.com/thong-tin/blog/loyalty-la-gi" TargetMode="External"/><Relationship Id="rId446" Type="http://schemas.openxmlformats.org/officeDocument/2006/relationships/hyperlink" Target="https://techcombank.com/thong-tin/blog/lo-so-tai-khoan-ngan-hang-co-sao-khong" TargetMode="External"/><Relationship Id="rId445" Type="http://schemas.openxmlformats.org/officeDocument/2006/relationships/hyperlink" Target="https://techcombank.com/thong-tin/blog/lich-su-tin-dung" TargetMode="External"/><Relationship Id="rId449" Type="http://schemas.openxmlformats.org/officeDocument/2006/relationships/hyperlink" Target="https://techcombank.com/thong-tin/blog/ma-pin-the-atm" TargetMode="External"/><Relationship Id="rId440" Type="http://schemas.openxmlformats.org/officeDocument/2006/relationships/hyperlink" Target="https://techcombank.com/thong-tin/blog/hoc-sinh-sinh-vien-nen-lam-the-ngan-hang-nao" TargetMode="External"/><Relationship Id="rId444" Type="http://schemas.openxmlformats.org/officeDocument/2006/relationships/hyperlink" Target="https://techcombank.com/thong-tin/blog/lam-the-visa-o-dau" TargetMode="External"/><Relationship Id="rId443" Type="http://schemas.openxmlformats.org/officeDocument/2006/relationships/hyperlink" Target="https://techcombank.com/thong-tin/blog/lam-the-tin-dung-co-mat-phi-khong" TargetMode="External"/><Relationship Id="rId442" Type="http://schemas.openxmlformats.org/officeDocument/2006/relationships/hyperlink" Target="https://techcombank.com/thong-tin/blog/lam-the-atm-bao-lau-co" TargetMode="External"/><Relationship Id="rId441" Type="http://schemas.openxmlformats.org/officeDocument/2006/relationships/hyperlink" Target="https://techcombank.com/thong-tin/blog/iban-la-gi" TargetMode="External"/><Relationship Id="rId437" Type="http://schemas.openxmlformats.org/officeDocument/2006/relationships/hyperlink" Target="https://techcombank.com/thong-tin/blog/gui-tien-sang-nuoc-ngoai" TargetMode="External"/><Relationship Id="rId436" Type="http://schemas.openxmlformats.org/officeDocument/2006/relationships/hyperlink" Target="https://techcombank.com/thong-tin/blog/gui-ma-qr-ngan-hang" TargetMode="External"/><Relationship Id="rId435" Type="http://schemas.openxmlformats.org/officeDocument/2006/relationships/hyperlink" Target="https://techcombank.com/thong-tin/blog/ekyc-la-gi" TargetMode="External"/><Relationship Id="rId434" Type="http://schemas.openxmlformats.org/officeDocument/2006/relationships/hyperlink" Target="https://techcombank.com/thong-tin/blog/dinh-cu-chau-au" TargetMode="External"/><Relationship Id="rId439" Type="http://schemas.openxmlformats.org/officeDocument/2006/relationships/hyperlink" Target="https://techcombank.com/thong-tin/blog/ho-so-vay-von-cua-doanh-nghiep-gom-nhung-gi" TargetMode="External"/><Relationship Id="rId438" Type="http://schemas.openxmlformats.org/officeDocument/2006/relationships/hyperlink" Target="https://techcombank.com/thong-tin/blog/ho-kinh-doanh-la-gi" TargetMode="External"/><Relationship Id="rId433" Type="http://schemas.openxmlformats.org/officeDocument/2006/relationships/hyperlink" Target="https://techcombank.com/thong-tin/blog/co-50-trieu-nen-mua-vang-hay-gui-tiet-kiem" TargetMode="External"/><Relationship Id="rId432" Type="http://schemas.openxmlformats.org/officeDocument/2006/relationships/hyperlink" Target="https://techcombank.com/thong-tin/blog/chuyen-tien-tu-my-ve-viet-nam" TargetMode="External"/><Relationship Id="rId431" Type="http://schemas.openxmlformats.org/officeDocument/2006/relationships/hyperlink" Target="https://techcombank.com/thong-tin/blog/chuyen-tien-tu-duc-ve-viet-nam" TargetMode="External"/><Relationship Id="rId430" Type="http://schemas.openxmlformats.org/officeDocument/2006/relationships/hyperlink" Target="https://techcombank.com/thong-tin/blog/chuyen-nhuong-chung-chi-tien-gui" TargetMode="External"/><Relationship Id="rId1" Type="http://schemas.openxmlformats.org/officeDocument/2006/relationships/hyperlink" Target="https://techcombank.com/thong-tin/blog/no-xau-mo-the-tin-dung-duoc-khong" TargetMode="External"/><Relationship Id="rId2" Type="http://schemas.openxmlformats.org/officeDocument/2006/relationships/hyperlink" Target="https://techcombank.com/thong-tin/blog/qua-han-thanh-toan-the-tin-dung-1-ngay" TargetMode="External"/><Relationship Id="rId3" Type="http://schemas.openxmlformats.org/officeDocument/2006/relationships/hyperlink" Target="https://techcombank.com/thong-tin/blog/uu-dai-the-tin-dung-techcombank-signature" TargetMode="External"/><Relationship Id="rId4" Type="http://schemas.openxmlformats.org/officeDocument/2006/relationships/hyperlink" Target="https://techcombank.com/thong-tin/blog/dao-han-la-gi" TargetMode="External"/><Relationship Id="rId9" Type="http://schemas.openxmlformats.org/officeDocument/2006/relationships/hyperlink" Target="https://techcombank.com/thong-tin/blog/tin-chap-doanh-nghiep" TargetMode="External"/><Relationship Id="rId5" Type="http://schemas.openxmlformats.org/officeDocument/2006/relationships/hyperlink" Target="https://techcombank.com/thong-tin/blog/kinh-nghiem-chuyen-doi-tu-ho-kinh-doanh-len-doanh-nghiep" TargetMode="External"/><Relationship Id="rId6" Type="http://schemas.openxmlformats.org/officeDocument/2006/relationships/hyperlink" Target="https://techcombank.com/thong-tin/blog/mo-tai-khoan-ho-kinh-doanh" TargetMode="External"/><Relationship Id="rId7" Type="http://schemas.openxmlformats.org/officeDocument/2006/relationships/hyperlink" Target="https://techcombank.com/thong-tin/blog/nen-thanh-lap-ho-kinh-doanh-ke-khai-hay-doanh-nghiep" TargetMode="External"/><Relationship Id="rId8" Type="http://schemas.openxmlformats.org/officeDocument/2006/relationships/hyperlink" Target="https://techcombank.com/thong-tin/blog/tien-singapore" TargetMode="External"/><Relationship Id="rId745" Type="http://schemas.openxmlformats.org/officeDocument/2006/relationships/hyperlink" Target="https://techcombank.com/thong-tin/blog/uu-dai-mua-iphone-18" TargetMode="External"/><Relationship Id="rId744" Type="http://schemas.openxmlformats.org/officeDocument/2006/relationships/hyperlink" Target="https://techcombank.com/thong-tin/blog/ung-dung-cong-nghe" TargetMode="External"/><Relationship Id="rId743" Type="http://schemas.openxmlformats.org/officeDocument/2006/relationships/hyperlink" Target="https://techcombank.com/thong-tin/blog/ty-le-thanh-toan-khong-dung-tien-mat-trong-linh-vuc-y-te-con-han-che" TargetMode="External"/><Relationship Id="rId742" Type="http://schemas.openxmlformats.org/officeDocument/2006/relationships/hyperlink" Target="https://techcombank.com/thong-tin/blog/ty-le-khach-hang-su-dung-chu-ky-so-trong-linh-vuc-ngan-hang-dang-o-muc-5" TargetMode="External"/><Relationship Id="rId749" Type="http://schemas.openxmlformats.org/officeDocument/2006/relationships/hyperlink" Target="https://techcombank.com/thong-tin/blog/vip-ngan-hang" TargetMode="External"/><Relationship Id="rId748" Type="http://schemas.openxmlformats.org/officeDocument/2006/relationships/hyperlink" Target="https://techcombank.com/thong-tin/blog/vi-tra-sau" TargetMode="External"/><Relationship Id="rId747" Type="http://schemas.openxmlformats.org/officeDocument/2006/relationships/hyperlink" Target="https://techcombank.com/thong-tin/blog/vang-24k" TargetMode="External"/><Relationship Id="rId746" Type="http://schemas.openxmlformats.org/officeDocument/2006/relationships/hyperlink" Target="https://techcombank.com/thong-tin/blog/uu-diem-cua-blockchain" TargetMode="External"/><Relationship Id="rId741" Type="http://schemas.openxmlformats.org/officeDocument/2006/relationships/hyperlink" Target="https://techcombank.com/thong-tin/blog/tra-cuu-hoa-don-tien-dien" TargetMode="External"/><Relationship Id="rId740" Type="http://schemas.openxmlformats.org/officeDocument/2006/relationships/hyperlink" Target="https://techcombank.com/thong-tin/blog/token-la-gi" TargetMode="External"/><Relationship Id="rId739" Type="http://schemas.openxmlformats.org/officeDocument/2006/relationships/hyperlink" Target="https://techcombank.com/thong-tin/blog/toi-uu-hoa-chi-phi-trong-doanh-nghiep" TargetMode="External"/><Relationship Id="rId734" Type="http://schemas.openxmlformats.org/officeDocument/2006/relationships/hyperlink" Target="https://techcombank.com/thong-tin/blog/the-atm-tu" TargetMode="External"/><Relationship Id="rId733" Type="http://schemas.openxmlformats.org/officeDocument/2006/relationships/hyperlink" Target="https://techcombank.com/thong-tin/blog/thanh-toan-tien-nuoc-online" TargetMode="External"/><Relationship Id="rId732" Type="http://schemas.openxmlformats.org/officeDocument/2006/relationships/hyperlink" Target="https://techcombank.com/thong-tin/blog/thanh-toan-tien-internet-online" TargetMode="External"/><Relationship Id="rId731" Type="http://schemas.openxmlformats.org/officeDocument/2006/relationships/hyperlink" Target="https://techcombank.com/thong-tin/blog/thanh-toan-khong-tien-mat-trong-nganh-giao-duc-co-hoi-va-thach-thuc" TargetMode="External"/><Relationship Id="rId738" Type="http://schemas.openxmlformats.org/officeDocument/2006/relationships/hyperlink" Target="https://techcombank.com/thong-tin/blog/tiet-kiem-khi-di-du-lich" TargetMode="External"/><Relationship Id="rId737" Type="http://schemas.openxmlformats.org/officeDocument/2006/relationships/hyperlink" Target="https://techcombank.com/thong-tin/blog/tich-luy-tai-san" TargetMode="External"/><Relationship Id="rId736" Type="http://schemas.openxmlformats.org/officeDocument/2006/relationships/hyperlink" Target="https://techcombank.com/thong-tin/blog/thoi-gian-khop-lech-chung-chi-quy" TargetMode="External"/><Relationship Id="rId735" Type="http://schemas.openxmlformats.org/officeDocument/2006/relationships/hyperlink" Target="https://techcombank.com/thong-tin/blog/the-visa" TargetMode="External"/><Relationship Id="rId730" Type="http://schemas.openxmlformats.org/officeDocument/2006/relationships/hyperlink" Target="https://techcombank.com/thong-tin/blog/thanh-toan-khong-dung-tien-mat-tro-thanh-xu-huong-tang-truong-chong-mat" TargetMode="External"/><Relationship Id="rId766" Type="http://schemas.openxmlformats.org/officeDocument/2006/relationships/drawing" Target="../drawings/drawing5.xml"/><Relationship Id="rId765" Type="http://schemas.openxmlformats.org/officeDocument/2006/relationships/hyperlink" Target="https://techcombank.com/thong-tin/blog/yakimono" TargetMode="External"/><Relationship Id="rId764" Type="http://schemas.openxmlformats.org/officeDocument/2006/relationships/hyperlink" Target="https://techcombank.com/thong-tin/blog/xu-huong-ty-gia-usd" TargetMode="External"/><Relationship Id="rId763" Type="http://schemas.openxmlformats.org/officeDocument/2006/relationships/hyperlink" Target="https://techcombank.com/thong-tin/blog/xu-huong-tieu-dung" TargetMode="External"/><Relationship Id="rId762" Type="http://schemas.openxmlformats.org/officeDocument/2006/relationships/hyperlink" Target="https://techcombank.com/thong-tin/blog/xu-huong-thanh-toan-khong-dung-tien-mat-tai-viet-nam" TargetMode="External"/><Relationship Id="rId761" Type="http://schemas.openxmlformats.org/officeDocument/2006/relationships/hyperlink" Target="https://techcombank.com/thong-tin/blog/woomaster" TargetMode="External"/><Relationship Id="rId760" Type="http://schemas.openxmlformats.org/officeDocument/2006/relationships/hyperlink" Target="https://techcombank.com/thong-tin/blog/voucher-xanh-sm" TargetMode="External"/><Relationship Id="rId756" Type="http://schemas.openxmlformats.org/officeDocument/2006/relationships/hyperlink" Target="https://techcombank.com/thong-tin/blog/voucher-katinat" TargetMode="External"/><Relationship Id="rId755" Type="http://schemas.openxmlformats.org/officeDocument/2006/relationships/hyperlink" Target="https://techcombank.com/thong-tin/blog/voucher-jollibee" TargetMode="External"/><Relationship Id="rId754" Type="http://schemas.openxmlformats.org/officeDocument/2006/relationships/hyperlink" Target="https://techcombank.com/thong-tin/blog/voucher-grab" TargetMode="External"/><Relationship Id="rId753" Type="http://schemas.openxmlformats.org/officeDocument/2006/relationships/hyperlink" Target="https://techcombank.com/thong-tin/blog/voucher-golden-gate" TargetMode="External"/><Relationship Id="rId759" Type="http://schemas.openxmlformats.org/officeDocument/2006/relationships/hyperlink" Target="https://techcombank.com/thong-tin/blog/voucher-the-coffee-house" TargetMode="External"/><Relationship Id="rId758" Type="http://schemas.openxmlformats.org/officeDocument/2006/relationships/hyperlink" Target="https://techcombank.com/thong-tin/blog/voucher-phuc-long" TargetMode="External"/><Relationship Id="rId757" Type="http://schemas.openxmlformats.org/officeDocument/2006/relationships/hyperlink" Target="https://techcombank.com/thong-tin/blog/voucher-kfc" TargetMode="External"/><Relationship Id="rId752" Type="http://schemas.openxmlformats.org/officeDocument/2006/relationships/hyperlink" Target="https://techcombank.com/thong-tin/blog/voucher-coopmart" TargetMode="External"/><Relationship Id="rId751" Type="http://schemas.openxmlformats.org/officeDocument/2006/relationships/hyperlink" Target="https://techcombank.com/thong-tin/blog/voucher-cgv" TargetMode="External"/><Relationship Id="rId750" Type="http://schemas.openxmlformats.org/officeDocument/2006/relationships/hyperlink" Target="https://techcombank.com/thong-tin/blog/vong-quay-von" TargetMode="External"/><Relationship Id="rId709" Type="http://schemas.openxmlformats.org/officeDocument/2006/relationships/hyperlink" Target="https://techcombank.com/thong-tin/blog/oneu" TargetMode="External"/><Relationship Id="rId708" Type="http://schemas.openxmlformats.org/officeDocument/2006/relationships/hyperlink" Target="https://techcombank.com/thong-tin/blog/npv-la-gi" TargetMode="External"/><Relationship Id="rId707" Type="http://schemas.openxmlformats.org/officeDocument/2006/relationships/hyperlink" Target="https://techcombank.com/thong-tin/blog/nhuong-quyen-la-gi" TargetMode="External"/><Relationship Id="rId706" Type="http://schemas.openxmlformats.org/officeDocument/2006/relationships/hyperlink" Target="https://techcombank.com/thong-tin/blog/ngoai-hoi-la-gi" TargetMode="External"/><Relationship Id="rId701" Type="http://schemas.openxmlformats.org/officeDocument/2006/relationships/hyperlink" Target="https://techcombank.com/thong-tin/blog/mo-tai-khoan-ngan-hang-trung-so-dien-thoai" TargetMode="External"/><Relationship Id="rId700" Type="http://schemas.openxmlformats.org/officeDocument/2006/relationships/hyperlink" Target="https://techcombank.com/thong-tin/blog/ma-qr-lam-gia-duoc-khong" TargetMode="External"/><Relationship Id="rId705" Type="http://schemas.openxmlformats.org/officeDocument/2006/relationships/hyperlink" Target="https://techcombank.com/thong-tin/blog/mua-ve-xem-phim" TargetMode="External"/><Relationship Id="rId704" Type="http://schemas.openxmlformats.org/officeDocument/2006/relationships/hyperlink" Target="https://techcombank.com/thong-tin/blog/mua-bao-hiem-o-to-dien" TargetMode="External"/><Relationship Id="rId703" Type="http://schemas.openxmlformats.org/officeDocument/2006/relationships/hyperlink" Target="https://techcombank.com/thong-tin/blog/mo-the-tin-dung-chi-can-cccd" TargetMode="External"/><Relationship Id="rId702" Type="http://schemas.openxmlformats.org/officeDocument/2006/relationships/hyperlink" Target="https://techcombank.com/thong-tin/blog/mo-the-ghi-no" TargetMode="External"/><Relationship Id="rId729" Type="http://schemas.openxmlformats.org/officeDocument/2006/relationships/hyperlink" Target="https://techcombank.com/thong-tin/blog/thanh-toan-khong-cham-tuong-lai-cua-thanh-toan-so-tai-viet-nam" TargetMode="External"/><Relationship Id="rId728" Type="http://schemas.openxmlformats.org/officeDocument/2006/relationships/hyperlink" Target="https://techcombank.com/thong-tin/blog/thanh-toan-khi-du-lich-trung-quoc" TargetMode="External"/><Relationship Id="rId723" Type="http://schemas.openxmlformats.org/officeDocument/2006/relationships/hyperlink" Target="https://techcombank.com/thong-tin/blog/tai-khoan-cong-ty-co-chuyen-online-duoc-khong" TargetMode="External"/><Relationship Id="rId722" Type="http://schemas.openxmlformats.org/officeDocument/2006/relationships/hyperlink" Target="https://techcombank.com/thong-tin/blog/so-the-visa-hop-le" TargetMode="External"/><Relationship Id="rId721" Type="http://schemas.openxmlformats.org/officeDocument/2006/relationships/hyperlink" Target="https://techcombank.com/thong-tin/blog/so-the-tin-dung" TargetMode="External"/><Relationship Id="rId720" Type="http://schemas.openxmlformats.org/officeDocument/2006/relationships/hyperlink" Target="https://techcombank.com/thong-tin/blog/so-sanh-ma-qr-va-ma-vach" TargetMode="External"/><Relationship Id="rId727" Type="http://schemas.openxmlformats.org/officeDocument/2006/relationships/hyperlink" Target="https://techcombank.com/thong-tin/blog/thanh-toan-khi-du-lich-hong-kong" TargetMode="External"/><Relationship Id="rId726" Type="http://schemas.openxmlformats.org/officeDocument/2006/relationships/hyperlink" Target="https://techcombank.com/thong-tin/blog/thanh-ly-tai-san" TargetMode="External"/><Relationship Id="rId725" Type="http://schemas.openxmlformats.org/officeDocument/2006/relationships/hyperlink" Target="https://techcombank.com/thong-tin/blog/ten-dang-nhap-tai-khoan-ngan-hang-la-gi" TargetMode="External"/><Relationship Id="rId724" Type="http://schemas.openxmlformats.org/officeDocument/2006/relationships/hyperlink" Target="https://techcombank.com/thong-tin/blog/tai-tro-fifa-world-cup" TargetMode="External"/><Relationship Id="rId719" Type="http://schemas.openxmlformats.org/officeDocument/2006/relationships/hyperlink" Target="https://techcombank.com/thong-tin/blog/so-sanh-bao-hiem-suc-khoe-bo-sung" TargetMode="External"/><Relationship Id="rId718" Type="http://schemas.openxmlformats.org/officeDocument/2006/relationships/hyperlink" Target="https://techcombank.com/thong-tin/blog/sinh-loi-rinh-loc" TargetMode="External"/><Relationship Id="rId717" Type="http://schemas.openxmlformats.org/officeDocument/2006/relationships/hyperlink" Target="https://techcombank.com/thong-tin/blog/sang-ngang-the-tin-dung" TargetMode="External"/><Relationship Id="rId712" Type="http://schemas.openxmlformats.org/officeDocument/2006/relationships/hyperlink" Target="https://techcombank.com/thong-tin/blog/phuong-phap-dau-tu-chung-chi-quy" TargetMode="External"/><Relationship Id="rId711" Type="http://schemas.openxmlformats.org/officeDocument/2006/relationships/hyperlink" Target="https://techcombank.com/thong-tin/blog/phan-mem-xuat-hoa-don-dien-tu" TargetMode="External"/><Relationship Id="rId710" Type="http://schemas.openxmlformats.org/officeDocument/2006/relationships/hyperlink" Target="https://techcombank.com/thong-tin/blog/phan-bo-tai-san" TargetMode="External"/><Relationship Id="rId716" Type="http://schemas.openxmlformats.org/officeDocument/2006/relationships/hyperlink" Target="https://techcombank.com/thong-tin/blog/san-pham-xanh" TargetMode="External"/><Relationship Id="rId715" Type="http://schemas.openxmlformats.org/officeDocument/2006/relationships/hyperlink" Target="https://techcombank.com/thong-tin/blog/quy-dinh-ve-mua-ban-ngoai-te-cua-doanh-nghiep" TargetMode="External"/><Relationship Id="rId714" Type="http://schemas.openxmlformats.org/officeDocument/2006/relationships/hyperlink" Target="https://techcombank.com/thong-tin/blog/quan-ly-chi-phi-doanh-nghiep" TargetMode="External"/><Relationship Id="rId713" Type="http://schemas.openxmlformats.org/officeDocument/2006/relationships/hyperlink" Target="https://techcombank.com/thong-tin/blog/qr-code-phuong-thuc-thanh-toan-toi-uu-trong-ky-nguyen-so" TargetMode="External"/><Relationship Id="rId629" Type="http://schemas.openxmlformats.org/officeDocument/2006/relationships/hyperlink" Target="https://techcombank.com/thong-tin/blog/bao-hiem-trung" TargetMode="External"/><Relationship Id="rId624" Type="http://schemas.openxmlformats.org/officeDocument/2006/relationships/hyperlink" Target="https://techcombank.com/thong-tin/blog/app-quan-ly-chi-tieu" TargetMode="External"/><Relationship Id="rId623" Type="http://schemas.openxmlformats.org/officeDocument/2006/relationships/hyperlink" Target="https://techcombank.com/thong-tin/blog/app-chia-tien" TargetMode="External"/><Relationship Id="rId622" Type="http://schemas.openxmlformats.org/officeDocument/2006/relationships/hyperlink" Target="https://techcombank.com/thong-tin/blog/anh-trai-vuot-ngan-chong-gai-mua-2" TargetMode="External"/><Relationship Id="rId621" Type="http://schemas.openxmlformats.org/officeDocument/2006/relationships/hyperlink" Target="https://techcombank.com/thong-tin/blog/anh-sang-cuoi-duong-ham-xuat-hien-trai-phieu-doanh-nghiep-tot-va-an-toan-se-duoc-nha-dau-tu-chon" TargetMode="External"/><Relationship Id="rId628" Type="http://schemas.openxmlformats.org/officeDocument/2006/relationships/hyperlink" Target="https://techcombank.com/thong-tin/blog/bao-hiem-nhan-tho-la-gi" TargetMode="External"/><Relationship Id="rId627" Type="http://schemas.openxmlformats.org/officeDocument/2006/relationships/hyperlink" Target="https://techcombank.com/thong-tin/blog/bao-hiem-nhan-tho-bao-nhieu-tien" TargetMode="External"/><Relationship Id="rId626" Type="http://schemas.openxmlformats.org/officeDocument/2006/relationships/hyperlink" Target="https://techcombank.com/thong-tin/blog/bao-hiem-lien-ket-dau-tu" TargetMode="External"/><Relationship Id="rId625" Type="http://schemas.openxmlformats.org/officeDocument/2006/relationships/hyperlink" Target="https://techcombank.com/thong-tin/blog/bang-gia-chung-chi-quy" TargetMode="External"/><Relationship Id="rId620" Type="http://schemas.openxmlformats.org/officeDocument/2006/relationships/hyperlink" Target="https://techcombank.com/thong-tin/blog/3d-secure" TargetMode="External"/><Relationship Id="rId619" Type="http://schemas.openxmlformats.org/officeDocument/2006/relationships/hyperlink" Target="https://techcombank.com/thong-tin/blog/y-nghia-so-68" TargetMode="External"/><Relationship Id="rId618" Type="http://schemas.openxmlformats.org/officeDocument/2006/relationships/hyperlink" Target="https://techcombank.com/thong-tin/blog/xep-hang-tin-dung" TargetMode="External"/><Relationship Id="rId613" Type="http://schemas.openxmlformats.org/officeDocument/2006/relationships/hyperlink" Target="https://techcombank.com/thong-tin/blog/thue-vat-la-gi" TargetMode="External"/><Relationship Id="rId612" Type="http://schemas.openxmlformats.org/officeDocument/2006/relationships/hyperlink" Target="https://techcombank.com/thong-tin/blog/thoi-gian-hoan-tien-the-tin-dung" TargetMode="External"/><Relationship Id="rId611" Type="http://schemas.openxmlformats.org/officeDocument/2006/relationships/hyperlink" Target="https://techcombank.com/thong-tin/blog/the-visa-co-thanh-toan-quoc-te-duoc-khong" TargetMode="External"/><Relationship Id="rId610" Type="http://schemas.openxmlformats.org/officeDocument/2006/relationships/hyperlink" Target="https://techcombank.com/thong-tin/blog/the-visa-co-rut-tien-duoc-khong" TargetMode="External"/><Relationship Id="rId617" Type="http://schemas.openxmlformats.org/officeDocument/2006/relationships/hyperlink" Target="https://techcombank.com/thong-tin/blog/voucher-starbucks" TargetMode="External"/><Relationship Id="rId616" Type="http://schemas.openxmlformats.org/officeDocument/2006/relationships/hyperlink" Target="https://techcombank.com/thong-tin/blog/vang-14k-gia-hom-nay" TargetMode="External"/><Relationship Id="rId615" Type="http://schemas.openxmlformats.org/officeDocument/2006/relationships/hyperlink" Target="https://techcombank.com/thong-tin/blog/ty-gia-hoi-doai-la-gi" TargetMode="External"/><Relationship Id="rId614" Type="http://schemas.openxmlformats.org/officeDocument/2006/relationships/hyperlink" Target="https://techcombank.com/thong-tin/blog/tinh-thanh-khoan-la-gi" TargetMode="External"/><Relationship Id="rId646" Type="http://schemas.openxmlformats.org/officeDocument/2006/relationships/hyperlink" Target="https://techcombank.com/thong-tin/blog/chi-tra-luong-huu" TargetMode="External"/><Relationship Id="rId645" Type="http://schemas.openxmlformats.org/officeDocument/2006/relationships/hyperlink" Target="https://techcombank.com/thong-tin/blog/cay-atm-gan-day" TargetMode="External"/><Relationship Id="rId644" Type="http://schemas.openxmlformats.org/officeDocument/2006/relationships/hyperlink" Target="https://techcombank.com/thong-tin/blog/cach-tinh-ty-gia-ky-han" TargetMode="External"/><Relationship Id="rId643" Type="http://schemas.openxmlformats.org/officeDocument/2006/relationships/hyperlink" Target="https://techcombank.com/thong-tin/blog/cach-tinh-tien-dien-sinh-hoat" TargetMode="External"/><Relationship Id="rId649" Type="http://schemas.openxmlformats.org/officeDocument/2006/relationships/hyperlink" Target="https://techcombank.com/thong-tin/blog/chu-ky-so-huong-di-nang-cao-hieu-qua-trong-hoat-dong-ngan-hang" TargetMode="External"/><Relationship Id="rId648" Type="http://schemas.openxmlformats.org/officeDocument/2006/relationships/hyperlink" Target="https://techcombank.com/thong-tin/blog/chixmax" TargetMode="External"/><Relationship Id="rId647" Type="http://schemas.openxmlformats.org/officeDocument/2006/relationships/hyperlink" Target="https://techcombank.com/thong-tin/blog/chien-luoc-dau-tu" TargetMode="External"/><Relationship Id="rId642" Type="http://schemas.openxmlformats.org/officeDocument/2006/relationships/hyperlink" Target="https://techcombank.com/thong-tin/blog/cach-sao-ke-tai-khoan-ngan-hang" TargetMode="External"/><Relationship Id="rId641" Type="http://schemas.openxmlformats.org/officeDocument/2006/relationships/hyperlink" Target="https://techcombank.com/thong-tin/blog/cach-quet-nfc-cccd-tren-iphone" TargetMode="External"/><Relationship Id="rId640" Type="http://schemas.openxmlformats.org/officeDocument/2006/relationships/hyperlink" Target="https://techcombank.com/thong-tin/blog/cach-quan-ly-tai-san" TargetMode="External"/><Relationship Id="rId635" Type="http://schemas.openxmlformats.org/officeDocument/2006/relationships/hyperlink" Target="https://techcombank.com/thong-tin/blog/cac-loai-bao-hiem-hien-nay" TargetMode="External"/><Relationship Id="rId634" Type="http://schemas.openxmlformats.org/officeDocument/2006/relationships/hyperlink" Target="https://techcombank.com/thong-tin/blog/ca-nhan-hoa" TargetMode="External"/><Relationship Id="rId633" Type="http://schemas.openxmlformats.org/officeDocument/2006/relationships/hyperlink" Target="https://techcombank.com/thong-tin/blog/bi-nuot-the-atm-phai-lam-sao" TargetMode="External"/><Relationship Id="rId632" Type="http://schemas.openxmlformats.org/officeDocument/2006/relationships/hyperlink" Target="https://techcombank.com/thong-tin/blog/bao-lanh-ngan-hang-infographic" TargetMode="External"/><Relationship Id="rId639" Type="http://schemas.openxmlformats.org/officeDocument/2006/relationships/hyperlink" Target="https://techcombank.com/thong-tin/blog/cach-nap-the-viettel" TargetMode="External"/><Relationship Id="rId638" Type="http://schemas.openxmlformats.org/officeDocument/2006/relationships/hyperlink" Target="https://techcombank.com/thong-tin/blog/cach-dang-ky-the-visa" TargetMode="External"/><Relationship Id="rId637" Type="http://schemas.openxmlformats.org/officeDocument/2006/relationships/hyperlink" Target="https://techcombank.com/thong-tin/blog/cach-dang-ky-dinh-danh-muc-2" TargetMode="External"/><Relationship Id="rId636" Type="http://schemas.openxmlformats.org/officeDocument/2006/relationships/hyperlink" Target="https://techcombank.com/thong-tin/blog/cac-loai-the-ngan-hang" TargetMode="External"/><Relationship Id="rId631" Type="http://schemas.openxmlformats.org/officeDocument/2006/relationships/hyperlink" Target="https://techcombank.com/thong-tin/blog/bao-lanh-bao-hanh" TargetMode="External"/><Relationship Id="rId630" Type="http://schemas.openxmlformats.org/officeDocument/2006/relationships/hyperlink" Target="https://techcombank.com/thong-tin/blog/bao-hiem-vat-chat-xe-o-to" TargetMode="External"/><Relationship Id="rId609" Type="http://schemas.openxmlformats.org/officeDocument/2006/relationships/hyperlink" Target="https://techcombank.com/thong-tin/blog/the-tin-dung-techcombank-visa-eco" TargetMode="External"/><Relationship Id="rId608" Type="http://schemas.openxmlformats.org/officeDocument/2006/relationships/hyperlink" Target="https://techcombank.com/thong-tin/blog/the-tin-dung-co-chuyen-khoan-duoc-khong" TargetMode="External"/><Relationship Id="rId607" Type="http://schemas.openxmlformats.org/officeDocument/2006/relationships/hyperlink" Target="https://techcombank.com/thong-tin/blog/the-mastercard-la-gi" TargetMode="External"/><Relationship Id="rId602" Type="http://schemas.openxmlformats.org/officeDocument/2006/relationships/hyperlink" Target="https://techcombank.com/thong-tin/blog/thanh-toan-quoc-te" TargetMode="External"/><Relationship Id="rId601" Type="http://schemas.openxmlformats.org/officeDocument/2006/relationships/hyperlink" Target="https://techcombank.com/thong-tin/blog/thanh-toan-online-bang-the-tin-dung" TargetMode="External"/><Relationship Id="rId600" Type="http://schemas.openxmlformats.org/officeDocument/2006/relationships/hyperlink" Target="https://techcombank.com/thong-tin/blog/thanh-toan-ma-qr-tro-thanh-phuong-thuc-duoc-ua-chuong-va-trien-khai-manh-me" TargetMode="External"/><Relationship Id="rId606" Type="http://schemas.openxmlformats.org/officeDocument/2006/relationships/hyperlink" Target="https://techcombank.com/thong-tin/blog/the-ghi-no-noi-dia" TargetMode="External"/><Relationship Id="rId605" Type="http://schemas.openxmlformats.org/officeDocument/2006/relationships/hyperlink" Target="https://techcombank.com/thong-tin/blog/the-ghi-no-la-gi" TargetMode="External"/><Relationship Id="rId604" Type="http://schemas.openxmlformats.org/officeDocument/2006/relationships/hyperlink" Target="https://techcombank.com/thong-tin/blog/the-debit" TargetMode="External"/><Relationship Id="rId603" Type="http://schemas.openxmlformats.org/officeDocument/2006/relationships/hyperlink" Target="https://techcombank.com/thong-tin/blog/the-atm-gan-chip" TargetMode="External"/><Relationship Id="rId699" Type="http://schemas.openxmlformats.org/officeDocument/2006/relationships/hyperlink" Target="https://techcombank.com/thong-tin/blog/ma-mcc" TargetMode="External"/><Relationship Id="rId698" Type="http://schemas.openxmlformats.org/officeDocument/2006/relationships/hyperlink" Target="https://techcombank.com/thong-tin/blog/ma-giam-xanh-sm" TargetMode="External"/><Relationship Id="rId693" Type="http://schemas.openxmlformats.org/officeDocument/2006/relationships/hyperlink" Target="https://techcombank.com/thong-tin/blog/luong-huu" TargetMode="External"/><Relationship Id="rId692" Type="http://schemas.openxmlformats.org/officeDocument/2006/relationships/hyperlink" Target="https://techcombank.com/thong-tin/blog/loi-ich-cua-tri-tue-nhan-tao" TargetMode="External"/><Relationship Id="rId691" Type="http://schemas.openxmlformats.org/officeDocument/2006/relationships/hyperlink" Target="https://techcombank.com/thong-tin/blog/li-xi-so-dep" TargetMode="External"/><Relationship Id="rId690" Type="http://schemas.openxmlformats.org/officeDocument/2006/relationships/hyperlink" Target="https://techcombank.com/thong-tin/blog/lap-ke-hoach-tai-chinh-ca-nhan" TargetMode="External"/><Relationship Id="rId697" Type="http://schemas.openxmlformats.org/officeDocument/2006/relationships/hyperlink" Target="https://techcombank.com/thong-tin/blog/ma-giam-gia-shopee" TargetMode="External"/><Relationship Id="rId696" Type="http://schemas.openxmlformats.org/officeDocument/2006/relationships/hyperlink" Target="https://techcombank.com/thong-tin/blog/ma-giam-gia-phela" TargetMode="External"/><Relationship Id="rId695" Type="http://schemas.openxmlformats.org/officeDocument/2006/relationships/hyperlink" Target="https://techcombank.com/thong-tin/blog/ma-giam-gia-al-frescos" TargetMode="External"/><Relationship Id="rId694" Type="http://schemas.openxmlformats.org/officeDocument/2006/relationships/hyperlink" Target="https://techcombank.com/thong-tin/blog/ly-do-ngan-hang-so-tro-thanh-cong-cu-tai-chinh-hang-dau-cua-gioi-tre" TargetMode="External"/><Relationship Id="rId668" Type="http://schemas.openxmlformats.org/officeDocument/2006/relationships/hyperlink" Target="https://techcombank.com/thong-tin/blog/dau-chan-carbon" TargetMode="External"/><Relationship Id="rId667" Type="http://schemas.openxmlformats.org/officeDocument/2006/relationships/hyperlink" Target="https://techcombank.com/thong-tin/blog/dat-xe-xanh-sm" TargetMode="External"/><Relationship Id="rId666" Type="http://schemas.openxmlformats.org/officeDocument/2006/relationships/hyperlink" Target="https://techcombank.com/thong-tin/blog/dat-ve-may-bay" TargetMode="External"/><Relationship Id="rId665" Type="http://schemas.openxmlformats.org/officeDocument/2006/relationships/hyperlink" Target="https://techcombank.com/thong-tin/blog/dao-tao-the-he-ke-can" TargetMode="External"/><Relationship Id="rId669" Type="http://schemas.openxmlformats.org/officeDocument/2006/relationships/hyperlink" Target="https://techcombank.com/thong-tin/blog/dau-co-va-dau-tu" TargetMode="External"/><Relationship Id="rId660" Type="http://schemas.openxmlformats.org/officeDocument/2006/relationships/hyperlink" Target="https://techcombank.com/thong-tin/blog/cpi-la-gi" TargetMode="External"/><Relationship Id="rId664" Type="http://schemas.openxmlformats.org/officeDocument/2006/relationships/hyperlink" Target="https://techcombank.com/thong-tin/blog/danh-muc-dau-tu" TargetMode="External"/><Relationship Id="rId663" Type="http://schemas.openxmlformats.org/officeDocument/2006/relationships/hyperlink" Target="https://techcombank.com/thong-tin/blog/dang-ky-thanh-lap-doanh-nghiep-online" TargetMode="External"/><Relationship Id="rId662" Type="http://schemas.openxmlformats.org/officeDocument/2006/relationships/hyperlink" Target="https://techcombank.com/thong-tin/blog/dang-ky-thanh-lap-doanh-nghiep" TargetMode="External"/><Relationship Id="rId661" Type="http://schemas.openxmlformats.org/officeDocument/2006/relationships/hyperlink" Target="https://techcombank.com/thong-tin/blog/dac-san-nha-trang" TargetMode="External"/><Relationship Id="rId657" Type="http://schemas.openxmlformats.org/officeDocument/2006/relationships/hyperlink" Target="https://techcombank.com/thong-tin/blog/chuyen-nham-tien-co-lay-lai-duoc-khong" TargetMode="External"/><Relationship Id="rId656" Type="http://schemas.openxmlformats.org/officeDocument/2006/relationships/hyperlink" Target="https://techcombank.com/thong-tin/blog/chuyen-khoan-thanh-cong-nhung-khong-nhan-duoc-tien" TargetMode="External"/><Relationship Id="rId655" Type="http://schemas.openxmlformats.org/officeDocument/2006/relationships/hyperlink" Target="https://techcombank.com/thong-tin/blog/chuyen-doi-so-nganh-ngan-hang-thach-thuc-va-co-hoi" TargetMode="External"/><Relationship Id="rId654" Type="http://schemas.openxmlformats.org/officeDocument/2006/relationships/hyperlink" Target="https://techcombank.com/thong-tin/blog/chuyen-doi-so-ho-kinh-doanh" TargetMode="External"/><Relationship Id="rId659" Type="http://schemas.openxmlformats.org/officeDocument/2006/relationships/hyperlink" Target="https://techcombank.com/thong-tin/blog/cong-ty-xuat-nhap-khau" TargetMode="External"/><Relationship Id="rId658" Type="http://schemas.openxmlformats.org/officeDocument/2006/relationships/hyperlink" Target="https://techcombank.com/thong-tin/blog/co-loyalty-la-gi" TargetMode="External"/><Relationship Id="rId653" Type="http://schemas.openxmlformats.org/officeDocument/2006/relationships/hyperlink" Target="https://techcombank.com/thong-tin/blog/chung-chi-quy-va-co-phieu" TargetMode="External"/><Relationship Id="rId652" Type="http://schemas.openxmlformats.org/officeDocument/2006/relationships/hyperlink" Target="https://techcombank.com/thong-tin/blog/chung-chi-quy-va-chung-khoan" TargetMode="External"/><Relationship Id="rId651" Type="http://schemas.openxmlformats.org/officeDocument/2006/relationships/hyperlink" Target="https://techcombank.com/thong-tin/blog/chung-chi-quy-mo-va-dong" TargetMode="External"/><Relationship Id="rId650" Type="http://schemas.openxmlformats.org/officeDocument/2006/relationships/hyperlink" Target="https://techcombank.com/thong-tin/blog/chung-chi-quy-dong" TargetMode="External"/><Relationship Id="rId689" Type="http://schemas.openxmlformats.org/officeDocument/2006/relationships/hyperlink" Target="https://techcombank.com/thong-tin/blog/lap-ke-hoach-chi-tieu-ca-nhan" TargetMode="External"/><Relationship Id="rId688" Type="http://schemas.openxmlformats.org/officeDocument/2006/relationships/hyperlink" Target="https://techcombank.com/thong-tin/blog/kinh-nghiem-mua-vang-tich-tru" TargetMode="External"/><Relationship Id="rId687" Type="http://schemas.openxmlformats.org/officeDocument/2006/relationships/hyperlink" Target="https://techcombank.com/thong-tin/blog/kieu-hoi-la-gi" TargetMode="External"/><Relationship Id="rId682" Type="http://schemas.openxmlformats.org/officeDocument/2006/relationships/hyperlink" Target="https://techcombank.com/thong-tin/blog/giam-gia-be" TargetMode="External"/><Relationship Id="rId681" Type="http://schemas.openxmlformats.org/officeDocument/2006/relationships/hyperlink" Target="https://techcombank.com/thong-tin/blog/gia-xang-dau-hom-nay" TargetMode="External"/><Relationship Id="rId680" Type="http://schemas.openxmlformats.org/officeDocument/2006/relationships/hyperlink" Target="https://techcombank.com/thong-tin/blog/gia-vang-16k-hom-nay" TargetMode="External"/><Relationship Id="rId686" Type="http://schemas.openxmlformats.org/officeDocument/2006/relationships/hyperlink" Target="https://techcombank.com/thong-tin/blog/kichi-kichi" TargetMode="External"/><Relationship Id="rId685" Type="http://schemas.openxmlformats.org/officeDocument/2006/relationships/hyperlink" Target="https://techcombank.com/thong-tin/blog/hom-nay-co-nen-mua-vang-khong" TargetMode="External"/><Relationship Id="rId684" Type="http://schemas.openxmlformats.org/officeDocument/2006/relationships/hyperlink" Target="https://techcombank.com/thong-tin/blog/hoa-don-dien-tu-ho-kinh-doanh" TargetMode="External"/><Relationship Id="rId683" Type="http://schemas.openxmlformats.org/officeDocument/2006/relationships/hyperlink" Target="https://techcombank.com/thong-tin/blog/giao-thong-xanh" TargetMode="External"/><Relationship Id="rId679" Type="http://schemas.openxmlformats.org/officeDocument/2006/relationships/hyperlink" Target="https://techcombank.com/thong-tin/blog/gia-tri-tai-san-rong" TargetMode="External"/><Relationship Id="rId678" Type="http://schemas.openxmlformats.org/officeDocument/2006/relationships/hyperlink" Target="https://techcombank.com/thong-tin/blog/gia-dien-sinh-hoat" TargetMode="External"/><Relationship Id="rId677" Type="http://schemas.openxmlformats.org/officeDocument/2006/relationships/hyperlink" Target="https://techcombank.com/thong-tin/blog/gia-cao-su" TargetMode="External"/><Relationship Id="rId676" Type="http://schemas.openxmlformats.org/officeDocument/2006/relationships/hyperlink" Target="https://techcombank.com/thong-tin/blog/esg" TargetMode="External"/><Relationship Id="rId671" Type="http://schemas.openxmlformats.org/officeDocument/2006/relationships/hyperlink" Target="https://techcombank.com/thong-tin/blog/day-so-phat-tai-phat-loc" TargetMode="External"/><Relationship Id="rId670" Type="http://schemas.openxmlformats.org/officeDocument/2006/relationships/hyperlink" Target="https://techcombank.com/thong-tin/blog/dau-tu-dai-han" TargetMode="External"/><Relationship Id="rId675" Type="http://schemas.openxmlformats.org/officeDocument/2006/relationships/hyperlink" Target="https://techcombank.com/thong-tin/blog/due-diligence" TargetMode="External"/><Relationship Id="rId674" Type="http://schemas.openxmlformats.org/officeDocument/2006/relationships/hyperlink" Target="https://techcombank.com/thong-tin/blog/du-bao-gia-vang" TargetMode="External"/><Relationship Id="rId673" Type="http://schemas.openxmlformats.org/officeDocument/2006/relationships/hyperlink" Target="https://techcombank.com/thong-tin/blog/don-bay-tai-chinh" TargetMode="External"/><Relationship Id="rId672" Type="http://schemas.openxmlformats.org/officeDocument/2006/relationships/hyperlink" Target="https://techcombank.com/thong-tin/blog/diem-loyalty-la-gi" TargetMode="External"/><Relationship Id="rId190" Type="http://schemas.openxmlformats.org/officeDocument/2006/relationships/hyperlink" Target="https://techcombank.com/thong-tin/blog/vay-san-xuat-kinh-doanh" TargetMode="External"/><Relationship Id="rId194" Type="http://schemas.openxmlformats.org/officeDocument/2006/relationships/hyperlink" Target="https://techcombank.com/thong-tin/blog/vay-tin-chap-cho-doanh-nghiep-moi-thanh-lap" TargetMode="External"/><Relationship Id="rId193" Type="http://schemas.openxmlformats.org/officeDocument/2006/relationships/hyperlink" Target="https://techcombank.com/thong-tin/blog/vay-the-chap-toi-da-duoc-bao-nhieu" TargetMode="External"/><Relationship Id="rId192" Type="http://schemas.openxmlformats.org/officeDocument/2006/relationships/hyperlink" Target="https://techcombank.com/thong-tin/blog/vay-the-chap-la-gi" TargetMode="External"/><Relationship Id="rId191" Type="http://schemas.openxmlformats.org/officeDocument/2006/relationships/hyperlink" Target="https://techcombank.com/thong-tin/blog/vay-the-chap-khong-tra-duoc" TargetMode="External"/><Relationship Id="rId187" Type="http://schemas.openxmlformats.org/officeDocument/2006/relationships/hyperlink" Target="https://techcombank.com/thong-tin/blog/vay-bo-sung-von-luu-dong" TargetMode="External"/><Relationship Id="rId186" Type="http://schemas.openxmlformats.org/officeDocument/2006/relationships/hyperlink" Target="https://techcombank.com/thong-tin/blog/vay-200-trieu" TargetMode="External"/><Relationship Id="rId185" Type="http://schemas.openxmlformats.org/officeDocument/2006/relationships/hyperlink" Target="https://techcombank.com/thong-tin/blog/vay-20-trieu" TargetMode="External"/><Relationship Id="rId184" Type="http://schemas.openxmlformats.org/officeDocument/2006/relationships/hyperlink" Target="https://techcombank.com/thong-tin/blog/vay-15-trieu" TargetMode="External"/><Relationship Id="rId189" Type="http://schemas.openxmlformats.org/officeDocument/2006/relationships/hyperlink" Target="https://techcombank.com/thong-tin/blog/vay-ngan-han" TargetMode="External"/><Relationship Id="rId188" Type="http://schemas.openxmlformats.org/officeDocument/2006/relationships/hyperlink" Target="https://techcombank.com/thong-tin/blog/vay-mua-nha-tra-gop" TargetMode="External"/><Relationship Id="rId183" Type="http://schemas.openxmlformats.org/officeDocument/2006/relationships/hyperlink" Target="https://techcombank.com/thong-tin/blog/uu-dai-mua-ve-may-bay-bang-the-tin-dung" TargetMode="External"/><Relationship Id="rId182" Type="http://schemas.openxmlformats.org/officeDocument/2006/relationships/hyperlink" Target="https://techcombank.com/thong-tin/blog/truy-thu-thue-ho-kinh-doanh" TargetMode="External"/><Relationship Id="rId181" Type="http://schemas.openxmlformats.org/officeDocument/2006/relationships/hyperlink" Target="https://techcombank.com/thong-tin/blog/tra-gop-lazada" TargetMode="External"/><Relationship Id="rId180" Type="http://schemas.openxmlformats.org/officeDocument/2006/relationships/hyperlink" Target="https://techcombank.com/thong-tin/blog/tra-gop-hoc-phi" TargetMode="External"/><Relationship Id="rId176" Type="http://schemas.openxmlformats.org/officeDocument/2006/relationships/hyperlink" Target="https://techcombank.com/thong-tin/blog/tien-gui-khong-ky-han" TargetMode="External"/><Relationship Id="rId175" Type="http://schemas.openxmlformats.org/officeDocument/2006/relationships/hyperlink" Target="https://techcombank.com/thong-tin/blog/tien-gui-co-ky-han" TargetMode="External"/><Relationship Id="rId174" Type="http://schemas.openxmlformats.org/officeDocument/2006/relationships/hyperlink" Target="https://techcombank.com/thong-tin/blog/tien-chuyen-vao-tai-khoan-co-bi-tinh-thue-khong" TargetMode="External"/><Relationship Id="rId173" Type="http://schemas.openxmlformats.org/officeDocument/2006/relationships/hyperlink" Target="https://techcombank.com/thong-tin/blog/the-tin-dung-nao-nhieu-uu-dai-nhat" TargetMode="External"/><Relationship Id="rId179" Type="http://schemas.openxmlformats.org/officeDocument/2006/relationships/hyperlink" Target="https://techcombank.com/thong-tin/blog/tra-cuu-no-thue-ho-kinh-doanh" TargetMode="External"/><Relationship Id="rId178" Type="http://schemas.openxmlformats.org/officeDocument/2006/relationships/hyperlink" Target="https://techcombank.com/thong-tin/blog/tra-cuu-no-thue-hai-quan" TargetMode="External"/><Relationship Id="rId177" Type="http://schemas.openxmlformats.org/officeDocument/2006/relationships/hyperlink" Target="https://techcombank.com/thong-tin/blog/tien-nhat" TargetMode="External"/><Relationship Id="rId198" Type="http://schemas.openxmlformats.org/officeDocument/2006/relationships/hyperlink" Target="https://techcombank.com/thong-tin/blog/cach-kiem-tra-tai-khoan-ngan-hang-cua-cong-ty" TargetMode="External"/><Relationship Id="rId197" Type="http://schemas.openxmlformats.org/officeDocument/2006/relationships/hyperlink" Target="https://techcombank.com/thong-tin/blog/1-man-bang-bao-nhieu-tien-viet" TargetMode="External"/><Relationship Id="rId196" Type="http://schemas.openxmlformats.org/officeDocument/2006/relationships/hyperlink" Target="https://techcombank.com/thong-tin/blog/1-cmnd-dang-ky-duoc-may-tai-khoan-ngan-hang" TargetMode="External"/><Relationship Id="rId195" Type="http://schemas.openxmlformats.org/officeDocument/2006/relationships/hyperlink" Target="https://techcombank.com/thong-tin/blog/vay-von-doanh-nghiep-khong-the-chap" TargetMode="External"/><Relationship Id="rId199" Type="http://schemas.openxmlformats.org/officeDocument/2006/relationships/hyperlink" Target="https://techcombank.com/thong-tin/blog/cach-tiet-kiem-tien-cua-nguoi-nhat" TargetMode="External"/><Relationship Id="rId150" Type="http://schemas.openxmlformats.org/officeDocument/2006/relationships/hyperlink" Target="https://techcombank.com/thong-tin/blog/khoi-nghiep-truoc-chinh-sach-thue-moi" TargetMode="External"/><Relationship Id="rId149" Type="http://schemas.openxmlformats.org/officeDocument/2006/relationships/hyperlink" Target="https://techcombank.com/thong-tin/blog/hoan-thue-thu-nhap-ca-nhan" TargetMode="External"/><Relationship Id="rId148" Type="http://schemas.openxmlformats.org/officeDocument/2006/relationships/hyperlink" Target="https://techcombank.com/thong-tin/blog/gui-tiet-kiem-vang" TargetMode="External"/><Relationship Id="rId143" Type="http://schemas.openxmlformats.org/officeDocument/2006/relationships/hyperlink" Target="https://techcombank.com/thong-tin/blog/di-du-lich-nuoc-ngoai-can-chuan-bi-gi" TargetMode="External"/><Relationship Id="rId142" Type="http://schemas.openxmlformats.org/officeDocument/2006/relationships/hyperlink" Target="https://techcombank.com/thong-tin/blog/dang-vay-tra-gop-co-vay-them-duoc-khong" TargetMode="External"/><Relationship Id="rId141" Type="http://schemas.openxmlformats.org/officeDocument/2006/relationships/hyperlink" Target="https://techcombank.com/thong-tin/blog/dang-ky-nhieu-tai-khoan-ngan-hang-co-sao-khong" TargetMode="External"/><Relationship Id="rId140" Type="http://schemas.openxmlformats.org/officeDocument/2006/relationships/hyperlink" Target="https://techcombank.com/thong-tin/blog/dang-ky-ma-so-thue-ca-nhan" TargetMode="External"/><Relationship Id="rId147" Type="http://schemas.openxmlformats.org/officeDocument/2006/relationships/hyperlink" Target="https://techcombank.com/thong-tin/blog/gui-tiet-kiem-ngoai-te" TargetMode="External"/><Relationship Id="rId146" Type="http://schemas.openxmlformats.org/officeDocument/2006/relationships/hyperlink" Target="https://techcombank.com/thong-tin/blog/gui-tiet-kiem-lay-lai-hang-thang" TargetMode="External"/><Relationship Id="rId145" Type="http://schemas.openxmlformats.org/officeDocument/2006/relationships/hyperlink" Target="https://techcombank.com/thong-tin/blog/gui-tien-ngan-hang-co-an-toan-khong" TargetMode="External"/><Relationship Id="rId144" Type="http://schemas.openxmlformats.org/officeDocument/2006/relationships/hyperlink" Target="https://techcombank.com/thong-tin/blog/dieu-kien-vay-von-ngan-hang" TargetMode="External"/><Relationship Id="rId139" Type="http://schemas.openxmlformats.org/officeDocument/2006/relationships/hyperlink" Target="https://techcombank.com/thong-tin/blog/cho-vay-kinh-doanh-ho-gia-dinh" TargetMode="External"/><Relationship Id="rId138" Type="http://schemas.openxmlformats.org/officeDocument/2006/relationships/hyperlink" Target="https://techcombank.com/thong-tin/blog/cach-tinh-thue-thu-nhap-ca-nhan-2025" TargetMode="External"/><Relationship Id="rId137" Type="http://schemas.openxmlformats.org/officeDocument/2006/relationships/hyperlink" Target="https://techcombank.com/thong-tin/blog/cach-tinh-thue-ho-kinh-doanh-nho-le" TargetMode="External"/><Relationship Id="rId132" Type="http://schemas.openxmlformats.org/officeDocument/2006/relationships/hyperlink" Target="https://techcombank.com/thong-tin/blog/cach-dang-ky-ma-so-thue-ho-kinh-doanh-online" TargetMode="External"/><Relationship Id="rId131" Type="http://schemas.openxmlformats.org/officeDocument/2006/relationships/hyperlink" Target="https://techcombank.com/thong-tin/blog/app-vay-tien-nhanh" TargetMode="External"/><Relationship Id="rId130" Type="http://schemas.openxmlformats.org/officeDocument/2006/relationships/hyperlink" Target="https://techcombank.com/thong-tin/blog/1-trieu-do-bang-bao-nhieu-tien-viet" TargetMode="External"/><Relationship Id="rId136" Type="http://schemas.openxmlformats.org/officeDocument/2006/relationships/hyperlink" Target="https://techcombank.com/thong-tin/blog/cach-tao-ma-qr" TargetMode="External"/><Relationship Id="rId135" Type="http://schemas.openxmlformats.org/officeDocument/2006/relationships/hyperlink" Target="https://techcombank.com/thong-tin/blog/cach-su-dung-the-visa-techcombank" TargetMode="External"/><Relationship Id="rId134" Type="http://schemas.openxmlformats.org/officeDocument/2006/relationships/hyperlink" Target="https://techcombank.com/thong-tin/blog/cach-rut-tien-atm" TargetMode="External"/><Relationship Id="rId133" Type="http://schemas.openxmlformats.org/officeDocument/2006/relationships/hyperlink" Target="https://techcombank.com/thong-tin/blog/cach-lam-the-ngan-hang-chay-quang-cao-facebook" TargetMode="External"/><Relationship Id="rId172" Type="http://schemas.openxmlformats.org/officeDocument/2006/relationships/hyperlink" Target="https://techcombank.com/thong-tin/blog/thanh-toan-toi-thieu-the-tin-dung" TargetMode="External"/><Relationship Id="rId171" Type="http://schemas.openxmlformats.org/officeDocument/2006/relationships/hyperlink" Target="https://techcombank.com/thong-tin/blog/thanh-toan-tien-dien-bang-the-tin-dung" TargetMode="External"/><Relationship Id="rId170" Type="http://schemas.openxmlformats.org/officeDocument/2006/relationships/hyperlink" Target="https://techcombank.com/thong-tin/blog/tai-sao-gui-tiet-kiem-online-lai-suat-cao-hon" TargetMode="External"/><Relationship Id="rId165" Type="http://schemas.openxmlformats.org/officeDocument/2006/relationships/hyperlink" Target="https://techcombank.com/thong-tin/blog/no-xau-co-lam-the-visa-duoc-khong" TargetMode="External"/><Relationship Id="rId164" Type="http://schemas.openxmlformats.org/officeDocument/2006/relationships/hyperlink" Target="https://techcombank.com/thong-tin/blog/nen-gui-tiet-kiem-6-thang-hay-1-nam" TargetMode="External"/><Relationship Id="rId163" Type="http://schemas.openxmlformats.org/officeDocument/2006/relationships/hyperlink" Target="https://techcombank.com/thong-tin/blog/mua-truoc-tra-sau" TargetMode="External"/><Relationship Id="rId162" Type="http://schemas.openxmlformats.org/officeDocument/2006/relationships/hyperlink" Target="https://techcombank.com/thong-tin/blog/mo-the-tin-dung-co-loi-ich-gi" TargetMode="External"/><Relationship Id="rId169" Type="http://schemas.openxmlformats.org/officeDocument/2006/relationships/hyperlink" Target="https://techcombank.com/thong-tin/blog/tai-khoan-doanh-nghiep-co-the-khong" TargetMode="External"/><Relationship Id="rId168" Type="http://schemas.openxmlformats.org/officeDocument/2006/relationships/hyperlink" Target="https://techcombank.com/thong-tin/blog/rut-tien-mat-tu-the-tin-dung" TargetMode="External"/><Relationship Id="rId167" Type="http://schemas.openxmlformats.org/officeDocument/2006/relationships/hyperlink" Target="https://techcombank.com/thong-tin/blog/rui-ro-khi-gui-tiet-kiem-ngan-hang" TargetMode="External"/><Relationship Id="rId166" Type="http://schemas.openxmlformats.org/officeDocument/2006/relationships/hyperlink" Target="https://techcombank.com/thong-tin/blog/quan-ly-tai-chinh-cho-dan-van-phong" TargetMode="External"/><Relationship Id="rId161" Type="http://schemas.openxmlformats.org/officeDocument/2006/relationships/hyperlink" Target="https://techcombank.com/thong-tin/blog/mo-so-tiet-kiem-can-bao-nhieu-tien" TargetMode="External"/><Relationship Id="rId160" Type="http://schemas.openxmlformats.org/officeDocument/2006/relationships/hyperlink" Target="https://techcombank.com/thong-tin/blog/mm-yy-la-gi" TargetMode="External"/><Relationship Id="rId159" Type="http://schemas.openxmlformats.org/officeDocument/2006/relationships/hyperlink" Target="https://techcombank.com/thong-tin/blog/mat-the-tin-dung-co-bi-mat-tien-khong" TargetMode="External"/><Relationship Id="rId154" Type="http://schemas.openxmlformats.org/officeDocument/2006/relationships/hyperlink" Target="https://techcombank.com/thong-tin/blog/lai-suat-tha-noi" TargetMode="External"/><Relationship Id="rId153" Type="http://schemas.openxmlformats.org/officeDocument/2006/relationships/hyperlink" Target="https://techcombank.com/thong-tin/blog/lai-suat-la-gi" TargetMode="External"/><Relationship Id="rId152" Type="http://schemas.openxmlformats.org/officeDocument/2006/relationships/hyperlink" Target="https://techcombank.com/thong-tin/blog/lai-suat-cho-vay-doanh-nghiep" TargetMode="External"/><Relationship Id="rId151" Type="http://schemas.openxmlformats.org/officeDocument/2006/relationships/hyperlink" Target="https://techcombank.com/thong-tin/blog/kiem-tra-ma-so-thue-doanh-nghiep" TargetMode="External"/><Relationship Id="rId158" Type="http://schemas.openxmlformats.org/officeDocument/2006/relationships/hyperlink" Target="https://techcombank.com/thong-tin/blog/loi-nhuan" TargetMode="External"/><Relationship Id="rId157" Type="http://schemas.openxmlformats.org/officeDocument/2006/relationships/hyperlink" Target="https://techcombank.com/thong-tin/blog/lai-suat-vay-tieu-dung" TargetMode="External"/><Relationship Id="rId156" Type="http://schemas.openxmlformats.org/officeDocument/2006/relationships/hyperlink" Target="https://techcombank.com/thong-tin/blog/lai-suat-vay-ngan-hang" TargetMode="External"/><Relationship Id="rId155" Type="http://schemas.openxmlformats.org/officeDocument/2006/relationships/hyperlink" Target="https://techcombank.com/thong-tin/blog/lai-suat-vay-mua-o-to" TargetMode="External"/><Relationship Id="rId107" Type="http://schemas.openxmlformats.org/officeDocument/2006/relationships/hyperlink" Target="https://techcombank.com/thong-tin/blog/no-xau-co-vay-the-chap-duoc-khong" TargetMode="External"/><Relationship Id="rId106" Type="http://schemas.openxmlformats.org/officeDocument/2006/relationships/hyperlink" Target="https://techcombank.com/thong-tin/blog/no-nhom-3" TargetMode="External"/><Relationship Id="rId105" Type="http://schemas.openxmlformats.org/officeDocument/2006/relationships/hyperlink" Target="https://techcombank.com/thong-tin/blog/mobile-banking-la-gi" TargetMode="External"/><Relationship Id="rId104" Type="http://schemas.openxmlformats.org/officeDocument/2006/relationships/hyperlink" Target="https://techcombank.com/thong-tin/blog/lai-suat-vay-thau-chi" TargetMode="External"/><Relationship Id="rId109" Type="http://schemas.openxmlformats.org/officeDocument/2006/relationships/hyperlink" Target="https://techcombank.com/thong-tin/blog/nop-thue-hai-quan" TargetMode="External"/><Relationship Id="rId108" Type="http://schemas.openxmlformats.org/officeDocument/2006/relationships/hyperlink" Target="https://techcombank.com/thong-tin/blog/no-xau-nhom-2" TargetMode="External"/><Relationship Id="rId103" Type="http://schemas.openxmlformats.org/officeDocument/2006/relationships/hyperlink" Target="https://techcombank.com/thong-tin/blog/lai-suat-tiet-kiem" TargetMode="External"/><Relationship Id="rId102" Type="http://schemas.openxmlformats.org/officeDocument/2006/relationships/hyperlink" Target="https://techcombank.com/thong-tin/blog/lai-suat-qua-han" TargetMode="External"/><Relationship Id="rId101" Type="http://schemas.openxmlformats.org/officeDocument/2006/relationships/hyperlink" Target="https://techcombank.com/thong-tin/blog/lai-suat-chung-chi-quy" TargetMode="External"/><Relationship Id="rId100" Type="http://schemas.openxmlformats.org/officeDocument/2006/relationships/hyperlink" Target="https://techcombank.com/thong-tin/blog/kinh-nghiem-vay-tien-ngan-hang-xay-nha" TargetMode="External"/><Relationship Id="rId129" Type="http://schemas.openxmlformats.org/officeDocument/2006/relationships/hyperlink" Target="https://techcombank.com/thong-tin/blog/vay-von-doanh-nghiep-nho" TargetMode="External"/><Relationship Id="rId128" Type="http://schemas.openxmlformats.org/officeDocument/2006/relationships/hyperlink" Target="https://techcombank.com/thong-tin/blog/vay-tin-chap-toi-da-duoc-bao-nhieu" TargetMode="External"/><Relationship Id="rId127" Type="http://schemas.openxmlformats.org/officeDocument/2006/relationships/hyperlink" Target="https://techcombank.com/thong-tin/blog/vay-tin-chap-theo-luong" TargetMode="External"/><Relationship Id="rId126" Type="http://schemas.openxmlformats.org/officeDocument/2006/relationships/hyperlink" Target="https://techcombank.com/thong-tin/blog/vay-tin-chap-no-xau" TargetMode="External"/><Relationship Id="rId121" Type="http://schemas.openxmlformats.org/officeDocument/2006/relationships/hyperlink" Target="https://techcombank.com/thong-tin/blog/vay-mua-nha-o-xa-hoi" TargetMode="External"/><Relationship Id="rId120" Type="http://schemas.openxmlformats.org/officeDocument/2006/relationships/hyperlink" Target="https://techcombank.com/thong-tin/blog/vay-du-hoc" TargetMode="External"/><Relationship Id="rId125" Type="http://schemas.openxmlformats.org/officeDocument/2006/relationships/hyperlink" Target="https://techcombank.com/thong-tin/blog/vay-tin-chap-la-gi" TargetMode="External"/><Relationship Id="rId124" Type="http://schemas.openxmlformats.org/officeDocument/2006/relationships/hyperlink" Target="https://techcombank.com/thong-tin/blog/vay-tien-mat" TargetMode="External"/><Relationship Id="rId123" Type="http://schemas.openxmlformats.org/officeDocument/2006/relationships/hyperlink" Target="https://techcombank.com/thong-tin/blog/vay-the-chap-xe-o-to-cu" TargetMode="External"/><Relationship Id="rId122" Type="http://schemas.openxmlformats.org/officeDocument/2006/relationships/hyperlink" Target="https://techcombank.com/thong-tin/blog/vay-sinh-vien" TargetMode="External"/><Relationship Id="rId118" Type="http://schemas.openxmlformats.org/officeDocument/2006/relationships/hyperlink" Target="https://techcombank.com/thong-tin/blog/tra-cuu-no-thue-doanh-nghiep" TargetMode="External"/><Relationship Id="rId117" Type="http://schemas.openxmlformats.org/officeDocument/2006/relationships/hyperlink" Target="https://techcombank.com/thong-tin/blog/tra-cuu-no-thue-ca-nhan" TargetMode="External"/><Relationship Id="rId116" Type="http://schemas.openxmlformats.org/officeDocument/2006/relationships/hyperlink" Target="https://techcombank.com/thong-tin/blog/thue-phi-co-dinh-khi-chuyen-doi-tu-ho-kinh-doanh-len-doanh-nghiep" TargetMode="External"/><Relationship Id="rId115" Type="http://schemas.openxmlformats.org/officeDocument/2006/relationships/hyperlink" Target="https://techcombank.com/thong-tin/blog/thue-khoan-ho-kinh-doanh-la-gi" TargetMode="External"/><Relationship Id="rId119" Type="http://schemas.openxmlformats.org/officeDocument/2006/relationships/hyperlink" Target="https://techcombank.com/thong-tin/blog/vay-30-trieu" TargetMode="External"/><Relationship Id="rId110" Type="http://schemas.openxmlformats.org/officeDocument/2006/relationships/hyperlink" Target="https://techcombank.com/thong-tin/blog/rui-ro-khi-vay-the-chap-ngan-hang" TargetMode="External"/><Relationship Id="rId114" Type="http://schemas.openxmlformats.org/officeDocument/2006/relationships/hyperlink" Target="https://techcombank.com/thong-tin/blog/the-tin-dung-quoc-te" TargetMode="External"/><Relationship Id="rId113" Type="http://schemas.openxmlformats.org/officeDocument/2006/relationships/hyperlink" Target="https://techcombank.com/thong-tin/blog/tat-toan-so-tiet-kiem" TargetMode="External"/><Relationship Id="rId112" Type="http://schemas.openxmlformats.org/officeDocument/2006/relationships/hyperlink" Target="https://techcombank.com/thong-tin/blog/so-tai-khoan-ngan-hang" TargetMode="External"/><Relationship Id="rId111" Type="http://schemas.openxmlformats.org/officeDocument/2006/relationships/hyperlink" Target="https://techcombank.com/thong-tin/blog/so-sanh-gui-tiet-kiem-online-va-tai-quay"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techcombank.com/thong-tin/blog/1-dong-do-la-my-bang-bao-nhieu-tien-viet-nam" TargetMode="External"/><Relationship Id="rId42" Type="http://schemas.openxmlformats.org/officeDocument/2006/relationships/hyperlink" Target="https://techcombank.com/thong-tin/blog/1-yen-bang-bao-nhieu-tien-viet-nam" TargetMode="External"/><Relationship Id="rId41" Type="http://schemas.openxmlformats.org/officeDocument/2006/relationships/hyperlink" Target="https://techcombank.com/thong-tin/blog/tien-nhat" TargetMode="External"/><Relationship Id="rId44" Type="http://schemas.openxmlformats.org/officeDocument/2006/relationships/hyperlink" Target="https://techcombank.com/thong-tin/blog/tien-dai-loan" TargetMode="External"/><Relationship Id="rId43" Type="http://schemas.openxmlformats.org/officeDocument/2006/relationships/hyperlink" Target="https://techcombank.com/thong-tin/blog/1-won-bang-bao-nhieu-tien-viet" TargetMode="External"/><Relationship Id="rId46" Type="http://schemas.openxmlformats.org/officeDocument/2006/relationships/hyperlink" Target="https://techcombank.com/thong-tin/blog/tien-thai-lan" TargetMode="External"/><Relationship Id="rId45" Type="http://schemas.openxmlformats.org/officeDocument/2006/relationships/hyperlink" Target="https://techcombank.com/thong-tin/blog/1-man-bang-bao-nhieu-tien-viet" TargetMode="External"/><Relationship Id="rId48" Type="http://schemas.openxmlformats.org/officeDocument/2006/relationships/hyperlink" Target="https://techcombank.com/thong-tin/blog/1000-won-bang-bao-nhieu-tien-viet" TargetMode="External"/><Relationship Id="rId47" Type="http://schemas.openxmlformats.org/officeDocument/2006/relationships/hyperlink" Target="https://techcombank.com/thong-tin/blog/1-trieu-do-bang-bao-nhieu-tien-viet" TargetMode="External"/><Relationship Id="rId49" Type="http://schemas.openxmlformats.org/officeDocument/2006/relationships/hyperlink" Target="https://techcombank.com/thong-tin/blog/cach-nhan-tien-tu-nuoc-ngoai-ve-viet-nam" TargetMode="External"/><Relationship Id="rId31" Type="http://schemas.openxmlformats.org/officeDocument/2006/relationships/hyperlink" Target="https://techcombank.com/thong-tin/blog/lam-the-tin-dung" TargetMode="External"/><Relationship Id="rId30" Type="http://schemas.openxmlformats.org/officeDocument/2006/relationships/hyperlink" Target="https://techcombank.com/thong-tin/blog/rut-tien-mat-tu-the-tin-dung" TargetMode="External"/><Relationship Id="rId33" Type="http://schemas.openxmlformats.org/officeDocument/2006/relationships/hyperlink" Target="https://techcombank.com/thong-tin/blog/the-tin-dung-hoan-tien" TargetMode="External"/><Relationship Id="rId32" Type="http://schemas.openxmlformats.org/officeDocument/2006/relationships/hyperlink" Target="https://techcombank.com/khach-hang-ca-nhan/chi-tieu/the/the-tin-dung/techcombank-everyday" TargetMode="External"/><Relationship Id="rId35" Type="http://schemas.openxmlformats.org/officeDocument/2006/relationships/hyperlink" Target="https://techcombank.com/thong-tin/blog/xep-hang-tin-dung" TargetMode="External"/><Relationship Id="rId34" Type="http://schemas.openxmlformats.org/officeDocument/2006/relationships/hyperlink" Target="https://techcombank.com/thong-tin/blog/cach-huy-the-tin-dung" TargetMode="External"/><Relationship Id="rId37" Type="http://schemas.openxmlformats.org/officeDocument/2006/relationships/hyperlink" Target="https://techcombank.com/thong-tin/blog/chung-chi-tien-gui-la-gi" TargetMode="External"/><Relationship Id="rId36" Type="http://schemas.openxmlformats.org/officeDocument/2006/relationships/hyperlink" Target="https://techcombank.com/thong-tin/blog/cach-thanh-toan-the-tin-dung" TargetMode="External"/><Relationship Id="rId39" Type="http://schemas.openxmlformats.org/officeDocument/2006/relationships/hyperlink" Target="https://techcombank.com/thong-tin/blog/1-te-bang-bao-nhieu-tien-viet-nam" TargetMode="External"/><Relationship Id="rId38" Type="http://schemas.openxmlformats.org/officeDocument/2006/relationships/hyperlink" Target="https://techcombank.com/thong-tin/blog/lai-suat-chung-chi-tien-gui-cac-ngan-hang" TargetMode="External"/><Relationship Id="rId20" Type="http://schemas.openxmlformats.org/officeDocument/2006/relationships/hyperlink" Target="https://techcombank.com/thong-tin/blog/nap-tien-vao-tai-khoan-ngan-hang" TargetMode="External"/><Relationship Id="rId22" Type="http://schemas.openxmlformats.org/officeDocument/2006/relationships/hyperlink" Target="https://techcombank.com/thong-tin/blog/day-so-phat-tai-phat-loc" TargetMode="External"/><Relationship Id="rId21" Type="http://schemas.openxmlformats.org/officeDocument/2006/relationships/hyperlink" Target="https://techcombank.com/thong-tin/blog/cach-sao-ke-tai-khoan-ngan-hang" TargetMode="External"/><Relationship Id="rId24" Type="http://schemas.openxmlformats.org/officeDocument/2006/relationships/hyperlink" Target="https://techcombank.com/thong-tin/blog/ten-dang-nhap-tai-khoan-ngan-hang-la-gi" TargetMode="External"/><Relationship Id="rId23" Type="http://schemas.openxmlformats.org/officeDocument/2006/relationships/hyperlink" Target="https://techcombank.com/thong-tin/blog/kiem-tra-thue-thu-nhap-ca-nhan" TargetMode="External"/><Relationship Id="rId26" Type="http://schemas.openxmlformats.org/officeDocument/2006/relationships/hyperlink" Target="https://techcombank.com/thong-tin/blog/rut-tien-bang-ma-qr-la-gi-cach-thuc-hien-nhu-the-nao" TargetMode="External"/><Relationship Id="rId25" Type="http://schemas.openxmlformats.org/officeDocument/2006/relationships/hyperlink" Target="https://techcombank.com/thong-tin/blog/thue-thu-nhap-ca-nhan" TargetMode="External"/><Relationship Id="rId28" Type="http://schemas.openxmlformats.org/officeDocument/2006/relationships/hyperlink" Target="https://techcombank.com/thong-tin/blog/eco-card" TargetMode="External"/><Relationship Id="rId27" Type="http://schemas.openxmlformats.org/officeDocument/2006/relationships/hyperlink" Target="https://techcombank.com/thong-tin/blog/cach-quet-nfc-cccd-tren-iphone" TargetMode="External"/><Relationship Id="rId29" Type="http://schemas.openxmlformats.org/officeDocument/2006/relationships/hyperlink" Target="https://techcombank.com/thong-tin/blog/cic-la-gi" TargetMode="External"/><Relationship Id="rId11" Type="http://schemas.openxmlformats.org/officeDocument/2006/relationships/hyperlink" Target="https://techcombank.com/thong-tin/blog/cach-tinh-tien-dien-sinh-hoat" TargetMode="External"/><Relationship Id="rId10" Type="http://schemas.openxmlformats.org/officeDocument/2006/relationships/hyperlink" Target="https://techcombank.com/thong-tin/blog/cach-nap-the-viettel" TargetMode="External"/><Relationship Id="rId13" Type="http://schemas.openxmlformats.org/officeDocument/2006/relationships/hyperlink" Target="https://techcombank.com/thong-tin/blog/cach-kiem-tra-tai-khoan-ngan-hang" TargetMode="External"/><Relationship Id="rId12" Type="http://schemas.openxmlformats.org/officeDocument/2006/relationships/hyperlink" Target="https://techcombank.com/thong-tin/blog/cach-tinh-thue-thu-nhap-ca-nhan-2025" TargetMode="External"/><Relationship Id="rId15" Type="http://schemas.openxmlformats.org/officeDocument/2006/relationships/hyperlink" Target="https://techcombank.com/thong-tin/blog/ngan-hang-uy-tin" TargetMode="External"/><Relationship Id="rId14" Type="http://schemas.openxmlformats.org/officeDocument/2006/relationships/hyperlink" Target="https://techcombank.com/thong-tin/blog/cach-mo-tai-khoan" TargetMode="External"/><Relationship Id="rId17" Type="http://schemas.openxmlformats.org/officeDocument/2006/relationships/hyperlink" Target="https://techcombank.com/thong-tin/blog/bao-nhieu-tuoi-duoc-mo-tai-khoan-ngan-hang" TargetMode="External"/><Relationship Id="rId16" Type="http://schemas.openxmlformats.org/officeDocument/2006/relationships/hyperlink" Target="https://techcombank.com/thong-tin/blog/chuyen-khoan-thanh-cong-nhung-khong-nhan-duoc-tien" TargetMode="External"/><Relationship Id="rId19" Type="http://schemas.openxmlformats.org/officeDocument/2006/relationships/hyperlink" Target="https://techcombank.com/thong-tin/blog/mo-tai-khoan-ngan-hang-duoi-18-tuoi" TargetMode="External"/><Relationship Id="rId18" Type="http://schemas.openxmlformats.org/officeDocument/2006/relationships/hyperlink" Target="https://techcombank.com/thong-tin/blog/cach-mo-tai-khoan" TargetMode="External"/><Relationship Id="rId73" Type="http://schemas.openxmlformats.org/officeDocument/2006/relationships/hyperlink" Target="https://techcombank.com/thong-tin/blog/nen-vay-tin-chap-o-dau" TargetMode="External"/><Relationship Id="rId72" Type="http://schemas.openxmlformats.org/officeDocument/2006/relationships/hyperlink" Target="https://techcombank.com/thong-tin/blog/kiem-tra-no-xau" TargetMode="External"/><Relationship Id="rId75" Type="http://schemas.openxmlformats.org/officeDocument/2006/relationships/hyperlink" Target="https://techcombank.com/thong-tin/blog/vay-tin-chap-khong-tra-duoc-co-sao-khong" TargetMode="External"/><Relationship Id="rId74" Type="http://schemas.openxmlformats.org/officeDocument/2006/relationships/hyperlink" Target="https://techcombank.com/thong-tin/blog/no-xau-la-gi" TargetMode="External"/><Relationship Id="rId77" Type="http://schemas.openxmlformats.org/officeDocument/2006/relationships/drawing" Target="../drawings/drawing6.xml"/><Relationship Id="rId76" Type="http://schemas.openxmlformats.org/officeDocument/2006/relationships/hyperlink" Target="https://techcombank.com/thong-tin/blog/phuong-phap-dau-tu-chung-chi-quy" TargetMode="External"/><Relationship Id="rId71" Type="http://schemas.openxmlformats.org/officeDocument/2006/relationships/hyperlink" Target="https://techcombank.com/thong-tin/blog/vay-thau-chi-la-gi" TargetMode="External"/><Relationship Id="rId70" Type="http://schemas.openxmlformats.org/officeDocument/2006/relationships/hyperlink" Target="https://techcombank.com/thong-tin/blog/lai-suat-vay-ngan-hang" TargetMode="External"/><Relationship Id="rId62" Type="http://schemas.openxmlformats.org/officeDocument/2006/relationships/hyperlink" Target="https://techcombank.com/thong-tin/blog/cach-tinh-lai-suat-tien-gui-tiet-kiem" TargetMode="External"/><Relationship Id="rId61" Type="http://schemas.openxmlformats.org/officeDocument/2006/relationships/hyperlink" Target="https://techcombank.com/thong-tin/blog/lai-suat-tiet-kiem" TargetMode="External"/><Relationship Id="rId64" Type="http://schemas.openxmlformats.org/officeDocument/2006/relationships/hyperlink" Target="https://techcombank.com/thong-tin/blog/so-tiet-kiem-ngan-hang" TargetMode="External"/><Relationship Id="rId63" Type="http://schemas.openxmlformats.org/officeDocument/2006/relationships/hyperlink" Target="https://techcombank.com/thong-tin/blog/rut-tien-tiet-kiem-truoc-thoi-han" TargetMode="External"/><Relationship Id="rId66" Type="http://schemas.openxmlformats.org/officeDocument/2006/relationships/hyperlink" Target="https://techcombank.com/thong-tin/blog/rui-ro-khi-gui-tiet-kiem-online" TargetMode="External"/><Relationship Id="rId65" Type="http://schemas.openxmlformats.org/officeDocument/2006/relationships/hyperlink" Target="https://techcombank.com/thong-tin/blog/cach-tiet-kiem-tien" TargetMode="External"/><Relationship Id="rId68" Type="http://schemas.openxmlformats.org/officeDocument/2006/relationships/hyperlink" Target="https://techcombank.com/cong-cu-tien-ich/cong-cu-tinh-toan/bang-tinh-lai-suat-tiet-kiem" TargetMode="External"/><Relationship Id="rId67" Type="http://schemas.openxmlformats.org/officeDocument/2006/relationships/hyperlink" Target="https://techcombank.com/cong-cu-tien-ich/cong-cu-tinh-toan/bang-tinh-lai-suat-vay" TargetMode="External"/><Relationship Id="rId60" Type="http://schemas.openxmlformats.org/officeDocument/2006/relationships/hyperlink" Target="https://techcombank.com/thong-tin/blog/ho-so-thu-tuc-xoa-the-chap" TargetMode="External"/><Relationship Id="rId69" Type="http://schemas.openxmlformats.org/officeDocument/2006/relationships/hyperlink" Target="https://techcombank.com/thong-tin/blog/app-vay-tien-nhanh" TargetMode="External"/><Relationship Id="rId51" Type="http://schemas.openxmlformats.org/officeDocument/2006/relationships/hyperlink" Target="https://techcombank.com/thong-tin/blog/vay-ngan-hang-1-ty-moi-thang-tra-bao-nhieu" TargetMode="External"/><Relationship Id="rId50" Type="http://schemas.openxmlformats.org/officeDocument/2006/relationships/hyperlink" Target="https://techcombank.com/thong-tin/blog/doi-tien-do-o-dau" TargetMode="External"/><Relationship Id="rId53" Type="http://schemas.openxmlformats.org/officeDocument/2006/relationships/hyperlink" Target="https://techcombank.com/thong-tin/blog/ho-kinh-doanh-dong-thue-nhu-nao" TargetMode="External"/><Relationship Id="rId52" Type="http://schemas.openxmlformats.org/officeDocument/2006/relationships/hyperlink" Target="https://techcombank.com/thong-tin/blog/traveloka-voucher" TargetMode="External"/><Relationship Id="rId55" Type="http://schemas.openxmlformats.org/officeDocument/2006/relationships/hyperlink" Target="https://techcombank.com/thong-tin/blog/gui-ma-qr-ngan-hang" TargetMode="External"/><Relationship Id="rId54" Type="http://schemas.openxmlformats.org/officeDocument/2006/relationships/hyperlink" Target="https://techcombank.com/thong-tin/blog/mo-hinh-kinh-doanh-la-gi" TargetMode="External"/><Relationship Id="rId57" Type="http://schemas.openxmlformats.org/officeDocument/2006/relationships/hyperlink" Target="https://techcombank.com/thong-tin/blog/cach-tinh-thue-ho-kinh-doanh-nho-le" TargetMode="External"/><Relationship Id="rId56" Type="http://schemas.openxmlformats.org/officeDocument/2006/relationships/hyperlink" Target="https://techcombank.com/thong-tin/blog/mo-tai-khoan-ho-kinh-doanh" TargetMode="External"/><Relationship Id="rId59" Type="http://schemas.openxmlformats.org/officeDocument/2006/relationships/hyperlink" Target="https://techcombank.com/thong-tin/blog/lai-suat-vay-the-chap-so-do" TargetMode="External"/><Relationship Id="rId58" Type="http://schemas.openxmlformats.org/officeDocument/2006/relationships/hyperlink" Target="https://techcombank.com/thong-tin/blog/cach-tinh-lai-vay-ngan-hang" TargetMode="External"/><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nop-thue-dat-qua-ngan-hang" TargetMode="External"/><Relationship Id="rId3" Type="http://schemas.openxmlformats.org/officeDocument/2006/relationships/hyperlink" Target="https://techcombank.com/thong-tin/blog/cach-nop-thue-dien-tu" TargetMode="External"/><Relationship Id="rId4" Type="http://schemas.openxmlformats.org/officeDocument/2006/relationships/hyperlink" Target="https://techcombank.com/thong-tin/blog/thue-thu-nhap-doanh-nghiep" TargetMode="External"/><Relationship Id="rId9" Type="http://schemas.openxmlformats.org/officeDocument/2006/relationships/hyperlink" Target="https://techcombank.com/thong-tin/blog/cach-tinh-thue-thu-nhap-doanh-nghiep" TargetMode="External"/><Relationship Id="rId5" Type="http://schemas.openxmlformats.org/officeDocument/2006/relationships/hyperlink" Target="https://techcombank.com/thong-tin/blog/thue-vat-la-gi" TargetMode="External"/><Relationship Id="rId6" Type="http://schemas.openxmlformats.org/officeDocument/2006/relationships/hyperlink" Target="https://techcombank.com/thong-tin/blog/tra-cuu-no-thue-doanh-nghiep" TargetMode="External"/><Relationship Id="rId7" Type="http://schemas.openxmlformats.org/officeDocument/2006/relationships/hyperlink" Target="https://techcombank.com/thong-tin/blog/thue-doanh-nghiep" TargetMode="External"/><Relationship Id="rId8" Type="http://schemas.openxmlformats.org/officeDocument/2006/relationships/hyperlink" Target="https://techcombank.com/thong-tin/blog/cong-ty-su-dung-tai-khoan-ca-nhan"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techcombank.com/thong-tin/blog/cach-tinh-lai-suat-tien-gui-tiet-kiem" TargetMode="External"/><Relationship Id="rId42" Type="http://schemas.openxmlformats.org/officeDocument/2006/relationships/hyperlink" Target="https://techcombank.com/thong-tin/blog/cach-tinh-lai-suat-tien-gui-tiet-kiem" TargetMode="External"/><Relationship Id="rId41" Type="http://schemas.openxmlformats.org/officeDocument/2006/relationships/hyperlink" Target="https://techcombank.com/thong-tin/blog/cach-tinh-lai-suat-tien-gui-tiet-kiem" TargetMode="External"/><Relationship Id="rId44" Type="http://schemas.openxmlformats.org/officeDocument/2006/relationships/hyperlink" Target="https://techcombank.com/cong-cu-tien-ich/cong-cu-tinh-toan/bang-tinh-lai-suat-vay" TargetMode="External"/><Relationship Id="rId43" Type="http://schemas.openxmlformats.org/officeDocument/2006/relationships/hyperlink" Target="https://techcombank.com/cong-cu-tien-ich/cong-cu-tinh-toan/bang-tinh-lai-suat-vay" TargetMode="External"/><Relationship Id="rId46" Type="http://schemas.openxmlformats.org/officeDocument/2006/relationships/hyperlink" Target="https://techcombank.com/thong-tin/blog/nop-thue-dat-qua-ngan-hang" TargetMode="External"/><Relationship Id="rId45" Type="http://schemas.openxmlformats.org/officeDocument/2006/relationships/hyperlink" Target="https://techcombank.com/cong-cu-tien-ich/cong-cu-tinh-toan/bang-tinh-lai-suat-vay" TargetMode="External"/><Relationship Id="rId48" Type="http://schemas.openxmlformats.org/officeDocument/2006/relationships/hyperlink" Target="https://techcombank.com/thong-tin/blog/nop-thue-dat-qua-ngan-hang" TargetMode="External"/><Relationship Id="rId47" Type="http://schemas.openxmlformats.org/officeDocument/2006/relationships/hyperlink" Target="https://techcombank.com/thong-tin/blog/nop-thue-dat-qua-ngan-hang" TargetMode="External"/><Relationship Id="rId49" Type="http://schemas.openxmlformats.org/officeDocument/2006/relationships/hyperlink" Target="https://techcombank.com/thong-tin/blog/lai-suat-vay-ngan-hang" TargetMode="External"/><Relationship Id="rId31" Type="http://schemas.openxmlformats.org/officeDocument/2006/relationships/hyperlink" Target="https://techcombank.com/thong-tin/blog/app-vay-tien-nhanh" TargetMode="External"/><Relationship Id="rId30" Type="http://schemas.openxmlformats.org/officeDocument/2006/relationships/hyperlink" Target="https://techcombank.com/thong-tin/blog/app-vay-tien-nhanh" TargetMode="External"/><Relationship Id="rId33" Type="http://schemas.openxmlformats.org/officeDocument/2006/relationships/hyperlink" Target="https://techcombank.com/thong-tin/blog/app-vay-tien-nhanh" TargetMode="External"/><Relationship Id="rId32" Type="http://schemas.openxmlformats.org/officeDocument/2006/relationships/hyperlink" Target="https://techcombank.com/thong-tin/blog/app-vay-tien-nhanh" TargetMode="External"/><Relationship Id="rId35" Type="http://schemas.openxmlformats.org/officeDocument/2006/relationships/hyperlink" Target="https://techcombank.com/thong-tin/blog/cach-tinh-lai-suat-tien-gui-tiet-kiem" TargetMode="External"/><Relationship Id="rId34" Type="http://schemas.openxmlformats.org/officeDocument/2006/relationships/hyperlink" Target="https://techcombank.com/thong-tin/blog/app-vay-tien-nhanh" TargetMode="External"/><Relationship Id="rId37" Type="http://schemas.openxmlformats.org/officeDocument/2006/relationships/hyperlink" Target="https://techcombank.com/thong-tin/blog/cach-tinh-lai-suat-tien-gui-tiet-kiem" TargetMode="External"/><Relationship Id="rId36" Type="http://schemas.openxmlformats.org/officeDocument/2006/relationships/hyperlink" Target="https://techcombank.com/thong-tin/blog/cach-tinh-lai-suat-tien-gui-tiet-kiem" TargetMode="External"/><Relationship Id="rId39" Type="http://schemas.openxmlformats.org/officeDocument/2006/relationships/hyperlink" Target="https://techcombank.com/thong-tin/blog/cach-tinh-lai-suat-tien-gui-tiet-kiem" TargetMode="External"/><Relationship Id="rId38" Type="http://schemas.openxmlformats.org/officeDocument/2006/relationships/hyperlink" Target="https://techcombank.com/thong-tin/blog/cach-tinh-lai-suat-tien-gui-tiet-kiem" TargetMode="External"/><Relationship Id="rId20" Type="http://schemas.openxmlformats.org/officeDocument/2006/relationships/hyperlink" Target="https://techcombank.com/thong-tin/blog/app-vay-tien-nhanh" TargetMode="External"/><Relationship Id="rId22" Type="http://schemas.openxmlformats.org/officeDocument/2006/relationships/hyperlink" Target="https://techcombank.com/thong-tin/blog/app-vay-tien-nhanh" TargetMode="External"/><Relationship Id="rId21" Type="http://schemas.openxmlformats.org/officeDocument/2006/relationships/hyperlink" Target="https://techcombank.com/thong-tin/blog/app-vay-tien-nhanh" TargetMode="External"/><Relationship Id="rId24" Type="http://schemas.openxmlformats.org/officeDocument/2006/relationships/hyperlink" Target="https://techcombank.com/thong-tin/blog/app-vay-tien-nhanh" TargetMode="External"/><Relationship Id="rId23" Type="http://schemas.openxmlformats.org/officeDocument/2006/relationships/hyperlink" Target="https://techcombank.com/thong-tin/blog/app-vay-tien-nhanh" TargetMode="External"/><Relationship Id="rId26" Type="http://schemas.openxmlformats.org/officeDocument/2006/relationships/hyperlink" Target="https://techcombank.com/thong-tin/blog/app-vay-tien-nhanh" TargetMode="External"/><Relationship Id="rId25" Type="http://schemas.openxmlformats.org/officeDocument/2006/relationships/hyperlink" Target="https://techcombank.com/thong-tin/blog/app-vay-tien-nhanh" TargetMode="External"/><Relationship Id="rId28" Type="http://schemas.openxmlformats.org/officeDocument/2006/relationships/hyperlink" Target="https://techcombank.com/thong-tin/blog/app-vay-tien-nhanh" TargetMode="External"/><Relationship Id="rId27" Type="http://schemas.openxmlformats.org/officeDocument/2006/relationships/hyperlink" Target="https://techcombank.com/thong-tin/blog/app-vay-tien-nhanh" TargetMode="External"/><Relationship Id="rId29" Type="http://schemas.openxmlformats.org/officeDocument/2006/relationships/hyperlink" Target="https://techcombank.com/thong-tin/blog/app-vay-tien-nhanh" TargetMode="External"/><Relationship Id="rId11" Type="http://schemas.openxmlformats.org/officeDocument/2006/relationships/hyperlink" Target="https://techcombank.com/thong-tin/blog/lai-suat-tiet-kiem" TargetMode="External"/><Relationship Id="rId10" Type="http://schemas.openxmlformats.org/officeDocument/2006/relationships/hyperlink" Target="https://techcombank.com/thong-tin/blog/lai-suat-tiet-kiem" TargetMode="External"/><Relationship Id="rId13" Type="http://schemas.openxmlformats.org/officeDocument/2006/relationships/hyperlink" Target="https://techcombank.com/thong-tin/blog/lai-suat-tiet-kiem" TargetMode="External"/><Relationship Id="rId12" Type="http://schemas.openxmlformats.org/officeDocument/2006/relationships/hyperlink" Target="https://techcombank.com/thong-tin/blog/lai-suat-tiet-kiem" TargetMode="External"/><Relationship Id="rId15" Type="http://schemas.openxmlformats.org/officeDocument/2006/relationships/hyperlink" Target="https://techcombank.com/thong-tin/blog/cic-la-gi" TargetMode="External"/><Relationship Id="rId14" Type="http://schemas.openxmlformats.org/officeDocument/2006/relationships/hyperlink" Target="https://techcombank.com/thong-tin/blog/lai-suat-tiet-kiem" TargetMode="External"/><Relationship Id="rId17" Type="http://schemas.openxmlformats.org/officeDocument/2006/relationships/hyperlink" Target="https://techcombank.com/thong-tin/blog/cic-la-gi" TargetMode="External"/><Relationship Id="rId16" Type="http://schemas.openxmlformats.org/officeDocument/2006/relationships/hyperlink" Target="https://techcombank.com/thong-tin/blog/cic-la-gi" TargetMode="External"/><Relationship Id="rId19" Type="http://schemas.openxmlformats.org/officeDocument/2006/relationships/hyperlink" Target="https://techcombank.com/thong-tin/blog/cic-la-gi" TargetMode="External"/><Relationship Id="rId18" Type="http://schemas.openxmlformats.org/officeDocument/2006/relationships/hyperlink" Target="https://techcombank.com/thong-tin/blog/cic-la-gi" TargetMode="External"/><Relationship Id="rId80" Type="http://schemas.openxmlformats.org/officeDocument/2006/relationships/hyperlink" Target="https://techcombank.com/thong-tin/blog/cach-kiem-tra-tai-khoan-ngan-hang" TargetMode="External"/><Relationship Id="rId81" Type="http://schemas.openxmlformats.org/officeDocument/2006/relationships/drawing" Target="../drawings/drawing7.xml"/><Relationship Id="rId73" Type="http://schemas.openxmlformats.org/officeDocument/2006/relationships/hyperlink" Target="https://techcombank.com/thong-tin/blog/cach-nap-the-viettel" TargetMode="External"/><Relationship Id="rId72" Type="http://schemas.openxmlformats.org/officeDocument/2006/relationships/hyperlink" Target="https://techcombank.com/thong-tin/blog/cach-nop-thue-dien-tu" TargetMode="External"/><Relationship Id="rId75" Type="http://schemas.openxmlformats.org/officeDocument/2006/relationships/hyperlink" Target="https://techcombank.com/thong-tin/blog/cach-nap-the-viettel" TargetMode="External"/><Relationship Id="rId74" Type="http://schemas.openxmlformats.org/officeDocument/2006/relationships/hyperlink" Target="https://techcombank.com/thong-tin/blog/cach-nap-the-viettel" TargetMode="External"/><Relationship Id="rId77" Type="http://schemas.openxmlformats.org/officeDocument/2006/relationships/hyperlink" Target="https://techcombank.com/thong-tin/blog/cach-mo-tai-khoan" TargetMode="External"/><Relationship Id="rId76" Type="http://schemas.openxmlformats.org/officeDocument/2006/relationships/hyperlink" Target="https://techcombank.com/thong-tin/blog/cach-nap-the-viettel" TargetMode="External"/><Relationship Id="rId79" Type="http://schemas.openxmlformats.org/officeDocument/2006/relationships/hyperlink" Target="https://techcombank.com/thong-tin/blog/cach-kiem-tra-tai-khoan-ngan-hang" TargetMode="External"/><Relationship Id="rId78" Type="http://schemas.openxmlformats.org/officeDocument/2006/relationships/hyperlink" Target="https://techcombank.com/thong-tin/blog/cach-mo-tai-khoan" TargetMode="External"/><Relationship Id="rId71" Type="http://schemas.openxmlformats.org/officeDocument/2006/relationships/hyperlink" Target="https://techcombank.com/thong-tin/blog/cach-nop-thue-dien-tu" TargetMode="External"/><Relationship Id="rId70" Type="http://schemas.openxmlformats.org/officeDocument/2006/relationships/hyperlink" Target="https://techcombank.com/thong-tin/blog/cach-tinh-lai-vay-ngan-hang" TargetMode="External"/><Relationship Id="rId62" Type="http://schemas.openxmlformats.org/officeDocument/2006/relationships/hyperlink" Target="https://techcombank.com/thong-tin/blog/rut-tien-mat-tu-the-tin-dung" TargetMode="External"/><Relationship Id="rId61" Type="http://schemas.openxmlformats.org/officeDocument/2006/relationships/hyperlink" Target="https://techcombank.com/thong-tin/blog/rut-tien-mat-tu-the-tin-dung" TargetMode="External"/><Relationship Id="rId64" Type="http://schemas.openxmlformats.org/officeDocument/2006/relationships/hyperlink" Target="https://techcombank.com/thong-tin/blog/ho-kinh-doanh-dong-thue-nhu-nao" TargetMode="External"/><Relationship Id="rId63" Type="http://schemas.openxmlformats.org/officeDocument/2006/relationships/hyperlink" Target="https://techcombank.com/thong-tin/blog/ho-kinh-doanh-dong-thue-nhu-nao" TargetMode="External"/><Relationship Id="rId66" Type="http://schemas.openxmlformats.org/officeDocument/2006/relationships/hyperlink" Target="https://techcombank.com/thong-tin/blog/cach-tinh-tien-dien-sinh-hoat" TargetMode="External"/><Relationship Id="rId65" Type="http://schemas.openxmlformats.org/officeDocument/2006/relationships/hyperlink" Target="https://techcombank.com/thong-tin/blog/cach-tinh-tien-dien-sinh-hoat" TargetMode="External"/><Relationship Id="rId68" Type="http://schemas.openxmlformats.org/officeDocument/2006/relationships/hyperlink" Target="https://techcombank.com/thong-tin/blog/cach-tinh-thue-thu-nhap-ca-nhan-2025" TargetMode="External"/><Relationship Id="rId67" Type="http://schemas.openxmlformats.org/officeDocument/2006/relationships/hyperlink" Target="https://techcombank.com/thong-tin/blog/cach-tinh-thue-thu-nhap-ca-nhan-2025" TargetMode="External"/><Relationship Id="rId60" Type="http://schemas.openxmlformats.org/officeDocument/2006/relationships/hyperlink" Target="https://techcombank.com/thong-tin/blog/thue-thu-nhap-doanh-nghiep" TargetMode="External"/><Relationship Id="rId69" Type="http://schemas.openxmlformats.org/officeDocument/2006/relationships/hyperlink" Target="https://techcombank.com/thong-tin/blog/cach-tinh-lai-vay-ngan-hang" TargetMode="External"/><Relationship Id="rId51" Type="http://schemas.openxmlformats.org/officeDocument/2006/relationships/hyperlink" Target="https://techcombank.com/thong-tin/blog/lai-suat-vay-ngan-hang" TargetMode="External"/><Relationship Id="rId50" Type="http://schemas.openxmlformats.org/officeDocument/2006/relationships/hyperlink" Target="https://techcombank.com/thong-tin/blog/lai-suat-vay-ngan-hang" TargetMode="External"/><Relationship Id="rId53" Type="http://schemas.openxmlformats.org/officeDocument/2006/relationships/hyperlink" Target="https://techcombank.com/thong-tin/blog/lai-suat-vay-ngan-hang" TargetMode="External"/><Relationship Id="rId52" Type="http://schemas.openxmlformats.org/officeDocument/2006/relationships/hyperlink" Target="https://techcombank.com/thong-tin/blog/lai-suat-vay-ngan-hang" TargetMode="External"/><Relationship Id="rId55" Type="http://schemas.openxmlformats.org/officeDocument/2006/relationships/hyperlink" Target="https://techcombank.com/thong-tin/blog/vay-thau-chi-la-gi" TargetMode="External"/><Relationship Id="rId54" Type="http://schemas.openxmlformats.org/officeDocument/2006/relationships/hyperlink" Target="https://techcombank.com/thong-tin/blog/lai-suat-vay-ngan-hang" TargetMode="External"/><Relationship Id="rId57" Type="http://schemas.openxmlformats.org/officeDocument/2006/relationships/hyperlink" Target="https://techcombank.com/thong-tin/blog/vay-thau-chi-la-gi" TargetMode="External"/><Relationship Id="rId56" Type="http://schemas.openxmlformats.org/officeDocument/2006/relationships/hyperlink" Target="https://techcombank.com/thong-tin/blog/vay-thau-chi-la-gi" TargetMode="External"/><Relationship Id="rId59" Type="http://schemas.openxmlformats.org/officeDocument/2006/relationships/hyperlink" Target="https://techcombank.com/thong-tin/blog/thue-thu-nhap-doanh-nghiep" TargetMode="External"/><Relationship Id="rId58" Type="http://schemas.openxmlformats.org/officeDocument/2006/relationships/hyperlink" Target="https://techcombank.com/thong-tin/blog/vay-thau-chi-la-gi" TargetMode="External"/><Relationship Id="rId1" Type="http://schemas.openxmlformats.org/officeDocument/2006/relationships/hyperlink" Target="https://techcombank.com/thong-tin/blog/lai-suat-tiet-kiem" TargetMode="External"/><Relationship Id="rId2" Type="http://schemas.openxmlformats.org/officeDocument/2006/relationships/hyperlink" Target="https://techcombank.com/thong-tin/blog/lai-suat-tiet-kiem" TargetMode="External"/><Relationship Id="rId3" Type="http://schemas.openxmlformats.org/officeDocument/2006/relationships/hyperlink" Target="https://techcombank.com/thong-tin/blog/lai-suat-tiet-kiem" TargetMode="External"/><Relationship Id="rId4" Type="http://schemas.openxmlformats.org/officeDocument/2006/relationships/hyperlink" Target="https://techcombank.com/thong-tin/blog/lai-suat-tiet-kiem" TargetMode="External"/><Relationship Id="rId9" Type="http://schemas.openxmlformats.org/officeDocument/2006/relationships/hyperlink" Target="https://techcombank.com/thong-tin/blog/lai-suat-tiet-kiem" TargetMode="External"/><Relationship Id="rId5" Type="http://schemas.openxmlformats.org/officeDocument/2006/relationships/hyperlink" Target="https://techcombank.com/thong-tin/blog/lai-suat-tiet-kiem" TargetMode="External"/><Relationship Id="rId6" Type="http://schemas.openxmlformats.org/officeDocument/2006/relationships/hyperlink" Target="https://techcombank.com/thong-tin/blog/lai-suat-tiet-kiem" TargetMode="External"/><Relationship Id="rId7" Type="http://schemas.openxmlformats.org/officeDocument/2006/relationships/hyperlink" Target="https://techcombank.com/thong-tin/blog/lai-suat-tiet-kiem" TargetMode="External"/><Relationship Id="rId8" Type="http://schemas.openxmlformats.org/officeDocument/2006/relationships/hyperlink" Target="https://techcombank.com/thong-tin/blog/lai-suat-tiet-kiem" TargetMode="External"/></Relationships>
</file>

<file path=xl/worksheets/_rels/sheet8.xml.rels><?xml version="1.0" encoding="UTF-8" standalone="yes"?><Relationships xmlns="http://schemas.openxmlformats.org/package/2006/relationships"><Relationship Id="rId392" Type="http://schemas.openxmlformats.org/officeDocument/2006/relationships/hyperlink" Target="https://techcombank.com/thong-tin/blog/di-du-lich-nuoc-ngoai-can-chuan-bi-gi" TargetMode="External"/><Relationship Id="rId391" Type="http://schemas.openxmlformats.org/officeDocument/2006/relationships/hyperlink" Target="https://techcombank.com/thong-tin/blog/tien-thai-lan" TargetMode="External"/><Relationship Id="rId390" Type="http://schemas.openxmlformats.org/officeDocument/2006/relationships/hyperlink" Target="https://techcombank.com/thong-tin/blog/han-muc-mua-ngoai-te-khi-di-du-lich" TargetMode="External"/><Relationship Id="rId385" Type="http://schemas.openxmlformats.org/officeDocument/2006/relationships/hyperlink" Target="https://techcombank.com/thong-tin/blog/tien-thai-lan" TargetMode="External"/><Relationship Id="rId384" Type="http://schemas.openxmlformats.org/officeDocument/2006/relationships/hyperlink" Target="https://techcombank.com/thong-tin/blog/thanh-toan-khi-du-lich-nhat-ban" TargetMode="External"/><Relationship Id="rId383" Type="http://schemas.openxmlformats.org/officeDocument/2006/relationships/hyperlink" Target="https://techcombank.com/thong-tin/blog/1-man-bang-bao-nhieu-tien-viet" TargetMode="External"/><Relationship Id="rId382" Type="http://schemas.openxmlformats.org/officeDocument/2006/relationships/hyperlink" Target="https://techcombank.com/thong-tin/blog/chuyen-tien-tu-nhat-ve-viet-nam" TargetMode="External"/><Relationship Id="rId389" Type="http://schemas.openxmlformats.org/officeDocument/2006/relationships/hyperlink" Target="https://techcombank.com/thong-tin/blog/tien-thai-lan" TargetMode="External"/><Relationship Id="rId388" Type="http://schemas.openxmlformats.org/officeDocument/2006/relationships/hyperlink" Target="https://techcombank.com/thong-tin/blog/thanh-toan-qr-thai-lan" TargetMode="External"/><Relationship Id="rId387" Type="http://schemas.openxmlformats.org/officeDocument/2006/relationships/hyperlink" Target="https://techcombank.com/thong-tin/blog/tien-thai-lan" TargetMode="External"/><Relationship Id="rId386" Type="http://schemas.openxmlformats.org/officeDocument/2006/relationships/hyperlink" Target="https://techcombank.com/thong-tin/blog/thanh-toan-khi-du-lich-thai-lan" TargetMode="External"/><Relationship Id="rId381" Type="http://schemas.openxmlformats.org/officeDocument/2006/relationships/hyperlink" Target="https://techcombank.com/thong-tin/blog/1-man-bang-bao-nhieu-tien-viet" TargetMode="External"/><Relationship Id="rId380" Type="http://schemas.openxmlformats.org/officeDocument/2006/relationships/hyperlink" Target="https://techcombank.com/thong-tin/blog/1000-yen-bang-bao-nhieu-tien-viet" TargetMode="External"/><Relationship Id="rId379" Type="http://schemas.openxmlformats.org/officeDocument/2006/relationships/hyperlink" Target="https://techcombank.com/thong-tin/blog/1-man-bang-bao-nhieu-tien-viet" TargetMode="External"/><Relationship Id="rId374" Type="http://schemas.openxmlformats.org/officeDocument/2006/relationships/hyperlink" Target="https://techcombank.com/thong-tin/blog/han-muc-mua-ngoai-te-khi-di-du-lich" TargetMode="External"/><Relationship Id="rId373" Type="http://schemas.openxmlformats.org/officeDocument/2006/relationships/hyperlink" Target="https://techcombank.com/thong-tin/blog/tien-dai-loan" TargetMode="External"/><Relationship Id="rId372" Type="http://schemas.openxmlformats.org/officeDocument/2006/relationships/hyperlink" Target="https://techcombank.com/thong-tin/blog/ty-gia-cac-ngan-hang" TargetMode="External"/><Relationship Id="rId371" Type="http://schemas.openxmlformats.org/officeDocument/2006/relationships/hyperlink" Target="https://techcombank.com/thong-tin/blog/tien-dai-loan" TargetMode="External"/><Relationship Id="rId378" Type="http://schemas.openxmlformats.org/officeDocument/2006/relationships/hyperlink" Target="https://techcombank.com/thong-tin/blog/1-yen-bang-bao-nhieu-tien-viet-nam" TargetMode="External"/><Relationship Id="rId377" Type="http://schemas.openxmlformats.org/officeDocument/2006/relationships/hyperlink" Target="https://techcombank.com/thong-tin/blog/1-man-bang-bao-nhieu-tien-viet" TargetMode="External"/><Relationship Id="rId376" Type="http://schemas.openxmlformats.org/officeDocument/2006/relationships/hyperlink" Target="https://techcombank.com/thong-tin/blog/tien-nhat" TargetMode="External"/><Relationship Id="rId375" Type="http://schemas.openxmlformats.org/officeDocument/2006/relationships/hyperlink" Target="https://techcombank.com/thong-tin/blog/1-man-bang-bao-nhieu-tien-viet" TargetMode="External"/><Relationship Id="rId396" Type="http://schemas.openxmlformats.org/officeDocument/2006/relationships/hyperlink" Target="https://techcombank.com/thong-tin/blog/1-dong-do-la-my-bang-bao-nhieu-tien-viet-nam" TargetMode="External"/><Relationship Id="rId395" Type="http://schemas.openxmlformats.org/officeDocument/2006/relationships/hyperlink" Target="https://techcombank.com/thong-tin/blog/1-trieu-do-bang-bao-nhieu-tien-viet" TargetMode="External"/><Relationship Id="rId394" Type="http://schemas.openxmlformats.org/officeDocument/2006/relationships/hyperlink" Target="https://techcombank.com/thong-tin/blog/thanh-toan-bang-the-quoc-te" TargetMode="External"/><Relationship Id="rId393" Type="http://schemas.openxmlformats.org/officeDocument/2006/relationships/hyperlink" Target="https://techcombank.com/thong-tin/blog/tien-thai-lan" TargetMode="External"/><Relationship Id="rId399" Type="http://schemas.openxmlformats.org/officeDocument/2006/relationships/hyperlink" Target="https://techcombank.com/thong-tin/blog/1-trieu-do-bang-bao-nhieu-tien-viet" TargetMode="External"/><Relationship Id="rId398" Type="http://schemas.openxmlformats.org/officeDocument/2006/relationships/hyperlink" Target="https://techcombank.com/thong-tin/blog/high-net-worth-client-va-ultra-high-net-worth-client" TargetMode="External"/><Relationship Id="rId397" Type="http://schemas.openxmlformats.org/officeDocument/2006/relationships/hyperlink" Target="https://techcombank.com/thong-tin/blog/1-trieu-do-bang-bao-nhieu-tien-viet" TargetMode="External"/><Relationship Id="rId40" Type="http://schemas.openxmlformats.org/officeDocument/2006/relationships/hyperlink" Target="https://techcombank.com/thong-tin/blog/chuyen-doi-hoa-don-dien-tu" TargetMode="External"/><Relationship Id="rId42" Type="http://schemas.openxmlformats.org/officeDocument/2006/relationships/hyperlink" Target="https://techcombank.com/thong-tin/blog/thue-thuong-mai-dien-tu" TargetMode="External"/><Relationship Id="rId41" Type="http://schemas.openxmlformats.org/officeDocument/2006/relationships/hyperlink" Target="https://techcombank.com/thong-tin/blog/thue-vat-la-gi" TargetMode="External"/><Relationship Id="rId44" Type="http://schemas.openxmlformats.org/officeDocument/2006/relationships/hyperlink" Target="https://techcombank.com/thong-tin/blog/kiem-tra-ma-so-thue-doanh-nghiep" TargetMode="External"/><Relationship Id="rId43" Type="http://schemas.openxmlformats.org/officeDocument/2006/relationships/hyperlink" Target="https://techcombank.com/thong-tin/blog/tra-cuu-no-thue-doanh-nghiep" TargetMode="External"/><Relationship Id="rId46" Type="http://schemas.openxmlformats.org/officeDocument/2006/relationships/hyperlink" Target="https://techcombank.com/thong-tin/blog/tra-cuu-no-thue-hai-quan" TargetMode="External"/><Relationship Id="rId45" Type="http://schemas.openxmlformats.org/officeDocument/2006/relationships/hyperlink" Target="https://techcombank.com/thong-tin/blog/tra-cuu-no-thue-doanh-nghiep" TargetMode="External"/><Relationship Id="rId48" Type="http://schemas.openxmlformats.org/officeDocument/2006/relationships/hyperlink" Target="https://techcombank.com/thong-tin/blog/quyet-toan-thue-doanh-nghiep" TargetMode="External"/><Relationship Id="rId47" Type="http://schemas.openxmlformats.org/officeDocument/2006/relationships/hyperlink" Target="https://techcombank.com/thong-tin/blog/tra-cuu-no-thue-doanh-nghiep" TargetMode="External"/><Relationship Id="rId49" Type="http://schemas.openxmlformats.org/officeDocument/2006/relationships/hyperlink" Target="https://techcombank.com/thong-tin/blog/tra-cuu-no-thue-doanh-nghiep" TargetMode="External"/><Relationship Id="rId31" Type="http://schemas.openxmlformats.org/officeDocument/2006/relationships/hyperlink" Target="https://techcombank.com/thong-tin/blog/thue-thu-nhap-doanh-nghiep" TargetMode="External"/><Relationship Id="rId30" Type="http://schemas.openxmlformats.org/officeDocument/2006/relationships/hyperlink" Target="https://techcombank.com/thong-tin/blog/doanh-nghiep-moi-thanh-lap-duoc-uu-dai-gi" TargetMode="External"/><Relationship Id="rId33" Type="http://schemas.openxmlformats.org/officeDocument/2006/relationships/hyperlink" Target="https://techcombank.com/thong-tin/blog/thue-thu-nhap-doanh-nghiep" TargetMode="External"/><Relationship Id="rId32" Type="http://schemas.openxmlformats.org/officeDocument/2006/relationships/hyperlink" Target="https://techcombank.com/thong-tin/blog/loi-nhuan" TargetMode="External"/><Relationship Id="rId35" Type="http://schemas.openxmlformats.org/officeDocument/2006/relationships/hyperlink" Target="https://techcombank.com/thong-tin/blog/thue-vat-la-gi" TargetMode="External"/><Relationship Id="rId34" Type="http://schemas.openxmlformats.org/officeDocument/2006/relationships/hyperlink" Target="https://techcombank.com/thong-tin/blog/hoan-thue-doanh-nghiep" TargetMode="External"/><Relationship Id="rId37" Type="http://schemas.openxmlformats.org/officeDocument/2006/relationships/hyperlink" Target="https://techcombank.com/thong-tin/blog/thue-vat-la-gi" TargetMode="External"/><Relationship Id="rId36" Type="http://schemas.openxmlformats.org/officeDocument/2006/relationships/hyperlink" Target="https://techcombank.com/thong-tin/blog/ke-khai-thue-doanh-nghiep" TargetMode="External"/><Relationship Id="rId39" Type="http://schemas.openxmlformats.org/officeDocument/2006/relationships/hyperlink" Target="https://techcombank.com/thong-tin/blog/thue-vat-la-gi" TargetMode="External"/><Relationship Id="rId38" Type="http://schemas.openxmlformats.org/officeDocument/2006/relationships/hyperlink" Target="https://techcombank.com/thong-tin/blog/hoan-thue-doanh-nghiep" TargetMode="External"/><Relationship Id="rId20" Type="http://schemas.openxmlformats.org/officeDocument/2006/relationships/hyperlink" Target="https://techcombank.com/thong-tin/blog/ke-khai-thue-ho-kinh-doanh-ca-the-online" TargetMode="External"/><Relationship Id="rId22" Type="http://schemas.openxmlformats.org/officeDocument/2006/relationships/hyperlink" Target="https://techcombank.com/thong-tin/blog/hoan-thue-thu-nhap-ca-nhan" TargetMode="External"/><Relationship Id="rId21" Type="http://schemas.openxmlformats.org/officeDocument/2006/relationships/hyperlink" Target="https://techcombank.com/thong-tin/blog/cach-nop-thue-dien-tu" TargetMode="External"/><Relationship Id="rId24" Type="http://schemas.openxmlformats.org/officeDocument/2006/relationships/hyperlink" Target="https://techcombank.com/thong-tin/blog/nop-thue-hai-quan" TargetMode="External"/><Relationship Id="rId23" Type="http://schemas.openxmlformats.org/officeDocument/2006/relationships/hyperlink" Target="https://techcombank.com/thong-tin/blog/cach-nop-thue-dien-tu" TargetMode="External"/><Relationship Id="rId26" Type="http://schemas.openxmlformats.org/officeDocument/2006/relationships/hyperlink" Target="https://techcombank.com/thong-tin/blog/nhung-chi-phi-khong-duoc-tru-khi-tinh-thue-tndn" TargetMode="External"/><Relationship Id="rId25" Type="http://schemas.openxmlformats.org/officeDocument/2006/relationships/hyperlink" Target="https://techcombank.com/thong-tin/blog/thue-thu-nhap-doanh-nghiep" TargetMode="External"/><Relationship Id="rId28" Type="http://schemas.openxmlformats.org/officeDocument/2006/relationships/hyperlink" Target="https://techcombank.com/thong-tin/blog/quyet-toan-thue-doanh-nghiep" TargetMode="External"/><Relationship Id="rId27" Type="http://schemas.openxmlformats.org/officeDocument/2006/relationships/hyperlink" Target="https://techcombank.com/thong-tin/blog/thue-thu-nhap-doanh-nghiep" TargetMode="External"/><Relationship Id="rId29" Type="http://schemas.openxmlformats.org/officeDocument/2006/relationships/hyperlink" Target="https://techcombank.com/thong-tin/blog/thue-thu-nhap-doanh-nghiep" TargetMode="External"/><Relationship Id="rId11" Type="http://schemas.openxmlformats.org/officeDocument/2006/relationships/hyperlink" Target="https://techcombank.com/thong-tin/blog/nop-thue-dat-qua-ngan-hang" TargetMode="External"/><Relationship Id="rId10" Type="http://schemas.openxmlformats.org/officeDocument/2006/relationships/hyperlink" Target="https://techcombank.com/thong-tin/blog/vay-the-chap-xe-o-to-cu" TargetMode="External"/><Relationship Id="rId13" Type="http://schemas.openxmlformats.org/officeDocument/2006/relationships/hyperlink" Target="https://techcombank.com/thong-tin/blog/nop-thue-dat-qua-ngan-hang" TargetMode="External"/><Relationship Id="rId12" Type="http://schemas.openxmlformats.org/officeDocument/2006/relationships/hyperlink" Target="https://techcombank.com/thong-tin/blog/lien-ket-tai-khoan-ngan-hang-voi-etax-mobile" TargetMode="External"/><Relationship Id="rId15" Type="http://schemas.openxmlformats.org/officeDocument/2006/relationships/hyperlink" Target="https://techcombank.com/thong-tin/blog/cach-nop-thue-dien-tu" TargetMode="External"/><Relationship Id="rId14" Type="http://schemas.openxmlformats.org/officeDocument/2006/relationships/hyperlink" Target="https://techcombank.com/thong-tin/blog/cach-nop-thue-dien-tu" TargetMode="External"/><Relationship Id="rId17" Type="http://schemas.openxmlformats.org/officeDocument/2006/relationships/hyperlink" Target="https://techcombank.com/thong-tin/blog/cach-nop-thue-dien-tu" TargetMode="External"/><Relationship Id="rId16" Type="http://schemas.openxmlformats.org/officeDocument/2006/relationships/hyperlink" Target="https://techcombank.com/thong-tin/blog/lien-ket-tai-khoan-ngan-hang-voi-etax-mobile" TargetMode="External"/><Relationship Id="rId19" Type="http://schemas.openxmlformats.org/officeDocument/2006/relationships/hyperlink" Target="https://techcombank.com/thong-tin/blog/cach-nop-thue-dien-tu" TargetMode="External"/><Relationship Id="rId18" Type="http://schemas.openxmlformats.org/officeDocument/2006/relationships/hyperlink" Target="https://techcombank.com/thong-tin/blog/quyet-toan-thue-thu-nhap-ca-nhan" TargetMode="External"/><Relationship Id="rId84" Type="http://schemas.openxmlformats.org/officeDocument/2006/relationships/hyperlink" Target="https://techcombank.com/thong-tin/blog/cach-nap-the-vina" TargetMode="External"/><Relationship Id="rId83" Type="http://schemas.openxmlformats.org/officeDocument/2006/relationships/hyperlink" Target="https://techcombank.com/thong-tin/blog/cach-nap-the-viettel" TargetMode="External"/><Relationship Id="rId86" Type="http://schemas.openxmlformats.org/officeDocument/2006/relationships/hyperlink" Target="https://techcombank.com/thong-tin/blog/cach-nap-the-mobi" TargetMode="External"/><Relationship Id="rId85" Type="http://schemas.openxmlformats.org/officeDocument/2006/relationships/hyperlink" Target="https://techcombank.com/thong-tin/blog/cach-nap-the-viettel" TargetMode="External"/><Relationship Id="rId88" Type="http://schemas.openxmlformats.org/officeDocument/2006/relationships/hyperlink" Target="https://techcombank.com/thong-tin/blog/gia-dien-sinh-hoat" TargetMode="External"/><Relationship Id="rId87" Type="http://schemas.openxmlformats.org/officeDocument/2006/relationships/hyperlink" Target="https://techcombank.com/thong-tin/blog/cach-tinh-tien-dien-sinh-hoat" TargetMode="External"/><Relationship Id="rId89" Type="http://schemas.openxmlformats.org/officeDocument/2006/relationships/hyperlink" Target="https://techcombank.com/thong-tin/blog/cach-tinh-tien-dien-sinh-hoat" TargetMode="External"/><Relationship Id="rId80" Type="http://schemas.openxmlformats.org/officeDocument/2006/relationships/hyperlink" Target="https://techcombank.com/thong-tin/blog/nap-tien-dien-thoai-online" TargetMode="External"/><Relationship Id="rId82" Type="http://schemas.openxmlformats.org/officeDocument/2006/relationships/hyperlink" Target="https://techcombank.com/thong-tin/blog/thanh-toan-tra-sau-viettel-bang-tai-khoan-ngan-hang" TargetMode="External"/><Relationship Id="rId81" Type="http://schemas.openxmlformats.org/officeDocument/2006/relationships/hyperlink" Target="https://techcombank.com/thong-tin/blog/cach-nap-the-viettel" TargetMode="External"/><Relationship Id="rId73" Type="http://schemas.openxmlformats.org/officeDocument/2006/relationships/hyperlink" Target="https://techcombank.com/thong-tin/blog/cach-tinh-thue-thu-nhap-doanh-nghiep" TargetMode="External"/><Relationship Id="rId72" Type="http://schemas.openxmlformats.org/officeDocument/2006/relationships/hyperlink" Target="https://techcombank.com/thong-tin/blog/khau-hao" TargetMode="External"/><Relationship Id="rId75" Type="http://schemas.openxmlformats.org/officeDocument/2006/relationships/hyperlink" Target="https://techcombank.com/thong-tin/blog/cach-tinh-thue-thu-nhap-doanh-nghiep" TargetMode="External"/><Relationship Id="rId74" Type="http://schemas.openxmlformats.org/officeDocument/2006/relationships/hyperlink" Target="https://techcombank.com/thong-tin/blog/loi-nhuan-rong" TargetMode="External"/><Relationship Id="rId77" Type="http://schemas.openxmlformats.org/officeDocument/2006/relationships/hyperlink" Target="https://techcombank.com/thong-tin/blog/cach-nap-the-viettel" TargetMode="External"/><Relationship Id="rId76" Type="http://schemas.openxmlformats.org/officeDocument/2006/relationships/hyperlink" Target="https://techcombank.com/thong-tin/blog/cach-doc-bao-cao-tai-chinh" TargetMode="External"/><Relationship Id="rId79" Type="http://schemas.openxmlformats.org/officeDocument/2006/relationships/hyperlink" Target="https://techcombank.com/thong-tin/blog/cach-nap-the-viettel" TargetMode="External"/><Relationship Id="rId78" Type="http://schemas.openxmlformats.org/officeDocument/2006/relationships/hyperlink" Target="https://techcombank.com/thong-tin/blog/cach-nap-the" TargetMode="External"/><Relationship Id="rId71" Type="http://schemas.openxmlformats.org/officeDocument/2006/relationships/hyperlink" Target="https://techcombank.com/thong-tin/blog/cach-tinh-thue-thu-nhap-doanh-nghiep" TargetMode="External"/><Relationship Id="rId70" Type="http://schemas.openxmlformats.org/officeDocument/2006/relationships/hyperlink" Target="https://techcombank.com/thong-tin/blog/nhung-chi-phi-khong-duoc-tru-khi-tinh-thue-tndn" TargetMode="External"/><Relationship Id="rId62" Type="http://schemas.openxmlformats.org/officeDocument/2006/relationships/hyperlink" Target="https://techcombank.com/thong-tin/blog/mo-tai-khoan-doanh-nghiep" TargetMode="External"/><Relationship Id="rId61" Type="http://schemas.openxmlformats.org/officeDocument/2006/relationships/hyperlink" Target="https://techcombank.com/thong-tin/blog/cong-ty-su-dung-tai-khoan-ca-nhan" TargetMode="External"/><Relationship Id="rId64" Type="http://schemas.openxmlformats.org/officeDocument/2006/relationships/hyperlink" Target="https://techcombank.com/thong-tin/blog/luu-y-khi-chuyen-tien-vao-tai-khoan-cong-ty" TargetMode="External"/><Relationship Id="rId63" Type="http://schemas.openxmlformats.org/officeDocument/2006/relationships/hyperlink" Target="https://techcombank.com/thong-tin/blog/cong-ty-su-dung-tai-khoan-ca-nhan" TargetMode="External"/><Relationship Id="rId66" Type="http://schemas.openxmlformats.org/officeDocument/2006/relationships/hyperlink" Target="https://techcombank.com/thong-tin/blog/cach-su-dung-tai-khoan-cong-ty" TargetMode="External"/><Relationship Id="rId65" Type="http://schemas.openxmlformats.org/officeDocument/2006/relationships/hyperlink" Target="https://techcombank.com/thong-tin/blog/cong-ty-su-dung-tai-khoan-ca-nhan" TargetMode="External"/><Relationship Id="rId68" Type="http://schemas.openxmlformats.org/officeDocument/2006/relationships/hyperlink" Target="https://techcombank.com/thong-tin/blog/tien-chuyen-vao-tai-khoan-co-bi-tinh-thue-khong" TargetMode="External"/><Relationship Id="rId67" Type="http://schemas.openxmlformats.org/officeDocument/2006/relationships/hyperlink" Target="https://techcombank.com/thong-tin/blog/cong-ty-su-dung-tai-khoan-ca-nhan" TargetMode="External"/><Relationship Id="rId60" Type="http://schemas.openxmlformats.org/officeDocument/2006/relationships/hyperlink" Target="https://techcombank.com/thong-tin/blog/thue-doanh-nghiep-2025" TargetMode="External"/><Relationship Id="rId69" Type="http://schemas.openxmlformats.org/officeDocument/2006/relationships/hyperlink" Target="https://techcombank.com/thong-tin/blog/cach-tinh-thue-thu-nhap-doanh-nghiep" TargetMode="External"/><Relationship Id="rId51" Type="http://schemas.openxmlformats.org/officeDocument/2006/relationships/hyperlink" Target="https://techcombank.com/thong-tin/blog/tra-cuu-no-thue-doanh-nghiep" TargetMode="External"/><Relationship Id="rId50" Type="http://schemas.openxmlformats.org/officeDocument/2006/relationships/hyperlink" Target="https://techcombank.com/thong-tin/blog/ke-khai-thue-doanh-nghiep" TargetMode="External"/><Relationship Id="rId53" Type="http://schemas.openxmlformats.org/officeDocument/2006/relationships/hyperlink" Target="https://techcombank.com/thong-tin/blog/thue-doanh-nghiep" TargetMode="External"/><Relationship Id="rId52" Type="http://schemas.openxmlformats.org/officeDocument/2006/relationships/hyperlink" Target="https://techcombank.com/thong-tin/blog/tra-cuu-no-thue-ho-kinh-doanh" TargetMode="External"/><Relationship Id="rId55" Type="http://schemas.openxmlformats.org/officeDocument/2006/relationships/hyperlink" Target="https://techcombank.com/thong-tin/blog/thue-doanh-nghiep" TargetMode="External"/><Relationship Id="rId54" Type="http://schemas.openxmlformats.org/officeDocument/2006/relationships/hyperlink" Target="https://techcombank.com/thong-tin/blog/giai-dap-ve-thue-doanh-nghiep" TargetMode="External"/><Relationship Id="rId57" Type="http://schemas.openxmlformats.org/officeDocument/2006/relationships/hyperlink" Target="https://techcombank.com/thong-tin/blog/thue-doanh-nghiep" TargetMode="External"/><Relationship Id="rId56" Type="http://schemas.openxmlformats.org/officeDocument/2006/relationships/hyperlink" Target="https://techcombank.com/thong-tin/blog/hieu-hiet-ve-tuan-thu-thue-cho-cac-doanh-nghiep-khoi-nghiep" TargetMode="External"/><Relationship Id="rId59" Type="http://schemas.openxmlformats.org/officeDocument/2006/relationships/hyperlink" Target="https://techcombank.com/thong-tin/blog/thue-doanh-nghiep" TargetMode="External"/><Relationship Id="rId58" Type="http://schemas.openxmlformats.org/officeDocument/2006/relationships/hyperlink" Target="https://techcombank.com/thong-tin/blog/thue-phi-co-dinh-khi-chuyen-doi-tu-ho-kinh-doanh-len-doanh-nghiep" TargetMode="External"/><Relationship Id="rId349" Type="http://schemas.openxmlformats.org/officeDocument/2006/relationships/hyperlink" Target="https://techcombank.com/thong-tin/blog/1-yen-bang-bao-nhieu-tien-viet-nam" TargetMode="External"/><Relationship Id="rId348" Type="http://schemas.openxmlformats.org/officeDocument/2006/relationships/hyperlink" Target="https://techcombank.com/thong-tin/blog/1-man-bang-bao-nhieu-tien-viet" TargetMode="External"/><Relationship Id="rId347" Type="http://schemas.openxmlformats.org/officeDocument/2006/relationships/hyperlink" Target="https://techcombank.com/thong-tin/blog/tien-nhat" TargetMode="External"/><Relationship Id="rId346" Type="http://schemas.openxmlformats.org/officeDocument/2006/relationships/hyperlink" Target="https://techcombank.com/thong-tin/blog/1-yen-bang-bao-nhieu-tien-viet-nam" TargetMode="External"/><Relationship Id="rId341" Type="http://schemas.openxmlformats.org/officeDocument/2006/relationships/hyperlink" Target="https://techcombank.com/thong-tin/blog/tien-nhat" TargetMode="External"/><Relationship Id="rId340" Type="http://schemas.openxmlformats.org/officeDocument/2006/relationships/hyperlink" Target="https://techcombank.com/thong-tin/blog/chuyen-tien-tu-my-ve-viet-nam" TargetMode="External"/><Relationship Id="rId345" Type="http://schemas.openxmlformats.org/officeDocument/2006/relationships/hyperlink" Target="https://techcombank.com/thong-tin/blog/tien-nhat" TargetMode="External"/><Relationship Id="rId344" Type="http://schemas.openxmlformats.org/officeDocument/2006/relationships/hyperlink" Target="https://techcombank.com/thong-tin/blog/chuyen-tien-tu-nhat-ve-viet-nam" TargetMode="External"/><Relationship Id="rId343" Type="http://schemas.openxmlformats.org/officeDocument/2006/relationships/hyperlink" Target="https://techcombank.com/thong-tin/blog/tien-nhat" TargetMode="External"/><Relationship Id="rId342" Type="http://schemas.openxmlformats.org/officeDocument/2006/relationships/hyperlink" Target="https://techcombank.com/thong-tin/blog/thanh-toan-khi-du-lich-nhat-ban" TargetMode="External"/><Relationship Id="rId338" Type="http://schemas.openxmlformats.org/officeDocument/2006/relationships/hyperlink" Target="https://techcombank.com/thong-tin/blog/lai-suat-gui-tiet-kiem-usd" TargetMode="External"/><Relationship Id="rId337" Type="http://schemas.openxmlformats.org/officeDocument/2006/relationships/hyperlink" Target="https://techcombank.com/thong-tin/blog/1-dong-do-la-my-bang-bao-nhieu-tien-viet-nam" TargetMode="External"/><Relationship Id="rId336" Type="http://schemas.openxmlformats.org/officeDocument/2006/relationships/hyperlink" Target="https://techcombank.com/thong-tin/blog/1-cent-bang-bao-nhieu-tien-viet" TargetMode="External"/><Relationship Id="rId335" Type="http://schemas.openxmlformats.org/officeDocument/2006/relationships/hyperlink" Target="https://techcombank.com/thong-tin/blog/1-dong-do-la-my-bang-bao-nhieu-tien-viet-nam" TargetMode="External"/><Relationship Id="rId339" Type="http://schemas.openxmlformats.org/officeDocument/2006/relationships/hyperlink" Target="https://techcombank.com/thong-tin/blog/1-dong-do-la-my-bang-bao-nhieu-tien-viet-nam" TargetMode="External"/><Relationship Id="rId330" Type="http://schemas.openxmlformats.org/officeDocument/2006/relationships/hyperlink" Target="https://techcombank.com/thong-tin/blog/thanh-toan-khi-du-lich-trung-quoc" TargetMode="External"/><Relationship Id="rId334" Type="http://schemas.openxmlformats.org/officeDocument/2006/relationships/hyperlink" Target="https://techcombank.com/thong-tin/blog/dieu-kien-mua-usd-tu-ngan-hang" TargetMode="External"/><Relationship Id="rId333" Type="http://schemas.openxmlformats.org/officeDocument/2006/relationships/hyperlink" Target="https://techcombank.com/thong-tin/blog/1-dong-do-la-my-bang-bao-nhieu-tien-viet-nam" TargetMode="External"/><Relationship Id="rId332" Type="http://schemas.openxmlformats.org/officeDocument/2006/relationships/hyperlink" Target="https://techcombank.com/thong-tin/blog/xu-huong-ty-gia-usd" TargetMode="External"/><Relationship Id="rId331" Type="http://schemas.openxmlformats.org/officeDocument/2006/relationships/hyperlink" Target="https://techcombank.com/thong-tin/blog/1-dong-do-la-my-bang-bao-nhieu-tien-viet-nam" TargetMode="External"/><Relationship Id="rId370" Type="http://schemas.openxmlformats.org/officeDocument/2006/relationships/hyperlink" Target="https://techcombank.com/thong-tin/blog/ngoai-te-la-gi" TargetMode="External"/><Relationship Id="rId369" Type="http://schemas.openxmlformats.org/officeDocument/2006/relationships/hyperlink" Target="https://techcombank.com/thong-tin/blog/tien-dai-loan" TargetMode="External"/><Relationship Id="rId368" Type="http://schemas.openxmlformats.org/officeDocument/2006/relationships/hyperlink" Target="https://techcombank.com/thong-tin/blog/1-van-tien-dai-loan-bang-bao-nhieu-tien-viet" TargetMode="External"/><Relationship Id="rId363" Type="http://schemas.openxmlformats.org/officeDocument/2006/relationships/hyperlink" Target="https://techcombank.com/thong-tin/blog/1-won-bang-bao-nhieu-tien-viet" TargetMode="External"/><Relationship Id="rId362" Type="http://schemas.openxmlformats.org/officeDocument/2006/relationships/hyperlink" Target="https://techcombank.com/thong-tin/blog/thanh-toan-khi-du-lich-han-quoc" TargetMode="External"/><Relationship Id="rId361" Type="http://schemas.openxmlformats.org/officeDocument/2006/relationships/hyperlink" Target="https://techcombank.com/thong-tin/blog/1-won-bang-bao-nhieu-tien-viet" TargetMode="External"/><Relationship Id="rId360" Type="http://schemas.openxmlformats.org/officeDocument/2006/relationships/hyperlink" Target="https://techcombank.com/thong-tin/blog/1000-won-bang-bao-nhieu-tien-viet" TargetMode="External"/><Relationship Id="rId367" Type="http://schemas.openxmlformats.org/officeDocument/2006/relationships/hyperlink" Target="https://techcombank.com/thong-tin/blog/tien-dai-loan" TargetMode="External"/><Relationship Id="rId366" Type="http://schemas.openxmlformats.org/officeDocument/2006/relationships/hyperlink" Target="https://techcombank.com/thong-tin/blog/ty-gia-cac-ngan-hang" TargetMode="External"/><Relationship Id="rId365" Type="http://schemas.openxmlformats.org/officeDocument/2006/relationships/hyperlink" Target="https://techcombank.com/thong-tin/blog/1-won-bang-bao-nhieu-tien-viet" TargetMode="External"/><Relationship Id="rId364" Type="http://schemas.openxmlformats.org/officeDocument/2006/relationships/hyperlink" Target="https://techcombank.com/thong-tin/blog/chuyen-tien-tu-han-sang-viet-nam" TargetMode="External"/><Relationship Id="rId95" Type="http://schemas.openxmlformats.org/officeDocument/2006/relationships/hyperlink" Target="https://techcombank.com/thong-tin/blog/cach-tinh-tien-dien-sinh-hoat" TargetMode="External"/><Relationship Id="rId94" Type="http://schemas.openxmlformats.org/officeDocument/2006/relationships/hyperlink" Target="https://techcombank.com/thong-tin/blog/app-dong-tien-dien-online" TargetMode="External"/><Relationship Id="rId97" Type="http://schemas.openxmlformats.org/officeDocument/2006/relationships/hyperlink" Target="https://techcombank.com/thong-tin/blog/cach-tinh-thue-thu-nhap-ca-nhan-2025" TargetMode="External"/><Relationship Id="rId96" Type="http://schemas.openxmlformats.org/officeDocument/2006/relationships/hyperlink" Target="https://techcombank.com/thong-tin/blog/thanh-toan-tien-dien-bang-the-tin-dung" TargetMode="External"/><Relationship Id="rId99" Type="http://schemas.openxmlformats.org/officeDocument/2006/relationships/hyperlink" Target="https://techcombank.com/thong-tin/blog/cach-tinh-thue-thu-nhap-ca-nhan-2025" TargetMode="External"/><Relationship Id="rId98" Type="http://schemas.openxmlformats.org/officeDocument/2006/relationships/hyperlink" Target="https://techcombank.com/thong-tin/blog/quyet-toan-thue-thu-nhap-ca-nhan" TargetMode="External"/><Relationship Id="rId91" Type="http://schemas.openxmlformats.org/officeDocument/2006/relationships/hyperlink" Target="https://techcombank.com/thong-tin/blog/cach-tinh-tien-dien-sinh-hoat" TargetMode="External"/><Relationship Id="rId90" Type="http://schemas.openxmlformats.org/officeDocument/2006/relationships/hyperlink" Target="https://techcombank.com/thong-tin/blog/tra-cuu-hoa-don-tien-dien" TargetMode="External"/><Relationship Id="rId93" Type="http://schemas.openxmlformats.org/officeDocument/2006/relationships/hyperlink" Target="https://techcombank.com/thong-tin/blog/cach-tinh-tien-dien-sinh-hoat" TargetMode="External"/><Relationship Id="rId92" Type="http://schemas.openxmlformats.org/officeDocument/2006/relationships/hyperlink" Target="https://techcombank.com/thong-tin/blog/cach-dong-tien-dien-qua-tai-khoan-ngan-hang" TargetMode="External"/><Relationship Id="rId359" Type="http://schemas.openxmlformats.org/officeDocument/2006/relationships/hyperlink" Target="https://techcombank.com/thong-tin/blog/1-won-bang-bao-nhieu-tien-viet" TargetMode="External"/><Relationship Id="rId358" Type="http://schemas.openxmlformats.org/officeDocument/2006/relationships/hyperlink" Target="https://techcombank.com/thong-tin/blog/1-trieu-won-bang-bao-nhieu-tien-viet" TargetMode="External"/><Relationship Id="rId357" Type="http://schemas.openxmlformats.org/officeDocument/2006/relationships/hyperlink" Target="https://techcombank.com/thong-tin/blog/1-won-bang-bao-nhieu-tien-viet" TargetMode="External"/><Relationship Id="rId352" Type="http://schemas.openxmlformats.org/officeDocument/2006/relationships/hyperlink" Target="https://techcombank.com/thong-tin/blog/tien-nhat" TargetMode="External"/><Relationship Id="rId351" Type="http://schemas.openxmlformats.org/officeDocument/2006/relationships/hyperlink" Target="https://techcombank.com/thong-tin/blog/1-yen-bang-bao-nhieu-tien-viet-nam" TargetMode="External"/><Relationship Id="rId350" Type="http://schemas.openxmlformats.org/officeDocument/2006/relationships/hyperlink" Target="https://techcombank.com/thong-tin/blog/1000-yen-bang-bao-nhieu-tien-viet" TargetMode="External"/><Relationship Id="rId356" Type="http://schemas.openxmlformats.org/officeDocument/2006/relationships/hyperlink" Target="https://techcombank.com/thong-tin/blog/chuyen-tien-tu-nhat-ve-viet-nam" TargetMode="External"/><Relationship Id="rId355" Type="http://schemas.openxmlformats.org/officeDocument/2006/relationships/hyperlink" Target="https://techcombank.com/thong-tin/blog/1-yen-bang-bao-nhieu-tien-viet-nam" TargetMode="External"/><Relationship Id="rId354" Type="http://schemas.openxmlformats.org/officeDocument/2006/relationships/hyperlink" Target="https://techcombank.com/thong-tin/blog/1-man-bang-bao-nhieu-tien-viet" TargetMode="External"/><Relationship Id="rId353" Type="http://schemas.openxmlformats.org/officeDocument/2006/relationships/hyperlink" Target="https://techcombank.com/thong-tin/blog/1-yen-bang-bao-nhieu-tien-viet-nam" TargetMode="External"/><Relationship Id="rId305" Type="http://schemas.openxmlformats.org/officeDocument/2006/relationships/hyperlink" Target="https://techcombank.com/thong-tin/blog/chung-chi-tien-gui-la-gi" TargetMode="External"/><Relationship Id="rId304" Type="http://schemas.openxmlformats.org/officeDocument/2006/relationships/hyperlink" Target="https://techcombank.com/thong-tin/blog/the-tin-dung-mien-lai-55-ngay" TargetMode="External"/><Relationship Id="rId303" Type="http://schemas.openxmlformats.org/officeDocument/2006/relationships/hyperlink" Target="https://techcombank.com/thong-tin/blog/cach-thanh-toan-the-tin-dung" TargetMode="External"/><Relationship Id="rId302" Type="http://schemas.openxmlformats.org/officeDocument/2006/relationships/hyperlink" Target="https://techcombank.com/thong-tin/blog/no-the-tin-dung-qua-han" TargetMode="External"/><Relationship Id="rId309" Type="http://schemas.openxmlformats.org/officeDocument/2006/relationships/hyperlink" Target="https://techcombank.com/thong-tin/blog/chung-chi-tien-gui-la-gi" TargetMode="External"/><Relationship Id="rId308" Type="http://schemas.openxmlformats.org/officeDocument/2006/relationships/hyperlink" Target="https://techcombank.com/thong-tin/blog/chung-chi-tien-gui-co-phai-la-trai-phieu-khong" TargetMode="External"/><Relationship Id="rId307" Type="http://schemas.openxmlformats.org/officeDocument/2006/relationships/hyperlink" Target="https://techcombank.com/thong-tin/blog/chung-chi-tien-gui-la-gi" TargetMode="External"/><Relationship Id="rId306" Type="http://schemas.openxmlformats.org/officeDocument/2006/relationships/hyperlink" Target="https://techcombank.com/thong-tin/blog/chung-chi-tien-gui-khac-gi-so-tiet-kiem" TargetMode="External"/><Relationship Id="rId301" Type="http://schemas.openxmlformats.org/officeDocument/2006/relationships/hyperlink" Target="https://techcombank.com/thong-tin/blog/cach-thanh-toan-the-tin-dung" TargetMode="External"/><Relationship Id="rId300" Type="http://schemas.openxmlformats.org/officeDocument/2006/relationships/hyperlink" Target="https://techcombank.com/thong-tin/blog/sao-ke-the-tin-dung-la-gi" TargetMode="External"/><Relationship Id="rId327" Type="http://schemas.openxmlformats.org/officeDocument/2006/relationships/hyperlink" Target="https://techcombank.com/thong-tin/blog/1-te-bang-bao-nhieu-tien-viet-nam" TargetMode="External"/><Relationship Id="rId326" Type="http://schemas.openxmlformats.org/officeDocument/2006/relationships/hyperlink" Target="https://techcombank.com/thong-tin/blog/1-van-te-bang-bao-nhieu-tien-viet" TargetMode="External"/><Relationship Id="rId325" Type="http://schemas.openxmlformats.org/officeDocument/2006/relationships/hyperlink" Target="https://techcombank.com/thong-tin/blog/1-te-bang-bao-nhieu-tien-viet-nam" TargetMode="External"/><Relationship Id="rId324" Type="http://schemas.openxmlformats.org/officeDocument/2006/relationships/hyperlink" Target="https://techcombank.com/thong-tin/blog/tien-trung-quoc" TargetMode="External"/><Relationship Id="rId329" Type="http://schemas.openxmlformats.org/officeDocument/2006/relationships/hyperlink" Target="https://techcombank.com/thong-tin/blog/1-te-bang-bao-nhieu-tien-viet-nam" TargetMode="External"/><Relationship Id="rId328" Type="http://schemas.openxmlformats.org/officeDocument/2006/relationships/hyperlink" Target="https://techcombank.com/thong-tin/blog/1000-te-bang-bao-nhieu-tien-viet" TargetMode="External"/><Relationship Id="rId323" Type="http://schemas.openxmlformats.org/officeDocument/2006/relationships/hyperlink" Target="https://techcombank.com/thong-tin/blog/1-te-bang-bao-nhieu-tien-viet-nam" TargetMode="External"/><Relationship Id="rId322" Type="http://schemas.openxmlformats.org/officeDocument/2006/relationships/hyperlink" Target="https://techcombank.com/thong-tin/blog/chuyen-nhuong-chung-chi-tien-gui" TargetMode="External"/><Relationship Id="rId321" Type="http://schemas.openxmlformats.org/officeDocument/2006/relationships/hyperlink" Target="https://techcombank.com/thong-tin/blog/lai-suat-chung-chi-tien-gui-cac-ngan-hang" TargetMode="External"/><Relationship Id="rId320" Type="http://schemas.openxmlformats.org/officeDocument/2006/relationships/hyperlink" Target="https://techcombank.com/thong-tin/blog/chung-chi-tien-gui-co-duoc-rut-truoc-han" TargetMode="External"/><Relationship Id="rId316" Type="http://schemas.openxmlformats.org/officeDocument/2006/relationships/hyperlink" Target="https://techcombank.com/thong-tin/blog/cach-tinh-loi-nhuan-chung-chi-tien-gui" TargetMode="External"/><Relationship Id="rId315" Type="http://schemas.openxmlformats.org/officeDocument/2006/relationships/hyperlink" Target="https://techcombank.com/thong-tin/blog/lai-suat-chung-chi-tien-gui-cac-ngan-hang" TargetMode="External"/><Relationship Id="rId314" Type="http://schemas.openxmlformats.org/officeDocument/2006/relationships/hyperlink" Target="https://techcombank.com/thong-tin/blog/tien-nhan-roi-nen-lam-gi" TargetMode="External"/><Relationship Id="rId313" Type="http://schemas.openxmlformats.org/officeDocument/2006/relationships/hyperlink" Target="https://techcombank.com/thong-tin/blog/chung-chi-tien-gui-la-gi" TargetMode="External"/><Relationship Id="rId319" Type="http://schemas.openxmlformats.org/officeDocument/2006/relationships/hyperlink" Target="https://techcombank.com/thong-tin/blog/lai-suat-chung-chi-tien-gui-cac-ngan-hang" TargetMode="External"/><Relationship Id="rId318" Type="http://schemas.openxmlformats.org/officeDocument/2006/relationships/hyperlink" Target="https://techcombank.com/thong-tin/blog/tat-toan-chung-chi-tien-gui" TargetMode="External"/><Relationship Id="rId317" Type="http://schemas.openxmlformats.org/officeDocument/2006/relationships/hyperlink" Target="https://techcombank.com/thong-tin/blog/lai-suat-chung-chi-tien-gui-cac-ngan-hang" TargetMode="External"/><Relationship Id="rId312" Type="http://schemas.openxmlformats.org/officeDocument/2006/relationships/hyperlink" Target="https://techcombank.com/thong-tin/blog/chung-chi-tien-gui-co-an-toan-khong" TargetMode="External"/><Relationship Id="rId311" Type="http://schemas.openxmlformats.org/officeDocument/2006/relationships/hyperlink" Target="https://techcombank.com/thong-tin/blog/chung-chi-tien-gui-la-gi" TargetMode="External"/><Relationship Id="rId310" Type="http://schemas.openxmlformats.org/officeDocument/2006/relationships/hyperlink" Target="https://techcombank.com/thong-tin/blog/co-nen-gui-chung-chi-tien-gui" TargetMode="External"/><Relationship Id="rId297" Type="http://schemas.openxmlformats.org/officeDocument/2006/relationships/hyperlink" Target="https://techcombank.com/thong-tin/blog/cach-thanh-toan-the-tin-dung" TargetMode="External"/><Relationship Id="rId296" Type="http://schemas.openxmlformats.org/officeDocument/2006/relationships/hyperlink" Target="https://techcombank.com/thong-tin/blog/thanh-toan-toi-thieu-the-tin-dung" TargetMode="External"/><Relationship Id="rId295" Type="http://schemas.openxmlformats.org/officeDocument/2006/relationships/hyperlink" Target="https://techcombank.com/thong-tin/blog/cach-thanh-toan-the-tin-dung" TargetMode="External"/><Relationship Id="rId294" Type="http://schemas.openxmlformats.org/officeDocument/2006/relationships/hyperlink" Target="https://techcombank.com/thong-tin/blog/no-xau-co-vay-the-chap-duoc-khong" TargetMode="External"/><Relationship Id="rId299" Type="http://schemas.openxmlformats.org/officeDocument/2006/relationships/hyperlink" Target="https://techcombank.com/thong-tin/blog/cach-thanh-toan-the-tin-dung" TargetMode="External"/><Relationship Id="rId298" Type="http://schemas.openxmlformats.org/officeDocument/2006/relationships/hyperlink" Target="https://techcombank.com/thong-tin/blog/qua-han-thanh-toan-the-tin-dung-1-ngay" TargetMode="External"/><Relationship Id="rId271" Type="http://schemas.openxmlformats.org/officeDocument/2006/relationships/hyperlink" Target="https://techcombank.com/thong-tin/blog/the-tin-dung-hoan-tien" TargetMode="External"/><Relationship Id="rId270" Type="http://schemas.openxmlformats.org/officeDocument/2006/relationships/hyperlink" Target="https://techcombank.com/thong-tin/blog/thanh-toan-tien-dien-bang-the-tin-dung" TargetMode="External"/><Relationship Id="rId269" Type="http://schemas.openxmlformats.org/officeDocument/2006/relationships/hyperlink" Target="https://techcombank.com/thong-tin/blog/the-tin-dung-hoan-tien" TargetMode="External"/><Relationship Id="rId264" Type="http://schemas.openxmlformats.org/officeDocument/2006/relationships/hyperlink" Target="https://techcombank.com/thong-tin/blog/uu-dai-the-tin-dung" TargetMode="External"/><Relationship Id="rId263" Type="http://schemas.openxmlformats.org/officeDocument/2006/relationships/hyperlink" Target="https://techcombank.com/khach-hang-ca-nhan/chi-tieu/the/the-tin-dung/techcombank-everyday" TargetMode="External"/><Relationship Id="rId262" Type="http://schemas.openxmlformats.org/officeDocument/2006/relationships/hyperlink" Target="https://techcombank.com/thong-tin/blog/thoi-gian-hoan-tien-the-tin-dung" TargetMode="External"/><Relationship Id="rId261" Type="http://schemas.openxmlformats.org/officeDocument/2006/relationships/hyperlink" Target="https://techcombank.com/khach-hang-ca-nhan/chi-tieu/the/the-tin-dung/techcombank-everyday" TargetMode="External"/><Relationship Id="rId268" Type="http://schemas.openxmlformats.org/officeDocument/2006/relationships/hyperlink" Target="https://techcombank.com/thong-tin/blog/mo-the-tin-dung-co-loi-ich-gi" TargetMode="External"/><Relationship Id="rId267" Type="http://schemas.openxmlformats.org/officeDocument/2006/relationships/hyperlink" Target="https://techcombank.com/khach-hang-ca-nhan/chi-tieu/the/the-tin-dung/techcombank-everyday" TargetMode="External"/><Relationship Id="rId266" Type="http://schemas.openxmlformats.org/officeDocument/2006/relationships/hyperlink" Target="https://techcombank.com/thong-tin/blog/cac-loai-the-tin-dung" TargetMode="External"/><Relationship Id="rId265" Type="http://schemas.openxmlformats.org/officeDocument/2006/relationships/hyperlink" Target="https://techcombank.com/khach-hang-ca-nhan/chi-tieu/the/the-tin-dung/techcombank-everyday" TargetMode="External"/><Relationship Id="rId260" Type="http://schemas.openxmlformats.org/officeDocument/2006/relationships/hyperlink" Target="https://techcombank.com/thong-tin/blog/the-tin-dung-nao-nhieu-uu-dai-nhat" TargetMode="External"/><Relationship Id="rId259" Type="http://schemas.openxmlformats.org/officeDocument/2006/relationships/hyperlink" Target="https://techcombank.com/khach-hang-ca-nhan/chi-tieu/the/the-tin-dung/techcombank-everyday" TargetMode="External"/><Relationship Id="rId258" Type="http://schemas.openxmlformats.org/officeDocument/2006/relationships/hyperlink" Target="https://techcombank.com/thong-tin/blog/co-nen-dung-the-tin-dung-khong" TargetMode="External"/><Relationship Id="rId253" Type="http://schemas.openxmlformats.org/officeDocument/2006/relationships/hyperlink" Target="https://techcombank.com/thong-tin/blog/lam-the-tin-dung" TargetMode="External"/><Relationship Id="rId252" Type="http://schemas.openxmlformats.org/officeDocument/2006/relationships/hyperlink" Target="https://techcombank.com/thong-tin/blog/mo-the-tin-dung-chi-can-cccd" TargetMode="External"/><Relationship Id="rId251" Type="http://schemas.openxmlformats.org/officeDocument/2006/relationships/hyperlink" Target="https://techcombank.com/thong-tin/blog/lam-the-tin-dung" TargetMode="External"/><Relationship Id="rId250" Type="http://schemas.openxmlformats.org/officeDocument/2006/relationships/hyperlink" Target="https://techcombank.com/thong-tin/blog/the-tin-dung-la-gi" TargetMode="External"/><Relationship Id="rId257" Type="http://schemas.openxmlformats.org/officeDocument/2006/relationships/hyperlink" Target="https://techcombank.com/thong-tin/blog/lam-the-tin-dung" TargetMode="External"/><Relationship Id="rId256" Type="http://schemas.openxmlformats.org/officeDocument/2006/relationships/hyperlink" Target="https://techcombank.com/thong-tin/blog/mo-the-tin-dung-khong-can-chung-minh-thu-nhap" TargetMode="External"/><Relationship Id="rId255" Type="http://schemas.openxmlformats.org/officeDocument/2006/relationships/hyperlink" Target="https://techcombank.com/thong-tin/blog/lam-the-tin-dung" TargetMode="External"/><Relationship Id="rId254" Type="http://schemas.openxmlformats.org/officeDocument/2006/relationships/hyperlink" Target="https://techcombank.com/thong-tin/blog/lam-the-tin-dung-co-mat-phi-khong" TargetMode="External"/><Relationship Id="rId293" Type="http://schemas.openxmlformats.org/officeDocument/2006/relationships/hyperlink" Target="https://techcombank.com/thong-tin/blog/xep-hang-tin-dung" TargetMode="External"/><Relationship Id="rId292" Type="http://schemas.openxmlformats.org/officeDocument/2006/relationships/hyperlink" Target="https://techcombank.com/thong-tin/blog/dieu-kien-vay-von-ngan-hang" TargetMode="External"/><Relationship Id="rId291" Type="http://schemas.openxmlformats.org/officeDocument/2006/relationships/hyperlink" Target="https://techcombank.com/thong-tin/blog/xep-hang-tin-dung" TargetMode="External"/><Relationship Id="rId290" Type="http://schemas.openxmlformats.org/officeDocument/2006/relationships/hyperlink" Target="https://techcombank.com/thong-tin/blog/lich-su-tin-dung" TargetMode="External"/><Relationship Id="rId286" Type="http://schemas.openxmlformats.org/officeDocument/2006/relationships/hyperlink" Target="https://techcombank.com/thong-tin/blog/the-tin-dung-bi-khoa" TargetMode="External"/><Relationship Id="rId285" Type="http://schemas.openxmlformats.org/officeDocument/2006/relationships/hyperlink" Target="https://techcombank.com/thong-tin/blog/cach-huy-the-tin-dung" TargetMode="External"/><Relationship Id="rId284" Type="http://schemas.openxmlformats.org/officeDocument/2006/relationships/hyperlink" Target="https://techcombank.com/thong-tin/blog/cach-khoa-the-ngan-hang" TargetMode="External"/><Relationship Id="rId283" Type="http://schemas.openxmlformats.org/officeDocument/2006/relationships/hyperlink" Target="https://techcombank.com/thong-tin/blog/cach-huy-the-tin-dung" TargetMode="External"/><Relationship Id="rId289" Type="http://schemas.openxmlformats.org/officeDocument/2006/relationships/hyperlink" Target="https://techcombank.com/thong-tin/blog/xep-hang-tin-dung" TargetMode="External"/><Relationship Id="rId288" Type="http://schemas.openxmlformats.org/officeDocument/2006/relationships/hyperlink" Target="https://techcombank.com/thong-tin/blog/the-tin-dung-het-han" TargetMode="External"/><Relationship Id="rId287" Type="http://schemas.openxmlformats.org/officeDocument/2006/relationships/hyperlink" Target="https://techcombank.com/thong-tin/blog/cach-huy-the-tin-dung" TargetMode="External"/><Relationship Id="rId282" Type="http://schemas.openxmlformats.org/officeDocument/2006/relationships/hyperlink" Target="https://techcombank.com/thong-tin/blog/khong-su-dung-the-tin-dung-co-mat-phi-khong" TargetMode="External"/><Relationship Id="rId281" Type="http://schemas.openxmlformats.org/officeDocument/2006/relationships/hyperlink" Target="https://techcombank.com/thong-tin/blog/cach-huy-the-tin-dung" TargetMode="External"/><Relationship Id="rId280" Type="http://schemas.openxmlformats.org/officeDocument/2006/relationships/hyperlink" Target="https://techcombank.com/thong-tin/blog/phi-thuong-nien-la-gi" TargetMode="External"/><Relationship Id="rId275" Type="http://schemas.openxmlformats.org/officeDocument/2006/relationships/hyperlink" Target="https://techcombank.com/thong-tin/blog/the-tin-dung-hoan-tien" TargetMode="External"/><Relationship Id="rId274" Type="http://schemas.openxmlformats.org/officeDocument/2006/relationships/hyperlink" Target="https://techcombank.com/thong-tin/blog/uu-dai-mo-the-tin-dung" TargetMode="External"/><Relationship Id="rId273" Type="http://schemas.openxmlformats.org/officeDocument/2006/relationships/hyperlink" Target="https://techcombank.com/thong-tin/blog/the-tin-dung-hoan-tien" TargetMode="External"/><Relationship Id="rId272" Type="http://schemas.openxmlformats.org/officeDocument/2006/relationships/hyperlink" Target="https://techcombank.com/thong-tin/blog/cashback-the-thanh-toan" TargetMode="External"/><Relationship Id="rId279" Type="http://schemas.openxmlformats.org/officeDocument/2006/relationships/hyperlink" Target="https://techcombank.com/thong-tin/blog/cach-huy-the-tin-dung" TargetMode="External"/><Relationship Id="rId278" Type="http://schemas.openxmlformats.org/officeDocument/2006/relationships/hyperlink" Target="https://techcombank.com/thong-tin/blog/cach-su-dung-the-tin-dung" TargetMode="External"/><Relationship Id="rId277" Type="http://schemas.openxmlformats.org/officeDocument/2006/relationships/hyperlink" Target="https://techcombank.com/thong-tin/blog/the-tin-dung-hoan-tien" TargetMode="External"/><Relationship Id="rId276" Type="http://schemas.openxmlformats.org/officeDocument/2006/relationships/hyperlink" Target="https://techcombank.com/thong-tin/blog/the-tin-dung-mien-phi-thuong-nien" TargetMode="External"/><Relationship Id="rId228" Type="http://schemas.openxmlformats.org/officeDocument/2006/relationships/hyperlink" Target="https://techcombank.com/thong-tin/blog/the-ghi-no-visa-la-gi" TargetMode="External"/><Relationship Id="rId227" Type="http://schemas.openxmlformats.org/officeDocument/2006/relationships/hyperlink" Target="https://techcombank.com/thong-tin/blog/eco-card" TargetMode="External"/><Relationship Id="rId226" Type="http://schemas.openxmlformats.org/officeDocument/2006/relationships/hyperlink" Target="https://techcombank.com/thong-tin/blog/xu-huong-song-xanh" TargetMode="External"/><Relationship Id="rId225" Type="http://schemas.openxmlformats.org/officeDocument/2006/relationships/hyperlink" Target="https://techcombank.com/thong-tin/blog/eco-card" TargetMode="External"/><Relationship Id="rId229" Type="http://schemas.openxmlformats.org/officeDocument/2006/relationships/hyperlink" Target="https://techcombank.com/thong-tin/blog/cic-la-gi" TargetMode="External"/><Relationship Id="rId220" Type="http://schemas.openxmlformats.org/officeDocument/2006/relationships/hyperlink" Target="https://techcombank.com/thong-tin/blog/mo-tai-khoan-ngan-hang-bang-so-dien-thoai" TargetMode="External"/><Relationship Id="rId224" Type="http://schemas.openxmlformats.org/officeDocument/2006/relationships/hyperlink" Target="https://techcombank.com/thong-tin/blog/san-pham-xanh" TargetMode="External"/><Relationship Id="rId223" Type="http://schemas.openxmlformats.org/officeDocument/2006/relationships/hyperlink" Target="https://techcombank.com/thong-tin/blog/eco-card" TargetMode="External"/><Relationship Id="rId222" Type="http://schemas.openxmlformats.org/officeDocument/2006/relationships/hyperlink" Target="https://techcombank.com/thong-tin/blog/dau-chan-carbon" TargetMode="External"/><Relationship Id="rId221" Type="http://schemas.openxmlformats.org/officeDocument/2006/relationships/hyperlink" Target="https://techcombank.com/thong-tin/blog/eco-card" TargetMode="External"/><Relationship Id="rId217" Type="http://schemas.openxmlformats.org/officeDocument/2006/relationships/hyperlink" Target="https://techcombank.com/thong-tin/blog/cach-quet-nfc-cccd-tren-iphone" TargetMode="External"/><Relationship Id="rId216" Type="http://schemas.openxmlformats.org/officeDocument/2006/relationships/hyperlink" Target="https://techcombank.com/thong-tin/blog/ekyc-la-gi" TargetMode="External"/><Relationship Id="rId215" Type="http://schemas.openxmlformats.org/officeDocument/2006/relationships/hyperlink" Target="https://techcombank.com/thong-tin/blog/cach-quet-nfc-cccd-tren-iphone" TargetMode="External"/><Relationship Id="rId214" Type="http://schemas.openxmlformats.org/officeDocument/2006/relationships/hyperlink" Target="https://techcombank.com/thong-tin/blog/cach-lien-ket-tai-khoan-ngan-hang-voi-vneid" TargetMode="External"/><Relationship Id="rId219" Type="http://schemas.openxmlformats.org/officeDocument/2006/relationships/hyperlink" Target="https://techcombank.com/thong-tin/blog/cach-quet-nfc-cccd-tren-iphone" TargetMode="External"/><Relationship Id="rId218" Type="http://schemas.openxmlformats.org/officeDocument/2006/relationships/hyperlink" Target="https://techcombank.com/thong-tin/blog/cach-dang-ky-dinh-danh-muc-2" TargetMode="External"/><Relationship Id="rId213" Type="http://schemas.openxmlformats.org/officeDocument/2006/relationships/hyperlink" Target="https://techcombank.com/thong-tin/blog/cach-quet-nfc-cccd-tren-iphone" TargetMode="External"/><Relationship Id="rId212" Type="http://schemas.openxmlformats.org/officeDocument/2006/relationships/hyperlink" Target="https://techcombank.com/thong-tin/blog/xac-thuc-sinh-trac-hoc-khi-chuyen-tien" TargetMode="External"/><Relationship Id="rId211" Type="http://schemas.openxmlformats.org/officeDocument/2006/relationships/hyperlink" Target="https://techcombank.com/thong-tin/blog/cach-quet-nfc-cccd-tren-iphone" TargetMode="External"/><Relationship Id="rId210" Type="http://schemas.openxmlformats.org/officeDocument/2006/relationships/hyperlink" Target="https://techcombank.com/thong-tin/blog/cay-atm-gan-day" TargetMode="External"/><Relationship Id="rId249" Type="http://schemas.openxmlformats.org/officeDocument/2006/relationships/hyperlink" Target="https://techcombank.com/thong-tin/blog/lam-the-tin-dung" TargetMode="External"/><Relationship Id="rId248" Type="http://schemas.openxmlformats.org/officeDocument/2006/relationships/hyperlink" Target="https://techcombank.com/thong-tin/blog/lai-suat-the-tin-dung" TargetMode="External"/><Relationship Id="rId247" Type="http://schemas.openxmlformats.org/officeDocument/2006/relationships/hyperlink" Target="https://techcombank.com/thong-tin/blog/rut-tien-mat-tu-the-tin-dung" TargetMode="External"/><Relationship Id="rId242" Type="http://schemas.openxmlformats.org/officeDocument/2006/relationships/hyperlink" Target="https://techcombank.com/thong-tin/blog/the-visa-co-rut-tien-duoc-khong" TargetMode="External"/><Relationship Id="rId241" Type="http://schemas.openxmlformats.org/officeDocument/2006/relationships/hyperlink" Target="https://techcombank.com/thong-tin/blog/rut-tien-mat-tu-the-tin-dung" TargetMode="External"/><Relationship Id="rId240" Type="http://schemas.openxmlformats.org/officeDocument/2006/relationships/hyperlink" Target="https://techcombank.com/thong-tin/blog/phi-rut-tien-mat-the-tin-dung" TargetMode="External"/><Relationship Id="rId246" Type="http://schemas.openxmlformats.org/officeDocument/2006/relationships/hyperlink" Target="https://techcombank.com/thong-tin/blog/han-muc-the-tin-dung" TargetMode="External"/><Relationship Id="rId245" Type="http://schemas.openxmlformats.org/officeDocument/2006/relationships/hyperlink" Target="https://techcombank.com/thong-tin/blog/rut-tien-mat-tu-the-tin-dung" TargetMode="External"/><Relationship Id="rId244" Type="http://schemas.openxmlformats.org/officeDocument/2006/relationships/hyperlink" Target="https://techcombank.com/thong-tin/blog/the-tin-dung-co-chuyen-khoan-duoc-khong" TargetMode="External"/><Relationship Id="rId243" Type="http://schemas.openxmlformats.org/officeDocument/2006/relationships/hyperlink" Target="https://techcombank.com/thong-tin/blog/rut-tien-mat-tu-the-tin-dung" TargetMode="External"/><Relationship Id="rId239" Type="http://schemas.openxmlformats.org/officeDocument/2006/relationships/hyperlink" Target="https://techcombank.com/thong-tin/blog/rut-tien-mat-tu-the-tin-dung" TargetMode="External"/><Relationship Id="rId238" Type="http://schemas.openxmlformats.org/officeDocument/2006/relationships/hyperlink" Target="https://techcombank.com/thong-tin/blog/no-xau-nhom-2" TargetMode="External"/><Relationship Id="rId237" Type="http://schemas.openxmlformats.org/officeDocument/2006/relationships/hyperlink" Target="https://techcombank.com/thong-tin/blog/cic-la-gi" TargetMode="External"/><Relationship Id="rId236" Type="http://schemas.openxmlformats.org/officeDocument/2006/relationships/hyperlink" Target="https://techcombank.com/thong-tin/blog/no-chu-y-la-gi" TargetMode="External"/><Relationship Id="rId231" Type="http://schemas.openxmlformats.org/officeDocument/2006/relationships/hyperlink" Target="https://techcombank.com/thong-tin/blog/cic-la-gi" TargetMode="External"/><Relationship Id="rId230" Type="http://schemas.openxmlformats.org/officeDocument/2006/relationships/hyperlink" Target="https://techcombank.com/thong-tin/blog/diem-tin-dung" TargetMode="External"/><Relationship Id="rId235" Type="http://schemas.openxmlformats.org/officeDocument/2006/relationships/hyperlink" Target="https://techcombank.com/thong-tin/blog/cic-la-gi" TargetMode="External"/><Relationship Id="rId234" Type="http://schemas.openxmlformats.org/officeDocument/2006/relationships/hyperlink" Target="https://techcombank.com/thong-tin/blog/no-nhom-3" TargetMode="External"/><Relationship Id="rId233" Type="http://schemas.openxmlformats.org/officeDocument/2006/relationships/hyperlink" Target="https://techcombank.com/thong-tin/blog/cic-la-gi" TargetMode="External"/><Relationship Id="rId232" Type="http://schemas.openxmlformats.org/officeDocument/2006/relationships/hyperlink" Target="https://techcombank.com/thong-tin/blog/lich-su-tin-dung" TargetMode="External"/><Relationship Id="rId206" Type="http://schemas.openxmlformats.org/officeDocument/2006/relationships/hyperlink" Target="https://techcombank.com/thong-tin/blog/the-atm-khong-rut-duoc-tien" TargetMode="External"/><Relationship Id="rId205" Type="http://schemas.openxmlformats.org/officeDocument/2006/relationships/hyperlink" Target="https://techcombank.com/thong-tin/blog/rut-tien-bang-ma-qr-la-gi-cach-thuc-hien-nhu-the-nao" TargetMode="External"/><Relationship Id="rId204" Type="http://schemas.openxmlformats.org/officeDocument/2006/relationships/hyperlink" Target="https://techcombank.com/thong-tin/blog/cach-rut-tien-atm" TargetMode="External"/><Relationship Id="rId203" Type="http://schemas.openxmlformats.org/officeDocument/2006/relationships/hyperlink" Target="https://techcombank.com/thong-tin/blog/rut-tien-bang-ma-qr-la-gi-cach-thuc-hien-nhu-the-nao" TargetMode="External"/><Relationship Id="rId209" Type="http://schemas.openxmlformats.org/officeDocument/2006/relationships/hyperlink" Target="https://techcombank.com/thong-tin/blog/rut-tien-bang-ma-qr-la-gi-cach-thuc-hien-nhu-the-nao" TargetMode="External"/><Relationship Id="rId208" Type="http://schemas.openxmlformats.org/officeDocument/2006/relationships/hyperlink" Target="https://techcombank.com/thong-tin/blog/bi-nuot-the-atm-phai-lam-sao" TargetMode="External"/><Relationship Id="rId207" Type="http://schemas.openxmlformats.org/officeDocument/2006/relationships/hyperlink" Target="https://techcombank.com/thong-tin/blog/rut-tien-bang-ma-qr-la-gi-cach-thuc-hien-nhu-the-nao" TargetMode="External"/><Relationship Id="rId202" Type="http://schemas.openxmlformats.org/officeDocument/2006/relationships/hyperlink" Target="https://techcombank.com/thong-tin/blog/rut-tien-bang-ma-qr-khac-ngan-hang-duoc-khong" TargetMode="External"/><Relationship Id="rId201" Type="http://schemas.openxmlformats.org/officeDocument/2006/relationships/hyperlink" Target="https://techcombank.com/thong-tin/blog/rut-tien-bang-ma-qr-la-gi-cach-thuc-hien-nhu-the-nao" TargetMode="External"/><Relationship Id="rId200" Type="http://schemas.openxmlformats.org/officeDocument/2006/relationships/hyperlink" Target="https://techcombank.com/thong-tin/blog/tra-cuu-no-thue-ca-nhan" TargetMode="External"/><Relationship Id="rId509" Type="http://schemas.openxmlformats.org/officeDocument/2006/relationships/hyperlink" Target="https://techcombank.com/thong-tin/blog/lai-suat-vay-the-chap-so-do" TargetMode="External"/><Relationship Id="rId508" Type="http://schemas.openxmlformats.org/officeDocument/2006/relationships/hyperlink" Target="https://techcombank.com/thong-tin/blog/kinh-nghiem-vay-the-chap-ngan-hang" TargetMode="External"/><Relationship Id="rId503" Type="http://schemas.openxmlformats.org/officeDocument/2006/relationships/hyperlink" Target="https://techcombank.com/thong-tin/blog/lai-suat-vay-the-chap-so-do" TargetMode="External"/><Relationship Id="rId502" Type="http://schemas.openxmlformats.org/officeDocument/2006/relationships/hyperlink" Target="https://techcombank.com/thong-tin/blog/vay-tra-gop" TargetMode="External"/><Relationship Id="rId501" Type="http://schemas.openxmlformats.org/officeDocument/2006/relationships/hyperlink" Target="https://techcombank.com/thong-tin/blog/cach-tinh-lai-vay-ngan-hang" TargetMode="External"/><Relationship Id="rId500" Type="http://schemas.openxmlformats.org/officeDocument/2006/relationships/hyperlink" Target="https://techcombank.com/thong-tin/blog/cong-thuc-tinh-lai-suat-thuc" TargetMode="External"/><Relationship Id="rId507" Type="http://schemas.openxmlformats.org/officeDocument/2006/relationships/hyperlink" Target="https://techcombank.com/thong-tin/blog/lai-suat-vay-the-chap-so-do" TargetMode="External"/><Relationship Id="rId506" Type="http://schemas.openxmlformats.org/officeDocument/2006/relationships/hyperlink" Target="https://techcombank.com/thong-tin/blog/vay-the-chap-so-hong" TargetMode="External"/><Relationship Id="rId505" Type="http://schemas.openxmlformats.org/officeDocument/2006/relationships/hyperlink" Target="https://techcombank.com/thong-tin/blog/lai-suat-vay-the-chap-so-do" TargetMode="External"/><Relationship Id="rId504" Type="http://schemas.openxmlformats.org/officeDocument/2006/relationships/hyperlink" Target="https://techcombank.com/thong-tin/blog/han-muc-vay-the-chap-so-do" TargetMode="External"/><Relationship Id="rId525" Type="http://schemas.openxmlformats.org/officeDocument/2006/relationships/hyperlink" Target="https://techcombank.com/thong-tin/blog/lai-suat-tiet-kiem" TargetMode="External"/><Relationship Id="rId524" Type="http://schemas.openxmlformats.org/officeDocument/2006/relationships/hyperlink" Target="https://techcombank.com/thong-tin/blog/co-nen-gui-tiet-kiem-ngan-hang" TargetMode="External"/><Relationship Id="rId523" Type="http://schemas.openxmlformats.org/officeDocument/2006/relationships/hyperlink" Target="https://techcombank.com/thong-tin/blog/lai-suat-tiet-kiem" TargetMode="External"/><Relationship Id="rId522" Type="http://schemas.openxmlformats.org/officeDocument/2006/relationships/hyperlink" Target="https://techcombank.com/thong-tin/blog/tai-sao-gui-tiet-kiem-online-lai-suat-cao-hon" TargetMode="External"/><Relationship Id="rId529" Type="http://schemas.openxmlformats.org/officeDocument/2006/relationships/hyperlink" Target="https://techcombank.com/thong-tin/blog/cach-tinh-lai-suat-tien-gui-tiet-kiem" TargetMode="External"/><Relationship Id="rId528" Type="http://schemas.openxmlformats.org/officeDocument/2006/relationships/hyperlink" Target="https://techcombank.com/thong-tin/blog/so-sanh-gui-tiet-kiem-online-va-tai-quay" TargetMode="External"/><Relationship Id="rId527" Type="http://schemas.openxmlformats.org/officeDocument/2006/relationships/hyperlink" Target="https://techcombank.com/thong-tin/blog/lai-suat-tiet-kiem" TargetMode="External"/><Relationship Id="rId526" Type="http://schemas.openxmlformats.org/officeDocument/2006/relationships/hyperlink" Target="https://techcombank.com/thong-tin/blog/tien-gui-co-ky-han" TargetMode="External"/><Relationship Id="rId521" Type="http://schemas.openxmlformats.org/officeDocument/2006/relationships/hyperlink" Target="https://techcombank.com/thong-tin/blog/lai-suat-tiet-kiem" TargetMode="External"/><Relationship Id="rId520" Type="http://schemas.openxmlformats.org/officeDocument/2006/relationships/hyperlink" Target="https://techcombank.com/thong-tin/blog/nen-gui-tiet-kiem-6-thang-hay-1-nam" TargetMode="External"/><Relationship Id="rId519" Type="http://schemas.openxmlformats.org/officeDocument/2006/relationships/hyperlink" Target="https://techcombank.com/thong-tin/blog/lai-suat-tiet-kiem" TargetMode="External"/><Relationship Id="rId514" Type="http://schemas.openxmlformats.org/officeDocument/2006/relationships/hyperlink" Target="https://techcombank.com/thong-tin/blog/quy-trinh-tat-toan-khoan-vay-the-chap" TargetMode="External"/><Relationship Id="rId513" Type="http://schemas.openxmlformats.org/officeDocument/2006/relationships/hyperlink" Target="https://techcombank.com/thong-tin/blog/ho-so-thu-tuc-xoa-the-chap" TargetMode="External"/><Relationship Id="rId512" Type="http://schemas.openxmlformats.org/officeDocument/2006/relationships/hyperlink" Target="https://techcombank.com/thong-tin/blog/vay-the-chap-la-gi" TargetMode="External"/><Relationship Id="rId511" Type="http://schemas.openxmlformats.org/officeDocument/2006/relationships/hyperlink" Target="https://techcombank.com/thong-tin/blog/lai-suat-vay-the-chap-so-do" TargetMode="External"/><Relationship Id="rId518" Type="http://schemas.openxmlformats.org/officeDocument/2006/relationships/hyperlink" Target="https://techcombank.com/thong-tin/blog/the-chap-la-gi" TargetMode="External"/><Relationship Id="rId517" Type="http://schemas.openxmlformats.org/officeDocument/2006/relationships/hyperlink" Target="https://techcombank.com/thong-tin/blog/ho-so-thu-tuc-xoa-the-chap" TargetMode="External"/><Relationship Id="rId516" Type="http://schemas.openxmlformats.org/officeDocument/2006/relationships/hyperlink" Target="https://techcombank.com/thong-tin/blog/tat-toan" TargetMode="External"/><Relationship Id="rId515" Type="http://schemas.openxmlformats.org/officeDocument/2006/relationships/hyperlink" Target="https://techcombank.com/thong-tin/blog/ho-so-thu-tuc-xoa-the-chap" TargetMode="External"/><Relationship Id="rId510" Type="http://schemas.openxmlformats.org/officeDocument/2006/relationships/hyperlink" Target="https://techcombank.com/thong-tin/blog/nen-vay-the-chap-ngan-hang-nao" TargetMode="External"/><Relationship Id="rId590" Type="http://schemas.openxmlformats.org/officeDocument/2006/relationships/hyperlink" Target="https://techcombank.com/thong-tin/blog/cach-tiet-kiem-100-trieu-1-nam" TargetMode="External"/><Relationship Id="rId589" Type="http://schemas.openxmlformats.org/officeDocument/2006/relationships/hyperlink" Target="https://techcombank.com/cong-cu-tien-ich/cong-cu-tinh-toan/bang-tinh-lai-suat-tiet-kiem" TargetMode="External"/><Relationship Id="rId588" Type="http://schemas.openxmlformats.org/officeDocument/2006/relationships/hyperlink" Target="https://techcombank.com/thong-tin/blog/dang-vay-tra-gop-co-vay-them-duoc-khong" TargetMode="External"/><Relationship Id="rId583" Type="http://schemas.openxmlformats.org/officeDocument/2006/relationships/hyperlink" Target="https://techcombank.com/cong-cu-tien-ich/cong-cu-tinh-toan/bang-tinh-lai-suat-vay" TargetMode="External"/><Relationship Id="rId582" Type="http://schemas.openxmlformats.org/officeDocument/2006/relationships/hyperlink" Target="https://techcombank.com/thong-tin/blog/vay-200-trieu" TargetMode="External"/><Relationship Id="rId581" Type="http://schemas.openxmlformats.org/officeDocument/2006/relationships/hyperlink" Target="https://techcombank.com/cong-cu-tien-ich/cong-cu-tinh-toan/bang-tinh-lai-suat-vay" TargetMode="External"/><Relationship Id="rId580" Type="http://schemas.openxmlformats.org/officeDocument/2006/relationships/hyperlink" Target="https://techcombank.com/thong-tin/blog/vay-100-trieu" TargetMode="External"/><Relationship Id="rId587" Type="http://schemas.openxmlformats.org/officeDocument/2006/relationships/hyperlink" Target="https://techcombank.com/cong-cu-tien-ich/cong-cu-tinh-toan/bang-tinh-lai-suat-vay" TargetMode="External"/><Relationship Id="rId586" Type="http://schemas.openxmlformats.org/officeDocument/2006/relationships/hyperlink" Target="https://techcombank.com/thong-tin/blog/vay-tra-gop" TargetMode="External"/><Relationship Id="rId585" Type="http://schemas.openxmlformats.org/officeDocument/2006/relationships/hyperlink" Target="https://techcombank.com/cong-cu-tien-ich/cong-cu-tinh-toan/bang-tinh-lai-suat-vay" TargetMode="External"/><Relationship Id="rId584" Type="http://schemas.openxmlformats.org/officeDocument/2006/relationships/hyperlink" Target="https://techcombank.com/thong-tin/blog/vay-300-trieu" TargetMode="External"/><Relationship Id="rId579" Type="http://schemas.openxmlformats.org/officeDocument/2006/relationships/hyperlink" Target="https://techcombank.com/cong-cu-tien-ich/cong-cu-tinh-toan/bang-tinh-lai-suat-vay" TargetMode="External"/><Relationship Id="rId578" Type="http://schemas.openxmlformats.org/officeDocument/2006/relationships/hyperlink" Target="https://techcombank.com/thong-tin/blog/rui-ro-khi-gui-tiet-kiem-ngan-hang" TargetMode="External"/><Relationship Id="rId577" Type="http://schemas.openxmlformats.org/officeDocument/2006/relationships/hyperlink" Target="https://techcombank.com/thong-tin/blog/rui-ro-khi-gui-tiet-kiem-online" TargetMode="External"/><Relationship Id="rId572" Type="http://schemas.openxmlformats.org/officeDocument/2006/relationships/hyperlink" Target="https://techcombank.com/thong-tin/blog/gui-tiet-kiem-online-bi-mat-tien" TargetMode="External"/><Relationship Id="rId571" Type="http://schemas.openxmlformats.org/officeDocument/2006/relationships/hyperlink" Target="https://techcombank.com/thong-tin/blog/rui-ro-khi-gui-tiet-kiem-online" TargetMode="External"/><Relationship Id="rId570" Type="http://schemas.openxmlformats.org/officeDocument/2006/relationships/hyperlink" Target="https://techcombank.com/thong-tin/blog/co-nen-gui-tiet-kiem-online" TargetMode="External"/><Relationship Id="rId576" Type="http://schemas.openxmlformats.org/officeDocument/2006/relationships/hyperlink" Target="https://techcombank.com/thong-tin/blog/cach-gui-tiet-kiem-online" TargetMode="External"/><Relationship Id="rId575" Type="http://schemas.openxmlformats.org/officeDocument/2006/relationships/hyperlink" Target="https://techcombank.com/thong-tin/blog/rui-ro-khi-gui-tiet-kiem-online" TargetMode="External"/><Relationship Id="rId574" Type="http://schemas.openxmlformats.org/officeDocument/2006/relationships/hyperlink" Target="https://techcombank.com/thong-tin/blog/kinh-nghiem-gui-tiet-kiem-online" TargetMode="External"/><Relationship Id="rId573" Type="http://schemas.openxmlformats.org/officeDocument/2006/relationships/hyperlink" Target="https://techcombank.com/thong-tin/blog/rui-ro-khi-gui-tiet-kiem-online" TargetMode="External"/><Relationship Id="rId599" Type="http://schemas.openxmlformats.org/officeDocument/2006/relationships/hyperlink" Target="https://techcombank.com/thong-tin/blog/app-vay-tien-nhanh" TargetMode="External"/><Relationship Id="rId594" Type="http://schemas.openxmlformats.org/officeDocument/2006/relationships/hyperlink" Target="https://techcombank.com/thong-tin/blog/gui-tiet-kiem-tich-luy-la-gi" TargetMode="External"/><Relationship Id="rId593" Type="http://schemas.openxmlformats.org/officeDocument/2006/relationships/hyperlink" Target="https://techcombank.com/cong-cu-tien-ich/cong-cu-tinh-toan/bang-tinh-lai-suat-tiet-kiem" TargetMode="External"/><Relationship Id="rId592" Type="http://schemas.openxmlformats.org/officeDocument/2006/relationships/hyperlink" Target="https://techcombank.com/thong-tin/blog/co-50-trieu-nen-mua-vang-hay-gui-tiet-kiem" TargetMode="External"/><Relationship Id="rId591" Type="http://schemas.openxmlformats.org/officeDocument/2006/relationships/hyperlink" Target="https://techcombank.com/cong-cu-tien-ich/cong-cu-tinh-toan/bang-tinh-lai-suat-tiet-kiem" TargetMode="External"/><Relationship Id="rId598" Type="http://schemas.openxmlformats.org/officeDocument/2006/relationships/hyperlink" Target="https://techcombank.com/thong-tin/blog/nen-de-tien-trong-the-hay-gui-tiet-kiem" TargetMode="External"/><Relationship Id="rId597" Type="http://schemas.openxmlformats.org/officeDocument/2006/relationships/hyperlink" Target="https://techcombank.com/cong-cu-tien-ich/cong-cu-tinh-toan/bang-tinh-lai-suat-tiet-kiem" TargetMode="External"/><Relationship Id="rId596" Type="http://schemas.openxmlformats.org/officeDocument/2006/relationships/hyperlink" Target="https://techcombank.com/thong-tin/blog/quy-trinh-gui-tien-tiet-kiem" TargetMode="External"/><Relationship Id="rId595" Type="http://schemas.openxmlformats.org/officeDocument/2006/relationships/hyperlink" Target="https://techcombank.com/cong-cu-tien-ich/cong-cu-tinh-toan/bang-tinh-lai-suat-tiet-kiem" TargetMode="External"/><Relationship Id="rId547" Type="http://schemas.openxmlformats.org/officeDocument/2006/relationships/hyperlink" Target="https://techcombank.com/thong-tin/blog/rut-tien-tiet-kiem-truoc-thoi-han" TargetMode="External"/><Relationship Id="rId546" Type="http://schemas.openxmlformats.org/officeDocument/2006/relationships/hyperlink" Target="https://techcombank.com/thong-tin/blog/mat-so-tiet-kiem" TargetMode="External"/><Relationship Id="rId545" Type="http://schemas.openxmlformats.org/officeDocument/2006/relationships/hyperlink" Target="https://techcombank.com/thong-tin/blog/rut-tien-tiet-kiem-truoc-thoi-han" TargetMode="External"/><Relationship Id="rId544" Type="http://schemas.openxmlformats.org/officeDocument/2006/relationships/hyperlink" Target="https://techcombank.com/thong-tin/blog/vay-thau-chi-bang-so-tiet-kiem" TargetMode="External"/><Relationship Id="rId549" Type="http://schemas.openxmlformats.org/officeDocument/2006/relationships/hyperlink" Target="https://techcombank.com/thong-tin/blog/so-tiet-kiem-ngan-hang" TargetMode="External"/><Relationship Id="rId548" Type="http://schemas.openxmlformats.org/officeDocument/2006/relationships/hyperlink" Target="https://techcombank.com/thong-tin/blog/gui-them-tien-vao-so-tiet-kiem" TargetMode="External"/><Relationship Id="rId543" Type="http://schemas.openxmlformats.org/officeDocument/2006/relationships/hyperlink" Target="https://techcombank.com/thong-tin/blog/rut-tien-tiet-kiem-truoc-thoi-han" TargetMode="External"/><Relationship Id="rId542" Type="http://schemas.openxmlformats.org/officeDocument/2006/relationships/hyperlink" Target="https://techcombank.com/thong-tin/blog/gui-tiet-kiem-online-co-rut-truoc-han-duoc-khong" TargetMode="External"/><Relationship Id="rId541" Type="http://schemas.openxmlformats.org/officeDocument/2006/relationships/hyperlink" Target="https://techcombank.com/thong-tin/blog/rut-tien-tiet-kiem-truoc-thoi-han" TargetMode="External"/><Relationship Id="rId540" Type="http://schemas.openxmlformats.org/officeDocument/2006/relationships/hyperlink" Target="https://techcombank.com/thong-tin/blog/tat-toan-so-tiet-kiem" TargetMode="External"/><Relationship Id="rId536" Type="http://schemas.openxmlformats.org/officeDocument/2006/relationships/hyperlink" Target="https://techcombank.com/thong-tin/blog/tien-gui-khong-ky-han" TargetMode="External"/><Relationship Id="rId535" Type="http://schemas.openxmlformats.org/officeDocument/2006/relationships/hyperlink" Target="https://techcombank.com/thong-tin/blog/cach-tinh-lai-suat-tien-gui-tiet-kiem" TargetMode="External"/><Relationship Id="rId534" Type="http://schemas.openxmlformats.org/officeDocument/2006/relationships/hyperlink" Target="https://techcombank.com/thong-tin/blog/gui-tiet-kiem-hang-thang" TargetMode="External"/><Relationship Id="rId533" Type="http://schemas.openxmlformats.org/officeDocument/2006/relationships/hyperlink" Target="https://techcombank.com/thong-tin/blog/cach-tinh-lai-suat-tien-gui-tiet-kiem" TargetMode="External"/><Relationship Id="rId539" Type="http://schemas.openxmlformats.org/officeDocument/2006/relationships/hyperlink" Target="https://techcombank.com/thong-tin/blog/rut-tien-tiet-kiem-truoc-thoi-han" TargetMode="External"/><Relationship Id="rId538" Type="http://schemas.openxmlformats.org/officeDocument/2006/relationships/hyperlink" Target="https://techcombank.com/thong-tin/blog/dao-han-la-gi" TargetMode="External"/><Relationship Id="rId537" Type="http://schemas.openxmlformats.org/officeDocument/2006/relationships/hyperlink" Target="https://techcombank.com/thong-tin/blog/cach-tinh-lai-suat-tien-gui-tiet-kiem" TargetMode="External"/><Relationship Id="rId532" Type="http://schemas.openxmlformats.org/officeDocument/2006/relationships/hyperlink" Target="https://techcombank.com/thong-tin/blog/gui-tiet-kiem-lay-lai-hang-thang" TargetMode="External"/><Relationship Id="rId531" Type="http://schemas.openxmlformats.org/officeDocument/2006/relationships/hyperlink" Target="https://techcombank.com/thong-tin/blog/cach-tinh-lai-suat-tien-gui-tiet-kiem" TargetMode="External"/><Relationship Id="rId530" Type="http://schemas.openxmlformats.org/officeDocument/2006/relationships/hyperlink" Target="https://techcombank.com/thong-tin/blog/lai-kep-ngan-hang" TargetMode="External"/><Relationship Id="rId569" Type="http://schemas.openxmlformats.org/officeDocument/2006/relationships/hyperlink" Target="https://techcombank.com/thong-tin/blog/rui-ro-khi-gui-tiet-kiem-online" TargetMode="External"/><Relationship Id="rId568" Type="http://schemas.openxmlformats.org/officeDocument/2006/relationships/hyperlink" Target="https://techcombank.com/thong-tin/blog/the-nao-la-tiet-kiem" TargetMode="External"/><Relationship Id="rId567" Type="http://schemas.openxmlformats.org/officeDocument/2006/relationships/hyperlink" Target="https://techcombank.com/thong-tin/blog/cach-tiet-kiem-tien" TargetMode="External"/><Relationship Id="rId566" Type="http://schemas.openxmlformats.org/officeDocument/2006/relationships/hyperlink" Target="https://techcombank.com/thong-tin/blog/loi-ich-cua-viec-tiet-kiem-tien" TargetMode="External"/><Relationship Id="rId561" Type="http://schemas.openxmlformats.org/officeDocument/2006/relationships/hyperlink" Target="https://techcombank.com/thong-tin/blog/cach-tiet-kiem-tien" TargetMode="External"/><Relationship Id="rId560" Type="http://schemas.openxmlformats.org/officeDocument/2006/relationships/hyperlink" Target="https://techcombank.com/thong-tin/blog/cach-tiet-kiem-tien-theo-tuan" TargetMode="External"/><Relationship Id="rId565" Type="http://schemas.openxmlformats.org/officeDocument/2006/relationships/hyperlink" Target="https://techcombank.com/thong-tin/blog/cach-tiet-kiem-tien" TargetMode="External"/><Relationship Id="rId564" Type="http://schemas.openxmlformats.org/officeDocument/2006/relationships/hyperlink" Target="https://techcombank.com/thong-tin/blog/hoc-cach-tiet-kiem-tien-luong" TargetMode="External"/><Relationship Id="rId563" Type="http://schemas.openxmlformats.org/officeDocument/2006/relationships/hyperlink" Target="https://techcombank.com/thong-tin/blog/cach-tiet-kiem-tien" TargetMode="External"/><Relationship Id="rId562" Type="http://schemas.openxmlformats.org/officeDocument/2006/relationships/hyperlink" Target="https://techcombank.com/thong-tin/blog/tiet-kiem-tien-moi-ngay" TargetMode="External"/><Relationship Id="rId558" Type="http://schemas.openxmlformats.org/officeDocument/2006/relationships/hyperlink" Target="https://techcombank.com/thong-tin/blog/quy-trinh-gui-tien-tiet-kiem" TargetMode="External"/><Relationship Id="rId557" Type="http://schemas.openxmlformats.org/officeDocument/2006/relationships/hyperlink" Target="https://techcombank.com/thong-tin/blog/so-tiet-kiem-ngan-hang" TargetMode="External"/><Relationship Id="rId556" Type="http://schemas.openxmlformats.org/officeDocument/2006/relationships/hyperlink" Target="https://techcombank.com/thong-tin/blog/gui-them-tien-vao-so-tiet-kiem" TargetMode="External"/><Relationship Id="rId555" Type="http://schemas.openxmlformats.org/officeDocument/2006/relationships/hyperlink" Target="https://techcombank.com/thong-tin/blog/so-tiet-kiem-ngan-hang" TargetMode="External"/><Relationship Id="rId559" Type="http://schemas.openxmlformats.org/officeDocument/2006/relationships/hyperlink" Target="https://techcombank.com/thong-tin/blog/cach-tiet-kiem-tien" TargetMode="External"/><Relationship Id="rId550" Type="http://schemas.openxmlformats.org/officeDocument/2006/relationships/hyperlink" Target="https://techcombank.com/thong-tin/blog/mo-so-tiet-kiem-can-bao-nhieu-tien" TargetMode="External"/><Relationship Id="rId554" Type="http://schemas.openxmlformats.org/officeDocument/2006/relationships/hyperlink" Target="https://techcombank.com/thong-tin/blog/mat-so-tiet-kiem" TargetMode="External"/><Relationship Id="rId553" Type="http://schemas.openxmlformats.org/officeDocument/2006/relationships/hyperlink" Target="https://techcombank.com/thong-tin/blog/so-tiet-kiem-ngan-hang" TargetMode="External"/><Relationship Id="rId552" Type="http://schemas.openxmlformats.org/officeDocument/2006/relationships/hyperlink" Target="https://techcombank.com/thong-tin/blog/tai-khoan-tiet-kiem" TargetMode="External"/><Relationship Id="rId551" Type="http://schemas.openxmlformats.org/officeDocument/2006/relationships/hyperlink" Target="https://techcombank.com/thong-tin/blog/so-tiet-kiem-ngan-hang" TargetMode="External"/><Relationship Id="rId495" Type="http://schemas.openxmlformats.org/officeDocument/2006/relationships/hyperlink" Target="https://techcombank.com/thong-tin/blog/cach-tinh-lai-vay-ngan-hang" TargetMode="External"/><Relationship Id="rId494" Type="http://schemas.openxmlformats.org/officeDocument/2006/relationships/hyperlink" Target="https://techcombank.com/thong-tin/blog/du-no-la-gi" TargetMode="External"/><Relationship Id="rId493" Type="http://schemas.openxmlformats.org/officeDocument/2006/relationships/hyperlink" Target="https://techcombank.com/thong-tin/blog/cach-tinh-lai-vay-ngan-hang" TargetMode="External"/><Relationship Id="rId492" Type="http://schemas.openxmlformats.org/officeDocument/2006/relationships/hyperlink" Target="https://techcombank.com/thong-tin/blog/ho-kinh-doanh-ca-the" TargetMode="External"/><Relationship Id="rId499" Type="http://schemas.openxmlformats.org/officeDocument/2006/relationships/hyperlink" Target="https://techcombank.com/thong-tin/blog/cach-tinh-lai-vay-ngan-hang" TargetMode="External"/><Relationship Id="rId498" Type="http://schemas.openxmlformats.org/officeDocument/2006/relationships/hyperlink" Target="https://techcombank.com/thong-tin/blog/lai-suat-tha-noi" TargetMode="External"/><Relationship Id="rId497" Type="http://schemas.openxmlformats.org/officeDocument/2006/relationships/hyperlink" Target="https://techcombank.com/thong-tin/blog/cach-tinh-lai-vay-ngan-hang" TargetMode="External"/><Relationship Id="rId496" Type="http://schemas.openxmlformats.org/officeDocument/2006/relationships/hyperlink" Target="https://techcombank.com/thong-tin/blog/an-han-no-goc-la-gi" TargetMode="External"/><Relationship Id="rId409" Type="http://schemas.openxmlformats.org/officeDocument/2006/relationships/hyperlink" Target="https://techcombank.com/thong-tin/blog/cach-nhan-tien-tu-nuoc-ngoai-ve-viet-nam" TargetMode="External"/><Relationship Id="rId404" Type="http://schemas.openxmlformats.org/officeDocument/2006/relationships/hyperlink" Target="https://techcombank.com/thong-tin/blog/1-trieu-won-bang-bao-nhieu-tien-viet" TargetMode="External"/><Relationship Id="rId403" Type="http://schemas.openxmlformats.org/officeDocument/2006/relationships/hyperlink" Target="https://techcombank.com/thong-tin/blog/1000-won-bang-bao-nhieu-tien-viet" TargetMode="External"/><Relationship Id="rId402" Type="http://schemas.openxmlformats.org/officeDocument/2006/relationships/hyperlink" Target="https://techcombank.com/thong-tin/blog/1-won-bang-bao-nhieu-tien-viet" TargetMode="External"/><Relationship Id="rId401" Type="http://schemas.openxmlformats.org/officeDocument/2006/relationships/hyperlink" Target="https://techcombank.com/thong-tin/blog/1000-won-bang-bao-nhieu-tien-viet" TargetMode="External"/><Relationship Id="rId408" Type="http://schemas.openxmlformats.org/officeDocument/2006/relationships/hyperlink" Target="https://techcombank.com/thong-tin/blog/chuyen-tien-tu-han-sang-viet-nam" TargetMode="External"/><Relationship Id="rId407" Type="http://schemas.openxmlformats.org/officeDocument/2006/relationships/hyperlink" Target="https://techcombank.com/thong-tin/blog/1000-won-bang-bao-nhieu-tien-viet" TargetMode="External"/><Relationship Id="rId406" Type="http://schemas.openxmlformats.org/officeDocument/2006/relationships/hyperlink" Target="https://techcombank.com/thong-tin/blog/thanh-toan-khi-du-lich-han-quoc" TargetMode="External"/><Relationship Id="rId405" Type="http://schemas.openxmlformats.org/officeDocument/2006/relationships/hyperlink" Target="https://techcombank.com/thong-tin/blog/1000-won-bang-bao-nhieu-tien-viet" TargetMode="External"/><Relationship Id="rId400" Type="http://schemas.openxmlformats.org/officeDocument/2006/relationships/hyperlink" Target="https://techcombank.com/thong-tin/blog/xu-huong-ty-gia-usd" TargetMode="External"/><Relationship Id="rId469" Type="http://schemas.openxmlformats.org/officeDocument/2006/relationships/hyperlink" Target="https://techcombank.com/thong-tin/blog/gui-ma-qr-ngan-hang" TargetMode="External"/><Relationship Id="rId468" Type="http://schemas.openxmlformats.org/officeDocument/2006/relationships/hyperlink" Target="https://techcombank.com/thong-tin/blog/lo-ma-qr-ngan-hang-co-sao-khong" TargetMode="External"/><Relationship Id="rId467" Type="http://schemas.openxmlformats.org/officeDocument/2006/relationships/hyperlink" Target="https://techcombank.com/thong-tin/blog/gui-ma-qr-ngan-hang" TargetMode="External"/><Relationship Id="rId462" Type="http://schemas.openxmlformats.org/officeDocument/2006/relationships/hyperlink" Target="https://techcombank.com/thong-tin/blog/one-stop-shop" TargetMode="External"/><Relationship Id="rId461" Type="http://schemas.openxmlformats.org/officeDocument/2006/relationships/hyperlink" Target="https://techcombank.com/thong-tin/blog/mo-hinh-kinh-doanh-la-gi" TargetMode="External"/><Relationship Id="rId460" Type="http://schemas.openxmlformats.org/officeDocument/2006/relationships/hyperlink" Target="https://techcombank.com/thong-tin/blog/kinh-doanh-online" TargetMode="External"/><Relationship Id="rId466" Type="http://schemas.openxmlformats.org/officeDocument/2006/relationships/hyperlink" Target="https://techcombank.com/thong-tin/blog/in-ma-qr-ngan-hang" TargetMode="External"/><Relationship Id="rId465" Type="http://schemas.openxmlformats.org/officeDocument/2006/relationships/hyperlink" Target="https://techcombank.com/thong-tin/blog/gui-ma-qr-ngan-hang" TargetMode="External"/><Relationship Id="rId464" Type="http://schemas.openxmlformats.org/officeDocument/2006/relationships/hyperlink" Target="https://techcombank.com/thong-tin/blog/cach-tao-ma-qr" TargetMode="External"/><Relationship Id="rId463" Type="http://schemas.openxmlformats.org/officeDocument/2006/relationships/hyperlink" Target="https://techcombank.com/thong-tin/blog/gui-ma-qr-ngan-hang" TargetMode="External"/><Relationship Id="rId459" Type="http://schemas.openxmlformats.org/officeDocument/2006/relationships/hyperlink" Target="https://techcombank.com/thong-tin/blog/mo-hinh-kinh-doanh-la-gi" TargetMode="External"/><Relationship Id="rId458" Type="http://schemas.openxmlformats.org/officeDocument/2006/relationships/hyperlink" Target="https://techcombank.com/thong-tin/blog/nhuong-quyen-la-gi" TargetMode="External"/><Relationship Id="rId457" Type="http://schemas.openxmlformats.org/officeDocument/2006/relationships/hyperlink" Target="https://techcombank.com/thong-tin/blog/mo-hinh-kinh-doanh-la-gi" TargetMode="External"/><Relationship Id="rId456" Type="http://schemas.openxmlformats.org/officeDocument/2006/relationships/hyperlink" Target="https://techcombank.com/thong-tin/blog/thue-ho-kinh-doanh-2025" TargetMode="External"/><Relationship Id="rId451" Type="http://schemas.openxmlformats.org/officeDocument/2006/relationships/hyperlink" Target="https://techcombank.com/thong-tin/blog/ho-kinh-doanh-dong-thue-nhu-nao" TargetMode="External"/><Relationship Id="rId450" Type="http://schemas.openxmlformats.org/officeDocument/2006/relationships/hyperlink" Target="https://techcombank.com/thong-tin/blog/thue-khoan-ho-kinh-doanh-la-gi" TargetMode="External"/><Relationship Id="rId455" Type="http://schemas.openxmlformats.org/officeDocument/2006/relationships/hyperlink" Target="https://techcombank.com/thong-tin/blog/ho-kinh-doanh-dong-thue-nhu-nao" TargetMode="External"/><Relationship Id="rId454" Type="http://schemas.openxmlformats.org/officeDocument/2006/relationships/hyperlink" Target="https://techcombank.com/thong-tin/blog/truy-thu-thue-ho-kinh-doanh" TargetMode="External"/><Relationship Id="rId453" Type="http://schemas.openxmlformats.org/officeDocument/2006/relationships/hyperlink" Target="https://techcombank.com/thong-tin/blog/ho-kinh-doanh-dong-thue-nhu-nao" TargetMode="External"/><Relationship Id="rId452" Type="http://schemas.openxmlformats.org/officeDocument/2006/relationships/hyperlink" Target="https://techcombank.com/thong-tin/blog/nhung-ho-kinh-doanh-duoc-mien-thue" TargetMode="External"/><Relationship Id="rId491" Type="http://schemas.openxmlformats.org/officeDocument/2006/relationships/hyperlink" Target="https://techcombank.com/thong-tin/blog/cach-tinh-thue-ho-kinh-doanh-nho-le" TargetMode="External"/><Relationship Id="rId490" Type="http://schemas.openxmlformats.org/officeDocument/2006/relationships/hyperlink" Target="https://techcombank.com/thong-tin/blog/chinh-sach-thue-moi" TargetMode="External"/><Relationship Id="rId489" Type="http://schemas.openxmlformats.org/officeDocument/2006/relationships/hyperlink" Target="https://techcombank.com/thong-tin/blog/cach-tinh-thue-ho-kinh-doanh-nho-le" TargetMode="External"/><Relationship Id="rId484" Type="http://schemas.openxmlformats.org/officeDocument/2006/relationships/hyperlink" Target="https://techcombank.com/thong-tin/blog/ke-khai-thue-ho-kinh-doanh-ca-the-online" TargetMode="External"/><Relationship Id="rId483" Type="http://schemas.openxmlformats.org/officeDocument/2006/relationships/hyperlink" Target="https://techcombank.com/thong-tin/blog/cach-tinh-thue-ho-kinh-doanh-nho-le" TargetMode="External"/><Relationship Id="rId482" Type="http://schemas.openxmlformats.org/officeDocument/2006/relationships/hyperlink" Target="https://techcombank.com/thong-tin/blog/cach-dang-ky-ma-so-thue-ho-kinh-doanh-online" TargetMode="External"/><Relationship Id="rId481" Type="http://schemas.openxmlformats.org/officeDocument/2006/relationships/hyperlink" Target="https://techcombank.com/thong-tin/blog/mo-tai-khoan-ho-kinh-doanh" TargetMode="External"/><Relationship Id="rId488" Type="http://schemas.openxmlformats.org/officeDocument/2006/relationships/hyperlink" Target="https://techcombank.com/thong-tin/blog/thue-thuong-mai-dien-tu" TargetMode="External"/><Relationship Id="rId487" Type="http://schemas.openxmlformats.org/officeDocument/2006/relationships/hyperlink" Target="https://techcombank.com/thong-tin/blog/cach-tinh-thue-ho-kinh-doanh-nho-le" TargetMode="External"/><Relationship Id="rId486" Type="http://schemas.openxmlformats.org/officeDocument/2006/relationships/hyperlink" Target="https://techcombank.com/thong-tin/blog/kiem-tra-thue-ho-kinh-doanh" TargetMode="External"/><Relationship Id="rId485" Type="http://schemas.openxmlformats.org/officeDocument/2006/relationships/hyperlink" Target="https://techcombank.com/thong-tin/blog/cach-tinh-thue-ho-kinh-doanh-nho-le" TargetMode="External"/><Relationship Id="rId480" Type="http://schemas.openxmlformats.org/officeDocument/2006/relationships/hyperlink" Target="https://techcombank.com/thong-tin/blog/ho-kinh-doanh-ca-the" TargetMode="External"/><Relationship Id="rId479" Type="http://schemas.openxmlformats.org/officeDocument/2006/relationships/hyperlink" Target="https://techcombank.com/thong-tin/blog/mo-tai-khoan-ho-kinh-doanh" TargetMode="External"/><Relationship Id="rId478" Type="http://schemas.openxmlformats.org/officeDocument/2006/relationships/hyperlink" Target="https://techcombank.com/thong-tin/blog/khai-bao-tai-khoan-ngan-hang-voi-co-quan-thue" TargetMode="External"/><Relationship Id="rId473" Type="http://schemas.openxmlformats.org/officeDocument/2006/relationships/hyperlink" Target="https://techcombank.com/thong-tin/blog/mo-tai-khoan-ho-kinh-doanh" TargetMode="External"/><Relationship Id="rId472" Type="http://schemas.openxmlformats.org/officeDocument/2006/relationships/hyperlink" Target="https://techcombank.com/thong-tin/blog/ma-qr-ngan-hang-khong-hop-le" TargetMode="External"/><Relationship Id="rId471" Type="http://schemas.openxmlformats.org/officeDocument/2006/relationships/hyperlink" Target="https://techcombank.com/thong-tin/blog/gui-ma-qr-ngan-hang" TargetMode="External"/><Relationship Id="rId470" Type="http://schemas.openxmlformats.org/officeDocument/2006/relationships/hyperlink" Target="https://techcombank.com/thong-tin/blog/lam-ma-qr-ngan-hang-co-mat-phi-khong" TargetMode="External"/><Relationship Id="rId477" Type="http://schemas.openxmlformats.org/officeDocument/2006/relationships/hyperlink" Target="https://techcombank.com/thong-tin/blog/mo-tai-khoan-ho-kinh-doanh" TargetMode="External"/><Relationship Id="rId476" Type="http://schemas.openxmlformats.org/officeDocument/2006/relationships/hyperlink" Target="https://techcombank.com/thong-tin/blog/thanh-lap-ho-kinh-doanh-ca-the" TargetMode="External"/><Relationship Id="rId475" Type="http://schemas.openxmlformats.org/officeDocument/2006/relationships/hyperlink" Target="https://techcombank.com/thong-tin/blog/mo-tai-khoan-ho-kinh-doanh" TargetMode="External"/><Relationship Id="rId474" Type="http://schemas.openxmlformats.org/officeDocument/2006/relationships/hyperlink" Target="https://techcombank.com/thong-tin/blog/ho-kinh-doanh-can-gi-o-tai-khoan-ngan-hang" TargetMode="External"/><Relationship Id="rId426" Type="http://schemas.openxmlformats.org/officeDocument/2006/relationships/hyperlink" Target="https://techcombank.com/thong-tin/blog/di-du-lich-nuoc-ngoai-can-chuan-bi-gi" TargetMode="External"/><Relationship Id="rId425" Type="http://schemas.openxmlformats.org/officeDocument/2006/relationships/hyperlink" Target="https://techcombank.com/thong-tin/blog/doi-tien-do-o-dau" TargetMode="External"/><Relationship Id="rId424" Type="http://schemas.openxmlformats.org/officeDocument/2006/relationships/hyperlink" Target="https://techcombank.com/thong-tin/blog/ty-gia-cac-ngan-hang" TargetMode="External"/><Relationship Id="rId423" Type="http://schemas.openxmlformats.org/officeDocument/2006/relationships/hyperlink" Target="https://techcombank.com/thong-tin/blog/doi-tien-do-o-dau" TargetMode="External"/><Relationship Id="rId429" Type="http://schemas.openxmlformats.org/officeDocument/2006/relationships/hyperlink" Target="https://techcombank.com/thong-tin/blog/vay-ngan-hang-1-ty-moi-thang-tra-bao-nhieu" TargetMode="External"/><Relationship Id="rId428" Type="http://schemas.openxmlformats.org/officeDocument/2006/relationships/hyperlink" Target="https://techcombank.com/thong-tin/blog/1-trieu-do-bang-bao-nhieu-tien-viet" TargetMode="External"/><Relationship Id="rId427" Type="http://schemas.openxmlformats.org/officeDocument/2006/relationships/hyperlink" Target="https://techcombank.com/thong-tin/blog/doi-tien-do-o-dau" TargetMode="External"/><Relationship Id="rId422" Type="http://schemas.openxmlformats.org/officeDocument/2006/relationships/hyperlink" Target="https://techcombank.com/thong-tin/blog/han-muc-mua-ngoai-te-khi-di-du-lich" TargetMode="External"/><Relationship Id="rId421" Type="http://schemas.openxmlformats.org/officeDocument/2006/relationships/hyperlink" Target="https://techcombank.com/thong-tin/blog/doi-tien-do-o-dau" TargetMode="External"/><Relationship Id="rId420" Type="http://schemas.openxmlformats.org/officeDocument/2006/relationships/hyperlink" Target="https://techcombank.com/thong-tin/blog/dieu-kien-mua-usd-tu-ngan-hang" TargetMode="External"/><Relationship Id="rId415" Type="http://schemas.openxmlformats.org/officeDocument/2006/relationships/hyperlink" Target="https://techcombank.com/thong-tin/blog/cach-nhan-tien-tu-nuoc-ngoai-ve-viet-nam" TargetMode="External"/><Relationship Id="rId414" Type="http://schemas.openxmlformats.org/officeDocument/2006/relationships/hyperlink" Target="https://techcombank.com/thong-tin/blog/ma-swift-ngan-hang" TargetMode="External"/><Relationship Id="rId413" Type="http://schemas.openxmlformats.org/officeDocument/2006/relationships/hyperlink" Target="https://techcombank.com/thong-tin/blog/cach-nhan-tien-tu-nuoc-ngoai-ve-viet-nam" TargetMode="External"/><Relationship Id="rId412" Type="http://schemas.openxmlformats.org/officeDocument/2006/relationships/hyperlink" Target="https://techcombank.com/thong-tin/blog/nhan-tien-western-union" TargetMode="External"/><Relationship Id="rId419" Type="http://schemas.openxmlformats.org/officeDocument/2006/relationships/hyperlink" Target="https://techcombank.com/thong-tin/blog/doi-tien-do-o-dau" TargetMode="External"/><Relationship Id="rId418" Type="http://schemas.openxmlformats.org/officeDocument/2006/relationships/hyperlink" Target="https://techcombank.com/thong-tin/blog/remittance-la-gi" TargetMode="External"/><Relationship Id="rId417" Type="http://schemas.openxmlformats.org/officeDocument/2006/relationships/hyperlink" Target="https://techcombank.com/thong-tin/blog/cach-nhan-tien-tu-nuoc-ngoai-ve-viet-nam" TargetMode="External"/><Relationship Id="rId416" Type="http://schemas.openxmlformats.org/officeDocument/2006/relationships/hyperlink" Target="https://techcombank.com/thong-tin/blog/chuyen-tien-tu-my-ve-viet-nam" TargetMode="External"/><Relationship Id="rId411" Type="http://schemas.openxmlformats.org/officeDocument/2006/relationships/hyperlink" Target="https://techcombank.com/thong-tin/blog/cach-nhan-tien-tu-nuoc-ngoai-ve-viet-nam" TargetMode="External"/><Relationship Id="rId410" Type="http://schemas.openxmlformats.org/officeDocument/2006/relationships/hyperlink" Target="https://techcombank.com/thong-tin/blog/kieu-hoi-la-gi" TargetMode="External"/><Relationship Id="rId448" Type="http://schemas.openxmlformats.org/officeDocument/2006/relationships/hyperlink" Target="https://techcombank.com/thong-tin/blog/ho-kinh-doanh-la-gi" TargetMode="External"/><Relationship Id="rId447" Type="http://schemas.openxmlformats.org/officeDocument/2006/relationships/hyperlink" Target="https://techcombank.com/thong-tin/blog/ho-kinh-doanh-dong-thue-nhu-nao" TargetMode="External"/><Relationship Id="rId446" Type="http://schemas.openxmlformats.org/officeDocument/2006/relationships/hyperlink" Target="https://techcombank.com/thong-tin/blog/tich-diem-doi-qua" TargetMode="External"/><Relationship Id="rId445" Type="http://schemas.openxmlformats.org/officeDocument/2006/relationships/hyperlink" Target="https://techcombank.com/thong-tin/blog/traveloka-voucher" TargetMode="External"/><Relationship Id="rId449" Type="http://schemas.openxmlformats.org/officeDocument/2006/relationships/hyperlink" Target="https://techcombank.com/thong-tin/blog/ho-kinh-doanh-dong-thue-nhu-nao" TargetMode="External"/><Relationship Id="rId440" Type="http://schemas.openxmlformats.org/officeDocument/2006/relationships/hyperlink" Target="https://techcombank.com/thong-tin/blog/dat-ve-may-bay" TargetMode="External"/><Relationship Id="rId444" Type="http://schemas.openxmlformats.org/officeDocument/2006/relationships/hyperlink" Target="https://techcombank.com/thong-tin/blog/techcombank-oneu" TargetMode="External"/><Relationship Id="rId443" Type="http://schemas.openxmlformats.org/officeDocument/2006/relationships/hyperlink" Target="https://techcombank.com/thong-tin/blog/traveloka-voucher" TargetMode="External"/><Relationship Id="rId442" Type="http://schemas.openxmlformats.org/officeDocument/2006/relationships/hyperlink" Target="https://techcombank.com/thong-tin/blog/mua-ve-may-bay-gia-re" TargetMode="External"/><Relationship Id="rId441" Type="http://schemas.openxmlformats.org/officeDocument/2006/relationships/hyperlink" Target="https://techcombank.com/thong-tin/blog/traveloka-voucher" TargetMode="External"/><Relationship Id="rId437" Type="http://schemas.openxmlformats.org/officeDocument/2006/relationships/hyperlink" Target="https://techcombank.com/thong-tin/blog/vay-ngan-hang-1-ty-moi-thang-tra-bao-nhieu" TargetMode="External"/><Relationship Id="rId436" Type="http://schemas.openxmlformats.org/officeDocument/2006/relationships/hyperlink" Target="https://techcombank.com/thong-tin/blog/vay-mua-chung-cu" TargetMode="External"/><Relationship Id="rId435" Type="http://schemas.openxmlformats.org/officeDocument/2006/relationships/hyperlink" Target="https://techcombank.com/thong-tin/blog/vay-ngan-hang-1-ty-moi-thang-tra-bao-nhieu" TargetMode="External"/><Relationship Id="rId434" Type="http://schemas.openxmlformats.org/officeDocument/2006/relationships/hyperlink" Target="https://techcombank.com/thong-tin/blog/kinh-nghiem-vay-tien-mua-nha" TargetMode="External"/><Relationship Id="rId439" Type="http://schemas.openxmlformats.org/officeDocument/2006/relationships/hyperlink" Target="https://techcombank.com/thong-tin/blog/traveloka-voucher" TargetMode="External"/><Relationship Id="rId438" Type="http://schemas.openxmlformats.org/officeDocument/2006/relationships/hyperlink" Target="https://techcombank.com/thong-tin/blog/lai-suat-vay-the-chap" TargetMode="External"/><Relationship Id="rId433" Type="http://schemas.openxmlformats.org/officeDocument/2006/relationships/hyperlink" Target="https://techcombank.com/thong-tin/blog/vay-ngan-hang-1-ty-moi-thang-tra-bao-nhieu" TargetMode="External"/><Relationship Id="rId432" Type="http://schemas.openxmlformats.org/officeDocument/2006/relationships/hyperlink" Target="https://techcombank.com/thong-tin/blog/thu-tuc-vay-ngan-hang-mua-nha" TargetMode="External"/><Relationship Id="rId431" Type="http://schemas.openxmlformats.org/officeDocument/2006/relationships/hyperlink" Target="https://techcombank.com/thong-tin/blog/vay-ngan-hang-1-ty-moi-thang-tra-bao-nhieu" TargetMode="External"/><Relationship Id="rId430" Type="http://schemas.openxmlformats.org/officeDocument/2006/relationships/hyperlink" Target="https://techcombank.com/thong-tin/blog/co-nen-vay-ngan-hang-mua-nha" TargetMode="External"/><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vay-mua-xe-tra-gop-ngan-hang-nao-tot-nhat" TargetMode="External"/><Relationship Id="rId3" Type="http://schemas.openxmlformats.org/officeDocument/2006/relationships/hyperlink" Target="https://techcombank.com/thong-tin/blog/lai-suat-vay-mua-o-to" TargetMode="External"/><Relationship Id="rId4" Type="http://schemas.openxmlformats.org/officeDocument/2006/relationships/hyperlink" Target="https://techcombank.com/thong-tin/blog/co-nen-mua-o-to-tra-gop" TargetMode="External"/><Relationship Id="rId9" Type="http://schemas.openxmlformats.org/officeDocument/2006/relationships/hyperlink" Target="https://techcombank.com/thong-tin/blog/lai-suat-vay-mua-o-to" TargetMode="External"/><Relationship Id="rId5" Type="http://schemas.openxmlformats.org/officeDocument/2006/relationships/hyperlink" Target="https://techcombank.com/thong-tin/blog/lai-suat-vay-mua-o-to" TargetMode="External"/><Relationship Id="rId6" Type="http://schemas.openxmlformats.org/officeDocument/2006/relationships/hyperlink" Target="https://techcombank.com/thong-tin/blog/thu-tuc-mua-xe-tra-gop" TargetMode="External"/><Relationship Id="rId7" Type="http://schemas.openxmlformats.org/officeDocument/2006/relationships/hyperlink" Target="https://techcombank.com/thong-tin/blog/lai-suat-vay-mua-o-to" TargetMode="External"/><Relationship Id="rId8" Type="http://schemas.openxmlformats.org/officeDocument/2006/relationships/hyperlink" Target="https://techcombank.com/thong-tin/blog/nen-mua-xe-tra-gop-hay-tra-thang" TargetMode="External"/><Relationship Id="rId629" Type="http://schemas.openxmlformats.org/officeDocument/2006/relationships/hyperlink" Target="https://techcombank.com/thong-tin/blog/kiem-tra-no-xau" TargetMode="External"/><Relationship Id="rId624" Type="http://schemas.openxmlformats.org/officeDocument/2006/relationships/hyperlink" Target="https://techcombank.com/thong-tin/blog/thoi-han-vay-thau-chi" TargetMode="External"/><Relationship Id="rId623" Type="http://schemas.openxmlformats.org/officeDocument/2006/relationships/hyperlink" Target="https://techcombank.com/thong-tin/blog/vay-thau-chi-la-gi" TargetMode="External"/><Relationship Id="rId622" Type="http://schemas.openxmlformats.org/officeDocument/2006/relationships/hyperlink" Target="https://techcombank.com/thong-tin/blog/lai-suat-vay-thau-chi" TargetMode="External"/><Relationship Id="rId621" Type="http://schemas.openxmlformats.org/officeDocument/2006/relationships/hyperlink" Target="https://techcombank.com/thong-tin/blog/vay-thau-chi-la-gi" TargetMode="External"/><Relationship Id="rId628" Type="http://schemas.openxmlformats.org/officeDocument/2006/relationships/hyperlink" Target="https://techcombank.com/thong-tin/blog/vay-han-muc-la-gi" TargetMode="External"/><Relationship Id="rId627" Type="http://schemas.openxmlformats.org/officeDocument/2006/relationships/hyperlink" Target="https://techcombank.com/thong-tin/blog/vay-thau-chi-la-gi" TargetMode="External"/><Relationship Id="rId626" Type="http://schemas.openxmlformats.org/officeDocument/2006/relationships/hyperlink" Target="https://techcombank.com/thong-tin/blog/tra-no-vay-thau-chi-nhu-the-nao" TargetMode="External"/><Relationship Id="rId625" Type="http://schemas.openxmlformats.org/officeDocument/2006/relationships/hyperlink" Target="https://techcombank.com/thong-tin/blog/vay-thau-chi-la-gi" TargetMode="External"/><Relationship Id="rId620" Type="http://schemas.openxmlformats.org/officeDocument/2006/relationships/hyperlink" Target="https://techcombank.com/thong-tin/blog/han-muc-thau-chi-la-gi" TargetMode="External"/><Relationship Id="rId619" Type="http://schemas.openxmlformats.org/officeDocument/2006/relationships/hyperlink" Target="https://techcombank.com/thong-tin/blog/vay-thau-chi-la-gi" TargetMode="External"/><Relationship Id="rId618" Type="http://schemas.openxmlformats.org/officeDocument/2006/relationships/hyperlink" Target="https://techcombank.com/thong-tin/blog/lai-suat-qua-han" TargetMode="External"/><Relationship Id="rId613" Type="http://schemas.openxmlformats.org/officeDocument/2006/relationships/hyperlink" Target="https://techcombank.com/thong-tin/blog/lai-suat-vay-ngan-hang" TargetMode="External"/><Relationship Id="rId612" Type="http://schemas.openxmlformats.org/officeDocument/2006/relationships/hyperlink" Target="https://techcombank.com/thong-tin/blog/lai-suat-vay-tieu-dung" TargetMode="External"/><Relationship Id="rId611" Type="http://schemas.openxmlformats.org/officeDocument/2006/relationships/hyperlink" Target="https://techcombank.com/thong-tin/blog/lai-suat-vay-ngan-hang" TargetMode="External"/><Relationship Id="rId610" Type="http://schemas.openxmlformats.org/officeDocument/2006/relationships/hyperlink" Target="https://techcombank.com/thong-tin/blog/lai-suat-la-gi" TargetMode="External"/><Relationship Id="rId617" Type="http://schemas.openxmlformats.org/officeDocument/2006/relationships/hyperlink" Target="https://techcombank.com/thong-tin/blog/lai-suat-vay-ngan-hang" TargetMode="External"/><Relationship Id="rId616" Type="http://schemas.openxmlformats.org/officeDocument/2006/relationships/hyperlink" Target="https://techcombank.com/thong-tin/blog/dieu-kien-vay-von-ngan-hang" TargetMode="External"/><Relationship Id="rId615" Type="http://schemas.openxmlformats.org/officeDocument/2006/relationships/hyperlink" Target="https://techcombank.com/thong-tin/blog/lai-suat-vay-ngan-hang" TargetMode="External"/><Relationship Id="rId614" Type="http://schemas.openxmlformats.org/officeDocument/2006/relationships/hyperlink" Target="https://techcombank.com/thong-tin/blog/lai-suat-vay-tin-chap" TargetMode="External"/><Relationship Id="rId646" Type="http://schemas.openxmlformats.org/officeDocument/2006/relationships/hyperlink" Target="https://techcombank.com/thong-tin/blog/vay-tin-chap-va-vay-the-chap" TargetMode="External"/><Relationship Id="rId645" Type="http://schemas.openxmlformats.org/officeDocument/2006/relationships/hyperlink" Target="https://techcombank.com/thong-tin/blog/nen-vay-tin-chap-o-dau" TargetMode="External"/><Relationship Id="rId644" Type="http://schemas.openxmlformats.org/officeDocument/2006/relationships/hyperlink" Target="https://techcombank.com/thong-tin/blog/vay-tin-chap-toi-da-duoc-bao-nhieu" TargetMode="External"/><Relationship Id="rId643" Type="http://schemas.openxmlformats.org/officeDocument/2006/relationships/hyperlink" Target="https://techcombank.com/thong-tin/blog/nen-vay-tin-chap-o-dau" TargetMode="External"/><Relationship Id="rId649" Type="http://schemas.openxmlformats.org/officeDocument/2006/relationships/hyperlink" Target="https://techcombank.com/thong-tin/blog/no-xau-la-gi" TargetMode="External"/><Relationship Id="rId648" Type="http://schemas.openxmlformats.org/officeDocument/2006/relationships/hyperlink" Target="https://techcombank.com/thong-tin/blog/lai-suat-vay-tin-chap" TargetMode="External"/><Relationship Id="rId647" Type="http://schemas.openxmlformats.org/officeDocument/2006/relationships/hyperlink" Target="https://techcombank.com/thong-tin/blog/nen-vay-tin-chap-o-dau" TargetMode="External"/><Relationship Id="rId642" Type="http://schemas.openxmlformats.org/officeDocument/2006/relationships/hyperlink" Target="https://techcombank.com/thong-tin/blog/ho-so-vay-tin-chap" TargetMode="External"/><Relationship Id="rId641" Type="http://schemas.openxmlformats.org/officeDocument/2006/relationships/hyperlink" Target="https://techcombank.com/thong-tin/blog/nen-vay-tin-chap-o-dau" TargetMode="External"/><Relationship Id="rId640" Type="http://schemas.openxmlformats.org/officeDocument/2006/relationships/hyperlink" Target="https://techcombank.com/thong-tin/blog/vay-tin-chap-la-gi" TargetMode="External"/><Relationship Id="rId635" Type="http://schemas.openxmlformats.org/officeDocument/2006/relationships/hyperlink" Target="https://techcombank.com/thong-tin/blog/kiem-tra-no-xau" TargetMode="External"/><Relationship Id="rId634" Type="http://schemas.openxmlformats.org/officeDocument/2006/relationships/hyperlink" Target="https://techcombank.com/thong-tin/blog/vay-tin-chap-no-xau" TargetMode="External"/><Relationship Id="rId633" Type="http://schemas.openxmlformats.org/officeDocument/2006/relationships/hyperlink" Target="https://techcombank.com/thong-tin/blog/kiem-tra-no-xau" TargetMode="External"/><Relationship Id="rId632" Type="http://schemas.openxmlformats.org/officeDocument/2006/relationships/hyperlink" Target="https://techcombank.com/thong-tin/blog/no-xau-mo-the-tin-dung-duoc-khong" TargetMode="External"/><Relationship Id="rId639" Type="http://schemas.openxmlformats.org/officeDocument/2006/relationships/hyperlink" Target="https://techcombank.com/thong-tin/blog/nen-vay-tin-chap-o-dau" TargetMode="External"/><Relationship Id="rId638" Type="http://schemas.openxmlformats.org/officeDocument/2006/relationships/hyperlink" Target="https://techcombank.com/thong-tin/blog/no-xau-nhom-2" TargetMode="External"/><Relationship Id="rId637" Type="http://schemas.openxmlformats.org/officeDocument/2006/relationships/hyperlink" Target="https://techcombank.com/thong-tin/blog/kiem-tra-no-xau" TargetMode="External"/><Relationship Id="rId636" Type="http://schemas.openxmlformats.org/officeDocument/2006/relationships/hyperlink" Target="https://techcombank.com/thong-tin/blog/no-xau-co-vay-the-chap-duoc-khong" TargetMode="External"/><Relationship Id="rId631" Type="http://schemas.openxmlformats.org/officeDocument/2006/relationships/hyperlink" Target="https://techcombank.com/thong-tin/blog/kiem-tra-no-xau" TargetMode="External"/><Relationship Id="rId630" Type="http://schemas.openxmlformats.org/officeDocument/2006/relationships/hyperlink" Target="https://techcombank.com/thong-tin/blog/no-xau-co-lam-the-visa-duoc-khong" TargetMode="External"/><Relationship Id="rId609" Type="http://schemas.openxmlformats.org/officeDocument/2006/relationships/hyperlink" Target="https://techcombank.com/thong-tin/blog/lai-suat-vay-ngan-hang" TargetMode="External"/><Relationship Id="rId608" Type="http://schemas.openxmlformats.org/officeDocument/2006/relationships/hyperlink" Target="https://techcombank.com/thong-tin/blog/vay-sieu-toc" TargetMode="External"/><Relationship Id="rId607" Type="http://schemas.openxmlformats.org/officeDocument/2006/relationships/hyperlink" Target="https://techcombank.com/thong-tin/blog/app-vay-tien-nhanh" TargetMode="External"/><Relationship Id="rId602" Type="http://schemas.openxmlformats.org/officeDocument/2006/relationships/hyperlink" Target="https://techcombank.com/thong-tin/blog/vay-ngan-hang-chi-can-cccd" TargetMode="External"/><Relationship Id="rId601" Type="http://schemas.openxmlformats.org/officeDocument/2006/relationships/hyperlink" Target="https://techcombank.com/thong-tin/blog/app-vay-tien-nhanh" TargetMode="External"/><Relationship Id="rId600" Type="http://schemas.openxmlformats.org/officeDocument/2006/relationships/hyperlink" Target="https://techcombank.com/thong-tin/blog/vay-tien-online" TargetMode="External"/><Relationship Id="rId606" Type="http://schemas.openxmlformats.org/officeDocument/2006/relationships/hyperlink" Target="https://techcombank.com/thong-tin/blog/vay-50-trieu" TargetMode="External"/><Relationship Id="rId605" Type="http://schemas.openxmlformats.org/officeDocument/2006/relationships/hyperlink" Target="https://techcombank.com/thong-tin/blog/app-vay-tien-nhanh" TargetMode="External"/><Relationship Id="rId604" Type="http://schemas.openxmlformats.org/officeDocument/2006/relationships/hyperlink" Target="https://techcombank.com/thong-tin/blog/vay-30-trieu" TargetMode="External"/><Relationship Id="rId603" Type="http://schemas.openxmlformats.org/officeDocument/2006/relationships/hyperlink" Target="https://techcombank.com/thong-tin/blog/app-vay-tien-nhanh" TargetMode="External"/><Relationship Id="rId668" Type="http://schemas.openxmlformats.org/officeDocument/2006/relationships/hyperlink" Target="https://techcombank.com/thong-tin/blog/mua-chung-chi-quy" TargetMode="External"/><Relationship Id="rId667" Type="http://schemas.openxmlformats.org/officeDocument/2006/relationships/hyperlink" Target="https://techcombank.com/thong-tin/blog/phuong-phap-dau-tu-chung-chi-quy" TargetMode="External"/><Relationship Id="rId666" Type="http://schemas.openxmlformats.org/officeDocument/2006/relationships/hyperlink" Target="https://techcombank.com/thong-tin/blog/chung-chi-quy" TargetMode="External"/><Relationship Id="rId665" Type="http://schemas.openxmlformats.org/officeDocument/2006/relationships/hyperlink" Target="https://techcombank.com/thong-tin/blog/phuong-phap-dau-tu-chung-chi-quy" TargetMode="External"/><Relationship Id="rId669" Type="http://schemas.openxmlformats.org/officeDocument/2006/relationships/hyperlink" Target="https://techcombank.com/thong-tin/blog/phuong-phap-dau-tu-chung-chi-quy" TargetMode="External"/><Relationship Id="rId660" Type="http://schemas.openxmlformats.org/officeDocument/2006/relationships/hyperlink" Target="https://techcombank.com/thong-tin/blog/lai-suat-qua-han" TargetMode="External"/><Relationship Id="rId664" Type="http://schemas.openxmlformats.org/officeDocument/2006/relationships/hyperlink" Target="https://techcombank.com/thong-tin/blog/vay-tin-chap-la-gi" TargetMode="External"/><Relationship Id="rId663" Type="http://schemas.openxmlformats.org/officeDocument/2006/relationships/hyperlink" Target="https://techcombank.com/thong-tin/blog/vay-tin-chap-khong-tra-duoc-co-sao-khong" TargetMode="External"/><Relationship Id="rId662" Type="http://schemas.openxmlformats.org/officeDocument/2006/relationships/hyperlink" Target="https://techcombank.com/thong-tin/blog/no-the-tin-dung-qua-han" TargetMode="External"/><Relationship Id="rId661" Type="http://schemas.openxmlformats.org/officeDocument/2006/relationships/hyperlink" Target="https://techcombank.com/thong-tin/blog/vay-tin-chap-khong-tra-duoc-co-sao-khong" TargetMode="External"/><Relationship Id="rId657" Type="http://schemas.openxmlformats.org/officeDocument/2006/relationships/hyperlink" Target="https://techcombank.com/thong-tin/blog/vay-tin-chap-khong-tra-duoc-co-sao-khong" TargetMode="External"/><Relationship Id="rId656" Type="http://schemas.openxmlformats.org/officeDocument/2006/relationships/hyperlink" Target="https://techcombank.com/thong-tin/blog/no-the-tin-dung-qua-han" TargetMode="External"/><Relationship Id="rId655" Type="http://schemas.openxmlformats.org/officeDocument/2006/relationships/hyperlink" Target="https://techcombank.com/thong-tin/blog/no-xau-la-gi" TargetMode="External"/><Relationship Id="rId654" Type="http://schemas.openxmlformats.org/officeDocument/2006/relationships/hyperlink" Target="https://techcombank.com/thong-tin/blog/du-no-tin-dung-la-gi" TargetMode="External"/><Relationship Id="rId659" Type="http://schemas.openxmlformats.org/officeDocument/2006/relationships/hyperlink" Target="https://techcombank.com/thong-tin/blog/vay-tin-chap-khong-tra-duoc-co-sao-khong" TargetMode="External"/><Relationship Id="rId658" Type="http://schemas.openxmlformats.org/officeDocument/2006/relationships/hyperlink" Target="https://techcombank.com/thong-tin/blog/vay-the-chap-khong-tra-duoc" TargetMode="External"/><Relationship Id="rId653" Type="http://schemas.openxmlformats.org/officeDocument/2006/relationships/hyperlink" Target="https://techcombank.com/thong-tin/blog/no-xau-la-gi" TargetMode="External"/><Relationship Id="rId652" Type="http://schemas.openxmlformats.org/officeDocument/2006/relationships/hyperlink" Target="https://techcombank.com/thong-tin/blog/no-nhom-3" TargetMode="External"/><Relationship Id="rId651" Type="http://schemas.openxmlformats.org/officeDocument/2006/relationships/hyperlink" Target="https://techcombank.com/thong-tin/blog/no-xau-la-gi" TargetMode="External"/><Relationship Id="rId650" Type="http://schemas.openxmlformats.org/officeDocument/2006/relationships/hyperlink" Target="https://techcombank.com/thong-tin/blog/no-chu-y-la-gi" TargetMode="External"/><Relationship Id="rId671" Type="http://schemas.openxmlformats.org/officeDocument/2006/relationships/hyperlink" Target="https://techcombank.com/thong-tin/blog/phuong-phap-dau-tu-chung-chi-quy" TargetMode="External"/><Relationship Id="rId670" Type="http://schemas.openxmlformats.org/officeDocument/2006/relationships/hyperlink" Target="https://techcombank.com/thong-tin/blog/dau-tu-quy-mo" TargetMode="External"/><Relationship Id="rId675" Type="http://schemas.openxmlformats.org/officeDocument/2006/relationships/drawing" Target="../drawings/drawing8.xml"/><Relationship Id="rId674" Type="http://schemas.openxmlformats.org/officeDocument/2006/relationships/hyperlink" Target="https://techcombank.com/thong-tin/blog/chung-chi-quy-va-co-phieu" TargetMode="External"/><Relationship Id="rId673" Type="http://schemas.openxmlformats.org/officeDocument/2006/relationships/hyperlink" Target="https://techcombank.com/thong-tin/blog/phuong-phap-dau-tu-chung-chi-quy" TargetMode="External"/><Relationship Id="rId672" Type="http://schemas.openxmlformats.org/officeDocument/2006/relationships/hyperlink" Target="https://techcombank.com/thong-tin/blog/app-theo-doi-chung-chi-quy" TargetMode="External"/><Relationship Id="rId190" Type="http://schemas.openxmlformats.org/officeDocument/2006/relationships/hyperlink" Target="https://techcombank.com/thong-tin/blog/internet-banking" TargetMode="External"/><Relationship Id="rId194" Type="http://schemas.openxmlformats.org/officeDocument/2006/relationships/hyperlink" Target="https://techcombank.com/thong-tin/blog/smart-otp-la-gi" TargetMode="External"/><Relationship Id="rId193" Type="http://schemas.openxmlformats.org/officeDocument/2006/relationships/hyperlink" Target="https://techcombank.com/thong-tin/blog/ten-dang-nhap-tai-khoan-ngan-hang-la-gi" TargetMode="External"/><Relationship Id="rId192" Type="http://schemas.openxmlformats.org/officeDocument/2006/relationships/hyperlink" Target="https://techcombank.com/thong-tin/blog/cach-bao-ve-tai-khoan" TargetMode="External"/><Relationship Id="rId191" Type="http://schemas.openxmlformats.org/officeDocument/2006/relationships/hyperlink" Target="https://techcombank.com/thong-tin/blog/ten-dang-nhap-tai-khoan-ngan-hang-la-gi" TargetMode="External"/><Relationship Id="rId187" Type="http://schemas.openxmlformats.org/officeDocument/2006/relationships/hyperlink" Target="https://techcombank.com/thong-tin/blog/ten-dang-nhap-tai-khoan-ngan-hang-la-gi" TargetMode="External"/><Relationship Id="rId186" Type="http://schemas.openxmlformats.org/officeDocument/2006/relationships/hyperlink" Target="https://techcombank.com/thong-tin/blog/quyet-toan-thue-thu-nhap-ca-nhan" TargetMode="External"/><Relationship Id="rId185" Type="http://schemas.openxmlformats.org/officeDocument/2006/relationships/hyperlink" Target="https://techcombank.com/thong-tin/blog/kiem-tra-thue-thu-nhap-ca-nhan" TargetMode="External"/><Relationship Id="rId184" Type="http://schemas.openxmlformats.org/officeDocument/2006/relationships/hyperlink" Target="https://techcombank.com/thong-tin/blog/hoan-thue-thu-nhap-ca-nhan" TargetMode="External"/><Relationship Id="rId189" Type="http://schemas.openxmlformats.org/officeDocument/2006/relationships/hyperlink" Target="https://techcombank.com/thong-tin/blog/ten-dang-nhap-tai-khoan-ngan-hang-la-gi" TargetMode="External"/><Relationship Id="rId188" Type="http://schemas.openxmlformats.org/officeDocument/2006/relationships/hyperlink" Target="https://techcombank.com/thong-tin/blog/cach-doi-mat-khau-tai-khoan-ngan-hang" TargetMode="External"/><Relationship Id="rId183" Type="http://schemas.openxmlformats.org/officeDocument/2006/relationships/hyperlink" Target="https://techcombank.com/thong-tin/blog/kiem-tra-thue-thu-nhap-ca-nhan" TargetMode="External"/><Relationship Id="rId182" Type="http://schemas.openxmlformats.org/officeDocument/2006/relationships/hyperlink" Target="https://techcombank.com/thong-tin/blog/lien-ket-tai-khoan-ngan-hang-voi-etax-mobile" TargetMode="External"/><Relationship Id="rId181" Type="http://schemas.openxmlformats.org/officeDocument/2006/relationships/hyperlink" Target="https://techcombank.com/thong-tin/blog/kiem-tra-thue-thu-nhap-ca-nhan" TargetMode="External"/><Relationship Id="rId180" Type="http://schemas.openxmlformats.org/officeDocument/2006/relationships/hyperlink" Target="https://techcombank.com/thong-tin/blog/dang-ky-ma-so-thue-ca-nhan" TargetMode="External"/><Relationship Id="rId176" Type="http://schemas.openxmlformats.org/officeDocument/2006/relationships/hyperlink" Target="https://techcombank.com/thong-tin/blog/li-xi-so-dep" TargetMode="External"/><Relationship Id="rId175" Type="http://schemas.openxmlformats.org/officeDocument/2006/relationships/hyperlink" Target="https://techcombank.com/thong-tin/blog/day-so-phat-tai-phat-loc" TargetMode="External"/><Relationship Id="rId174" Type="http://schemas.openxmlformats.org/officeDocument/2006/relationships/hyperlink" Target="https://techcombank.com/thong-tin/blog/cach-chon-so-tai-khoan-dep" TargetMode="External"/><Relationship Id="rId173" Type="http://schemas.openxmlformats.org/officeDocument/2006/relationships/hyperlink" Target="https://techcombank.com/thong-tin/blog/day-so-phat-tai-phat-loc" TargetMode="External"/><Relationship Id="rId179" Type="http://schemas.openxmlformats.org/officeDocument/2006/relationships/hyperlink" Target="https://techcombank.com/thong-tin/blog/kiem-tra-thue-thu-nhap-ca-nhan" TargetMode="External"/><Relationship Id="rId178" Type="http://schemas.openxmlformats.org/officeDocument/2006/relationships/hyperlink" Target="https://techcombank.com/thong-tin/blog/tra-cuu-no-thue-ca-nhan" TargetMode="External"/><Relationship Id="rId177" Type="http://schemas.openxmlformats.org/officeDocument/2006/relationships/hyperlink" Target="https://techcombank.com/thong-tin/blog/kiem-tra-thue-thu-nhap-ca-nhan" TargetMode="External"/><Relationship Id="rId198" Type="http://schemas.openxmlformats.org/officeDocument/2006/relationships/hyperlink" Target="https://techcombank.com/thong-tin/blog/tien-chuyen-vao-tai-khoan-co-bi-tinh-thue-khong" TargetMode="External"/><Relationship Id="rId197" Type="http://schemas.openxmlformats.org/officeDocument/2006/relationships/hyperlink" Target="https://techcombank.com/thong-tin/blog/thue-thu-nhap-ca-nhan" TargetMode="External"/><Relationship Id="rId196" Type="http://schemas.openxmlformats.org/officeDocument/2006/relationships/hyperlink" Target="https://techcombank.com/thong-tin/blog/mat-so-dien-thoai-dang-ky-tai-khoan-ngan-hang" TargetMode="External"/><Relationship Id="rId195" Type="http://schemas.openxmlformats.org/officeDocument/2006/relationships/hyperlink" Target="https://techcombank.com/thong-tin/blog/ten-dang-nhap-tai-khoan-ngan-hang-la-gi" TargetMode="External"/><Relationship Id="rId199" Type="http://schemas.openxmlformats.org/officeDocument/2006/relationships/hyperlink" Target="https://techcombank.com/thong-tin/blog/thue-thu-nhap-ca-nhan" TargetMode="External"/><Relationship Id="rId150" Type="http://schemas.openxmlformats.org/officeDocument/2006/relationships/hyperlink" Target="https://techcombank.com/thong-tin/blog/mo-tai-khoan-ngan-hang-bang-so-dien-thoai" TargetMode="External"/><Relationship Id="rId149" Type="http://schemas.openxmlformats.org/officeDocument/2006/relationships/hyperlink" Target="https://techcombank.com/thong-tin/blog/mo-tai-khoan-ngan-hang-duoi-18-tuoi" TargetMode="External"/><Relationship Id="rId148" Type="http://schemas.openxmlformats.org/officeDocument/2006/relationships/hyperlink" Target="https://techcombank.com/thong-tin/blog/mo-tai-khoan-tiet-kiem-cho-con" TargetMode="External"/><Relationship Id="rId143" Type="http://schemas.openxmlformats.org/officeDocument/2006/relationships/hyperlink" Target="https://techcombank.com/thong-tin/blog/bao-nhieu-tuoi-duoc-mo-tai-khoan-ngan-hang" TargetMode="External"/><Relationship Id="rId142" Type="http://schemas.openxmlformats.org/officeDocument/2006/relationships/hyperlink" Target="https://techcombank.com/thong-tin/blog/hoc-sinh-sinh-vien-nen-lam-the-ngan-hang-nao" TargetMode="External"/><Relationship Id="rId141" Type="http://schemas.openxmlformats.org/officeDocument/2006/relationships/hyperlink" Target="https://techcombank.com/thong-tin/blog/bao-nhieu-tuoi-duoc-mo-tai-khoan-ngan-hang" TargetMode="External"/><Relationship Id="rId140" Type="http://schemas.openxmlformats.org/officeDocument/2006/relationships/hyperlink" Target="https://techcombank.com/thong-tin/blog/mo-tai-khoan-ngan-hang-cho-tre-em" TargetMode="External"/><Relationship Id="rId147" Type="http://schemas.openxmlformats.org/officeDocument/2006/relationships/hyperlink" Target="https://techcombank.com/thong-tin/blog/mo-tai-khoan-ngan-hang-duoi-18-tuoi" TargetMode="External"/><Relationship Id="rId146" Type="http://schemas.openxmlformats.org/officeDocument/2006/relationships/hyperlink" Target="https://techcombank.com/thong-tin/blog/the-debit-cho-con" TargetMode="External"/><Relationship Id="rId145" Type="http://schemas.openxmlformats.org/officeDocument/2006/relationships/hyperlink" Target="https://techcombank.com/thong-tin/blog/mo-tai-khoan-ngan-hang-duoi-18-tuoi" TargetMode="External"/><Relationship Id="rId144" Type="http://schemas.openxmlformats.org/officeDocument/2006/relationships/hyperlink" Target="https://techcombank.com/thong-tin/blog/cach-lam-the-atm" TargetMode="External"/><Relationship Id="rId139" Type="http://schemas.openxmlformats.org/officeDocument/2006/relationships/hyperlink" Target="https://techcombank.com/thong-tin/blog/bao-nhieu-tuoi-duoc-mo-tai-khoan-ngan-hang" TargetMode="External"/><Relationship Id="rId138" Type="http://schemas.openxmlformats.org/officeDocument/2006/relationships/hyperlink" Target="https://techcombank.com/thong-tin/blog/ngan-hang-thu-huong-la-gi" TargetMode="External"/><Relationship Id="rId137" Type="http://schemas.openxmlformats.org/officeDocument/2006/relationships/hyperlink" Target="https://techcombank.com/thong-tin/blog/chuyen-khoan-thanh-cong-nhung-khong-nhan-duoc-tien" TargetMode="External"/><Relationship Id="rId132" Type="http://schemas.openxmlformats.org/officeDocument/2006/relationships/hyperlink" Target="https://techcombank.com/thong-tin/blog/chuyen-khoan-lien-ngan-hang" TargetMode="External"/><Relationship Id="rId131" Type="http://schemas.openxmlformats.org/officeDocument/2006/relationships/hyperlink" Target="https://techcombank.com/thong-tin/blog/chuyen-khoan-thanh-cong-nhung-khong-nhan-duoc-tien" TargetMode="External"/><Relationship Id="rId130" Type="http://schemas.openxmlformats.org/officeDocument/2006/relationships/hyperlink" Target="https://techcombank.com/thong-tin/blog/cach-chuyen-tien" TargetMode="External"/><Relationship Id="rId136" Type="http://schemas.openxmlformats.org/officeDocument/2006/relationships/hyperlink" Target="https://techcombank.com/thong-tin/blog/chuyen-nham-tien-co-lay-lai-duoc-khong" TargetMode="External"/><Relationship Id="rId135" Type="http://schemas.openxmlformats.org/officeDocument/2006/relationships/hyperlink" Target="https://techcombank.com/thong-tin/blog/chuyen-khoan-thanh-cong-nhung-khong-nhan-duoc-tien" TargetMode="External"/><Relationship Id="rId134" Type="http://schemas.openxmlformats.org/officeDocument/2006/relationships/hyperlink" Target="https://techcombank.com/thong-tin/blog/ma-giao-dich-la-gi" TargetMode="External"/><Relationship Id="rId133" Type="http://schemas.openxmlformats.org/officeDocument/2006/relationships/hyperlink" Target="https://techcombank.com/thong-tin/blog/chuyen-khoan-thanh-cong-nhung-khong-nhan-duoc-tien" TargetMode="External"/><Relationship Id="rId172" Type="http://schemas.openxmlformats.org/officeDocument/2006/relationships/hyperlink" Target="https://techcombank.com/thong-tin/blog/so-tai-khoan-dep" TargetMode="External"/><Relationship Id="rId171" Type="http://schemas.openxmlformats.org/officeDocument/2006/relationships/hyperlink" Target="https://techcombank.com/thong-tin/blog/day-so-phat-tai-phat-loc" TargetMode="External"/><Relationship Id="rId170" Type="http://schemas.openxmlformats.org/officeDocument/2006/relationships/hyperlink" Target="https://techcombank.com/thong-tin/blog/so-6868" TargetMode="External"/><Relationship Id="rId165" Type="http://schemas.openxmlformats.org/officeDocument/2006/relationships/hyperlink" Target="https://techcombank.com/thong-tin/blog/cach-sao-ke-tai-khoan-ngan-hang" TargetMode="External"/><Relationship Id="rId164" Type="http://schemas.openxmlformats.org/officeDocument/2006/relationships/hyperlink" Target="https://techcombank.com/thong-tin/blog/sao-ke-tai-khoan-doanh-nghiep" TargetMode="External"/><Relationship Id="rId163" Type="http://schemas.openxmlformats.org/officeDocument/2006/relationships/hyperlink" Target="https://techcombank.com/thong-tin/blog/cach-sao-ke-tai-khoan-ngan-hang" TargetMode="External"/><Relationship Id="rId162" Type="http://schemas.openxmlformats.org/officeDocument/2006/relationships/hyperlink" Target="https://techcombank.com/thong-tin/blog/sao-ke-luong" TargetMode="External"/><Relationship Id="rId169" Type="http://schemas.openxmlformats.org/officeDocument/2006/relationships/hyperlink" Target="https://techcombank.com/thong-tin/blog/day-so-phat-tai-phat-loc" TargetMode="External"/><Relationship Id="rId168" Type="http://schemas.openxmlformats.org/officeDocument/2006/relationships/hyperlink" Target="https://techcombank.com/thong-tin/blog/88-la-gi" TargetMode="External"/><Relationship Id="rId167" Type="http://schemas.openxmlformats.org/officeDocument/2006/relationships/hyperlink" Target="https://techcombank.com/thong-tin/blog/day-so-phat-tai-phat-loc" TargetMode="External"/><Relationship Id="rId166" Type="http://schemas.openxmlformats.org/officeDocument/2006/relationships/hyperlink" Target="https://techcombank.com/thong-tin/blog/vay-the-chap-qua-luong" TargetMode="External"/><Relationship Id="rId161" Type="http://schemas.openxmlformats.org/officeDocument/2006/relationships/hyperlink" Target="https://techcombank.com/thong-tin/blog/cach-sao-ke-tai-khoan-ngan-hang" TargetMode="External"/><Relationship Id="rId160" Type="http://schemas.openxmlformats.org/officeDocument/2006/relationships/hyperlink" Target="https://techcombank.com/thong-tin/blog/cay-atm-gan-day" TargetMode="External"/><Relationship Id="rId159" Type="http://schemas.openxmlformats.org/officeDocument/2006/relationships/hyperlink" Target="https://techcombank.com/thong-tin/blog/nap-tien-vao-tai-khoan-ngan-hang" TargetMode="External"/><Relationship Id="rId154" Type="http://schemas.openxmlformats.org/officeDocument/2006/relationships/hyperlink" Target="https://techcombank.com/thong-tin/blog/cach-nap-tien-vao-the-ghi-no" TargetMode="External"/><Relationship Id="rId153" Type="http://schemas.openxmlformats.org/officeDocument/2006/relationships/hyperlink" Target="https://techcombank.com/thong-tin/blog/nap-tien-vao-tai-khoan-ngan-hang" TargetMode="External"/><Relationship Id="rId152" Type="http://schemas.openxmlformats.org/officeDocument/2006/relationships/hyperlink" Target="https://techcombank.com/thong-tin/blog/cdm" TargetMode="External"/><Relationship Id="rId151" Type="http://schemas.openxmlformats.org/officeDocument/2006/relationships/hyperlink" Target="https://techcombank.com/thong-tin/blog/nap-tien-vao-tai-khoan-ngan-hang" TargetMode="External"/><Relationship Id="rId158" Type="http://schemas.openxmlformats.org/officeDocument/2006/relationships/hyperlink" Target="https://techcombank.com/thong-tin/blog/nop-tien-mat-vao-tai-khoan-cong-ty" TargetMode="External"/><Relationship Id="rId157" Type="http://schemas.openxmlformats.org/officeDocument/2006/relationships/hyperlink" Target="https://techcombank.com/thong-tin/blog/nap-tien-vao-tai-khoan-ngan-hang" TargetMode="External"/><Relationship Id="rId156" Type="http://schemas.openxmlformats.org/officeDocument/2006/relationships/hyperlink" Target="https://techcombank.com/thong-tin/blog/tai-khoan-ngan-hang-con-0-dong-co-sao-khong" TargetMode="External"/><Relationship Id="rId155" Type="http://schemas.openxmlformats.org/officeDocument/2006/relationships/hyperlink" Target="https://techcombank.com/thong-tin/blog/nap-tien-vao-tai-khoan-ngan-hang" TargetMode="External"/><Relationship Id="rId107" Type="http://schemas.openxmlformats.org/officeDocument/2006/relationships/hyperlink" Target="https://techcombank.com/thong-tin/blog/cach-kiem-tra-tai-khoan-ngan-hang" TargetMode="External"/><Relationship Id="rId106" Type="http://schemas.openxmlformats.org/officeDocument/2006/relationships/hyperlink" Target="https://techcombank.com/thong-tin/blog/so-du-kha-dung" TargetMode="External"/><Relationship Id="rId105" Type="http://schemas.openxmlformats.org/officeDocument/2006/relationships/hyperlink" Target="https://techcombank.com/thong-tin/blog/cach-kiem-tra-tai-khoan-ngan-hang" TargetMode="External"/><Relationship Id="rId104" Type="http://schemas.openxmlformats.org/officeDocument/2006/relationships/hyperlink" Target="https://techcombank.com/thong-tin/blog/so-tai-khoan-ngan-hang" TargetMode="External"/><Relationship Id="rId109" Type="http://schemas.openxmlformats.org/officeDocument/2006/relationships/hyperlink" Target="https://techcombank.com/thong-tin/blog/cach-kiem-tra-tai-khoan-ngan-hang" TargetMode="External"/><Relationship Id="rId108" Type="http://schemas.openxmlformats.org/officeDocument/2006/relationships/hyperlink" Target="https://techcombank.com/thong-tin/blog/ma-giao-dich-la-gi" TargetMode="External"/><Relationship Id="rId103" Type="http://schemas.openxmlformats.org/officeDocument/2006/relationships/hyperlink" Target="https://techcombank.com/thong-tin/blog/cach-kiem-tra-tai-khoan-ngan-hang" TargetMode="External"/><Relationship Id="rId102" Type="http://schemas.openxmlformats.org/officeDocument/2006/relationships/hyperlink" Target="https://techcombank.com/thong-tin/blog/dang-ky-ma-so-thue-ca-nhan" TargetMode="External"/><Relationship Id="rId101" Type="http://schemas.openxmlformats.org/officeDocument/2006/relationships/hyperlink" Target="https://techcombank.com/thong-tin/blog/cach-tinh-thue-thu-nhap-ca-nhan-2025" TargetMode="External"/><Relationship Id="rId100" Type="http://schemas.openxmlformats.org/officeDocument/2006/relationships/hyperlink" Target="https://techcombank.com/thong-tin/blog/hoan-thue-thu-nhap-ca-nhan" TargetMode="External"/><Relationship Id="rId129" Type="http://schemas.openxmlformats.org/officeDocument/2006/relationships/hyperlink" Target="https://techcombank.com/thong-tin/blog/chuyen-khoan-thanh-cong-nhung-khong-nhan-duoc-tien" TargetMode="External"/><Relationship Id="rId128" Type="http://schemas.openxmlformats.org/officeDocument/2006/relationships/hyperlink" Target="https://techcombank.com/thong-tin/blog/nen-mo-tai-khoan-ngan-hang-nao-cho-doanh-nghiep" TargetMode="External"/><Relationship Id="rId127" Type="http://schemas.openxmlformats.org/officeDocument/2006/relationships/hyperlink" Target="https://techcombank.com/thong-tin/blog/ngan-hang-uy-tin" TargetMode="External"/><Relationship Id="rId126" Type="http://schemas.openxmlformats.org/officeDocument/2006/relationships/hyperlink" Target="https://techcombank.com/thong-tin/blog/gui-tien-ngan-hang-co-an-toan-khong" TargetMode="External"/><Relationship Id="rId121" Type="http://schemas.openxmlformats.org/officeDocument/2006/relationships/hyperlink" Target="https://techcombank.com/thong-tin/blog/cach-mo-tai-khoan" TargetMode="External"/><Relationship Id="rId120" Type="http://schemas.openxmlformats.org/officeDocument/2006/relationships/hyperlink" Target="https://techcombank.com/thong-tin/blog/mo-tai-khoan-ngan-hang-co-mat-phi-khong" TargetMode="External"/><Relationship Id="rId125" Type="http://schemas.openxmlformats.org/officeDocument/2006/relationships/hyperlink" Target="https://techcombank.com/thong-tin/blog/ngan-hang-uy-tin" TargetMode="External"/><Relationship Id="rId124" Type="http://schemas.openxmlformats.org/officeDocument/2006/relationships/hyperlink" Target="https://techcombank.com/thong-tin/blog/app-ngan-hang-uy-tin" TargetMode="External"/><Relationship Id="rId123" Type="http://schemas.openxmlformats.org/officeDocument/2006/relationships/hyperlink" Target="https://techcombank.com/thong-tin/blog/ngan-hang-uy-tin" TargetMode="External"/><Relationship Id="rId122" Type="http://schemas.openxmlformats.org/officeDocument/2006/relationships/hyperlink" Target="https://techcombank.com/thong-tin/blog/1-cmnd-dang-ky-duoc-may-tai-khoan-ngan-hang" TargetMode="External"/><Relationship Id="rId118" Type="http://schemas.openxmlformats.org/officeDocument/2006/relationships/hyperlink" Target="https://techcombank.com/thong-tin/blog/mo-tai-khoan-ngan-hang-online-co-an-toan-khong" TargetMode="External"/><Relationship Id="rId117" Type="http://schemas.openxmlformats.org/officeDocument/2006/relationships/hyperlink" Target="https://techcombank.com/thong-tin/blog/cach-mo-tai-khoan" TargetMode="External"/><Relationship Id="rId116" Type="http://schemas.openxmlformats.org/officeDocument/2006/relationships/hyperlink" Target="https://techcombank.com/thong-tin/blog/tai-khoan-thanh-toan-la-gi" TargetMode="External"/><Relationship Id="rId115" Type="http://schemas.openxmlformats.org/officeDocument/2006/relationships/hyperlink" Target="https://techcombank.com/thong-tin/blog/cach-mo-tai-khoan" TargetMode="External"/><Relationship Id="rId119" Type="http://schemas.openxmlformats.org/officeDocument/2006/relationships/hyperlink" Target="https://techcombank.com/thong-tin/blog/cach-mo-tai-khoan" TargetMode="External"/><Relationship Id="rId110" Type="http://schemas.openxmlformats.org/officeDocument/2006/relationships/hyperlink" Target="https://techcombank.com/thong-tin/blog/sms-banking" TargetMode="External"/><Relationship Id="rId114" Type="http://schemas.openxmlformats.org/officeDocument/2006/relationships/hyperlink" Target="https://techcombank.com/thong-tin/blog/tai-khoan-ngan-hang-la-gi" TargetMode="External"/><Relationship Id="rId113" Type="http://schemas.openxmlformats.org/officeDocument/2006/relationships/hyperlink" Target="https://techcombank.com/thong-tin/blog/cach-mo-tai-khoan" TargetMode="External"/><Relationship Id="rId112" Type="http://schemas.openxmlformats.org/officeDocument/2006/relationships/hyperlink" Target="https://techcombank.com/thong-tin/blog/cach-kiem-tra-tai-khoan-ngan-hang-cua-cong-ty" TargetMode="External"/><Relationship Id="rId111" Type="http://schemas.openxmlformats.org/officeDocument/2006/relationships/hyperlink" Target="https://techcombank.com/thong-tin/blog/cach-kiem-tra-tai-khoan-ngan-ha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95.13"/>
  </cols>
  <sheetData>
    <row r="1">
      <c r="A1" s="1" t="s">
        <v>0</v>
      </c>
    </row>
    <row r="2">
      <c r="A2" s="3" t="s">
        <v>2</v>
      </c>
      <c r="B2" s="3" t="s">
        <v>4</v>
      </c>
    </row>
    <row r="3" ht="25.5" customHeight="1">
      <c r="A3" s="5" t="s">
        <v>5</v>
      </c>
      <c r="B3" s="6" t="s">
        <v>7</v>
      </c>
    </row>
    <row r="4" ht="25.5" customHeight="1">
      <c r="A4" s="5" t="s">
        <v>8</v>
      </c>
      <c r="B4" s="6" t="s">
        <v>9</v>
      </c>
    </row>
    <row r="5" ht="25.5" customHeight="1">
      <c r="A5" s="5" t="s">
        <v>10</v>
      </c>
      <c r="B5" s="6" t="s">
        <v>11</v>
      </c>
    </row>
    <row r="6" ht="25.5" customHeight="1">
      <c r="A6" s="5" t="s">
        <v>12</v>
      </c>
      <c r="B6" s="6" t="s">
        <v>13</v>
      </c>
    </row>
    <row r="7" ht="25.5" customHeight="1">
      <c r="A7" s="5" t="s">
        <v>15</v>
      </c>
      <c r="B7" s="6" t="s">
        <v>16</v>
      </c>
    </row>
    <row r="8">
      <c r="A8" s="5" t="s">
        <v>17</v>
      </c>
      <c r="B8" s="6" t="s">
        <v>19</v>
      </c>
    </row>
    <row r="9" ht="25.5" customHeight="1">
      <c r="A9" s="5" t="s">
        <v>20</v>
      </c>
      <c r="B9" s="6" t="s">
        <v>24</v>
      </c>
    </row>
    <row r="10">
      <c r="A10" s="9" t="s">
        <v>27</v>
      </c>
      <c r="B10" s="9" t="s">
        <v>32</v>
      </c>
    </row>
    <row r="11">
      <c r="A11" s="9" t="s">
        <v>35</v>
      </c>
      <c r="B11" s="9" t="s">
        <v>36</v>
      </c>
    </row>
    <row r="12">
      <c r="A12" s="9" t="s">
        <v>38</v>
      </c>
      <c r="B12" s="9" t="s">
        <v>40</v>
      </c>
    </row>
    <row r="13">
      <c r="A13" s="9" t="s">
        <v>41</v>
      </c>
      <c r="B13" s="9" t="s">
        <v>43</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49EE"/>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6.13"/>
    <col customWidth="1" min="2" max="2" width="28.88"/>
    <col customWidth="1" min="3" max="3" width="7.13"/>
    <col customWidth="1" min="4" max="4" width="25.13"/>
    <col customWidth="1" min="5" max="5" width="7.13"/>
    <col customWidth="1" min="6" max="6" width="36.38"/>
    <col customWidth="1" min="7" max="7" width="26.38"/>
    <col customWidth="1" min="8" max="8" width="45.13"/>
    <col customWidth="1" min="9" max="9" width="31.38"/>
    <col customWidth="1" min="10" max="10" width="13.25"/>
    <col customWidth="1" min="11" max="11" width="14.5"/>
    <col customWidth="1" min="12" max="12" width="25.13"/>
    <col hidden="1" min="13" max="14" width="12.63"/>
  </cols>
  <sheetData>
    <row r="1" ht="49.5" customHeight="1">
      <c r="A1" s="2" t="s">
        <v>1</v>
      </c>
      <c r="E1" s="4" t="s">
        <v>3</v>
      </c>
    </row>
    <row r="2" ht="33.0" customHeight="1">
      <c r="A2" s="7" t="s">
        <v>6</v>
      </c>
      <c r="B2" s="8" t="s">
        <v>14</v>
      </c>
      <c r="C2" s="8" t="s">
        <v>18</v>
      </c>
      <c r="D2" s="8" t="s">
        <v>21</v>
      </c>
      <c r="E2" s="8" t="s">
        <v>22</v>
      </c>
      <c r="F2" s="8" t="s">
        <v>23</v>
      </c>
      <c r="G2" s="8" t="s">
        <v>25</v>
      </c>
      <c r="H2" s="8" t="s">
        <v>28</v>
      </c>
      <c r="I2" s="8" t="s">
        <v>30</v>
      </c>
      <c r="J2" s="8" t="s">
        <v>31</v>
      </c>
      <c r="K2" s="8" t="s">
        <v>34</v>
      </c>
      <c r="L2" s="10" t="s">
        <v>39</v>
      </c>
      <c r="M2" s="11" t="s">
        <v>45</v>
      </c>
      <c r="N2" s="11" t="s">
        <v>48</v>
      </c>
    </row>
    <row r="3">
      <c r="A3" s="12">
        <v>1.0</v>
      </c>
      <c r="B3" s="13" t="s">
        <v>50</v>
      </c>
      <c r="C3" s="14">
        <v>1.0</v>
      </c>
      <c r="D3" s="15" t="s">
        <v>51</v>
      </c>
      <c r="E3" s="16" t="s">
        <v>52</v>
      </c>
      <c r="F3" s="13" t="s">
        <v>53</v>
      </c>
      <c r="G3" s="13" t="s">
        <v>54</v>
      </c>
      <c r="H3" s="13" t="s">
        <v>55</v>
      </c>
      <c r="I3" s="13" t="s">
        <v>56</v>
      </c>
      <c r="J3" s="17" t="s">
        <v>57</v>
      </c>
      <c r="K3" s="17" t="s">
        <v>58</v>
      </c>
      <c r="L3" s="18" t="s">
        <v>52</v>
      </c>
      <c r="M3" s="19">
        <v>1.0</v>
      </c>
      <c r="N3" s="19">
        <v>10.0</v>
      </c>
    </row>
    <row r="4">
      <c r="A4" s="12">
        <v>2.0</v>
      </c>
      <c r="B4" s="13" t="s">
        <v>50</v>
      </c>
      <c r="C4" s="14">
        <v>2.0</v>
      </c>
      <c r="D4" s="15" t="s">
        <v>59</v>
      </c>
      <c r="E4" s="16" t="s">
        <v>52</v>
      </c>
      <c r="F4" s="13" t="s">
        <v>60</v>
      </c>
      <c r="G4" s="13" t="s">
        <v>61</v>
      </c>
      <c r="H4" s="13" t="s">
        <v>62</v>
      </c>
      <c r="I4" s="13" t="s">
        <v>63</v>
      </c>
      <c r="J4" s="17" t="s">
        <v>57</v>
      </c>
      <c r="K4" s="17" t="s">
        <v>58</v>
      </c>
      <c r="L4" s="18" t="s">
        <v>52</v>
      </c>
      <c r="M4" s="19">
        <v>1.0</v>
      </c>
      <c r="N4" s="19">
        <v>11.0</v>
      </c>
    </row>
    <row r="5">
      <c r="A5" s="12">
        <v>3.0</v>
      </c>
      <c r="B5" s="13" t="s">
        <v>50</v>
      </c>
      <c r="C5" s="14">
        <v>3.0</v>
      </c>
      <c r="D5" s="15" t="s">
        <v>51</v>
      </c>
      <c r="E5" s="16" t="s">
        <v>52</v>
      </c>
      <c r="F5" s="13" t="s">
        <v>64</v>
      </c>
      <c r="G5" s="13" t="s">
        <v>65</v>
      </c>
      <c r="H5" s="13" t="s">
        <v>66</v>
      </c>
      <c r="I5" s="13" t="s">
        <v>56</v>
      </c>
      <c r="J5" s="17" t="s">
        <v>67</v>
      </c>
      <c r="K5" s="17" t="s">
        <v>58</v>
      </c>
      <c r="L5" s="18" t="s">
        <v>52</v>
      </c>
      <c r="M5" s="19">
        <v>1.0</v>
      </c>
      <c r="N5" s="19">
        <v>20.0</v>
      </c>
    </row>
    <row r="6">
      <c r="A6" s="12">
        <v>4.0</v>
      </c>
      <c r="B6" s="13" t="s">
        <v>50</v>
      </c>
      <c r="C6" s="14">
        <v>4.0</v>
      </c>
      <c r="D6" s="15" t="s">
        <v>59</v>
      </c>
      <c r="E6" s="16" t="s">
        <v>52</v>
      </c>
      <c r="F6" s="13" t="s">
        <v>68</v>
      </c>
      <c r="G6" s="13" t="s">
        <v>69</v>
      </c>
      <c r="H6" s="13" t="s">
        <v>70</v>
      </c>
      <c r="I6" s="13" t="s">
        <v>56</v>
      </c>
      <c r="J6" s="17" t="s">
        <v>71</v>
      </c>
      <c r="K6" s="17" t="s">
        <v>58</v>
      </c>
      <c r="L6" s="18" t="s">
        <v>52</v>
      </c>
      <c r="M6" s="19">
        <v>1.0</v>
      </c>
      <c r="N6" s="19">
        <v>30.0</v>
      </c>
    </row>
    <row r="7">
      <c r="A7" s="12">
        <v>5.0</v>
      </c>
      <c r="B7" s="13" t="s">
        <v>50</v>
      </c>
      <c r="C7" s="14">
        <v>5.0</v>
      </c>
      <c r="D7" s="15" t="s">
        <v>51</v>
      </c>
      <c r="E7" s="16" t="s">
        <v>52</v>
      </c>
      <c r="F7" s="13" t="s">
        <v>72</v>
      </c>
      <c r="G7" s="13" t="s">
        <v>73</v>
      </c>
      <c r="H7" s="13" t="s">
        <v>74</v>
      </c>
      <c r="I7" s="13" t="s">
        <v>63</v>
      </c>
      <c r="J7" s="17" t="s">
        <v>71</v>
      </c>
      <c r="K7" s="17" t="s">
        <v>58</v>
      </c>
      <c r="L7" s="18" t="s">
        <v>52</v>
      </c>
      <c r="M7" s="19">
        <v>1.0</v>
      </c>
      <c r="N7" s="19">
        <v>31.0</v>
      </c>
    </row>
    <row r="8">
      <c r="A8" s="12">
        <v>6.0</v>
      </c>
      <c r="B8" s="13" t="s">
        <v>50</v>
      </c>
      <c r="C8" s="14">
        <v>6.0</v>
      </c>
      <c r="D8" s="15" t="s">
        <v>51</v>
      </c>
      <c r="E8" s="16" t="s">
        <v>52</v>
      </c>
      <c r="F8" s="13" t="s">
        <v>75</v>
      </c>
      <c r="G8" s="13" t="s">
        <v>76</v>
      </c>
      <c r="H8" s="13" t="s">
        <v>77</v>
      </c>
      <c r="I8" s="13" t="s">
        <v>63</v>
      </c>
      <c r="J8" s="17" t="s">
        <v>71</v>
      </c>
      <c r="K8" s="17" t="s">
        <v>58</v>
      </c>
      <c r="L8" s="18" t="s">
        <v>52</v>
      </c>
      <c r="M8" s="19">
        <v>1.0</v>
      </c>
      <c r="N8" s="19">
        <v>31.0</v>
      </c>
    </row>
    <row r="9">
      <c r="A9" s="12">
        <v>7.0</v>
      </c>
      <c r="B9" s="13" t="s">
        <v>50</v>
      </c>
      <c r="C9" s="14">
        <v>7.0</v>
      </c>
      <c r="D9" s="15" t="s">
        <v>51</v>
      </c>
      <c r="E9" s="16" t="s">
        <v>52</v>
      </c>
      <c r="F9" s="13" t="s">
        <v>78</v>
      </c>
      <c r="G9" s="13" t="s">
        <v>79</v>
      </c>
      <c r="H9" s="13" t="s">
        <v>80</v>
      </c>
      <c r="I9" s="13" t="s">
        <v>63</v>
      </c>
      <c r="J9" s="17" t="s">
        <v>71</v>
      </c>
      <c r="K9" s="17" t="s">
        <v>58</v>
      </c>
      <c r="L9" s="18" t="s">
        <v>52</v>
      </c>
      <c r="M9" s="19">
        <v>1.0</v>
      </c>
      <c r="N9" s="19">
        <v>31.0</v>
      </c>
    </row>
    <row r="10">
      <c r="A10" s="12">
        <v>8.0</v>
      </c>
      <c r="B10" s="13" t="s">
        <v>50</v>
      </c>
      <c r="C10" s="14">
        <v>8.0</v>
      </c>
      <c r="D10" s="15" t="s">
        <v>51</v>
      </c>
      <c r="E10" s="16" t="s">
        <v>52</v>
      </c>
      <c r="F10" s="13" t="s">
        <v>81</v>
      </c>
      <c r="G10" s="13" t="s">
        <v>82</v>
      </c>
      <c r="H10" s="13" t="s">
        <v>83</v>
      </c>
      <c r="I10" s="13" t="s">
        <v>63</v>
      </c>
      <c r="J10" s="17" t="s">
        <v>71</v>
      </c>
      <c r="K10" s="17" t="s">
        <v>58</v>
      </c>
      <c r="L10" s="18" t="s">
        <v>52</v>
      </c>
      <c r="M10" s="19">
        <v>1.0</v>
      </c>
      <c r="N10" s="19">
        <v>31.0</v>
      </c>
    </row>
    <row r="11">
      <c r="A11" s="12">
        <v>9.0</v>
      </c>
      <c r="B11" s="13" t="s">
        <v>50</v>
      </c>
      <c r="C11" s="14">
        <v>9.0</v>
      </c>
      <c r="D11" s="15" t="s">
        <v>84</v>
      </c>
      <c r="E11" s="16" t="s">
        <v>52</v>
      </c>
      <c r="F11" s="13" t="s">
        <v>85</v>
      </c>
      <c r="G11" s="13" t="s">
        <v>86</v>
      </c>
      <c r="H11" s="13" t="s">
        <v>87</v>
      </c>
      <c r="I11" s="13" t="s">
        <v>63</v>
      </c>
      <c r="J11" s="17" t="s">
        <v>71</v>
      </c>
      <c r="K11" s="17" t="s">
        <v>58</v>
      </c>
      <c r="L11" s="18" t="s">
        <v>52</v>
      </c>
      <c r="M11" s="19">
        <v>1.0</v>
      </c>
      <c r="N11" s="19">
        <v>31.0</v>
      </c>
    </row>
    <row r="12">
      <c r="A12" s="12">
        <v>10.0</v>
      </c>
      <c r="B12" s="13" t="s">
        <v>50</v>
      </c>
      <c r="C12" s="14">
        <v>10.0</v>
      </c>
      <c r="D12" s="15" t="s">
        <v>84</v>
      </c>
      <c r="E12" s="16" t="s">
        <v>52</v>
      </c>
      <c r="F12" s="13" t="s">
        <v>88</v>
      </c>
      <c r="G12" s="13" t="s">
        <v>89</v>
      </c>
      <c r="H12" s="13" t="s">
        <v>90</v>
      </c>
      <c r="I12" s="13" t="s">
        <v>63</v>
      </c>
      <c r="J12" s="17" t="s">
        <v>71</v>
      </c>
      <c r="K12" s="17" t="s">
        <v>58</v>
      </c>
      <c r="L12" s="18" t="s">
        <v>52</v>
      </c>
      <c r="M12" s="19">
        <v>1.0</v>
      </c>
      <c r="N12" s="19">
        <v>31.0</v>
      </c>
    </row>
    <row r="13">
      <c r="A13" s="12">
        <v>11.0</v>
      </c>
      <c r="B13" s="13" t="s">
        <v>50</v>
      </c>
      <c r="C13" s="14">
        <v>11.0</v>
      </c>
      <c r="D13" s="15" t="s">
        <v>84</v>
      </c>
      <c r="E13" s="16" t="s">
        <v>52</v>
      </c>
      <c r="F13" s="13" t="s">
        <v>91</v>
      </c>
      <c r="G13" s="13" t="s">
        <v>92</v>
      </c>
      <c r="H13" s="13" t="s">
        <v>93</v>
      </c>
      <c r="I13" s="13" t="s">
        <v>63</v>
      </c>
      <c r="J13" s="17" t="s">
        <v>71</v>
      </c>
      <c r="K13" s="17" t="s">
        <v>58</v>
      </c>
      <c r="L13" s="18" t="s">
        <v>52</v>
      </c>
      <c r="M13" s="19">
        <v>1.0</v>
      </c>
      <c r="N13" s="19">
        <v>31.0</v>
      </c>
    </row>
    <row r="14">
      <c r="A14" s="12">
        <v>12.0</v>
      </c>
      <c r="B14" s="13" t="s">
        <v>50</v>
      </c>
      <c r="C14" s="14">
        <v>12.0</v>
      </c>
      <c r="D14" s="15" t="s">
        <v>84</v>
      </c>
      <c r="E14" s="16" t="s">
        <v>52</v>
      </c>
      <c r="F14" s="13" t="s">
        <v>94</v>
      </c>
      <c r="G14" s="13" t="s">
        <v>61</v>
      </c>
      <c r="H14" s="13" t="s">
        <v>95</v>
      </c>
      <c r="I14" s="13" t="s">
        <v>63</v>
      </c>
      <c r="J14" s="17" t="s">
        <v>71</v>
      </c>
      <c r="K14" s="17" t="s">
        <v>58</v>
      </c>
      <c r="L14" s="18" t="s">
        <v>52</v>
      </c>
      <c r="M14" s="19">
        <v>1.0</v>
      </c>
      <c r="N14" s="19">
        <v>31.0</v>
      </c>
    </row>
    <row r="15">
      <c r="A15" s="12">
        <v>13.0</v>
      </c>
      <c r="B15" s="13" t="s">
        <v>50</v>
      </c>
      <c r="C15" s="14">
        <v>13.0</v>
      </c>
      <c r="D15" s="15" t="s">
        <v>84</v>
      </c>
      <c r="E15" s="16" t="s">
        <v>52</v>
      </c>
      <c r="F15" s="13" t="s">
        <v>96</v>
      </c>
      <c r="G15" s="13" t="s">
        <v>61</v>
      </c>
      <c r="H15" s="13" t="s">
        <v>97</v>
      </c>
      <c r="I15" s="13" t="s">
        <v>63</v>
      </c>
      <c r="J15" s="17" t="s">
        <v>71</v>
      </c>
      <c r="K15" s="17" t="s">
        <v>58</v>
      </c>
      <c r="L15" s="18" t="s">
        <v>52</v>
      </c>
      <c r="M15" s="19">
        <v>1.0</v>
      </c>
      <c r="N15" s="19">
        <v>31.0</v>
      </c>
    </row>
    <row r="16">
      <c r="A16" s="12">
        <v>14.0</v>
      </c>
      <c r="B16" s="13" t="s">
        <v>50</v>
      </c>
      <c r="C16" s="14">
        <v>14.0</v>
      </c>
      <c r="D16" s="15" t="s">
        <v>84</v>
      </c>
      <c r="E16" s="16" t="s">
        <v>52</v>
      </c>
      <c r="F16" s="13" t="s">
        <v>98</v>
      </c>
      <c r="G16" s="13" t="s">
        <v>99</v>
      </c>
      <c r="H16" s="13" t="s">
        <v>100</v>
      </c>
      <c r="I16" s="13" t="s">
        <v>63</v>
      </c>
      <c r="J16" s="17" t="s">
        <v>71</v>
      </c>
      <c r="K16" s="17" t="s">
        <v>58</v>
      </c>
      <c r="L16" s="18" t="s">
        <v>52</v>
      </c>
      <c r="M16" s="19">
        <v>1.0</v>
      </c>
      <c r="N16" s="19">
        <v>31.0</v>
      </c>
    </row>
    <row r="17">
      <c r="A17" s="12">
        <v>15.0</v>
      </c>
      <c r="B17" s="13" t="s">
        <v>50</v>
      </c>
      <c r="C17" s="14">
        <v>15.0</v>
      </c>
      <c r="D17" s="15" t="s">
        <v>84</v>
      </c>
      <c r="E17" s="16" t="s">
        <v>52</v>
      </c>
      <c r="F17" s="13" t="s">
        <v>101</v>
      </c>
      <c r="G17" s="13" t="s">
        <v>102</v>
      </c>
      <c r="H17" s="13" t="s">
        <v>103</v>
      </c>
      <c r="I17" s="13" t="s">
        <v>63</v>
      </c>
      <c r="J17" s="17" t="s">
        <v>71</v>
      </c>
      <c r="K17" s="17" t="s">
        <v>58</v>
      </c>
      <c r="L17" s="18" t="s">
        <v>52</v>
      </c>
      <c r="M17" s="19">
        <v>1.0</v>
      </c>
      <c r="N17" s="19">
        <v>31.0</v>
      </c>
    </row>
    <row r="18">
      <c r="A18" s="12">
        <v>16.0</v>
      </c>
      <c r="B18" s="13" t="s">
        <v>50</v>
      </c>
      <c r="C18" s="14">
        <v>16.0</v>
      </c>
      <c r="D18" s="15" t="s">
        <v>84</v>
      </c>
      <c r="E18" s="16" t="s">
        <v>52</v>
      </c>
      <c r="F18" s="13" t="s">
        <v>104</v>
      </c>
      <c r="G18" s="13" t="s">
        <v>105</v>
      </c>
      <c r="H18" s="13" t="s">
        <v>106</v>
      </c>
      <c r="I18" s="13" t="s">
        <v>63</v>
      </c>
      <c r="J18" s="17" t="s">
        <v>71</v>
      </c>
      <c r="K18" s="17" t="s">
        <v>58</v>
      </c>
      <c r="L18" s="18" t="s">
        <v>52</v>
      </c>
      <c r="M18" s="19">
        <v>1.0</v>
      </c>
      <c r="N18" s="19">
        <v>31.0</v>
      </c>
    </row>
    <row r="19">
      <c r="A19" s="12">
        <v>17.0</v>
      </c>
      <c r="B19" s="13" t="s">
        <v>50</v>
      </c>
      <c r="C19" s="14">
        <v>17.0</v>
      </c>
      <c r="D19" s="15" t="s">
        <v>84</v>
      </c>
      <c r="E19" s="16" t="s">
        <v>52</v>
      </c>
      <c r="F19" s="13" t="s">
        <v>107</v>
      </c>
      <c r="G19" s="13" t="s">
        <v>61</v>
      </c>
      <c r="H19" s="13" t="s">
        <v>108</v>
      </c>
      <c r="I19" s="13" t="s">
        <v>63</v>
      </c>
      <c r="J19" s="17" t="s">
        <v>71</v>
      </c>
      <c r="K19" s="17" t="s">
        <v>58</v>
      </c>
      <c r="L19" s="18" t="s">
        <v>52</v>
      </c>
      <c r="M19" s="19">
        <v>1.0</v>
      </c>
      <c r="N19" s="19">
        <v>31.0</v>
      </c>
    </row>
    <row r="20">
      <c r="A20" s="12">
        <v>18.0</v>
      </c>
      <c r="B20" s="13" t="s">
        <v>50</v>
      </c>
      <c r="C20" s="14">
        <v>18.0</v>
      </c>
      <c r="D20" s="15" t="s">
        <v>84</v>
      </c>
      <c r="E20" s="16" t="s">
        <v>52</v>
      </c>
      <c r="F20" s="13" t="s">
        <v>109</v>
      </c>
      <c r="G20" s="13" t="s">
        <v>110</v>
      </c>
      <c r="H20" s="13" t="s">
        <v>111</v>
      </c>
      <c r="I20" s="13" t="s">
        <v>63</v>
      </c>
      <c r="J20" s="17" t="s">
        <v>71</v>
      </c>
      <c r="K20" s="17" t="s">
        <v>58</v>
      </c>
      <c r="L20" s="18" t="s">
        <v>52</v>
      </c>
      <c r="M20" s="19">
        <v>1.0</v>
      </c>
      <c r="N20" s="19">
        <v>31.0</v>
      </c>
    </row>
    <row r="21">
      <c r="A21" s="12">
        <v>19.0</v>
      </c>
      <c r="B21" s="13" t="s">
        <v>50</v>
      </c>
      <c r="C21" s="14">
        <v>19.0</v>
      </c>
      <c r="D21" s="15" t="s">
        <v>59</v>
      </c>
      <c r="E21" s="16" t="s">
        <v>52</v>
      </c>
      <c r="F21" s="13" t="s">
        <v>115</v>
      </c>
      <c r="G21" s="13" t="s">
        <v>117</v>
      </c>
      <c r="H21" s="13" t="s">
        <v>118</v>
      </c>
      <c r="I21" s="13" t="s">
        <v>63</v>
      </c>
      <c r="J21" s="17" t="s">
        <v>71</v>
      </c>
      <c r="K21" s="17" t="s">
        <v>58</v>
      </c>
      <c r="L21" s="18" t="s">
        <v>52</v>
      </c>
      <c r="M21" s="19">
        <v>1.0</v>
      </c>
      <c r="N21" s="19">
        <v>31.0</v>
      </c>
    </row>
    <row r="22">
      <c r="A22" s="12">
        <v>20.0</v>
      </c>
      <c r="B22" s="13" t="s">
        <v>50</v>
      </c>
      <c r="C22" s="14">
        <v>20.0</v>
      </c>
      <c r="D22" s="15" t="s">
        <v>123</v>
      </c>
      <c r="E22" s="16" t="s">
        <v>52</v>
      </c>
      <c r="F22" s="13" t="s">
        <v>124</v>
      </c>
      <c r="G22" s="13" t="s">
        <v>126</v>
      </c>
      <c r="H22" s="13" t="s">
        <v>128</v>
      </c>
      <c r="I22" s="13" t="s">
        <v>63</v>
      </c>
      <c r="J22" s="17" t="s">
        <v>71</v>
      </c>
      <c r="K22" s="17" t="s">
        <v>58</v>
      </c>
      <c r="L22" s="18" t="s">
        <v>52</v>
      </c>
      <c r="M22" s="19">
        <v>1.0</v>
      </c>
      <c r="N22" s="19">
        <v>31.0</v>
      </c>
    </row>
    <row r="23">
      <c r="A23" s="12">
        <v>21.0</v>
      </c>
      <c r="B23" s="13" t="s">
        <v>50</v>
      </c>
      <c r="C23" s="14">
        <v>21.0</v>
      </c>
      <c r="D23" s="15" t="s">
        <v>123</v>
      </c>
      <c r="E23" s="16" t="s">
        <v>52</v>
      </c>
      <c r="F23" s="13" t="s">
        <v>132</v>
      </c>
      <c r="G23" s="13" t="s">
        <v>134</v>
      </c>
      <c r="H23" s="13" t="s">
        <v>135</v>
      </c>
      <c r="I23" s="13" t="s">
        <v>63</v>
      </c>
      <c r="J23" s="17" t="s">
        <v>71</v>
      </c>
      <c r="K23" s="17" t="s">
        <v>58</v>
      </c>
      <c r="L23" s="18" t="s">
        <v>52</v>
      </c>
      <c r="M23" s="19">
        <v>1.0</v>
      </c>
      <c r="N23" s="19">
        <v>31.0</v>
      </c>
    </row>
    <row r="24">
      <c r="A24" s="12">
        <v>22.0</v>
      </c>
      <c r="B24" s="13" t="s">
        <v>50</v>
      </c>
      <c r="C24" s="14">
        <v>22.0</v>
      </c>
      <c r="D24" s="15" t="s">
        <v>123</v>
      </c>
      <c r="E24" s="16" t="s">
        <v>52</v>
      </c>
      <c r="F24" s="13" t="s">
        <v>140</v>
      </c>
      <c r="G24" s="13" t="s">
        <v>141</v>
      </c>
      <c r="H24" s="13" t="s">
        <v>143</v>
      </c>
      <c r="I24" s="13" t="s">
        <v>63</v>
      </c>
      <c r="J24" s="17" t="s">
        <v>71</v>
      </c>
      <c r="K24" s="17" t="s">
        <v>58</v>
      </c>
      <c r="L24" s="18" t="s">
        <v>52</v>
      </c>
      <c r="M24" s="19">
        <v>1.0</v>
      </c>
      <c r="N24" s="19">
        <v>31.0</v>
      </c>
    </row>
    <row r="25">
      <c r="A25" s="12">
        <v>23.0</v>
      </c>
      <c r="B25" s="13" t="s">
        <v>50</v>
      </c>
      <c r="C25" s="14">
        <v>23.0</v>
      </c>
      <c r="D25" s="15" t="s">
        <v>123</v>
      </c>
      <c r="E25" s="16" t="s">
        <v>52</v>
      </c>
      <c r="F25" s="13" t="s">
        <v>150</v>
      </c>
      <c r="G25" s="13" t="s">
        <v>151</v>
      </c>
      <c r="H25" s="13" t="s">
        <v>153</v>
      </c>
      <c r="I25" s="13" t="s">
        <v>63</v>
      </c>
      <c r="J25" s="17" t="s">
        <v>71</v>
      </c>
      <c r="K25" s="17" t="s">
        <v>58</v>
      </c>
      <c r="L25" s="18" t="s">
        <v>52</v>
      </c>
      <c r="M25" s="19">
        <v>1.0</v>
      </c>
      <c r="N25" s="19">
        <v>31.0</v>
      </c>
    </row>
    <row r="26">
      <c r="A26" s="12">
        <v>24.0</v>
      </c>
      <c r="B26" s="13" t="s">
        <v>50</v>
      </c>
      <c r="C26" s="14">
        <v>24.0</v>
      </c>
      <c r="D26" s="15" t="s">
        <v>123</v>
      </c>
      <c r="E26" s="16" t="s">
        <v>52</v>
      </c>
      <c r="F26" s="13" t="s">
        <v>160</v>
      </c>
      <c r="G26" s="13" t="s">
        <v>161</v>
      </c>
      <c r="H26" s="13" t="s">
        <v>164</v>
      </c>
      <c r="I26" s="13" t="s">
        <v>63</v>
      </c>
      <c r="J26" s="17" t="s">
        <v>71</v>
      </c>
      <c r="K26" s="17" t="s">
        <v>58</v>
      </c>
      <c r="L26" s="18" t="s">
        <v>52</v>
      </c>
      <c r="M26" s="19">
        <v>1.0</v>
      </c>
      <c r="N26" s="19">
        <v>31.0</v>
      </c>
    </row>
    <row r="27">
      <c r="A27" s="12">
        <v>25.0</v>
      </c>
      <c r="B27" s="13" t="s">
        <v>50</v>
      </c>
      <c r="C27" s="14">
        <v>25.0</v>
      </c>
      <c r="D27" s="15" t="s">
        <v>123</v>
      </c>
      <c r="E27" s="16" t="s">
        <v>52</v>
      </c>
      <c r="F27" s="13" t="s">
        <v>174</v>
      </c>
      <c r="G27" s="13" t="s">
        <v>177</v>
      </c>
      <c r="H27" s="13" t="s">
        <v>179</v>
      </c>
      <c r="I27" s="13" t="s">
        <v>63</v>
      </c>
      <c r="J27" s="17" t="s">
        <v>71</v>
      </c>
      <c r="K27" s="17" t="s">
        <v>58</v>
      </c>
      <c r="L27" s="18" t="s">
        <v>52</v>
      </c>
      <c r="M27" s="19">
        <v>1.0</v>
      </c>
      <c r="N27" s="19">
        <v>31.0</v>
      </c>
    </row>
    <row r="28">
      <c r="A28" s="12">
        <v>26.0</v>
      </c>
      <c r="B28" s="13" t="s">
        <v>50</v>
      </c>
      <c r="C28" s="14">
        <v>26.0</v>
      </c>
      <c r="D28" s="15" t="s">
        <v>123</v>
      </c>
      <c r="E28" s="16" t="s">
        <v>52</v>
      </c>
      <c r="F28" s="13" t="s">
        <v>186</v>
      </c>
      <c r="G28" s="13" t="s">
        <v>61</v>
      </c>
      <c r="H28" s="13" t="s">
        <v>188</v>
      </c>
      <c r="I28" s="13" t="s">
        <v>63</v>
      </c>
      <c r="J28" s="17" t="s">
        <v>71</v>
      </c>
      <c r="K28" s="17" t="s">
        <v>58</v>
      </c>
      <c r="L28" s="18" t="s">
        <v>52</v>
      </c>
      <c r="M28" s="19">
        <v>1.0</v>
      </c>
      <c r="N28" s="19">
        <v>31.0</v>
      </c>
    </row>
    <row r="29">
      <c r="A29" s="12">
        <v>27.0</v>
      </c>
      <c r="B29" s="13" t="s">
        <v>50</v>
      </c>
      <c r="C29" s="14">
        <v>27.0</v>
      </c>
      <c r="D29" s="15" t="s">
        <v>123</v>
      </c>
      <c r="E29" s="16" t="s">
        <v>52</v>
      </c>
      <c r="F29" s="13" t="s">
        <v>193</v>
      </c>
      <c r="G29" s="13" t="s">
        <v>195</v>
      </c>
      <c r="H29" s="13" t="s">
        <v>198</v>
      </c>
      <c r="I29" s="13" t="s">
        <v>63</v>
      </c>
      <c r="J29" s="17" t="s">
        <v>71</v>
      </c>
      <c r="K29" s="17" t="s">
        <v>58</v>
      </c>
      <c r="L29" s="18" t="s">
        <v>52</v>
      </c>
      <c r="M29" s="19">
        <v>1.0</v>
      </c>
      <c r="N29" s="19">
        <v>31.0</v>
      </c>
    </row>
    <row r="30">
      <c r="A30" s="12">
        <v>28.0</v>
      </c>
      <c r="B30" s="13" t="s">
        <v>50</v>
      </c>
      <c r="C30" s="14">
        <v>28.0</v>
      </c>
      <c r="D30" s="15" t="s">
        <v>123</v>
      </c>
      <c r="E30" s="16" t="s">
        <v>52</v>
      </c>
      <c r="F30" s="13" t="s">
        <v>201</v>
      </c>
      <c r="G30" s="13" t="s">
        <v>202</v>
      </c>
      <c r="H30" s="13" t="s">
        <v>198</v>
      </c>
      <c r="I30" s="13" t="s">
        <v>63</v>
      </c>
      <c r="J30" s="17" t="s">
        <v>71</v>
      </c>
      <c r="K30" s="17" t="s">
        <v>58</v>
      </c>
      <c r="L30" s="18" t="s">
        <v>52</v>
      </c>
      <c r="M30" s="19">
        <v>1.0</v>
      </c>
      <c r="N30" s="19">
        <v>31.0</v>
      </c>
    </row>
    <row r="31">
      <c r="A31" s="12">
        <v>29.0</v>
      </c>
      <c r="B31" s="13" t="s">
        <v>50</v>
      </c>
      <c r="C31" s="14">
        <v>29.0</v>
      </c>
      <c r="D31" s="15" t="s">
        <v>123</v>
      </c>
      <c r="E31" s="16" t="s">
        <v>52</v>
      </c>
      <c r="F31" s="13" t="s">
        <v>206</v>
      </c>
      <c r="G31" s="13" t="s">
        <v>61</v>
      </c>
      <c r="H31" s="13" t="s">
        <v>207</v>
      </c>
      <c r="I31" s="13" t="s">
        <v>63</v>
      </c>
      <c r="J31" s="17" t="s">
        <v>71</v>
      </c>
      <c r="K31" s="17" t="s">
        <v>58</v>
      </c>
      <c r="L31" s="18" t="s">
        <v>52</v>
      </c>
      <c r="M31" s="19">
        <v>1.0</v>
      </c>
      <c r="N31" s="19">
        <v>31.0</v>
      </c>
    </row>
    <row r="32">
      <c r="A32" s="12">
        <v>30.0</v>
      </c>
      <c r="B32" s="13" t="s">
        <v>50</v>
      </c>
      <c r="C32" s="14">
        <v>30.0</v>
      </c>
      <c r="D32" s="15" t="s">
        <v>123</v>
      </c>
      <c r="E32" s="16" t="s">
        <v>52</v>
      </c>
      <c r="F32" s="13" t="s">
        <v>212</v>
      </c>
      <c r="G32" s="13" t="s">
        <v>213</v>
      </c>
      <c r="H32" s="13" t="s">
        <v>215</v>
      </c>
      <c r="I32" s="13" t="s">
        <v>63</v>
      </c>
      <c r="J32" s="17" t="s">
        <v>71</v>
      </c>
      <c r="K32" s="17" t="s">
        <v>58</v>
      </c>
      <c r="L32" s="18" t="s">
        <v>52</v>
      </c>
      <c r="M32" s="19">
        <v>1.0</v>
      </c>
      <c r="N32" s="19">
        <v>31.0</v>
      </c>
    </row>
    <row r="33">
      <c r="A33" s="12">
        <v>31.0</v>
      </c>
      <c r="B33" s="13" t="s">
        <v>218</v>
      </c>
      <c r="C33" s="14">
        <v>1.0</v>
      </c>
      <c r="D33" s="15" t="s">
        <v>219</v>
      </c>
      <c r="E33" s="16" t="s">
        <v>221</v>
      </c>
      <c r="F33" s="13" t="s">
        <v>222</v>
      </c>
      <c r="G33" s="13" t="s">
        <v>61</v>
      </c>
      <c r="H33" s="13" t="s">
        <v>224</v>
      </c>
      <c r="I33" s="13" t="s">
        <v>63</v>
      </c>
      <c r="J33" s="17" t="s">
        <v>67</v>
      </c>
      <c r="K33" s="17" t="s">
        <v>58</v>
      </c>
      <c r="L33" s="18" t="s">
        <v>52</v>
      </c>
      <c r="M33" s="19">
        <v>2.0</v>
      </c>
      <c r="N33" s="19">
        <v>21.0</v>
      </c>
    </row>
    <row r="34">
      <c r="A34" s="12">
        <v>32.0</v>
      </c>
      <c r="B34" s="13" t="s">
        <v>218</v>
      </c>
      <c r="C34" s="14">
        <v>2.0</v>
      </c>
      <c r="D34" s="15" t="s">
        <v>219</v>
      </c>
      <c r="E34" s="16" t="s">
        <v>221</v>
      </c>
      <c r="F34" s="13" t="s">
        <v>231</v>
      </c>
      <c r="G34" s="13" t="s">
        <v>233</v>
      </c>
      <c r="H34" s="13" t="s">
        <v>235</v>
      </c>
      <c r="I34" s="13" t="s">
        <v>63</v>
      </c>
      <c r="J34" s="17" t="s">
        <v>71</v>
      </c>
      <c r="K34" s="17" t="s">
        <v>58</v>
      </c>
      <c r="L34" s="18" t="s">
        <v>52</v>
      </c>
      <c r="M34" s="19">
        <v>2.0</v>
      </c>
      <c r="N34" s="19">
        <v>31.0</v>
      </c>
    </row>
    <row r="35">
      <c r="A35" s="12">
        <v>33.0</v>
      </c>
      <c r="B35" s="13" t="s">
        <v>218</v>
      </c>
      <c r="C35" s="14">
        <v>3.0</v>
      </c>
      <c r="D35" s="15" t="s">
        <v>219</v>
      </c>
      <c r="E35" s="16" t="s">
        <v>221</v>
      </c>
      <c r="F35" s="13" t="s">
        <v>240</v>
      </c>
      <c r="G35" s="13" t="s">
        <v>61</v>
      </c>
      <c r="H35" s="13" t="s">
        <v>242</v>
      </c>
      <c r="I35" s="13" t="s">
        <v>63</v>
      </c>
      <c r="J35" s="17" t="s">
        <v>71</v>
      </c>
      <c r="K35" s="17" t="s">
        <v>58</v>
      </c>
      <c r="L35" s="18" t="s">
        <v>52</v>
      </c>
      <c r="M35" s="19">
        <v>2.0</v>
      </c>
      <c r="N35" s="19">
        <v>31.0</v>
      </c>
    </row>
    <row r="36">
      <c r="A36" s="12">
        <v>34.0</v>
      </c>
      <c r="B36" s="13" t="s">
        <v>218</v>
      </c>
      <c r="C36" s="14">
        <v>4.0</v>
      </c>
      <c r="D36" s="15" t="s">
        <v>219</v>
      </c>
      <c r="E36" s="16" t="s">
        <v>221</v>
      </c>
      <c r="F36" s="13" t="s">
        <v>247</v>
      </c>
      <c r="G36" s="13" t="s">
        <v>249</v>
      </c>
      <c r="H36" s="13" t="s">
        <v>250</v>
      </c>
      <c r="I36" s="13" t="s">
        <v>63</v>
      </c>
      <c r="J36" s="17" t="s">
        <v>71</v>
      </c>
      <c r="K36" s="17" t="s">
        <v>58</v>
      </c>
      <c r="L36" s="18" t="s">
        <v>253</v>
      </c>
      <c r="M36" s="19">
        <v>2.0</v>
      </c>
      <c r="N36" s="19">
        <v>31.0</v>
      </c>
    </row>
    <row r="37">
      <c r="A37" s="12">
        <v>35.0</v>
      </c>
      <c r="B37" s="13" t="s">
        <v>218</v>
      </c>
      <c r="C37" s="14">
        <v>5.0</v>
      </c>
      <c r="D37" s="15" t="s">
        <v>219</v>
      </c>
      <c r="E37" s="16" t="s">
        <v>221</v>
      </c>
      <c r="F37" s="13" t="s">
        <v>257</v>
      </c>
      <c r="G37" s="13" t="s">
        <v>61</v>
      </c>
      <c r="H37" s="13" t="s">
        <v>259</v>
      </c>
      <c r="I37" s="13" t="s">
        <v>63</v>
      </c>
      <c r="J37" s="17" t="s">
        <v>71</v>
      </c>
      <c r="K37" s="17" t="s">
        <v>58</v>
      </c>
      <c r="L37" s="18" t="s">
        <v>52</v>
      </c>
      <c r="M37" s="19">
        <v>2.0</v>
      </c>
      <c r="N37" s="19">
        <v>31.0</v>
      </c>
    </row>
    <row r="38">
      <c r="A38" s="12">
        <v>36.0</v>
      </c>
      <c r="B38" s="13" t="s">
        <v>218</v>
      </c>
      <c r="C38" s="14">
        <v>6.0</v>
      </c>
      <c r="D38" s="15" t="s">
        <v>219</v>
      </c>
      <c r="E38" s="16" t="s">
        <v>221</v>
      </c>
      <c r="F38" s="13" t="s">
        <v>265</v>
      </c>
      <c r="G38" s="13" t="s">
        <v>266</v>
      </c>
      <c r="H38" s="13" t="s">
        <v>267</v>
      </c>
      <c r="I38" s="13" t="s">
        <v>63</v>
      </c>
      <c r="J38" s="17" t="s">
        <v>71</v>
      </c>
      <c r="K38" s="17" t="s">
        <v>58</v>
      </c>
      <c r="L38" s="18" t="s">
        <v>52</v>
      </c>
      <c r="M38" s="19">
        <v>2.0</v>
      </c>
      <c r="N38" s="19">
        <v>31.0</v>
      </c>
    </row>
    <row r="39">
      <c r="A39" s="12">
        <v>37.0</v>
      </c>
      <c r="B39" s="13" t="s">
        <v>218</v>
      </c>
      <c r="C39" s="14">
        <v>7.0</v>
      </c>
      <c r="D39" s="15" t="s">
        <v>219</v>
      </c>
      <c r="E39" s="16" t="s">
        <v>221</v>
      </c>
      <c r="F39" s="13" t="s">
        <v>270</v>
      </c>
      <c r="G39" s="13" t="s">
        <v>271</v>
      </c>
      <c r="H39" s="13" t="s">
        <v>272</v>
      </c>
      <c r="I39" s="13" t="s">
        <v>63</v>
      </c>
      <c r="J39" s="17" t="s">
        <v>71</v>
      </c>
      <c r="K39" s="17" t="s">
        <v>58</v>
      </c>
      <c r="L39" s="18" t="s">
        <v>52</v>
      </c>
      <c r="M39" s="19">
        <v>2.0</v>
      </c>
      <c r="N39" s="19">
        <v>31.0</v>
      </c>
    </row>
    <row r="40">
      <c r="A40" s="12">
        <v>38.0</v>
      </c>
      <c r="B40" s="13" t="s">
        <v>218</v>
      </c>
      <c r="C40" s="14">
        <v>8.0</v>
      </c>
      <c r="D40" s="15" t="s">
        <v>219</v>
      </c>
      <c r="E40" s="16" t="s">
        <v>221</v>
      </c>
      <c r="F40" s="13" t="s">
        <v>274</v>
      </c>
      <c r="G40" s="13" t="s">
        <v>61</v>
      </c>
      <c r="H40" s="13" t="s">
        <v>275</v>
      </c>
      <c r="I40" s="13" t="s">
        <v>63</v>
      </c>
      <c r="J40" s="17" t="s">
        <v>71</v>
      </c>
      <c r="K40" s="17" t="s">
        <v>58</v>
      </c>
      <c r="L40" s="18" t="s">
        <v>52</v>
      </c>
      <c r="M40" s="19">
        <v>2.0</v>
      </c>
      <c r="N40" s="19">
        <v>31.0</v>
      </c>
    </row>
    <row r="41">
      <c r="A41" s="12">
        <v>39.0</v>
      </c>
      <c r="B41" s="13" t="s">
        <v>218</v>
      </c>
      <c r="C41" s="14">
        <v>9.0</v>
      </c>
      <c r="D41" s="15" t="s">
        <v>219</v>
      </c>
      <c r="E41" s="16" t="s">
        <v>221</v>
      </c>
      <c r="F41" s="13" t="s">
        <v>278</v>
      </c>
      <c r="G41" s="13" t="s">
        <v>61</v>
      </c>
      <c r="H41" s="13" t="s">
        <v>279</v>
      </c>
      <c r="I41" s="13" t="s">
        <v>63</v>
      </c>
      <c r="J41" s="17" t="s">
        <v>71</v>
      </c>
      <c r="K41" s="17" t="s">
        <v>58</v>
      </c>
      <c r="L41" s="18" t="s">
        <v>52</v>
      </c>
      <c r="M41" s="19">
        <v>2.0</v>
      </c>
      <c r="N41" s="19">
        <v>31.0</v>
      </c>
    </row>
    <row r="42">
      <c r="A42" s="12">
        <v>40.0</v>
      </c>
      <c r="B42" s="13" t="s">
        <v>218</v>
      </c>
      <c r="C42" s="14">
        <v>10.0</v>
      </c>
      <c r="D42" s="15" t="s">
        <v>219</v>
      </c>
      <c r="E42" s="16" t="s">
        <v>221</v>
      </c>
      <c r="F42" s="13" t="s">
        <v>283</v>
      </c>
      <c r="G42" s="13" t="s">
        <v>284</v>
      </c>
      <c r="H42" s="13" t="s">
        <v>267</v>
      </c>
      <c r="I42" s="13" t="s">
        <v>63</v>
      </c>
      <c r="J42" s="17" t="s">
        <v>71</v>
      </c>
      <c r="K42" s="17" t="s">
        <v>58</v>
      </c>
      <c r="L42" s="18" t="s">
        <v>52</v>
      </c>
      <c r="M42" s="19">
        <v>2.0</v>
      </c>
      <c r="N42" s="19">
        <v>31.0</v>
      </c>
    </row>
    <row r="43">
      <c r="A43" s="12">
        <v>41.0</v>
      </c>
      <c r="B43" s="13" t="s">
        <v>218</v>
      </c>
      <c r="C43" s="14">
        <v>11.0</v>
      </c>
      <c r="D43" s="15" t="s">
        <v>219</v>
      </c>
      <c r="E43" s="16" t="s">
        <v>221</v>
      </c>
      <c r="F43" s="13" t="s">
        <v>289</v>
      </c>
      <c r="G43" s="13" t="s">
        <v>61</v>
      </c>
      <c r="H43" s="13" t="s">
        <v>291</v>
      </c>
      <c r="I43" s="13" t="s">
        <v>63</v>
      </c>
      <c r="J43" s="17" t="s">
        <v>71</v>
      </c>
      <c r="K43" s="17" t="s">
        <v>58</v>
      </c>
      <c r="L43" s="18" t="s">
        <v>52</v>
      </c>
      <c r="M43" s="19">
        <v>2.0</v>
      </c>
      <c r="N43" s="19">
        <v>31.0</v>
      </c>
    </row>
    <row r="44">
      <c r="A44" s="12">
        <v>42.0</v>
      </c>
      <c r="B44" s="13" t="s">
        <v>218</v>
      </c>
      <c r="C44" s="14">
        <v>12.0</v>
      </c>
      <c r="D44" s="15" t="s">
        <v>219</v>
      </c>
      <c r="E44" s="16" t="s">
        <v>221</v>
      </c>
      <c r="F44" s="13" t="s">
        <v>296</v>
      </c>
      <c r="G44" s="13" t="s">
        <v>297</v>
      </c>
      <c r="H44" s="13" t="s">
        <v>298</v>
      </c>
      <c r="I44" s="13" t="s">
        <v>63</v>
      </c>
      <c r="J44" s="17" t="s">
        <v>71</v>
      </c>
      <c r="K44" s="17" t="s">
        <v>58</v>
      </c>
      <c r="L44" s="18" t="s">
        <v>52</v>
      </c>
      <c r="M44" s="19">
        <v>2.0</v>
      </c>
      <c r="N44" s="19">
        <v>31.0</v>
      </c>
    </row>
    <row r="45">
      <c r="A45" s="12">
        <v>43.0</v>
      </c>
      <c r="B45" s="13" t="s">
        <v>218</v>
      </c>
      <c r="C45" s="14">
        <v>13.0</v>
      </c>
      <c r="D45" s="15" t="s">
        <v>219</v>
      </c>
      <c r="E45" s="16" t="s">
        <v>221</v>
      </c>
      <c r="F45" s="13" t="s">
        <v>302</v>
      </c>
      <c r="G45" s="13" t="s">
        <v>61</v>
      </c>
      <c r="H45" s="13" t="s">
        <v>303</v>
      </c>
      <c r="I45" s="13" t="s">
        <v>63</v>
      </c>
      <c r="J45" s="17" t="s">
        <v>71</v>
      </c>
      <c r="K45" s="17" t="s">
        <v>58</v>
      </c>
      <c r="L45" s="18" t="s">
        <v>52</v>
      </c>
      <c r="M45" s="19">
        <v>2.0</v>
      </c>
      <c r="N45" s="19">
        <v>31.0</v>
      </c>
    </row>
    <row r="46">
      <c r="A46" s="12">
        <v>44.0</v>
      </c>
      <c r="B46" s="13" t="s">
        <v>218</v>
      </c>
      <c r="C46" s="14">
        <v>14.0</v>
      </c>
      <c r="D46" s="15" t="s">
        <v>219</v>
      </c>
      <c r="E46" s="16" t="s">
        <v>221</v>
      </c>
      <c r="F46" s="13" t="s">
        <v>308</v>
      </c>
      <c r="G46" s="13" t="s">
        <v>310</v>
      </c>
      <c r="H46" s="13" t="s">
        <v>311</v>
      </c>
      <c r="I46" s="13" t="s">
        <v>63</v>
      </c>
      <c r="J46" s="17" t="s">
        <v>71</v>
      </c>
      <c r="K46" s="17" t="s">
        <v>58</v>
      </c>
      <c r="L46" s="18" t="s">
        <v>52</v>
      </c>
      <c r="M46" s="19">
        <v>2.0</v>
      </c>
      <c r="N46" s="19">
        <v>31.0</v>
      </c>
    </row>
    <row r="47">
      <c r="A47" s="12">
        <v>45.0</v>
      </c>
      <c r="B47" s="13" t="s">
        <v>218</v>
      </c>
      <c r="C47" s="14">
        <v>15.0</v>
      </c>
      <c r="D47" s="15" t="s">
        <v>219</v>
      </c>
      <c r="E47" s="16" t="s">
        <v>221</v>
      </c>
      <c r="F47" s="13" t="s">
        <v>314</v>
      </c>
      <c r="G47" s="13" t="s">
        <v>316</v>
      </c>
      <c r="H47" s="13" t="s">
        <v>267</v>
      </c>
      <c r="I47" s="13" t="s">
        <v>63</v>
      </c>
      <c r="J47" s="17" t="s">
        <v>71</v>
      </c>
      <c r="K47" s="17" t="s">
        <v>58</v>
      </c>
      <c r="L47" s="18" t="s">
        <v>52</v>
      </c>
      <c r="M47" s="19">
        <v>2.0</v>
      </c>
      <c r="N47" s="19">
        <v>31.0</v>
      </c>
    </row>
    <row r="48">
      <c r="A48" s="12">
        <v>46.0</v>
      </c>
      <c r="B48" s="13" t="s">
        <v>218</v>
      </c>
      <c r="C48" s="14">
        <v>16.0</v>
      </c>
      <c r="D48" s="15" t="s">
        <v>219</v>
      </c>
      <c r="E48" s="16" t="s">
        <v>221</v>
      </c>
      <c r="F48" s="13" t="s">
        <v>320</v>
      </c>
      <c r="G48" s="13" t="s">
        <v>61</v>
      </c>
      <c r="H48" s="13" t="s">
        <v>322</v>
      </c>
      <c r="I48" s="13" t="s">
        <v>63</v>
      </c>
      <c r="J48" s="17" t="s">
        <v>71</v>
      </c>
      <c r="K48" s="17" t="s">
        <v>58</v>
      </c>
      <c r="L48" s="18" t="s">
        <v>52</v>
      </c>
      <c r="M48" s="19">
        <v>2.0</v>
      </c>
      <c r="N48" s="19">
        <v>31.0</v>
      </c>
    </row>
    <row r="49">
      <c r="A49" s="12">
        <v>47.0</v>
      </c>
      <c r="B49" s="13" t="s">
        <v>218</v>
      </c>
      <c r="C49" s="14">
        <v>17.0</v>
      </c>
      <c r="D49" s="15" t="s">
        <v>219</v>
      </c>
      <c r="E49" s="16" t="s">
        <v>221</v>
      </c>
      <c r="F49" s="13" t="s">
        <v>327</v>
      </c>
      <c r="G49" s="13" t="s">
        <v>328</v>
      </c>
      <c r="H49" s="13" t="s">
        <v>329</v>
      </c>
      <c r="I49" s="13" t="s">
        <v>63</v>
      </c>
      <c r="J49" s="17" t="s">
        <v>71</v>
      </c>
      <c r="K49" s="17" t="s">
        <v>58</v>
      </c>
      <c r="L49" s="18" t="s">
        <v>52</v>
      </c>
      <c r="M49" s="19">
        <v>2.0</v>
      </c>
      <c r="N49" s="19">
        <v>31.0</v>
      </c>
    </row>
    <row r="50">
      <c r="A50" s="12">
        <v>48.0</v>
      </c>
      <c r="B50" s="13" t="s">
        <v>218</v>
      </c>
      <c r="C50" s="14">
        <v>18.0</v>
      </c>
      <c r="D50" s="15" t="s">
        <v>219</v>
      </c>
      <c r="E50" s="16" t="s">
        <v>221</v>
      </c>
      <c r="F50" s="13" t="s">
        <v>334</v>
      </c>
      <c r="G50" s="13" t="s">
        <v>335</v>
      </c>
      <c r="H50" s="13" t="s">
        <v>337</v>
      </c>
      <c r="I50" s="13" t="s">
        <v>63</v>
      </c>
      <c r="J50" s="17" t="s">
        <v>71</v>
      </c>
      <c r="K50" s="17" t="s">
        <v>58</v>
      </c>
      <c r="L50" s="18" t="s">
        <v>52</v>
      </c>
      <c r="M50" s="19">
        <v>2.0</v>
      </c>
      <c r="N50" s="19">
        <v>31.0</v>
      </c>
    </row>
    <row r="51">
      <c r="A51" s="12">
        <v>49.0</v>
      </c>
      <c r="B51" s="13" t="s">
        <v>218</v>
      </c>
      <c r="C51" s="14">
        <v>19.0</v>
      </c>
      <c r="D51" s="15" t="s">
        <v>219</v>
      </c>
      <c r="E51" s="16" t="s">
        <v>221</v>
      </c>
      <c r="F51" s="13" t="s">
        <v>341</v>
      </c>
      <c r="G51" s="13" t="s">
        <v>343</v>
      </c>
      <c r="H51" s="13" t="s">
        <v>344</v>
      </c>
      <c r="I51" s="13" t="s">
        <v>63</v>
      </c>
      <c r="J51" s="17" t="s">
        <v>71</v>
      </c>
      <c r="K51" s="17" t="s">
        <v>58</v>
      </c>
      <c r="L51" s="18" t="s">
        <v>52</v>
      </c>
      <c r="M51" s="19">
        <v>2.0</v>
      </c>
      <c r="N51" s="19">
        <v>31.0</v>
      </c>
    </row>
    <row r="52">
      <c r="A52" s="12">
        <v>50.0</v>
      </c>
      <c r="B52" s="13" t="s">
        <v>218</v>
      </c>
      <c r="C52" s="14">
        <v>20.0</v>
      </c>
      <c r="D52" s="15" t="s">
        <v>349</v>
      </c>
      <c r="E52" s="16" t="s">
        <v>221</v>
      </c>
      <c r="F52" s="13" t="s">
        <v>350</v>
      </c>
      <c r="G52" s="13" t="s">
        <v>61</v>
      </c>
      <c r="H52" s="13" t="s">
        <v>351</v>
      </c>
      <c r="I52" s="13" t="s">
        <v>63</v>
      </c>
      <c r="J52" s="17" t="s">
        <v>71</v>
      </c>
      <c r="K52" s="17" t="s">
        <v>58</v>
      </c>
      <c r="L52" s="18" t="s">
        <v>52</v>
      </c>
      <c r="M52" s="19">
        <v>2.0</v>
      </c>
      <c r="N52" s="19">
        <v>31.0</v>
      </c>
    </row>
    <row r="53">
      <c r="A53" s="12">
        <v>51.0</v>
      </c>
      <c r="B53" s="13" t="s">
        <v>218</v>
      </c>
      <c r="C53" s="14">
        <v>21.0</v>
      </c>
      <c r="D53" s="15" t="s">
        <v>358</v>
      </c>
      <c r="E53" s="16" t="s">
        <v>221</v>
      </c>
      <c r="F53" s="13" t="s">
        <v>360</v>
      </c>
      <c r="G53" s="13" t="s">
        <v>361</v>
      </c>
      <c r="H53" s="13" t="s">
        <v>363</v>
      </c>
      <c r="I53" s="13" t="s">
        <v>63</v>
      </c>
      <c r="J53" s="17" t="s">
        <v>71</v>
      </c>
      <c r="K53" s="17" t="s">
        <v>58</v>
      </c>
      <c r="L53" s="18" t="s">
        <v>52</v>
      </c>
      <c r="M53" s="19">
        <v>2.0</v>
      </c>
      <c r="N53" s="19">
        <v>31.0</v>
      </c>
    </row>
    <row r="54">
      <c r="A54" s="12">
        <v>52.0</v>
      </c>
      <c r="B54" s="13" t="s">
        <v>218</v>
      </c>
      <c r="C54" s="14">
        <v>22.0</v>
      </c>
      <c r="D54" s="15" t="s">
        <v>358</v>
      </c>
      <c r="E54" s="16" t="s">
        <v>221</v>
      </c>
      <c r="F54" s="13" t="s">
        <v>367</v>
      </c>
      <c r="G54" s="13" t="s">
        <v>61</v>
      </c>
      <c r="H54" s="13" t="s">
        <v>369</v>
      </c>
      <c r="I54" s="13" t="s">
        <v>63</v>
      </c>
      <c r="J54" s="17" t="s">
        <v>71</v>
      </c>
      <c r="K54" s="17" t="s">
        <v>58</v>
      </c>
      <c r="L54" s="18" t="s">
        <v>52</v>
      </c>
      <c r="M54" s="19">
        <v>2.0</v>
      </c>
      <c r="N54" s="19">
        <v>31.0</v>
      </c>
    </row>
    <row r="55">
      <c r="A55" s="12">
        <v>53.0</v>
      </c>
      <c r="B55" s="13" t="s">
        <v>218</v>
      </c>
      <c r="C55" s="14">
        <v>23.0</v>
      </c>
      <c r="D55" s="15" t="s">
        <v>358</v>
      </c>
      <c r="E55" s="16" t="s">
        <v>221</v>
      </c>
      <c r="F55" s="13" t="s">
        <v>375</v>
      </c>
      <c r="G55" s="13" t="s">
        <v>377</v>
      </c>
      <c r="H55" s="13" t="s">
        <v>379</v>
      </c>
      <c r="I55" s="13" t="s">
        <v>63</v>
      </c>
      <c r="J55" s="17" t="s">
        <v>71</v>
      </c>
      <c r="K55" s="17" t="s">
        <v>58</v>
      </c>
      <c r="L55" s="18" t="s">
        <v>253</v>
      </c>
      <c r="M55" s="19">
        <v>2.0</v>
      </c>
      <c r="N55" s="19">
        <v>31.0</v>
      </c>
    </row>
    <row r="56">
      <c r="A56" s="12">
        <v>54.0</v>
      </c>
      <c r="B56" s="13" t="s">
        <v>218</v>
      </c>
      <c r="C56" s="14">
        <v>24.0</v>
      </c>
      <c r="D56" s="15" t="s">
        <v>358</v>
      </c>
      <c r="E56" s="16" t="s">
        <v>221</v>
      </c>
      <c r="F56" s="13" t="s">
        <v>391</v>
      </c>
      <c r="G56" s="13" t="s">
        <v>392</v>
      </c>
      <c r="H56" s="13" t="s">
        <v>394</v>
      </c>
      <c r="I56" s="13" t="s">
        <v>63</v>
      </c>
      <c r="J56" s="17" t="s">
        <v>71</v>
      </c>
      <c r="K56" s="17" t="s">
        <v>58</v>
      </c>
      <c r="L56" s="18" t="s">
        <v>52</v>
      </c>
      <c r="M56" s="19">
        <v>2.0</v>
      </c>
      <c r="N56" s="19">
        <v>31.0</v>
      </c>
    </row>
    <row r="57">
      <c r="A57" s="12">
        <v>55.0</v>
      </c>
      <c r="B57" s="13" t="s">
        <v>218</v>
      </c>
      <c r="C57" s="14">
        <v>25.0</v>
      </c>
      <c r="D57" s="15" t="s">
        <v>358</v>
      </c>
      <c r="E57" s="16" t="s">
        <v>221</v>
      </c>
      <c r="F57" s="13" t="s">
        <v>403</v>
      </c>
      <c r="G57" s="13" t="s">
        <v>404</v>
      </c>
      <c r="H57" s="13" t="s">
        <v>406</v>
      </c>
      <c r="I57" s="13" t="s">
        <v>63</v>
      </c>
      <c r="J57" s="17" t="s">
        <v>71</v>
      </c>
      <c r="K57" s="17" t="s">
        <v>58</v>
      </c>
      <c r="L57" s="18" t="s">
        <v>52</v>
      </c>
      <c r="M57" s="19">
        <v>2.0</v>
      </c>
      <c r="N57" s="19">
        <v>31.0</v>
      </c>
    </row>
    <row r="58">
      <c r="A58" s="12">
        <v>56.0</v>
      </c>
      <c r="B58" s="13" t="s">
        <v>218</v>
      </c>
      <c r="C58" s="14">
        <v>26.0</v>
      </c>
      <c r="D58" s="15" t="s">
        <v>219</v>
      </c>
      <c r="E58" s="16" t="s">
        <v>221</v>
      </c>
      <c r="F58" s="13" t="s">
        <v>413</v>
      </c>
      <c r="G58" s="13" t="s">
        <v>415</v>
      </c>
      <c r="H58" s="13" t="s">
        <v>415</v>
      </c>
      <c r="I58" s="13" t="s">
        <v>416</v>
      </c>
      <c r="J58" s="17" t="s">
        <v>418</v>
      </c>
      <c r="K58" s="17" t="s">
        <v>420</v>
      </c>
      <c r="L58" s="18" t="s">
        <v>52</v>
      </c>
      <c r="M58" s="19">
        <v>2.0</v>
      </c>
      <c r="N58" s="19">
        <v>41.0</v>
      </c>
    </row>
    <row r="59">
      <c r="A59" s="12">
        <v>57.0</v>
      </c>
      <c r="B59" s="13" t="s">
        <v>218</v>
      </c>
      <c r="C59" s="14">
        <v>27.0</v>
      </c>
      <c r="D59" s="15" t="s">
        <v>219</v>
      </c>
      <c r="E59" s="16" t="s">
        <v>221</v>
      </c>
      <c r="F59" s="13" t="s">
        <v>423</v>
      </c>
      <c r="G59" s="13" t="s">
        <v>415</v>
      </c>
      <c r="H59" s="13" t="s">
        <v>415</v>
      </c>
      <c r="I59" s="13" t="s">
        <v>416</v>
      </c>
      <c r="J59" s="17" t="s">
        <v>418</v>
      </c>
      <c r="K59" s="17" t="s">
        <v>420</v>
      </c>
      <c r="L59" s="18" t="s">
        <v>52</v>
      </c>
      <c r="M59" s="19">
        <v>2.0</v>
      </c>
      <c r="N59" s="19">
        <v>41.0</v>
      </c>
    </row>
    <row r="60">
      <c r="A60" s="12">
        <v>58.0</v>
      </c>
      <c r="B60" s="13" t="s">
        <v>218</v>
      </c>
      <c r="C60" s="14">
        <v>28.0</v>
      </c>
      <c r="D60" s="15" t="s">
        <v>219</v>
      </c>
      <c r="E60" s="16" t="s">
        <v>221</v>
      </c>
      <c r="F60" s="13" t="s">
        <v>433</v>
      </c>
      <c r="G60" s="13" t="s">
        <v>415</v>
      </c>
      <c r="H60" s="13" t="s">
        <v>415</v>
      </c>
      <c r="I60" s="13" t="s">
        <v>416</v>
      </c>
      <c r="J60" s="17" t="s">
        <v>418</v>
      </c>
      <c r="K60" s="17" t="s">
        <v>420</v>
      </c>
      <c r="L60" s="18" t="s">
        <v>52</v>
      </c>
      <c r="M60" s="19">
        <v>2.0</v>
      </c>
      <c r="N60" s="19">
        <v>41.0</v>
      </c>
    </row>
    <row r="61">
      <c r="A61" s="12">
        <v>59.0</v>
      </c>
      <c r="B61" s="13" t="s">
        <v>218</v>
      </c>
      <c r="C61" s="14">
        <v>29.0</v>
      </c>
      <c r="D61" s="15" t="s">
        <v>219</v>
      </c>
      <c r="E61" s="16" t="s">
        <v>221</v>
      </c>
      <c r="F61" s="13" t="s">
        <v>444</v>
      </c>
      <c r="G61" s="13" t="s">
        <v>415</v>
      </c>
      <c r="H61" s="13" t="s">
        <v>415</v>
      </c>
      <c r="I61" s="13" t="s">
        <v>416</v>
      </c>
      <c r="J61" s="17" t="s">
        <v>418</v>
      </c>
      <c r="K61" s="17" t="s">
        <v>420</v>
      </c>
      <c r="L61" s="18" t="s">
        <v>52</v>
      </c>
      <c r="M61" s="19">
        <v>2.0</v>
      </c>
      <c r="N61" s="19">
        <v>41.0</v>
      </c>
    </row>
    <row r="62">
      <c r="A62" s="12">
        <v>60.0</v>
      </c>
      <c r="B62" s="13" t="s">
        <v>218</v>
      </c>
      <c r="C62" s="14">
        <v>30.0</v>
      </c>
      <c r="D62" s="15" t="s">
        <v>219</v>
      </c>
      <c r="E62" s="16" t="s">
        <v>221</v>
      </c>
      <c r="F62" s="13" t="s">
        <v>451</v>
      </c>
      <c r="G62" s="13" t="s">
        <v>415</v>
      </c>
      <c r="H62" s="13" t="s">
        <v>415</v>
      </c>
      <c r="I62" s="13" t="s">
        <v>416</v>
      </c>
      <c r="J62" s="17" t="s">
        <v>418</v>
      </c>
      <c r="K62" s="17" t="s">
        <v>420</v>
      </c>
      <c r="L62" s="18" t="s">
        <v>52</v>
      </c>
      <c r="M62" s="19">
        <v>2.0</v>
      </c>
      <c r="N62" s="19">
        <v>41.0</v>
      </c>
    </row>
    <row r="63">
      <c r="A63" s="12">
        <v>61.0</v>
      </c>
      <c r="B63" s="13" t="s">
        <v>218</v>
      </c>
      <c r="C63" s="14">
        <v>31.0</v>
      </c>
      <c r="D63" s="15" t="s">
        <v>219</v>
      </c>
      <c r="E63" s="16" t="s">
        <v>221</v>
      </c>
      <c r="F63" s="13" t="s">
        <v>457</v>
      </c>
      <c r="G63" s="13" t="s">
        <v>415</v>
      </c>
      <c r="H63" s="13" t="s">
        <v>415</v>
      </c>
      <c r="I63" s="13" t="s">
        <v>416</v>
      </c>
      <c r="J63" s="17" t="s">
        <v>418</v>
      </c>
      <c r="K63" s="17" t="s">
        <v>420</v>
      </c>
      <c r="L63" s="18" t="s">
        <v>52</v>
      </c>
      <c r="M63" s="19">
        <v>2.0</v>
      </c>
      <c r="N63" s="19">
        <v>41.0</v>
      </c>
    </row>
    <row r="64">
      <c r="A64" s="12">
        <v>62.0</v>
      </c>
      <c r="B64" s="13" t="s">
        <v>218</v>
      </c>
      <c r="C64" s="14">
        <v>32.0</v>
      </c>
      <c r="D64" s="15" t="s">
        <v>219</v>
      </c>
      <c r="E64" s="16" t="s">
        <v>221</v>
      </c>
      <c r="F64" s="13" t="s">
        <v>463</v>
      </c>
      <c r="G64" s="13" t="s">
        <v>415</v>
      </c>
      <c r="H64" s="13" t="s">
        <v>415</v>
      </c>
      <c r="I64" s="13" t="s">
        <v>416</v>
      </c>
      <c r="J64" s="17" t="s">
        <v>418</v>
      </c>
      <c r="K64" s="17" t="s">
        <v>420</v>
      </c>
      <c r="L64" s="18" t="s">
        <v>52</v>
      </c>
      <c r="M64" s="19">
        <v>2.0</v>
      </c>
      <c r="N64" s="19">
        <v>41.0</v>
      </c>
    </row>
    <row r="65">
      <c r="A65" s="12">
        <v>63.0</v>
      </c>
      <c r="B65" s="13" t="s">
        <v>218</v>
      </c>
      <c r="C65" s="14">
        <v>33.0</v>
      </c>
      <c r="D65" s="15" t="s">
        <v>219</v>
      </c>
      <c r="E65" s="16" t="s">
        <v>221</v>
      </c>
      <c r="F65" s="13" t="s">
        <v>471</v>
      </c>
      <c r="G65" s="13" t="s">
        <v>415</v>
      </c>
      <c r="H65" s="13" t="s">
        <v>415</v>
      </c>
      <c r="I65" s="13" t="s">
        <v>416</v>
      </c>
      <c r="J65" s="17" t="s">
        <v>418</v>
      </c>
      <c r="K65" s="17" t="s">
        <v>420</v>
      </c>
      <c r="L65" s="18" t="s">
        <v>52</v>
      </c>
      <c r="M65" s="19">
        <v>2.0</v>
      </c>
      <c r="N65" s="19">
        <v>41.0</v>
      </c>
    </row>
    <row r="66">
      <c r="A66" s="12">
        <v>64.0</v>
      </c>
      <c r="B66" s="13" t="s">
        <v>218</v>
      </c>
      <c r="C66" s="14">
        <v>34.0</v>
      </c>
      <c r="D66" s="15" t="s">
        <v>349</v>
      </c>
      <c r="E66" s="16" t="s">
        <v>221</v>
      </c>
      <c r="F66" s="13" t="s">
        <v>475</v>
      </c>
      <c r="G66" s="13" t="s">
        <v>415</v>
      </c>
      <c r="H66" s="13" t="s">
        <v>415</v>
      </c>
      <c r="I66" s="13" t="s">
        <v>416</v>
      </c>
      <c r="J66" s="17" t="s">
        <v>418</v>
      </c>
      <c r="K66" s="17" t="s">
        <v>420</v>
      </c>
      <c r="L66" s="18" t="s">
        <v>52</v>
      </c>
      <c r="M66" s="19">
        <v>2.0</v>
      </c>
      <c r="N66" s="19">
        <v>41.0</v>
      </c>
    </row>
    <row r="67">
      <c r="A67" s="12">
        <v>65.0</v>
      </c>
      <c r="B67" s="13" t="s">
        <v>218</v>
      </c>
      <c r="C67" s="14">
        <v>35.0</v>
      </c>
      <c r="D67" s="15" t="s">
        <v>349</v>
      </c>
      <c r="E67" s="16" t="s">
        <v>221</v>
      </c>
      <c r="F67" s="13" t="s">
        <v>68</v>
      </c>
      <c r="G67" s="13" t="s">
        <v>415</v>
      </c>
      <c r="H67" s="13" t="s">
        <v>415</v>
      </c>
      <c r="I67" s="13" t="s">
        <v>416</v>
      </c>
      <c r="J67" s="17" t="s">
        <v>418</v>
      </c>
      <c r="K67" s="17" t="s">
        <v>420</v>
      </c>
      <c r="L67" s="18" t="s">
        <v>52</v>
      </c>
      <c r="M67" s="19">
        <v>2.0</v>
      </c>
      <c r="N67" s="19">
        <v>41.0</v>
      </c>
    </row>
    <row r="68">
      <c r="A68" s="12">
        <v>66.0</v>
      </c>
      <c r="B68" s="13" t="s">
        <v>218</v>
      </c>
      <c r="C68" s="14">
        <v>36.0</v>
      </c>
      <c r="D68" s="15" t="s">
        <v>349</v>
      </c>
      <c r="E68" s="16" t="s">
        <v>221</v>
      </c>
      <c r="F68" s="13" t="s">
        <v>489</v>
      </c>
      <c r="G68" s="13" t="s">
        <v>415</v>
      </c>
      <c r="H68" s="13" t="s">
        <v>415</v>
      </c>
      <c r="I68" s="13" t="s">
        <v>416</v>
      </c>
      <c r="J68" s="17" t="s">
        <v>418</v>
      </c>
      <c r="K68" s="17" t="s">
        <v>420</v>
      </c>
      <c r="L68" s="18" t="s">
        <v>52</v>
      </c>
      <c r="M68" s="19">
        <v>2.0</v>
      </c>
      <c r="N68" s="19">
        <v>41.0</v>
      </c>
    </row>
    <row r="69">
      <c r="A69" s="12">
        <v>67.0</v>
      </c>
      <c r="B69" s="13" t="s">
        <v>218</v>
      </c>
      <c r="C69" s="14">
        <v>37.0</v>
      </c>
      <c r="D69" s="15" t="s">
        <v>349</v>
      </c>
      <c r="E69" s="16" t="s">
        <v>221</v>
      </c>
      <c r="F69" s="13" t="s">
        <v>495</v>
      </c>
      <c r="G69" s="13" t="s">
        <v>415</v>
      </c>
      <c r="H69" s="13" t="s">
        <v>415</v>
      </c>
      <c r="I69" s="13" t="s">
        <v>416</v>
      </c>
      <c r="J69" s="17" t="s">
        <v>418</v>
      </c>
      <c r="K69" s="17" t="s">
        <v>420</v>
      </c>
      <c r="L69" s="18" t="s">
        <v>52</v>
      </c>
      <c r="M69" s="19">
        <v>2.0</v>
      </c>
      <c r="N69" s="19">
        <v>41.0</v>
      </c>
    </row>
    <row r="70">
      <c r="A70" s="12">
        <v>68.0</v>
      </c>
      <c r="B70" s="13" t="s">
        <v>218</v>
      </c>
      <c r="C70" s="14">
        <v>38.0</v>
      </c>
      <c r="D70" s="15" t="s">
        <v>349</v>
      </c>
      <c r="E70" s="16" t="s">
        <v>221</v>
      </c>
      <c r="F70" s="13" t="s">
        <v>501</v>
      </c>
      <c r="G70" s="13" t="s">
        <v>415</v>
      </c>
      <c r="H70" s="13" t="s">
        <v>415</v>
      </c>
      <c r="I70" s="13" t="s">
        <v>416</v>
      </c>
      <c r="J70" s="17" t="s">
        <v>418</v>
      </c>
      <c r="K70" s="17" t="s">
        <v>420</v>
      </c>
      <c r="L70" s="18" t="s">
        <v>52</v>
      </c>
      <c r="M70" s="19">
        <v>2.0</v>
      </c>
      <c r="N70" s="19">
        <v>41.0</v>
      </c>
    </row>
    <row r="71">
      <c r="A71" s="12">
        <v>69.0</v>
      </c>
      <c r="B71" s="13" t="s">
        <v>218</v>
      </c>
      <c r="C71" s="14">
        <v>39.0</v>
      </c>
      <c r="D71" s="15" t="s">
        <v>349</v>
      </c>
      <c r="E71" s="16" t="s">
        <v>221</v>
      </c>
      <c r="F71" s="13" t="s">
        <v>506</v>
      </c>
      <c r="G71" s="13" t="s">
        <v>415</v>
      </c>
      <c r="H71" s="13" t="s">
        <v>415</v>
      </c>
      <c r="I71" s="13" t="s">
        <v>416</v>
      </c>
      <c r="J71" s="17" t="s">
        <v>418</v>
      </c>
      <c r="K71" s="17" t="s">
        <v>420</v>
      </c>
      <c r="L71" s="18" t="s">
        <v>52</v>
      </c>
      <c r="M71" s="19">
        <v>2.0</v>
      </c>
      <c r="N71" s="19">
        <v>41.0</v>
      </c>
    </row>
    <row r="72">
      <c r="A72" s="12">
        <v>70.0</v>
      </c>
      <c r="B72" s="13" t="s">
        <v>218</v>
      </c>
      <c r="C72" s="14">
        <v>40.0</v>
      </c>
      <c r="D72" s="15" t="s">
        <v>349</v>
      </c>
      <c r="E72" s="16" t="s">
        <v>221</v>
      </c>
      <c r="F72" s="13" t="s">
        <v>512</v>
      </c>
      <c r="G72" s="13" t="s">
        <v>415</v>
      </c>
      <c r="H72" s="13" t="s">
        <v>415</v>
      </c>
      <c r="I72" s="13" t="s">
        <v>416</v>
      </c>
      <c r="J72" s="17" t="s">
        <v>418</v>
      </c>
      <c r="K72" s="17" t="s">
        <v>420</v>
      </c>
      <c r="L72" s="18" t="s">
        <v>52</v>
      </c>
      <c r="M72" s="19">
        <v>2.0</v>
      </c>
      <c r="N72" s="19">
        <v>41.0</v>
      </c>
    </row>
    <row r="73">
      <c r="A73" s="12">
        <v>71.0</v>
      </c>
      <c r="B73" s="13" t="s">
        <v>218</v>
      </c>
      <c r="C73" s="14">
        <v>41.0</v>
      </c>
      <c r="D73" s="15" t="s">
        <v>349</v>
      </c>
      <c r="E73" s="16" t="s">
        <v>221</v>
      </c>
      <c r="F73" s="13" t="s">
        <v>518</v>
      </c>
      <c r="G73" s="13" t="s">
        <v>415</v>
      </c>
      <c r="H73" s="13" t="s">
        <v>415</v>
      </c>
      <c r="I73" s="13" t="s">
        <v>416</v>
      </c>
      <c r="J73" s="17" t="s">
        <v>418</v>
      </c>
      <c r="K73" s="17" t="s">
        <v>420</v>
      </c>
      <c r="L73" s="18" t="s">
        <v>524</v>
      </c>
      <c r="M73" s="19">
        <v>2.0</v>
      </c>
      <c r="N73" s="19">
        <v>41.0</v>
      </c>
    </row>
    <row r="74">
      <c r="A74" s="12">
        <v>72.0</v>
      </c>
      <c r="B74" s="13" t="s">
        <v>218</v>
      </c>
      <c r="C74" s="14">
        <v>42.0</v>
      </c>
      <c r="D74" s="15" t="s">
        <v>349</v>
      </c>
      <c r="E74" s="16" t="s">
        <v>221</v>
      </c>
      <c r="F74" s="13" t="s">
        <v>530</v>
      </c>
      <c r="G74" s="13" t="s">
        <v>415</v>
      </c>
      <c r="H74" s="13" t="s">
        <v>415</v>
      </c>
      <c r="I74" s="13" t="s">
        <v>416</v>
      </c>
      <c r="J74" s="17" t="s">
        <v>418</v>
      </c>
      <c r="K74" s="17" t="s">
        <v>420</v>
      </c>
      <c r="L74" s="18" t="s">
        <v>52</v>
      </c>
      <c r="M74" s="19">
        <v>2.0</v>
      </c>
      <c r="N74" s="19">
        <v>41.0</v>
      </c>
    </row>
    <row r="75">
      <c r="A75" s="12">
        <v>73.0</v>
      </c>
      <c r="B75" s="13" t="s">
        <v>218</v>
      </c>
      <c r="C75" s="14">
        <v>43.0</v>
      </c>
      <c r="D75" s="15" t="s">
        <v>349</v>
      </c>
      <c r="E75" s="16" t="s">
        <v>221</v>
      </c>
      <c r="F75" s="13" t="s">
        <v>541</v>
      </c>
      <c r="G75" s="13" t="s">
        <v>415</v>
      </c>
      <c r="H75" s="13" t="s">
        <v>415</v>
      </c>
      <c r="I75" s="13" t="s">
        <v>416</v>
      </c>
      <c r="J75" s="17" t="s">
        <v>418</v>
      </c>
      <c r="K75" s="17" t="s">
        <v>420</v>
      </c>
      <c r="L75" s="18" t="s">
        <v>52</v>
      </c>
      <c r="M75" s="19">
        <v>2.0</v>
      </c>
      <c r="N75" s="19">
        <v>41.0</v>
      </c>
    </row>
    <row r="76">
      <c r="A76" s="12">
        <v>74.0</v>
      </c>
      <c r="B76" s="13" t="s">
        <v>218</v>
      </c>
      <c r="C76" s="14">
        <v>44.0</v>
      </c>
      <c r="D76" s="15" t="s">
        <v>349</v>
      </c>
      <c r="E76" s="16" t="s">
        <v>221</v>
      </c>
      <c r="F76" s="13" t="s">
        <v>552</v>
      </c>
      <c r="G76" s="13" t="s">
        <v>415</v>
      </c>
      <c r="H76" s="13" t="s">
        <v>415</v>
      </c>
      <c r="I76" s="13" t="s">
        <v>416</v>
      </c>
      <c r="J76" s="17" t="s">
        <v>418</v>
      </c>
      <c r="K76" s="17" t="s">
        <v>420</v>
      </c>
      <c r="L76" s="18" t="s">
        <v>52</v>
      </c>
      <c r="M76" s="19">
        <v>2.0</v>
      </c>
      <c r="N76" s="19">
        <v>41.0</v>
      </c>
    </row>
    <row r="77">
      <c r="A77" s="12">
        <v>75.0</v>
      </c>
      <c r="B77" s="13" t="s">
        <v>218</v>
      </c>
      <c r="C77" s="14">
        <v>45.0</v>
      </c>
      <c r="D77" s="15" t="s">
        <v>349</v>
      </c>
      <c r="E77" s="16" t="s">
        <v>221</v>
      </c>
      <c r="F77" s="13" t="s">
        <v>561</v>
      </c>
      <c r="G77" s="13" t="s">
        <v>415</v>
      </c>
      <c r="H77" s="13" t="s">
        <v>415</v>
      </c>
      <c r="I77" s="13" t="s">
        <v>416</v>
      </c>
      <c r="J77" s="17" t="s">
        <v>418</v>
      </c>
      <c r="K77" s="17" t="s">
        <v>420</v>
      </c>
      <c r="L77" s="18" t="s">
        <v>52</v>
      </c>
      <c r="M77" s="19">
        <v>2.0</v>
      </c>
      <c r="N77" s="19">
        <v>41.0</v>
      </c>
    </row>
    <row r="78">
      <c r="A78" s="12">
        <v>76.0</v>
      </c>
      <c r="B78" s="13" t="s">
        <v>218</v>
      </c>
      <c r="C78" s="14">
        <v>46.0</v>
      </c>
      <c r="D78" s="15" t="s">
        <v>349</v>
      </c>
      <c r="E78" s="16" t="s">
        <v>221</v>
      </c>
      <c r="F78" s="13" t="s">
        <v>570</v>
      </c>
      <c r="G78" s="13" t="s">
        <v>415</v>
      </c>
      <c r="H78" s="13" t="s">
        <v>415</v>
      </c>
      <c r="I78" s="13" t="s">
        <v>416</v>
      </c>
      <c r="J78" s="17" t="s">
        <v>418</v>
      </c>
      <c r="K78" s="17" t="s">
        <v>420</v>
      </c>
      <c r="L78" s="18" t="s">
        <v>52</v>
      </c>
      <c r="M78" s="19">
        <v>2.0</v>
      </c>
      <c r="N78" s="19">
        <v>41.0</v>
      </c>
    </row>
    <row r="79">
      <c r="A79" s="12">
        <v>77.0</v>
      </c>
      <c r="B79" s="13" t="s">
        <v>218</v>
      </c>
      <c r="C79" s="14">
        <v>47.0</v>
      </c>
      <c r="D79" s="15" t="s">
        <v>349</v>
      </c>
      <c r="E79" s="16" t="s">
        <v>221</v>
      </c>
      <c r="F79" s="13" t="s">
        <v>576</v>
      </c>
      <c r="G79" s="13" t="s">
        <v>415</v>
      </c>
      <c r="H79" s="13" t="s">
        <v>415</v>
      </c>
      <c r="I79" s="13" t="s">
        <v>416</v>
      </c>
      <c r="J79" s="17" t="s">
        <v>418</v>
      </c>
      <c r="K79" s="17" t="s">
        <v>420</v>
      </c>
      <c r="L79" s="18" t="s">
        <v>52</v>
      </c>
      <c r="M79" s="19">
        <v>2.0</v>
      </c>
      <c r="N79" s="19">
        <v>41.0</v>
      </c>
    </row>
    <row r="80">
      <c r="A80" s="12">
        <v>78.0</v>
      </c>
      <c r="B80" s="13" t="s">
        <v>218</v>
      </c>
      <c r="C80" s="14">
        <v>48.0</v>
      </c>
      <c r="D80" s="15" t="s">
        <v>349</v>
      </c>
      <c r="E80" s="16" t="s">
        <v>221</v>
      </c>
      <c r="F80" s="13" t="s">
        <v>582</v>
      </c>
      <c r="G80" s="13" t="s">
        <v>415</v>
      </c>
      <c r="H80" s="13" t="s">
        <v>415</v>
      </c>
      <c r="I80" s="13" t="s">
        <v>416</v>
      </c>
      <c r="J80" s="17" t="s">
        <v>418</v>
      </c>
      <c r="K80" s="17" t="s">
        <v>420</v>
      </c>
      <c r="L80" s="18" t="s">
        <v>52</v>
      </c>
      <c r="M80" s="19">
        <v>2.0</v>
      </c>
      <c r="N80" s="19">
        <v>41.0</v>
      </c>
    </row>
    <row r="81">
      <c r="A81" s="12">
        <v>79.0</v>
      </c>
      <c r="B81" s="13" t="s">
        <v>218</v>
      </c>
      <c r="C81" s="14">
        <v>49.0</v>
      </c>
      <c r="D81" s="15" t="s">
        <v>349</v>
      </c>
      <c r="E81" s="16" t="s">
        <v>221</v>
      </c>
      <c r="F81" s="13" t="s">
        <v>592</v>
      </c>
      <c r="G81" s="13" t="s">
        <v>415</v>
      </c>
      <c r="H81" s="13" t="s">
        <v>415</v>
      </c>
      <c r="I81" s="13" t="s">
        <v>416</v>
      </c>
      <c r="J81" s="17" t="s">
        <v>418</v>
      </c>
      <c r="K81" s="17" t="s">
        <v>420</v>
      </c>
      <c r="L81" s="18" t="s">
        <v>52</v>
      </c>
      <c r="M81" s="19">
        <v>2.0</v>
      </c>
      <c r="N81" s="19">
        <v>41.0</v>
      </c>
    </row>
    <row r="82">
      <c r="A82" s="12">
        <v>80.0</v>
      </c>
      <c r="B82" s="13" t="s">
        <v>218</v>
      </c>
      <c r="C82" s="14">
        <v>50.0</v>
      </c>
      <c r="D82" s="15" t="s">
        <v>349</v>
      </c>
      <c r="E82" s="16" t="s">
        <v>221</v>
      </c>
      <c r="F82" s="13" t="s">
        <v>602</v>
      </c>
      <c r="G82" s="13" t="s">
        <v>415</v>
      </c>
      <c r="H82" s="13" t="s">
        <v>415</v>
      </c>
      <c r="I82" s="13" t="s">
        <v>416</v>
      </c>
      <c r="J82" s="17" t="s">
        <v>418</v>
      </c>
      <c r="K82" s="17" t="s">
        <v>420</v>
      </c>
      <c r="L82" s="18" t="s">
        <v>52</v>
      </c>
      <c r="M82" s="19">
        <v>2.0</v>
      </c>
      <c r="N82" s="19">
        <v>41.0</v>
      </c>
    </row>
    <row r="83">
      <c r="A83" s="12">
        <v>81.0</v>
      </c>
      <c r="B83" s="13" t="s">
        <v>218</v>
      </c>
      <c r="C83" s="14">
        <v>51.0</v>
      </c>
      <c r="D83" s="15" t="s">
        <v>349</v>
      </c>
      <c r="E83" s="16" t="s">
        <v>221</v>
      </c>
      <c r="F83" s="13" t="s">
        <v>612</v>
      </c>
      <c r="G83" s="13" t="s">
        <v>415</v>
      </c>
      <c r="H83" s="13" t="s">
        <v>415</v>
      </c>
      <c r="I83" s="13" t="s">
        <v>416</v>
      </c>
      <c r="J83" s="17" t="s">
        <v>418</v>
      </c>
      <c r="K83" s="17" t="s">
        <v>420</v>
      </c>
      <c r="L83" s="18" t="s">
        <v>524</v>
      </c>
      <c r="M83" s="19">
        <v>2.0</v>
      </c>
      <c r="N83" s="19">
        <v>41.0</v>
      </c>
    </row>
    <row r="84">
      <c r="A84" s="12">
        <v>82.0</v>
      </c>
      <c r="B84" s="13" t="s">
        <v>218</v>
      </c>
      <c r="C84" s="14">
        <v>52.0</v>
      </c>
      <c r="D84" s="15" t="s">
        <v>349</v>
      </c>
      <c r="E84" s="16" t="s">
        <v>221</v>
      </c>
      <c r="F84" s="13" t="s">
        <v>623</v>
      </c>
      <c r="G84" s="13" t="s">
        <v>415</v>
      </c>
      <c r="H84" s="13" t="s">
        <v>415</v>
      </c>
      <c r="I84" s="13" t="s">
        <v>416</v>
      </c>
      <c r="J84" s="17" t="s">
        <v>418</v>
      </c>
      <c r="K84" s="17" t="s">
        <v>420</v>
      </c>
      <c r="L84" s="18" t="s">
        <v>52</v>
      </c>
      <c r="M84" s="19">
        <v>2.0</v>
      </c>
      <c r="N84" s="19">
        <v>41.0</v>
      </c>
    </row>
    <row r="85">
      <c r="A85" s="12">
        <v>83.0</v>
      </c>
      <c r="B85" s="13" t="s">
        <v>218</v>
      </c>
      <c r="C85" s="14">
        <v>53.0</v>
      </c>
      <c r="D85" s="15" t="s">
        <v>349</v>
      </c>
      <c r="E85" s="16" t="s">
        <v>221</v>
      </c>
      <c r="F85" s="13" t="s">
        <v>632</v>
      </c>
      <c r="G85" s="13" t="s">
        <v>415</v>
      </c>
      <c r="H85" s="13" t="s">
        <v>415</v>
      </c>
      <c r="I85" s="13" t="s">
        <v>416</v>
      </c>
      <c r="J85" s="17" t="s">
        <v>418</v>
      </c>
      <c r="K85" s="17" t="s">
        <v>420</v>
      </c>
      <c r="L85" s="18" t="s">
        <v>52</v>
      </c>
      <c r="M85" s="19">
        <v>2.0</v>
      </c>
      <c r="N85" s="19">
        <v>41.0</v>
      </c>
    </row>
    <row r="86">
      <c r="A86" s="12">
        <v>84.0</v>
      </c>
      <c r="B86" s="13" t="s">
        <v>218</v>
      </c>
      <c r="C86" s="14">
        <v>54.0</v>
      </c>
      <c r="D86" s="15" t="s">
        <v>349</v>
      </c>
      <c r="E86" s="16" t="s">
        <v>221</v>
      </c>
      <c r="F86" s="13" t="s">
        <v>642</v>
      </c>
      <c r="G86" s="13" t="s">
        <v>415</v>
      </c>
      <c r="H86" s="13" t="s">
        <v>415</v>
      </c>
      <c r="I86" s="13" t="s">
        <v>416</v>
      </c>
      <c r="J86" s="17" t="s">
        <v>418</v>
      </c>
      <c r="K86" s="17" t="s">
        <v>420</v>
      </c>
      <c r="L86" s="18" t="s">
        <v>52</v>
      </c>
      <c r="M86" s="19">
        <v>2.0</v>
      </c>
      <c r="N86" s="19">
        <v>41.0</v>
      </c>
    </row>
    <row r="87">
      <c r="A87" s="12">
        <v>85.0</v>
      </c>
      <c r="B87" s="13" t="s">
        <v>218</v>
      </c>
      <c r="C87" s="14">
        <v>55.0</v>
      </c>
      <c r="D87" s="15" t="s">
        <v>349</v>
      </c>
      <c r="E87" s="16" t="s">
        <v>221</v>
      </c>
      <c r="F87" s="13" t="s">
        <v>651</v>
      </c>
      <c r="G87" s="13" t="s">
        <v>415</v>
      </c>
      <c r="H87" s="13" t="s">
        <v>415</v>
      </c>
      <c r="I87" s="13" t="s">
        <v>416</v>
      </c>
      <c r="J87" s="17" t="s">
        <v>418</v>
      </c>
      <c r="K87" s="17" t="s">
        <v>420</v>
      </c>
      <c r="L87" s="18" t="s">
        <v>52</v>
      </c>
      <c r="M87" s="19">
        <v>2.0</v>
      </c>
      <c r="N87" s="19">
        <v>41.0</v>
      </c>
    </row>
    <row r="88">
      <c r="A88" s="12">
        <v>86.0</v>
      </c>
      <c r="B88" s="13" t="s">
        <v>218</v>
      </c>
      <c r="C88" s="14">
        <v>56.0</v>
      </c>
      <c r="D88" s="15" t="s">
        <v>349</v>
      </c>
      <c r="E88" s="16" t="s">
        <v>221</v>
      </c>
      <c r="F88" s="13" t="s">
        <v>658</v>
      </c>
      <c r="G88" s="13" t="s">
        <v>415</v>
      </c>
      <c r="H88" s="13" t="s">
        <v>415</v>
      </c>
      <c r="I88" s="13" t="s">
        <v>416</v>
      </c>
      <c r="J88" s="17" t="s">
        <v>418</v>
      </c>
      <c r="K88" s="17" t="s">
        <v>420</v>
      </c>
      <c r="L88" s="18" t="s">
        <v>524</v>
      </c>
      <c r="M88" s="19">
        <v>2.0</v>
      </c>
      <c r="N88" s="19">
        <v>41.0</v>
      </c>
    </row>
    <row r="89">
      <c r="A89" s="12">
        <v>87.0</v>
      </c>
      <c r="B89" s="13" t="s">
        <v>218</v>
      </c>
      <c r="C89" s="14">
        <v>57.0</v>
      </c>
      <c r="D89" s="15" t="s">
        <v>349</v>
      </c>
      <c r="E89" s="16" t="s">
        <v>221</v>
      </c>
      <c r="F89" s="13" t="s">
        <v>660</v>
      </c>
      <c r="G89" s="13" t="s">
        <v>415</v>
      </c>
      <c r="H89" s="13" t="s">
        <v>415</v>
      </c>
      <c r="I89" s="13" t="s">
        <v>416</v>
      </c>
      <c r="J89" s="17" t="s">
        <v>418</v>
      </c>
      <c r="K89" s="17" t="s">
        <v>420</v>
      </c>
      <c r="L89" s="18" t="s">
        <v>52</v>
      </c>
      <c r="M89" s="19">
        <v>2.0</v>
      </c>
      <c r="N89" s="19">
        <v>41.0</v>
      </c>
    </row>
    <row r="90">
      <c r="A90" s="12">
        <v>88.0</v>
      </c>
      <c r="B90" s="13" t="s">
        <v>218</v>
      </c>
      <c r="C90" s="14">
        <v>58.0</v>
      </c>
      <c r="D90" s="15" t="s">
        <v>349</v>
      </c>
      <c r="E90" s="16" t="s">
        <v>221</v>
      </c>
      <c r="F90" s="13" t="s">
        <v>672</v>
      </c>
      <c r="G90" s="13" t="s">
        <v>415</v>
      </c>
      <c r="H90" s="13" t="s">
        <v>415</v>
      </c>
      <c r="I90" s="13" t="s">
        <v>416</v>
      </c>
      <c r="J90" s="17" t="s">
        <v>418</v>
      </c>
      <c r="K90" s="17" t="s">
        <v>420</v>
      </c>
      <c r="L90" s="18" t="s">
        <v>52</v>
      </c>
      <c r="M90" s="19">
        <v>2.0</v>
      </c>
      <c r="N90" s="19">
        <v>41.0</v>
      </c>
    </row>
    <row r="91">
      <c r="A91" s="12">
        <v>89.0</v>
      </c>
      <c r="B91" s="13" t="s">
        <v>218</v>
      </c>
      <c r="C91" s="14">
        <v>59.0</v>
      </c>
      <c r="D91" s="15" t="s">
        <v>349</v>
      </c>
      <c r="E91" s="16" t="s">
        <v>221</v>
      </c>
      <c r="F91" s="13" t="s">
        <v>683</v>
      </c>
      <c r="G91" s="13" t="s">
        <v>415</v>
      </c>
      <c r="H91" s="13" t="s">
        <v>415</v>
      </c>
      <c r="I91" s="13" t="s">
        <v>416</v>
      </c>
      <c r="J91" s="17" t="s">
        <v>418</v>
      </c>
      <c r="K91" s="17" t="s">
        <v>420</v>
      </c>
      <c r="L91" s="18" t="s">
        <v>52</v>
      </c>
      <c r="M91" s="19">
        <v>2.0</v>
      </c>
      <c r="N91" s="19">
        <v>41.0</v>
      </c>
    </row>
    <row r="92">
      <c r="A92" s="12">
        <v>90.0</v>
      </c>
      <c r="B92" s="13" t="s">
        <v>218</v>
      </c>
      <c r="C92" s="14">
        <v>60.0</v>
      </c>
      <c r="D92" s="15" t="s">
        <v>349</v>
      </c>
      <c r="E92" s="16" t="s">
        <v>221</v>
      </c>
      <c r="F92" s="13" t="s">
        <v>692</v>
      </c>
      <c r="G92" s="13" t="s">
        <v>415</v>
      </c>
      <c r="H92" s="13" t="s">
        <v>415</v>
      </c>
      <c r="I92" s="13" t="s">
        <v>416</v>
      </c>
      <c r="J92" s="17" t="s">
        <v>418</v>
      </c>
      <c r="K92" s="17" t="s">
        <v>420</v>
      </c>
      <c r="L92" s="18" t="s">
        <v>52</v>
      </c>
      <c r="M92" s="19">
        <v>2.0</v>
      </c>
      <c r="N92" s="19">
        <v>41.0</v>
      </c>
    </row>
    <row r="93">
      <c r="A93" s="12">
        <v>91.0</v>
      </c>
      <c r="B93" s="13" t="s">
        <v>218</v>
      </c>
      <c r="C93" s="14">
        <v>61.0</v>
      </c>
      <c r="D93" s="15" t="s">
        <v>349</v>
      </c>
      <c r="E93" s="16" t="s">
        <v>221</v>
      </c>
      <c r="F93" s="13" t="s">
        <v>700</v>
      </c>
      <c r="G93" s="13" t="s">
        <v>415</v>
      </c>
      <c r="H93" s="13" t="s">
        <v>415</v>
      </c>
      <c r="I93" s="13" t="s">
        <v>416</v>
      </c>
      <c r="J93" s="17" t="s">
        <v>418</v>
      </c>
      <c r="K93" s="17" t="s">
        <v>420</v>
      </c>
      <c r="L93" s="18" t="s">
        <v>52</v>
      </c>
      <c r="M93" s="19">
        <v>2.0</v>
      </c>
      <c r="N93" s="19">
        <v>41.0</v>
      </c>
    </row>
    <row r="94">
      <c r="A94" s="12">
        <v>92.0</v>
      </c>
      <c r="B94" s="13" t="s">
        <v>218</v>
      </c>
      <c r="C94" s="14">
        <v>62.0</v>
      </c>
      <c r="D94" s="15" t="s">
        <v>349</v>
      </c>
      <c r="E94" s="16" t="s">
        <v>221</v>
      </c>
      <c r="F94" s="13" t="s">
        <v>701</v>
      </c>
      <c r="G94" s="13" t="s">
        <v>415</v>
      </c>
      <c r="H94" s="13" t="s">
        <v>415</v>
      </c>
      <c r="I94" s="13" t="s">
        <v>416</v>
      </c>
      <c r="J94" s="17" t="s">
        <v>418</v>
      </c>
      <c r="K94" s="17" t="s">
        <v>420</v>
      </c>
      <c r="L94" s="18" t="s">
        <v>52</v>
      </c>
      <c r="M94" s="19">
        <v>2.0</v>
      </c>
      <c r="N94" s="19">
        <v>41.0</v>
      </c>
    </row>
    <row r="95">
      <c r="A95" s="12">
        <v>93.0</v>
      </c>
      <c r="B95" s="13" t="s">
        <v>218</v>
      </c>
      <c r="C95" s="14">
        <v>63.0</v>
      </c>
      <c r="D95" s="15" t="s">
        <v>349</v>
      </c>
      <c r="E95" s="16" t="s">
        <v>221</v>
      </c>
      <c r="F95" s="13" t="s">
        <v>703</v>
      </c>
      <c r="G95" s="13" t="s">
        <v>415</v>
      </c>
      <c r="H95" s="13" t="s">
        <v>415</v>
      </c>
      <c r="I95" s="13" t="s">
        <v>416</v>
      </c>
      <c r="J95" s="17" t="s">
        <v>418</v>
      </c>
      <c r="K95" s="17" t="s">
        <v>420</v>
      </c>
      <c r="L95" s="18" t="s">
        <v>52</v>
      </c>
      <c r="M95" s="19">
        <v>2.0</v>
      </c>
      <c r="N95" s="19">
        <v>41.0</v>
      </c>
    </row>
    <row r="96">
      <c r="A96" s="12">
        <v>94.0</v>
      </c>
      <c r="B96" s="13" t="s">
        <v>218</v>
      </c>
      <c r="C96" s="14">
        <v>64.0</v>
      </c>
      <c r="D96" s="15" t="s">
        <v>349</v>
      </c>
      <c r="E96" s="16" t="s">
        <v>221</v>
      </c>
      <c r="F96" s="13" t="s">
        <v>104</v>
      </c>
      <c r="G96" s="13" t="s">
        <v>415</v>
      </c>
      <c r="H96" s="13" t="s">
        <v>415</v>
      </c>
      <c r="I96" s="13" t="s">
        <v>416</v>
      </c>
      <c r="J96" s="17" t="s">
        <v>418</v>
      </c>
      <c r="K96" s="17" t="s">
        <v>420</v>
      </c>
      <c r="L96" s="18" t="s">
        <v>52</v>
      </c>
      <c r="M96" s="19">
        <v>2.0</v>
      </c>
      <c r="N96" s="19">
        <v>41.0</v>
      </c>
    </row>
    <row r="97">
      <c r="A97" s="12">
        <v>95.0</v>
      </c>
      <c r="B97" s="13" t="s">
        <v>218</v>
      </c>
      <c r="C97" s="14">
        <v>65.0</v>
      </c>
      <c r="D97" s="15" t="s">
        <v>349</v>
      </c>
      <c r="E97" s="16" t="s">
        <v>221</v>
      </c>
      <c r="F97" s="13" t="s">
        <v>705</v>
      </c>
      <c r="G97" s="13" t="s">
        <v>415</v>
      </c>
      <c r="H97" s="13" t="s">
        <v>415</v>
      </c>
      <c r="I97" s="13" t="s">
        <v>416</v>
      </c>
      <c r="J97" s="17" t="s">
        <v>418</v>
      </c>
      <c r="K97" s="17" t="s">
        <v>420</v>
      </c>
      <c r="L97" s="18" t="s">
        <v>52</v>
      </c>
      <c r="M97" s="19">
        <v>2.0</v>
      </c>
      <c r="N97" s="19">
        <v>41.0</v>
      </c>
    </row>
    <row r="98">
      <c r="A98" s="12">
        <v>96.0</v>
      </c>
      <c r="B98" s="13" t="s">
        <v>218</v>
      </c>
      <c r="C98" s="14">
        <v>66.0</v>
      </c>
      <c r="D98" s="15" t="s">
        <v>349</v>
      </c>
      <c r="E98" s="16" t="s">
        <v>221</v>
      </c>
      <c r="F98" s="13" t="s">
        <v>707</v>
      </c>
      <c r="G98" s="13" t="s">
        <v>415</v>
      </c>
      <c r="H98" s="13" t="s">
        <v>415</v>
      </c>
      <c r="I98" s="13" t="s">
        <v>416</v>
      </c>
      <c r="J98" s="17" t="s">
        <v>418</v>
      </c>
      <c r="K98" s="17" t="s">
        <v>420</v>
      </c>
      <c r="L98" s="18" t="s">
        <v>52</v>
      </c>
      <c r="M98" s="19">
        <v>2.0</v>
      </c>
      <c r="N98" s="19">
        <v>41.0</v>
      </c>
    </row>
    <row r="99">
      <c r="A99" s="12">
        <v>97.0</v>
      </c>
      <c r="B99" s="13" t="s">
        <v>218</v>
      </c>
      <c r="C99" s="14">
        <v>67.0</v>
      </c>
      <c r="D99" s="15" t="s">
        <v>349</v>
      </c>
      <c r="E99" s="16" t="s">
        <v>221</v>
      </c>
      <c r="F99" s="13" t="s">
        <v>708</v>
      </c>
      <c r="G99" s="13" t="s">
        <v>415</v>
      </c>
      <c r="H99" s="13" t="s">
        <v>415</v>
      </c>
      <c r="I99" s="13" t="s">
        <v>416</v>
      </c>
      <c r="J99" s="17" t="s">
        <v>418</v>
      </c>
      <c r="K99" s="17" t="s">
        <v>420</v>
      </c>
      <c r="L99" s="18" t="s">
        <v>52</v>
      </c>
      <c r="M99" s="19">
        <v>2.0</v>
      </c>
      <c r="N99" s="19">
        <v>41.0</v>
      </c>
    </row>
    <row r="100">
      <c r="A100" s="12">
        <v>98.0</v>
      </c>
      <c r="B100" s="13" t="s">
        <v>218</v>
      </c>
      <c r="C100" s="14">
        <v>68.0</v>
      </c>
      <c r="D100" s="15" t="s">
        <v>349</v>
      </c>
      <c r="E100" s="16" t="s">
        <v>221</v>
      </c>
      <c r="F100" s="13" t="s">
        <v>711</v>
      </c>
      <c r="G100" s="13" t="s">
        <v>415</v>
      </c>
      <c r="H100" s="13" t="s">
        <v>415</v>
      </c>
      <c r="I100" s="13" t="s">
        <v>416</v>
      </c>
      <c r="J100" s="17" t="s">
        <v>418</v>
      </c>
      <c r="K100" s="17" t="s">
        <v>420</v>
      </c>
      <c r="L100" s="18" t="s">
        <v>52</v>
      </c>
      <c r="M100" s="19">
        <v>2.0</v>
      </c>
      <c r="N100" s="19">
        <v>41.0</v>
      </c>
    </row>
    <row r="101">
      <c r="A101" s="12">
        <v>99.0</v>
      </c>
      <c r="B101" s="13" t="s">
        <v>218</v>
      </c>
      <c r="C101" s="14">
        <v>69.0</v>
      </c>
      <c r="D101" s="15" t="s">
        <v>349</v>
      </c>
      <c r="E101" s="16" t="s">
        <v>221</v>
      </c>
      <c r="F101" s="13" t="s">
        <v>712</v>
      </c>
      <c r="G101" s="13" t="s">
        <v>415</v>
      </c>
      <c r="H101" s="13" t="s">
        <v>415</v>
      </c>
      <c r="I101" s="13" t="s">
        <v>416</v>
      </c>
      <c r="J101" s="17" t="s">
        <v>418</v>
      </c>
      <c r="K101" s="17" t="s">
        <v>420</v>
      </c>
      <c r="L101" s="18" t="s">
        <v>52</v>
      </c>
      <c r="M101" s="19">
        <v>2.0</v>
      </c>
      <c r="N101" s="19">
        <v>41.0</v>
      </c>
    </row>
    <row r="102">
      <c r="A102" s="12">
        <v>100.0</v>
      </c>
      <c r="B102" s="13" t="s">
        <v>218</v>
      </c>
      <c r="C102" s="14">
        <v>70.0</v>
      </c>
      <c r="D102" s="15" t="s">
        <v>358</v>
      </c>
      <c r="E102" s="16" t="s">
        <v>221</v>
      </c>
      <c r="F102" s="13" t="s">
        <v>535</v>
      </c>
      <c r="G102" s="13" t="s">
        <v>415</v>
      </c>
      <c r="H102" s="13" t="s">
        <v>415</v>
      </c>
      <c r="I102" s="13" t="s">
        <v>416</v>
      </c>
      <c r="J102" s="17" t="s">
        <v>418</v>
      </c>
      <c r="K102" s="17" t="s">
        <v>420</v>
      </c>
      <c r="L102" s="18" t="s">
        <v>52</v>
      </c>
      <c r="M102" s="19">
        <v>2.0</v>
      </c>
      <c r="N102" s="19">
        <v>41.0</v>
      </c>
    </row>
    <row r="103">
      <c r="A103" s="12">
        <v>101.0</v>
      </c>
      <c r="B103" s="13" t="s">
        <v>218</v>
      </c>
      <c r="C103" s="14">
        <v>71.0</v>
      </c>
      <c r="D103" s="15" t="s">
        <v>358</v>
      </c>
      <c r="E103" s="16" t="s">
        <v>221</v>
      </c>
      <c r="F103" s="13" t="s">
        <v>544</v>
      </c>
      <c r="G103" s="13" t="s">
        <v>415</v>
      </c>
      <c r="H103" s="13" t="s">
        <v>415</v>
      </c>
      <c r="I103" s="13" t="s">
        <v>416</v>
      </c>
      <c r="J103" s="17" t="s">
        <v>418</v>
      </c>
      <c r="K103" s="17" t="s">
        <v>420</v>
      </c>
      <c r="L103" s="18" t="s">
        <v>52</v>
      </c>
      <c r="M103" s="19">
        <v>2.0</v>
      </c>
      <c r="N103" s="19">
        <v>41.0</v>
      </c>
    </row>
    <row r="104">
      <c r="A104" s="12">
        <v>102.0</v>
      </c>
      <c r="B104" s="13" t="s">
        <v>218</v>
      </c>
      <c r="C104" s="14">
        <v>72.0</v>
      </c>
      <c r="D104" s="15" t="s">
        <v>358</v>
      </c>
      <c r="E104" s="16" t="s">
        <v>221</v>
      </c>
      <c r="F104" s="13" t="s">
        <v>557</v>
      </c>
      <c r="G104" s="13" t="s">
        <v>415</v>
      </c>
      <c r="H104" s="13" t="s">
        <v>415</v>
      </c>
      <c r="I104" s="13" t="s">
        <v>416</v>
      </c>
      <c r="J104" s="17" t="s">
        <v>418</v>
      </c>
      <c r="K104" s="17" t="s">
        <v>420</v>
      </c>
      <c r="L104" s="18" t="s">
        <v>253</v>
      </c>
      <c r="M104" s="19">
        <v>2.0</v>
      </c>
      <c r="N104" s="19">
        <v>41.0</v>
      </c>
    </row>
    <row r="105">
      <c r="A105" s="12">
        <v>103.0</v>
      </c>
      <c r="B105" s="13" t="s">
        <v>218</v>
      </c>
      <c r="C105" s="14">
        <v>73.0</v>
      </c>
      <c r="D105" s="15" t="s">
        <v>358</v>
      </c>
      <c r="E105" s="16" t="s">
        <v>221</v>
      </c>
      <c r="F105" s="13" t="s">
        <v>586</v>
      </c>
      <c r="G105" s="13" t="s">
        <v>415</v>
      </c>
      <c r="H105" s="13" t="s">
        <v>415</v>
      </c>
      <c r="I105" s="13" t="s">
        <v>416</v>
      </c>
      <c r="J105" s="17" t="s">
        <v>418</v>
      </c>
      <c r="K105" s="17" t="s">
        <v>420</v>
      </c>
      <c r="L105" s="18" t="s">
        <v>52</v>
      </c>
      <c r="M105" s="19">
        <v>2.0</v>
      </c>
      <c r="N105" s="19">
        <v>41.0</v>
      </c>
    </row>
    <row r="106">
      <c r="A106" s="12">
        <v>104.0</v>
      </c>
      <c r="B106" s="13" t="s">
        <v>218</v>
      </c>
      <c r="C106" s="14">
        <v>74.0</v>
      </c>
      <c r="D106" s="15" t="s">
        <v>358</v>
      </c>
      <c r="E106" s="16" t="s">
        <v>221</v>
      </c>
      <c r="F106" s="13" t="s">
        <v>593</v>
      </c>
      <c r="G106" s="13" t="s">
        <v>415</v>
      </c>
      <c r="H106" s="13" t="s">
        <v>415</v>
      </c>
      <c r="I106" s="13" t="s">
        <v>416</v>
      </c>
      <c r="J106" s="17" t="s">
        <v>418</v>
      </c>
      <c r="K106" s="17" t="s">
        <v>420</v>
      </c>
      <c r="L106" s="18" t="s">
        <v>52</v>
      </c>
      <c r="M106" s="19">
        <v>2.0</v>
      </c>
      <c r="N106" s="19">
        <v>41.0</v>
      </c>
    </row>
    <row r="107">
      <c r="A107" s="12">
        <v>105.0</v>
      </c>
      <c r="B107" s="13" t="s">
        <v>218</v>
      </c>
      <c r="C107" s="14">
        <v>75.0</v>
      </c>
      <c r="D107" s="15" t="s">
        <v>358</v>
      </c>
      <c r="E107" s="16" t="s">
        <v>221</v>
      </c>
      <c r="F107" s="13" t="s">
        <v>605</v>
      </c>
      <c r="G107" s="13" t="s">
        <v>415</v>
      </c>
      <c r="H107" s="13" t="s">
        <v>415</v>
      </c>
      <c r="I107" s="13" t="s">
        <v>416</v>
      </c>
      <c r="J107" s="17" t="s">
        <v>418</v>
      </c>
      <c r="K107" s="17" t="s">
        <v>420</v>
      </c>
      <c r="L107" s="18" t="s">
        <v>253</v>
      </c>
      <c r="M107" s="19">
        <v>2.0</v>
      </c>
      <c r="N107" s="19">
        <v>41.0</v>
      </c>
    </row>
    <row r="108">
      <c r="A108" s="12">
        <v>106.0</v>
      </c>
      <c r="B108" s="13" t="s">
        <v>218</v>
      </c>
      <c r="C108" s="14">
        <v>76.0</v>
      </c>
      <c r="D108" s="15" t="s">
        <v>358</v>
      </c>
      <c r="E108" s="16" t="s">
        <v>221</v>
      </c>
      <c r="F108" s="13" t="s">
        <v>704</v>
      </c>
      <c r="G108" s="13" t="s">
        <v>415</v>
      </c>
      <c r="H108" s="13" t="s">
        <v>415</v>
      </c>
      <c r="I108" s="13" t="s">
        <v>416</v>
      </c>
      <c r="J108" s="17" t="s">
        <v>418</v>
      </c>
      <c r="K108" s="17" t="s">
        <v>420</v>
      </c>
      <c r="L108" s="18" t="s">
        <v>52</v>
      </c>
      <c r="M108" s="19">
        <v>2.0</v>
      </c>
      <c r="N108" s="19">
        <v>41.0</v>
      </c>
    </row>
    <row r="109">
      <c r="A109" s="12">
        <v>107.0</v>
      </c>
      <c r="B109" s="13" t="s">
        <v>218</v>
      </c>
      <c r="C109" s="14">
        <v>77.0</v>
      </c>
      <c r="D109" s="15" t="s">
        <v>358</v>
      </c>
      <c r="E109" s="16" t="s">
        <v>221</v>
      </c>
      <c r="F109" s="13" t="s">
        <v>706</v>
      </c>
      <c r="G109" s="13" t="s">
        <v>415</v>
      </c>
      <c r="H109" s="13" t="s">
        <v>415</v>
      </c>
      <c r="I109" s="13" t="s">
        <v>416</v>
      </c>
      <c r="J109" s="17" t="s">
        <v>418</v>
      </c>
      <c r="K109" s="17" t="s">
        <v>420</v>
      </c>
      <c r="L109" s="18" t="s">
        <v>52</v>
      </c>
      <c r="M109" s="19">
        <v>2.0</v>
      </c>
      <c r="N109" s="19">
        <v>41.0</v>
      </c>
    </row>
    <row r="110">
      <c r="A110" s="12">
        <v>108.0</v>
      </c>
      <c r="B110" s="13" t="s">
        <v>218</v>
      </c>
      <c r="C110" s="14">
        <v>78.0</v>
      </c>
      <c r="D110" s="15" t="s">
        <v>358</v>
      </c>
      <c r="E110" s="16" t="s">
        <v>221</v>
      </c>
      <c r="F110" s="13" t="s">
        <v>716</v>
      </c>
      <c r="G110" s="13" t="s">
        <v>415</v>
      </c>
      <c r="H110" s="13" t="s">
        <v>415</v>
      </c>
      <c r="I110" s="13" t="s">
        <v>416</v>
      </c>
      <c r="J110" s="17" t="s">
        <v>418</v>
      </c>
      <c r="K110" s="17" t="s">
        <v>420</v>
      </c>
      <c r="L110" s="18" t="s">
        <v>52</v>
      </c>
      <c r="M110" s="19">
        <v>2.0</v>
      </c>
      <c r="N110" s="19">
        <v>41.0</v>
      </c>
    </row>
    <row r="111">
      <c r="A111" s="12">
        <v>109.0</v>
      </c>
      <c r="B111" s="13" t="s">
        <v>218</v>
      </c>
      <c r="C111" s="14">
        <v>79.0</v>
      </c>
      <c r="D111" s="15" t="s">
        <v>358</v>
      </c>
      <c r="E111" s="16" t="s">
        <v>221</v>
      </c>
      <c r="F111" s="13" t="s">
        <v>717</v>
      </c>
      <c r="G111" s="13" t="s">
        <v>415</v>
      </c>
      <c r="H111" s="13" t="s">
        <v>415</v>
      </c>
      <c r="I111" s="13" t="s">
        <v>416</v>
      </c>
      <c r="J111" s="17" t="s">
        <v>418</v>
      </c>
      <c r="K111" s="17" t="s">
        <v>420</v>
      </c>
      <c r="L111" s="18" t="s">
        <v>52</v>
      </c>
      <c r="M111" s="19">
        <v>2.0</v>
      </c>
      <c r="N111" s="19">
        <v>41.0</v>
      </c>
    </row>
    <row r="112">
      <c r="A112" s="12">
        <v>110.0</v>
      </c>
      <c r="B112" s="13" t="s">
        <v>218</v>
      </c>
      <c r="C112" s="14">
        <v>80.0</v>
      </c>
      <c r="D112" s="15" t="s">
        <v>358</v>
      </c>
      <c r="E112" s="16" t="s">
        <v>221</v>
      </c>
      <c r="F112" s="13" t="s">
        <v>719</v>
      </c>
      <c r="G112" s="13" t="s">
        <v>415</v>
      </c>
      <c r="H112" s="13" t="s">
        <v>415</v>
      </c>
      <c r="I112" s="13" t="s">
        <v>416</v>
      </c>
      <c r="J112" s="17" t="s">
        <v>418</v>
      </c>
      <c r="K112" s="17" t="s">
        <v>420</v>
      </c>
      <c r="L112" s="18" t="s">
        <v>52</v>
      </c>
      <c r="M112" s="19">
        <v>2.0</v>
      </c>
      <c r="N112" s="19">
        <v>41.0</v>
      </c>
    </row>
    <row r="113">
      <c r="A113" s="12">
        <v>111.0</v>
      </c>
      <c r="B113" s="13" t="s">
        <v>218</v>
      </c>
      <c r="C113" s="14">
        <v>81.0</v>
      </c>
      <c r="D113" s="15" t="s">
        <v>358</v>
      </c>
      <c r="E113" s="16" t="s">
        <v>221</v>
      </c>
      <c r="F113" s="13" t="s">
        <v>720</v>
      </c>
      <c r="G113" s="13" t="s">
        <v>415</v>
      </c>
      <c r="H113" s="13" t="s">
        <v>415</v>
      </c>
      <c r="I113" s="13" t="s">
        <v>416</v>
      </c>
      <c r="J113" s="17" t="s">
        <v>418</v>
      </c>
      <c r="K113" s="17" t="s">
        <v>420</v>
      </c>
      <c r="L113" s="18" t="s">
        <v>52</v>
      </c>
      <c r="M113" s="19">
        <v>2.0</v>
      </c>
      <c r="N113" s="19">
        <v>41.0</v>
      </c>
    </row>
    <row r="114">
      <c r="A114" s="12">
        <v>112.0</v>
      </c>
      <c r="B114" s="13" t="s">
        <v>218</v>
      </c>
      <c r="C114" s="14">
        <v>82.0</v>
      </c>
      <c r="D114" s="15" t="s">
        <v>358</v>
      </c>
      <c r="E114" s="16" t="s">
        <v>221</v>
      </c>
      <c r="F114" s="13" t="s">
        <v>721</v>
      </c>
      <c r="G114" s="13" t="s">
        <v>415</v>
      </c>
      <c r="H114" s="13" t="s">
        <v>415</v>
      </c>
      <c r="I114" s="13" t="s">
        <v>416</v>
      </c>
      <c r="J114" s="17" t="s">
        <v>418</v>
      </c>
      <c r="K114" s="17" t="s">
        <v>420</v>
      </c>
      <c r="L114" s="18" t="s">
        <v>52</v>
      </c>
      <c r="M114" s="19">
        <v>2.0</v>
      </c>
      <c r="N114" s="19">
        <v>41.0</v>
      </c>
    </row>
    <row r="115">
      <c r="A115" s="12">
        <v>113.0</v>
      </c>
      <c r="B115" s="13" t="s">
        <v>218</v>
      </c>
      <c r="C115" s="14">
        <v>83.0</v>
      </c>
      <c r="D115" s="15" t="s">
        <v>358</v>
      </c>
      <c r="E115" s="16" t="s">
        <v>221</v>
      </c>
      <c r="F115" s="13" t="s">
        <v>722</v>
      </c>
      <c r="G115" s="13" t="s">
        <v>415</v>
      </c>
      <c r="H115" s="13" t="s">
        <v>415</v>
      </c>
      <c r="I115" s="13" t="s">
        <v>416</v>
      </c>
      <c r="J115" s="17" t="s">
        <v>418</v>
      </c>
      <c r="K115" s="17" t="s">
        <v>420</v>
      </c>
      <c r="L115" s="18" t="s">
        <v>52</v>
      </c>
      <c r="M115" s="19">
        <v>2.0</v>
      </c>
      <c r="N115" s="19">
        <v>41.0</v>
      </c>
    </row>
    <row r="116">
      <c r="A116" s="12">
        <v>114.0</v>
      </c>
      <c r="B116" s="13" t="s">
        <v>218</v>
      </c>
      <c r="C116" s="14">
        <v>84.0</v>
      </c>
      <c r="D116" s="15" t="s">
        <v>358</v>
      </c>
      <c r="E116" s="16" t="s">
        <v>221</v>
      </c>
      <c r="F116" s="13" t="s">
        <v>723</v>
      </c>
      <c r="G116" s="13" t="s">
        <v>415</v>
      </c>
      <c r="H116" s="13" t="s">
        <v>415</v>
      </c>
      <c r="I116" s="13" t="s">
        <v>416</v>
      </c>
      <c r="J116" s="17" t="s">
        <v>418</v>
      </c>
      <c r="K116" s="17" t="s">
        <v>420</v>
      </c>
      <c r="L116" s="18" t="s">
        <v>52</v>
      </c>
      <c r="M116" s="19">
        <v>2.0</v>
      </c>
      <c r="N116" s="19">
        <v>41.0</v>
      </c>
    </row>
    <row r="117">
      <c r="A117" s="12">
        <v>115.0</v>
      </c>
      <c r="B117" s="13" t="s">
        <v>218</v>
      </c>
      <c r="C117" s="14">
        <v>85.0</v>
      </c>
      <c r="D117" s="15" t="s">
        <v>358</v>
      </c>
      <c r="E117" s="16" t="s">
        <v>221</v>
      </c>
      <c r="F117" s="13" t="s">
        <v>724</v>
      </c>
      <c r="G117" s="13" t="s">
        <v>415</v>
      </c>
      <c r="H117" s="13" t="s">
        <v>415</v>
      </c>
      <c r="I117" s="13" t="s">
        <v>416</v>
      </c>
      <c r="J117" s="17" t="s">
        <v>418</v>
      </c>
      <c r="K117" s="17" t="s">
        <v>420</v>
      </c>
      <c r="L117" s="18" t="s">
        <v>52</v>
      </c>
      <c r="M117" s="19">
        <v>2.0</v>
      </c>
      <c r="N117" s="19">
        <v>41.0</v>
      </c>
    </row>
    <row r="118">
      <c r="A118" s="12">
        <v>116.0</v>
      </c>
      <c r="B118" s="13" t="s">
        <v>218</v>
      </c>
      <c r="C118" s="14">
        <v>86.0</v>
      </c>
      <c r="D118" s="15" t="s">
        <v>358</v>
      </c>
      <c r="E118" s="16" t="s">
        <v>221</v>
      </c>
      <c r="F118" s="13" t="s">
        <v>725</v>
      </c>
      <c r="G118" s="13" t="s">
        <v>415</v>
      </c>
      <c r="H118" s="13" t="s">
        <v>415</v>
      </c>
      <c r="I118" s="13" t="s">
        <v>416</v>
      </c>
      <c r="J118" s="17" t="s">
        <v>418</v>
      </c>
      <c r="K118" s="17" t="s">
        <v>420</v>
      </c>
      <c r="L118" s="18" t="s">
        <v>52</v>
      </c>
      <c r="M118" s="19">
        <v>2.0</v>
      </c>
      <c r="N118" s="19">
        <v>41.0</v>
      </c>
    </row>
    <row r="119">
      <c r="A119" s="12">
        <v>117.0</v>
      </c>
      <c r="B119" s="13" t="s">
        <v>218</v>
      </c>
      <c r="C119" s="14">
        <v>87.0</v>
      </c>
      <c r="D119" s="15" t="s">
        <v>358</v>
      </c>
      <c r="E119" s="16" t="s">
        <v>221</v>
      </c>
      <c r="F119" s="13" t="s">
        <v>726</v>
      </c>
      <c r="G119" s="13" t="s">
        <v>415</v>
      </c>
      <c r="H119" s="13" t="s">
        <v>415</v>
      </c>
      <c r="I119" s="13" t="s">
        <v>416</v>
      </c>
      <c r="J119" s="17" t="s">
        <v>418</v>
      </c>
      <c r="K119" s="17" t="s">
        <v>420</v>
      </c>
      <c r="L119" s="18" t="s">
        <v>52</v>
      </c>
      <c r="M119" s="19">
        <v>2.0</v>
      </c>
      <c r="N119" s="19">
        <v>41.0</v>
      </c>
    </row>
    <row r="120">
      <c r="A120" s="12">
        <v>118.0</v>
      </c>
      <c r="B120" s="13" t="s">
        <v>218</v>
      </c>
      <c r="C120" s="14">
        <v>88.0</v>
      </c>
      <c r="D120" s="15" t="s">
        <v>358</v>
      </c>
      <c r="E120" s="16" t="s">
        <v>221</v>
      </c>
      <c r="F120" s="13" t="s">
        <v>727</v>
      </c>
      <c r="G120" s="13" t="s">
        <v>415</v>
      </c>
      <c r="H120" s="13" t="s">
        <v>415</v>
      </c>
      <c r="I120" s="13" t="s">
        <v>416</v>
      </c>
      <c r="J120" s="17" t="s">
        <v>418</v>
      </c>
      <c r="K120" s="17" t="s">
        <v>420</v>
      </c>
      <c r="L120" s="18" t="s">
        <v>52</v>
      </c>
      <c r="M120" s="19">
        <v>2.0</v>
      </c>
      <c r="N120" s="19">
        <v>41.0</v>
      </c>
    </row>
    <row r="121">
      <c r="A121" s="12">
        <v>119.0</v>
      </c>
      <c r="B121" s="13" t="s">
        <v>218</v>
      </c>
      <c r="C121" s="14">
        <v>89.0</v>
      </c>
      <c r="D121" s="15" t="s">
        <v>358</v>
      </c>
      <c r="E121" s="16" t="s">
        <v>221</v>
      </c>
      <c r="F121" s="13" t="s">
        <v>728</v>
      </c>
      <c r="G121" s="13" t="s">
        <v>415</v>
      </c>
      <c r="H121" s="13" t="s">
        <v>415</v>
      </c>
      <c r="I121" s="13" t="s">
        <v>416</v>
      </c>
      <c r="J121" s="17" t="s">
        <v>418</v>
      </c>
      <c r="K121" s="17" t="s">
        <v>420</v>
      </c>
      <c r="L121" s="18" t="s">
        <v>52</v>
      </c>
      <c r="M121" s="19">
        <v>2.0</v>
      </c>
      <c r="N121" s="19">
        <v>41.0</v>
      </c>
    </row>
    <row r="122">
      <c r="A122" s="12">
        <v>120.0</v>
      </c>
      <c r="B122" s="13" t="s">
        <v>218</v>
      </c>
      <c r="C122" s="14">
        <v>90.0</v>
      </c>
      <c r="D122" s="15" t="s">
        <v>358</v>
      </c>
      <c r="E122" s="16" t="s">
        <v>221</v>
      </c>
      <c r="F122" s="13" t="s">
        <v>730</v>
      </c>
      <c r="G122" s="13" t="s">
        <v>415</v>
      </c>
      <c r="H122" s="13" t="s">
        <v>415</v>
      </c>
      <c r="I122" s="13" t="s">
        <v>416</v>
      </c>
      <c r="J122" s="17" t="s">
        <v>418</v>
      </c>
      <c r="K122" s="17" t="s">
        <v>420</v>
      </c>
      <c r="L122" s="18" t="s">
        <v>52</v>
      </c>
      <c r="M122" s="19">
        <v>2.0</v>
      </c>
      <c r="N122" s="19">
        <v>41.0</v>
      </c>
    </row>
    <row r="123">
      <c r="A123" s="12">
        <v>121.0</v>
      </c>
      <c r="B123" s="13" t="s">
        <v>218</v>
      </c>
      <c r="C123" s="14">
        <v>91.0</v>
      </c>
      <c r="D123" s="15" t="s">
        <v>358</v>
      </c>
      <c r="E123" s="16" t="s">
        <v>221</v>
      </c>
      <c r="F123" s="13" t="s">
        <v>731</v>
      </c>
      <c r="G123" s="13" t="s">
        <v>415</v>
      </c>
      <c r="H123" s="13" t="s">
        <v>415</v>
      </c>
      <c r="I123" s="13" t="s">
        <v>416</v>
      </c>
      <c r="J123" s="17" t="s">
        <v>418</v>
      </c>
      <c r="K123" s="17" t="s">
        <v>420</v>
      </c>
      <c r="L123" s="18" t="s">
        <v>52</v>
      </c>
      <c r="M123" s="19">
        <v>2.0</v>
      </c>
      <c r="N123" s="19">
        <v>41.0</v>
      </c>
    </row>
    <row r="124">
      <c r="A124" s="12">
        <v>122.0</v>
      </c>
      <c r="B124" s="13" t="s">
        <v>218</v>
      </c>
      <c r="C124" s="14">
        <v>92.0</v>
      </c>
      <c r="D124" s="15" t="s">
        <v>358</v>
      </c>
      <c r="E124" s="16" t="s">
        <v>221</v>
      </c>
      <c r="F124" s="13" t="s">
        <v>732</v>
      </c>
      <c r="G124" s="13" t="s">
        <v>415</v>
      </c>
      <c r="H124" s="13" t="s">
        <v>415</v>
      </c>
      <c r="I124" s="13" t="s">
        <v>416</v>
      </c>
      <c r="J124" s="17" t="s">
        <v>418</v>
      </c>
      <c r="K124" s="17" t="s">
        <v>420</v>
      </c>
      <c r="L124" s="18" t="s">
        <v>52</v>
      </c>
      <c r="M124" s="19">
        <v>2.0</v>
      </c>
      <c r="N124" s="19">
        <v>41.0</v>
      </c>
    </row>
    <row r="125">
      <c r="A125" s="12">
        <v>123.0</v>
      </c>
      <c r="B125" s="13" t="s">
        <v>218</v>
      </c>
      <c r="C125" s="14">
        <v>93.0</v>
      </c>
      <c r="D125" s="15" t="s">
        <v>358</v>
      </c>
      <c r="E125" s="16" t="s">
        <v>221</v>
      </c>
      <c r="F125" s="13" t="s">
        <v>733</v>
      </c>
      <c r="G125" s="13" t="s">
        <v>415</v>
      </c>
      <c r="H125" s="13" t="s">
        <v>415</v>
      </c>
      <c r="I125" s="13" t="s">
        <v>416</v>
      </c>
      <c r="J125" s="17" t="s">
        <v>418</v>
      </c>
      <c r="K125" s="17" t="s">
        <v>420</v>
      </c>
      <c r="L125" s="18" t="s">
        <v>52</v>
      </c>
      <c r="M125" s="19">
        <v>2.0</v>
      </c>
      <c r="N125" s="19">
        <v>41.0</v>
      </c>
    </row>
    <row r="126">
      <c r="A126" s="12">
        <v>124.0</v>
      </c>
      <c r="B126" s="13" t="s">
        <v>218</v>
      </c>
      <c r="C126" s="14">
        <v>94.0</v>
      </c>
      <c r="D126" s="15" t="s">
        <v>358</v>
      </c>
      <c r="E126" s="16" t="s">
        <v>221</v>
      </c>
      <c r="F126" s="13" t="s">
        <v>734</v>
      </c>
      <c r="G126" s="13" t="s">
        <v>415</v>
      </c>
      <c r="H126" s="13" t="s">
        <v>415</v>
      </c>
      <c r="I126" s="13" t="s">
        <v>416</v>
      </c>
      <c r="J126" s="17" t="s">
        <v>418</v>
      </c>
      <c r="K126" s="17" t="s">
        <v>420</v>
      </c>
      <c r="L126" s="18" t="s">
        <v>524</v>
      </c>
      <c r="M126" s="19">
        <v>2.0</v>
      </c>
      <c r="N126" s="19">
        <v>41.0</v>
      </c>
    </row>
    <row r="127">
      <c r="A127" s="12">
        <v>125.0</v>
      </c>
      <c r="B127" s="13" t="s">
        <v>218</v>
      </c>
      <c r="C127" s="14">
        <v>95.0</v>
      </c>
      <c r="D127" s="15" t="s">
        <v>358</v>
      </c>
      <c r="E127" s="16" t="s">
        <v>221</v>
      </c>
      <c r="F127" s="13" t="s">
        <v>735</v>
      </c>
      <c r="G127" s="13" t="s">
        <v>415</v>
      </c>
      <c r="H127" s="13" t="s">
        <v>415</v>
      </c>
      <c r="I127" s="13" t="s">
        <v>416</v>
      </c>
      <c r="J127" s="17" t="s">
        <v>418</v>
      </c>
      <c r="K127" s="17" t="s">
        <v>420</v>
      </c>
      <c r="L127" s="18" t="s">
        <v>52</v>
      </c>
      <c r="M127" s="19">
        <v>2.0</v>
      </c>
      <c r="N127" s="19">
        <v>41.0</v>
      </c>
    </row>
    <row r="128">
      <c r="A128" s="12">
        <v>126.0</v>
      </c>
      <c r="B128" s="13" t="s">
        <v>218</v>
      </c>
      <c r="C128" s="14">
        <v>96.0</v>
      </c>
      <c r="D128" s="15" t="s">
        <v>358</v>
      </c>
      <c r="E128" s="16" t="s">
        <v>221</v>
      </c>
      <c r="F128" s="13" t="s">
        <v>737</v>
      </c>
      <c r="G128" s="13" t="s">
        <v>415</v>
      </c>
      <c r="H128" s="13" t="s">
        <v>415</v>
      </c>
      <c r="I128" s="13" t="s">
        <v>416</v>
      </c>
      <c r="J128" s="17" t="s">
        <v>418</v>
      </c>
      <c r="K128" s="17" t="s">
        <v>420</v>
      </c>
      <c r="L128" s="18" t="s">
        <v>52</v>
      </c>
      <c r="M128" s="19">
        <v>2.0</v>
      </c>
      <c r="N128" s="19">
        <v>41.0</v>
      </c>
    </row>
    <row r="129">
      <c r="A129" s="12">
        <v>127.0</v>
      </c>
      <c r="B129" s="13" t="s">
        <v>218</v>
      </c>
      <c r="C129" s="14">
        <v>97.0</v>
      </c>
      <c r="D129" s="15" t="s">
        <v>358</v>
      </c>
      <c r="E129" s="16" t="s">
        <v>221</v>
      </c>
      <c r="F129" s="13" t="s">
        <v>738</v>
      </c>
      <c r="G129" s="13" t="s">
        <v>415</v>
      </c>
      <c r="H129" s="13" t="s">
        <v>415</v>
      </c>
      <c r="I129" s="13" t="s">
        <v>416</v>
      </c>
      <c r="J129" s="17" t="s">
        <v>418</v>
      </c>
      <c r="K129" s="17" t="s">
        <v>420</v>
      </c>
      <c r="L129" s="18" t="s">
        <v>52</v>
      </c>
      <c r="M129" s="19">
        <v>2.0</v>
      </c>
      <c r="N129" s="19">
        <v>41.0</v>
      </c>
    </row>
    <row r="130">
      <c r="A130" s="12">
        <v>128.0</v>
      </c>
      <c r="B130" s="13" t="s">
        <v>218</v>
      </c>
      <c r="C130" s="14">
        <v>98.0</v>
      </c>
      <c r="D130" s="15" t="s">
        <v>358</v>
      </c>
      <c r="E130" s="16" t="s">
        <v>221</v>
      </c>
      <c r="F130" s="13" t="s">
        <v>739</v>
      </c>
      <c r="G130" s="13" t="s">
        <v>415</v>
      </c>
      <c r="H130" s="13" t="s">
        <v>415</v>
      </c>
      <c r="I130" s="13" t="s">
        <v>416</v>
      </c>
      <c r="J130" s="17" t="s">
        <v>418</v>
      </c>
      <c r="K130" s="17" t="s">
        <v>420</v>
      </c>
      <c r="L130" s="18" t="s">
        <v>52</v>
      </c>
      <c r="M130" s="19">
        <v>2.0</v>
      </c>
      <c r="N130" s="19">
        <v>41.0</v>
      </c>
    </row>
    <row r="131">
      <c r="A131" s="12">
        <v>129.0</v>
      </c>
      <c r="B131" s="13" t="s">
        <v>218</v>
      </c>
      <c r="C131" s="14">
        <v>99.0</v>
      </c>
      <c r="D131" s="15" t="s">
        <v>358</v>
      </c>
      <c r="E131" s="16" t="s">
        <v>221</v>
      </c>
      <c r="F131" s="13" t="s">
        <v>740</v>
      </c>
      <c r="G131" s="13" t="s">
        <v>415</v>
      </c>
      <c r="H131" s="13" t="s">
        <v>415</v>
      </c>
      <c r="I131" s="13" t="s">
        <v>416</v>
      </c>
      <c r="J131" s="17" t="s">
        <v>418</v>
      </c>
      <c r="K131" s="17" t="s">
        <v>420</v>
      </c>
      <c r="L131" s="18" t="s">
        <v>52</v>
      </c>
      <c r="M131" s="19">
        <v>2.0</v>
      </c>
      <c r="N131" s="19">
        <v>41.0</v>
      </c>
    </row>
    <row r="132">
      <c r="A132" s="12">
        <v>130.0</v>
      </c>
      <c r="B132" s="13" t="s">
        <v>218</v>
      </c>
      <c r="C132" s="14">
        <v>100.0</v>
      </c>
      <c r="D132" s="15" t="s">
        <v>358</v>
      </c>
      <c r="E132" s="16" t="s">
        <v>221</v>
      </c>
      <c r="F132" s="13" t="s">
        <v>741</v>
      </c>
      <c r="G132" s="13" t="s">
        <v>415</v>
      </c>
      <c r="H132" s="13" t="s">
        <v>415</v>
      </c>
      <c r="I132" s="13" t="s">
        <v>416</v>
      </c>
      <c r="J132" s="17" t="s">
        <v>418</v>
      </c>
      <c r="K132" s="17" t="s">
        <v>420</v>
      </c>
      <c r="L132" s="18" t="s">
        <v>52</v>
      </c>
      <c r="M132" s="19">
        <v>2.0</v>
      </c>
      <c r="N132" s="19">
        <v>41.0</v>
      </c>
    </row>
    <row r="133">
      <c r="A133" s="12">
        <v>131.0</v>
      </c>
      <c r="B133" s="13" t="s">
        <v>222</v>
      </c>
      <c r="C133" s="14">
        <v>1.0</v>
      </c>
      <c r="D133" s="15" t="s">
        <v>743</v>
      </c>
      <c r="E133" s="16" t="s">
        <v>221</v>
      </c>
      <c r="F133" s="13" t="s">
        <v>744</v>
      </c>
      <c r="G133" s="13" t="s">
        <v>61</v>
      </c>
      <c r="H133" s="13" t="s">
        <v>745</v>
      </c>
      <c r="I133" s="13" t="s">
        <v>63</v>
      </c>
      <c r="J133" s="17" t="s">
        <v>57</v>
      </c>
      <c r="K133" s="17" t="s">
        <v>58</v>
      </c>
      <c r="L133" s="18" t="s">
        <v>52</v>
      </c>
      <c r="M133" s="19">
        <v>3.0</v>
      </c>
      <c r="N133" s="19">
        <v>11.0</v>
      </c>
    </row>
    <row r="134">
      <c r="A134" s="12">
        <v>132.0</v>
      </c>
      <c r="B134" s="13" t="s">
        <v>222</v>
      </c>
      <c r="C134" s="14">
        <v>2.0</v>
      </c>
      <c r="D134" s="15" t="s">
        <v>743</v>
      </c>
      <c r="E134" s="16" t="s">
        <v>221</v>
      </c>
      <c r="F134" s="13" t="s">
        <v>746</v>
      </c>
      <c r="G134" s="13" t="s">
        <v>747</v>
      </c>
      <c r="H134" s="13" t="s">
        <v>748</v>
      </c>
      <c r="I134" s="13" t="s">
        <v>63</v>
      </c>
      <c r="J134" s="17" t="s">
        <v>57</v>
      </c>
      <c r="K134" s="17" t="s">
        <v>58</v>
      </c>
      <c r="L134" s="18" t="s">
        <v>749</v>
      </c>
      <c r="M134" s="19">
        <v>3.0</v>
      </c>
      <c r="N134" s="19">
        <v>11.0</v>
      </c>
    </row>
    <row r="135">
      <c r="A135" s="12">
        <v>133.0</v>
      </c>
      <c r="B135" s="13" t="s">
        <v>222</v>
      </c>
      <c r="C135" s="14">
        <v>3.0</v>
      </c>
      <c r="D135" s="15" t="s">
        <v>750</v>
      </c>
      <c r="E135" s="16" t="s">
        <v>221</v>
      </c>
      <c r="F135" s="13" t="s">
        <v>367</v>
      </c>
      <c r="G135" s="13" t="s">
        <v>61</v>
      </c>
      <c r="H135" s="13" t="s">
        <v>369</v>
      </c>
      <c r="I135" s="13" t="s">
        <v>63</v>
      </c>
      <c r="J135" s="17" t="s">
        <v>57</v>
      </c>
      <c r="K135" s="17" t="s">
        <v>58</v>
      </c>
      <c r="L135" s="18" t="s">
        <v>52</v>
      </c>
      <c r="M135" s="19">
        <v>3.0</v>
      </c>
      <c r="N135" s="19">
        <v>11.0</v>
      </c>
    </row>
    <row r="136">
      <c r="A136" s="12">
        <v>134.0</v>
      </c>
      <c r="B136" s="13" t="s">
        <v>222</v>
      </c>
      <c r="C136" s="14">
        <v>4.0</v>
      </c>
      <c r="D136" s="15" t="s">
        <v>750</v>
      </c>
      <c r="E136" s="16" t="s">
        <v>221</v>
      </c>
      <c r="F136" s="13" t="s">
        <v>557</v>
      </c>
      <c r="G136" s="13" t="s">
        <v>61</v>
      </c>
      <c r="H136" s="13" t="s">
        <v>751</v>
      </c>
      <c r="I136" s="13" t="s">
        <v>63</v>
      </c>
      <c r="J136" s="17" t="s">
        <v>67</v>
      </c>
      <c r="K136" s="17" t="s">
        <v>58</v>
      </c>
      <c r="L136" s="18" t="s">
        <v>749</v>
      </c>
      <c r="M136" s="19">
        <v>3.0</v>
      </c>
      <c r="N136" s="19">
        <v>21.0</v>
      </c>
    </row>
    <row r="137">
      <c r="A137" s="12">
        <v>135.0</v>
      </c>
      <c r="B137" s="13" t="s">
        <v>222</v>
      </c>
      <c r="C137" s="14">
        <v>5.0</v>
      </c>
      <c r="D137" s="15" t="s">
        <v>750</v>
      </c>
      <c r="E137" s="16" t="s">
        <v>221</v>
      </c>
      <c r="F137" s="13" t="s">
        <v>274</v>
      </c>
      <c r="G137" s="13" t="s">
        <v>61</v>
      </c>
      <c r="H137" s="13" t="s">
        <v>275</v>
      </c>
      <c r="I137" s="13" t="s">
        <v>63</v>
      </c>
      <c r="J137" s="17" t="s">
        <v>67</v>
      </c>
      <c r="K137" s="17" t="s">
        <v>58</v>
      </c>
      <c r="L137" s="18" t="s">
        <v>52</v>
      </c>
      <c r="M137" s="19">
        <v>3.0</v>
      </c>
      <c r="N137" s="19">
        <v>21.0</v>
      </c>
    </row>
    <row r="138">
      <c r="A138" s="12">
        <v>136.0</v>
      </c>
      <c r="B138" s="13" t="s">
        <v>222</v>
      </c>
      <c r="C138" s="14">
        <v>6.0</v>
      </c>
      <c r="D138" s="15" t="s">
        <v>750</v>
      </c>
      <c r="E138" s="16" t="s">
        <v>221</v>
      </c>
      <c r="F138" s="13" t="s">
        <v>403</v>
      </c>
      <c r="G138" s="13" t="s">
        <v>404</v>
      </c>
      <c r="H138" s="13" t="s">
        <v>752</v>
      </c>
      <c r="I138" s="13" t="s">
        <v>56</v>
      </c>
      <c r="J138" s="17" t="s">
        <v>71</v>
      </c>
      <c r="K138" s="17" t="s">
        <v>58</v>
      </c>
      <c r="L138" s="18" t="s">
        <v>52</v>
      </c>
      <c r="M138" s="19">
        <v>3.0</v>
      </c>
      <c r="N138" s="19">
        <v>30.0</v>
      </c>
    </row>
    <row r="139">
      <c r="A139" s="12">
        <v>137.0</v>
      </c>
      <c r="B139" s="13" t="s">
        <v>222</v>
      </c>
      <c r="C139" s="14">
        <v>7.0</v>
      </c>
      <c r="D139" s="15" t="s">
        <v>743</v>
      </c>
      <c r="E139" s="16" t="s">
        <v>221</v>
      </c>
      <c r="F139" s="13" t="s">
        <v>257</v>
      </c>
      <c r="G139" s="13" t="s">
        <v>753</v>
      </c>
      <c r="H139" s="13" t="s">
        <v>754</v>
      </c>
      <c r="I139" s="13" t="s">
        <v>63</v>
      </c>
      <c r="J139" s="17" t="s">
        <v>71</v>
      </c>
      <c r="K139" s="17" t="s">
        <v>58</v>
      </c>
      <c r="L139" s="18" t="s">
        <v>52</v>
      </c>
      <c r="M139" s="19">
        <v>3.0</v>
      </c>
      <c r="N139" s="19">
        <v>31.0</v>
      </c>
    </row>
    <row r="140">
      <c r="A140" s="12">
        <v>138.0</v>
      </c>
      <c r="B140" s="13" t="s">
        <v>222</v>
      </c>
      <c r="C140" s="14">
        <v>8.0</v>
      </c>
      <c r="D140" s="15" t="s">
        <v>743</v>
      </c>
      <c r="E140" s="16" t="s">
        <v>221</v>
      </c>
      <c r="F140" s="13" t="s">
        <v>544</v>
      </c>
      <c r="G140" s="13" t="s">
        <v>755</v>
      </c>
      <c r="H140" s="13" t="s">
        <v>756</v>
      </c>
      <c r="I140" s="13" t="s">
        <v>63</v>
      </c>
      <c r="J140" s="17" t="s">
        <v>71</v>
      </c>
      <c r="K140" s="17" t="s">
        <v>58</v>
      </c>
      <c r="L140" s="18" t="s">
        <v>52</v>
      </c>
      <c r="M140" s="19">
        <v>3.0</v>
      </c>
      <c r="N140" s="19">
        <v>31.0</v>
      </c>
    </row>
    <row r="141">
      <c r="A141" s="12">
        <v>139.0</v>
      </c>
      <c r="B141" s="13" t="s">
        <v>222</v>
      </c>
      <c r="C141" s="14">
        <v>9.0</v>
      </c>
      <c r="D141" s="15" t="s">
        <v>743</v>
      </c>
      <c r="E141" s="16" t="s">
        <v>221</v>
      </c>
      <c r="F141" s="13" t="s">
        <v>265</v>
      </c>
      <c r="G141" s="13" t="s">
        <v>757</v>
      </c>
      <c r="H141" s="13" t="s">
        <v>758</v>
      </c>
      <c r="I141" s="13" t="s">
        <v>63</v>
      </c>
      <c r="J141" s="17" t="s">
        <v>71</v>
      </c>
      <c r="K141" s="17" t="s">
        <v>58</v>
      </c>
      <c r="L141" s="18" t="s">
        <v>52</v>
      </c>
      <c r="M141" s="19">
        <v>3.0</v>
      </c>
      <c r="N141" s="19">
        <v>31.0</v>
      </c>
    </row>
    <row r="142">
      <c r="A142" s="12">
        <v>140.0</v>
      </c>
      <c r="B142" s="13" t="s">
        <v>222</v>
      </c>
      <c r="C142" s="14">
        <v>10.0</v>
      </c>
      <c r="D142" s="15" t="s">
        <v>743</v>
      </c>
      <c r="E142" s="16" t="s">
        <v>221</v>
      </c>
      <c r="F142" s="13" t="s">
        <v>314</v>
      </c>
      <c r="G142" s="13" t="s">
        <v>757</v>
      </c>
      <c r="H142" s="13" t="s">
        <v>758</v>
      </c>
      <c r="I142" s="13" t="s">
        <v>63</v>
      </c>
      <c r="J142" s="17" t="s">
        <v>71</v>
      </c>
      <c r="K142" s="17" t="s">
        <v>58</v>
      </c>
      <c r="L142" s="18" t="s">
        <v>52</v>
      </c>
      <c r="M142" s="19">
        <v>3.0</v>
      </c>
      <c r="N142" s="19">
        <v>31.0</v>
      </c>
    </row>
    <row r="143">
      <c r="A143" s="12">
        <v>141.0</v>
      </c>
      <c r="B143" s="13" t="s">
        <v>222</v>
      </c>
      <c r="C143" s="14">
        <v>11.0</v>
      </c>
      <c r="D143" s="15" t="s">
        <v>743</v>
      </c>
      <c r="E143" s="16" t="s">
        <v>221</v>
      </c>
      <c r="F143" s="13" t="s">
        <v>605</v>
      </c>
      <c r="G143" s="13" t="s">
        <v>759</v>
      </c>
      <c r="H143" s="13" t="s">
        <v>760</v>
      </c>
      <c r="I143" s="13" t="s">
        <v>63</v>
      </c>
      <c r="J143" s="17" t="s">
        <v>71</v>
      </c>
      <c r="K143" s="17" t="s">
        <v>58</v>
      </c>
      <c r="L143" s="18" t="s">
        <v>253</v>
      </c>
      <c r="M143" s="19">
        <v>3.0</v>
      </c>
      <c r="N143" s="19">
        <v>31.0</v>
      </c>
    </row>
    <row r="144">
      <c r="A144" s="12">
        <v>142.0</v>
      </c>
      <c r="B144" s="13" t="s">
        <v>222</v>
      </c>
      <c r="C144" s="14">
        <v>12.0</v>
      </c>
      <c r="D144" s="15" t="s">
        <v>743</v>
      </c>
      <c r="E144" s="16" t="s">
        <v>221</v>
      </c>
      <c r="F144" s="13" t="s">
        <v>350</v>
      </c>
      <c r="G144" s="13" t="s">
        <v>761</v>
      </c>
      <c r="H144" s="13" t="s">
        <v>760</v>
      </c>
      <c r="I144" s="13" t="s">
        <v>63</v>
      </c>
      <c r="J144" s="17" t="s">
        <v>71</v>
      </c>
      <c r="K144" s="17" t="s">
        <v>58</v>
      </c>
      <c r="L144" s="18" t="s">
        <v>52</v>
      </c>
      <c r="M144" s="19">
        <v>3.0</v>
      </c>
      <c r="N144" s="19">
        <v>31.0</v>
      </c>
    </row>
    <row r="145">
      <c r="A145" s="12">
        <v>143.0</v>
      </c>
      <c r="B145" s="13" t="s">
        <v>222</v>
      </c>
      <c r="C145" s="14">
        <v>13.0</v>
      </c>
      <c r="D145" s="15" t="s">
        <v>743</v>
      </c>
      <c r="E145" s="16" t="s">
        <v>221</v>
      </c>
      <c r="F145" s="13" t="s">
        <v>489</v>
      </c>
      <c r="G145" s="13" t="s">
        <v>762</v>
      </c>
      <c r="H145" s="13" t="s">
        <v>763</v>
      </c>
      <c r="I145" s="13" t="s">
        <v>63</v>
      </c>
      <c r="J145" s="17" t="s">
        <v>71</v>
      </c>
      <c r="K145" s="17" t="s">
        <v>58</v>
      </c>
      <c r="L145" s="18" t="s">
        <v>52</v>
      </c>
      <c r="M145" s="19">
        <v>3.0</v>
      </c>
      <c r="N145" s="19">
        <v>31.0</v>
      </c>
    </row>
    <row r="146">
      <c r="A146" s="12">
        <v>144.0</v>
      </c>
      <c r="B146" s="13" t="s">
        <v>222</v>
      </c>
      <c r="C146" s="14">
        <v>14.0</v>
      </c>
      <c r="D146" s="15" t="s">
        <v>743</v>
      </c>
      <c r="E146" s="16" t="s">
        <v>221</v>
      </c>
      <c r="F146" s="13" t="s">
        <v>283</v>
      </c>
      <c r="G146" s="13" t="s">
        <v>764</v>
      </c>
      <c r="H146" s="13" t="s">
        <v>765</v>
      </c>
      <c r="I146" s="13" t="s">
        <v>63</v>
      </c>
      <c r="J146" s="17" t="s">
        <v>71</v>
      </c>
      <c r="K146" s="17" t="s">
        <v>58</v>
      </c>
      <c r="L146" s="18" t="s">
        <v>52</v>
      </c>
      <c r="M146" s="19">
        <v>3.0</v>
      </c>
      <c r="N146" s="19">
        <v>31.0</v>
      </c>
    </row>
    <row r="147">
      <c r="A147" s="12">
        <v>145.0</v>
      </c>
      <c r="B147" s="13" t="s">
        <v>222</v>
      </c>
      <c r="C147" s="14">
        <v>15.0</v>
      </c>
      <c r="D147" s="15" t="s">
        <v>743</v>
      </c>
      <c r="E147" s="16" t="s">
        <v>221</v>
      </c>
      <c r="F147" s="13" t="s">
        <v>704</v>
      </c>
      <c r="G147" s="13" t="s">
        <v>766</v>
      </c>
      <c r="H147" s="13" t="s">
        <v>767</v>
      </c>
      <c r="I147" s="13" t="s">
        <v>63</v>
      </c>
      <c r="J147" s="17" t="s">
        <v>71</v>
      </c>
      <c r="K147" s="17" t="s">
        <v>58</v>
      </c>
      <c r="L147" s="18" t="s">
        <v>52</v>
      </c>
      <c r="M147" s="19">
        <v>3.0</v>
      </c>
      <c r="N147" s="19">
        <v>31.0</v>
      </c>
    </row>
    <row r="148">
      <c r="A148" s="12">
        <v>146.0</v>
      </c>
      <c r="B148" s="13" t="s">
        <v>222</v>
      </c>
      <c r="C148" s="14">
        <v>16.0</v>
      </c>
      <c r="D148" s="15" t="s">
        <v>743</v>
      </c>
      <c r="E148" s="16" t="s">
        <v>221</v>
      </c>
      <c r="F148" s="13" t="s">
        <v>302</v>
      </c>
      <c r="G148" s="13" t="s">
        <v>768</v>
      </c>
      <c r="H148" s="13" t="s">
        <v>769</v>
      </c>
      <c r="I148" s="13" t="s">
        <v>63</v>
      </c>
      <c r="J148" s="17" t="s">
        <v>71</v>
      </c>
      <c r="K148" s="17" t="s">
        <v>58</v>
      </c>
      <c r="L148" s="18" t="s">
        <v>52</v>
      </c>
      <c r="M148" s="19">
        <v>3.0</v>
      </c>
      <c r="N148" s="19">
        <v>31.0</v>
      </c>
    </row>
    <row r="149">
      <c r="A149" s="12">
        <v>147.0</v>
      </c>
      <c r="B149" s="13" t="s">
        <v>222</v>
      </c>
      <c r="C149" s="14">
        <v>17.0</v>
      </c>
      <c r="D149" s="15" t="s">
        <v>743</v>
      </c>
      <c r="E149" s="16" t="s">
        <v>221</v>
      </c>
      <c r="F149" s="13" t="s">
        <v>724</v>
      </c>
      <c r="G149" s="13" t="s">
        <v>770</v>
      </c>
      <c r="H149" s="13" t="s">
        <v>771</v>
      </c>
      <c r="I149" s="13" t="s">
        <v>63</v>
      </c>
      <c r="J149" s="17" t="s">
        <v>71</v>
      </c>
      <c r="K149" s="17" t="s">
        <v>58</v>
      </c>
      <c r="L149" s="18" t="s">
        <v>52</v>
      </c>
      <c r="M149" s="19">
        <v>3.0</v>
      </c>
      <c r="N149" s="19">
        <v>31.0</v>
      </c>
    </row>
    <row r="150">
      <c r="A150" s="12">
        <v>148.0</v>
      </c>
      <c r="B150" s="13" t="s">
        <v>222</v>
      </c>
      <c r="C150" s="14">
        <v>18.0</v>
      </c>
      <c r="D150" s="15" t="s">
        <v>743</v>
      </c>
      <c r="E150" s="16" t="s">
        <v>221</v>
      </c>
      <c r="F150" s="13" t="s">
        <v>582</v>
      </c>
      <c r="G150" s="13" t="s">
        <v>772</v>
      </c>
      <c r="H150" s="13" t="s">
        <v>773</v>
      </c>
      <c r="I150" s="13" t="s">
        <v>63</v>
      </c>
      <c r="J150" s="17" t="s">
        <v>71</v>
      </c>
      <c r="K150" s="17" t="s">
        <v>58</v>
      </c>
      <c r="L150" s="18" t="s">
        <v>52</v>
      </c>
      <c r="M150" s="19">
        <v>3.0</v>
      </c>
      <c r="N150" s="19">
        <v>31.0</v>
      </c>
    </row>
    <row r="151">
      <c r="A151" s="12">
        <v>149.0</v>
      </c>
      <c r="B151" s="13" t="s">
        <v>222</v>
      </c>
      <c r="C151" s="14">
        <v>19.0</v>
      </c>
      <c r="D151" s="15" t="s">
        <v>743</v>
      </c>
      <c r="E151" s="16" t="s">
        <v>221</v>
      </c>
      <c r="F151" s="13" t="s">
        <v>734</v>
      </c>
      <c r="G151" s="13" t="s">
        <v>774</v>
      </c>
      <c r="H151" s="13" t="s">
        <v>775</v>
      </c>
      <c r="I151" s="13" t="s">
        <v>63</v>
      </c>
      <c r="J151" s="17" t="s">
        <v>71</v>
      </c>
      <c r="K151" s="17" t="s">
        <v>58</v>
      </c>
      <c r="L151" s="18" t="s">
        <v>52</v>
      </c>
      <c r="M151" s="19">
        <v>3.0</v>
      </c>
      <c r="N151" s="19">
        <v>31.0</v>
      </c>
    </row>
    <row r="152">
      <c r="A152" s="12">
        <v>150.0</v>
      </c>
      <c r="B152" s="13" t="s">
        <v>222</v>
      </c>
      <c r="C152" s="14">
        <v>20.0</v>
      </c>
      <c r="D152" s="15" t="s">
        <v>743</v>
      </c>
      <c r="E152" s="16" t="s">
        <v>221</v>
      </c>
      <c r="F152" s="13" t="s">
        <v>320</v>
      </c>
      <c r="G152" s="13" t="s">
        <v>776</v>
      </c>
      <c r="H152" s="13" t="s">
        <v>777</v>
      </c>
      <c r="I152" s="13" t="s">
        <v>63</v>
      </c>
      <c r="J152" s="17" t="s">
        <v>71</v>
      </c>
      <c r="K152" s="17" t="s">
        <v>58</v>
      </c>
      <c r="L152" s="18" t="s">
        <v>52</v>
      </c>
      <c r="M152" s="19">
        <v>3.0</v>
      </c>
      <c r="N152" s="19">
        <v>31.0</v>
      </c>
    </row>
    <row r="153">
      <c r="A153" s="12">
        <v>151.0</v>
      </c>
      <c r="B153" s="13" t="s">
        <v>222</v>
      </c>
      <c r="C153" s="14">
        <v>21.0</v>
      </c>
      <c r="D153" s="15" t="s">
        <v>743</v>
      </c>
      <c r="E153" s="16" t="s">
        <v>221</v>
      </c>
      <c r="F153" s="13" t="s">
        <v>705</v>
      </c>
      <c r="G153" s="13" t="s">
        <v>778</v>
      </c>
      <c r="H153" s="13" t="s">
        <v>779</v>
      </c>
      <c r="I153" s="13" t="s">
        <v>63</v>
      </c>
      <c r="J153" s="17" t="s">
        <v>71</v>
      </c>
      <c r="K153" s="17" t="s">
        <v>58</v>
      </c>
      <c r="L153" s="18" t="s">
        <v>52</v>
      </c>
      <c r="M153" s="19">
        <v>3.0</v>
      </c>
      <c r="N153" s="19">
        <v>31.0</v>
      </c>
    </row>
    <row r="154">
      <c r="A154" s="12">
        <v>152.0</v>
      </c>
      <c r="B154" s="13" t="s">
        <v>222</v>
      </c>
      <c r="C154" s="14">
        <v>22.0</v>
      </c>
      <c r="D154" s="15" t="s">
        <v>743</v>
      </c>
      <c r="E154" s="16" t="s">
        <v>221</v>
      </c>
      <c r="F154" s="13" t="s">
        <v>722</v>
      </c>
      <c r="G154" s="13" t="s">
        <v>780</v>
      </c>
      <c r="H154" s="13" t="s">
        <v>781</v>
      </c>
      <c r="I154" s="13" t="s">
        <v>63</v>
      </c>
      <c r="J154" s="17" t="s">
        <v>71</v>
      </c>
      <c r="K154" s="17" t="s">
        <v>58</v>
      </c>
      <c r="L154" s="18" t="s">
        <v>52</v>
      </c>
      <c r="M154" s="19">
        <v>3.0</v>
      </c>
      <c r="N154" s="19">
        <v>31.0</v>
      </c>
    </row>
    <row r="155">
      <c r="A155" s="12">
        <v>153.0</v>
      </c>
      <c r="B155" s="13" t="s">
        <v>222</v>
      </c>
      <c r="C155" s="14">
        <v>23.0</v>
      </c>
      <c r="D155" s="15" t="s">
        <v>750</v>
      </c>
      <c r="E155" s="16" t="s">
        <v>221</v>
      </c>
      <c r="F155" s="13" t="s">
        <v>716</v>
      </c>
      <c r="G155" s="13" t="s">
        <v>61</v>
      </c>
      <c r="H155" s="13" t="s">
        <v>782</v>
      </c>
      <c r="I155" s="13" t="s">
        <v>63</v>
      </c>
      <c r="J155" s="17" t="s">
        <v>71</v>
      </c>
      <c r="K155" s="17" t="s">
        <v>58</v>
      </c>
      <c r="L155" s="18" t="s">
        <v>52</v>
      </c>
      <c r="M155" s="19">
        <v>3.0</v>
      </c>
      <c r="N155" s="19">
        <v>31.0</v>
      </c>
    </row>
    <row r="156">
      <c r="A156" s="12">
        <v>154.0</v>
      </c>
      <c r="B156" s="13" t="s">
        <v>222</v>
      </c>
      <c r="C156" s="14">
        <v>24.0</v>
      </c>
      <c r="D156" s="15" t="s">
        <v>750</v>
      </c>
      <c r="E156" s="16" t="s">
        <v>221</v>
      </c>
      <c r="F156" s="13" t="s">
        <v>247</v>
      </c>
      <c r="G156" s="13" t="s">
        <v>61</v>
      </c>
      <c r="H156" s="13" t="s">
        <v>783</v>
      </c>
      <c r="I156" s="13" t="s">
        <v>63</v>
      </c>
      <c r="J156" s="17" t="s">
        <v>71</v>
      </c>
      <c r="K156" s="17" t="s">
        <v>58</v>
      </c>
      <c r="L156" s="18" t="s">
        <v>253</v>
      </c>
      <c r="M156" s="19">
        <v>3.0</v>
      </c>
      <c r="N156" s="19">
        <v>31.0</v>
      </c>
    </row>
    <row r="157">
      <c r="A157" s="12">
        <v>155.0</v>
      </c>
      <c r="B157" s="13" t="s">
        <v>222</v>
      </c>
      <c r="C157" s="14">
        <v>25.0</v>
      </c>
      <c r="D157" s="15" t="s">
        <v>750</v>
      </c>
      <c r="E157" s="16" t="s">
        <v>221</v>
      </c>
      <c r="F157" s="13" t="s">
        <v>535</v>
      </c>
      <c r="G157" s="13" t="s">
        <v>784</v>
      </c>
      <c r="H157" s="13" t="s">
        <v>785</v>
      </c>
      <c r="I157" s="13" t="s">
        <v>63</v>
      </c>
      <c r="J157" s="17" t="s">
        <v>71</v>
      </c>
      <c r="K157" s="17" t="s">
        <v>58</v>
      </c>
      <c r="L157" s="18" t="s">
        <v>52</v>
      </c>
      <c r="M157" s="19">
        <v>3.0</v>
      </c>
      <c r="N157" s="19">
        <v>31.0</v>
      </c>
    </row>
    <row r="158">
      <c r="A158" s="12">
        <v>156.0</v>
      </c>
      <c r="B158" s="13" t="s">
        <v>222</v>
      </c>
      <c r="C158" s="14">
        <v>26.0</v>
      </c>
      <c r="D158" s="15" t="s">
        <v>750</v>
      </c>
      <c r="E158" s="16" t="s">
        <v>221</v>
      </c>
      <c r="F158" s="13" t="s">
        <v>475</v>
      </c>
      <c r="G158" s="13" t="s">
        <v>61</v>
      </c>
      <c r="H158" s="13" t="s">
        <v>786</v>
      </c>
      <c r="I158" s="13" t="s">
        <v>63</v>
      </c>
      <c r="J158" s="17" t="s">
        <v>71</v>
      </c>
      <c r="K158" s="17" t="s">
        <v>58</v>
      </c>
      <c r="L158" s="18" t="s">
        <v>52</v>
      </c>
      <c r="M158" s="19">
        <v>3.0</v>
      </c>
      <c r="N158" s="19">
        <v>31.0</v>
      </c>
    </row>
    <row r="159">
      <c r="A159" s="12">
        <v>157.0</v>
      </c>
      <c r="B159" s="13" t="s">
        <v>222</v>
      </c>
      <c r="C159" s="14">
        <v>27.0</v>
      </c>
      <c r="D159" s="15" t="s">
        <v>750</v>
      </c>
      <c r="E159" s="16" t="s">
        <v>221</v>
      </c>
      <c r="F159" s="13" t="s">
        <v>270</v>
      </c>
      <c r="G159" s="13" t="s">
        <v>787</v>
      </c>
      <c r="H159" s="13" t="s">
        <v>788</v>
      </c>
      <c r="I159" s="13" t="s">
        <v>63</v>
      </c>
      <c r="J159" s="17" t="s">
        <v>71</v>
      </c>
      <c r="K159" s="17" t="s">
        <v>58</v>
      </c>
      <c r="L159" s="18" t="s">
        <v>52</v>
      </c>
      <c r="M159" s="19">
        <v>3.0</v>
      </c>
      <c r="N159" s="19">
        <v>31.0</v>
      </c>
    </row>
    <row r="160">
      <c r="A160" s="12">
        <v>158.0</v>
      </c>
      <c r="B160" s="13" t="s">
        <v>222</v>
      </c>
      <c r="C160" s="14">
        <v>28.0</v>
      </c>
      <c r="D160" s="15" t="s">
        <v>750</v>
      </c>
      <c r="E160" s="16" t="s">
        <v>221</v>
      </c>
      <c r="F160" s="13" t="s">
        <v>308</v>
      </c>
      <c r="G160" s="13" t="s">
        <v>310</v>
      </c>
      <c r="H160" s="13" t="s">
        <v>311</v>
      </c>
      <c r="I160" s="13" t="s">
        <v>63</v>
      </c>
      <c r="J160" s="17" t="s">
        <v>71</v>
      </c>
      <c r="K160" s="17" t="s">
        <v>58</v>
      </c>
      <c r="L160" s="18" t="s">
        <v>52</v>
      </c>
      <c r="M160" s="19">
        <v>3.0</v>
      </c>
      <c r="N160" s="19">
        <v>31.0</v>
      </c>
    </row>
    <row r="161">
      <c r="A161" s="12">
        <v>159.0</v>
      </c>
      <c r="B161" s="13" t="s">
        <v>222</v>
      </c>
      <c r="C161" s="14">
        <v>29.0</v>
      </c>
      <c r="D161" s="15" t="s">
        <v>750</v>
      </c>
      <c r="E161" s="16" t="s">
        <v>221</v>
      </c>
      <c r="F161" s="13" t="s">
        <v>586</v>
      </c>
      <c r="G161" s="13" t="s">
        <v>61</v>
      </c>
      <c r="H161" s="13" t="s">
        <v>791</v>
      </c>
      <c r="I161" s="13" t="s">
        <v>63</v>
      </c>
      <c r="J161" s="17" t="s">
        <v>71</v>
      </c>
      <c r="K161" s="17" t="s">
        <v>58</v>
      </c>
      <c r="L161" s="18" t="s">
        <v>52</v>
      </c>
      <c r="M161" s="19">
        <v>3.0</v>
      </c>
      <c r="N161" s="19">
        <v>31.0</v>
      </c>
    </row>
    <row r="162">
      <c r="A162" s="12">
        <v>160.0</v>
      </c>
      <c r="B162" s="13" t="s">
        <v>222</v>
      </c>
      <c r="C162" s="14">
        <v>30.0</v>
      </c>
      <c r="D162" s="15" t="s">
        <v>750</v>
      </c>
      <c r="E162" s="16" t="s">
        <v>221</v>
      </c>
      <c r="F162" s="13" t="s">
        <v>593</v>
      </c>
      <c r="G162" s="13" t="s">
        <v>61</v>
      </c>
      <c r="H162" s="13" t="s">
        <v>792</v>
      </c>
      <c r="I162" s="13" t="s">
        <v>63</v>
      </c>
      <c r="J162" s="17" t="s">
        <v>71</v>
      </c>
      <c r="K162" s="17" t="s">
        <v>58</v>
      </c>
      <c r="L162" s="18" t="s">
        <v>52</v>
      </c>
      <c r="M162" s="19">
        <v>3.0</v>
      </c>
      <c r="N162" s="19">
        <v>31.0</v>
      </c>
    </row>
    <row r="163">
      <c r="A163" s="12">
        <v>161.0</v>
      </c>
      <c r="B163" s="13" t="s">
        <v>222</v>
      </c>
      <c r="C163" s="14">
        <v>31.0</v>
      </c>
      <c r="D163" s="15" t="s">
        <v>750</v>
      </c>
      <c r="E163" s="16" t="s">
        <v>221</v>
      </c>
      <c r="F163" s="13" t="s">
        <v>375</v>
      </c>
      <c r="G163" s="13" t="s">
        <v>377</v>
      </c>
      <c r="H163" s="13" t="s">
        <v>379</v>
      </c>
      <c r="I163" s="13" t="s">
        <v>63</v>
      </c>
      <c r="J163" s="17" t="s">
        <v>71</v>
      </c>
      <c r="K163" s="17" t="s">
        <v>58</v>
      </c>
      <c r="L163" s="18" t="s">
        <v>253</v>
      </c>
      <c r="M163" s="19">
        <v>3.0</v>
      </c>
      <c r="N163" s="19">
        <v>31.0</v>
      </c>
    </row>
    <row r="164">
      <c r="A164" s="12">
        <v>162.0</v>
      </c>
      <c r="B164" s="13" t="s">
        <v>222</v>
      </c>
      <c r="C164" s="14">
        <v>32.0</v>
      </c>
      <c r="D164" s="15" t="s">
        <v>750</v>
      </c>
      <c r="E164" s="16" t="s">
        <v>221</v>
      </c>
      <c r="F164" s="13" t="s">
        <v>360</v>
      </c>
      <c r="G164" s="13" t="s">
        <v>361</v>
      </c>
      <c r="H164" s="13" t="s">
        <v>363</v>
      </c>
      <c r="I164" s="13" t="s">
        <v>63</v>
      </c>
      <c r="J164" s="17" t="s">
        <v>71</v>
      </c>
      <c r="K164" s="17" t="s">
        <v>58</v>
      </c>
      <c r="L164" s="18" t="s">
        <v>52</v>
      </c>
      <c r="M164" s="19">
        <v>3.0</v>
      </c>
      <c r="N164" s="19">
        <v>31.0</v>
      </c>
    </row>
    <row r="165">
      <c r="A165" s="12">
        <v>163.0</v>
      </c>
      <c r="B165" s="13" t="s">
        <v>222</v>
      </c>
      <c r="C165" s="14">
        <v>33.0</v>
      </c>
      <c r="D165" s="15" t="s">
        <v>750</v>
      </c>
      <c r="E165" s="16" t="s">
        <v>221</v>
      </c>
      <c r="F165" s="13" t="s">
        <v>218</v>
      </c>
      <c r="G165" s="13" t="s">
        <v>61</v>
      </c>
      <c r="H165" s="13" t="s">
        <v>794</v>
      </c>
      <c r="I165" s="13" t="s">
        <v>63</v>
      </c>
      <c r="J165" s="17" t="s">
        <v>71</v>
      </c>
      <c r="K165" s="17" t="s">
        <v>58</v>
      </c>
      <c r="L165" s="18" t="s">
        <v>52</v>
      </c>
      <c r="M165" s="19">
        <v>3.0</v>
      </c>
      <c r="N165" s="19">
        <v>31.0</v>
      </c>
    </row>
    <row r="166">
      <c r="A166" s="12">
        <v>164.0</v>
      </c>
      <c r="B166" s="13" t="s">
        <v>222</v>
      </c>
      <c r="C166" s="14">
        <v>34.0</v>
      </c>
      <c r="D166" s="15" t="s">
        <v>750</v>
      </c>
      <c r="E166" s="16" t="s">
        <v>221</v>
      </c>
      <c r="F166" s="13" t="s">
        <v>495</v>
      </c>
      <c r="G166" s="13" t="s">
        <v>796</v>
      </c>
      <c r="H166" s="13" t="s">
        <v>797</v>
      </c>
      <c r="I166" s="13" t="s">
        <v>63</v>
      </c>
      <c r="J166" s="17" t="s">
        <v>71</v>
      </c>
      <c r="K166" s="17" t="s">
        <v>58</v>
      </c>
      <c r="L166" s="18" t="s">
        <v>52</v>
      </c>
      <c r="M166" s="19">
        <v>3.0</v>
      </c>
      <c r="N166" s="19">
        <v>31.0</v>
      </c>
    </row>
    <row r="167">
      <c r="A167" s="12">
        <v>165.0</v>
      </c>
      <c r="B167" s="13" t="s">
        <v>222</v>
      </c>
      <c r="C167" s="14">
        <v>35.0</v>
      </c>
      <c r="D167" s="15" t="s">
        <v>750</v>
      </c>
      <c r="E167" s="16" t="s">
        <v>221</v>
      </c>
      <c r="F167" s="13" t="s">
        <v>501</v>
      </c>
      <c r="G167" s="13" t="s">
        <v>798</v>
      </c>
      <c r="H167" s="13" t="s">
        <v>799</v>
      </c>
      <c r="I167" s="13" t="s">
        <v>63</v>
      </c>
      <c r="J167" s="17" t="s">
        <v>71</v>
      </c>
      <c r="K167" s="17" t="s">
        <v>58</v>
      </c>
      <c r="L167" s="18" t="s">
        <v>52</v>
      </c>
      <c r="M167" s="19">
        <v>3.0</v>
      </c>
      <c r="N167" s="19">
        <v>31.0</v>
      </c>
    </row>
    <row r="168">
      <c r="A168" s="12">
        <v>166.0</v>
      </c>
      <c r="B168" s="13" t="s">
        <v>222</v>
      </c>
      <c r="C168" s="14">
        <v>36.0</v>
      </c>
      <c r="D168" s="15" t="s">
        <v>750</v>
      </c>
      <c r="E168" s="16" t="s">
        <v>221</v>
      </c>
      <c r="F168" s="13" t="s">
        <v>278</v>
      </c>
      <c r="G168" s="13" t="s">
        <v>61</v>
      </c>
      <c r="H168" s="13" t="s">
        <v>279</v>
      </c>
      <c r="I168" s="13" t="s">
        <v>63</v>
      </c>
      <c r="J168" s="17" t="s">
        <v>71</v>
      </c>
      <c r="K168" s="17" t="s">
        <v>58</v>
      </c>
      <c r="L168" s="18" t="s">
        <v>52</v>
      </c>
      <c r="M168" s="19">
        <v>3.0</v>
      </c>
      <c r="N168" s="19">
        <v>31.0</v>
      </c>
    </row>
    <row r="169">
      <c r="A169" s="12">
        <v>167.0</v>
      </c>
      <c r="B169" s="13" t="s">
        <v>222</v>
      </c>
      <c r="C169" s="14">
        <v>37.0</v>
      </c>
      <c r="D169" s="15" t="s">
        <v>750</v>
      </c>
      <c r="E169" s="16" t="s">
        <v>221</v>
      </c>
      <c r="F169" s="13" t="s">
        <v>506</v>
      </c>
      <c r="G169" s="13" t="s">
        <v>801</v>
      </c>
      <c r="H169" s="13" t="s">
        <v>802</v>
      </c>
      <c r="I169" s="13" t="s">
        <v>63</v>
      </c>
      <c r="J169" s="17" t="s">
        <v>71</v>
      </c>
      <c r="K169" s="17" t="s">
        <v>58</v>
      </c>
      <c r="L169" s="18" t="s">
        <v>52</v>
      </c>
      <c r="M169" s="19">
        <v>3.0</v>
      </c>
      <c r="N169" s="19">
        <v>31.0</v>
      </c>
    </row>
    <row r="170">
      <c r="A170" s="12">
        <v>168.0</v>
      </c>
      <c r="B170" s="13" t="s">
        <v>222</v>
      </c>
      <c r="C170" s="14">
        <v>38.0</v>
      </c>
      <c r="D170" s="15" t="s">
        <v>750</v>
      </c>
      <c r="E170" s="16" t="s">
        <v>221</v>
      </c>
      <c r="F170" s="13" t="s">
        <v>530</v>
      </c>
      <c r="G170" s="13" t="s">
        <v>804</v>
      </c>
      <c r="H170" s="13" t="s">
        <v>805</v>
      </c>
      <c r="I170" s="13" t="s">
        <v>63</v>
      </c>
      <c r="J170" s="17" t="s">
        <v>71</v>
      </c>
      <c r="K170" s="17" t="s">
        <v>58</v>
      </c>
      <c r="L170" s="18" t="s">
        <v>52</v>
      </c>
      <c r="M170" s="19">
        <v>3.0</v>
      </c>
      <c r="N170" s="19">
        <v>31.0</v>
      </c>
    </row>
    <row r="171">
      <c r="A171" s="12">
        <v>169.0</v>
      </c>
      <c r="B171" s="13" t="s">
        <v>222</v>
      </c>
      <c r="C171" s="14">
        <v>39.0</v>
      </c>
      <c r="D171" s="15" t="s">
        <v>750</v>
      </c>
      <c r="E171" s="16" t="s">
        <v>221</v>
      </c>
      <c r="F171" s="13" t="s">
        <v>541</v>
      </c>
      <c r="G171" s="13" t="s">
        <v>61</v>
      </c>
      <c r="H171" s="13" t="s">
        <v>806</v>
      </c>
      <c r="I171" s="13" t="s">
        <v>63</v>
      </c>
      <c r="J171" s="17" t="s">
        <v>71</v>
      </c>
      <c r="K171" s="17" t="s">
        <v>58</v>
      </c>
      <c r="L171" s="18" t="s">
        <v>52</v>
      </c>
      <c r="M171" s="19">
        <v>3.0</v>
      </c>
      <c r="N171" s="19">
        <v>31.0</v>
      </c>
    </row>
    <row r="172">
      <c r="A172" s="12">
        <v>170.0</v>
      </c>
      <c r="B172" s="13" t="s">
        <v>222</v>
      </c>
      <c r="C172" s="14">
        <v>40.0</v>
      </c>
      <c r="D172" s="15" t="s">
        <v>750</v>
      </c>
      <c r="E172" s="16" t="s">
        <v>221</v>
      </c>
      <c r="F172" s="13" t="s">
        <v>706</v>
      </c>
      <c r="G172" s="13" t="s">
        <v>807</v>
      </c>
      <c r="H172" s="13" t="s">
        <v>809</v>
      </c>
      <c r="I172" s="13" t="s">
        <v>63</v>
      </c>
      <c r="J172" s="17" t="s">
        <v>71</v>
      </c>
      <c r="K172" s="17" t="s">
        <v>58</v>
      </c>
      <c r="L172" s="18" t="s">
        <v>52</v>
      </c>
      <c r="M172" s="19">
        <v>3.0</v>
      </c>
      <c r="N172" s="19">
        <v>31.0</v>
      </c>
    </row>
    <row r="173">
      <c r="A173" s="12">
        <v>171.0</v>
      </c>
      <c r="B173" s="13" t="s">
        <v>222</v>
      </c>
      <c r="C173" s="14">
        <v>41.0</v>
      </c>
      <c r="D173" s="15" t="s">
        <v>750</v>
      </c>
      <c r="E173" s="16" t="s">
        <v>221</v>
      </c>
      <c r="F173" s="13" t="s">
        <v>552</v>
      </c>
      <c r="G173" s="13" t="s">
        <v>810</v>
      </c>
      <c r="H173" s="13" t="s">
        <v>811</v>
      </c>
      <c r="I173" s="13" t="s">
        <v>63</v>
      </c>
      <c r="J173" s="17" t="s">
        <v>71</v>
      </c>
      <c r="K173" s="17" t="s">
        <v>58</v>
      </c>
      <c r="L173" s="18" t="s">
        <v>52</v>
      </c>
      <c r="M173" s="19">
        <v>3.0</v>
      </c>
      <c r="N173" s="19">
        <v>31.0</v>
      </c>
    </row>
    <row r="174">
      <c r="A174" s="12">
        <v>172.0</v>
      </c>
      <c r="B174" s="13" t="s">
        <v>222</v>
      </c>
      <c r="C174" s="14">
        <v>42.0</v>
      </c>
      <c r="D174" s="15" t="s">
        <v>750</v>
      </c>
      <c r="E174" s="16" t="s">
        <v>221</v>
      </c>
      <c r="F174" s="13" t="s">
        <v>289</v>
      </c>
      <c r="G174" s="13" t="s">
        <v>61</v>
      </c>
      <c r="H174" s="13" t="s">
        <v>291</v>
      </c>
      <c r="I174" s="13" t="s">
        <v>63</v>
      </c>
      <c r="J174" s="17" t="s">
        <v>71</v>
      </c>
      <c r="K174" s="17" t="s">
        <v>58</v>
      </c>
      <c r="L174" s="18" t="s">
        <v>52</v>
      </c>
      <c r="M174" s="19">
        <v>3.0</v>
      </c>
      <c r="N174" s="19">
        <v>31.0</v>
      </c>
    </row>
    <row r="175">
      <c r="A175" s="12">
        <v>173.0</v>
      </c>
      <c r="B175" s="13" t="s">
        <v>222</v>
      </c>
      <c r="C175" s="14">
        <v>43.0</v>
      </c>
      <c r="D175" s="15" t="s">
        <v>750</v>
      </c>
      <c r="E175" s="16" t="s">
        <v>221</v>
      </c>
      <c r="F175" s="13" t="s">
        <v>296</v>
      </c>
      <c r="G175" s="13" t="s">
        <v>812</v>
      </c>
      <c r="H175" s="13" t="s">
        <v>813</v>
      </c>
      <c r="I175" s="13" t="s">
        <v>63</v>
      </c>
      <c r="J175" s="17" t="s">
        <v>71</v>
      </c>
      <c r="K175" s="17" t="s">
        <v>58</v>
      </c>
      <c r="L175" s="18" t="s">
        <v>52</v>
      </c>
      <c r="M175" s="19">
        <v>3.0</v>
      </c>
      <c r="N175" s="19">
        <v>31.0</v>
      </c>
    </row>
    <row r="176">
      <c r="A176" s="12">
        <v>174.0</v>
      </c>
      <c r="B176" s="13" t="s">
        <v>222</v>
      </c>
      <c r="C176" s="14">
        <v>44.0</v>
      </c>
      <c r="D176" s="15" t="s">
        <v>750</v>
      </c>
      <c r="E176" s="16" t="s">
        <v>221</v>
      </c>
      <c r="F176" s="13" t="s">
        <v>561</v>
      </c>
      <c r="G176" s="13" t="s">
        <v>814</v>
      </c>
      <c r="H176" s="13" t="s">
        <v>816</v>
      </c>
      <c r="I176" s="13" t="s">
        <v>63</v>
      </c>
      <c r="J176" s="17" t="s">
        <v>71</v>
      </c>
      <c r="K176" s="17" t="s">
        <v>58</v>
      </c>
      <c r="L176" s="18" t="s">
        <v>52</v>
      </c>
      <c r="M176" s="19">
        <v>3.0</v>
      </c>
      <c r="N176" s="19">
        <v>31.0</v>
      </c>
    </row>
    <row r="177">
      <c r="A177" s="12">
        <v>175.0</v>
      </c>
      <c r="B177" s="13" t="s">
        <v>222</v>
      </c>
      <c r="C177" s="14">
        <v>45.0</v>
      </c>
      <c r="D177" s="15" t="s">
        <v>750</v>
      </c>
      <c r="E177" s="16" t="s">
        <v>221</v>
      </c>
      <c r="F177" s="13" t="s">
        <v>570</v>
      </c>
      <c r="G177" s="13" t="s">
        <v>817</v>
      </c>
      <c r="H177" s="13" t="s">
        <v>818</v>
      </c>
      <c r="I177" s="13" t="s">
        <v>63</v>
      </c>
      <c r="J177" s="17" t="s">
        <v>71</v>
      </c>
      <c r="K177" s="17" t="s">
        <v>58</v>
      </c>
      <c r="L177" s="18" t="s">
        <v>52</v>
      </c>
      <c r="M177" s="19">
        <v>3.0</v>
      </c>
      <c r="N177" s="19">
        <v>31.0</v>
      </c>
    </row>
    <row r="178">
      <c r="A178" s="12">
        <v>176.0</v>
      </c>
      <c r="B178" s="13" t="s">
        <v>222</v>
      </c>
      <c r="C178" s="14">
        <v>46.0</v>
      </c>
      <c r="D178" s="15" t="s">
        <v>750</v>
      </c>
      <c r="E178" s="16" t="s">
        <v>221</v>
      </c>
      <c r="F178" s="13" t="s">
        <v>717</v>
      </c>
      <c r="G178" s="13" t="s">
        <v>819</v>
      </c>
      <c r="H178" s="13" t="s">
        <v>820</v>
      </c>
      <c r="I178" s="13" t="s">
        <v>63</v>
      </c>
      <c r="J178" s="17" t="s">
        <v>71</v>
      </c>
      <c r="K178" s="17" t="s">
        <v>58</v>
      </c>
      <c r="L178" s="18" t="s">
        <v>52</v>
      </c>
      <c r="M178" s="19">
        <v>3.0</v>
      </c>
      <c r="N178" s="19">
        <v>31.0</v>
      </c>
    </row>
    <row r="179">
      <c r="A179" s="12">
        <v>177.0</v>
      </c>
      <c r="B179" s="13" t="s">
        <v>222</v>
      </c>
      <c r="C179" s="14">
        <v>47.0</v>
      </c>
      <c r="D179" s="15" t="s">
        <v>750</v>
      </c>
      <c r="E179" s="16" t="s">
        <v>221</v>
      </c>
      <c r="F179" s="13" t="s">
        <v>720</v>
      </c>
      <c r="G179" s="13" t="s">
        <v>821</v>
      </c>
      <c r="H179" s="13" t="s">
        <v>822</v>
      </c>
      <c r="I179" s="13" t="s">
        <v>63</v>
      </c>
      <c r="J179" s="17" t="s">
        <v>71</v>
      </c>
      <c r="K179" s="17" t="s">
        <v>58</v>
      </c>
      <c r="L179" s="18" t="s">
        <v>52</v>
      </c>
      <c r="M179" s="19">
        <v>3.0</v>
      </c>
      <c r="N179" s="19">
        <v>31.0</v>
      </c>
    </row>
    <row r="180">
      <c r="A180" s="12">
        <v>178.0</v>
      </c>
      <c r="B180" s="13" t="s">
        <v>222</v>
      </c>
      <c r="C180" s="14">
        <v>48.0</v>
      </c>
      <c r="D180" s="15" t="s">
        <v>750</v>
      </c>
      <c r="E180" s="16" t="s">
        <v>221</v>
      </c>
      <c r="F180" s="13" t="s">
        <v>592</v>
      </c>
      <c r="G180" s="13" t="s">
        <v>61</v>
      </c>
      <c r="H180" s="13" t="s">
        <v>824</v>
      </c>
      <c r="I180" s="13" t="s">
        <v>63</v>
      </c>
      <c r="J180" s="17" t="s">
        <v>71</v>
      </c>
      <c r="K180" s="17" t="s">
        <v>58</v>
      </c>
      <c r="L180" s="18" t="s">
        <v>52</v>
      </c>
      <c r="M180" s="19">
        <v>3.0</v>
      </c>
      <c r="N180" s="19">
        <v>31.0</v>
      </c>
    </row>
    <row r="181">
      <c r="A181" s="12">
        <v>179.0</v>
      </c>
      <c r="B181" s="13" t="s">
        <v>222</v>
      </c>
      <c r="C181" s="14">
        <v>49.0</v>
      </c>
      <c r="D181" s="15" t="s">
        <v>750</v>
      </c>
      <c r="E181" s="16" t="s">
        <v>221</v>
      </c>
      <c r="F181" s="13" t="s">
        <v>602</v>
      </c>
      <c r="G181" s="13" t="s">
        <v>825</v>
      </c>
      <c r="H181" s="13" t="s">
        <v>826</v>
      </c>
      <c r="I181" s="13" t="s">
        <v>63</v>
      </c>
      <c r="J181" s="17" t="s">
        <v>71</v>
      </c>
      <c r="K181" s="17" t="s">
        <v>58</v>
      </c>
      <c r="L181" s="18" t="s">
        <v>52</v>
      </c>
      <c r="M181" s="19">
        <v>3.0</v>
      </c>
      <c r="N181" s="19">
        <v>31.0</v>
      </c>
    </row>
    <row r="182">
      <c r="A182" s="12">
        <v>180.0</v>
      </c>
      <c r="B182" s="13" t="s">
        <v>222</v>
      </c>
      <c r="C182" s="14">
        <v>50.0</v>
      </c>
      <c r="D182" s="15" t="s">
        <v>750</v>
      </c>
      <c r="E182" s="16" t="s">
        <v>221</v>
      </c>
      <c r="F182" s="13" t="s">
        <v>612</v>
      </c>
      <c r="G182" s="13" t="s">
        <v>827</v>
      </c>
      <c r="H182" s="13" t="s">
        <v>828</v>
      </c>
      <c r="I182" s="13" t="s">
        <v>63</v>
      </c>
      <c r="J182" s="17" t="s">
        <v>71</v>
      </c>
      <c r="K182" s="17" t="s">
        <v>58</v>
      </c>
      <c r="L182" s="18" t="s">
        <v>524</v>
      </c>
      <c r="M182" s="19">
        <v>3.0</v>
      </c>
      <c r="N182" s="19">
        <v>31.0</v>
      </c>
    </row>
    <row r="183">
      <c r="A183" s="12">
        <v>181.0</v>
      </c>
      <c r="B183" s="13" t="s">
        <v>270</v>
      </c>
      <c r="C183" s="14">
        <v>1.0</v>
      </c>
      <c r="D183" s="15" t="s">
        <v>829</v>
      </c>
      <c r="E183" s="16" t="s">
        <v>221</v>
      </c>
      <c r="F183" s="13" t="s">
        <v>541</v>
      </c>
      <c r="G183" s="13" t="s">
        <v>61</v>
      </c>
      <c r="H183" s="13" t="s">
        <v>806</v>
      </c>
      <c r="I183" s="13" t="s">
        <v>56</v>
      </c>
      <c r="J183" s="17" t="s">
        <v>57</v>
      </c>
      <c r="K183" s="17" t="s">
        <v>58</v>
      </c>
      <c r="L183" s="18" t="s">
        <v>52</v>
      </c>
      <c r="M183" s="19">
        <v>4.0</v>
      </c>
      <c r="N183" s="19">
        <v>10.0</v>
      </c>
    </row>
    <row r="184">
      <c r="A184" s="12">
        <v>182.0</v>
      </c>
      <c r="B184" s="13" t="s">
        <v>270</v>
      </c>
      <c r="C184" s="14">
        <v>2.0</v>
      </c>
      <c r="D184" s="15" t="s">
        <v>829</v>
      </c>
      <c r="E184" s="16" t="s">
        <v>221</v>
      </c>
      <c r="F184" s="13" t="s">
        <v>308</v>
      </c>
      <c r="G184" s="13" t="s">
        <v>310</v>
      </c>
      <c r="H184" s="13" t="s">
        <v>830</v>
      </c>
      <c r="I184" s="13" t="s">
        <v>56</v>
      </c>
      <c r="J184" s="17" t="s">
        <v>57</v>
      </c>
      <c r="K184" s="17" t="s">
        <v>58</v>
      </c>
      <c r="L184" s="18" t="s">
        <v>52</v>
      </c>
      <c r="M184" s="19">
        <v>4.0</v>
      </c>
      <c r="N184" s="19">
        <v>10.0</v>
      </c>
    </row>
    <row r="185">
      <c r="A185" s="12">
        <v>183.0</v>
      </c>
      <c r="B185" s="13" t="s">
        <v>270</v>
      </c>
      <c r="C185" s="14">
        <v>3.0</v>
      </c>
      <c r="D185" s="15" t="s">
        <v>829</v>
      </c>
      <c r="E185" s="16" t="s">
        <v>221</v>
      </c>
      <c r="F185" s="13" t="s">
        <v>720</v>
      </c>
      <c r="G185" s="13" t="s">
        <v>61</v>
      </c>
      <c r="H185" s="13" t="s">
        <v>831</v>
      </c>
      <c r="I185" s="13" t="s">
        <v>56</v>
      </c>
      <c r="J185" s="17" t="s">
        <v>57</v>
      </c>
      <c r="K185" s="17" t="s">
        <v>58</v>
      </c>
      <c r="L185" s="18" t="s">
        <v>52</v>
      </c>
      <c r="M185" s="19">
        <v>4.0</v>
      </c>
      <c r="N185" s="19">
        <v>10.0</v>
      </c>
    </row>
    <row r="186">
      <c r="A186" s="12">
        <v>184.0</v>
      </c>
      <c r="B186" s="13" t="s">
        <v>270</v>
      </c>
      <c r="C186" s="14">
        <v>4.0</v>
      </c>
      <c r="D186" s="15" t="s">
        <v>829</v>
      </c>
      <c r="E186" s="16" t="s">
        <v>221</v>
      </c>
      <c r="F186" s="13" t="s">
        <v>833</v>
      </c>
      <c r="G186" s="13" t="s">
        <v>834</v>
      </c>
      <c r="H186" s="13" t="s">
        <v>835</v>
      </c>
      <c r="I186" s="13" t="s">
        <v>56</v>
      </c>
      <c r="J186" s="17" t="s">
        <v>67</v>
      </c>
      <c r="K186" s="17" t="s">
        <v>58</v>
      </c>
      <c r="L186" s="18" t="s">
        <v>52</v>
      </c>
      <c r="M186" s="19">
        <v>4.0</v>
      </c>
      <c r="N186" s="19">
        <v>20.0</v>
      </c>
    </row>
    <row r="187">
      <c r="A187" s="12">
        <v>185.0</v>
      </c>
      <c r="B187" s="13" t="s">
        <v>270</v>
      </c>
      <c r="C187" s="14">
        <v>5.0</v>
      </c>
      <c r="D187" s="15" t="s">
        <v>829</v>
      </c>
      <c r="E187" s="16" t="s">
        <v>221</v>
      </c>
      <c r="F187" s="13" t="s">
        <v>836</v>
      </c>
      <c r="G187" s="13" t="s">
        <v>61</v>
      </c>
      <c r="H187" s="13" t="s">
        <v>837</v>
      </c>
      <c r="I187" s="13" t="s">
        <v>56</v>
      </c>
      <c r="J187" s="17" t="s">
        <v>67</v>
      </c>
      <c r="K187" s="17" t="s">
        <v>58</v>
      </c>
      <c r="L187" s="18" t="s">
        <v>52</v>
      </c>
      <c r="M187" s="19">
        <v>4.0</v>
      </c>
      <c r="N187" s="19">
        <v>20.0</v>
      </c>
    </row>
    <row r="188">
      <c r="A188" s="12">
        <v>186.0</v>
      </c>
      <c r="B188" s="13" t="s">
        <v>270</v>
      </c>
      <c r="C188" s="14">
        <v>6.0</v>
      </c>
      <c r="D188" s="15" t="s">
        <v>829</v>
      </c>
      <c r="E188" s="16" t="s">
        <v>221</v>
      </c>
      <c r="F188" s="13" t="s">
        <v>471</v>
      </c>
      <c r="G188" s="13" t="s">
        <v>838</v>
      </c>
      <c r="H188" s="13" t="s">
        <v>839</v>
      </c>
      <c r="I188" s="13" t="s">
        <v>56</v>
      </c>
      <c r="J188" s="17" t="s">
        <v>67</v>
      </c>
      <c r="K188" s="17" t="s">
        <v>58</v>
      </c>
      <c r="L188" s="18" t="s">
        <v>52</v>
      </c>
      <c r="M188" s="19">
        <v>4.0</v>
      </c>
      <c r="N188" s="19">
        <v>20.0</v>
      </c>
    </row>
    <row r="189">
      <c r="A189" s="12">
        <v>187.0</v>
      </c>
      <c r="B189" s="13" t="s">
        <v>270</v>
      </c>
      <c r="C189" s="14">
        <v>7.0</v>
      </c>
      <c r="D189" s="15" t="s">
        <v>829</v>
      </c>
      <c r="E189" s="16" t="s">
        <v>221</v>
      </c>
      <c r="F189" s="13" t="s">
        <v>732</v>
      </c>
      <c r="G189" s="13" t="s">
        <v>840</v>
      </c>
      <c r="H189" s="13" t="s">
        <v>841</v>
      </c>
      <c r="I189" s="13" t="s">
        <v>56</v>
      </c>
      <c r="J189" s="17" t="s">
        <v>67</v>
      </c>
      <c r="K189" s="17" t="s">
        <v>58</v>
      </c>
      <c r="L189" s="18" t="s">
        <v>52</v>
      </c>
      <c r="M189" s="19">
        <v>4.0</v>
      </c>
      <c r="N189" s="19">
        <v>20.0</v>
      </c>
    </row>
    <row r="190">
      <c r="A190" s="12">
        <v>188.0</v>
      </c>
      <c r="B190" s="13" t="s">
        <v>270</v>
      </c>
      <c r="C190" s="14">
        <v>8.0</v>
      </c>
      <c r="D190" s="15" t="s">
        <v>829</v>
      </c>
      <c r="E190" s="16" t="s">
        <v>221</v>
      </c>
      <c r="F190" s="13" t="s">
        <v>672</v>
      </c>
      <c r="G190" s="13" t="s">
        <v>843</v>
      </c>
      <c r="H190" s="13" t="s">
        <v>844</v>
      </c>
      <c r="I190" s="13" t="s">
        <v>56</v>
      </c>
      <c r="J190" s="17" t="s">
        <v>67</v>
      </c>
      <c r="K190" s="17" t="s">
        <v>58</v>
      </c>
      <c r="L190" s="18" t="s">
        <v>52</v>
      </c>
      <c r="M190" s="19">
        <v>4.0</v>
      </c>
      <c r="N190" s="19">
        <v>20.0</v>
      </c>
    </row>
    <row r="191">
      <c r="A191" s="12">
        <v>189.0</v>
      </c>
      <c r="B191" s="13" t="s">
        <v>270</v>
      </c>
      <c r="C191" s="14">
        <v>9.0</v>
      </c>
      <c r="D191" s="15" t="s">
        <v>829</v>
      </c>
      <c r="E191" s="16" t="s">
        <v>221</v>
      </c>
      <c r="F191" s="13" t="s">
        <v>845</v>
      </c>
      <c r="G191" s="13" t="s">
        <v>846</v>
      </c>
      <c r="H191" s="13" t="s">
        <v>847</v>
      </c>
      <c r="I191" s="13" t="s">
        <v>56</v>
      </c>
      <c r="J191" s="17" t="s">
        <v>67</v>
      </c>
      <c r="K191" s="17" t="s">
        <v>58</v>
      </c>
      <c r="L191" s="18" t="s">
        <v>52</v>
      </c>
      <c r="M191" s="19">
        <v>4.0</v>
      </c>
      <c r="N191" s="19">
        <v>20.0</v>
      </c>
    </row>
    <row r="192">
      <c r="A192" s="12">
        <v>190.0</v>
      </c>
      <c r="B192" s="13" t="s">
        <v>270</v>
      </c>
      <c r="C192" s="14">
        <v>10.0</v>
      </c>
      <c r="D192" s="15" t="s">
        <v>829</v>
      </c>
      <c r="E192" s="16" t="s">
        <v>221</v>
      </c>
      <c r="F192" s="13" t="s">
        <v>737</v>
      </c>
      <c r="G192" s="13" t="s">
        <v>849</v>
      </c>
      <c r="H192" s="13" t="s">
        <v>850</v>
      </c>
      <c r="I192" s="13" t="s">
        <v>56</v>
      </c>
      <c r="J192" s="17" t="s">
        <v>67</v>
      </c>
      <c r="K192" s="17" t="s">
        <v>58</v>
      </c>
      <c r="L192" s="18" t="s">
        <v>52</v>
      </c>
      <c r="M192" s="19">
        <v>4.0</v>
      </c>
      <c r="N192" s="19">
        <v>20.0</v>
      </c>
    </row>
    <row r="193">
      <c r="A193" s="12">
        <v>191.0</v>
      </c>
      <c r="B193" s="13" t="s">
        <v>270</v>
      </c>
      <c r="C193" s="14">
        <v>11.0</v>
      </c>
      <c r="D193" s="15" t="s">
        <v>829</v>
      </c>
      <c r="E193" s="16" t="s">
        <v>221</v>
      </c>
      <c r="F193" s="13" t="s">
        <v>851</v>
      </c>
      <c r="G193" s="13" t="s">
        <v>852</v>
      </c>
      <c r="H193" s="13" t="s">
        <v>853</v>
      </c>
      <c r="I193" s="13" t="s">
        <v>56</v>
      </c>
      <c r="J193" s="17" t="s">
        <v>67</v>
      </c>
      <c r="K193" s="17" t="s">
        <v>58</v>
      </c>
      <c r="L193" s="18" t="s">
        <v>52</v>
      </c>
      <c r="M193" s="19">
        <v>4.0</v>
      </c>
      <c r="N193" s="19">
        <v>20.0</v>
      </c>
    </row>
    <row r="194">
      <c r="A194" s="12">
        <v>192.0</v>
      </c>
      <c r="B194" s="13" t="s">
        <v>270</v>
      </c>
      <c r="C194" s="14">
        <v>12.0</v>
      </c>
      <c r="D194" s="15" t="s">
        <v>829</v>
      </c>
      <c r="E194" s="16" t="s">
        <v>221</v>
      </c>
      <c r="F194" s="13" t="s">
        <v>716</v>
      </c>
      <c r="G194" s="13" t="s">
        <v>855</v>
      </c>
      <c r="H194" s="13" t="s">
        <v>856</v>
      </c>
      <c r="I194" s="13" t="s">
        <v>63</v>
      </c>
      <c r="J194" s="17" t="s">
        <v>67</v>
      </c>
      <c r="K194" s="17" t="s">
        <v>58</v>
      </c>
      <c r="L194" s="18" t="s">
        <v>52</v>
      </c>
      <c r="M194" s="19">
        <v>4.0</v>
      </c>
      <c r="N194" s="19">
        <v>21.0</v>
      </c>
    </row>
    <row r="195">
      <c r="A195" s="12">
        <v>193.0</v>
      </c>
      <c r="B195" s="13" t="s">
        <v>270</v>
      </c>
      <c r="C195" s="14">
        <v>13.0</v>
      </c>
      <c r="D195" s="15" t="s">
        <v>829</v>
      </c>
      <c r="E195" s="16" t="s">
        <v>221</v>
      </c>
      <c r="F195" s="13" t="s">
        <v>341</v>
      </c>
      <c r="G195" s="13" t="s">
        <v>61</v>
      </c>
      <c r="H195" s="13" t="s">
        <v>857</v>
      </c>
      <c r="I195" s="13" t="s">
        <v>56</v>
      </c>
      <c r="J195" s="17" t="s">
        <v>71</v>
      </c>
      <c r="K195" s="17" t="s">
        <v>58</v>
      </c>
      <c r="L195" s="18" t="s">
        <v>52</v>
      </c>
      <c r="M195" s="19">
        <v>4.0</v>
      </c>
      <c r="N195" s="19">
        <v>30.0</v>
      </c>
    </row>
    <row r="196">
      <c r="A196" s="12">
        <v>194.0</v>
      </c>
      <c r="B196" s="13" t="s">
        <v>270</v>
      </c>
      <c r="C196" s="14">
        <v>14.0</v>
      </c>
      <c r="D196" s="15" t="s">
        <v>829</v>
      </c>
      <c r="E196" s="16" t="s">
        <v>221</v>
      </c>
      <c r="F196" s="13" t="s">
        <v>278</v>
      </c>
      <c r="G196" s="13" t="s">
        <v>858</v>
      </c>
      <c r="H196" s="13" t="s">
        <v>859</v>
      </c>
      <c r="I196" s="13" t="s">
        <v>56</v>
      </c>
      <c r="J196" s="17" t="s">
        <v>71</v>
      </c>
      <c r="K196" s="17" t="s">
        <v>58</v>
      </c>
      <c r="L196" s="18" t="s">
        <v>52</v>
      </c>
      <c r="M196" s="19">
        <v>4.0</v>
      </c>
      <c r="N196" s="19">
        <v>30.0</v>
      </c>
    </row>
    <row r="197">
      <c r="A197" s="12">
        <v>195.0</v>
      </c>
      <c r="B197" s="13" t="s">
        <v>270</v>
      </c>
      <c r="C197" s="14">
        <v>15.0</v>
      </c>
      <c r="D197" s="15" t="s">
        <v>829</v>
      </c>
      <c r="E197" s="16" t="s">
        <v>221</v>
      </c>
      <c r="F197" s="13" t="s">
        <v>860</v>
      </c>
      <c r="G197" s="13" t="s">
        <v>861</v>
      </c>
      <c r="H197" s="13" t="s">
        <v>862</v>
      </c>
      <c r="I197" s="13" t="s">
        <v>56</v>
      </c>
      <c r="J197" s="17" t="s">
        <v>71</v>
      </c>
      <c r="K197" s="17" t="s">
        <v>58</v>
      </c>
      <c r="L197" s="18" t="s">
        <v>52</v>
      </c>
      <c r="M197" s="19">
        <v>4.0</v>
      </c>
      <c r="N197" s="19">
        <v>30.0</v>
      </c>
    </row>
    <row r="198">
      <c r="A198" s="12">
        <v>196.0</v>
      </c>
      <c r="B198" s="13" t="s">
        <v>270</v>
      </c>
      <c r="C198" s="14">
        <v>16.0</v>
      </c>
      <c r="D198" s="15" t="s">
        <v>829</v>
      </c>
      <c r="E198" s="16" t="s">
        <v>221</v>
      </c>
      <c r="F198" s="13" t="s">
        <v>701</v>
      </c>
      <c r="G198" s="13" t="s">
        <v>61</v>
      </c>
      <c r="H198" s="13" t="s">
        <v>863</v>
      </c>
      <c r="I198" s="13" t="s">
        <v>56</v>
      </c>
      <c r="J198" s="17" t="s">
        <v>71</v>
      </c>
      <c r="K198" s="17" t="s">
        <v>58</v>
      </c>
      <c r="L198" s="18" t="s">
        <v>52</v>
      </c>
      <c r="M198" s="19">
        <v>4.0</v>
      </c>
      <c r="N198" s="19">
        <v>30.0</v>
      </c>
    </row>
    <row r="199">
      <c r="A199" s="12">
        <v>197.0</v>
      </c>
      <c r="B199" s="13" t="s">
        <v>270</v>
      </c>
      <c r="C199" s="14">
        <v>17.0</v>
      </c>
      <c r="D199" s="15" t="s">
        <v>829</v>
      </c>
      <c r="E199" s="16" t="s">
        <v>221</v>
      </c>
      <c r="F199" s="13" t="s">
        <v>489</v>
      </c>
      <c r="G199" s="13" t="s">
        <v>864</v>
      </c>
      <c r="H199" s="13" t="s">
        <v>865</v>
      </c>
      <c r="I199" s="13" t="s">
        <v>56</v>
      </c>
      <c r="J199" s="17" t="s">
        <v>71</v>
      </c>
      <c r="K199" s="17" t="s">
        <v>58</v>
      </c>
      <c r="L199" s="18" t="s">
        <v>52</v>
      </c>
      <c r="M199" s="19">
        <v>4.0</v>
      </c>
      <c r="N199" s="19">
        <v>30.0</v>
      </c>
    </row>
    <row r="200">
      <c r="A200" s="12">
        <v>198.0</v>
      </c>
      <c r="B200" s="13" t="s">
        <v>270</v>
      </c>
      <c r="C200" s="14">
        <v>18.0</v>
      </c>
      <c r="D200" s="15" t="s">
        <v>829</v>
      </c>
      <c r="E200" s="16" t="s">
        <v>221</v>
      </c>
      <c r="F200" s="13" t="s">
        <v>586</v>
      </c>
      <c r="G200" s="13" t="s">
        <v>866</v>
      </c>
      <c r="H200" s="13" t="s">
        <v>841</v>
      </c>
      <c r="I200" s="13" t="s">
        <v>56</v>
      </c>
      <c r="J200" s="17" t="s">
        <v>71</v>
      </c>
      <c r="K200" s="17" t="s">
        <v>58</v>
      </c>
      <c r="L200" s="18" t="s">
        <v>52</v>
      </c>
      <c r="M200" s="19">
        <v>4.0</v>
      </c>
      <c r="N200" s="19">
        <v>30.0</v>
      </c>
    </row>
    <row r="201">
      <c r="A201" s="12">
        <v>199.0</v>
      </c>
      <c r="B201" s="13" t="s">
        <v>270</v>
      </c>
      <c r="C201" s="14">
        <v>19.0</v>
      </c>
      <c r="D201" s="15" t="s">
        <v>829</v>
      </c>
      <c r="E201" s="16" t="s">
        <v>221</v>
      </c>
      <c r="F201" s="13" t="s">
        <v>495</v>
      </c>
      <c r="G201" s="13" t="s">
        <v>796</v>
      </c>
      <c r="H201" s="13" t="s">
        <v>867</v>
      </c>
      <c r="I201" s="13" t="s">
        <v>56</v>
      </c>
      <c r="J201" s="17" t="s">
        <v>71</v>
      </c>
      <c r="K201" s="17" t="s">
        <v>58</v>
      </c>
      <c r="L201" s="18" t="s">
        <v>52</v>
      </c>
      <c r="M201" s="19">
        <v>4.0</v>
      </c>
      <c r="N201" s="19">
        <v>30.0</v>
      </c>
    </row>
    <row r="202">
      <c r="A202" s="12">
        <v>200.0</v>
      </c>
      <c r="B202" s="13" t="s">
        <v>270</v>
      </c>
      <c r="C202" s="14">
        <v>20.0</v>
      </c>
      <c r="D202" s="15" t="s">
        <v>829</v>
      </c>
      <c r="E202" s="16" t="s">
        <v>221</v>
      </c>
      <c r="F202" s="13" t="s">
        <v>501</v>
      </c>
      <c r="G202" s="13" t="s">
        <v>798</v>
      </c>
      <c r="H202" s="13" t="s">
        <v>868</v>
      </c>
      <c r="I202" s="13" t="s">
        <v>56</v>
      </c>
      <c r="J202" s="17" t="s">
        <v>71</v>
      </c>
      <c r="K202" s="17" t="s">
        <v>58</v>
      </c>
      <c r="L202" s="18" t="s">
        <v>52</v>
      </c>
      <c r="M202" s="19">
        <v>4.0</v>
      </c>
      <c r="N202" s="19">
        <v>30.0</v>
      </c>
    </row>
    <row r="203">
      <c r="A203" s="12">
        <v>201.0</v>
      </c>
      <c r="B203" s="13" t="s">
        <v>270</v>
      </c>
      <c r="C203" s="14">
        <v>21.0</v>
      </c>
      <c r="D203" s="15" t="s">
        <v>829</v>
      </c>
      <c r="E203" s="16" t="s">
        <v>221</v>
      </c>
      <c r="F203" s="13" t="s">
        <v>530</v>
      </c>
      <c r="G203" s="13" t="s">
        <v>804</v>
      </c>
      <c r="H203" s="13" t="s">
        <v>841</v>
      </c>
      <c r="I203" s="13" t="s">
        <v>56</v>
      </c>
      <c r="J203" s="17" t="s">
        <v>71</v>
      </c>
      <c r="K203" s="17" t="s">
        <v>58</v>
      </c>
      <c r="L203" s="18" t="s">
        <v>52</v>
      </c>
      <c r="M203" s="19">
        <v>4.0</v>
      </c>
      <c r="N203" s="19">
        <v>30.0</v>
      </c>
    </row>
    <row r="204">
      <c r="A204" s="12">
        <v>202.0</v>
      </c>
      <c r="B204" s="13" t="s">
        <v>270</v>
      </c>
      <c r="C204" s="14">
        <v>22.0</v>
      </c>
      <c r="D204" s="15" t="s">
        <v>829</v>
      </c>
      <c r="E204" s="16" t="s">
        <v>221</v>
      </c>
      <c r="F204" s="13" t="s">
        <v>552</v>
      </c>
      <c r="G204" s="13" t="s">
        <v>870</v>
      </c>
      <c r="H204" s="13" t="s">
        <v>871</v>
      </c>
      <c r="I204" s="13" t="s">
        <v>56</v>
      </c>
      <c r="J204" s="17" t="s">
        <v>71</v>
      </c>
      <c r="K204" s="17" t="s">
        <v>58</v>
      </c>
      <c r="L204" s="18" t="s">
        <v>52</v>
      </c>
      <c r="M204" s="19">
        <v>4.0</v>
      </c>
      <c r="N204" s="19">
        <v>30.0</v>
      </c>
    </row>
    <row r="205">
      <c r="A205" s="12">
        <v>203.0</v>
      </c>
      <c r="B205" s="13" t="s">
        <v>270</v>
      </c>
      <c r="C205" s="14">
        <v>23.0</v>
      </c>
      <c r="D205" s="15" t="s">
        <v>829</v>
      </c>
      <c r="E205" s="16" t="s">
        <v>221</v>
      </c>
      <c r="F205" s="13" t="s">
        <v>570</v>
      </c>
      <c r="G205" s="13" t="s">
        <v>872</v>
      </c>
      <c r="H205" s="13" t="s">
        <v>873</v>
      </c>
      <c r="I205" s="13" t="s">
        <v>56</v>
      </c>
      <c r="J205" s="17" t="s">
        <v>71</v>
      </c>
      <c r="K205" s="17" t="s">
        <v>58</v>
      </c>
      <c r="L205" s="18" t="s">
        <v>52</v>
      </c>
      <c r="M205" s="19">
        <v>4.0</v>
      </c>
      <c r="N205" s="19">
        <v>30.0</v>
      </c>
    </row>
    <row r="206">
      <c r="A206" s="12">
        <v>204.0</v>
      </c>
      <c r="B206" s="13" t="s">
        <v>270</v>
      </c>
      <c r="C206" s="14">
        <v>24.0</v>
      </c>
      <c r="D206" s="15" t="s">
        <v>829</v>
      </c>
      <c r="E206" s="16" t="s">
        <v>221</v>
      </c>
      <c r="F206" s="13" t="s">
        <v>723</v>
      </c>
      <c r="G206" s="13" t="s">
        <v>874</v>
      </c>
      <c r="H206" s="13" t="s">
        <v>875</v>
      </c>
      <c r="I206" s="13" t="s">
        <v>56</v>
      </c>
      <c r="J206" s="17" t="s">
        <v>71</v>
      </c>
      <c r="K206" s="17" t="s">
        <v>58</v>
      </c>
      <c r="L206" s="18" t="s">
        <v>52</v>
      </c>
      <c r="M206" s="19">
        <v>4.0</v>
      </c>
      <c r="N206" s="19">
        <v>30.0</v>
      </c>
    </row>
    <row r="207">
      <c r="A207" s="12">
        <v>205.0</v>
      </c>
      <c r="B207" s="13" t="s">
        <v>270</v>
      </c>
      <c r="C207" s="14">
        <v>25.0</v>
      </c>
      <c r="D207" s="15" t="s">
        <v>829</v>
      </c>
      <c r="E207" s="16" t="s">
        <v>221</v>
      </c>
      <c r="F207" s="13" t="s">
        <v>632</v>
      </c>
      <c r="G207" s="13" t="s">
        <v>877</v>
      </c>
      <c r="H207" s="13" t="s">
        <v>878</v>
      </c>
      <c r="I207" s="13" t="s">
        <v>56</v>
      </c>
      <c r="J207" s="17" t="s">
        <v>71</v>
      </c>
      <c r="K207" s="17" t="s">
        <v>58</v>
      </c>
      <c r="L207" s="18" t="s">
        <v>52</v>
      </c>
      <c r="M207" s="19">
        <v>4.0</v>
      </c>
      <c r="N207" s="19">
        <v>30.0</v>
      </c>
    </row>
    <row r="208">
      <c r="A208" s="12">
        <v>206.0</v>
      </c>
      <c r="B208" s="13" t="s">
        <v>270</v>
      </c>
      <c r="C208" s="14">
        <v>26.0</v>
      </c>
      <c r="D208" s="15" t="s">
        <v>829</v>
      </c>
      <c r="E208" s="16" t="s">
        <v>221</v>
      </c>
      <c r="F208" s="13" t="s">
        <v>612</v>
      </c>
      <c r="G208" s="13" t="s">
        <v>879</v>
      </c>
      <c r="H208" s="13" t="s">
        <v>880</v>
      </c>
      <c r="I208" s="13" t="s">
        <v>56</v>
      </c>
      <c r="J208" s="17" t="s">
        <v>71</v>
      </c>
      <c r="K208" s="17" t="s">
        <v>58</v>
      </c>
      <c r="L208" s="18" t="s">
        <v>524</v>
      </c>
      <c r="M208" s="19">
        <v>4.0</v>
      </c>
      <c r="N208" s="19">
        <v>30.0</v>
      </c>
    </row>
    <row r="209">
      <c r="A209" s="12">
        <v>207.0</v>
      </c>
      <c r="B209" s="13" t="s">
        <v>270</v>
      </c>
      <c r="C209" s="14">
        <v>27.0</v>
      </c>
      <c r="D209" s="15" t="s">
        <v>829</v>
      </c>
      <c r="E209" s="16" t="s">
        <v>221</v>
      </c>
      <c r="F209" s="13" t="s">
        <v>660</v>
      </c>
      <c r="G209" s="13" t="s">
        <v>882</v>
      </c>
      <c r="H209" s="13" t="s">
        <v>883</v>
      </c>
      <c r="I209" s="13" t="s">
        <v>56</v>
      </c>
      <c r="J209" s="17" t="s">
        <v>71</v>
      </c>
      <c r="K209" s="17" t="s">
        <v>58</v>
      </c>
      <c r="L209" s="18" t="s">
        <v>52</v>
      </c>
      <c r="M209" s="19">
        <v>4.0</v>
      </c>
      <c r="N209" s="19">
        <v>30.0</v>
      </c>
    </row>
    <row r="210">
      <c r="A210" s="12">
        <v>208.0</v>
      </c>
      <c r="B210" s="13" t="s">
        <v>270</v>
      </c>
      <c r="C210" s="14">
        <v>28.0</v>
      </c>
      <c r="D210" s="15" t="s">
        <v>829</v>
      </c>
      <c r="E210" s="16" t="s">
        <v>221</v>
      </c>
      <c r="F210" s="13" t="s">
        <v>296</v>
      </c>
      <c r="G210" s="13" t="s">
        <v>884</v>
      </c>
      <c r="H210" s="13" t="s">
        <v>885</v>
      </c>
      <c r="I210" s="13" t="s">
        <v>63</v>
      </c>
      <c r="J210" s="17" t="s">
        <v>71</v>
      </c>
      <c r="K210" s="17" t="s">
        <v>58</v>
      </c>
      <c r="L210" s="18" t="s">
        <v>52</v>
      </c>
      <c r="M210" s="19">
        <v>4.0</v>
      </c>
      <c r="N210" s="19">
        <v>31.0</v>
      </c>
    </row>
    <row r="211">
      <c r="A211" s="12">
        <v>209.0</v>
      </c>
      <c r="B211" s="13" t="s">
        <v>270</v>
      </c>
      <c r="C211" s="14">
        <v>29.0</v>
      </c>
      <c r="D211" s="15" t="s">
        <v>829</v>
      </c>
      <c r="E211" s="16" t="s">
        <v>221</v>
      </c>
      <c r="F211" s="13" t="s">
        <v>593</v>
      </c>
      <c r="G211" s="13" t="s">
        <v>886</v>
      </c>
      <c r="H211" s="13" t="s">
        <v>887</v>
      </c>
      <c r="I211" s="13" t="s">
        <v>63</v>
      </c>
      <c r="J211" s="17" t="s">
        <v>71</v>
      </c>
      <c r="K211" s="17" t="s">
        <v>58</v>
      </c>
      <c r="L211" s="18" t="s">
        <v>52</v>
      </c>
      <c r="M211" s="19">
        <v>4.0</v>
      </c>
      <c r="N211" s="19">
        <v>31.0</v>
      </c>
    </row>
    <row r="212">
      <c r="A212" s="12">
        <v>210.0</v>
      </c>
      <c r="B212" s="13" t="s">
        <v>270</v>
      </c>
      <c r="C212" s="14">
        <v>30.0</v>
      </c>
      <c r="D212" s="15" t="s">
        <v>829</v>
      </c>
      <c r="E212" s="16" t="s">
        <v>221</v>
      </c>
      <c r="F212" s="13" t="s">
        <v>888</v>
      </c>
      <c r="G212" s="13" t="s">
        <v>889</v>
      </c>
      <c r="H212" s="13" t="s">
        <v>890</v>
      </c>
      <c r="I212" s="13" t="s">
        <v>63</v>
      </c>
      <c r="J212" s="17" t="s">
        <v>71</v>
      </c>
      <c r="K212" s="17" t="s">
        <v>58</v>
      </c>
      <c r="L212" s="18" t="s">
        <v>52</v>
      </c>
      <c r="M212" s="19">
        <v>4.0</v>
      </c>
      <c r="N212" s="19">
        <v>31.0</v>
      </c>
    </row>
    <row r="213">
      <c r="A213" s="12">
        <v>211.0</v>
      </c>
      <c r="B213" s="13" t="s">
        <v>270</v>
      </c>
      <c r="C213" s="14">
        <v>31.0</v>
      </c>
      <c r="D213" s="15" t="s">
        <v>829</v>
      </c>
      <c r="E213" s="16" t="s">
        <v>221</v>
      </c>
      <c r="F213" s="13" t="s">
        <v>891</v>
      </c>
      <c r="G213" s="13" t="s">
        <v>892</v>
      </c>
      <c r="H213" s="13" t="s">
        <v>893</v>
      </c>
      <c r="I213" s="13" t="s">
        <v>63</v>
      </c>
      <c r="J213" s="17" t="s">
        <v>71</v>
      </c>
      <c r="K213" s="17" t="s">
        <v>58</v>
      </c>
      <c r="L213" s="18" t="s">
        <v>52</v>
      </c>
      <c r="M213" s="19">
        <v>4.0</v>
      </c>
      <c r="N213" s="19">
        <v>31.0</v>
      </c>
    </row>
    <row r="214">
      <c r="A214" s="12">
        <v>212.0</v>
      </c>
      <c r="B214" s="13" t="s">
        <v>270</v>
      </c>
      <c r="C214" s="14">
        <v>32.0</v>
      </c>
      <c r="D214" s="15" t="s">
        <v>829</v>
      </c>
      <c r="E214" s="16" t="s">
        <v>221</v>
      </c>
      <c r="F214" s="13" t="s">
        <v>894</v>
      </c>
      <c r="G214" s="13" t="s">
        <v>895</v>
      </c>
      <c r="H214" s="13" t="s">
        <v>893</v>
      </c>
      <c r="I214" s="13" t="s">
        <v>63</v>
      </c>
      <c r="J214" s="17" t="s">
        <v>71</v>
      </c>
      <c r="K214" s="17" t="s">
        <v>58</v>
      </c>
      <c r="L214" s="18" t="s">
        <v>52</v>
      </c>
      <c r="M214" s="19">
        <v>4.0</v>
      </c>
      <c r="N214" s="19">
        <v>31.0</v>
      </c>
    </row>
    <row r="215">
      <c r="A215" s="12">
        <v>213.0</v>
      </c>
      <c r="B215" s="13" t="s">
        <v>270</v>
      </c>
      <c r="C215" s="14">
        <v>33.0</v>
      </c>
      <c r="D215" s="15" t="s">
        <v>829</v>
      </c>
      <c r="E215" s="16" t="s">
        <v>221</v>
      </c>
      <c r="F215" s="13" t="s">
        <v>722</v>
      </c>
      <c r="G215" s="13" t="s">
        <v>896</v>
      </c>
      <c r="H215" s="13" t="s">
        <v>897</v>
      </c>
      <c r="I215" s="13" t="s">
        <v>63</v>
      </c>
      <c r="J215" s="17" t="s">
        <v>71</v>
      </c>
      <c r="K215" s="17" t="s">
        <v>58</v>
      </c>
      <c r="L215" s="18" t="s">
        <v>52</v>
      </c>
      <c r="M215" s="19">
        <v>4.0</v>
      </c>
      <c r="N215" s="19">
        <v>31.0</v>
      </c>
    </row>
    <row r="216">
      <c r="A216" s="12">
        <v>214.0</v>
      </c>
      <c r="B216" s="13" t="s">
        <v>270</v>
      </c>
      <c r="C216" s="14">
        <v>34.0</v>
      </c>
      <c r="D216" s="15" t="s">
        <v>829</v>
      </c>
      <c r="E216" s="16" t="s">
        <v>221</v>
      </c>
      <c r="F216" s="13" t="s">
        <v>708</v>
      </c>
      <c r="G216" s="13" t="s">
        <v>898</v>
      </c>
      <c r="H216" s="13" t="s">
        <v>899</v>
      </c>
      <c r="I216" s="13" t="s">
        <v>63</v>
      </c>
      <c r="J216" s="17" t="s">
        <v>71</v>
      </c>
      <c r="K216" s="17" t="s">
        <v>58</v>
      </c>
      <c r="L216" s="18" t="s">
        <v>52</v>
      </c>
      <c r="M216" s="19">
        <v>4.0</v>
      </c>
      <c r="N216" s="19">
        <v>31.0</v>
      </c>
    </row>
    <row r="217">
      <c r="A217" s="12">
        <v>215.0</v>
      </c>
      <c r="B217" s="13" t="s">
        <v>270</v>
      </c>
      <c r="C217" s="14">
        <v>35.0</v>
      </c>
      <c r="D217" s="15" t="s">
        <v>829</v>
      </c>
      <c r="E217" s="16" t="s">
        <v>221</v>
      </c>
      <c r="F217" s="13" t="s">
        <v>900</v>
      </c>
      <c r="G217" s="13" t="s">
        <v>901</v>
      </c>
      <c r="H217" s="13" t="s">
        <v>902</v>
      </c>
      <c r="I217" s="13" t="s">
        <v>63</v>
      </c>
      <c r="J217" s="17" t="s">
        <v>71</v>
      </c>
      <c r="K217" s="17" t="s">
        <v>58</v>
      </c>
      <c r="L217" s="18" t="s">
        <v>52</v>
      </c>
      <c r="M217" s="19">
        <v>4.0</v>
      </c>
      <c r="N217" s="19">
        <v>31.0</v>
      </c>
    </row>
    <row r="218">
      <c r="A218" s="12">
        <v>216.0</v>
      </c>
      <c r="B218" s="13" t="s">
        <v>270</v>
      </c>
      <c r="C218" s="14">
        <v>36.0</v>
      </c>
      <c r="D218" s="15" t="s">
        <v>829</v>
      </c>
      <c r="E218" s="16" t="s">
        <v>221</v>
      </c>
      <c r="F218" s="13" t="s">
        <v>283</v>
      </c>
      <c r="G218" s="13" t="s">
        <v>903</v>
      </c>
      <c r="H218" s="13" t="s">
        <v>904</v>
      </c>
      <c r="I218" s="13" t="s">
        <v>63</v>
      </c>
      <c r="J218" s="17" t="s">
        <v>71</v>
      </c>
      <c r="K218" s="17" t="s">
        <v>58</v>
      </c>
      <c r="L218" s="18" t="s">
        <v>52</v>
      </c>
      <c r="M218" s="19">
        <v>4.0</v>
      </c>
      <c r="N218" s="19">
        <v>31.0</v>
      </c>
    </row>
    <row r="219">
      <c r="A219" s="12">
        <v>217.0</v>
      </c>
      <c r="B219" s="13" t="s">
        <v>270</v>
      </c>
      <c r="C219" s="14">
        <v>37.0</v>
      </c>
      <c r="D219" s="15" t="s">
        <v>829</v>
      </c>
      <c r="E219" s="16" t="s">
        <v>221</v>
      </c>
      <c r="F219" s="13" t="s">
        <v>247</v>
      </c>
      <c r="G219" s="13" t="s">
        <v>905</v>
      </c>
      <c r="H219" s="13" t="s">
        <v>906</v>
      </c>
      <c r="I219" s="13" t="s">
        <v>63</v>
      </c>
      <c r="J219" s="17" t="s">
        <v>71</v>
      </c>
      <c r="K219" s="17" t="s">
        <v>58</v>
      </c>
      <c r="L219" s="18" t="s">
        <v>524</v>
      </c>
      <c r="M219" s="19">
        <v>4.0</v>
      </c>
      <c r="N219" s="19">
        <v>31.0</v>
      </c>
    </row>
    <row r="220">
      <c r="A220" s="12">
        <v>218.0</v>
      </c>
      <c r="B220" s="13" t="s">
        <v>270</v>
      </c>
      <c r="C220" s="14">
        <v>38.0</v>
      </c>
      <c r="D220" s="15" t="s">
        <v>829</v>
      </c>
      <c r="E220" s="16" t="s">
        <v>221</v>
      </c>
      <c r="F220" s="13" t="s">
        <v>561</v>
      </c>
      <c r="G220" s="13" t="s">
        <v>907</v>
      </c>
      <c r="H220" s="13" t="s">
        <v>908</v>
      </c>
      <c r="I220" s="13" t="s">
        <v>63</v>
      </c>
      <c r="J220" s="17" t="s">
        <v>71</v>
      </c>
      <c r="K220" s="17" t="s">
        <v>58</v>
      </c>
      <c r="L220" s="18" t="s">
        <v>52</v>
      </c>
      <c r="M220" s="19">
        <v>4.0</v>
      </c>
      <c r="N220" s="19">
        <v>31.0</v>
      </c>
    </row>
    <row r="221">
      <c r="A221" s="12">
        <v>219.0</v>
      </c>
      <c r="B221" s="13" t="s">
        <v>270</v>
      </c>
      <c r="C221" s="14">
        <v>39.0</v>
      </c>
      <c r="D221" s="15" t="s">
        <v>829</v>
      </c>
      <c r="E221" s="16" t="s">
        <v>221</v>
      </c>
      <c r="F221" s="13" t="s">
        <v>717</v>
      </c>
      <c r="G221" s="13" t="s">
        <v>819</v>
      </c>
      <c r="H221" s="13" t="s">
        <v>909</v>
      </c>
      <c r="I221" s="13" t="s">
        <v>63</v>
      </c>
      <c r="J221" s="17" t="s">
        <v>71</v>
      </c>
      <c r="K221" s="17" t="s">
        <v>58</v>
      </c>
      <c r="L221" s="18" t="s">
        <v>52</v>
      </c>
      <c r="M221" s="19">
        <v>4.0</v>
      </c>
      <c r="N221" s="19">
        <v>31.0</v>
      </c>
    </row>
    <row r="222">
      <c r="A222" s="12">
        <v>220.0</v>
      </c>
      <c r="B222" s="13" t="s">
        <v>270</v>
      </c>
      <c r="C222" s="14">
        <v>40.0</v>
      </c>
      <c r="D222" s="15" t="s">
        <v>829</v>
      </c>
      <c r="E222" s="16" t="s">
        <v>221</v>
      </c>
      <c r="F222" s="13" t="s">
        <v>623</v>
      </c>
      <c r="G222" s="13" t="s">
        <v>911</v>
      </c>
      <c r="H222" s="13" t="s">
        <v>912</v>
      </c>
      <c r="I222" s="13" t="s">
        <v>63</v>
      </c>
      <c r="J222" s="17" t="s">
        <v>71</v>
      </c>
      <c r="K222" s="17" t="s">
        <v>58</v>
      </c>
      <c r="L222" s="18" t="s">
        <v>52</v>
      </c>
      <c r="M222" s="19">
        <v>4.0</v>
      </c>
      <c r="N222" s="19">
        <v>31.0</v>
      </c>
    </row>
    <row r="223">
      <c r="A223" s="12">
        <v>221.0</v>
      </c>
      <c r="B223" s="13" t="s">
        <v>270</v>
      </c>
      <c r="C223" s="14">
        <v>41.0</v>
      </c>
      <c r="D223" s="15" t="s">
        <v>829</v>
      </c>
      <c r="E223" s="16" t="s">
        <v>221</v>
      </c>
      <c r="F223" s="13" t="s">
        <v>576</v>
      </c>
      <c r="G223" s="13" t="s">
        <v>913</v>
      </c>
      <c r="H223" s="13" t="s">
        <v>914</v>
      </c>
      <c r="I223" s="13" t="s">
        <v>63</v>
      </c>
      <c r="J223" s="17" t="s">
        <v>71</v>
      </c>
      <c r="K223" s="17" t="s">
        <v>58</v>
      </c>
      <c r="L223" s="18" t="s">
        <v>52</v>
      </c>
      <c r="M223" s="19">
        <v>4.0</v>
      </c>
      <c r="N223" s="19">
        <v>31.0</v>
      </c>
    </row>
    <row r="224">
      <c r="A224" s="12">
        <v>222.0</v>
      </c>
      <c r="B224" s="13" t="s">
        <v>270</v>
      </c>
      <c r="C224" s="14">
        <v>42.0</v>
      </c>
      <c r="D224" s="15" t="s">
        <v>829</v>
      </c>
      <c r="E224" s="16" t="s">
        <v>221</v>
      </c>
      <c r="F224" s="13" t="s">
        <v>602</v>
      </c>
      <c r="G224" s="13" t="s">
        <v>915</v>
      </c>
      <c r="H224" s="13" t="s">
        <v>916</v>
      </c>
      <c r="I224" s="13" t="s">
        <v>63</v>
      </c>
      <c r="J224" s="17" t="s">
        <v>71</v>
      </c>
      <c r="K224" s="17" t="s">
        <v>58</v>
      </c>
      <c r="L224" s="18" t="s">
        <v>52</v>
      </c>
      <c r="M224" s="19">
        <v>4.0</v>
      </c>
      <c r="N224" s="19">
        <v>31.0</v>
      </c>
    </row>
    <row r="225">
      <c r="A225" s="12">
        <v>223.0</v>
      </c>
      <c r="B225" s="13" t="s">
        <v>270</v>
      </c>
      <c r="C225" s="14">
        <v>43.0</v>
      </c>
      <c r="D225" s="15" t="s">
        <v>829</v>
      </c>
      <c r="E225" s="16" t="s">
        <v>221</v>
      </c>
      <c r="F225" s="13" t="s">
        <v>721</v>
      </c>
      <c r="G225" s="13" t="s">
        <v>917</v>
      </c>
      <c r="H225" s="13" t="s">
        <v>918</v>
      </c>
      <c r="I225" s="13" t="s">
        <v>63</v>
      </c>
      <c r="J225" s="17" t="s">
        <v>71</v>
      </c>
      <c r="K225" s="17" t="s">
        <v>58</v>
      </c>
      <c r="L225" s="18" t="s">
        <v>52</v>
      </c>
      <c r="M225" s="19">
        <v>4.0</v>
      </c>
      <c r="N225" s="19">
        <v>31.0</v>
      </c>
    </row>
    <row r="226">
      <c r="A226" s="12">
        <v>224.0</v>
      </c>
      <c r="B226" s="13" t="s">
        <v>270</v>
      </c>
      <c r="C226" s="14">
        <v>44.0</v>
      </c>
      <c r="D226" s="15" t="s">
        <v>829</v>
      </c>
      <c r="E226" s="16" t="s">
        <v>221</v>
      </c>
      <c r="F226" s="13" t="s">
        <v>919</v>
      </c>
      <c r="G226" s="13" t="s">
        <v>920</v>
      </c>
      <c r="H226" s="13" t="s">
        <v>921</v>
      </c>
      <c r="I226" s="13" t="s">
        <v>63</v>
      </c>
      <c r="J226" s="17" t="s">
        <v>71</v>
      </c>
      <c r="K226" s="17" t="s">
        <v>58</v>
      </c>
      <c r="L226" s="18" t="s">
        <v>52</v>
      </c>
      <c r="M226" s="19">
        <v>4.0</v>
      </c>
      <c r="N226" s="19">
        <v>31.0</v>
      </c>
    </row>
    <row r="227">
      <c r="A227" s="12">
        <v>225.0</v>
      </c>
      <c r="B227" s="13" t="s">
        <v>270</v>
      </c>
      <c r="C227" s="14">
        <v>45.0</v>
      </c>
      <c r="D227" s="15" t="s">
        <v>829</v>
      </c>
      <c r="E227" s="16" t="s">
        <v>221</v>
      </c>
      <c r="F227" s="13" t="s">
        <v>728</v>
      </c>
      <c r="G227" s="13" t="s">
        <v>922</v>
      </c>
      <c r="H227" s="13" t="s">
        <v>923</v>
      </c>
      <c r="I227" s="13" t="s">
        <v>63</v>
      </c>
      <c r="J227" s="17" t="s">
        <v>71</v>
      </c>
      <c r="K227" s="17" t="s">
        <v>58</v>
      </c>
      <c r="L227" s="18" t="s">
        <v>52</v>
      </c>
      <c r="M227" s="19">
        <v>4.0</v>
      </c>
      <c r="N227" s="19">
        <v>31.0</v>
      </c>
    </row>
    <row r="228">
      <c r="A228" s="12">
        <v>226.0</v>
      </c>
      <c r="B228" s="13" t="s">
        <v>270</v>
      </c>
      <c r="C228" s="14">
        <v>46.0</v>
      </c>
      <c r="D228" s="15" t="s">
        <v>924</v>
      </c>
      <c r="E228" s="16" t="s">
        <v>221</v>
      </c>
      <c r="F228" s="13" t="s">
        <v>705</v>
      </c>
      <c r="G228" s="13" t="s">
        <v>925</v>
      </c>
      <c r="H228" s="13" t="s">
        <v>926</v>
      </c>
      <c r="I228" s="13" t="s">
        <v>63</v>
      </c>
      <c r="J228" s="17" t="s">
        <v>71</v>
      </c>
      <c r="K228" s="17" t="s">
        <v>58</v>
      </c>
      <c r="L228" s="18" t="s">
        <v>52</v>
      </c>
      <c r="M228" s="19">
        <v>4.0</v>
      </c>
      <c r="N228" s="19">
        <v>31.0</v>
      </c>
    </row>
    <row r="229">
      <c r="A229" s="12">
        <v>227.0</v>
      </c>
      <c r="B229" s="13" t="s">
        <v>270</v>
      </c>
      <c r="C229" s="14">
        <v>47.0</v>
      </c>
      <c r="D229" s="15" t="s">
        <v>924</v>
      </c>
      <c r="E229" s="16" t="s">
        <v>221</v>
      </c>
      <c r="F229" s="13" t="s">
        <v>314</v>
      </c>
      <c r="G229" s="13" t="s">
        <v>927</v>
      </c>
      <c r="H229" s="13" t="s">
        <v>928</v>
      </c>
      <c r="I229" s="13" t="s">
        <v>63</v>
      </c>
      <c r="J229" s="17" t="s">
        <v>71</v>
      </c>
      <c r="K229" s="17" t="s">
        <v>58</v>
      </c>
      <c r="L229" s="18" t="s">
        <v>52</v>
      </c>
      <c r="M229" s="19">
        <v>4.0</v>
      </c>
      <c r="N229" s="19">
        <v>31.0</v>
      </c>
    </row>
    <row r="230">
      <c r="A230" s="12">
        <v>228.0</v>
      </c>
      <c r="B230" s="13" t="s">
        <v>270</v>
      </c>
      <c r="C230" s="14">
        <v>48.0</v>
      </c>
      <c r="D230" s="15" t="s">
        <v>924</v>
      </c>
      <c r="E230" s="16" t="s">
        <v>221</v>
      </c>
      <c r="F230" s="13" t="s">
        <v>222</v>
      </c>
      <c r="G230" s="13" t="s">
        <v>61</v>
      </c>
      <c r="H230" s="13" t="s">
        <v>929</v>
      </c>
      <c r="I230" s="13" t="s">
        <v>63</v>
      </c>
      <c r="J230" s="17" t="s">
        <v>71</v>
      </c>
      <c r="K230" s="17" t="s">
        <v>58</v>
      </c>
      <c r="L230" s="18" t="s">
        <v>52</v>
      </c>
      <c r="M230" s="19">
        <v>4.0</v>
      </c>
      <c r="N230" s="19">
        <v>31.0</v>
      </c>
    </row>
    <row r="231">
      <c r="A231" s="12">
        <v>229.0</v>
      </c>
      <c r="B231" s="13" t="s">
        <v>270</v>
      </c>
      <c r="C231" s="14">
        <v>49.0</v>
      </c>
      <c r="D231" s="15" t="s">
        <v>924</v>
      </c>
      <c r="E231" s="16" t="s">
        <v>221</v>
      </c>
      <c r="F231" s="13" t="s">
        <v>582</v>
      </c>
      <c r="G231" s="13" t="s">
        <v>930</v>
      </c>
      <c r="H231" s="13" t="s">
        <v>931</v>
      </c>
      <c r="I231" s="13" t="s">
        <v>63</v>
      </c>
      <c r="J231" s="17" t="s">
        <v>71</v>
      </c>
      <c r="K231" s="17" t="s">
        <v>58</v>
      </c>
      <c r="L231" s="18" t="s">
        <v>52</v>
      </c>
      <c r="M231" s="19">
        <v>4.0</v>
      </c>
      <c r="N231" s="19">
        <v>31.0</v>
      </c>
    </row>
    <row r="232">
      <c r="A232" s="12">
        <v>230.0</v>
      </c>
      <c r="B232" s="13" t="s">
        <v>270</v>
      </c>
      <c r="C232" s="14">
        <v>50.0</v>
      </c>
      <c r="D232" s="15" t="s">
        <v>924</v>
      </c>
      <c r="E232" s="16" t="s">
        <v>221</v>
      </c>
      <c r="F232" s="13" t="s">
        <v>735</v>
      </c>
      <c r="G232" s="13" t="s">
        <v>932</v>
      </c>
      <c r="H232" s="13" t="s">
        <v>933</v>
      </c>
      <c r="I232" s="13" t="s">
        <v>63</v>
      </c>
      <c r="J232" s="17" t="s">
        <v>71</v>
      </c>
      <c r="K232" s="17" t="s">
        <v>58</v>
      </c>
      <c r="L232" s="18" t="s">
        <v>52</v>
      </c>
      <c r="M232" s="19">
        <v>4.0</v>
      </c>
      <c r="N232" s="19">
        <v>31.0</v>
      </c>
    </row>
    <row r="233">
      <c r="A233" s="12">
        <v>231.0</v>
      </c>
      <c r="B233" s="13" t="s">
        <v>240</v>
      </c>
      <c r="C233" s="14">
        <v>1.0</v>
      </c>
      <c r="D233" s="15" t="s">
        <v>934</v>
      </c>
      <c r="E233" s="16" t="s">
        <v>52</v>
      </c>
      <c r="F233" s="13" t="s">
        <v>586</v>
      </c>
      <c r="G233" s="13" t="s">
        <v>866</v>
      </c>
      <c r="H233" s="13" t="s">
        <v>935</v>
      </c>
      <c r="I233" s="13" t="s">
        <v>56</v>
      </c>
      <c r="J233" s="17" t="s">
        <v>57</v>
      </c>
      <c r="K233" s="17" t="s">
        <v>58</v>
      </c>
      <c r="L233" s="18" t="s">
        <v>52</v>
      </c>
      <c r="M233" s="19">
        <v>5.0</v>
      </c>
      <c r="N233" s="19">
        <v>10.0</v>
      </c>
    </row>
    <row r="234">
      <c r="A234" s="12">
        <v>232.0</v>
      </c>
      <c r="B234" s="13" t="s">
        <v>240</v>
      </c>
      <c r="C234" s="14">
        <v>2.0</v>
      </c>
      <c r="D234" s="15" t="s">
        <v>936</v>
      </c>
      <c r="E234" s="16" t="s">
        <v>52</v>
      </c>
      <c r="F234" s="13" t="s">
        <v>716</v>
      </c>
      <c r="G234" s="13" t="s">
        <v>937</v>
      </c>
      <c r="H234" s="13" t="s">
        <v>938</v>
      </c>
      <c r="I234" s="13" t="s">
        <v>56</v>
      </c>
      <c r="J234" s="17" t="s">
        <v>57</v>
      </c>
      <c r="K234" s="17" t="s">
        <v>58</v>
      </c>
      <c r="L234" s="18" t="s">
        <v>52</v>
      </c>
      <c r="M234" s="19">
        <v>5.0</v>
      </c>
      <c r="N234" s="19">
        <v>10.0</v>
      </c>
    </row>
    <row r="235">
      <c r="A235" s="12">
        <v>233.0</v>
      </c>
      <c r="B235" s="13" t="s">
        <v>240</v>
      </c>
      <c r="C235" s="14">
        <v>3.0</v>
      </c>
      <c r="D235" s="15" t="s">
        <v>934</v>
      </c>
      <c r="E235" s="16" t="s">
        <v>52</v>
      </c>
      <c r="F235" s="13" t="s">
        <v>270</v>
      </c>
      <c r="G235" s="13" t="s">
        <v>939</v>
      </c>
      <c r="H235" s="13" t="s">
        <v>940</v>
      </c>
      <c r="I235" s="13" t="s">
        <v>56</v>
      </c>
      <c r="J235" s="17" t="s">
        <v>67</v>
      </c>
      <c r="K235" s="17" t="s">
        <v>58</v>
      </c>
      <c r="L235" s="18" t="s">
        <v>52</v>
      </c>
      <c r="M235" s="19">
        <v>5.0</v>
      </c>
      <c r="N235" s="19">
        <v>20.0</v>
      </c>
    </row>
    <row r="236">
      <c r="A236" s="12">
        <v>234.0</v>
      </c>
      <c r="B236" s="13" t="s">
        <v>240</v>
      </c>
      <c r="C236" s="14">
        <v>4.0</v>
      </c>
      <c r="D236" s="15" t="s">
        <v>934</v>
      </c>
      <c r="E236" s="16" t="s">
        <v>52</v>
      </c>
      <c r="F236" s="13" t="s">
        <v>265</v>
      </c>
      <c r="G236" s="13" t="s">
        <v>941</v>
      </c>
      <c r="H236" s="13" t="s">
        <v>942</v>
      </c>
      <c r="I236" s="13" t="s">
        <v>56</v>
      </c>
      <c r="J236" s="17" t="s">
        <v>67</v>
      </c>
      <c r="K236" s="17" t="s">
        <v>58</v>
      </c>
      <c r="L236" s="18" t="s">
        <v>52</v>
      </c>
      <c r="M236" s="19">
        <v>5.0</v>
      </c>
      <c r="N236" s="19">
        <v>20.0</v>
      </c>
    </row>
    <row r="237">
      <c r="A237" s="12">
        <v>235.0</v>
      </c>
      <c r="B237" s="13" t="s">
        <v>240</v>
      </c>
      <c r="C237" s="14">
        <v>5.0</v>
      </c>
      <c r="D237" s="15" t="s">
        <v>934</v>
      </c>
      <c r="E237" s="16" t="s">
        <v>52</v>
      </c>
      <c r="F237" s="13" t="s">
        <v>541</v>
      </c>
      <c r="G237" s="13" t="s">
        <v>944</v>
      </c>
      <c r="H237" s="13" t="s">
        <v>940</v>
      </c>
      <c r="I237" s="13" t="s">
        <v>56</v>
      </c>
      <c r="J237" s="17" t="s">
        <v>67</v>
      </c>
      <c r="K237" s="17" t="s">
        <v>58</v>
      </c>
      <c r="L237" s="18" t="s">
        <v>52</v>
      </c>
      <c r="M237" s="19">
        <v>5.0</v>
      </c>
      <c r="N237" s="19">
        <v>20.0</v>
      </c>
    </row>
    <row r="238">
      <c r="A238" s="12">
        <v>236.0</v>
      </c>
      <c r="B238" s="13" t="s">
        <v>240</v>
      </c>
      <c r="C238" s="14">
        <v>6.0</v>
      </c>
      <c r="D238" s="15" t="s">
        <v>934</v>
      </c>
      <c r="E238" s="16" t="s">
        <v>52</v>
      </c>
      <c r="F238" s="13" t="s">
        <v>570</v>
      </c>
      <c r="G238" s="13" t="s">
        <v>817</v>
      </c>
      <c r="H238" s="13" t="s">
        <v>945</v>
      </c>
      <c r="I238" s="13" t="s">
        <v>56</v>
      </c>
      <c r="J238" s="17" t="s">
        <v>67</v>
      </c>
      <c r="K238" s="17" t="s">
        <v>58</v>
      </c>
      <c r="L238" s="18" t="s">
        <v>52</v>
      </c>
      <c r="M238" s="19">
        <v>5.0</v>
      </c>
      <c r="N238" s="19">
        <v>20.0</v>
      </c>
    </row>
    <row r="239">
      <c r="A239" s="12">
        <v>237.0</v>
      </c>
      <c r="B239" s="13" t="s">
        <v>240</v>
      </c>
      <c r="C239" s="14">
        <v>7.0</v>
      </c>
      <c r="D239" s="15" t="s">
        <v>934</v>
      </c>
      <c r="E239" s="16" t="s">
        <v>52</v>
      </c>
      <c r="F239" s="13" t="s">
        <v>320</v>
      </c>
      <c r="G239" s="13" t="s">
        <v>776</v>
      </c>
      <c r="H239" s="13" t="s">
        <v>946</v>
      </c>
      <c r="I239" s="13" t="s">
        <v>56</v>
      </c>
      <c r="J239" s="17" t="s">
        <v>67</v>
      </c>
      <c r="K239" s="17" t="s">
        <v>58</v>
      </c>
      <c r="L239" s="18" t="s">
        <v>52</v>
      </c>
      <c r="M239" s="19">
        <v>5.0</v>
      </c>
      <c r="N239" s="19">
        <v>20.0</v>
      </c>
    </row>
    <row r="240">
      <c r="A240" s="12">
        <v>238.0</v>
      </c>
      <c r="B240" s="13" t="s">
        <v>240</v>
      </c>
      <c r="C240" s="14">
        <v>8.0</v>
      </c>
      <c r="D240" s="15" t="s">
        <v>934</v>
      </c>
      <c r="E240" s="16" t="s">
        <v>52</v>
      </c>
      <c r="F240" s="13" t="s">
        <v>737</v>
      </c>
      <c r="G240" s="13" t="s">
        <v>849</v>
      </c>
      <c r="H240" s="13" t="s">
        <v>850</v>
      </c>
      <c r="I240" s="13" t="s">
        <v>56</v>
      </c>
      <c r="J240" s="17" t="s">
        <v>67</v>
      </c>
      <c r="K240" s="17" t="s">
        <v>58</v>
      </c>
      <c r="L240" s="18" t="s">
        <v>52</v>
      </c>
      <c r="M240" s="19">
        <v>5.0</v>
      </c>
      <c r="N240" s="19">
        <v>20.0</v>
      </c>
    </row>
    <row r="241">
      <c r="A241" s="12">
        <v>239.0</v>
      </c>
      <c r="B241" s="13" t="s">
        <v>240</v>
      </c>
      <c r="C241" s="14">
        <v>9.0</v>
      </c>
      <c r="D241" s="15" t="s">
        <v>934</v>
      </c>
      <c r="E241" s="16" t="s">
        <v>52</v>
      </c>
      <c r="F241" s="13" t="s">
        <v>947</v>
      </c>
      <c r="G241" s="13" t="s">
        <v>948</v>
      </c>
      <c r="H241" s="13" t="s">
        <v>949</v>
      </c>
      <c r="I241" s="13" t="s">
        <v>56</v>
      </c>
      <c r="J241" s="17" t="s">
        <v>67</v>
      </c>
      <c r="K241" s="17" t="s">
        <v>58</v>
      </c>
      <c r="L241" s="18" t="s">
        <v>52</v>
      </c>
      <c r="M241" s="19">
        <v>5.0</v>
      </c>
      <c r="N241" s="19">
        <v>20.0</v>
      </c>
    </row>
    <row r="242">
      <c r="A242" s="12">
        <v>240.0</v>
      </c>
      <c r="B242" s="13" t="s">
        <v>240</v>
      </c>
      <c r="C242" s="14">
        <v>10.0</v>
      </c>
      <c r="D242" s="15" t="s">
        <v>934</v>
      </c>
      <c r="E242" s="16" t="s">
        <v>52</v>
      </c>
      <c r="F242" s="13" t="s">
        <v>836</v>
      </c>
      <c r="G242" s="13" t="s">
        <v>950</v>
      </c>
      <c r="H242" s="13" t="s">
        <v>951</v>
      </c>
      <c r="I242" s="13" t="s">
        <v>56</v>
      </c>
      <c r="J242" s="17" t="s">
        <v>67</v>
      </c>
      <c r="K242" s="17" t="s">
        <v>58</v>
      </c>
      <c r="L242" s="18" t="s">
        <v>52</v>
      </c>
      <c r="M242" s="19">
        <v>5.0</v>
      </c>
      <c r="N242" s="19">
        <v>20.0</v>
      </c>
    </row>
    <row r="243">
      <c r="A243" s="12">
        <v>241.0</v>
      </c>
      <c r="B243" s="13" t="s">
        <v>240</v>
      </c>
      <c r="C243" s="14">
        <v>11.0</v>
      </c>
      <c r="D243" s="15" t="s">
        <v>934</v>
      </c>
      <c r="E243" s="16" t="s">
        <v>52</v>
      </c>
      <c r="F243" s="13" t="s">
        <v>561</v>
      </c>
      <c r="G243" s="13" t="s">
        <v>814</v>
      </c>
      <c r="H243" s="13" t="s">
        <v>952</v>
      </c>
      <c r="I243" s="13" t="s">
        <v>56</v>
      </c>
      <c r="J243" s="17" t="s">
        <v>67</v>
      </c>
      <c r="K243" s="17" t="s">
        <v>58</v>
      </c>
      <c r="L243" s="18" t="s">
        <v>52</v>
      </c>
      <c r="M243" s="19">
        <v>5.0</v>
      </c>
      <c r="N243" s="19">
        <v>20.0</v>
      </c>
    </row>
    <row r="244">
      <c r="A244" s="12">
        <v>242.0</v>
      </c>
      <c r="B244" s="13" t="s">
        <v>240</v>
      </c>
      <c r="C244" s="14">
        <v>12.0</v>
      </c>
      <c r="D244" s="15" t="s">
        <v>934</v>
      </c>
      <c r="E244" s="16" t="s">
        <v>52</v>
      </c>
      <c r="F244" s="13" t="s">
        <v>953</v>
      </c>
      <c r="G244" s="13" t="s">
        <v>954</v>
      </c>
      <c r="H244" s="13" t="s">
        <v>955</v>
      </c>
      <c r="I244" s="13" t="s">
        <v>56</v>
      </c>
      <c r="J244" s="17" t="s">
        <v>67</v>
      </c>
      <c r="K244" s="17" t="s">
        <v>58</v>
      </c>
      <c r="L244" s="18" t="s">
        <v>52</v>
      </c>
      <c r="M244" s="19">
        <v>5.0</v>
      </c>
      <c r="N244" s="19">
        <v>20.0</v>
      </c>
    </row>
    <row r="245">
      <c r="A245" s="12">
        <v>243.0</v>
      </c>
      <c r="B245" s="13" t="s">
        <v>240</v>
      </c>
      <c r="C245" s="14">
        <v>13.0</v>
      </c>
      <c r="D245" s="15" t="s">
        <v>934</v>
      </c>
      <c r="E245" s="16" t="s">
        <v>52</v>
      </c>
      <c r="F245" s="13" t="s">
        <v>632</v>
      </c>
      <c r="G245" s="13" t="s">
        <v>956</v>
      </c>
      <c r="H245" s="13" t="s">
        <v>957</v>
      </c>
      <c r="I245" s="13" t="s">
        <v>56</v>
      </c>
      <c r="J245" s="17" t="s">
        <v>67</v>
      </c>
      <c r="K245" s="17" t="s">
        <v>58</v>
      </c>
      <c r="L245" s="18" t="s">
        <v>52</v>
      </c>
      <c r="M245" s="19">
        <v>5.0</v>
      </c>
      <c r="N245" s="19">
        <v>20.0</v>
      </c>
    </row>
    <row r="246">
      <c r="A246" s="12">
        <v>244.0</v>
      </c>
      <c r="B246" s="13" t="s">
        <v>240</v>
      </c>
      <c r="C246" s="14">
        <v>14.0</v>
      </c>
      <c r="D246" s="15" t="s">
        <v>934</v>
      </c>
      <c r="E246" s="16" t="s">
        <v>52</v>
      </c>
      <c r="F246" s="13" t="s">
        <v>658</v>
      </c>
      <c r="G246" s="13" t="s">
        <v>958</v>
      </c>
      <c r="H246" s="13" t="s">
        <v>959</v>
      </c>
      <c r="I246" s="13" t="s">
        <v>56</v>
      </c>
      <c r="J246" s="17" t="s">
        <v>67</v>
      </c>
      <c r="K246" s="17" t="s">
        <v>58</v>
      </c>
      <c r="L246" s="18" t="s">
        <v>52</v>
      </c>
      <c r="M246" s="19">
        <v>5.0</v>
      </c>
      <c r="N246" s="19">
        <v>20.0</v>
      </c>
    </row>
    <row r="247">
      <c r="A247" s="12">
        <v>245.0</v>
      </c>
      <c r="B247" s="13" t="s">
        <v>240</v>
      </c>
      <c r="C247" s="14">
        <v>15.0</v>
      </c>
      <c r="D247" s="15" t="s">
        <v>934</v>
      </c>
      <c r="E247" s="16" t="s">
        <v>52</v>
      </c>
      <c r="F247" s="13" t="s">
        <v>283</v>
      </c>
      <c r="G247" s="13" t="s">
        <v>960</v>
      </c>
      <c r="H247" s="13" t="s">
        <v>961</v>
      </c>
      <c r="I247" s="13" t="s">
        <v>56</v>
      </c>
      <c r="J247" s="17" t="s">
        <v>67</v>
      </c>
      <c r="K247" s="17" t="s">
        <v>58</v>
      </c>
      <c r="L247" s="18" t="s">
        <v>52</v>
      </c>
      <c r="M247" s="19">
        <v>5.0</v>
      </c>
      <c r="N247" s="19">
        <v>20.0</v>
      </c>
    </row>
    <row r="248">
      <c r="A248" s="12">
        <v>246.0</v>
      </c>
      <c r="B248" s="13" t="s">
        <v>240</v>
      </c>
      <c r="C248" s="14">
        <v>16.0</v>
      </c>
      <c r="D248" s="15" t="s">
        <v>934</v>
      </c>
      <c r="E248" s="16" t="s">
        <v>52</v>
      </c>
      <c r="F248" s="13" t="s">
        <v>530</v>
      </c>
      <c r="G248" s="13" t="s">
        <v>804</v>
      </c>
      <c r="H248" s="13" t="s">
        <v>935</v>
      </c>
      <c r="I248" s="13" t="s">
        <v>56</v>
      </c>
      <c r="J248" s="17" t="s">
        <v>67</v>
      </c>
      <c r="K248" s="17" t="s">
        <v>58</v>
      </c>
      <c r="L248" s="18" t="s">
        <v>52</v>
      </c>
      <c r="M248" s="19">
        <v>5.0</v>
      </c>
      <c r="N248" s="19">
        <v>20.0</v>
      </c>
    </row>
    <row r="249">
      <c r="A249" s="12">
        <v>247.0</v>
      </c>
      <c r="B249" s="13" t="s">
        <v>240</v>
      </c>
      <c r="C249" s="14">
        <v>17.0</v>
      </c>
      <c r="D249" s="15" t="s">
        <v>936</v>
      </c>
      <c r="E249" s="16" t="s">
        <v>52</v>
      </c>
      <c r="F249" s="13" t="s">
        <v>962</v>
      </c>
      <c r="G249" s="13" t="s">
        <v>963</v>
      </c>
      <c r="H249" s="13" t="s">
        <v>964</v>
      </c>
      <c r="I249" s="13" t="s">
        <v>56</v>
      </c>
      <c r="J249" s="17" t="s">
        <v>67</v>
      </c>
      <c r="K249" s="17" t="s">
        <v>58</v>
      </c>
      <c r="L249" s="18" t="s">
        <v>52</v>
      </c>
      <c r="M249" s="19">
        <v>5.0</v>
      </c>
      <c r="N249" s="19">
        <v>20.0</v>
      </c>
    </row>
    <row r="250">
      <c r="A250" s="12">
        <v>248.0</v>
      </c>
      <c r="B250" s="13" t="s">
        <v>240</v>
      </c>
      <c r="C250" s="14">
        <v>18.0</v>
      </c>
      <c r="D250" s="15" t="s">
        <v>936</v>
      </c>
      <c r="E250" s="16" t="s">
        <v>52</v>
      </c>
      <c r="F250" s="13" t="s">
        <v>965</v>
      </c>
      <c r="G250" s="13" t="s">
        <v>966</v>
      </c>
      <c r="H250" s="13" t="s">
        <v>967</v>
      </c>
      <c r="I250" s="13" t="s">
        <v>56</v>
      </c>
      <c r="J250" s="17" t="s">
        <v>67</v>
      </c>
      <c r="K250" s="17" t="s">
        <v>58</v>
      </c>
      <c r="L250" s="18" t="s">
        <v>52</v>
      </c>
      <c r="M250" s="19">
        <v>5.0</v>
      </c>
      <c r="N250" s="19">
        <v>20.0</v>
      </c>
    </row>
    <row r="251">
      <c r="A251" s="12">
        <v>249.0</v>
      </c>
      <c r="B251" s="13" t="s">
        <v>240</v>
      </c>
      <c r="C251" s="14">
        <v>19.0</v>
      </c>
      <c r="D251" s="15" t="s">
        <v>934</v>
      </c>
      <c r="E251" s="16" t="s">
        <v>52</v>
      </c>
      <c r="F251" s="13" t="s">
        <v>705</v>
      </c>
      <c r="G251" s="13" t="s">
        <v>968</v>
      </c>
      <c r="H251" s="13" t="s">
        <v>969</v>
      </c>
      <c r="I251" s="13" t="s">
        <v>56</v>
      </c>
      <c r="J251" s="17" t="s">
        <v>71</v>
      </c>
      <c r="K251" s="17" t="s">
        <v>58</v>
      </c>
      <c r="L251" s="18" t="s">
        <v>52</v>
      </c>
      <c r="M251" s="19">
        <v>5.0</v>
      </c>
      <c r="N251" s="19">
        <v>30.0</v>
      </c>
    </row>
    <row r="252">
      <c r="A252" s="12">
        <v>250.0</v>
      </c>
      <c r="B252" s="13" t="s">
        <v>240</v>
      </c>
      <c r="C252" s="14">
        <v>20.0</v>
      </c>
      <c r="D252" s="15" t="s">
        <v>934</v>
      </c>
      <c r="E252" s="16" t="s">
        <v>52</v>
      </c>
      <c r="F252" s="13" t="s">
        <v>701</v>
      </c>
      <c r="G252" s="13" t="s">
        <v>970</v>
      </c>
      <c r="H252" s="13" t="s">
        <v>935</v>
      </c>
      <c r="I252" s="13" t="s">
        <v>56</v>
      </c>
      <c r="J252" s="17" t="s">
        <v>71</v>
      </c>
      <c r="K252" s="17" t="s">
        <v>58</v>
      </c>
      <c r="L252" s="18" t="s">
        <v>52</v>
      </c>
      <c r="M252" s="19">
        <v>5.0</v>
      </c>
      <c r="N252" s="19">
        <v>30.0</v>
      </c>
    </row>
    <row r="253">
      <c r="A253" s="12">
        <v>251.0</v>
      </c>
      <c r="B253" s="13" t="s">
        <v>240</v>
      </c>
      <c r="C253" s="14">
        <v>21.0</v>
      </c>
      <c r="D253" s="15" t="s">
        <v>934</v>
      </c>
      <c r="E253" s="16" t="s">
        <v>52</v>
      </c>
      <c r="F253" s="13" t="s">
        <v>222</v>
      </c>
      <c r="G253" s="13" t="s">
        <v>971</v>
      </c>
      <c r="H253" s="13" t="s">
        <v>972</v>
      </c>
      <c r="I253" s="13" t="s">
        <v>56</v>
      </c>
      <c r="J253" s="17" t="s">
        <v>71</v>
      </c>
      <c r="K253" s="17" t="s">
        <v>58</v>
      </c>
      <c r="L253" s="18" t="s">
        <v>52</v>
      </c>
      <c r="M253" s="19">
        <v>5.0</v>
      </c>
      <c r="N253" s="19">
        <v>30.0</v>
      </c>
    </row>
    <row r="254">
      <c r="A254" s="12">
        <v>252.0</v>
      </c>
      <c r="B254" s="13" t="s">
        <v>240</v>
      </c>
      <c r="C254" s="14">
        <v>22.0</v>
      </c>
      <c r="D254" s="15" t="s">
        <v>934</v>
      </c>
      <c r="E254" s="16" t="s">
        <v>52</v>
      </c>
      <c r="F254" s="13" t="s">
        <v>593</v>
      </c>
      <c r="G254" s="13" t="s">
        <v>971</v>
      </c>
      <c r="H254" s="13" t="s">
        <v>972</v>
      </c>
      <c r="I254" s="13" t="s">
        <v>56</v>
      </c>
      <c r="J254" s="17" t="s">
        <v>71</v>
      </c>
      <c r="K254" s="17" t="s">
        <v>58</v>
      </c>
      <c r="L254" s="18" t="s">
        <v>52</v>
      </c>
      <c r="M254" s="19">
        <v>5.0</v>
      </c>
      <c r="N254" s="19">
        <v>30.0</v>
      </c>
    </row>
    <row r="255">
      <c r="A255" s="12">
        <v>253.0</v>
      </c>
      <c r="B255" s="13" t="s">
        <v>240</v>
      </c>
      <c r="C255" s="14">
        <v>23.0</v>
      </c>
      <c r="D255" s="15" t="s">
        <v>934</v>
      </c>
      <c r="E255" s="16" t="s">
        <v>52</v>
      </c>
      <c r="F255" s="13" t="s">
        <v>495</v>
      </c>
      <c r="G255" s="13" t="s">
        <v>973</v>
      </c>
      <c r="H255" s="13" t="s">
        <v>974</v>
      </c>
      <c r="I255" s="13" t="s">
        <v>56</v>
      </c>
      <c r="J255" s="17" t="s">
        <v>71</v>
      </c>
      <c r="K255" s="17" t="s">
        <v>58</v>
      </c>
      <c r="L255" s="18" t="s">
        <v>52</v>
      </c>
      <c r="M255" s="19">
        <v>5.0</v>
      </c>
      <c r="N255" s="19">
        <v>30.0</v>
      </c>
    </row>
    <row r="256">
      <c r="A256" s="12">
        <v>254.0</v>
      </c>
      <c r="B256" s="13" t="s">
        <v>240</v>
      </c>
      <c r="C256" s="14">
        <v>24.0</v>
      </c>
      <c r="D256" s="15" t="s">
        <v>934</v>
      </c>
      <c r="E256" s="16" t="s">
        <v>52</v>
      </c>
      <c r="F256" s="13" t="s">
        <v>501</v>
      </c>
      <c r="G256" s="13" t="s">
        <v>975</v>
      </c>
      <c r="H256" s="13" t="s">
        <v>976</v>
      </c>
      <c r="I256" s="13" t="s">
        <v>56</v>
      </c>
      <c r="J256" s="17" t="s">
        <v>71</v>
      </c>
      <c r="K256" s="17" t="s">
        <v>58</v>
      </c>
      <c r="L256" s="18" t="s">
        <v>52</v>
      </c>
      <c r="M256" s="19">
        <v>5.0</v>
      </c>
      <c r="N256" s="19">
        <v>30.0</v>
      </c>
    </row>
    <row r="257">
      <c r="A257" s="12">
        <v>255.0</v>
      </c>
      <c r="B257" s="13" t="s">
        <v>240</v>
      </c>
      <c r="C257" s="14">
        <v>25.0</v>
      </c>
      <c r="D257" s="15" t="s">
        <v>936</v>
      </c>
      <c r="E257" s="16" t="s">
        <v>52</v>
      </c>
      <c r="F257" s="13" t="s">
        <v>278</v>
      </c>
      <c r="G257" s="13" t="s">
        <v>977</v>
      </c>
      <c r="H257" s="13" t="s">
        <v>978</v>
      </c>
      <c r="I257" s="13" t="s">
        <v>56</v>
      </c>
      <c r="J257" s="17" t="s">
        <v>71</v>
      </c>
      <c r="K257" s="17" t="s">
        <v>58</v>
      </c>
      <c r="L257" s="18" t="s">
        <v>52</v>
      </c>
      <c r="M257" s="19">
        <v>5.0</v>
      </c>
      <c r="N257" s="19">
        <v>30.0</v>
      </c>
    </row>
    <row r="258">
      <c r="A258" s="12">
        <v>256.0</v>
      </c>
      <c r="B258" s="13" t="s">
        <v>240</v>
      </c>
      <c r="C258" s="14">
        <v>26.0</v>
      </c>
      <c r="D258" s="15" t="s">
        <v>934</v>
      </c>
      <c r="E258" s="16" t="s">
        <v>52</v>
      </c>
      <c r="F258" s="13" t="s">
        <v>706</v>
      </c>
      <c r="G258" s="13" t="s">
        <v>807</v>
      </c>
      <c r="H258" s="13" t="s">
        <v>979</v>
      </c>
      <c r="I258" s="13" t="s">
        <v>63</v>
      </c>
      <c r="J258" s="17" t="s">
        <v>71</v>
      </c>
      <c r="K258" s="17" t="s">
        <v>58</v>
      </c>
      <c r="L258" s="18" t="s">
        <v>52</v>
      </c>
      <c r="M258" s="19">
        <v>5.0</v>
      </c>
      <c r="N258" s="19">
        <v>31.0</v>
      </c>
    </row>
    <row r="259">
      <c r="A259" s="12">
        <v>257.0</v>
      </c>
      <c r="B259" s="13" t="s">
        <v>240</v>
      </c>
      <c r="C259" s="14">
        <v>27.0</v>
      </c>
      <c r="D259" s="15" t="s">
        <v>934</v>
      </c>
      <c r="E259" s="16" t="s">
        <v>52</v>
      </c>
      <c r="F259" s="13" t="s">
        <v>980</v>
      </c>
      <c r="G259" s="13" t="s">
        <v>981</v>
      </c>
      <c r="H259" s="13" t="s">
        <v>982</v>
      </c>
      <c r="I259" s="13" t="s">
        <v>63</v>
      </c>
      <c r="J259" s="17" t="s">
        <v>71</v>
      </c>
      <c r="K259" s="17" t="s">
        <v>58</v>
      </c>
      <c r="L259" s="18" t="s">
        <v>52</v>
      </c>
      <c r="M259" s="19">
        <v>5.0</v>
      </c>
      <c r="N259" s="19">
        <v>31.0</v>
      </c>
    </row>
    <row r="260">
      <c r="A260" s="12">
        <v>258.0</v>
      </c>
      <c r="B260" s="13" t="s">
        <v>240</v>
      </c>
      <c r="C260" s="14">
        <v>28.0</v>
      </c>
      <c r="D260" s="15" t="s">
        <v>983</v>
      </c>
      <c r="E260" s="16" t="s">
        <v>52</v>
      </c>
      <c r="F260" s="13" t="s">
        <v>704</v>
      </c>
      <c r="G260" s="13" t="s">
        <v>984</v>
      </c>
      <c r="H260" s="13" t="s">
        <v>985</v>
      </c>
      <c r="I260" s="13" t="s">
        <v>63</v>
      </c>
      <c r="J260" s="17" t="s">
        <v>71</v>
      </c>
      <c r="K260" s="17" t="s">
        <v>58</v>
      </c>
      <c r="L260" s="18" t="s">
        <v>52</v>
      </c>
      <c r="M260" s="19">
        <v>5.0</v>
      </c>
      <c r="N260" s="19">
        <v>31.0</v>
      </c>
    </row>
    <row r="261">
      <c r="A261" s="12">
        <v>259.0</v>
      </c>
      <c r="B261" s="13" t="s">
        <v>240</v>
      </c>
      <c r="C261" s="14">
        <v>29.0</v>
      </c>
      <c r="D261" s="15" t="s">
        <v>983</v>
      </c>
      <c r="E261" s="16" t="s">
        <v>52</v>
      </c>
      <c r="F261" s="13" t="s">
        <v>367</v>
      </c>
      <c r="G261" s="13" t="s">
        <v>986</v>
      </c>
      <c r="H261" s="13" t="s">
        <v>987</v>
      </c>
      <c r="I261" s="13" t="s">
        <v>63</v>
      </c>
      <c r="J261" s="17" t="s">
        <v>71</v>
      </c>
      <c r="K261" s="17" t="s">
        <v>58</v>
      </c>
      <c r="L261" s="18" t="s">
        <v>52</v>
      </c>
      <c r="M261" s="19">
        <v>5.0</v>
      </c>
      <c r="N261" s="19">
        <v>31.0</v>
      </c>
    </row>
    <row r="262">
      <c r="A262" s="12">
        <v>260.0</v>
      </c>
      <c r="B262" s="13" t="s">
        <v>240</v>
      </c>
      <c r="C262" s="14">
        <v>30.0</v>
      </c>
      <c r="D262" s="15" t="s">
        <v>936</v>
      </c>
      <c r="E262" s="16" t="s">
        <v>52</v>
      </c>
      <c r="F262" s="13" t="s">
        <v>725</v>
      </c>
      <c r="G262" s="13" t="s">
        <v>988</v>
      </c>
      <c r="H262" s="13" t="s">
        <v>989</v>
      </c>
      <c r="I262" s="13" t="s">
        <v>63</v>
      </c>
      <c r="J262" s="17" t="s">
        <v>71</v>
      </c>
      <c r="K262" s="17" t="s">
        <v>58</v>
      </c>
      <c r="L262" s="18" t="s">
        <v>52</v>
      </c>
      <c r="M262" s="19">
        <v>5.0</v>
      </c>
      <c r="N262" s="19">
        <v>31.0</v>
      </c>
    </row>
    <row r="263">
      <c r="A263" s="12">
        <v>261.0</v>
      </c>
      <c r="B263" s="13" t="s">
        <v>593</v>
      </c>
      <c r="C263" s="14">
        <v>1.0</v>
      </c>
      <c r="D263" s="15" t="s">
        <v>990</v>
      </c>
      <c r="E263" s="16" t="s">
        <v>52</v>
      </c>
      <c r="F263" s="13" t="s">
        <v>296</v>
      </c>
      <c r="G263" s="13" t="s">
        <v>61</v>
      </c>
      <c r="H263" s="13" t="s">
        <v>991</v>
      </c>
      <c r="I263" s="13" t="s">
        <v>63</v>
      </c>
      <c r="J263" s="17" t="s">
        <v>57</v>
      </c>
      <c r="K263" s="17" t="s">
        <v>58</v>
      </c>
      <c r="L263" s="18" t="s">
        <v>52</v>
      </c>
      <c r="M263" s="19">
        <v>6.0</v>
      </c>
      <c r="N263" s="19">
        <v>11.0</v>
      </c>
    </row>
    <row r="264">
      <c r="A264" s="12">
        <v>262.0</v>
      </c>
      <c r="B264" s="13" t="s">
        <v>593</v>
      </c>
      <c r="C264" s="14">
        <v>2.0</v>
      </c>
      <c r="D264" s="15" t="s">
        <v>990</v>
      </c>
      <c r="E264" s="16" t="s">
        <v>52</v>
      </c>
      <c r="F264" s="13" t="s">
        <v>247</v>
      </c>
      <c r="G264" s="13" t="s">
        <v>905</v>
      </c>
      <c r="H264" s="13" t="s">
        <v>906</v>
      </c>
      <c r="I264" s="13" t="s">
        <v>63</v>
      </c>
      <c r="J264" s="17" t="s">
        <v>57</v>
      </c>
      <c r="K264" s="17" t="s">
        <v>58</v>
      </c>
      <c r="L264" s="18" t="s">
        <v>749</v>
      </c>
      <c r="M264" s="19">
        <v>6.0</v>
      </c>
      <c r="N264" s="19">
        <v>11.0</v>
      </c>
    </row>
    <row r="265">
      <c r="A265" s="12">
        <v>263.0</v>
      </c>
      <c r="B265" s="13" t="s">
        <v>593</v>
      </c>
      <c r="C265" s="14">
        <v>3.0</v>
      </c>
      <c r="D265" s="15" t="s">
        <v>994</v>
      </c>
      <c r="E265" s="16" t="s">
        <v>52</v>
      </c>
      <c r="F265" s="13" t="s">
        <v>308</v>
      </c>
      <c r="G265" s="13" t="s">
        <v>995</v>
      </c>
      <c r="H265" s="13" t="s">
        <v>996</v>
      </c>
      <c r="I265" s="13" t="s">
        <v>63</v>
      </c>
      <c r="J265" s="17" t="s">
        <v>67</v>
      </c>
      <c r="K265" s="17" t="s">
        <v>58</v>
      </c>
      <c r="L265" s="18" t="s">
        <v>52</v>
      </c>
      <c r="M265" s="19">
        <v>6.0</v>
      </c>
      <c r="N265" s="19">
        <v>21.0</v>
      </c>
    </row>
    <row r="266">
      <c r="A266" s="12">
        <v>264.0</v>
      </c>
      <c r="B266" s="13" t="s">
        <v>593</v>
      </c>
      <c r="C266" s="14">
        <v>4.0</v>
      </c>
      <c r="D266" s="15" t="s">
        <v>994</v>
      </c>
      <c r="E266" s="16" t="s">
        <v>52</v>
      </c>
      <c r="F266" s="13" t="s">
        <v>586</v>
      </c>
      <c r="G266" s="13" t="s">
        <v>998</v>
      </c>
      <c r="H266" s="13" t="s">
        <v>999</v>
      </c>
      <c r="I266" s="13" t="s">
        <v>63</v>
      </c>
      <c r="J266" s="17" t="s">
        <v>67</v>
      </c>
      <c r="K266" s="17" t="s">
        <v>58</v>
      </c>
      <c r="L266" s="18" t="s">
        <v>52</v>
      </c>
      <c r="M266" s="19">
        <v>6.0</v>
      </c>
      <c r="N266" s="19">
        <v>21.0</v>
      </c>
    </row>
    <row r="267">
      <c r="A267" s="12">
        <v>265.0</v>
      </c>
      <c r="B267" s="13" t="s">
        <v>593</v>
      </c>
      <c r="C267" s="14">
        <v>5.0</v>
      </c>
      <c r="D267" s="15" t="s">
        <v>990</v>
      </c>
      <c r="E267" s="16" t="s">
        <v>52</v>
      </c>
      <c r="F267" s="13" t="s">
        <v>257</v>
      </c>
      <c r="G267" s="13" t="s">
        <v>61</v>
      </c>
      <c r="H267" s="13" t="s">
        <v>1001</v>
      </c>
      <c r="I267" s="13" t="s">
        <v>63</v>
      </c>
      <c r="J267" s="17" t="s">
        <v>67</v>
      </c>
      <c r="K267" s="17" t="s">
        <v>58</v>
      </c>
      <c r="L267" s="18" t="s">
        <v>52</v>
      </c>
      <c r="M267" s="19">
        <v>6.0</v>
      </c>
      <c r="N267" s="19">
        <v>21.0</v>
      </c>
    </row>
    <row r="268">
      <c r="A268" s="12">
        <v>266.0</v>
      </c>
      <c r="B268" s="13" t="s">
        <v>593</v>
      </c>
      <c r="C268" s="14">
        <v>6.0</v>
      </c>
      <c r="D268" s="15" t="s">
        <v>994</v>
      </c>
      <c r="E268" s="16" t="s">
        <v>52</v>
      </c>
      <c r="F268" s="13" t="s">
        <v>716</v>
      </c>
      <c r="G268" s="13" t="s">
        <v>1003</v>
      </c>
      <c r="H268" s="13" t="s">
        <v>1004</v>
      </c>
      <c r="I268" s="13" t="s">
        <v>63</v>
      </c>
      <c r="J268" s="17" t="s">
        <v>71</v>
      </c>
      <c r="K268" s="17" t="s">
        <v>58</v>
      </c>
      <c r="L268" s="18" t="s">
        <v>52</v>
      </c>
      <c r="M268" s="19">
        <v>6.0</v>
      </c>
      <c r="N268" s="19">
        <v>31.0</v>
      </c>
    </row>
    <row r="269">
      <c r="A269" s="12">
        <v>267.0</v>
      </c>
      <c r="B269" s="13" t="s">
        <v>593</v>
      </c>
      <c r="C269" s="14">
        <v>7.0</v>
      </c>
      <c r="D269" s="15" t="s">
        <v>994</v>
      </c>
      <c r="E269" s="16" t="s">
        <v>52</v>
      </c>
      <c r="F269" s="13" t="s">
        <v>544</v>
      </c>
      <c r="G269" s="13" t="s">
        <v>61</v>
      </c>
      <c r="H269" s="13" t="s">
        <v>1006</v>
      </c>
      <c r="I269" s="13" t="s">
        <v>63</v>
      </c>
      <c r="J269" s="17" t="s">
        <v>71</v>
      </c>
      <c r="K269" s="17" t="s">
        <v>58</v>
      </c>
      <c r="L269" s="18" t="s">
        <v>52</v>
      </c>
      <c r="M269" s="19">
        <v>6.0</v>
      </c>
      <c r="N269" s="19">
        <v>31.0</v>
      </c>
    </row>
    <row r="270">
      <c r="A270" s="12">
        <v>268.0</v>
      </c>
      <c r="B270" s="13" t="s">
        <v>593</v>
      </c>
      <c r="C270" s="14">
        <v>8.0</v>
      </c>
      <c r="D270" s="15" t="s">
        <v>994</v>
      </c>
      <c r="E270" s="16" t="s">
        <v>52</v>
      </c>
      <c r="F270" s="13" t="s">
        <v>334</v>
      </c>
      <c r="G270" s="13" t="s">
        <v>61</v>
      </c>
      <c r="H270" s="13" t="s">
        <v>1007</v>
      </c>
      <c r="I270" s="13" t="s">
        <v>63</v>
      </c>
      <c r="J270" s="17" t="s">
        <v>71</v>
      </c>
      <c r="K270" s="17" t="s">
        <v>58</v>
      </c>
      <c r="L270" s="18" t="s">
        <v>52</v>
      </c>
      <c r="M270" s="19">
        <v>6.0</v>
      </c>
      <c r="N270" s="19">
        <v>31.0</v>
      </c>
    </row>
    <row r="271">
      <c r="A271" s="12">
        <v>269.0</v>
      </c>
      <c r="B271" s="13" t="s">
        <v>593</v>
      </c>
      <c r="C271" s="14">
        <v>9.0</v>
      </c>
      <c r="D271" s="15" t="s">
        <v>994</v>
      </c>
      <c r="E271" s="16" t="s">
        <v>52</v>
      </c>
      <c r="F271" s="13" t="s">
        <v>836</v>
      </c>
      <c r="G271" s="13" t="s">
        <v>1009</v>
      </c>
      <c r="H271" s="13" t="s">
        <v>1010</v>
      </c>
      <c r="I271" s="13" t="s">
        <v>63</v>
      </c>
      <c r="J271" s="17" t="s">
        <v>71</v>
      </c>
      <c r="K271" s="17" t="s">
        <v>58</v>
      </c>
      <c r="L271" s="18" t="s">
        <v>52</v>
      </c>
      <c r="M271" s="19">
        <v>6.0</v>
      </c>
      <c r="N271" s="19">
        <v>31.0</v>
      </c>
    </row>
    <row r="272">
      <c r="A272" s="12">
        <v>270.0</v>
      </c>
      <c r="B272" s="13" t="s">
        <v>593</v>
      </c>
      <c r="C272" s="14">
        <v>10.0</v>
      </c>
      <c r="D272" s="15" t="s">
        <v>994</v>
      </c>
      <c r="E272" s="16" t="s">
        <v>52</v>
      </c>
      <c r="F272" s="13" t="s">
        <v>1012</v>
      </c>
      <c r="G272" s="13" t="s">
        <v>1013</v>
      </c>
      <c r="H272" s="13" t="s">
        <v>1014</v>
      </c>
      <c r="I272" s="13" t="s">
        <v>63</v>
      </c>
      <c r="J272" s="17" t="s">
        <v>71</v>
      </c>
      <c r="K272" s="17" t="s">
        <v>58</v>
      </c>
      <c r="L272" s="18" t="s">
        <v>52</v>
      </c>
      <c r="M272" s="19">
        <v>6.0</v>
      </c>
      <c r="N272" s="19">
        <v>31.0</v>
      </c>
    </row>
    <row r="273">
      <c r="A273" s="12">
        <v>271.0</v>
      </c>
      <c r="B273" s="13" t="s">
        <v>593</v>
      </c>
      <c r="C273" s="14">
        <v>11.0</v>
      </c>
      <c r="D273" s="15" t="s">
        <v>994</v>
      </c>
      <c r="E273" s="16" t="s">
        <v>52</v>
      </c>
      <c r="F273" s="13" t="s">
        <v>888</v>
      </c>
      <c r="G273" s="13" t="s">
        <v>1016</v>
      </c>
      <c r="H273" s="13" t="s">
        <v>1017</v>
      </c>
      <c r="I273" s="13" t="s">
        <v>63</v>
      </c>
      <c r="J273" s="17" t="s">
        <v>71</v>
      </c>
      <c r="K273" s="17" t="s">
        <v>58</v>
      </c>
      <c r="L273" s="18" t="s">
        <v>52</v>
      </c>
      <c r="M273" s="19">
        <v>6.0</v>
      </c>
      <c r="N273" s="19">
        <v>31.0</v>
      </c>
    </row>
    <row r="274">
      <c r="A274" s="12">
        <v>272.0</v>
      </c>
      <c r="B274" s="13" t="s">
        <v>593</v>
      </c>
      <c r="C274" s="14">
        <v>12.0</v>
      </c>
      <c r="D274" s="15" t="s">
        <v>994</v>
      </c>
      <c r="E274" s="16" t="s">
        <v>52</v>
      </c>
      <c r="F274" s="13" t="s">
        <v>1018</v>
      </c>
      <c r="G274" s="13" t="s">
        <v>1019</v>
      </c>
      <c r="H274" s="13" t="s">
        <v>1020</v>
      </c>
      <c r="I274" s="13" t="s">
        <v>63</v>
      </c>
      <c r="J274" s="17" t="s">
        <v>71</v>
      </c>
      <c r="K274" s="17" t="s">
        <v>58</v>
      </c>
      <c r="L274" s="18" t="s">
        <v>52</v>
      </c>
      <c r="M274" s="19">
        <v>6.0</v>
      </c>
      <c r="N274" s="19">
        <v>31.0</v>
      </c>
    </row>
    <row r="275">
      <c r="A275" s="12">
        <v>273.0</v>
      </c>
      <c r="B275" s="13" t="s">
        <v>593</v>
      </c>
      <c r="C275" s="14">
        <v>13.0</v>
      </c>
      <c r="D275" s="15" t="s">
        <v>990</v>
      </c>
      <c r="E275" s="16" t="s">
        <v>52</v>
      </c>
      <c r="F275" s="13" t="s">
        <v>701</v>
      </c>
      <c r="G275" s="13" t="s">
        <v>1022</v>
      </c>
      <c r="H275" s="13" t="s">
        <v>1023</v>
      </c>
      <c r="I275" s="13" t="s">
        <v>63</v>
      </c>
      <c r="J275" s="17" t="s">
        <v>71</v>
      </c>
      <c r="K275" s="17" t="s">
        <v>58</v>
      </c>
      <c r="L275" s="18" t="s">
        <v>52</v>
      </c>
      <c r="M275" s="19">
        <v>6.0</v>
      </c>
      <c r="N275" s="19">
        <v>31.0</v>
      </c>
    </row>
    <row r="276">
      <c r="A276" s="12">
        <v>274.0</v>
      </c>
      <c r="B276" s="13" t="s">
        <v>593</v>
      </c>
      <c r="C276" s="14">
        <v>14.0</v>
      </c>
      <c r="D276" s="15" t="s">
        <v>990</v>
      </c>
      <c r="E276" s="16" t="s">
        <v>52</v>
      </c>
      <c r="F276" s="13" t="s">
        <v>274</v>
      </c>
      <c r="G276" s="13" t="s">
        <v>61</v>
      </c>
      <c r="H276" s="13" t="s">
        <v>275</v>
      </c>
      <c r="I276" s="13" t="s">
        <v>63</v>
      </c>
      <c r="J276" s="17" t="s">
        <v>71</v>
      </c>
      <c r="K276" s="17" t="s">
        <v>58</v>
      </c>
      <c r="L276" s="18" t="s">
        <v>52</v>
      </c>
      <c r="M276" s="19">
        <v>6.0</v>
      </c>
      <c r="N276" s="19">
        <v>31.0</v>
      </c>
    </row>
    <row r="277">
      <c r="A277" s="12">
        <v>275.0</v>
      </c>
      <c r="B277" s="13" t="s">
        <v>593</v>
      </c>
      <c r="C277" s="14">
        <v>15.0</v>
      </c>
      <c r="D277" s="15" t="s">
        <v>990</v>
      </c>
      <c r="E277" s="16" t="s">
        <v>52</v>
      </c>
      <c r="F277" s="13" t="s">
        <v>222</v>
      </c>
      <c r="G277" s="13" t="s">
        <v>1026</v>
      </c>
      <c r="H277" s="13" t="s">
        <v>1027</v>
      </c>
      <c r="I277" s="13" t="s">
        <v>63</v>
      </c>
      <c r="J277" s="17" t="s">
        <v>71</v>
      </c>
      <c r="K277" s="17" t="s">
        <v>58</v>
      </c>
      <c r="L277" s="18" t="s">
        <v>52</v>
      </c>
      <c r="M277" s="19">
        <v>6.0</v>
      </c>
      <c r="N277" s="19">
        <v>31.0</v>
      </c>
    </row>
    <row r="278">
      <c r="A278" s="12">
        <v>276.0</v>
      </c>
      <c r="B278" s="13" t="s">
        <v>593</v>
      </c>
      <c r="C278" s="14">
        <v>16.0</v>
      </c>
      <c r="D278" s="15" t="s">
        <v>990</v>
      </c>
      <c r="E278" s="16" t="s">
        <v>52</v>
      </c>
      <c r="F278" s="13" t="s">
        <v>733</v>
      </c>
      <c r="G278" s="13" t="s">
        <v>1028</v>
      </c>
      <c r="H278" s="13" t="s">
        <v>1029</v>
      </c>
      <c r="I278" s="13" t="s">
        <v>63</v>
      </c>
      <c r="J278" s="17" t="s">
        <v>71</v>
      </c>
      <c r="K278" s="17" t="s">
        <v>58</v>
      </c>
      <c r="L278" s="18" t="s">
        <v>52</v>
      </c>
      <c r="M278" s="19">
        <v>6.0</v>
      </c>
      <c r="N278" s="19">
        <v>31.0</v>
      </c>
    </row>
    <row r="279">
      <c r="A279" s="12">
        <v>277.0</v>
      </c>
      <c r="B279" s="13" t="s">
        <v>593</v>
      </c>
      <c r="C279" s="14">
        <v>17.0</v>
      </c>
      <c r="D279" s="15" t="s">
        <v>990</v>
      </c>
      <c r="E279" s="16" t="s">
        <v>52</v>
      </c>
      <c r="F279" s="13" t="s">
        <v>265</v>
      </c>
      <c r="G279" s="13" t="s">
        <v>266</v>
      </c>
      <c r="H279" s="13" t="s">
        <v>1030</v>
      </c>
      <c r="I279" s="13" t="s">
        <v>63</v>
      </c>
      <c r="J279" s="17" t="s">
        <v>71</v>
      </c>
      <c r="K279" s="17" t="s">
        <v>58</v>
      </c>
      <c r="L279" s="18" t="s">
        <v>52</v>
      </c>
      <c r="M279" s="19">
        <v>6.0</v>
      </c>
      <c r="N279" s="19">
        <v>31.0</v>
      </c>
    </row>
    <row r="280">
      <c r="A280" s="12">
        <v>278.0</v>
      </c>
      <c r="B280" s="13" t="s">
        <v>593</v>
      </c>
      <c r="C280" s="14">
        <v>18.0</v>
      </c>
      <c r="D280" s="15" t="s">
        <v>1031</v>
      </c>
      <c r="E280" s="16" t="s">
        <v>52</v>
      </c>
      <c r="F280" s="13" t="s">
        <v>1032</v>
      </c>
      <c r="G280" s="13" t="s">
        <v>1033</v>
      </c>
      <c r="H280" s="13" t="s">
        <v>1034</v>
      </c>
      <c r="I280" s="13" t="s">
        <v>63</v>
      </c>
      <c r="J280" s="17" t="s">
        <v>71</v>
      </c>
      <c r="K280" s="17" t="s">
        <v>58</v>
      </c>
      <c r="L280" s="18" t="s">
        <v>52</v>
      </c>
      <c r="M280" s="19">
        <v>6.0</v>
      </c>
      <c r="N280" s="19">
        <v>31.0</v>
      </c>
    </row>
    <row r="281">
      <c r="A281" s="12">
        <v>279.0</v>
      </c>
      <c r="B281" s="13" t="s">
        <v>593</v>
      </c>
      <c r="C281" s="14">
        <v>19.0</v>
      </c>
      <c r="D281" s="15" t="s">
        <v>1031</v>
      </c>
      <c r="E281" s="16" t="s">
        <v>52</v>
      </c>
      <c r="F281" s="13" t="s">
        <v>278</v>
      </c>
      <c r="G281" s="13" t="s">
        <v>1035</v>
      </c>
      <c r="H281" s="13" t="s">
        <v>1036</v>
      </c>
      <c r="I281" s="13" t="s">
        <v>63</v>
      </c>
      <c r="J281" s="17" t="s">
        <v>71</v>
      </c>
      <c r="K281" s="17" t="s">
        <v>58</v>
      </c>
      <c r="L281" s="18" t="s">
        <v>52</v>
      </c>
      <c r="M281" s="19">
        <v>6.0</v>
      </c>
      <c r="N281" s="19">
        <v>31.0</v>
      </c>
    </row>
    <row r="282">
      <c r="A282" s="12">
        <v>280.0</v>
      </c>
      <c r="B282" s="13" t="s">
        <v>593</v>
      </c>
      <c r="C282" s="14">
        <v>20.0</v>
      </c>
      <c r="D282" s="15" t="s">
        <v>1031</v>
      </c>
      <c r="E282" s="16" t="s">
        <v>52</v>
      </c>
      <c r="F282" s="13" t="s">
        <v>475</v>
      </c>
      <c r="G282" s="13" t="s">
        <v>61</v>
      </c>
      <c r="H282" s="13" t="s">
        <v>1037</v>
      </c>
      <c r="I282" s="13" t="s">
        <v>63</v>
      </c>
      <c r="J282" s="17" t="s">
        <v>71</v>
      </c>
      <c r="K282" s="17" t="s">
        <v>58</v>
      </c>
      <c r="L282" s="18" t="s">
        <v>52</v>
      </c>
      <c r="M282" s="19">
        <v>6.0</v>
      </c>
      <c r="N282" s="19">
        <v>31.0</v>
      </c>
    </row>
    <row r="283">
      <c r="A283" s="12">
        <v>281.0</v>
      </c>
      <c r="B283" s="13" t="s">
        <v>593</v>
      </c>
      <c r="C283" s="14">
        <v>21.0</v>
      </c>
      <c r="D283" s="15" t="s">
        <v>1031</v>
      </c>
      <c r="E283" s="16" t="s">
        <v>52</v>
      </c>
      <c r="F283" s="13" t="s">
        <v>302</v>
      </c>
      <c r="G283" s="13" t="s">
        <v>61</v>
      </c>
      <c r="H283" s="13" t="s">
        <v>303</v>
      </c>
      <c r="I283" s="13" t="s">
        <v>63</v>
      </c>
      <c r="J283" s="17" t="s">
        <v>71</v>
      </c>
      <c r="K283" s="17" t="s">
        <v>58</v>
      </c>
      <c r="L283" s="18" t="s">
        <v>52</v>
      </c>
      <c r="M283" s="19">
        <v>6.0</v>
      </c>
      <c r="N283" s="19">
        <v>31.0</v>
      </c>
    </row>
    <row r="284">
      <c r="A284" s="12">
        <v>282.0</v>
      </c>
      <c r="B284" s="13" t="s">
        <v>593</v>
      </c>
      <c r="C284" s="14">
        <v>22.0</v>
      </c>
      <c r="D284" s="15" t="s">
        <v>1031</v>
      </c>
      <c r="E284" s="16" t="s">
        <v>52</v>
      </c>
      <c r="F284" s="13" t="s">
        <v>734</v>
      </c>
      <c r="G284" s="13" t="s">
        <v>61</v>
      </c>
      <c r="H284" s="13" t="s">
        <v>1038</v>
      </c>
      <c r="I284" s="13" t="s">
        <v>63</v>
      </c>
      <c r="J284" s="17" t="s">
        <v>71</v>
      </c>
      <c r="K284" s="17" t="s">
        <v>58</v>
      </c>
      <c r="L284" s="18" t="s">
        <v>524</v>
      </c>
      <c r="M284" s="19">
        <v>6.0</v>
      </c>
      <c r="N284" s="19">
        <v>31.0</v>
      </c>
    </row>
    <row r="285">
      <c r="A285" s="12">
        <v>283.0</v>
      </c>
      <c r="B285" s="13" t="s">
        <v>593</v>
      </c>
      <c r="C285" s="14">
        <v>23.0</v>
      </c>
      <c r="D285" s="15" t="s">
        <v>1031</v>
      </c>
      <c r="E285" s="16" t="s">
        <v>52</v>
      </c>
      <c r="F285" s="13" t="s">
        <v>746</v>
      </c>
      <c r="G285" s="13" t="s">
        <v>1039</v>
      </c>
      <c r="H285" s="13" t="s">
        <v>1040</v>
      </c>
      <c r="I285" s="13" t="s">
        <v>63</v>
      </c>
      <c r="J285" s="17" t="s">
        <v>71</v>
      </c>
      <c r="K285" s="17" t="s">
        <v>58</v>
      </c>
      <c r="L285" s="18" t="s">
        <v>524</v>
      </c>
      <c r="M285" s="19">
        <v>6.0</v>
      </c>
      <c r="N285" s="19">
        <v>31.0</v>
      </c>
    </row>
    <row r="286">
      <c r="A286" s="12">
        <v>284.0</v>
      </c>
      <c r="B286" s="13" t="s">
        <v>593</v>
      </c>
      <c r="C286" s="14">
        <v>24.0</v>
      </c>
      <c r="D286" s="15" t="s">
        <v>1031</v>
      </c>
      <c r="E286" s="16" t="s">
        <v>52</v>
      </c>
      <c r="F286" s="13" t="s">
        <v>489</v>
      </c>
      <c r="G286" s="13" t="s">
        <v>1041</v>
      </c>
      <c r="H286" s="13" t="s">
        <v>1042</v>
      </c>
      <c r="I286" s="13" t="s">
        <v>63</v>
      </c>
      <c r="J286" s="17" t="s">
        <v>71</v>
      </c>
      <c r="K286" s="17" t="s">
        <v>58</v>
      </c>
      <c r="L286" s="18" t="s">
        <v>52</v>
      </c>
      <c r="M286" s="19">
        <v>6.0</v>
      </c>
      <c r="N286" s="19">
        <v>31.0</v>
      </c>
    </row>
    <row r="287">
      <c r="A287" s="12">
        <v>285.0</v>
      </c>
      <c r="B287" s="13" t="s">
        <v>593</v>
      </c>
      <c r="C287" s="14">
        <v>25.0</v>
      </c>
      <c r="D287" s="15" t="s">
        <v>1031</v>
      </c>
      <c r="E287" s="16" t="s">
        <v>52</v>
      </c>
      <c r="F287" s="13" t="s">
        <v>557</v>
      </c>
      <c r="G287" s="13" t="s">
        <v>1043</v>
      </c>
      <c r="H287" s="13" t="s">
        <v>1040</v>
      </c>
      <c r="I287" s="13" t="s">
        <v>63</v>
      </c>
      <c r="J287" s="17" t="s">
        <v>71</v>
      </c>
      <c r="K287" s="17" t="s">
        <v>58</v>
      </c>
      <c r="L287" s="18" t="s">
        <v>524</v>
      </c>
      <c r="M287" s="19">
        <v>6.0</v>
      </c>
      <c r="N287" s="19">
        <v>31.0</v>
      </c>
    </row>
    <row r="288">
      <c r="A288" s="12">
        <v>286.0</v>
      </c>
      <c r="B288" s="13" t="s">
        <v>593</v>
      </c>
      <c r="C288" s="14">
        <v>26.0</v>
      </c>
      <c r="D288" s="15" t="s">
        <v>1031</v>
      </c>
      <c r="E288" s="16" t="s">
        <v>52</v>
      </c>
      <c r="F288" s="13" t="s">
        <v>506</v>
      </c>
      <c r="G288" s="13" t="s">
        <v>61</v>
      </c>
      <c r="H288" s="13" t="s">
        <v>1044</v>
      </c>
      <c r="I288" s="13" t="s">
        <v>63</v>
      </c>
      <c r="J288" s="17" t="s">
        <v>71</v>
      </c>
      <c r="K288" s="17" t="s">
        <v>58</v>
      </c>
      <c r="L288" s="18" t="s">
        <v>52</v>
      </c>
      <c r="M288" s="19">
        <v>6.0</v>
      </c>
      <c r="N288" s="19">
        <v>31.0</v>
      </c>
    </row>
    <row r="289">
      <c r="A289" s="12">
        <v>287.0</v>
      </c>
      <c r="B289" s="13" t="s">
        <v>593</v>
      </c>
      <c r="C289" s="14">
        <v>27.0</v>
      </c>
      <c r="D289" s="15" t="s">
        <v>1031</v>
      </c>
      <c r="E289" s="16" t="s">
        <v>52</v>
      </c>
      <c r="F289" s="13" t="s">
        <v>391</v>
      </c>
      <c r="G289" s="13" t="s">
        <v>392</v>
      </c>
      <c r="H289" s="13" t="s">
        <v>1045</v>
      </c>
      <c r="I289" s="13" t="s">
        <v>63</v>
      </c>
      <c r="J289" s="17" t="s">
        <v>71</v>
      </c>
      <c r="K289" s="17" t="s">
        <v>58</v>
      </c>
      <c r="L289" s="18" t="s">
        <v>52</v>
      </c>
      <c r="M289" s="19">
        <v>6.0</v>
      </c>
      <c r="N289" s="19">
        <v>31.0</v>
      </c>
    </row>
    <row r="290">
      <c r="A290" s="12">
        <v>288.0</v>
      </c>
      <c r="B290" s="13" t="s">
        <v>593</v>
      </c>
      <c r="C290" s="14">
        <v>28.0</v>
      </c>
      <c r="D290" s="15" t="s">
        <v>1031</v>
      </c>
      <c r="E290" s="16" t="s">
        <v>52</v>
      </c>
      <c r="F290" s="13" t="s">
        <v>289</v>
      </c>
      <c r="G290" s="13" t="s">
        <v>1046</v>
      </c>
      <c r="H290" s="13" t="s">
        <v>1047</v>
      </c>
      <c r="I290" s="13" t="s">
        <v>63</v>
      </c>
      <c r="J290" s="17" t="s">
        <v>71</v>
      </c>
      <c r="K290" s="17" t="s">
        <v>58</v>
      </c>
      <c r="L290" s="18" t="s">
        <v>52</v>
      </c>
      <c r="M290" s="19">
        <v>6.0</v>
      </c>
      <c r="N290" s="19">
        <v>31.0</v>
      </c>
    </row>
    <row r="291">
      <c r="A291" s="12">
        <v>289.0</v>
      </c>
      <c r="B291" s="13" t="s">
        <v>593</v>
      </c>
      <c r="C291" s="14">
        <v>29.0</v>
      </c>
      <c r="D291" s="15" t="s">
        <v>1031</v>
      </c>
      <c r="E291" s="16" t="s">
        <v>52</v>
      </c>
      <c r="F291" s="13" t="s">
        <v>1048</v>
      </c>
      <c r="G291" s="13" t="s">
        <v>1049</v>
      </c>
      <c r="H291" s="13" t="s">
        <v>1050</v>
      </c>
      <c r="I291" s="13" t="s">
        <v>63</v>
      </c>
      <c r="J291" s="17" t="s">
        <v>71</v>
      </c>
      <c r="K291" s="17" t="s">
        <v>58</v>
      </c>
      <c r="L291" s="18" t="s">
        <v>52</v>
      </c>
      <c r="M291" s="19">
        <v>6.0</v>
      </c>
      <c r="N291" s="19">
        <v>31.0</v>
      </c>
    </row>
    <row r="292">
      <c r="A292" s="12">
        <v>290.0</v>
      </c>
      <c r="B292" s="13" t="s">
        <v>593</v>
      </c>
      <c r="C292" s="14">
        <v>30.0</v>
      </c>
      <c r="D292" s="15" t="s">
        <v>1031</v>
      </c>
      <c r="E292" s="16" t="s">
        <v>52</v>
      </c>
      <c r="F292" s="13" t="s">
        <v>375</v>
      </c>
      <c r="G292" s="13" t="s">
        <v>1051</v>
      </c>
      <c r="H292" s="13" t="s">
        <v>1040</v>
      </c>
      <c r="I292" s="13" t="s">
        <v>63</v>
      </c>
      <c r="J292" s="17" t="s">
        <v>71</v>
      </c>
      <c r="K292" s="17" t="s">
        <v>58</v>
      </c>
      <c r="L292" s="18" t="s">
        <v>52</v>
      </c>
      <c r="M292" s="19">
        <v>6.0</v>
      </c>
      <c r="N292" s="19">
        <v>31.0</v>
      </c>
    </row>
    <row r="293">
      <c r="A293" s="12">
        <v>291.0</v>
      </c>
      <c r="B293" s="13" t="s">
        <v>701</v>
      </c>
      <c r="C293" s="14">
        <v>1.0</v>
      </c>
      <c r="D293" s="15" t="s">
        <v>1052</v>
      </c>
      <c r="E293" s="16" t="s">
        <v>52</v>
      </c>
      <c r="F293" s="13" t="s">
        <v>278</v>
      </c>
      <c r="G293" s="13" t="s">
        <v>61</v>
      </c>
      <c r="H293" s="13" t="s">
        <v>1053</v>
      </c>
      <c r="I293" s="13" t="s">
        <v>56</v>
      </c>
      <c r="J293" s="17" t="s">
        <v>57</v>
      </c>
      <c r="K293" s="17" t="s">
        <v>58</v>
      </c>
      <c r="L293" s="18" t="s">
        <v>52</v>
      </c>
      <c r="M293" s="19">
        <v>7.0</v>
      </c>
      <c r="N293" s="19">
        <v>10.0</v>
      </c>
    </row>
    <row r="294">
      <c r="A294" s="12">
        <v>292.0</v>
      </c>
      <c r="B294" s="13" t="s">
        <v>701</v>
      </c>
      <c r="C294" s="14">
        <v>2.0</v>
      </c>
      <c r="D294" s="15" t="s">
        <v>1052</v>
      </c>
      <c r="E294" s="16" t="s">
        <v>52</v>
      </c>
      <c r="F294" s="13" t="s">
        <v>632</v>
      </c>
      <c r="G294" s="13" t="s">
        <v>1054</v>
      </c>
      <c r="H294" s="13" t="s">
        <v>1055</v>
      </c>
      <c r="I294" s="13" t="s">
        <v>63</v>
      </c>
      <c r="J294" s="17" t="s">
        <v>57</v>
      </c>
      <c r="K294" s="17" t="s">
        <v>58</v>
      </c>
      <c r="L294" s="18" t="s">
        <v>52</v>
      </c>
      <c r="M294" s="19">
        <v>7.0</v>
      </c>
      <c r="N294" s="19">
        <v>11.0</v>
      </c>
    </row>
    <row r="295">
      <c r="A295" s="12">
        <v>293.0</v>
      </c>
      <c r="B295" s="13" t="s">
        <v>701</v>
      </c>
      <c r="C295" s="14">
        <v>3.0</v>
      </c>
      <c r="D295" s="15" t="s">
        <v>1052</v>
      </c>
      <c r="E295" s="16" t="s">
        <v>52</v>
      </c>
      <c r="F295" s="13" t="s">
        <v>530</v>
      </c>
      <c r="G295" s="13" t="s">
        <v>61</v>
      </c>
      <c r="H295" s="13" t="s">
        <v>1056</v>
      </c>
      <c r="I295" s="13" t="s">
        <v>63</v>
      </c>
      <c r="J295" s="17" t="s">
        <v>57</v>
      </c>
      <c r="K295" s="17" t="s">
        <v>58</v>
      </c>
      <c r="L295" s="18" t="s">
        <v>52</v>
      </c>
      <c r="M295" s="19">
        <v>7.0</v>
      </c>
      <c r="N295" s="19">
        <v>11.0</v>
      </c>
    </row>
    <row r="296">
      <c r="A296" s="12">
        <v>294.0</v>
      </c>
      <c r="B296" s="13" t="s">
        <v>701</v>
      </c>
      <c r="C296" s="14">
        <v>4.0</v>
      </c>
      <c r="D296" s="15" t="s">
        <v>1052</v>
      </c>
      <c r="E296" s="16" t="s">
        <v>52</v>
      </c>
      <c r="F296" s="13" t="s">
        <v>612</v>
      </c>
      <c r="G296" s="13" t="s">
        <v>1057</v>
      </c>
      <c r="H296" s="13" t="s">
        <v>1058</v>
      </c>
      <c r="I296" s="13" t="s">
        <v>56</v>
      </c>
      <c r="J296" s="17" t="s">
        <v>67</v>
      </c>
      <c r="K296" s="17" t="s">
        <v>58</v>
      </c>
      <c r="L296" s="18" t="s">
        <v>749</v>
      </c>
      <c r="M296" s="19">
        <v>7.0</v>
      </c>
      <c r="N296" s="19">
        <v>20.0</v>
      </c>
    </row>
    <row r="297">
      <c r="A297" s="12">
        <v>295.0</v>
      </c>
      <c r="B297" s="13" t="s">
        <v>701</v>
      </c>
      <c r="C297" s="14">
        <v>5.0</v>
      </c>
      <c r="D297" s="15" t="s">
        <v>1059</v>
      </c>
      <c r="E297" s="16" t="s">
        <v>52</v>
      </c>
      <c r="F297" s="13" t="s">
        <v>576</v>
      </c>
      <c r="G297" s="13" t="s">
        <v>913</v>
      </c>
      <c r="H297" s="13" t="s">
        <v>1060</v>
      </c>
      <c r="I297" s="13" t="s">
        <v>63</v>
      </c>
      <c r="J297" s="17" t="s">
        <v>67</v>
      </c>
      <c r="K297" s="17" t="s">
        <v>58</v>
      </c>
      <c r="L297" s="18" t="s">
        <v>52</v>
      </c>
      <c r="M297" s="19">
        <v>7.0</v>
      </c>
      <c r="N297" s="19">
        <v>21.0</v>
      </c>
    </row>
    <row r="298">
      <c r="A298" s="12">
        <v>296.0</v>
      </c>
      <c r="B298" s="13" t="s">
        <v>701</v>
      </c>
      <c r="C298" s="14">
        <v>6.0</v>
      </c>
      <c r="D298" s="15" t="s">
        <v>1052</v>
      </c>
      <c r="E298" s="16" t="s">
        <v>52</v>
      </c>
      <c r="F298" s="13" t="s">
        <v>716</v>
      </c>
      <c r="G298" s="13" t="s">
        <v>61</v>
      </c>
      <c r="H298" s="13" t="s">
        <v>1061</v>
      </c>
      <c r="I298" s="13" t="s">
        <v>56</v>
      </c>
      <c r="J298" s="17" t="s">
        <v>71</v>
      </c>
      <c r="K298" s="17" t="s">
        <v>58</v>
      </c>
      <c r="L298" s="18" t="s">
        <v>52</v>
      </c>
      <c r="M298" s="19">
        <v>7.0</v>
      </c>
      <c r="N298" s="19">
        <v>30.0</v>
      </c>
    </row>
    <row r="299">
      <c r="A299" s="12">
        <v>297.0</v>
      </c>
      <c r="B299" s="13" t="s">
        <v>701</v>
      </c>
      <c r="C299" s="14">
        <v>7.0</v>
      </c>
      <c r="D299" s="15" t="s">
        <v>1052</v>
      </c>
      <c r="E299" s="16" t="s">
        <v>52</v>
      </c>
      <c r="F299" s="13" t="s">
        <v>296</v>
      </c>
      <c r="G299" s="13" t="s">
        <v>61</v>
      </c>
      <c r="H299" s="13" t="s">
        <v>1062</v>
      </c>
      <c r="I299" s="13" t="s">
        <v>56</v>
      </c>
      <c r="J299" s="17" t="s">
        <v>71</v>
      </c>
      <c r="K299" s="17" t="s">
        <v>58</v>
      </c>
      <c r="L299" s="18" t="s">
        <v>52</v>
      </c>
      <c r="M299" s="19">
        <v>7.0</v>
      </c>
      <c r="N299" s="19">
        <v>30.0</v>
      </c>
    </row>
    <row r="300">
      <c r="A300" s="12">
        <v>298.0</v>
      </c>
      <c r="B300" s="13" t="s">
        <v>701</v>
      </c>
      <c r="C300" s="14">
        <v>8.0</v>
      </c>
      <c r="D300" s="15" t="s">
        <v>1052</v>
      </c>
      <c r="E300" s="16" t="s">
        <v>52</v>
      </c>
      <c r="F300" s="13" t="s">
        <v>308</v>
      </c>
      <c r="G300" s="13" t="s">
        <v>61</v>
      </c>
      <c r="H300" s="13" t="s">
        <v>1063</v>
      </c>
      <c r="I300" s="13" t="s">
        <v>56</v>
      </c>
      <c r="J300" s="17" t="s">
        <v>71</v>
      </c>
      <c r="K300" s="17" t="s">
        <v>58</v>
      </c>
      <c r="L300" s="18" t="s">
        <v>52</v>
      </c>
      <c r="M300" s="19">
        <v>7.0</v>
      </c>
      <c r="N300" s="19">
        <v>30.0</v>
      </c>
    </row>
    <row r="301">
      <c r="A301" s="12">
        <v>299.0</v>
      </c>
      <c r="B301" s="13" t="s">
        <v>701</v>
      </c>
      <c r="C301" s="14">
        <v>9.0</v>
      </c>
      <c r="D301" s="15" t="s">
        <v>1052</v>
      </c>
      <c r="E301" s="16" t="s">
        <v>52</v>
      </c>
      <c r="F301" s="13" t="s">
        <v>586</v>
      </c>
      <c r="G301" s="13" t="s">
        <v>61</v>
      </c>
      <c r="H301" s="13" t="s">
        <v>1065</v>
      </c>
      <c r="I301" s="13" t="s">
        <v>56</v>
      </c>
      <c r="J301" s="17" t="s">
        <v>71</v>
      </c>
      <c r="K301" s="17" t="s">
        <v>58</v>
      </c>
      <c r="L301" s="18" t="s">
        <v>52</v>
      </c>
      <c r="M301" s="19">
        <v>7.0</v>
      </c>
      <c r="N301" s="19">
        <v>30.0</v>
      </c>
    </row>
    <row r="302">
      <c r="A302" s="12">
        <v>300.0</v>
      </c>
      <c r="B302" s="13" t="s">
        <v>701</v>
      </c>
      <c r="C302" s="14">
        <v>10.0</v>
      </c>
      <c r="D302" s="15" t="s">
        <v>1052</v>
      </c>
      <c r="E302" s="16" t="s">
        <v>52</v>
      </c>
      <c r="F302" s="13" t="s">
        <v>593</v>
      </c>
      <c r="G302" s="13" t="s">
        <v>61</v>
      </c>
      <c r="H302" s="13" t="s">
        <v>1067</v>
      </c>
      <c r="I302" s="13" t="s">
        <v>56</v>
      </c>
      <c r="J302" s="17" t="s">
        <v>71</v>
      </c>
      <c r="K302" s="17" t="s">
        <v>58</v>
      </c>
      <c r="L302" s="18" t="s">
        <v>52</v>
      </c>
      <c r="M302" s="19">
        <v>7.0</v>
      </c>
      <c r="N302" s="19">
        <v>30.0</v>
      </c>
    </row>
    <row r="303">
      <c r="A303" s="12">
        <v>301.0</v>
      </c>
      <c r="B303" s="13" t="s">
        <v>701</v>
      </c>
      <c r="C303" s="14">
        <v>11.0</v>
      </c>
      <c r="D303" s="15" t="s">
        <v>1052</v>
      </c>
      <c r="E303" s="16" t="s">
        <v>52</v>
      </c>
      <c r="F303" s="13" t="s">
        <v>270</v>
      </c>
      <c r="G303" s="13" t="s">
        <v>787</v>
      </c>
      <c r="H303" s="13" t="s">
        <v>1068</v>
      </c>
      <c r="I303" s="13" t="s">
        <v>56</v>
      </c>
      <c r="J303" s="17" t="s">
        <v>71</v>
      </c>
      <c r="K303" s="17" t="s">
        <v>58</v>
      </c>
      <c r="L303" s="18" t="s">
        <v>52</v>
      </c>
      <c r="M303" s="19">
        <v>7.0</v>
      </c>
      <c r="N303" s="19">
        <v>30.0</v>
      </c>
    </row>
    <row r="304">
      <c r="A304" s="12">
        <v>302.0</v>
      </c>
      <c r="B304" s="13" t="s">
        <v>701</v>
      </c>
      <c r="C304" s="14">
        <v>12.0</v>
      </c>
      <c r="D304" s="15" t="s">
        <v>1059</v>
      </c>
      <c r="E304" s="16" t="s">
        <v>52</v>
      </c>
      <c r="F304" s="13" t="s">
        <v>541</v>
      </c>
      <c r="G304" s="13" t="s">
        <v>61</v>
      </c>
      <c r="H304" s="13" t="s">
        <v>1070</v>
      </c>
      <c r="I304" s="13" t="s">
        <v>63</v>
      </c>
      <c r="J304" s="17" t="s">
        <v>71</v>
      </c>
      <c r="K304" s="17" t="s">
        <v>58</v>
      </c>
      <c r="L304" s="18" t="s">
        <v>52</v>
      </c>
      <c r="M304" s="19">
        <v>7.0</v>
      </c>
      <c r="N304" s="19">
        <v>31.0</v>
      </c>
    </row>
    <row r="305">
      <c r="A305" s="12">
        <v>303.0</v>
      </c>
      <c r="B305" s="13" t="s">
        <v>701</v>
      </c>
      <c r="C305" s="14">
        <v>13.0</v>
      </c>
      <c r="D305" s="15" t="s">
        <v>1071</v>
      </c>
      <c r="E305" s="16" t="s">
        <v>52</v>
      </c>
      <c r="F305" s="13" t="s">
        <v>1073</v>
      </c>
      <c r="G305" s="13" t="s">
        <v>1074</v>
      </c>
      <c r="H305" s="13" t="s">
        <v>1075</v>
      </c>
      <c r="I305" s="13" t="s">
        <v>63</v>
      </c>
      <c r="J305" s="17" t="s">
        <v>71</v>
      </c>
      <c r="K305" s="17" t="s">
        <v>58</v>
      </c>
      <c r="L305" s="18" t="s">
        <v>52</v>
      </c>
      <c r="M305" s="19">
        <v>7.0</v>
      </c>
      <c r="N305" s="19">
        <v>31.0</v>
      </c>
    </row>
    <row r="306">
      <c r="A306" s="12">
        <v>304.0</v>
      </c>
      <c r="B306" s="13" t="s">
        <v>701</v>
      </c>
      <c r="C306" s="14">
        <v>14.0</v>
      </c>
      <c r="D306" s="15" t="s">
        <v>1052</v>
      </c>
      <c r="E306" s="16" t="s">
        <v>52</v>
      </c>
      <c r="F306" s="13" t="s">
        <v>1076</v>
      </c>
      <c r="G306" s="13" t="s">
        <v>61</v>
      </c>
      <c r="H306" s="13" t="s">
        <v>1077</v>
      </c>
      <c r="I306" s="13" t="s">
        <v>63</v>
      </c>
      <c r="J306" s="17" t="s">
        <v>71</v>
      </c>
      <c r="K306" s="17" t="s">
        <v>58</v>
      </c>
      <c r="L306" s="18" t="s">
        <v>52</v>
      </c>
      <c r="M306" s="19">
        <v>7.0</v>
      </c>
      <c r="N306" s="19">
        <v>31.0</v>
      </c>
    </row>
    <row r="307">
      <c r="A307" s="12">
        <v>305.0</v>
      </c>
      <c r="B307" s="13" t="s">
        <v>701</v>
      </c>
      <c r="C307" s="14">
        <v>15.0</v>
      </c>
      <c r="D307" s="15" t="s">
        <v>1052</v>
      </c>
      <c r="E307" s="16" t="s">
        <v>52</v>
      </c>
      <c r="F307" s="13" t="s">
        <v>341</v>
      </c>
      <c r="G307" s="13" t="s">
        <v>61</v>
      </c>
      <c r="H307" s="13" t="s">
        <v>857</v>
      </c>
      <c r="I307" s="13" t="s">
        <v>63</v>
      </c>
      <c r="J307" s="17" t="s">
        <v>71</v>
      </c>
      <c r="K307" s="17" t="s">
        <v>58</v>
      </c>
      <c r="L307" s="18" t="s">
        <v>52</v>
      </c>
      <c r="M307" s="19">
        <v>7.0</v>
      </c>
      <c r="N307" s="19">
        <v>31.0</v>
      </c>
    </row>
    <row r="308">
      <c r="A308" s="12">
        <v>306.0</v>
      </c>
      <c r="B308" s="13" t="s">
        <v>701</v>
      </c>
      <c r="C308" s="14">
        <v>16.0</v>
      </c>
      <c r="D308" s="15" t="s">
        <v>1052</v>
      </c>
      <c r="E308" s="16" t="s">
        <v>52</v>
      </c>
      <c r="F308" s="13" t="s">
        <v>735</v>
      </c>
      <c r="G308" s="13" t="s">
        <v>1079</v>
      </c>
      <c r="H308" s="13" t="s">
        <v>1081</v>
      </c>
      <c r="I308" s="13" t="s">
        <v>63</v>
      </c>
      <c r="J308" s="17" t="s">
        <v>71</v>
      </c>
      <c r="K308" s="17" t="s">
        <v>58</v>
      </c>
      <c r="L308" s="18" t="s">
        <v>52</v>
      </c>
      <c r="M308" s="19">
        <v>7.0</v>
      </c>
      <c r="N308" s="19">
        <v>31.0</v>
      </c>
    </row>
    <row r="309">
      <c r="A309" s="12">
        <v>307.0</v>
      </c>
      <c r="B309" s="13" t="s">
        <v>701</v>
      </c>
      <c r="C309" s="14">
        <v>17.0</v>
      </c>
      <c r="D309" s="15" t="s">
        <v>1052</v>
      </c>
      <c r="E309" s="16" t="s">
        <v>52</v>
      </c>
      <c r="F309" s="13" t="s">
        <v>719</v>
      </c>
      <c r="G309" s="13" t="s">
        <v>61</v>
      </c>
      <c r="H309" s="13" t="s">
        <v>1082</v>
      </c>
      <c r="I309" s="13" t="s">
        <v>63</v>
      </c>
      <c r="J309" s="17" t="s">
        <v>71</v>
      </c>
      <c r="K309" s="17" t="s">
        <v>58</v>
      </c>
      <c r="L309" s="18" t="s">
        <v>52</v>
      </c>
      <c r="M309" s="19">
        <v>7.0</v>
      </c>
      <c r="N309" s="19">
        <v>31.0</v>
      </c>
    </row>
    <row r="310">
      <c r="A310" s="12">
        <v>308.0</v>
      </c>
      <c r="B310" s="13" t="s">
        <v>701</v>
      </c>
      <c r="C310" s="14">
        <v>18.0</v>
      </c>
      <c r="D310" s="15" t="s">
        <v>1052</v>
      </c>
      <c r="E310" s="16" t="s">
        <v>52</v>
      </c>
      <c r="F310" s="13" t="s">
        <v>700</v>
      </c>
      <c r="G310" s="13" t="s">
        <v>61</v>
      </c>
      <c r="H310" s="13" t="s">
        <v>1083</v>
      </c>
      <c r="I310" s="13" t="s">
        <v>63</v>
      </c>
      <c r="J310" s="17" t="s">
        <v>71</v>
      </c>
      <c r="K310" s="17" t="s">
        <v>58</v>
      </c>
      <c r="L310" s="18" t="s">
        <v>52</v>
      </c>
      <c r="M310" s="19">
        <v>7.0</v>
      </c>
      <c r="N310" s="19">
        <v>31.0</v>
      </c>
    </row>
    <row r="311">
      <c r="A311" s="12">
        <v>309.0</v>
      </c>
      <c r="B311" s="13" t="s">
        <v>701</v>
      </c>
      <c r="C311" s="14">
        <v>19.0</v>
      </c>
      <c r="D311" s="15" t="s">
        <v>1052</v>
      </c>
      <c r="E311" s="16" t="s">
        <v>52</v>
      </c>
      <c r="F311" s="13" t="s">
        <v>489</v>
      </c>
      <c r="G311" s="13" t="s">
        <v>61</v>
      </c>
      <c r="H311" s="13" t="s">
        <v>1084</v>
      </c>
      <c r="I311" s="13" t="s">
        <v>63</v>
      </c>
      <c r="J311" s="17" t="s">
        <v>71</v>
      </c>
      <c r="K311" s="17" t="s">
        <v>58</v>
      </c>
      <c r="L311" s="18" t="s">
        <v>52</v>
      </c>
      <c r="M311" s="19">
        <v>7.0</v>
      </c>
      <c r="N311" s="19">
        <v>31.0</v>
      </c>
    </row>
    <row r="312">
      <c r="A312" s="12">
        <v>310.0</v>
      </c>
      <c r="B312" s="13" t="s">
        <v>701</v>
      </c>
      <c r="C312" s="14">
        <v>20.0</v>
      </c>
      <c r="D312" s="15" t="s">
        <v>1052</v>
      </c>
      <c r="E312" s="16" t="s">
        <v>52</v>
      </c>
      <c r="F312" s="13" t="s">
        <v>1085</v>
      </c>
      <c r="G312" s="13" t="s">
        <v>61</v>
      </c>
      <c r="H312" s="13" t="s">
        <v>1086</v>
      </c>
      <c r="I312" s="13" t="s">
        <v>63</v>
      </c>
      <c r="J312" s="17" t="s">
        <v>71</v>
      </c>
      <c r="K312" s="17" t="s">
        <v>58</v>
      </c>
      <c r="L312" s="18" t="s">
        <v>52</v>
      </c>
      <c r="M312" s="19">
        <v>7.0</v>
      </c>
      <c r="N312" s="19">
        <v>31.0</v>
      </c>
    </row>
    <row r="313">
      <c r="A313" s="12">
        <v>311.0</v>
      </c>
      <c r="B313" s="13" t="s">
        <v>701</v>
      </c>
      <c r="C313" s="14">
        <v>21.0</v>
      </c>
      <c r="D313" s="15" t="s">
        <v>1052</v>
      </c>
      <c r="E313" s="16" t="s">
        <v>52</v>
      </c>
      <c r="F313" s="13" t="s">
        <v>602</v>
      </c>
      <c r="G313" s="13" t="s">
        <v>915</v>
      </c>
      <c r="H313" s="13" t="s">
        <v>916</v>
      </c>
      <c r="I313" s="13" t="s">
        <v>63</v>
      </c>
      <c r="J313" s="17" t="s">
        <v>71</v>
      </c>
      <c r="K313" s="17" t="s">
        <v>58</v>
      </c>
      <c r="L313" s="18" t="s">
        <v>52</v>
      </c>
      <c r="M313" s="19">
        <v>7.0</v>
      </c>
      <c r="N313" s="19">
        <v>31.0</v>
      </c>
    </row>
    <row r="314">
      <c r="A314" s="12">
        <v>312.0</v>
      </c>
      <c r="B314" s="13" t="s">
        <v>701</v>
      </c>
      <c r="C314" s="14">
        <v>22.0</v>
      </c>
      <c r="D314" s="15" t="s">
        <v>1052</v>
      </c>
      <c r="E314" s="16" t="s">
        <v>52</v>
      </c>
      <c r="F314" s="13" t="s">
        <v>222</v>
      </c>
      <c r="G314" s="13" t="s">
        <v>61</v>
      </c>
      <c r="H314" s="13" t="s">
        <v>929</v>
      </c>
      <c r="I314" s="13" t="s">
        <v>63</v>
      </c>
      <c r="J314" s="17" t="s">
        <v>71</v>
      </c>
      <c r="K314" s="17" t="s">
        <v>58</v>
      </c>
      <c r="L314" s="18" t="s">
        <v>52</v>
      </c>
      <c r="M314" s="19">
        <v>7.0</v>
      </c>
      <c r="N314" s="19">
        <v>31.0</v>
      </c>
    </row>
    <row r="315">
      <c r="A315" s="12">
        <v>313.0</v>
      </c>
      <c r="B315" s="13" t="s">
        <v>701</v>
      </c>
      <c r="C315" s="14">
        <v>23.0</v>
      </c>
      <c r="D315" s="15" t="s">
        <v>1052</v>
      </c>
      <c r="E315" s="16" t="s">
        <v>52</v>
      </c>
      <c r="F315" s="13" t="s">
        <v>495</v>
      </c>
      <c r="G315" s="13" t="s">
        <v>796</v>
      </c>
      <c r="H315" s="13" t="s">
        <v>867</v>
      </c>
      <c r="I315" s="13" t="s">
        <v>63</v>
      </c>
      <c r="J315" s="17" t="s">
        <v>71</v>
      </c>
      <c r="K315" s="17" t="s">
        <v>58</v>
      </c>
      <c r="L315" s="18" t="s">
        <v>52</v>
      </c>
      <c r="M315" s="19">
        <v>7.0</v>
      </c>
      <c r="N315" s="19">
        <v>31.0</v>
      </c>
    </row>
    <row r="316">
      <c r="A316" s="12">
        <v>314.0</v>
      </c>
      <c r="B316" s="13" t="s">
        <v>701</v>
      </c>
      <c r="C316" s="14">
        <v>24.0</v>
      </c>
      <c r="D316" s="15" t="s">
        <v>1052</v>
      </c>
      <c r="E316" s="16" t="s">
        <v>52</v>
      </c>
      <c r="F316" s="13" t="s">
        <v>501</v>
      </c>
      <c r="G316" s="13" t="s">
        <v>798</v>
      </c>
      <c r="H316" s="13" t="s">
        <v>1087</v>
      </c>
      <c r="I316" s="13" t="s">
        <v>63</v>
      </c>
      <c r="J316" s="17" t="s">
        <v>71</v>
      </c>
      <c r="K316" s="17" t="s">
        <v>58</v>
      </c>
      <c r="L316" s="18" t="s">
        <v>52</v>
      </c>
      <c r="M316" s="19">
        <v>7.0</v>
      </c>
      <c r="N316" s="19">
        <v>31.0</v>
      </c>
    </row>
    <row r="317">
      <c r="A317" s="12">
        <v>315.0</v>
      </c>
      <c r="B317" s="13" t="s">
        <v>701</v>
      </c>
      <c r="C317" s="14">
        <v>25.0</v>
      </c>
      <c r="D317" s="15" t="s">
        <v>1052</v>
      </c>
      <c r="E317" s="16" t="s">
        <v>52</v>
      </c>
      <c r="F317" s="13" t="s">
        <v>283</v>
      </c>
      <c r="G317" s="13" t="s">
        <v>764</v>
      </c>
      <c r="H317" s="13" t="s">
        <v>1088</v>
      </c>
      <c r="I317" s="13" t="s">
        <v>63</v>
      </c>
      <c r="J317" s="17" t="s">
        <v>71</v>
      </c>
      <c r="K317" s="17" t="s">
        <v>58</v>
      </c>
      <c r="L317" s="18" t="s">
        <v>52</v>
      </c>
      <c r="M317" s="19">
        <v>7.0</v>
      </c>
      <c r="N317" s="19">
        <v>31.0</v>
      </c>
    </row>
    <row r="318">
      <c r="A318" s="12">
        <v>316.0</v>
      </c>
      <c r="B318" s="13" t="s">
        <v>701</v>
      </c>
      <c r="C318" s="14">
        <v>26.0</v>
      </c>
      <c r="D318" s="15" t="s">
        <v>1052</v>
      </c>
      <c r="E318" s="16" t="s">
        <v>52</v>
      </c>
      <c r="F318" s="13" t="s">
        <v>247</v>
      </c>
      <c r="G318" s="13" t="s">
        <v>905</v>
      </c>
      <c r="H318" s="13" t="s">
        <v>906</v>
      </c>
      <c r="I318" s="13" t="s">
        <v>63</v>
      </c>
      <c r="J318" s="17" t="s">
        <v>71</v>
      </c>
      <c r="K318" s="17" t="s">
        <v>58</v>
      </c>
      <c r="L318" s="18" t="s">
        <v>524</v>
      </c>
      <c r="M318" s="19">
        <v>7.0</v>
      </c>
      <c r="N318" s="19">
        <v>31.0</v>
      </c>
    </row>
    <row r="319">
      <c r="A319" s="12">
        <v>317.0</v>
      </c>
      <c r="B319" s="13" t="s">
        <v>701</v>
      </c>
      <c r="C319" s="14">
        <v>27.0</v>
      </c>
      <c r="D319" s="15" t="s">
        <v>1052</v>
      </c>
      <c r="E319" s="16" t="s">
        <v>52</v>
      </c>
      <c r="F319" s="13" t="s">
        <v>552</v>
      </c>
      <c r="G319" s="13" t="s">
        <v>1090</v>
      </c>
      <c r="H319" s="13" t="s">
        <v>1091</v>
      </c>
      <c r="I319" s="13" t="s">
        <v>63</v>
      </c>
      <c r="J319" s="17" t="s">
        <v>71</v>
      </c>
      <c r="K319" s="17" t="s">
        <v>58</v>
      </c>
      <c r="L319" s="18" t="s">
        <v>52</v>
      </c>
      <c r="M319" s="19">
        <v>7.0</v>
      </c>
      <c r="N319" s="19">
        <v>31.0</v>
      </c>
    </row>
    <row r="320">
      <c r="A320" s="12">
        <v>318.0</v>
      </c>
      <c r="B320" s="13" t="s">
        <v>701</v>
      </c>
      <c r="C320" s="14">
        <v>28.0</v>
      </c>
      <c r="D320" s="15" t="s">
        <v>1052</v>
      </c>
      <c r="E320" s="16" t="s">
        <v>52</v>
      </c>
      <c r="F320" s="13" t="s">
        <v>561</v>
      </c>
      <c r="G320" s="13" t="s">
        <v>907</v>
      </c>
      <c r="H320" s="13" t="s">
        <v>908</v>
      </c>
      <c r="I320" s="13" t="s">
        <v>63</v>
      </c>
      <c r="J320" s="17" t="s">
        <v>71</v>
      </c>
      <c r="K320" s="17" t="s">
        <v>58</v>
      </c>
      <c r="L320" s="18" t="s">
        <v>52</v>
      </c>
      <c r="M320" s="19">
        <v>7.0</v>
      </c>
      <c r="N320" s="19">
        <v>31.0</v>
      </c>
    </row>
    <row r="321">
      <c r="A321" s="12">
        <v>319.0</v>
      </c>
      <c r="B321" s="13" t="s">
        <v>701</v>
      </c>
      <c r="C321" s="14">
        <v>29.0</v>
      </c>
      <c r="D321" s="15" t="s">
        <v>1052</v>
      </c>
      <c r="E321" s="16" t="s">
        <v>52</v>
      </c>
      <c r="F321" s="13" t="s">
        <v>720</v>
      </c>
      <c r="G321" s="13" t="s">
        <v>61</v>
      </c>
      <c r="H321" s="13" t="s">
        <v>1092</v>
      </c>
      <c r="I321" s="13" t="s">
        <v>63</v>
      </c>
      <c r="J321" s="17" t="s">
        <v>71</v>
      </c>
      <c r="K321" s="17" t="s">
        <v>58</v>
      </c>
      <c r="L321" s="18" t="s">
        <v>52</v>
      </c>
      <c r="M321" s="19">
        <v>7.0</v>
      </c>
      <c r="N321" s="19">
        <v>31.0</v>
      </c>
    </row>
    <row r="322">
      <c r="A322" s="12">
        <v>320.0</v>
      </c>
      <c r="B322" s="13" t="s">
        <v>701</v>
      </c>
      <c r="C322" s="14">
        <v>30.0</v>
      </c>
      <c r="D322" s="15" t="s">
        <v>1052</v>
      </c>
      <c r="E322" s="16" t="s">
        <v>52</v>
      </c>
      <c r="F322" s="13" t="s">
        <v>570</v>
      </c>
      <c r="G322" s="13" t="s">
        <v>817</v>
      </c>
      <c r="H322" s="13" t="s">
        <v>1093</v>
      </c>
      <c r="I322" s="13" t="s">
        <v>63</v>
      </c>
      <c r="J322" s="17" t="s">
        <v>71</v>
      </c>
      <c r="K322" s="17" t="s">
        <v>58</v>
      </c>
      <c r="L322" s="18" t="s">
        <v>52</v>
      </c>
      <c r="M322" s="19">
        <v>7.0</v>
      </c>
      <c r="N322" s="19">
        <v>31.0</v>
      </c>
    </row>
    <row r="323">
      <c r="A323" s="12">
        <v>321.0</v>
      </c>
      <c r="B323" s="13" t="s">
        <v>561</v>
      </c>
      <c r="C323" s="14">
        <v>1.0</v>
      </c>
      <c r="D323" s="15" t="s">
        <v>1094</v>
      </c>
      <c r="E323" s="16" t="s">
        <v>52</v>
      </c>
      <c r="F323" s="13" t="s">
        <v>723</v>
      </c>
      <c r="G323" s="13" t="s">
        <v>874</v>
      </c>
      <c r="H323" s="13" t="s">
        <v>1095</v>
      </c>
      <c r="I323" s="13" t="s">
        <v>63</v>
      </c>
      <c r="J323" s="17" t="s">
        <v>57</v>
      </c>
      <c r="K323" s="17" t="s">
        <v>58</v>
      </c>
      <c r="L323" s="18" t="s">
        <v>52</v>
      </c>
      <c r="M323" s="19">
        <v>8.0</v>
      </c>
      <c r="N323" s="19">
        <v>11.0</v>
      </c>
    </row>
    <row r="324">
      <c r="A324" s="12">
        <v>322.0</v>
      </c>
      <c r="B324" s="13" t="s">
        <v>561</v>
      </c>
      <c r="C324" s="14">
        <v>2.0</v>
      </c>
      <c r="D324" s="15" t="s">
        <v>1096</v>
      </c>
      <c r="E324" s="16" t="s">
        <v>52</v>
      </c>
      <c r="F324" s="13" t="s">
        <v>728</v>
      </c>
      <c r="G324" s="13" t="s">
        <v>1097</v>
      </c>
      <c r="H324" s="13" t="s">
        <v>1098</v>
      </c>
      <c r="I324" s="13" t="s">
        <v>63</v>
      </c>
      <c r="J324" s="17" t="s">
        <v>57</v>
      </c>
      <c r="K324" s="17" t="s">
        <v>58</v>
      </c>
      <c r="L324" s="18" t="s">
        <v>52</v>
      </c>
      <c r="M324" s="19">
        <v>8.0</v>
      </c>
      <c r="N324" s="19">
        <v>11.0</v>
      </c>
    </row>
    <row r="325">
      <c r="A325" s="12">
        <v>323.0</v>
      </c>
      <c r="B325" s="13" t="s">
        <v>561</v>
      </c>
      <c r="C325" s="14">
        <v>3.0</v>
      </c>
      <c r="D325" s="15" t="s">
        <v>1096</v>
      </c>
      <c r="E325" s="16" t="s">
        <v>52</v>
      </c>
      <c r="F325" s="13" t="s">
        <v>737</v>
      </c>
      <c r="G325" s="13" t="s">
        <v>1099</v>
      </c>
      <c r="H325" s="13" t="s">
        <v>1100</v>
      </c>
      <c r="I325" s="13" t="s">
        <v>63</v>
      </c>
      <c r="J325" s="17" t="s">
        <v>57</v>
      </c>
      <c r="K325" s="17" t="s">
        <v>58</v>
      </c>
      <c r="L325" s="18" t="s">
        <v>52</v>
      </c>
      <c r="M325" s="19">
        <v>8.0</v>
      </c>
      <c r="N325" s="19">
        <v>11.0</v>
      </c>
    </row>
    <row r="326">
      <c r="A326" s="12">
        <v>324.0</v>
      </c>
      <c r="B326" s="13" t="s">
        <v>561</v>
      </c>
      <c r="C326" s="14">
        <v>4.0</v>
      </c>
      <c r="D326" s="15" t="s">
        <v>1096</v>
      </c>
      <c r="E326" s="16" t="s">
        <v>52</v>
      </c>
      <c r="F326" s="13" t="s">
        <v>605</v>
      </c>
      <c r="G326" s="13" t="s">
        <v>1101</v>
      </c>
      <c r="H326" s="13" t="s">
        <v>1102</v>
      </c>
      <c r="I326" s="13" t="s">
        <v>63</v>
      </c>
      <c r="J326" s="17" t="s">
        <v>67</v>
      </c>
      <c r="K326" s="17" t="s">
        <v>58</v>
      </c>
      <c r="L326" s="18" t="s">
        <v>749</v>
      </c>
      <c r="M326" s="19">
        <v>8.0</v>
      </c>
      <c r="N326" s="19">
        <v>21.0</v>
      </c>
    </row>
    <row r="327">
      <c r="A327" s="12">
        <v>325.0</v>
      </c>
      <c r="B327" s="13" t="s">
        <v>561</v>
      </c>
      <c r="C327" s="14">
        <v>5.0</v>
      </c>
      <c r="D327" s="15" t="s">
        <v>1094</v>
      </c>
      <c r="E327" s="16" t="s">
        <v>52</v>
      </c>
      <c r="F327" s="13" t="s">
        <v>1103</v>
      </c>
      <c r="G327" s="13" t="s">
        <v>1104</v>
      </c>
      <c r="H327" s="13" t="s">
        <v>1105</v>
      </c>
      <c r="I327" s="13" t="s">
        <v>63</v>
      </c>
      <c r="J327" s="17" t="s">
        <v>71</v>
      </c>
      <c r="K327" s="17" t="s">
        <v>58</v>
      </c>
      <c r="L327" s="18" t="s">
        <v>52</v>
      </c>
      <c r="M327" s="19">
        <v>8.0</v>
      </c>
      <c r="N327" s="19">
        <v>31.0</v>
      </c>
    </row>
    <row r="328">
      <c r="A328" s="12">
        <v>326.0</v>
      </c>
      <c r="B328" s="13" t="s">
        <v>561</v>
      </c>
      <c r="C328" s="14">
        <v>6.0</v>
      </c>
      <c r="D328" s="15" t="s">
        <v>1094</v>
      </c>
      <c r="E328" s="16" t="s">
        <v>52</v>
      </c>
      <c r="F328" s="13" t="s">
        <v>327</v>
      </c>
      <c r="G328" s="13" t="s">
        <v>1108</v>
      </c>
      <c r="H328" s="13" t="s">
        <v>1109</v>
      </c>
      <c r="I328" s="13" t="s">
        <v>63</v>
      </c>
      <c r="J328" s="17" t="s">
        <v>71</v>
      </c>
      <c r="K328" s="17" t="s">
        <v>58</v>
      </c>
      <c r="L328" s="18" t="s">
        <v>52</v>
      </c>
      <c r="M328" s="19">
        <v>8.0</v>
      </c>
      <c r="N328" s="19">
        <v>31.0</v>
      </c>
    </row>
    <row r="329">
      <c r="A329" s="12">
        <v>327.0</v>
      </c>
      <c r="B329" s="13" t="s">
        <v>561</v>
      </c>
      <c r="C329" s="14">
        <v>7.0</v>
      </c>
      <c r="D329" s="15" t="s">
        <v>1094</v>
      </c>
      <c r="E329" s="16" t="s">
        <v>52</v>
      </c>
      <c r="F329" s="13" t="s">
        <v>1110</v>
      </c>
      <c r="G329" s="13" t="s">
        <v>1111</v>
      </c>
      <c r="H329" s="13" t="s">
        <v>1112</v>
      </c>
      <c r="I329" s="13" t="s">
        <v>63</v>
      </c>
      <c r="J329" s="17" t="s">
        <v>71</v>
      </c>
      <c r="K329" s="17" t="s">
        <v>58</v>
      </c>
      <c r="L329" s="18" t="s">
        <v>52</v>
      </c>
      <c r="M329" s="19">
        <v>8.0</v>
      </c>
      <c r="N329" s="19">
        <v>31.0</v>
      </c>
    </row>
    <row r="330">
      <c r="A330" s="12">
        <v>328.0</v>
      </c>
      <c r="B330" s="13" t="s">
        <v>561</v>
      </c>
      <c r="C330" s="14">
        <v>8.0</v>
      </c>
      <c r="D330" s="15" t="s">
        <v>1094</v>
      </c>
      <c r="E330" s="16" t="s">
        <v>52</v>
      </c>
      <c r="F330" s="13" t="s">
        <v>602</v>
      </c>
      <c r="G330" s="13" t="s">
        <v>1114</v>
      </c>
      <c r="H330" s="13" t="s">
        <v>1115</v>
      </c>
      <c r="I330" s="13" t="s">
        <v>63</v>
      </c>
      <c r="J330" s="17" t="s">
        <v>71</v>
      </c>
      <c r="K330" s="17" t="s">
        <v>58</v>
      </c>
      <c r="L330" s="18" t="s">
        <v>52</v>
      </c>
      <c r="M330" s="19">
        <v>8.0</v>
      </c>
      <c r="N330" s="19">
        <v>31.0</v>
      </c>
    </row>
    <row r="331">
      <c r="A331" s="12">
        <v>329.0</v>
      </c>
      <c r="B331" s="13" t="s">
        <v>561</v>
      </c>
      <c r="C331" s="14">
        <v>9.0</v>
      </c>
      <c r="D331" s="15" t="s">
        <v>1094</v>
      </c>
      <c r="E331" s="16" t="s">
        <v>52</v>
      </c>
      <c r="F331" s="13" t="s">
        <v>570</v>
      </c>
      <c r="G331" s="13" t="s">
        <v>1116</v>
      </c>
      <c r="H331" s="13" t="s">
        <v>1117</v>
      </c>
      <c r="I331" s="13" t="s">
        <v>63</v>
      </c>
      <c r="J331" s="17" t="s">
        <v>71</v>
      </c>
      <c r="K331" s="17" t="s">
        <v>58</v>
      </c>
      <c r="L331" s="18" t="s">
        <v>52</v>
      </c>
      <c r="M331" s="19">
        <v>8.0</v>
      </c>
      <c r="N331" s="19">
        <v>31.0</v>
      </c>
    </row>
    <row r="332">
      <c r="A332" s="12">
        <v>330.0</v>
      </c>
      <c r="B332" s="13" t="s">
        <v>561</v>
      </c>
      <c r="C332" s="14">
        <v>10.0</v>
      </c>
      <c r="D332" s="15" t="s">
        <v>1094</v>
      </c>
      <c r="E332" s="16" t="s">
        <v>52</v>
      </c>
      <c r="F332" s="13" t="s">
        <v>733</v>
      </c>
      <c r="G332" s="13" t="s">
        <v>1028</v>
      </c>
      <c r="H332" s="13" t="s">
        <v>1118</v>
      </c>
      <c r="I332" s="13" t="s">
        <v>63</v>
      </c>
      <c r="J332" s="17" t="s">
        <v>71</v>
      </c>
      <c r="K332" s="17" t="s">
        <v>58</v>
      </c>
      <c r="L332" s="18" t="s">
        <v>52</v>
      </c>
      <c r="M332" s="19">
        <v>8.0</v>
      </c>
      <c r="N332" s="19">
        <v>31.0</v>
      </c>
    </row>
    <row r="333">
      <c r="A333" s="12">
        <v>331.0</v>
      </c>
      <c r="B333" s="13" t="s">
        <v>561</v>
      </c>
      <c r="C333" s="14">
        <v>11.0</v>
      </c>
      <c r="D333" s="15" t="s">
        <v>1094</v>
      </c>
      <c r="E333" s="16" t="s">
        <v>52</v>
      </c>
      <c r="F333" s="13" t="s">
        <v>1119</v>
      </c>
      <c r="G333" s="13" t="s">
        <v>1120</v>
      </c>
      <c r="H333" s="13" t="s">
        <v>1121</v>
      </c>
      <c r="I333" s="13" t="s">
        <v>63</v>
      </c>
      <c r="J333" s="17" t="s">
        <v>71</v>
      </c>
      <c r="K333" s="17" t="s">
        <v>58</v>
      </c>
      <c r="L333" s="18" t="s">
        <v>52</v>
      </c>
      <c r="M333" s="19">
        <v>8.0</v>
      </c>
      <c r="N333" s="19">
        <v>31.0</v>
      </c>
    </row>
    <row r="334">
      <c r="A334" s="12">
        <v>332.0</v>
      </c>
      <c r="B334" s="13" t="s">
        <v>561</v>
      </c>
      <c r="C334" s="14">
        <v>12.0</v>
      </c>
      <c r="D334" s="15" t="s">
        <v>1094</v>
      </c>
      <c r="E334" s="16" t="s">
        <v>52</v>
      </c>
      <c r="F334" s="13" t="s">
        <v>1122</v>
      </c>
      <c r="G334" s="13" t="s">
        <v>1123</v>
      </c>
      <c r="H334" s="13" t="s">
        <v>1125</v>
      </c>
      <c r="I334" s="13" t="s">
        <v>63</v>
      </c>
      <c r="J334" s="17" t="s">
        <v>71</v>
      </c>
      <c r="K334" s="17" t="s">
        <v>58</v>
      </c>
      <c r="L334" s="18" t="s">
        <v>52</v>
      </c>
      <c r="M334" s="19">
        <v>8.0</v>
      </c>
      <c r="N334" s="19">
        <v>31.0</v>
      </c>
    </row>
    <row r="335">
      <c r="A335" s="12">
        <v>333.0</v>
      </c>
      <c r="B335" s="13" t="s">
        <v>561</v>
      </c>
      <c r="C335" s="14">
        <v>13.0</v>
      </c>
      <c r="D335" s="15" t="s">
        <v>1094</v>
      </c>
      <c r="E335" s="16" t="s">
        <v>52</v>
      </c>
      <c r="F335" s="13" t="s">
        <v>1126</v>
      </c>
      <c r="G335" s="13" t="s">
        <v>1127</v>
      </c>
      <c r="H335" s="13" t="s">
        <v>1128</v>
      </c>
      <c r="I335" s="13" t="s">
        <v>63</v>
      </c>
      <c r="J335" s="17" t="s">
        <v>71</v>
      </c>
      <c r="K335" s="17" t="s">
        <v>58</v>
      </c>
      <c r="L335" s="18" t="s">
        <v>52</v>
      </c>
      <c r="M335" s="19">
        <v>8.0</v>
      </c>
      <c r="N335" s="19">
        <v>31.0</v>
      </c>
    </row>
    <row r="336">
      <c r="A336" s="12">
        <v>334.0</v>
      </c>
      <c r="B336" s="13" t="s">
        <v>561</v>
      </c>
      <c r="C336" s="14">
        <v>14.0</v>
      </c>
      <c r="D336" s="15" t="s">
        <v>1094</v>
      </c>
      <c r="E336" s="16" t="s">
        <v>52</v>
      </c>
      <c r="F336" s="13" t="s">
        <v>1129</v>
      </c>
      <c r="G336" s="13" t="s">
        <v>1130</v>
      </c>
      <c r="H336" s="13" t="s">
        <v>1131</v>
      </c>
      <c r="I336" s="13" t="s">
        <v>63</v>
      </c>
      <c r="J336" s="17" t="s">
        <v>71</v>
      </c>
      <c r="K336" s="17" t="s">
        <v>58</v>
      </c>
      <c r="L336" s="18" t="s">
        <v>52</v>
      </c>
      <c r="M336" s="19">
        <v>8.0</v>
      </c>
      <c r="N336" s="19">
        <v>31.0</v>
      </c>
    </row>
    <row r="337">
      <c r="A337" s="12">
        <v>335.0</v>
      </c>
      <c r="B337" s="13" t="s">
        <v>561</v>
      </c>
      <c r="C337" s="14">
        <v>15.0</v>
      </c>
      <c r="D337" s="15" t="s">
        <v>1096</v>
      </c>
      <c r="E337" s="16" t="s">
        <v>52</v>
      </c>
      <c r="F337" s="13" t="s">
        <v>623</v>
      </c>
      <c r="G337" s="13" t="s">
        <v>911</v>
      </c>
      <c r="H337" s="13" t="s">
        <v>1132</v>
      </c>
      <c r="I337" s="13" t="s">
        <v>63</v>
      </c>
      <c r="J337" s="17" t="s">
        <v>71</v>
      </c>
      <c r="K337" s="17" t="s">
        <v>58</v>
      </c>
      <c r="L337" s="18" t="s">
        <v>52</v>
      </c>
      <c r="M337" s="19">
        <v>8.0</v>
      </c>
      <c r="N337" s="19">
        <v>31.0</v>
      </c>
    </row>
    <row r="338">
      <c r="A338" s="12">
        <v>336.0</v>
      </c>
      <c r="B338" s="13" t="s">
        <v>561</v>
      </c>
      <c r="C338" s="14">
        <v>16.0</v>
      </c>
      <c r="D338" s="15" t="s">
        <v>1096</v>
      </c>
      <c r="E338" s="16" t="s">
        <v>52</v>
      </c>
      <c r="F338" s="13" t="s">
        <v>1134</v>
      </c>
      <c r="G338" s="13" t="s">
        <v>1135</v>
      </c>
      <c r="H338" s="13" t="s">
        <v>1098</v>
      </c>
      <c r="I338" s="13" t="s">
        <v>63</v>
      </c>
      <c r="J338" s="17" t="s">
        <v>71</v>
      </c>
      <c r="K338" s="17" t="s">
        <v>58</v>
      </c>
      <c r="L338" s="18" t="s">
        <v>52</v>
      </c>
      <c r="M338" s="19">
        <v>8.0</v>
      </c>
      <c r="N338" s="19">
        <v>31.0</v>
      </c>
    </row>
    <row r="339">
      <c r="A339" s="12">
        <v>337.0</v>
      </c>
      <c r="B339" s="13" t="s">
        <v>561</v>
      </c>
      <c r="C339" s="14">
        <v>17.0</v>
      </c>
      <c r="D339" s="15" t="s">
        <v>1096</v>
      </c>
      <c r="E339" s="16" t="s">
        <v>52</v>
      </c>
      <c r="F339" s="13" t="s">
        <v>341</v>
      </c>
      <c r="G339" s="13" t="s">
        <v>1136</v>
      </c>
      <c r="H339" s="13" t="s">
        <v>1137</v>
      </c>
      <c r="I339" s="13" t="s">
        <v>63</v>
      </c>
      <c r="J339" s="17" t="s">
        <v>71</v>
      </c>
      <c r="K339" s="17" t="s">
        <v>58</v>
      </c>
      <c r="L339" s="18" t="s">
        <v>52</v>
      </c>
      <c r="M339" s="19">
        <v>8.0</v>
      </c>
      <c r="N339" s="19">
        <v>31.0</v>
      </c>
    </row>
    <row r="340">
      <c r="A340" s="12">
        <v>338.0</v>
      </c>
      <c r="B340" s="13" t="s">
        <v>561</v>
      </c>
      <c r="C340" s="14">
        <v>18.0</v>
      </c>
      <c r="D340" s="15" t="s">
        <v>1096</v>
      </c>
      <c r="E340" s="16" t="s">
        <v>52</v>
      </c>
      <c r="F340" s="13" t="s">
        <v>1139</v>
      </c>
      <c r="G340" s="13" t="s">
        <v>1140</v>
      </c>
      <c r="H340" s="13" t="s">
        <v>1141</v>
      </c>
      <c r="I340" s="13" t="s">
        <v>63</v>
      </c>
      <c r="J340" s="17" t="s">
        <v>71</v>
      </c>
      <c r="K340" s="17" t="s">
        <v>58</v>
      </c>
      <c r="L340" s="18" t="s">
        <v>52</v>
      </c>
      <c r="M340" s="19">
        <v>8.0</v>
      </c>
      <c r="N340" s="19">
        <v>31.0</v>
      </c>
    </row>
    <row r="341">
      <c r="A341" s="12">
        <v>339.0</v>
      </c>
      <c r="B341" s="13" t="s">
        <v>561</v>
      </c>
      <c r="C341" s="14">
        <v>19.0</v>
      </c>
      <c r="D341" s="15" t="s">
        <v>1096</v>
      </c>
      <c r="E341" s="16" t="s">
        <v>52</v>
      </c>
      <c r="F341" s="13" t="s">
        <v>1143</v>
      </c>
      <c r="G341" s="13" t="s">
        <v>1144</v>
      </c>
      <c r="H341" s="13" t="s">
        <v>1145</v>
      </c>
      <c r="I341" s="13" t="s">
        <v>63</v>
      </c>
      <c r="J341" s="17" t="s">
        <v>71</v>
      </c>
      <c r="K341" s="17" t="s">
        <v>58</v>
      </c>
      <c r="L341" s="18" t="s">
        <v>52</v>
      </c>
      <c r="M341" s="19">
        <v>8.0</v>
      </c>
      <c r="N341" s="19">
        <v>31.0</v>
      </c>
    </row>
    <row r="342">
      <c r="A342" s="12">
        <v>340.0</v>
      </c>
      <c r="B342" s="13" t="s">
        <v>561</v>
      </c>
      <c r="C342" s="14">
        <v>20.0</v>
      </c>
      <c r="D342" s="15" t="s">
        <v>1096</v>
      </c>
      <c r="E342" s="16" t="s">
        <v>52</v>
      </c>
      <c r="F342" s="13" t="s">
        <v>721</v>
      </c>
      <c r="G342" s="13" t="s">
        <v>1146</v>
      </c>
      <c r="H342" s="13" t="s">
        <v>1147</v>
      </c>
      <c r="I342" s="13" t="s">
        <v>63</v>
      </c>
      <c r="J342" s="17" t="s">
        <v>71</v>
      </c>
      <c r="K342" s="17" t="s">
        <v>58</v>
      </c>
      <c r="L342" s="18" t="s">
        <v>52</v>
      </c>
      <c r="M342" s="19">
        <v>8.0</v>
      </c>
      <c r="N342" s="19">
        <v>31.0</v>
      </c>
    </row>
    <row r="343">
      <c r="A343" s="12">
        <v>341.0</v>
      </c>
      <c r="B343" s="13" t="s">
        <v>561</v>
      </c>
      <c r="C343" s="14">
        <v>21.0</v>
      </c>
      <c r="D343" s="15" t="s">
        <v>1096</v>
      </c>
      <c r="E343" s="16" t="s">
        <v>52</v>
      </c>
      <c r="F343" s="13" t="s">
        <v>1148</v>
      </c>
      <c r="G343" s="13" t="s">
        <v>1149</v>
      </c>
      <c r="H343" s="13" t="s">
        <v>1150</v>
      </c>
      <c r="I343" s="13" t="s">
        <v>63</v>
      </c>
      <c r="J343" s="17" t="s">
        <v>71</v>
      </c>
      <c r="K343" s="17" t="s">
        <v>58</v>
      </c>
      <c r="L343" s="18" t="s">
        <v>52</v>
      </c>
      <c r="M343" s="19">
        <v>8.0</v>
      </c>
      <c r="N343" s="19">
        <v>31.0</v>
      </c>
    </row>
    <row r="344">
      <c r="A344" s="12">
        <v>342.0</v>
      </c>
      <c r="B344" s="13" t="s">
        <v>561</v>
      </c>
      <c r="C344" s="14">
        <v>22.0</v>
      </c>
      <c r="D344" s="15" t="s">
        <v>1096</v>
      </c>
      <c r="E344" s="16" t="s">
        <v>52</v>
      </c>
      <c r="F344" s="13" t="s">
        <v>1151</v>
      </c>
      <c r="G344" s="13" t="s">
        <v>1152</v>
      </c>
      <c r="H344" s="13" t="s">
        <v>1153</v>
      </c>
      <c r="I344" s="13" t="s">
        <v>63</v>
      </c>
      <c r="J344" s="17" t="s">
        <v>71</v>
      </c>
      <c r="K344" s="17" t="s">
        <v>58</v>
      </c>
      <c r="L344" s="18" t="s">
        <v>52</v>
      </c>
      <c r="M344" s="19">
        <v>8.0</v>
      </c>
      <c r="N344" s="19">
        <v>31.0</v>
      </c>
    </row>
    <row r="345">
      <c r="A345" s="12">
        <v>343.0</v>
      </c>
      <c r="B345" s="13" t="s">
        <v>561</v>
      </c>
      <c r="C345" s="14">
        <v>23.0</v>
      </c>
      <c r="D345" s="15" t="s">
        <v>1096</v>
      </c>
      <c r="E345" s="16" t="s">
        <v>52</v>
      </c>
      <c r="F345" s="13" t="s">
        <v>289</v>
      </c>
      <c r="G345" s="13" t="s">
        <v>1154</v>
      </c>
      <c r="H345" s="13" t="s">
        <v>1155</v>
      </c>
      <c r="I345" s="13" t="s">
        <v>63</v>
      </c>
      <c r="J345" s="17" t="s">
        <v>71</v>
      </c>
      <c r="K345" s="17" t="s">
        <v>58</v>
      </c>
      <c r="L345" s="18" t="s">
        <v>52</v>
      </c>
      <c r="M345" s="19">
        <v>8.0</v>
      </c>
      <c r="N345" s="19">
        <v>31.0</v>
      </c>
    </row>
    <row r="346">
      <c r="A346" s="12">
        <v>344.0</v>
      </c>
      <c r="B346" s="13" t="s">
        <v>561</v>
      </c>
      <c r="C346" s="14">
        <v>24.0</v>
      </c>
      <c r="D346" s="15" t="s">
        <v>1096</v>
      </c>
      <c r="E346" s="16" t="s">
        <v>52</v>
      </c>
      <c r="F346" s="13" t="s">
        <v>1156</v>
      </c>
      <c r="G346" s="13" t="s">
        <v>1157</v>
      </c>
      <c r="H346" s="13" t="s">
        <v>1158</v>
      </c>
      <c r="I346" s="13" t="s">
        <v>63</v>
      </c>
      <c r="J346" s="17" t="s">
        <v>71</v>
      </c>
      <c r="K346" s="17" t="s">
        <v>58</v>
      </c>
      <c r="L346" s="18" t="s">
        <v>52</v>
      </c>
      <c r="M346" s="19">
        <v>8.0</v>
      </c>
      <c r="N346" s="19">
        <v>31.0</v>
      </c>
    </row>
    <row r="347">
      <c r="A347" s="12">
        <v>345.0</v>
      </c>
      <c r="B347" s="13" t="s">
        <v>561</v>
      </c>
      <c r="C347" s="14">
        <v>25.0</v>
      </c>
      <c r="D347" s="15" t="s">
        <v>1096</v>
      </c>
      <c r="E347" s="16" t="s">
        <v>52</v>
      </c>
      <c r="F347" s="13" t="s">
        <v>1159</v>
      </c>
      <c r="G347" s="13" t="s">
        <v>1160</v>
      </c>
      <c r="H347" s="13" t="s">
        <v>1161</v>
      </c>
      <c r="I347" s="13" t="s">
        <v>63</v>
      </c>
      <c r="J347" s="17" t="s">
        <v>71</v>
      </c>
      <c r="K347" s="17" t="s">
        <v>58</v>
      </c>
      <c r="L347" s="18" t="s">
        <v>52</v>
      </c>
      <c r="M347" s="19">
        <v>8.0</v>
      </c>
      <c r="N347" s="19">
        <v>31.0</v>
      </c>
    </row>
    <row r="348">
      <c r="A348" s="12">
        <v>346.0</v>
      </c>
      <c r="B348" s="13" t="s">
        <v>561</v>
      </c>
      <c r="C348" s="14">
        <v>26.0</v>
      </c>
      <c r="D348" s="15" t="s">
        <v>1096</v>
      </c>
      <c r="E348" s="16" t="s">
        <v>52</v>
      </c>
      <c r="F348" s="13" t="s">
        <v>1162</v>
      </c>
      <c r="G348" s="13" t="s">
        <v>1163</v>
      </c>
      <c r="H348" s="13" t="s">
        <v>1164</v>
      </c>
      <c r="I348" s="13" t="s">
        <v>63</v>
      </c>
      <c r="J348" s="17" t="s">
        <v>71</v>
      </c>
      <c r="K348" s="17" t="s">
        <v>58</v>
      </c>
      <c r="L348" s="18" t="s">
        <v>52</v>
      </c>
      <c r="M348" s="19">
        <v>8.0</v>
      </c>
      <c r="N348" s="19">
        <v>31.0</v>
      </c>
    </row>
    <row r="349">
      <c r="A349" s="12">
        <v>347.0</v>
      </c>
      <c r="B349" s="13" t="s">
        <v>561</v>
      </c>
      <c r="C349" s="14">
        <v>27.0</v>
      </c>
      <c r="D349" s="15" t="s">
        <v>1096</v>
      </c>
      <c r="E349" s="16" t="s">
        <v>52</v>
      </c>
      <c r="F349" s="13" t="s">
        <v>495</v>
      </c>
      <c r="G349" s="13" t="s">
        <v>1166</v>
      </c>
      <c r="H349" s="13" t="s">
        <v>1167</v>
      </c>
      <c r="I349" s="13" t="s">
        <v>63</v>
      </c>
      <c r="J349" s="17" t="s">
        <v>71</v>
      </c>
      <c r="K349" s="17" t="s">
        <v>58</v>
      </c>
      <c r="L349" s="18" t="s">
        <v>52</v>
      </c>
      <c r="M349" s="19">
        <v>8.0</v>
      </c>
      <c r="N349" s="19">
        <v>31.0</v>
      </c>
    </row>
    <row r="350">
      <c r="A350" s="12">
        <v>348.0</v>
      </c>
      <c r="B350" s="13" t="s">
        <v>561</v>
      </c>
      <c r="C350" s="14">
        <v>28.0</v>
      </c>
      <c r="D350" s="15" t="s">
        <v>1096</v>
      </c>
      <c r="E350" s="16" t="s">
        <v>52</v>
      </c>
      <c r="F350" s="13" t="s">
        <v>1168</v>
      </c>
      <c r="G350" s="13" t="s">
        <v>1169</v>
      </c>
      <c r="H350" s="13" t="s">
        <v>1170</v>
      </c>
      <c r="I350" s="13" t="s">
        <v>63</v>
      </c>
      <c r="J350" s="17" t="s">
        <v>71</v>
      </c>
      <c r="K350" s="17" t="s">
        <v>58</v>
      </c>
      <c r="L350" s="18" t="s">
        <v>52</v>
      </c>
      <c r="M350" s="19">
        <v>8.0</v>
      </c>
      <c r="N350" s="19">
        <v>31.0</v>
      </c>
    </row>
    <row r="351">
      <c r="A351" s="12">
        <v>349.0</v>
      </c>
      <c r="B351" s="13" t="s">
        <v>561</v>
      </c>
      <c r="C351" s="14">
        <v>29.0</v>
      </c>
      <c r="D351" s="15" t="s">
        <v>1096</v>
      </c>
      <c r="E351" s="16" t="s">
        <v>52</v>
      </c>
      <c r="F351" s="13" t="s">
        <v>1171</v>
      </c>
      <c r="G351" s="13" t="s">
        <v>1172</v>
      </c>
      <c r="H351" s="13" t="s">
        <v>1173</v>
      </c>
      <c r="I351" s="13" t="s">
        <v>63</v>
      </c>
      <c r="J351" s="17" t="s">
        <v>71</v>
      </c>
      <c r="K351" s="17" t="s">
        <v>58</v>
      </c>
      <c r="L351" s="18" t="s">
        <v>52</v>
      </c>
      <c r="M351" s="19">
        <v>8.0</v>
      </c>
      <c r="N351" s="19">
        <v>31.0</v>
      </c>
    </row>
    <row r="352">
      <c r="A352" s="12">
        <v>350.0</v>
      </c>
      <c r="B352" s="13" t="s">
        <v>561</v>
      </c>
      <c r="C352" s="14">
        <v>30.0</v>
      </c>
      <c r="D352" s="15" t="s">
        <v>1096</v>
      </c>
      <c r="E352" s="16" t="s">
        <v>52</v>
      </c>
      <c r="F352" s="13" t="s">
        <v>1174</v>
      </c>
      <c r="G352" s="13" t="s">
        <v>1175</v>
      </c>
      <c r="H352" s="13" t="s">
        <v>1176</v>
      </c>
      <c r="I352" s="13" t="s">
        <v>63</v>
      </c>
      <c r="J352" s="17" t="s">
        <v>71</v>
      </c>
      <c r="K352" s="17" t="s">
        <v>58</v>
      </c>
      <c r="L352" s="18" t="s">
        <v>52</v>
      </c>
      <c r="M352" s="19">
        <v>8.0</v>
      </c>
      <c r="N352" s="19">
        <v>31.0</v>
      </c>
    </row>
    <row r="353">
      <c r="A353" s="12">
        <v>351.0</v>
      </c>
      <c r="B353" s="13" t="s">
        <v>341</v>
      </c>
      <c r="C353" s="14">
        <v>1.0</v>
      </c>
      <c r="D353" s="15" t="s">
        <v>1177</v>
      </c>
      <c r="E353" s="16" t="s">
        <v>52</v>
      </c>
      <c r="F353" s="13" t="s">
        <v>541</v>
      </c>
      <c r="G353" s="13" t="s">
        <v>1178</v>
      </c>
      <c r="H353" s="13" t="s">
        <v>1179</v>
      </c>
      <c r="I353" s="13" t="s">
        <v>63</v>
      </c>
      <c r="J353" s="17" t="s">
        <v>57</v>
      </c>
      <c r="K353" s="17" t="s">
        <v>58</v>
      </c>
      <c r="L353" s="18" t="s">
        <v>52</v>
      </c>
      <c r="M353" s="19">
        <v>9.0</v>
      </c>
      <c r="N353" s="19">
        <v>11.0</v>
      </c>
    </row>
    <row r="354">
      <c r="A354" s="12">
        <v>352.0</v>
      </c>
      <c r="B354" s="13" t="s">
        <v>341</v>
      </c>
      <c r="C354" s="14">
        <v>2.0</v>
      </c>
      <c r="D354" s="15" t="s">
        <v>1177</v>
      </c>
      <c r="E354" s="16" t="s">
        <v>52</v>
      </c>
      <c r="F354" s="13" t="s">
        <v>851</v>
      </c>
      <c r="G354" s="13" t="s">
        <v>852</v>
      </c>
      <c r="H354" s="13" t="s">
        <v>853</v>
      </c>
      <c r="I354" s="13" t="s">
        <v>63</v>
      </c>
      <c r="J354" s="17" t="s">
        <v>57</v>
      </c>
      <c r="K354" s="17" t="s">
        <v>58</v>
      </c>
      <c r="L354" s="18" t="s">
        <v>52</v>
      </c>
      <c r="M354" s="19">
        <v>9.0</v>
      </c>
      <c r="N354" s="19">
        <v>11.0</v>
      </c>
    </row>
    <row r="355">
      <c r="A355" s="12">
        <v>353.0</v>
      </c>
      <c r="B355" s="13" t="s">
        <v>341</v>
      </c>
      <c r="C355" s="14">
        <v>3.0</v>
      </c>
      <c r="D355" s="15" t="s">
        <v>1180</v>
      </c>
      <c r="E355" s="16" t="s">
        <v>52</v>
      </c>
      <c r="F355" s="13" t="s">
        <v>860</v>
      </c>
      <c r="G355" s="13" t="s">
        <v>1181</v>
      </c>
      <c r="H355" s="13" t="s">
        <v>1182</v>
      </c>
      <c r="I355" s="13" t="s">
        <v>63</v>
      </c>
      <c r="J355" s="17" t="s">
        <v>67</v>
      </c>
      <c r="K355" s="17" t="s">
        <v>58</v>
      </c>
      <c r="L355" s="18" t="s">
        <v>52</v>
      </c>
      <c r="M355" s="19">
        <v>9.0</v>
      </c>
      <c r="N355" s="19">
        <v>21.0</v>
      </c>
    </row>
    <row r="356">
      <c r="A356" s="12">
        <v>354.0</v>
      </c>
      <c r="B356" s="13" t="s">
        <v>341</v>
      </c>
      <c r="C356" s="14">
        <v>4.0</v>
      </c>
      <c r="D356" s="15" t="s">
        <v>1180</v>
      </c>
      <c r="E356" s="16" t="s">
        <v>52</v>
      </c>
      <c r="F356" s="13" t="s">
        <v>700</v>
      </c>
      <c r="G356" s="13" t="s">
        <v>1183</v>
      </c>
      <c r="H356" s="13" t="s">
        <v>1184</v>
      </c>
      <c r="I356" s="13" t="s">
        <v>63</v>
      </c>
      <c r="J356" s="17" t="s">
        <v>67</v>
      </c>
      <c r="K356" s="17" t="s">
        <v>58</v>
      </c>
      <c r="L356" s="18" t="s">
        <v>52</v>
      </c>
      <c r="M356" s="19">
        <v>9.0</v>
      </c>
      <c r="N356" s="19">
        <v>21.0</v>
      </c>
    </row>
    <row r="357">
      <c r="A357" s="12">
        <v>355.0</v>
      </c>
      <c r="B357" s="13" t="s">
        <v>341</v>
      </c>
      <c r="C357" s="14">
        <v>5.0</v>
      </c>
      <c r="D357" s="15" t="s">
        <v>1177</v>
      </c>
      <c r="E357" s="16" t="s">
        <v>52</v>
      </c>
      <c r="F357" s="13" t="s">
        <v>836</v>
      </c>
      <c r="G357" s="13" t="s">
        <v>1185</v>
      </c>
      <c r="H357" s="13" t="s">
        <v>1186</v>
      </c>
      <c r="I357" s="13" t="s">
        <v>63</v>
      </c>
      <c r="J357" s="17" t="s">
        <v>71</v>
      </c>
      <c r="K357" s="17" t="s">
        <v>58</v>
      </c>
      <c r="L357" s="18" t="s">
        <v>52</v>
      </c>
      <c r="M357" s="19">
        <v>9.0</v>
      </c>
      <c r="N357" s="19">
        <v>31.0</v>
      </c>
    </row>
    <row r="358">
      <c r="A358" s="12">
        <v>356.0</v>
      </c>
      <c r="B358" s="13" t="s">
        <v>341</v>
      </c>
      <c r="C358" s="14">
        <v>6.0</v>
      </c>
      <c r="D358" s="15" t="s">
        <v>1177</v>
      </c>
      <c r="E358" s="16" t="s">
        <v>52</v>
      </c>
      <c r="F358" s="13" t="s">
        <v>672</v>
      </c>
      <c r="G358" s="13" t="s">
        <v>843</v>
      </c>
      <c r="H358" s="13" t="s">
        <v>1187</v>
      </c>
      <c r="I358" s="13" t="s">
        <v>63</v>
      </c>
      <c r="J358" s="17" t="s">
        <v>71</v>
      </c>
      <c r="K358" s="17" t="s">
        <v>58</v>
      </c>
      <c r="L358" s="18" t="s">
        <v>52</v>
      </c>
      <c r="M358" s="19">
        <v>9.0</v>
      </c>
      <c r="N358" s="19">
        <v>31.0</v>
      </c>
    </row>
    <row r="359">
      <c r="A359" s="12">
        <v>357.0</v>
      </c>
      <c r="B359" s="13" t="s">
        <v>341</v>
      </c>
      <c r="C359" s="14">
        <v>7.0</v>
      </c>
      <c r="D359" s="15" t="s">
        <v>1177</v>
      </c>
      <c r="E359" s="16" t="s">
        <v>52</v>
      </c>
      <c r="F359" s="13" t="s">
        <v>489</v>
      </c>
      <c r="G359" s="13" t="s">
        <v>864</v>
      </c>
      <c r="H359" s="13" t="s">
        <v>1188</v>
      </c>
      <c r="I359" s="13" t="s">
        <v>63</v>
      </c>
      <c r="J359" s="17" t="s">
        <v>71</v>
      </c>
      <c r="K359" s="17" t="s">
        <v>58</v>
      </c>
      <c r="L359" s="18" t="s">
        <v>52</v>
      </c>
      <c r="M359" s="19">
        <v>9.0</v>
      </c>
      <c r="N359" s="19">
        <v>31.0</v>
      </c>
    </row>
    <row r="360">
      <c r="A360" s="12">
        <v>358.0</v>
      </c>
      <c r="B360" s="13" t="s">
        <v>341</v>
      </c>
      <c r="C360" s="14">
        <v>8.0</v>
      </c>
      <c r="D360" s="15" t="s">
        <v>1177</v>
      </c>
      <c r="E360" s="16" t="s">
        <v>52</v>
      </c>
      <c r="F360" s="13" t="s">
        <v>471</v>
      </c>
      <c r="G360" s="13" t="s">
        <v>838</v>
      </c>
      <c r="H360" s="13" t="s">
        <v>1189</v>
      </c>
      <c r="I360" s="13" t="s">
        <v>63</v>
      </c>
      <c r="J360" s="17" t="s">
        <v>71</v>
      </c>
      <c r="K360" s="17" t="s">
        <v>58</v>
      </c>
      <c r="L360" s="18" t="s">
        <v>52</v>
      </c>
      <c r="M360" s="19">
        <v>9.0</v>
      </c>
      <c r="N360" s="19">
        <v>31.0</v>
      </c>
    </row>
    <row r="361">
      <c r="A361" s="12">
        <v>359.0</v>
      </c>
      <c r="B361" s="13" t="s">
        <v>341</v>
      </c>
      <c r="C361" s="14">
        <v>9.0</v>
      </c>
      <c r="D361" s="15" t="s">
        <v>1177</v>
      </c>
      <c r="E361" s="16" t="s">
        <v>52</v>
      </c>
      <c r="F361" s="13" t="s">
        <v>570</v>
      </c>
      <c r="G361" s="13" t="s">
        <v>872</v>
      </c>
      <c r="H361" s="13" t="s">
        <v>1190</v>
      </c>
      <c r="I361" s="13" t="s">
        <v>63</v>
      </c>
      <c r="J361" s="17" t="s">
        <v>71</v>
      </c>
      <c r="K361" s="17" t="s">
        <v>58</v>
      </c>
      <c r="L361" s="18" t="s">
        <v>52</v>
      </c>
      <c r="M361" s="19">
        <v>9.0</v>
      </c>
      <c r="N361" s="19">
        <v>31.0</v>
      </c>
    </row>
    <row r="362">
      <c r="A362" s="12">
        <v>360.0</v>
      </c>
      <c r="B362" s="13" t="s">
        <v>341</v>
      </c>
      <c r="C362" s="14">
        <v>10.0</v>
      </c>
      <c r="D362" s="15" t="s">
        <v>1177</v>
      </c>
      <c r="E362" s="16" t="s">
        <v>52</v>
      </c>
      <c r="F362" s="13" t="s">
        <v>737</v>
      </c>
      <c r="G362" s="13" t="s">
        <v>1099</v>
      </c>
      <c r="H362" s="13" t="s">
        <v>1191</v>
      </c>
      <c r="I362" s="13" t="s">
        <v>63</v>
      </c>
      <c r="J362" s="17" t="s">
        <v>71</v>
      </c>
      <c r="K362" s="17" t="s">
        <v>58</v>
      </c>
      <c r="L362" s="18" t="s">
        <v>52</v>
      </c>
      <c r="M362" s="19">
        <v>9.0</v>
      </c>
      <c r="N362" s="19">
        <v>31.0</v>
      </c>
    </row>
    <row r="363">
      <c r="A363" s="12">
        <v>361.0</v>
      </c>
      <c r="B363" s="13" t="s">
        <v>341</v>
      </c>
      <c r="C363" s="14">
        <v>11.0</v>
      </c>
      <c r="D363" s="15" t="s">
        <v>1177</v>
      </c>
      <c r="E363" s="16" t="s">
        <v>52</v>
      </c>
      <c r="F363" s="13" t="s">
        <v>723</v>
      </c>
      <c r="G363" s="13" t="s">
        <v>874</v>
      </c>
      <c r="H363" s="13" t="s">
        <v>1193</v>
      </c>
      <c r="I363" s="13" t="s">
        <v>63</v>
      </c>
      <c r="J363" s="17" t="s">
        <v>71</v>
      </c>
      <c r="K363" s="17" t="s">
        <v>58</v>
      </c>
      <c r="L363" s="18" t="s">
        <v>52</v>
      </c>
      <c r="M363" s="19">
        <v>9.0</v>
      </c>
      <c r="N363" s="19">
        <v>31.0</v>
      </c>
    </row>
    <row r="364">
      <c r="A364" s="12">
        <v>362.0</v>
      </c>
      <c r="B364" s="13" t="s">
        <v>341</v>
      </c>
      <c r="C364" s="14">
        <v>12.0</v>
      </c>
      <c r="D364" s="15" t="s">
        <v>1177</v>
      </c>
      <c r="E364" s="16" t="s">
        <v>52</v>
      </c>
      <c r="F364" s="13" t="s">
        <v>720</v>
      </c>
      <c r="G364" s="13" t="s">
        <v>821</v>
      </c>
      <c r="H364" s="13" t="s">
        <v>1194</v>
      </c>
      <c r="I364" s="13" t="s">
        <v>63</v>
      </c>
      <c r="J364" s="17" t="s">
        <v>71</v>
      </c>
      <c r="K364" s="17" t="s">
        <v>58</v>
      </c>
      <c r="L364" s="18" t="s">
        <v>52</v>
      </c>
      <c r="M364" s="19">
        <v>9.0</v>
      </c>
      <c r="N364" s="19">
        <v>31.0</v>
      </c>
    </row>
    <row r="365">
      <c r="A365" s="12">
        <v>363.0</v>
      </c>
      <c r="B365" s="13" t="s">
        <v>341</v>
      </c>
      <c r="C365" s="14">
        <v>13.0</v>
      </c>
      <c r="D365" s="15" t="s">
        <v>1177</v>
      </c>
      <c r="E365" s="16" t="s">
        <v>52</v>
      </c>
      <c r="F365" s="13" t="s">
        <v>222</v>
      </c>
      <c r="G365" s="13" t="s">
        <v>61</v>
      </c>
      <c r="H365" s="13" t="s">
        <v>929</v>
      </c>
      <c r="I365" s="13" t="s">
        <v>63</v>
      </c>
      <c r="J365" s="17" t="s">
        <v>71</v>
      </c>
      <c r="K365" s="17" t="s">
        <v>58</v>
      </c>
      <c r="L365" s="18" t="s">
        <v>52</v>
      </c>
      <c r="M365" s="19">
        <v>9.0</v>
      </c>
      <c r="N365" s="19">
        <v>31.0</v>
      </c>
    </row>
    <row r="366">
      <c r="A366" s="12">
        <v>364.0</v>
      </c>
      <c r="B366" s="13" t="s">
        <v>341</v>
      </c>
      <c r="C366" s="14">
        <v>14.0</v>
      </c>
      <c r="D366" s="15" t="s">
        <v>1177</v>
      </c>
      <c r="E366" s="16" t="s">
        <v>52</v>
      </c>
      <c r="F366" s="13" t="s">
        <v>501</v>
      </c>
      <c r="G366" s="13" t="s">
        <v>975</v>
      </c>
      <c r="H366" s="13" t="s">
        <v>1195</v>
      </c>
      <c r="I366" s="13" t="s">
        <v>63</v>
      </c>
      <c r="J366" s="17" t="s">
        <v>71</v>
      </c>
      <c r="K366" s="17" t="s">
        <v>58</v>
      </c>
      <c r="L366" s="18" t="s">
        <v>52</v>
      </c>
      <c r="M366" s="19">
        <v>9.0</v>
      </c>
      <c r="N366" s="19">
        <v>31.0</v>
      </c>
    </row>
    <row r="367">
      <c r="A367" s="12">
        <v>365.0</v>
      </c>
      <c r="B367" s="13" t="s">
        <v>341</v>
      </c>
      <c r="C367" s="14">
        <v>15.0</v>
      </c>
      <c r="D367" s="15" t="s">
        <v>1177</v>
      </c>
      <c r="E367" s="16" t="s">
        <v>52</v>
      </c>
      <c r="F367" s="13" t="s">
        <v>612</v>
      </c>
      <c r="G367" s="13" t="s">
        <v>1196</v>
      </c>
      <c r="H367" s="13" t="s">
        <v>1197</v>
      </c>
      <c r="I367" s="13" t="s">
        <v>63</v>
      </c>
      <c r="J367" s="17" t="s">
        <v>71</v>
      </c>
      <c r="K367" s="17" t="s">
        <v>58</v>
      </c>
      <c r="L367" s="18" t="s">
        <v>52</v>
      </c>
      <c r="M367" s="19">
        <v>9.0</v>
      </c>
      <c r="N367" s="19">
        <v>31.0</v>
      </c>
    </row>
    <row r="368">
      <c r="A368" s="12">
        <v>366.0</v>
      </c>
      <c r="B368" s="13" t="s">
        <v>341</v>
      </c>
      <c r="C368" s="14">
        <v>16.0</v>
      </c>
      <c r="D368" s="15" t="s">
        <v>1177</v>
      </c>
      <c r="E368" s="16" t="s">
        <v>52</v>
      </c>
      <c r="F368" s="13" t="s">
        <v>722</v>
      </c>
      <c r="G368" s="13" t="s">
        <v>896</v>
      </c>
      <c r="H368" s="13" t="s">
        <v>897</v>
      </c>
      <c r="I368" s="13" t="s">
        <v>63</v>
      </c>
      <c r="J368" s="17" t="s">
        <v>71</v>
      </c>
      <c r="K368" s="17" t="s">
        <v>58</v>
      </c>
      <c r="L368" s="18" t="s">
        <v>52</v>
      </c>
      <c r="M368" s="19">
        <v>9.0</v>
      </c>
      <c r="N368" s="19">
        <v>31.0</v>
      </c>
    </row>
    <row r="369">
      <c r="A369" s="12">
        <v>367.0</v>
      </c>
      <c r="B369" s="13" t="s">
        <v>341</v>
      </c>
      <c r="C369" s="14">
        <v>17.0</v>
      </c>
      <c r="D369" s="15" t="s">
        <v>1177</v>
      </c>
      <c r="E369" s="16" t="s">
        <v>52</v>
      </c>
      <c r="F369" s="13" t="s">
        <v>632</v>
      </c>
      <c r="G369" s="13" t="s">
        <v>877</v>
      </c>
      <c r="H369" s="13" t="s">
        <v>1200</v>
      </c>
      <c r="I369" s="13" t="s">
        <v>63</v>
      </c>
      <c r="J369" s="17" t="s">
        <v>71</v>
      </c>
      <c r="K369" s="17" t="s">
        <v>58</v>
      </c>
      <c r="L369" s="18" t="s">
        <v>52</v>
      </c>
      <c r="M369" s="19">
        <v>9.0</v>
      </c>
      <c r="N369" s="19">
        <v>31.0</v>
      </c>
    </row>
    <row r="370">
      <c r="A370" s="12">
        <v>368.0</v>
      </c>
      <c r="B370" s="13" t="s">
        <v>341</v>
      </c>
      <c r="C370" s="14">
        <v>18.0</v>
      </c>
      <c r="D370" s="15" t="s">
        <v>1180</v>
      </c>
      <c r="E370" s="16" t="s">
        <v>52</v>
      </c>
      <c r="F370" s="13" t="s">
        <v>270</v>
      </c>
      <c r="G370" s="13" t="s">
        <v>271</v>
      </c>
      <c r="H370" s="13" t="s">
        <v>272</v>
      </c>
      <c r="I370" s="13" t="s">
        <v>63</v>
      </c>
      <c r="J370" s="17" t="s">
        <v>71</v>
      </c>
      <c r="K370" s="17" t="s">
        <v>58</v>
      </c>
      <c r="L370" s="18" t="s">
        <v>52</v>
      </c>
      <c r="M370" s="19">
        <v>9.0</v>
      </c>
      <c r="N370" s="19">
        <v>31.0</v>
      </c>
    </row>
    <row r="371">
      <c r="A371" s="12">
        <v>369.0</v>
      </c>
      <c r="B371" s="13" t="s">
        <v>341</v>
      </c>
      <c r="C371" s="14">
        <v>19.0</v>
      </c>
      <c r="D371" s="15" t="s">
        <v>1180</v>
      </c>
      <c r="E371" s="16" t="s">
        <v>52</v>
      </c>
      <c r="F371" s="13" t="s">
        <v>308</v>
      </c>
      <c r="G371" s="13" t="s">
        <v>310</v>
      </c>
      <c r="H371" s="13" t="s">
        <v>311</v>
      </c>
      <c r="I371" s="13" t="s">
        <v>63</v>
      </c>
      <c r="J371" s="17" t="s">
        <v>71</v>
      </c>
      <c r="K371" s="17" t="s">
        <v>58</v>
      </c>
      <c r="L371" s="18" t="s">
        <v>52</v>
      </c>
      <c r="M371" s="19">
        <v>9.0</v>
      </c>
      <c r="N371" s="19">
        <v>31.0</v>
      </c>
    </row>
    <row r="372">
      <c r="A372" s="12">
        <v>370.0</v>
      </c>
      <c r="B372" s="13" t="s">
        <v>341</v>
      </c>
      <c r="C372" s="14">
        <v>20.0</v>
      </c>
      <c r="D372" s="15" t="s">
        <v>1180</v>
      </c>
      <c r="E372" s="16" t="s">
        <v>52</v>
      </c>
      <c r="F372" s="13" t="s">
        <v>240</v>
      </c>
      <c r="G372" s="13" t="s">
        <v>61</v>
      </c>
      <c r="H372" s="13" t="s">
        <v>242</v>
      </c>
      <c r="I372" s="13" t="s">
        <v>63</v>
      </c>
      <c r="J372" s="17" t="s">
        <v>71</v>
      </c>
      <c r="K372" s="17" t="s">
        <v>58</v>
      </c>
      <c r="L372" s="18" t="s">
        <v>52</v>
      </c>
      <c r="M372" s="19">
        <v>9.0</v>
      </c>
      <c r="N372" s="19">
        <v>31.0</v>
      </c>
    </row>
    <row r="373">
      <c r="A373" s="12">
        <v>371.0</v>
      </c>
      <c r="B373" s="13" t="s">
        <v>341</v>
      </c>
      <c r="C373" s="14">
        <v>21.0</v>
      </c>
      <c r="D373" s="15" t="s">
        <v>1180</v>
      </c>
      <c r="E373" s="16" t="s">
        <v>52</v>
      </c>
      <c r="F373" s="13" t="s">
        <v>334</v>
      </c>
      <c r="G373" s="13" t="s">
        <v>335</v>
      </c>
      <c r="H373" s="13" t="s">
        <v>337</v>
      </c>
      <c r="I373" s="13" t="s">
        <v>63</v>
      </c>
      <c r="J373" s="17" t="s">
        <v>71</v>
      </c>
      <c r="K373" s="17" t="s">
        <v>58</v>
      </c>
      <c r="L373" s="18" t="s">
        <v>52</v>
      </c>
      <c r="M373" s="19">
        <v>9.0</v>
      </c>
      <c r="N373" s="19">
        <v>31.0</v>
      </c>
    </row>
    <row r="374">
      <c r="A374" s="12">
        <v>372.0</v>
      </c>
      <c r="B374" s="13" t="s">
        <v>341</v>
      </c>
      <c r="C374" s="14">
        <v>22.0</v>
      </c>
      <c r="D374" s="15" t="s">
        <v>1205</v>
      </c>
      <c r="E374" s="16" t="s">
        <v>52</v>
      </c>
      <c r="F374" s="13" t="s">
        <v>833</v>
      </c>
      <c r="G374" s="13" t="s">
        <v>61</v>
      </c>
      <c r="H374" s="13" t="s">
        <v>1206</v>
      </c>
      <c r="I374" s="13" t="s">
        <v>63</v>
      </c>
      <c r="J374" s="17" t="s">
        <v>71</v>
      </c>
      <c r="K374" s="17" t="s">
        <v>58</v>
      </c>
      <c r="L374" s="18" t="s">
        <v>52</v>
      </c>
      <c r="M374" s="19">
        <v>9.0</v>
      </c>
      <c r="N374" s="19">
        <v>31.0</v>
      </c>
    </row>
    <row r="375">
      <c r="A375" s="12">
        <v>373.0</v>
      </c>
      <c r="B375" s="13" t="s">
        <v>341</v>
      </c>
      <c r="C375" s="14">
        <v>23.0</v>
      </c>
      <c r="D375" s="15" t="s">
        <v>1205</v>
      </c>
      <c r="E375" s="16" t="s">
        <v>52</v>
      </c>
      <c r="F375" s="13" t="s">
        <v>701</v>
      </c>
      <c r="G375" s="13" t="s">
        <v>1207</v>
      </c>
      <c r="H375" s="13" t="s">
        <v>1208</v>
      </c>
      <c r="I375" s="13" t="s">
        <v>63</v>
      </c>
      <c r="J375" s="17" t="s">
        <v>71</v>
      </c>
      <c r="K375" s="17" t="s">
        <v>58</v>
      </c>
      <c r="L375" s="18" t="s">
        <v>52</v>
      </c>
      <c r="M375" s="19">
        <v>9.0</v>
      </c>
      <c r="N375" s="19">
        <v>31.0</v>
      </c>
    </row>
    <row r="376">
      <c r="A376" s="12">
        <v>374.0</v>
      </c>
      <c r="B376" s="13" t="s">
        <v>341</v>
      </c>
      <c r="C376" s="14">
        <v>24.0</v>
      </c>
      <c r="D376" s="15" t="s">
        <v>1205</v>
      </c>
      <c r="E376" s="16" t="s">
        <v>52</v>
      </c>
      <c r="F376" s="13" t="s">
        <v>891</v>
      </c>
      <c r="G376" s="13" t="s">
        <v>61</v>
      </c>
      <c r="H376" s="13" t="s">
        <v>1209</v>
      </c>
      <c r="I376" s="13" t="s">
        <v>63</v>
      </c>
      <c r="J376" s="17" t="s">
        <v>71</v>
      </c>
      <c r="K376" s="17" t="s">
        <v>58</v>
      </c>
      <c r="L376" s="18" t="s">
        <v>52</v>
      </c>
      <c r="M376" s="19">
        <v>9.0</v>
      </c>
      <c r="N376" s="19">
        <v>31.0</v>
      </c>
    </row>
    <row r="377">
      <c r="A377" s="12">
        <v>375.0</v>
      </c>
      <c r="B377" s="13" t="s">
        <v>341</v>
      </c>
      <c r="C377" s="14">
        <v>25.0</v>
      </c>
      <c r="D377" s="15" t="s">
        <v>1205</v>
      </c>
      <c r="E377" s="16" t="s">
        <v>52</v>
      </c>
      <c r="F377" s="13" t="s">
        <v>894</v>
      </c>
      <c r="G377" s="13" t="s">
        <v>61</v>
      </c>
      <c r="H377" s="13" t="s">
        <v>1211</v>
      </c>
      <c r="I377" s="13" t="s">
        <v>63</v>
      </c>
      <c r="J377" s="17" t="s">
        <v>71</v>
      </c>
      <c r="K377" s="17" t="s">
        <v>58</v>
      </c>
      <c r="L377" s="18" t="s">
        <v>52</v>
      </c>
      <c r="M377" s="19">
        <v>9.0</v>
      </c>
      <c r="N377" s="19">
        <v>31.0</v>
      </c>
    </row>
    <row r="378">
      <c r="A378" s="12">
        <v>376.0</v>
      </c>
      <c r="B378" s="13" t="s">
        <v>341</v>
      </c>
      <c r="C378" s="14">
        <v>26.0</v>
      </c>
      <c r="D378" s="15" t="s">
        <v>1205</v>
      </c>
      <c r="E378" s="16" t="s">
        <v>52</v>
      </c>
      <c r="F378" s="13" t="s">
        <v>375</v>
      </c>
      <c r="G378" s="13" t="s">
        <v>1212</v>
      </c>
      <c r="H378" s="13" t="s">
        <v>1213</v>
      </c>
      <c r="I378" s="13" t="s">
        <v>63</v>
      </c>
      <c r="J378" s="17" t="s">
        <v>71</v>
      </c>
      <c r="K378" s="17" t="s">
        <v>58</v>
      </c>
      <c r="L378" s="18" t="s">
        <v>52</v>
      </c>
      <c r="M378" s="19">
        <v>9.0</v>
      </c>
      <c r="N378" s="19">
        <v>31.0</v>
      </c>
    </row>
    <row r="379">
      <c r="A379" s="12">
        <v>377.0</v>
      </c>
      <c r="B379" s="13" t="s">
        <v>341</v>
      </c>
      <c r="C379" s="14">
        <v>27.0</v>
      </c>
      <c r="D379" s="15" t="s">
        <v>1205</v>
      </c>
      <c r="E379" s="16" t="s">
        <v>52</v>
      </c>
      <c r="F379" s="13" t="s">
        <v>320</v>
      </c>
      <c r="G379" s="13" t="s">
        <v>1214</v>
      </c>
      <c r="H379" s="13" t="s">
        <v>1215</v>
      </c>
      <c r="I379" s="13" t="s">
        <v>63</v>
      </c>
      <c r="J379" s="17" t="s">
        <v>71</v>
      </c>
      <c r="K379" s="17" t="s">
        <v>58</v>
      </c>
      <c r="L379" s="18" t="s">
        <v>52</v>
      </c>
      <c r="M379" s="19">
        <v>9.0</v>
      </c>
      <c r="N379" s="19">
        <v>31.0</v>
      </c>
    </row>
    <row r="380">
      <c r="A380" s="12">
        <v>378.0</v>
      </c>
      <c r="B380" s="13" t="s">
        <v>341</v>
      </c>
      <c r="C380" s="14">
        <v>28.0</v>
      </c>
      <c r="D380" s="15" t="s">
        <v>1205</v>
      </c>
      <c r="E380" s="16" t="s">
        <v>52</v>
      </c>
      <c r="F380" s="13" t="s">
        <v>1217</v>
      </c>
      <c r="G380" s="13" t="s">
        <v>1218</v>
      </c>
      <c r="H380" s="13" t="s">
        <v>1219</v>
      </c>
      <c r="I380" s="13" t="s">
        <v>63</v>
      </c>
      <c r="J380" s="17" t="s">
        <v>71</v>
      </c>
      <c r="K380" s="17" t="s">
        <v>58</v>
      </c>
      <c r="L380" s="18" t="s">
        <v>52</v>
      </c>
      <c r="M380" s="19">
        <v>9.0</v>
      </c>
      <c r="N380" s="19">
        <v>31.0</v>
      </c>
    </row>
    <row r="381">
      <c r="A381" s="12">
        <v>379.0</v>
      </c>
      <c r="B381" s="13" t="s">
        <v>341</v>
      </c>
      <c r="C381" s="14">
        <v>29.0</v>
      </c>
      <c r="D381" s="15" t="s">
        <v>1205</v>
      </c>
      <c r="E381" s="16" t="s">
        <v>52</v>
      </c>
      <c r="F381" s="13" t="s">
        <v>845</v>
      </c>
      <c r="G381" s="13" t="s">
        <v>1220</v>
      </c>
      <c r="H381" s="13" t="s">
        <v>1221</v>
      </c>
      <c r="I381" s="13" t="s">
        <v>63</v>
      </c>
      <c r="J381" s="17" t="s">
        <v>71</v>
      </c>
      <c r="K381" s="17" t="s">
        <v>58</v>
      </c>
      <c r="L381" s="18" t="s">
        <v>52</v>
      </c>
      <c r="M381" s="19">
        <v>9.0</v>
      </c>
      <c r="N381" s="19">
        <v>31.0</v>
      </c>
    </row>
    <row r="382">
      <c r="A382" s="12">
        <v>380.0</v>
      </c>
      <c r="B382" s="13" t="s">
        <v>341</v>
      </c>
      <c r="C382" s="14">
        <v>30.0</v>
      </c>
      <c r="D382" s="15" t="s">
        <v>1205</v>
      </c>
      <c r="E382" s="16" t="s">
        <v>52</v>
      </c>
      <c r="F382" s="13" t="s">
        <v>350</v>
      </c>
      <c r="G382" s="13" t="s">
        <v>1223</v>
      </c>
      <c r="H382" s="13" t="s">
        <v>1224</v>
      </c>
      <c r="I382" s="13" t="s">
        <v>63</v>
      </c>
      <c r="J382" s="17" t="s">
        <v>71</v>
      </c>
      <c r="K382" s="17" t="s">
        <v>58</v>
      </c>
      <c r="L382" s="18" t="s">
        <v>52</v>
      </c>
      <c r="M382" s="19">
        <v>9.0</v>
      </c>
      <c r="N382" s="19">
        <v>31.0</v>
      </c>
    </row>
    <row r="383">
      <c r="A383" s="12">
        <v>381.0</v>
      </c>
      <c r="B383" s="13" t="s">
        <v>1225</v>
      </c>
      <c r="C383" s="14">
        <v>1.0</v>
      </c>
      <c r="D383" s="15" t="s">
        <v>1226</v>
      </c>
      <c r="E383" s="16" t="s">
        <v>221</v>
      </c>
      <c r="F383" s="13" t="s">
        <v>1228</v>
      </c>
      <c r="G383" s="13" t="s">
        <v>61</v>
      </c>
      <c r="H383" s="13" t="s">
        <v>1229</v>
      </c>
      <c r="I383" s="13" t="s">
        <v>63</v>
      </c>
      <c r="J383" s="17" t="s">
        <v>57</v>
      </c>
      <c r="K383" s="17" t="s">
        <v>58</v>
      </c>
      <c r="L383" s="18" t="s">
        <v>52</v>
      </c>
      <c r="M383" s="19">
        <v>10.0</v>
      </c>
      <c r="N383" s="19">
        <v>11.0</v>
      </c>
    </row>
    <row r="384">
      <c r="A384" s="12">
        <v>382.0</v>
      </c>
      <c r="B384" s="13" t="s">
        <v>1225</v>
      </c>
      <c r="C384" s="14">
        <v>2.0</v>
      </c>
      <c r="D384" s="15" t="s">
        <v>1230</v>
      </c>
      <c r="E384" s="16" t="s">
        <v>221</v>
      </c>
      <c r="F384" s="13" t="s">
        <v>1232</v>
      </c>
      <c r="G384" s="13" t="s">
        <v>1233</v>
      </c>
      <c r="H384" s="13" t="s">
        <v>1234</v>
      </c>
      <c r="I384" s="13" t="s">
        <v>63</v>
      </c>
      <c r="J384" s="17" t="s">
        <v>57</v>
      </c>
      <c r="K384" s="17" t="s">
        <v>58</v>
      </c>
      <c r="L384" s="18" t="s">
        <v>52</v>
      </c>
      <c r="M384" s="19">
        <v>10.0</v>
      </c>
      <c r="N384" s="19">
        <v>11.0</v>
      </c>
    </row>
    <row r="385">
      <c r="A385" s="12">
        <v>383.0</v>
      </c>
      <c r="B385" s="13" t="s">
        <v>1225</v>
      </c>
      <c r="C385" s="14">
        <v>3.0</v>
      </c>
      <c r="D385" s="15" t="s">
        <v>1235</v>
      </c>
      <c r="E385" s="16" t="s">
        <v>221</v>
      </c>
      <c r="F385" s="13" t="s">
        <v>1236</v>
      </c>
      <c r="G385" s="13" t="s">
        <v>1237</v>
      </c>
      <c r="H385" s="13" t="s">
        <v>1239</v>
      </c>
      <c r="I385" s="13" t="s">
        <v>63</v>
      </c>
      <c r="J385" s="17" t="s">
        <v>57</v>
      </c>
      <c r="K385" s="17" t="s">
        <v>58</v>
      </c>
      <c r="L385" s="18" t="s">
        <v>52</v>
      </c>
      <c r="M385" s="19">
        <v>10.0</v>
      </c>
      <c r="N385" s="19">
        <v>11.0</v>
      </c>
    </row>
    <row r="386">
      <c r="A386" s="12">
        <v>384.0</v>
      </c>
      <c r="B386" s="13" t="s">
        <v>1225</v>
      </c>
      <c r="C386" s="14">
        <v>4.0</v>
      </c>
      <c r="D386" s="15" t="s">
        <v>1226</v>
      </c>
      <c r="E386" s="16" t="s">
        <v>221</v>
      </c>
      <c r="F386" s="13" t="s">
        <v>1240</v>
      </c>
      <c r="G386" s="13" t="s">
        <v>1241</v>
      </c>
      <c r="H386" s="13" t="s">
        <v>1242</v>
      </c>
      <c r="I386" s="13" t="s">
        <v>63</v>
      </c>
      <c r="J386" s="17" t="s">
        <v>67</v>
      </c>
      <c r="K386" s="17" t="s">
        <v>58</v>
      </c>
      <c r="L386" s="18" t="s">
        <v>52</v>
      </c>
      <c r="M386" s="19">
        <v>10.0</v>
      </c>
      <c r="N386" s="19">
        <v>21.0</v>
      </c>
    </row>
    <row r="387">
      <c r="A387" s="12">
        <v>385.0</v>
      </c>
      <c r="B387" s="13" t="s">
        <v>1225</v>
      </c>
      <c r="C387" s="14">
        <v>5.0</v>
      </c>
      <c r="D387" s="15" t="s">
        <v>1226</v>
      </c>
      <c r="E387" s="16" t="s">
        <v>221</v>
      </c>
      <c r="F387" s="13" t="s">
        <v>1244</v>
      </c>
      <c r="G387" s="13" t="s">
        <v>1245</v>
      </c>
      <c r="H387" s="13" t="s">
        <v>1246</v>
      </c>
      <c r="I387" s="13" t="s">
        <v>63</v>
      </c>
      <c r="J387" s="17" t="s">
        <v>67</v>
      </c>
      <c r="K387" s="17" t="s">
        <v>58</v>
      </c>
      <c r="L387" s="18" t="s">
        <v>52</v>
      </c>
      <c r="M387" s="19">
        <v>10.0</v>
      </c>
      <c r="N387" s="19">
        <v>21.0</v>
      </c>
    </row>
    <row r="388">
      <c r="A388" s="12">
        <v>386.0</v>
      </c>
      <c r="B388" s="13" t="s">
        <v>1225</v>
      </c>
      <c r="C388" s="14">
        <v>6.0</v>
      </c>
      <c r="D388" s="15" t="s">
        <v>1248</v>
      </c>
      <c r="E388" s="16" t="s">
        <v>221</v>
      </c>
      <c r="F388" s="13" t="s">
        <v>1249</v>
      </c>
      <c r="G388" s="13" t="s">
        <v>1250</v>
      </c>
      <c r="H388" s="13" t="s">
        <v>1251</v>
      </c>
      <c r="I388" s="13" t="s">
        <v>63</v>
      </c>
      <c r="J388" s="17" t="s">
        <v>71</v>
      </c>
      <c r="K388" s="17" t="s">
        <v>58</v>
      </c>
      <c r="L388" s="18" t="s">
        <v>52</v>
      </c>
      <c r="M388" s="19">
        <v>10.0</v>
      </c>
      <c r="N388" s="19">
        <v>31.0</v>
      </c>
    </row>
    <row r="389">
      <c r="A389" s="12">
        <v>387.0</v>
      </c>
      <c r="B389" s="13" t="s">
        <v>1225</v>
      </c>
      <c r="C389" s="14">
        <v>7.0</v>
      </c>
      <c r="D389" s="15" t="s">
        <v>1248</v>
      </c>
      <c r="E389" s="16" t="s">
        <v>221</v>
      </c>
      <c r="F389" s="13" t="s">
        <v>1253</v>
      </c>
      <c r="G389" s="13" t="s">
        <v>61</v>
      </c>
      <c r="H389" s="13" t="s">
        <v>1254</v>
      </c>
      <c r="I389" s="13" t="s">
        <v>63</v>
      </c>
      <c r="J389" s="17" t="s">
        <v>71</v>
      </c>
      <c r="K389" s="17" t="s">
        <v>58</v>
      </c>
      <c r="L389" s="18" t="s">
        <v>52</v>
      </c>
      <c r="M389" s="19">
        <v>10.0</v>
      </c>
      <c r="N389" s="19">
        <v>31.0</v>
      </c>
    </row>
    <row r="390">
      <c r="A390" s="12">
        <v>388.0</v>
      </c>
      <c r="B390" s="13" t="s">
        <v>1225</v>
      </c>
      <c r="C390" s="14">
        <v>8.0</v>
      </c>
      <c r="D390" s="15" t="s">
        <v>1226</v>
      </c>
      <c r="E390" s="16" t="s">
        <v>221</v>
      </c>
      <c r="F390" s="13" t="s">
        <v>1255</v>
      </c>
      <c r="G390" s="13" t="s">
        <v>1256</v>
      </c>
      <c r="H390" s="13" t="s">
        <v>1257</v>
      </c>
      <c r="I390" s="13" t="s">
        <v>63</v>
      </c>
      <c r="J390" s="17" t="s">
        <v>71</v>
      </c>
      <c r="K390" s="17" t="s">
        <v>58</v>
      </c>
      <c r="L390" s="18" t="s">
        <v>52</v>
      </c>
      <c r="M390" s="19">
        <v>10.0</v>
      </c>
      <c r="N390" s="19">
        <v>31.0</v>
      </c>
    </row>
    <row r="391">
      <c r="A391" s="12">
        <v>389.0</v>
      </c>
      <c r="B391" s="13" t="s">
        <v>1225</v>
      </c>
      <c r="C391" s="14">
        <v>9.0</v>
      </c>
      <c r="D391" s="15" t="s">
        <v>1226</v>
      </c>
      <c r="E391" s="16" t="s">
        <v>221</v>
      </c>
      <c r="F391" s="13" t="s">
        <v>1258</v>
      </c>
      <c r="G391" s="13" t="s">
        <v>1259</v>
      </c>
      <c r="H391" s="13" t="s">
        <v>1260</v>
      </c>
      <c r="I391" s="13" t="s">
        <v>63</v>
      </c>
      <c r="J391" s="17" t="s">
        <v>71</v>
      </c>
      <c r="K391" s="17" t="s">
        <v>58</v>
      </c>
      <c r="L391" s="18" t="s">
        <v>52</v>
      </c>
      <c r="M391" s="19">
        <v>10.0</v>
      </c>
      <c r="N391" s="19">
        <v>31.0</v>
      </c>
    </row>
    <row r="392">
      <c r="A392" s="12">
        <v>390.0</v>
      </c>
      <c r="B392" s="13" t="s">
        <v>1225</v>
      </c>
      <c r="C392" s="14">
        <v>10.0</v>
      </c>
      <c r="D392" s="15" t="s">
        <v>1226</v>
      </c>
      <c r="E392" s="16" t="s">
        <v>221</v>
      </c>
      <c r="F392" s="13" t="s">
        <v>1262</v>
      </c>
      <c r="G392" s="13" t="s">
        <v>1263</v>
      </c>
      <c r="H392" s="13" t="s">
        <v>1264</v>
      </c>
      <c r="I392" s="13" t="s">
        <v>63</v>
      </c>
      <c r="J392" s="17" t="s">
        <v>71</v>
      </c>
      <c r="K392" s="17" t="s">
        <v>58</v>
      </c>
      <c r="L392" s="18" t="s">
        <v>52</v>
      </c>
      <c r="M392" s="19">
        <v>10.0</v>
      </c>
      <c r="N392" s="19">
        <v>31.0</v>
      </c>
    </row>
    <row r="393">
      <c r="A393" s="12">
        <v>391.0</v>
      </c>
      <c r="B393" s="13" t="s">
        <v>1225</v>
      </c>
      <c r="C393" s="14">
        <v>11.0</v>
      </c>
      <c r="D393" s="15" t="s">
        <v>1226</v>
      </c>
      <c r="E393" s="16" t="s">
        <v>221</v>
      </c>
      <c r="F393" s="13" t="s">
        <v>1265</v>
      </c>
      <c r="G393" s="13" t="s">
        <v>1266</v>
      </c>
      <c r="H393" s="13" t="s">
        <v>1267</v>
      </c>
      <c r="I393" s="13" t="s">
        <v>63</v>
      </c>
      <c r="J393" s="17" t="s">
        <v>71</v>
      </c>
      <c r="K393" s="17" t="s">
        <v>58</v>
      </c>
      <c r="L393" s="18" t="s">
        <v>52</v>
      </c>
      <c r="M393" s="19">
        <v>10.0</v>
      </c>
      <c r="N393" s="19">
        <v>31.0</v>
      </c>
    </row>
    <row r="394">
      <c r="A394" s="12">
        <v>392.0</v>
      </c>
      <c r="B394" s="13" t="s">
        <v>1225</v>
      </c>
      <c r="C394" s="14">
        <v>12.0</v>
      </c>
      <c r="D394" s="15" t="s">
        <v>1226</v>
      </c>
      <c r="E394" s="16" t="s">
        <v>221</v>
      </c>
      <c r="F394" s="13" t="s">
        <v>1268</v>
      </c>
      <c r="G394" s="13" t="s">
        <v>1269</v>
      </c>
      <c r="H394" s="13" t="s">
        <v>1270</v>
      </c>
      <c r="I394" s="13" t="s">
        <v>63</v>
      </c>
      <c r="J394" s="17" t="s">
        <v>71</v>
      </c>
      <c r="K394" s="17" t="s">
        <v>58</v>
      </c>
      <c r="L394" s="18" t="s">
        <v>52</v>
      </c>
      <c r="M394" s="19">
        <v>10.0</v>
      </c>
      <c r="N394" s="19">
        <v>31.0</v>
      </c>
    </row>
    <row r="395">
      <c r="A395" s="12">
        <v>393.0</v>
      </c>
      <c r="B395" s="13" t="s">
        <v>1225</v>
      </c>
      <c r="C395" s="14">
        <v>13.0</v>
      </c>
      <c r="D395" s="15" t="s">
        <v>1226</v>
      </c>
      <c r="E395" s="16" t="s">
        <v>221</v>
      </c>
      <c r="F395" s="13" t="s">
        <v>1272</v>
      </c>
      <c r="G395" s="13" t="s">
        <v>1273</v>
      </c>
      <c r="H395" s="13" t="s">
        <v>1274</v>
      </c>
      <c r="I395" s="13" t="s">
        <v>63</v>
      </c>
      <c r="J395" s="17" t="s">
        <v>71</v>
      </c>
      <c r="K395" s="17" t="s">
        <v>58</v>
      </c>
      <c r="L395" s="18" t="s">
        <v>52</v>
      </c>
      <c r="M395" s="19">
        <v>10.0</v>
      </c>
      <c r="N395" s="19">
        <v>31.0</v>
      </c>
    </row>
    <row r="396">
      <c r="A396" s="12">
        <v>394.0</v>
      </c>
      <c r="B396" s="13" t="s">
        <v>1225</v>
      </c>
      <c r="C396" s="14">
        <v>14.0</v>
      </c>
      <c r="D396" s="15" t="s">
        <v>1226</v>
      </c>
      <c r="E396" s="16" t="s">
        <v>221</v>
      </c>
      <c r="F396" s="13" t="s">
        <v>1275</v>
      </c>
      <c r="G396" s="13" t="s">
        <v>1276</v>
      </c>
      <c r="H396" s="13" t="s">
        <v>1277</v>
      </c>
      <c r="I396" s="13" t="s">
        <v>63</v>
      </c>
      <c r="J396" s="17" t="s">
        <v>71</v>
      </c>
      <c r="K396" s="17" t="s">
        <v>58</v>
      </c>
      <c r="L396" s="18" t="s">
        <v>52</v>
      </c>
      <c r="M396" s="19">
        <v>10.0</v>
      </c>
      <c r="N396" s="19">
        <v>31.0</v>
      </c>
    </row>
    <row r="397">
      <c r="A397" s="12">
        <v>395.0</v>
      </c>
      <c r="B397" s="13" t="s">
        <v>1225</v>
      </c>
      <c r="C397" s="14">
        <v>15.0</v>
      </c>
      <c r="D397" s="15" t="s">
        <v>1226</v>
      </c>
      <c r="E397" s="16" t="s">
        <v>221</v>
      </c>
      <c r="F397" s="13" t="s">
        <v>1278</v>
      </c>
      <c r="G397" s="13" t="s">
        <v>1279</v>
      </c>
      <c r="H397" s="13" t="s">
        <v>1280</v>
      </c>
      <c r="I397" s="13" t="s">
        <v>63</v>
      </c>
      <c r="J397" s="17" t="s">
        <v>71</v>
      </c>
      <c r="K397" s="17" t="s">
        <v>58</v>
      </c>
      <c r="L397" s="18" t="s">
        <v>52</v>
      </c>
      <c r="M397" s="19">
        <v>10.0</v>
      </c>
      <c r="N397" s="19">
        <v>31.0</v>
      </c>
    </row>
    <row r="398">
      <c r="A398" s="12">
        <v>396.0</v>
      </c>
      <c r="B398" s="13" t="s">
        <v>1225</v>
      </c>
      <c r="C398" s="14">
        <v>16.0</v>
      </c>
      <c r="D398" s="15" t="s">
        <v>1226</v>
      </c>
      <c r="E398" s="16" t="s">
        <v>221</v>
      </c>
      <c r="F398" s="13" t="s">
        <v>1281</v>
      </c>
      <c r="G398" s="13" t="s">
        <v>1282</v>
      </c>
      <c r="H398" s="13" t="s">
        <v>1283</v>
      </c>
      <c r="I398" s="13" t="s">
        <v>63</v>
      </c>
      <c r="J398" s="17" t="s">
        <v>71</v>
      </c>
      <c r="K398" s="17" t="s">
        <v>58</v>
      </c>
      <c r="L398" s="18" t="s">
        <v>52</v>
      </c>
      <c r="M398" s="19">
        <v>10.0</v>
      </c>
      <c r="N398" s="19">
        <v>31.0</v>
      </c>
    </row>
    <row r="399">
      <c r="A399" s="12">
        <v>397.0</v>
      </c>
      <c r="B399" s="13" t="s">
        <v>1225</v>
      </c>
      <c r="C399" s="14">
        <v>17.0</v>
      </c>
      <c r="D399" s="15" t="s">
        <v>1226</v>
      </c>
      <c r="E399" s="16" t="s">
        <v>221</v>
      </c>
      <c r="F399" s="13" t="s">
        <v>1284</v>
      </c>
      <c r="G399" s="13" t="s">
        <v>1282</v>
      </c>
      <c r="H399" s="13" t="s">
        <v>1283</v>
      </c>
      <c r="I399" s="13" t="s">
        <v>63</v>
      </c>
      <c r="J399" s="17" t="s">
        <v>71</v>
      </c>
      <c r="K399" s="17" t="s">
        <v>58</v>
      </c>
      <c r="L399" s="18" t="s">
        <v>52</v>
      </c>
      <c r="M399" s="19">
        <v>10.0</v>
      </c>
      <c r="N399" s="19">
        <v>31.0</v>
      </c>
    </row>
    <row r="400">
      <c r="A400" s="12">
        <v>398.0</v>
      </c>
      <c r="B400" s="13" t="s">
        <v>1225</v>
      </c>
      <c r="C400" s="14">
        <v>18.0</v>
      </c>
      <c r="D400" s="15" t="s">
        <v>1230</v>
      </c>
      <c r="E400" s="16" t="s">
        <v>221</v>
      </c>
      <c r="F400" s="13" t="s">
        <v>1285</v>
      </c>
      <c r="G400" s="13" t="s">
        <v>1286</v>
      </c>
      <c r="H400" s="13" t="s">
        <v>1287</v>
      </c>
      <c r="I400" s="13" t="s">
        <v>63</v>
      </c>
      <c r="J400" s="17" t="s">
        <v>71</v>
      </c>
      <c r="K400" s="17" t="s">
        <v>58</v>
      </c>
      <c r="L400" s="18" t="s">
        <v>52</v>
      </c>
      <c r="M400" s="19">
        <v>10.0</v>
      </c>
      <c r="N400" s="19">
        <v>31.0</v>
      </c>
    </row>
    <row r="401">
      <c r="A401" s="12">
        <v>399.0</v>
      </c>
      <c r="B401" s="13" t="s">
        <v>1225</v>
      </c>
      <c r="C401" s="14">
        <v>19.0</v>
      </c>
      <c r="D401" s="15" t="s">
        <v>1230</v>
      </c>
      <c r="E401" s="16" t="s">
        <v>221</v>
      </c>
      <c r="F401" s="13" t="s">
        <v>1288</v>
      </c>
      <c r="G401" s="13" t="s">
        <v>61</v>
      </c>
      <c r="H401" s="13" t="s">
        <v>1289</v>
      </c>
      <c r="I401" s="13" t="s">
        <v>63</v>
      </c>
      <c r="J401" s="17" t="s">
        <v>71</v>
      </c>
      <c r="K401" s="17" t="s">
        <v>58</v>
      </c>
      <c r="L401" s="18" t="s">
        <v>52</v>
      </c>
      <c r="M401" s="19">
        <v>10.0</v>
      </c>
      <c r="N401" s="19">
        <v>31.0</v>
      </c>
    </row>
    <row r="402">
      <c r="A402" s="12">
        <v>400.0</v>
      </c>
      <c r="B402" s="13" t="s">
        <v>1225</v>
      </c>
      <c r="C402" s="14">
        <v>20.0</v>
      </c>
      <c r="D402" s="15" t="s">
        <v>1230</v>
      </c>
      <c r="E402" s="16" t="s">
        <v>221</v>
      </c>
      <c r="F402" s="13" t="s">
        <v>1290</v>
      </c>
      <c r="G402" s="13" t="s">
        <v>1291</v>
      </c>
      <c r="H402" s="13" t="s">
        <v>1292</v>
      </c>
      <c r="I402" s="13" t="s">
        <v>63</v>
      </c>
      <c r="J402" s="17" t="s">
        <v>71</v>
      </c>
      <c r="K402" s="17" t="s">
        <v>58</v>
      </c>
      <c r="L402" s="18" t="s">
        <v>52</v>
      </c>
      <c r="M402" s="19">
        <v>10.0</v>
      </c>
      <c r="N402" s="19">
        <v>31.0</v>
      </c>
    </row>
    <row r="403">
      <c r="A403" s="12">
        <v>401.0</v>
      </c>
      <c r="B403" s="13" t="s">
        <v>1225</v>
      </c>
      <c r="C403" s="14">
        <v>21.0</v>
      </c>
      <c r="D403" s="15" t="s">
        <v>1230</v>
      </c>
      <c r="E403" s="16" t="s">
        <v>221</v>
      </c>
      <c r="F403" s="13" t="s">
        <v>1293</v>
      </c>
      <c r="G403" s="13" t="s">
        <v>1294</v>
      </c>
      <c r="H403" s="13" t="s">
        <v>1295</v>
      </c>
      <c r="I403" s="13" t="s">
        <v>63</v>
      </c>
      <c r="J403" s="17" t="s">
        <v>71</v>
      </c>
      <c r="K403" s="17" t="s">
        <v>58</v>
      </c>
      <c r="L403" s="18" t="s">
        <v>52</v>
      </c>
      <c r="M403" s="19">
        <v>10.0</v>
      </c>
      <c r="N403" s="19">
        <v>31.0</v>
      </c>
    </row>
    <row r="404">
      <c r="A404" s="12">
        <v>402.0</v>
      </c>
      <c r="B404" s="13" t="s">
        <v>1225</v>
      </c>
      <c r="C404" s="14">
        <v>22.0</v>
      </c>
      <c r="D404" s="15" t="s">
        <v>1230</v>
      </c>
      <c r="E404" s="16" t="s">
        <v>221</v>
      </c>
      <c r="F404" s="13" t="s">
        <v>1297</v>
      </c>
      <c r="G404" s="13" t="s">
        <v>61</v>
      </c>
      <c r="H404" s="13" t="s">
        <v>1298</v>
      </c>
      <c r="I404" s="13" t="s">
        <v>63</v>
      </c>
      <c r="J404" s="17" t="s">
        <v>71</v>
      </c>
      <c r="K404" s="17" t="s">
        <v>58</v>
      </c>
      <c r="L404" s="18" t="s">
        <v>52</v>
      </c>
      <c r="M404" s="19">
        <v>10.0</v>
      </c>
      <c r="N404" s="19">
        <v>31.0</v>
      </c>
    </row>
    <row r="405">
      <c r="A405" s="12">
        <v>403.0</v>
      </c>
      <c r="B405" s="13" t="s">
        <v>1225</v>
      </c>
      <c r="C405" s="14">
        <v>23.0</v>
      </c>
      <c r="D405" s="15" t="s">
        <v>1230</v>
      </c>
      <c r="E405" s="16" t="s">
        <v>221</v>
      </c>
      <c r="F405" s="13" t="s">
        <v>1300</v>
      </c>
      <c r="G405" s="13" t="s">
        <v>1301</v>
      </c>
      <c r="H405" s="13" t="s">
        <v>1302</v>
      </c>
      <c r="I405" s="13" t="s">
        <v>63</v>
      </c>
      <c r="J405" s="17" t="s">
        <v>71</v>
      </c>
      <c r="K405" s="17" t="s">
        <v>58</v>
      </c>
      <c r="L405" s="18" t="s">
        <v>52</v>
      </c>
      <c r="M405" s="19">
        <v>10.0</v>
      </c>
      <c r="N405" s="19">
        <v>31.0</v>
      </c>
    </row>
    <row r="406">
      <c r="A406" s="12">
        <v>404.0</v>
      </c>
      <c r="B406" s="13" t="s">
        <v>1225</v>
      </c>
      <c r="C406" s="14">
        <v>24.0</v>
      </c>
      <c r="D406" s="15" t="s">
        <v>1230</v>
      </c>
      <c r="E406" s="16" t="s">
        <v>221</v>
      </c>
      <c r="F406" s="13" t="s">
        <v>1303</v>
      </c>
      <c r="G406" s="13" t="s">
        <v>1304</v>
      </c>
      <c r="H406" s="13" t="s">
        <v>1305</v>
      </c>
      <c r="I406" s="13" t="s">
        <v>63</v>
      </c>
      <c r="J406" s="17" t="s">
        <v>71</v>
      </c>
      <c r="K406" s="17" t="s">
        <v>58</v>
      </c>
      <c r="L406" s="18" t="s">
        <v>52</v>
      </c>
      <c r="M406" s="19">
        <v>10.0</v>
      </c>
      <c r="N406" s="19">
        <v>31.0</v>
      </c>
    </row>
    <row r="407">
      <c r="A407" s="12">
        <v>405.0</v>
      </c>
      <c r="B407" s="13" t="s">
        <v>1225</v>
      </c>
      <c r="C407" s="14">
        <v>25.0</v>
      </c>
      <c r="D407" s="15" t="s">
        <v>1235</v>
      </c>
      <c r="E407" s="16" t="s">
        <v>221</v>
      </c>
      <c r="F407" s="13" t="s">
        <v>1168</v>
      </c>
      <c r="G407" s="13" t="s">
        <v>1307</v>
      </c>
      <c r="H407" s="13" t="s">
        <v>1308</v>
      </c>
      <c r="I407" s="13" t="s">
        <v>63</v>
      </c>
      <c r="J407" s="17" t="s">
        <v>71</v>
      </c>
      <c r="K407" s="17" t="s">
        <v>58</v>
      </c>
      <c r="L407" s="18" t="s">
        <v>52</v>
      </c>
      <c r="M407" s="19">
        <v>10.0</v>
      </c>
      <c r="N407" s="19">
        <v>31.0</v>
      </c>
    </row>
    <row r="408">
      <c r="A408" s="12">
        <v>406.0</v>
      </c>
      <c r="B408" s="13" t="s">
        <v>1225</v>
      </c>
      <c r="C408" s="14">
        <v>26.0</v>
      </c>
      <c r="D408" s="15" t="s">
        <v>1235</v>
      </c>
      <c r="E408" s="16" t="s">
        <v>221</v>
      </c>
      <c r="F408" s="13" t="s">
        <v>1309</v>
      </c>
      <c r="G408" s="13" t="s">
        <v>1310</v>
      </c>
      <c r="H408" s="13" t="s">
        <v>1311</v>
      </c>
      <c r="I408" s="13" t="s">
        <v>63</v>
      </c>
      <c r="J408" s="17" t="s">
        <v>71</v>
      </c>
      <c r="K408" s="17" t="s">
        <v>58</v>
      </c>
      <c r="L408" s="18" t="s">
        <v>52</v>
      </c>
      <c r="M408" s="19">
        <v>10.0</v>
      </c>
      <c r="N408" s="19">
        <v>31.0</v>
      </c>
    </row>
    <row r="409">
      <c r="A409" s="12">
        <v>407.0</v>
      </c>
      <c r="B409" s="13" t="s">
        <v>1225</v>
      </c>
      <c r="C409" s="14">
        <v>27.0</v>
      </c>
      <c r="D409" s="15" t="s">
        <v>1235</v>
      </c>
      <c r="E409" s="16" t="s">
        <v>221</v>
      </c>
      <c r="F409" s="13" t="s">
        <v>1162</v>
      </c>
      <c r="G409" s="13" t="s">
        <v>1313</v>
      </c>
      <c r="H409" s="13" t="s">
        <v>1314</v>
      </c>
      <c r="I409" s="13" t="s">
        <v>63</v>
      </c>
      <c r="J409" s="17" t="s">
        <v>71</v>
      </c>
      <c r="K409" s="17" t="s">
        <v>58</v>
      </c>
      <c r="L409" s="18" t="s">
        <v>52</v>
      </c>
      <c r="M409" s="19">
        <v>10.0</v>
      </c>
      <c r="N409" s="19">
        <v>31.0</v>
      </c>
    </row>
    <row r="410">
      <c r="A410" s="12">
        <v>408.0</v>
      </c>
      <c r="B410" s="13" t="s">
        <v>1225</v>
      </c>
      <c r="C410" s="14">
        <v>28.0</v>
      </c>
      <c r="D410" s="15" t="s">
        <v>1235</v>
      </c>
      <c r="E410" s="16" t="s">
        <v>221</v>
      </c>
      <c r="F410" s="13" t="s">
        <v>1315</v>
      </c>
      <c r="G410" s="13" t="s">
        <v>1316</v>
      </c>
      <c r="H410" s="13" t="s">
        <v>1317</v>
      </c>
      <c r="I410" s="13" t="s">
        <v>63</v>
      </c>
      <c r="J410" s="17" t="s">
        <v>71</v>
      </c>
      <c r="K410" s="17" t="s">
        <v>58</v>
      </c>
      <c r="L410" s="18" t="s">
        <v>52</v>
      </c>
      <c r="M410" s="19">
        <v>10.0</v>
      </c>
      <c r="N410" s="19">
        <v>31.0</v>
      </c>
    </row>
    <row r="411">
      <c r="A411" s="12">
        <v>409.0</v>
      </c>
      <c r="B411" s="13" t="s">
        <v>1225</v>
      </c>
      <c r="C411" s="14">
        <v>29.0</v>
      </c>
      <c r="D411" s="15" t="s">
        <v>1235</v>
      </c>
      <c r="E411" s="16" t="s">
        <v>221</v>
      </c>
      <c r="F411" s="13" t="s">
        <v>1319</v>
      </c>
      <c r="G411" s="13" t="s">
        <v>1320</v>
      </c>
      <c r="H411" s="13" t="s">
        <v>1321</v>
      </c>
      <c r="I411" s="13" t="s">
        <v>63</v>
      </c>
      <c r="J411" s="17" t="s">
        <v>71</v>
      </c>
      <c r="K411" s="17" t="s">
        <v>58</v>
      </c>
      <c r="L411" s="18" t="s">
        <v>52</v>
      </c>
      <c r="M411" s="19">
        <v>10.0</v>
      </c>
      <c r="N411" s="19">
        <v>31.0</v>
      </c>
    </row>
    <row r="412">
      <c r="A412" s="12">
        <v>410.0</v>
      </c>
      <c r="B412" s="13" t="s">
        <v>1225</v>
      </c>
      <c r="C412" s="14">
        <v>30.0</v>
      </c>
      <c r="D412" s="15" t="s">
        <v>1235</v>
      </c>
      <c r="E412" s="16" t="s">
        <v>221</v>
      </c>
      <c r="F412" s="13" t="s">
        <v>1322</v>
      </c>
      <c r="G412" s="13" t="s">
        <v>1323</v>
      </c>
      <c r="H412" s="13" t="s">
        <v>1324</v>
      </c>
      <c r="I412" s="13" t="s">
        <v>63</v>
      </c>
      <c r="J412" s="17" t="s">
        <v>71</v>
      </c>
      <c r="K412" s="17" t="s">
        <v>58</v>
      </c>
      <c r="L412" s="18" t="s">
        <v>52</v>
      </c>
      <c r="M412" s="19">
        <v>10.0</v>
      </c>
      <c r="N412" s="19">
        <v>31.0</v>
      </c>
    </row>
    <row r="413">
      <c r="A413" s="12">
        <v>411.0</v>
      </c>
      <c r="B413" s="13" t="s">
        <v>962</v>
      </c>
      <c r="C413" s="14">
        <v>1.0</v>
      </c>
      <c r="D413" s="15" t="s">
        <v>1325</v>
      </c>
      <c r="E413" s="16" t="s">
        <v>221</v>
      </c>
      <c r="F413" s="13" t="s">
        <v>1139</v>
      </c>
      <c r="G413" s="13" t="s">
        <v>1140</v>
      </c>
      <c r="H413" s="13" t="s">
        <v>1327</v>
      </c>
      <c r="I413" s="13" t="s">
        <v>63</v>
      </c>
      <c r="J413" s="17" t="s">
        <v>67</v>
      </c>
      <c r="K413" s="17" t="s">
        <v>58</v>
      </c>
      <c r="L413" s="18" t="s">
        <v>52</v>
      </c>
      <c r="M413" s="19">
        <v>11.0</v>
      </c>
      <c r="N413" s="19">
        <v>21.0</v>
      </c>
    </row>
    <row r="414">
      <c r="A414" s="12">
        <v>412.0</v>
      </c>
      <c r="B414" s="13" t="s">
        <v>962</v>
      </c>
      <c r="C414" s="14">
        <v>2.0</v>
      </c>
      <c r="D414" s="15" t="s">
        <v>1325</v>
      </c>
      <c r="E414" s="16" t="s">
        <v>221</v>
      </c>
      <c r="F414" s="13" t="s">
        <v>1328</v>
      </c>
      <c r="G414" s="13" t="s">
        <v>1329</v>
      </c>
      <c r="H414" s="13" t="s">
        <v>1330</v>
      </c>
      <c r="I414" s="13" t="s">
        <v>63</v>
      </c>
      <c r="J414" s="17" t="s">
        <v>71</v>
      </c>
      <c r="K414" s="17" t="s">
        <v>58</v>
      </c>
      <c r="L414" s="18" t="s">
        <v>52</v>
      </c>
      <c r="M414" s="19">
        <v>11.0</v>
      </c>
      <c r="N414" s="19">
        <v>31.0</v>
      </c>
    </row>
    <row r="415">
      <c r="A415" s="12">
        <v>413.0</v>
      </c>
      <c r="B415" s="13" t="s">
        <v>962</v>
      </c>
      <c r="C415" s="14">
        <v>3.0</v>
      </c>
      <c r="D415" s="15" t="s">
        <v>1325</v>
      </c>
      <c r="E415" s="16" t="s">
        <v>221</v>
      </c>
      <c r="F415" s="13" t="s">
        <v>1331</v>
      </c>
      <c r="G415" s="13" t="s">
        <v>1332</v>
      </c>
      <c r="H415" s="13" t="s">
        <v>1333</v>
      </c>
      <c r="I415" s="13" t="s">
        <v>63</v>
      </c>
      <c r="J415" s="17" t="s">
        <v>71</v>
      </c>
      <c r="K415" s="17" t="s">
        <v>58</v>
      </c>
      <c r="L415" s="18" t="s">
        <v>52</v>
      </c>
      <c r="M415" s="19">
        <v>11.0</v>
      </c>
      <c r="N415" s="19">
        <v>31.0</v>
      </c>
    </row>
    <row r="416">
      <c r="A416" s="12">
        <v>414.0</v>
      </c>
      <c r="B416" s="13" t="s">
        <v>962</v>
      </c>
      <c r="C416" s="14">
        <v>4.0</v>
      </c>
      <c r="D416" s="15" t="s">
        <v>1325</v>
      </c>
      <c r="E416" s="16" t="s">
        <v>221</v>
      </c>
      <c r="F416" s="13" t="s">
        <v>1335</v>
      </c>
      <c r="G416" s="13" t="s">
        <v>1336</v>
      </c>
      <c r="H416" s="13" t="s">
        <v>1337</v>
      </c>
      <c r="I416" s="13" t="s">
        <v>63</v>
      </c>
      <c r="J416" s="17" t="s">
        <v>71</v>
      </c>
      <c r="K416" s="17" t="s">
        <v>58</v>
      </c>
      <c r="L416" s="18" t="s">
        <v>52</v>
      </c>
      <c r="M416" s="19">
        <v>11.0</v>
      </c>
      <c r="N416" s="19">
        <v>31.0</v>
      </c>
    </row>
    <row r="417">
      <c r="A417" s="12">
        <v>415.0</v>
      </c>
      <c r="B417" s="13" t="s">
        <v>962</v>
      </c>
      <c r="C417" s="14">
        <v>5.0</v>
      </c>
      <c r="D417" s="15" t="s">
        <v>1325</v>
      </c>
      <c r="E417" s="16" t="s">
        <v>221</v>
      </c>
      <c r="F417" s="13" t="s">
        <v>1338</v>
      </c>
      <c r="G417" s="13" t="s">
        <v>61</v>
      </c>
      <c r="H417" s="13" t="s">
        <v>1339</v>
      </c>
      <c r="I417" s="13" t="s">
        <v>63</v>
      </c>
      <c r="J417" s="17" t="s">
        <v>71</v>
      </c>
      <c r="K417" s="17" t="s">
        <v>58</v>
      </c>
      <c r="L417" s="18" t="s">
        <v>52</v>
      </c>
      <c r="M417" s="19">
        <v>11.0</v>
      </c>
      <c r="N417" s="19">
        <v>31.0</v>
      </c>
    </row>
    <row r="418">
      <c r="A418" s="12">
        <v>416.0</v>
      </c>
      <c r="B418" s="13" t="s">
        <v>962</v>
      </c>
      <c r="C418" s="14">
        <v>6.0</v>
      </c>
      <c r="D418" s="15" t="s">
        <v>1325</v>
      </c>
      <c r="E418" s="16" t="s">
        <v>221</v>
      </c>
      <c r="F418" s="13" t="s">
        <v>471</v>
      </c>
      <c r="G418" s="13" t="s">
        <v>1340</v>
      </c>
      <c r="H418" s="13" t="s">
        <v>1341</v>
      </c>
      <c r="I418" s="13" t="s">
        <v>63</v>
      </c>
      <c r="J418" s="17" t="s">
        <v>71</v>
      </c>
      <c r="K418" s="17" t="s">
        <v>58</v>
      </c>
      <c r="L418" s="18" t="s">
        <v>52</v>
      </c>
      <c r="M418" s="19">
        <v>11.0</v>
      </c>
      <c r="N418" s="19">
        <v>31.0</v>
      </c>
    </row>
    <row r="419">
      <c r="A419" s="12">
        <v>417.0</v>
      </c>
      <c r="B419" s="13" t="s">
        <v>962</v>
      </c>
      <c r="C419" s="14">
        <v>7.0</v>
      </c>
      <c r="D419" s="15" t="s">
        <v>1325</v>
      </c>
      <c r="E419" s="16" t="s">
        <v>221</v>
      </c>
      <c r="F419" s="13" t="s">
        <v>1342</v>
      </c>
      <c r="G419" s="13" t="s">
        <v>1343</v>
      </c>
      <c r="H419" s="13" t="s">
        <v>1344</v>
      </c>
      <c r="I419" s="13" t="s">
        <v>63</v>
      </c>
      <c r="J419" s="17" t="s">
        <v>71</v>
      </c>
      <c r="K419" s="17" t="s">
        <v>58</v>
      </c>
      <c r="L419" s="18" t="s">
        <v>52</v>
      </c>
      <c r="M419" s="19">
        <v>11.0</v>
      </c>
      <c r="N419" s="19">
        <v>31.0</v>
      </c>
    </row>
    <row r="420">
      <c r="A420" s="12">
        <v>418.0</v>
      </c>
      <c r="B420" s="13" t="s">
        <v>962</v>
      </c>
      <c r="C420" s="14">
        <v>8.0</v>
      </c>
      <c r="D420" s="15" t="s">
        <v>1325</v>
      </c>
      <c r="E420" s="16" t="s">
        <v>221</v>
      </c>
      <c r="F420" s="13" t="s">
        <v>1345</v>
      </c>
      <c r="G420" s="13" t="s">
        <v>1346</v>
      </c>
      <c r="H420" s="13" t="s">
        <v>1347</v>
      </c>
      <c r="I420" s="13" t="s">
        <v>63</v>
      </c>
      <c r="J420" s="17" t="s">
        <v>71</v>
      </c>
      <c r="K420" s="17" t="s">
        <v>58</v>
      </c>
      <c r="L420" s="18" t="s">
        <v>52</v>
      </c>
      <c r="M420" s="19">
        <v>11.0</v>
      </c>
      <c r="N420" s="19">
        <v>31.0</v>
      </c>
    </row>
    <row r="421">
      <c r="A421" s="12">
        <v>419.0</v>
      </c>
      <c r="B421" s="13" t="s">
        <v>962</v>
      </c>
      <c r="C421" s="14">
        <v>9.0</v>
      </c>
      <c r="D421" s="15" t="s">
        <v>1325</v>
      </c>
      <c r="E421" s="16" t="s">
        <v>221</v>
      </c>
      <c r="F421" s="13" t="s">
        <v>1348</v>
      </c>
      <c r="G421" s="13" t="s">
        <v>1349</v>
      </c>
      <c r="H421" s="13" t="s">
        <v>1350</v>
      </c>
      <c r="I421" s="13" t="s">
        <v>63</v>
      </c>
      <c r="J421" s="17" t="s">
        <v>71</v>
      </c>
      <c r="K421" s="17" t="s">
        <v>58</v>
      </c>
      <c r="L421" s="18" t="s">
        <v>52</v>
      </c>
      <c r="M421" s="19">
        <v>11.0</v>
      </c>
      <c r="N421" s="19">
        <v>31.0</v>
      </c>
    </row>
    <row r="422">
      <c r="A422" s="12">
        <v>420.0</v>
      </c>
      <c r="B422" s="13" t="s">
        <v>962</v>
      </c>
      <c r="C422" s="14">
        <v>10.0</v>
      </c>
      <c r="D422" s="15" t="s">
        <v>1325</v>
      </c>
      <c r="E422" s="16" t="s">
        <v>221</v>
      </c>
      <c r="F422" s="13" t="s">
        <v>1351</v>
      </c>
      <c r="G422" s="13" t="s">
        <v>1352</v>
      </c>
      <c r="H422" s="13" t="s">
        <v>1353</v>
      </c>
      <c r="I422" s="13" t="s">
        <v>63</v>
      </c>
      <c r="J422" s="17" t="s">
        <v>71</v>
      </c>
      <c r="K422" s="17" t="s">
        <v>58</v>
      </c>
      <c r="L422" s="18" t="s">
        <v>52</v>
      </c>
      <c r="M422" s="19">
        <v>11.0</v>
      </c>
      <c r="N422" s="19">
        <v>31.0</v>
      </c>
    </row>
    <row r="423">
      <c r="A423" s="12">
        <v>421.0</v>
      </c>
      <c r="B423" s="13" t="s">
        <v>962</v>
      </c>
      <c r="C423" s="14">
        <v>11.0</v>
      </c>
      <c r="D423" s="15" t="s">
        <v>1325</v>
      </c>
      <c r="E423" s="16" t="s">
        <v>221</v>
      </c>
      <c r="F423" s="13" t="s">
        <v>891</v>
      </c>
      <c r="G423" s="13" t="s">
        <v>1354</v>
      </c>
      <c r="H423" s="13" t="s">
        <v>1355</v>
      </c>
      <c r="I423" s="13" t="s">
        <v>63</v>
      </c>
      <c r="J423" s="17" t="s">
        <v>71</v>
      </c>
      <c r="K423" s="17" t="s">
        <v>58</v>
      </c>
      <c r="L423" s="18" t="s">
        <v>52</v>
      </c>
      <c r="M423" s="19">
        <v>11.0</v>
      </c>
      <c r="N423" s="19">
        <v>31.0</v>
      </c>
    </row>
    <row r="424">
      <c r="A424" s="12">
        <v>422.0</v>
      </c>
      <c r="B424" s="13" t="s">
        <v>962</v>
      </c>
      <c r="C424" s="14">
        <v>12.0</v>
      </c>
      <c r="D424" s="15" t="s">
        <v>1325</v>
      </c>
      <c r="E424" s="16" t="s">
        <v>221</v>
      </c>
      <c r="F424" s="13" t="s">
        <v>1356</v>
      </c>
      <c r="G424" s="13" t="s">
        <v>1357</v>
      </c>
      <c r="H424" s="13" t="s">
        <v>1358</v>
      </c>
      <c r="I424" s="13" t="s">
        <v>63</v>
      </c>
      <c r="J424" s="17" t="s">
        <v>71</v>
      </c>
      <c r="K424" s="17" t="s">
        <v>58</v>
      </c>
      <c r="L424" s="18" t="s">
        <v>52</v>
      </c>
      <c r="M424" s="19">
        <v>11.0</v>
      </c>
      <c r="N424" s="19">
        <v>31.0</v>
      </c>
    </row>
    <row r="425">
      <c r="A425" s="12">
        <v>423.0</v>
      </c>
      <c r="B425" s="13" t="s">
        <v>962</v>
      </c>
      <c r="C425" s="14">
        <v>13.0</v>
      </c>
      <c r="D425" s="15" t="s">
        <v>1325</v>
      </c>
      <c r="E425" s="16" t="s">
        <v>221</v>
      </c>
      <c r="F425" s="13" t="s">
        <v>712</v>
      </c>
      <c r="G425" s="13" t="s">
        <v>1359</v>
      </c>
      <c r="H425" s="13" t="s">
        <v>1361</v>
      </c>
      <c r="I425" s="13" t="s">
        <v>63</v>
      </c>
      <c r="J425" s="17" t="s">
        <v>71</v>
      </c>
      <c r="K425" s="17" t="s">
        <v>58</v>
      </c>
      <c r="L425" s="18" t="s">
        <v>52</v>
      </c>
      <c r="M425" s="19">
        <v>11.0</v>
      </c>
      <c r="N425" s="19">
        <v>31.0</v>
      </c>
    </row>
    <row r="426">
      <c r="A426" s="12">
        <v>424.0</v>
      </c>
      <c r="B426" s="13" t="s">
        <v>962</v>
      </c>
      <c r="C426" s="14">
        <v>14.0</v>
      </c>
      <c r="D426" s="15" t="s">
        <v>1325</v>
      </c>
      <c r="E426" s="16" t="s">
        <v>221</v>
      </c>
      <c r="F426" s="13" t="s">
        <v>367</v>
      </c>
      <c r="G426" s="13" t="s">
        <v>986</v>
      </c>
      <c r="H426" s="13" t="s">
        <v>1362</v>
      </c>
      <c r="I426" s="13" t="s">
        <v>63</v>
      </c>
      <c r="J426" s="17" t="s">
        <v>71</v>
      </c>
      <c r="K426" s="17" t="s">
        <v>58</v>
      </c>
      <c r="L426" s="18" t="s">
        <v>52</v>
      </c>
      <c r="M426" s="19">
        <v>11.0</v>
      </c>
      <c r="N426" s="19">
        <v>31.0</v>
      </c>
    </row>
    <row r="427">
      <c r="A427" s="12">
        <v>425.0</v>
      </c>
      <c r="B427" s="13" t="s">
        <v>962</v>
      </c>
      <c r="C427" s="14">
        <v>15.0</v>
      </c>
      <c r="D427" s="15" t="s">
        <v>1325</v>
      </c>
      <c r="E427" s="16" t="s">
        <v>221</v>
      </c>
      <c r="F427" s="13" t="s">
        <v>1363</v>
      </c>
      <c r="G427" s="13" t="s">
        <v>1364</v>
      </c>
      <c r="H427" s="13" t="s">
        <v>1365</v>
      </c>
      <c r="I427" s="13" t="s">
        <v>63</v>
      </c>
      <c r="J427" s="17" t="s">
        <v>71</v>
      </c>
      <c r="K427" s="17" t="s">
        <v>58</v>
      </c>
      <c r="L427" s="18" t="s">
        <v>52</v>
      </c>
      <c r="M427" s="19">
        <v>11.0</v>
      </c>
      <c r="N427" s="19">
        <v>31.0</v>
      </c>
    </row>
    <row r="428">
      <c r="A428" s="12">
        <v>426.0</v>
      </c>
      <c r="B428" s="13" t="s">
        <v>962</v>
      </c>
      <c r="C428" s="14">
        <v>16.0</v>
      </c>
      <c r="D428" s="15" t="s">
        <v>1325</v>
      </c>
      <c r="E428" s="16" t="s">
        <v>221</v>
      </c>
      <c r="F428" s="13" t="s">
        <v>1367</v>
      </c>
      <c r="G428" s="13" t="s">
        <v>1368</v>
      </c>
      <c r="H428" s="13" t="s">
        <v>1369</v>
      </c>
      <c r="I428" s="13" t="s">
        <v>63</v>
      </c>
      <c r="J428" s="17" t="s">
        <v>71</v>
      </c>
      <c r="K428" s="17" t="s">
        <v>58</v>
      </c>
      <c r="L428" s="18" t="s">
        <v>52</v>
      </c>
      <c r="M428" s="19">
        <v>11.0</v>
      </c>
      <c r="N428" s="19">
        <v>31.0</v>
      </c>
    </row>
    <row r="429">
      <c r="A429" s="12">
        <v>427.0</v>
      </c>
      <c r="B429" s="13" t="s">
        <v>962</v>
      </c>
      <c r="C429" s="14">
        <v>17.0</v>
      </c>
      <c r="D429" s="15" t="s">
        <v>1325</v>
      </c>
      <c r="E429" s="16" t="s">
        <v>221</v>
      </c>
      <c r="F429" s="13" t="s">
        <v>1370</v>
      </c>
      <c r="G429" s="13" t="s">
        <v>1371</v>
      </c>
      <c r="H429" s="13" t="s">
        <v>1372</v>
      </c>
      <c r="I429" s="13" t="s">
        <v>63</v>
      </c>
      <c r="J429" s="17" t="s">
        <v>71</v>
      </c>
      <c r="K429" s="17" t="s">
        <v>58</v>
      </c>
      <c r="L429" s="18" t="s">
        <v>52</v>
      </c>
      <c r="M429" s="19">
        <v>11.0</v>
      </c>
      <c r="N429" s="19">
        <v>31.0</v>
      </c>
    </row>
    <row r="430">
      <c r="A430" s="12">
        <v>428.0</v>
      </c>
      <c r="B430" s="13" t="s">
        <v>962</v>
      </c>
      <c r="C430" s="14">
        <v>18.0</v>
      </c>
      <c r="D430" s="15" t="s">
        <v>1325</v>
      </c>
      <c r="E430" s="16" t="s">
        <v>221</v>
      </c>
      <c r="F430" s="13" t="s">
        <v>1373</v>
      </c>
      <c r="G430" s="13" t="s">
        <v>1374</v>
      </c>
      <c r="H430" s="13" t="s">
        <v>1375</v>
      </c>
      <c r="I430" s="13" t="s">
        <v>63</v>
      </c>
      <c r="J430" s="17" t="s">
        <v>71</v>
      </c>
      <c r="K430" s="17" t="s">
        <v>58</v>
      </c>
      <c r="L430" s="18" t="s">
        <v>52</v>
      </c>
      <c r="M430" s="19">
        <v>11.0</v>
      </c>
      <c r="N430" s="19">
        <v>31.0</v>
      </c>
    </row>
    <row r="431">
      <c r="A431" s="12">
        <v>429.0</v>
      </c>
      <c r="B431" s="13" t="s">
        <v>962</v>
      </c>
      <c r="C431" s="14">
        <v>19.0</v>
      </c>
      <c r="D431" s="15" t="s">
        <v>1325</v>
      </c>
      <c r="E431" s="16" t="s">
        <v>221</v>
      </c>
      <c r="F431" s="13" t="s">
        <v>1376</v>
      </c>
      <c r="G431" s="13" t="s">
        <v>1377</v>
      </c>
      <c r="H431" s="13" t="s">
        <v>1378</v>
      </c>
      <c r="I431" s="13" t="s">
        <v>63</v>
      </c>
      <c r="J431" s="17" t="s">
        <v>71</v>
      </c>
      <c r="K431" s="17" t="s">
        <v>58</v>
      </c>
      <c r="L431" s="18" t="s">
        <v>52</v>
      </c>
      <c r="M431" s="19">
        <v>11.0</v>
      </c>
      <c r="N431" s="19">
        <v>31.0</v>
      </c>
    </row>
    <row r="432">
      <c r="A432" s="12">
        <v>430.0</v>
      </c>
      <c r="B432" s="13" t="s">
        <v>962</v>
      </c>
      <c r="C432" s="14">
        <v>20.0</v>
      </c>
      <c r="D432" s="15" t="s">
        <v>1325</v>
      </c>
      <c r="E432" s="16" t="s">
        <v>221</v>
      </c>
      <c r="F432" s="13" t="s">
        <v>1379</v>
      </c>
      <c r="G432" s="13" t="s">
        <v>1380</v>
      </c>
      <c r="H432" s="13" t="s">
        <v>1381</v>
      </c>
      <c r="I432" s="13" t="s">
        <v>63</v>
      </c>
      <c r="J432" s="17" t="s">
        <v>71</v>
      </c>
      <c r="K432" s="17" t="s">
        <v>58</v>
      </c>
      <c r="L432" s="18" t="s">
        <v>52</v>
      </c>
      <c r="M432" s="19">
        <v>11.0</v>
      </c>
      <c r="N432" s="19">
        <v>31.0</v>
      </c>
    </row>
    <row r="433">
      <c r="A433" s="12">
        <v>431.0</v>
      </c>
      <c r="B433" s="13" t="s">
        <v>962</v>
      </c>
      <c r="C433" s="14">
        <v>21.0</v>
      </c>
      <c r="D433" s="15" t="s">
        <v>1325</v>
      </c>
      <c r="E433" s="16" t="s">
        <v>221</v>
      </c>
      <c r="F433" s="13" t="s">
        <v>1382</v>
      </c>
      <c r="G433" s="13" t="s">
        <v>61</v>
      </c>
      <c r="H433" s="13" t="s">
        <v>1383</v>
      </c>
      <c r="I433" s="13" t="s">
        <v>63</v>
      </c>
      <c r="J433" s="17" t="s">
        <v>71</v>
      </c>
      <c r="K433" s="17" t="s">
        <v>58</v>
      </c>
      <c r="L433" s="18" t="s">
        <v>52</v>
      </c>
      <c r="M433" s="19">
        <v>11.0</v>
      </c>
      <c r="N433" s="19">
        <v>31.0</v>
      </c>
    </row>
    <row r="434">
      <c r="A434" s="12">
        <v>432.0</v>
      </c>
      <c r="B434" s="13" t="s">
        <v>962</v>
      </c>
      <c r="C434" s="14">
        <v>22.0</v>
      </c>
      <c r="D434" s="15" t="s">
        <v>1325</v>
      </c>
      <c r="E434" s="16" t="s">
        <v>221</v>
      </c>
      <c r="F434" s="13" t="s">
        <v>1384</v>
      </c>
      <c r="G434" s="13" t="s">
        <v>1385</v>
      </c>
      <c r="H434" s="13" t="s">
        <v>1386</v>
      </c>
      <c r="I434" s="13" t="s">
        <v>63</v>
      </c>
      <c r="J434" s="17" t="s">
        <v>71</v>
      </c>
      <c r="K434" s="17" t="s">
        <v>58</v>
      </c>
      <c r="L434" s="18" t="s">
        <v>52</v>
      </c>
      <c r="M434" s="19">
        <v>11.0</v>
      </c>
      <c r="N434" s="19">
        <v>31.0</v>
      </c>
    </row>
    <row r="435">
      <c r="A435" s="12">
        <v>433.0</v>
      </c>
      <c r="B435" s="13" t="s">
        <v>962</v>
      </c>
      <c r="C435" s="14">
        <v>23.0</v>
      </c>
      <c r="D435" s="15" t="s">
        <v>1325</v>
      </c>
      <c r="E435" s="16" t="s">
        <v>221</v>
      </c>
      <c r="F435" s="13" t="s">
        <v>1387</v>
      </c>
      <c r="G435" s="13" t="s">
        <v>1388</v>
      </c>
      <c r="H435" s="13" t="s">
        <v>1389</v>
      </c>
      <c r="I435" s="13" t="s">
        <v>63</v>
      </c>
      <c r="J435" s="17" t="s">
        <v>71</v>
      </c>
      <c r="K435" s="17" t="s">
        <v>58</v>
      </c>
      <c r="L435" s="18" t="s">
        <v>52</v>
      </c>
      <c r="M435" s="19">
        <v>11.0</v>
      </c>
      <c r="N435" s="19">
        <v>31.0</v>
      </c>
    </row>
    <row r="436">
      <c r="A436" s="12">
        <v>434.0</v>
      </c>
      <c r="B436" s="13" t="s">
        <v>962</v>
      </c>
      <c r="C436" s="14">
        <v>24.0</v>
      </c>
      <c r="D436" s="15" t="s">
        <v>1325</v>
      </c>
      <c r="E436" s="16" t="s">
        <v>221</v>
      </c>
      <c r="F436" s="13" t="s">
        <v>833</v>
      </c>
      <c r="G436" s="13" t="s">
        <v>1390</v>
      </c>
      <c r="H436" s="13" t="s">
        <v>1391</v>
      </c>
      <c r="I436" s="13" t="s">
        <v>63</v>
      </c>
      <c r="J436" s="17" t="s">
        <v>71</v>
      </c>
      <c r="K436" s="17" t="s">
        <v>58</v>
      </c>
      <c r="L436" s="18" t="s">
        <v>52</v>
      </c>
      <c r="M436" s="19">
        <v>11.0</v>
      </c>
      <c r="N436" s="19">
        <v>31.0</v>
      </c>
    </row>
    <row r="437">
      <c r="A437" s="12">
        <v>435.0</v>
      </c>
      <c r="B437" s="13" t="s">
        <v>962</v>
      </c>
      <c r="C437" s="14">
        <v>25.0</v>
      </c>
      <c r="D437" s="15" t="s">
        <v>1325</v>
      </c>
      <c r="E437" s="16" t="s">
        <v>221</v>
      </c>
      <c r="F437" s="13" t="s">
        <v>1392</v>
      </c>
      <c r="G437" s="13" t="s">
        <v>1393</v>
      </c>
      <c r="H437" s="13" t="s">
        <v>1394</v>
      </c>
      <c r="I437" s="13" t="s">
        <v>63</v>
      </c>
      <c r="J437" s="17" t="s">
        <v>71</v>
      </c>
      <c r="K437" s="17" t="s">
        <v>58</v>
      </c>
      <c r="L437" s="18" t="s">
        <v>52</v>
      </c>
      <c r="M437" s="19">
        <v>11.0</v>
      </c>
      <c r="N437" s="19">
        <v>31.0</v>
      </c>
    </row>
    <row r="438">
      <c r="A438" s="12">
        <v>436.0</v>
      </c>
      <c r="B438" s="13" t="s">
        <v>962</v>
      </c>
      <c r="C438" s="14">
        <v>26.0</v>
      </c>
      <c r="D438" s="15" t="s">
        <v>1325</v>
      </c>
      <c r="E438" s="16" t="s">
        <v>221</v>
      </c>
      <c r="F438" s="13" t="s">
        <v>278</v>
      </c>
      <c r="G438" s="13" t="s">
        <v>1395</v>
      </c>
      <c r="H438" s="13" t="s">
        <v>1396</v>
      </c>
      <c r="I438" s="13" t="s">
        <v>63</v>
      </c>
      <c r="J438" s="17" t="s">
        <v>71</v>
      </c>
      <c r="K438" s="17" t="s">
        <v>58</v>
      </c>
      <c r="L438" s="18" t="s">
        <v>52</v>
      </c>
      <c r="M438" s="19">
        <v>11.0</v>
      </c>
      <c r="N438" s="19">
        <v>31.0</v>
      </c>
    </row>
    <row r="439">
      <c r="A439" s="12">
        <v>437.0</v>
      </c>
      <c r="B439" s="13" t="s">
        <v>962</v>
      </c>
      <c r="C439" s="14">
        <v>27.0</v>
      </c>
      <c r="D439" s="15" t="s">
        <v>1325</v>
      </c>
      <c r="E439" s="16" t="s">
        <v>221</v>
      </c>
      <c r="F439" s="13" t="s">
        <v>1397</v>
      </c>
      <c r="G439" s="13" t="s">
        <v>1398</v>
      </c>
      <c r="H439" s="13" t="s">
        <v>1399</v>
      </c>
      <c r="I439" s="13" t="s">
        <v>63</v>
      </c>
      <c r="J439" s="17" t="s">
        <v>71</v>
      </c>
      <c r="K439" s="17" t="s">
        <v>58</v>
      </c>
      <c r="L439" s="18" t="s">
        <v>52</v>
      </c>
      <c r="M439" s="19">
        <v>11.0</v>
      </c>
      <c r="N439" s="19">
        <v>31.0</v>
      </c>
    </row>
    <row r="440">
      <c r="A440" s="12">
        <v>438.0</v>
      </c>
      <c r="B440" s="13" t="s">
        <v>962</v>
      </c>
      <c r="C440" s="14">
        <v>28.0</v>
      </c>
      <c r="D440" s="15" t="s">
        <v>1325</v>
      </c>
      <c r="E440" s="16" t="s">
        <v>221</v>
      </c>
      <c r="F440" s="13" t="s">
        <v>360</v>
      </c>
      <c r="G440" s="13" t="s">
        <v>1400</v>
      </c>
      <c r="H440" s="13" t="s">
        <v>1401</v>
      </c>
      <c r="I440" s="13" t="s">
        <v>63</v>
      </c>
      <c r="J440" s="17" t="s">
        <v>71</v>
      </c>
      <c r="K440" s="17" t="s">
        <v>58</v>
      </c>
      <c r="L440" s="18" t="s">
        <v>52</v>
      </c>
      <c r="M440" s="19">
        <v>11.0</v>
      </c>
      <c r="N440" s="19">
        <v>31.0</v>
      </c>
    </row>
    <row r="441">
      <c r="A441" s="12">
        <v>439.0</v>
      </c>
      <c r="B441" s="13" t="s">
        <v>962</v>
      </c>
      <c r="C441" s="14">
        <v>29.0</v>
      </c>
      <c r="D441" s="15" t="s">
        <v>1325</v>
      </c>
      <c r="E441" s="16" t="s">
        <v>221</v>
      </c>
      <c r="F441" s="13" t="s">
        <v>1402</v>
      </c>
      <c r="G441" s="13" t="s">
        <v>1403</v>
      </c>
      <c r="H441" s="13" t="s">
        <v>1404</v>
      </c>
      <c r="I441" s="13" t="s">
        <v>63</v>
      </c>
      <c r="J441" s="17" t="s">
        <v>71</v>
      </c>
      <c r="K441" s="17" t="s">
        <v>58</v>
      </c>
      <c r="L441" s="18" t="s">
        <v>52</v>
      </c>
      <c r="M441" s="19">
        <v>11.0</v>
      </c>
      <c r="N441" s="19">
        <v>31.0</v>
      </c>
    </row>
    <row r="442">
      <c r="A442" s="12">
        <v>440.0</v>
      </c>
      <c r="B442" s="13" t="s">
        <v>962</v>
      </c>
      <c r="C442" s="14">
        <v>30.0</v>
      </c>
      <c r="D442" s="15" t="s">
        <v>1325</v>
      </c>
      <c r="E442" s="16" t="s">
        <v>221</v>
      </c>
      <c r="F442" s="13" t="s">
        <v>1405</v>
      </c>
      <c r="G442" s="13" t="s">
        <v>1406</v>
      </c>
      <c r="H442" s="13" t="s">
        <v>1389</v>
      </c>
      <c r="I442" s="13" t="s">
        <v>63</v>
      </c>
      <c r="J442" s="17" t="s">
        <v>71</v>
      </c>
      <c r="K442" s="17" t="s">
        <v>58</v>
      </c>
      <c r="L442" s="18" t="s">
        <v>52</v>
      </c>
      <c r="M442" s="19">
        <v>11.0</v>
      </c>
      <c r="N442" s="19">
        <v>31.0</v>
      </c>
    </row>
    <row r="443">
      <c r="A443" s="12">
        <v>441.0</v>
      </c>
      <c r="B443" s="13" t="s">
        <v>962</v>
      </c>
      <c r="C443" s="14">
        <v>31.0</v>
      </c>
      <c r="D443" s="15" t="s">
        <v>1407</v>
      </c>
      <c r="E443" s="16" t="s">
        <v>221</v>
      </c>
      <c r="F443" s="13" t="s">
        <v>1297</v>
      </c>
      <c r="G443" s="13" t="s">
        <v>1408</v>
      </c>
      <c r="H443" s="13" t="s">
        <v>1409</v>
      </c>
      <c r="I443" s="13" t="s">
        <v>63</v>
      </c>
      <c r="J443" s="17" t="s">
        <v>71</v>
      </c>
      <c r="K443" s="17" t="s">
        <v>58</v>
      </c>
      <c r="L443" s="18" t="s">
        <v>52</v>
      </c>
      <c r="M443" s="19">
        <v>11.0</v>
      </c>
      <c r="N443" s="19">
        <v>31.0</v>
      </c>
    </row>
    <row r="444">
      <c r="A444" s="12">
        <v>442.0</v>
      </c>
      <c r="B444" s="13" t="s">
        <v>962</v>
      </c>
      <c r="C444" s="14">
        <v>32.0</v>
      </c>
      <c r="D444" s="15" t="s">
        <v>1407</v>
      </c>
      <c r="E444" s="16" t="s">
        <v>221</v>
      </c>
      <c r="F444" s="13" t="s">
        <v>724</v>
      </c>
      <c r="G444" s="13" t="s">
        <v>61</v>
      </c>
      <c r="H444" s="13" t="s">
        <v>1410</v>
      </c>
      <c r="I444" s="13" t="s">
        <v>63</v>
      </c>
      <c r="J444" s="17" t="s">
        <v>71</v>
      </c>
      <c r="K444" s="17" t="s">
        <v>58</v>
      </c>
      <c r="L444" s="18" t="s">
        <v>52</v>
      </c>
      <c r="M444" s="19">
        <v>11.0</v>
      </c>
      <c r="N444" s="19">
        <v>31.0</v>
      </c>
    </row>
    <row r="445">
      <c r="A445" s="12">
        <v>443.0</v>
      </c>
      <c r="B445" s="13" t="s">
        <v>962</v>
      </c>
      <c r="C445" s="14">
        <v>33.0</v>
      </c>
      <c r="D445" s="15" t="s">
        <v>1407</v>
      </c>
      <c r="E445" s="16" t="s">
        <v>221</v>
      </c>
      <c r="F445" s="13" t="s">
        <v>731</v>
      </c>
      <c r="G445" s="13" t="s">
        <v>1411</v>
      </c>
      <c r="H445" s="13" t="s">
        <v>1412</v>
      </c>
      <c r="I445" s="13" t="s">
        <v>63</v>
      </c>
      <c r="J445" s="17" t="s">
        <v>71</v>
      </c>
      <c r="K445" s="17" t="s">
        <v>58</v>
      </c>
      <c r="L445" s="18" t="s">
        <v>52</v>
      </c>
      <c r="M445" s="19">
        <v>11.0</v>
      </c>
      <c r="N445" s="19">
        <v>31.0</v>
      </c>
    </row>
    <row r="446">
      <c r="A446" s="12">
        <v>444.0</v>
      </c>
      <c r="B446" s="13" t="s">
        <v>962</v>
      </c>
      <c r="C446" s="14">
        <v>34.0</v>
      </c>
      <c r="D446" s="15" t="s">
        <v>1407</v>
      </c>
      <c r="E446" s="16" t="s">
        <v>221</v>
      </c>
      <c r="F446" s="13" t="s">
        <v>1413</v>
      </c>
      <c r="G446" s="13" t="s">
        <v>61</v>
      </c>
      <c r="H446" s="13" t="s">
        <v>1414</v>
      </c>
      <c r="I446" s="13" t="s">
        <v>63</v>
      </c>
      <c r="J446" s="17" t="s">
        <v>71</v>
      </c>
      <c r="K446" s="17" t="s">
        <v>58</v>
      </c>
      <c r="L446" s="18" t="s">
        <v>52</v>
      </c>
      <c r="M446" s="19">
        <v>11.0</v>
      </c>
      <c r="N446" s="19">
        <v>31.0</v>
      </c>
    </row>
    <row r="447">
      <c r="A447" s="12">
        <v>445.0</v>
      </c>
      <c r="B447" s="13" t="s">
        <v>962</v>
      </c>
      <c r="C447" s="14">
        <v>35.0</v>
      </c>
      <c r="D447" s="15" t="s">
        <v>1407</v>
      </c>
      <c r="E447" s="16" t="s">
        <v>221</v>
      </c>
      <c r="F447" s="13" t="s">
        <v>1415</v>
      </c>
      <c r="G447" s="13" t="s">
        <v>61</v>
      </c>
      <c r="H447" s="13" t="s">
        <v>1416</v>
      </c>
      <c r="I447" s="13" t="s">
        <v>63</v>
      </c>
      <c r="J447" s="17" t="s">
        <v>71</v>
      </c>
      <c r="K447" s="17" t="s">
        <v>58</v>
      </c>
      <c r="L447" s="18" t="s">
        <v>52</v>
      </c>
      <c r="M447" s="19">
        <v>11.0</v>
      </c>
      <c r="N447" s="19">
        <v>31.0</v>
      </c>
    </row>
    <row r="448">
      <c r="A448" s="12">
        <v>446.0</v>
      </c>
      <c r="B448" s="13" t="s">
        <v>962</v>
      </c>
      <c r="C448" s="14">
        <v>36.0</v>
      </c>
      <c r="D448" s="15" t="s">
        <v>1407</v>
      </c>
      <c r="E448" s="16" t="s">
        <v>221</v>
      </c>
      <c r="F448" s="13" t="s">
        <v>1417</v>
      </c>
      <c r="G448" s="13" t="s">
        <v>1418</v>
      </c>
      <c r="H448" s="13" t="s">
        <v>1419</v>
      </c>
      <c r="I448" s="13" t="s">
        <v>63</v>
      </c>
      <c r="J448" s="17" t="s">
        <v>71</v>
      </c>
      <c r="K448" s="17" t="s">
        <v>58</v>
      </c>
      <c r="L448" s="18" t="s">
        <v>52</v>
      </c>
      <c r="M448" s="19">
        <v>11.0</v>
      </c>
      <c r="N448" s="19">
        <v>31.0</v>
      </c>
    </row>
    <row r="449">
      <c r="A449" s="12">
        <v>447.0</v>
      </c>
      <c r="B449" s="13" t="s">
        <v>962</v>
      </c>
      <c r="C449" s="14">
        <v>37.0</v>
      </c>
      <c r="D449" s="15" t="s">
        <v>1325</v>
      </c>
      <c r="E449" s="16" t="s">
        <v>221</v>
      </c>
      <c r="F449" s="13" t="s">
        <v>1420</v>
      </c>
      <c r="G449" s="13" t="s">
        <v>415</v>
      </c>
      <c r="H449" s="13" t="s">
        <v>415</v>
      </c>
      <c r="I449" s="13" t="s">
        <v>416</v>
      </c>
      <c r="J449" s="17" t="s">
        <v>418</v>
      </c>
      <c r="K449" s="17" t="s">
        <v>420</v>
      </c>
      <c r="L449" s="18" t="s">
        <v>52</v>
      </c>
      <c r="M449" s="19">
        <v>11.0</v>
      </c>
      <c r="N449" s="19">
        <v>41.0</v>
      </c>
    </row>
    <row r="450">
      <c r="A450" s="12">
        <v>448.0</v>
      </c>
      <c r="B450" s="13" t="s">
        <v>962</v>
      </c>
      <c r="C450" s="14">
        <v>38.0</v>
      </c>
      <c r="D450" s="15" t="s">
        <v>1325</v>
      </c>
      <c r="E450" s="16" t="s">
        <v>221</v>
      </c>
      <c r="F450" s="13" t="s">
        <v>1423</v>
      </c>
      <c r="G450" s="13" t="s">
        <v>415</v>
      </c>
      <c r="H450" s="13" t="s">
        <v>415</v>
      </c>
      <c r="I450" s="13" t="s">
        <v>416</v>
      </c>
      <c r="J450" s="17" t="s">
        <v>418</v>
      </c>
      <c r="K450" s="17" t="s">
        <v>420</v>
      </c>
      <c r="L450" s="18" t="s">
        <v>52</v>
      </c>
      <c r="M450" s="19">
        <v>11.0</v>
      </c>
      <c r="N450" s="19">
        <v>41.0</v>
      </c>
    </row>
    <row r="451">
      <c r="A451" s="12">
        <v>449.0</v>
      </c>
      <c r="B451" s="13" t="s">
        <v>962</v>
      </c>
      <c r="C451" s="14">
        <v>39.0</v>
      </c>
      <c r="D451" s="15" t="s">
        <v>1325</v>
      </c>
      <c r="E451" s="16" t="s">
        <v>221</v>
      </c>
      <c r="F451" s="13" t="s">
        <v>1424</v>
      </c>
      <c r="G451" s="13" t="s">
        <v>415</v>
      </c>
      <c r="H451" s="13" t="s">
        <v>415</v>
      </c>
      <c r="I451" s="13" t="s">
        <v>416</v>
      </c>
      <c r="J451" s="17" t="s">
        <v>418</v>
      </c>
      <c r="K451" s="17" t="s">
        <v>420</v>
      </c>
      <c r="L451" s="18" t="s">
        <v>52</v>
      </c>
      <c r="M451" s="19">
        <v>11.0</v>
      </c>
      <c r="N451" s="19">
        <v>41.0</v>
      </c>
    </row>
    <row r="452">
      <c r="A452" s="12">
        <v>450.0</v>
      </c>
      <c r="B452" s="13" t="s">
        <v>962</v>
      </c>
      <c r="C452" s="14">
        <v>40.0</v>
      </c>
      <c r="D452" s="15" t="s">
        <v>1325</v>
      </c>
      <c r="E452" s="16" t="s">
        <v>221</v>
      </c>
      <c r="F452" s="13" t="s">
        <v>1426</v>
      </c>
      <c r="G452" s="13" t="s">
        <v>415</v>
      </c>
      <c r="H452" s="13" t="s">
        <v>415</v>
      </c>
      <c r="I452" s="13" t="s">
        <v>416</v>
      </c>
      <c r="J452" s="17" t="s">
        <v>418</v>
      </c>
      <c r="K452" s="17" t="s">
        <v>420</v>
      </c>
      <c r="L452" s="18" t="s">
        <v>52</v>
      </c>
      <c r="M452" s="19">
        <v>11.0</v>
      </c>
      <c r="N452" s="19">
        <v>41.0</v>
      </c>
    </row>
    <row r="453">
      <c r="A453" s="12">
        <v>451.0</v>
      </c>
      <c r="B453" s="13" t="s">
        <v>962</v>
      </c>
      <c r="C453" s="14">
        <v>41.0</v>
      </c>
      <c r="D453" s="15" t="s">
        <v>1325</v>
      </c>
      <c r="E453" s="16" t="s">
        <v>221</v>
      </c>
      <c r="F453" s="13" t="s">
        <v>1232</v>
      </c>
      <c r="G453" s="13" t="s">
        <v>415</v>
      </c>
      <c r="H453" s="13" t="s">
        <v>415</v>
      </c>
      <c r="I453" s="13" t="s">
        <v>416</v>
      </c>
      <c r="J453" s="17" t="s">
        <v>418</v>
      </c>
      <c r="K453" s="17" t="s">
        <v>420</v>
      </c>
      <c r="L453" s="18" t="s">
        <v>52</v>
      </c>
      <c r="M453" s="19">
        <v>11.0</v>
      </c>
      <c r="N453" s="19">
        <v>41.0</v>
      </c>
    </row>
    <row r="454">
      <c r="A454" s="12">
        <v>452.0</v>
      </c>
      <c r="B454" s="13" t="s">
        <v>962</v>
      </c>
      <c r="C454" s="14">
        <v>42.0</v>
      </c>
      <c r="D454" s="15" t="s">
        <v>1325</v>
      </c>
      <c r="E454" s="16" t="s">
        <v>221</v>
      </c>
      <c r="F454" s="13" t="s">
        <v>1428</v>
      </c>
      <c r="G454" s="13" t="s">
        <v>415</v>
      </c>
      <c r="H454" s="13" t="s">
        <v>415</v>
      </c>
      <c r="I454" s="13" t="s">
        <v>416</v>
      </c>
      <c r="J454" s="17" t="s">
        <v>418</v>
      </c>
      <c r="K454" s="17" t="s">
        <v>420</v>
      </c>
      <c r="L454" s="18" t="s">
        <v>52</v>
      </c>
      <c r="M454" s="19">
        <v>11.0</v>
      </c>
      <c r="N454" s="19">
        <v>41.0</v>
      </c>
    </row>
    <row r="455">
      <c r="A455" s="12">
        <v>453.0</v>
      </c>
      <c r="B455" s="13" t="s">
        <v>962</v>
      </c>
      <c r="C455" s="14">
        <v>43.0</v>
      </c>
      <c r="D455" s="15" t="s">
        <v>1325</v>
      </c>
      <c r="E455" s="16" t="s">
        <v>221</v>
      </c>
      <c r="F455" s="13" t="s">
        <v>1430</v>
      </c>
      <c r="G455" s="13" t="s">
        <v>415</v>
      </c>
      <c r="H455" s="13" t="s">
        <v>415</v>
      </c>
      <c r="I455" s="13" t="s">
        <v>416</v>
      </c>
      <c r="J455" s="17" t="s">
        <v>418</v>
      </c>
      <c r="K455" s="17" t="s">
        <v>420</v>
      </c>
      <c r="L455" s="18" t="s">
        <v>52</v>
      </c>
      <c r="M455" s="19">
        <v>11.0</v>
      </c>
      <c r="N455" s="19">
        <v>41.0</v>
      </c>
    </row>
    <row r="456">
      <c r="A456" s="12">
        <v>454.0</v>
      </c>
      <c r="B456" s="13" t="s">
        <v>962</v>
      </c>
      <c r="C456" s="14">
        <v>44.0</v>
      </c>
      <c r="D456" s="15" t="s">
        <v>1325</v>
      </c>
      <c r="E456" s="16" t="s">
        <v>221</v>
      </c>
      <c r="F456" s="13" t="s">
        <v>1431</v>
      </c>
      <c r="G456" s="13" t="s">
        <v>415</v>
      </c>
      <c r="H456" s="13" t="s">
        <v>415</v>
      </c>
      <c r="I456" s="13" t="s">
        <v>416</v>
      </c>
      <c r="J456" s="17" t="s">
        <v>418</v>
      </c>
      <c r="K456" s="17" t="s">
        <v>420</v>
      </c>
      <c r="L456" s="18" t="s">
        <v>52</v>
      </c>
      <c r="M456" s="19">
        <v>11.0</v>
      </c>
      <c r="N456" s="19">
        <v>41.0</v>
      </c>
    </row>
    <row r="457">
      <c r="A457" s="12">
        <v>455.0</v>
      </c>
      <c r="B457" s="13" t="s">
        <v>962</v>
      </c>
      <c r="C457" s="14">
        <v>45.0</v>
      </c>
      <c r="D457" s="15" t="s">
        <v>1407</v>
      </c>
      <c r="E457" s="16" t="s">
        <v>221</v>
      </c>
      <c r="F457" s="13" t="s">
        <v>1432</v>
      </c>
      <c r="G457" s="13" t="s">
        <v>415</v>
      </c>
      <c r="H457" s="13" t="s">
        <v>415</v>
      </c>
      <c r="I457" s="13" t="s">
        <v>416</v>
      </c>
      <c r="J457" s="17" t="s">
        <v>418</v>
      </c>
      <c r="K457" s="17" t="s">
        <v>420</v>
      </c>
      <c r="L457" s="18" t="s">
        <v>52</v>
      </c>
      <c r="M457" s="19">
        <v>11.0</v>
      </c>
      <c r="N457" s="19">
        <v>41.0</v>
      </c>
    </row>
    <row r="458">
      <c r="A458" s="12">
        <v>456.0</v>
      </c>
      <c r="B458" s="13" t="s">
        <v>962</v>
      </c>
      <c r="C458" s="14">
        <v>46.0</v>
      </c>
      <c r="D458" s="15" t="s">
        <v>1407</v>
      </c>
      <c r="E458" s="16" t="s">
        <v>221</v>
      </c>
      <c r="F458" s="13" t="s">
        <v>1434</v>
      </c>
      <c r="G458" s="13" t="s">
        <v>415</v>
      </c>
      <c r="H458" s="13" t="s">
        <v>415</v>
      </c>
      <c r="I458" s="13" t="s">
        <v>416</v>
      </c>
      <c r="J458" s="17" t="s">
        <v>418</v>
      </c>
      <c r="K458" s="17" t="s">
        <v>420</v>
      </c>
      <c r="L458" s="18" t="s">
        <v>52</v>
      </c>
      <c r="M458" s="19">
        <v>11.0</v>
      </c>
      <c r="N458" s="19">
        <v>41.0</v>
      </c>
    </row>
    <row r="459">
      <c r="A459" s="12">
        <v>457.0</v>
      </c>
      <c r="B459" s="13" t="s">
        <v>962</v>
      </c>
      <c r="C459" s="14">
        <v>47.0</v>
      </c>
      <c r="D459" s="15" t="s">
        <v>1407</v>
      </c>
      <c r="E459" s="16" t="s">
        <v>221</v>
      </c>
      <c r="F459" s="13" t="s">
        <v>1436</v>
      </c>
      <c r="G459" s="13" t="s">
        <v>415</v>
      </c>
      <c r="H459" s="13" t="s">
        <v>415</v>
      </c>
      <c r="I459" s="13" t="s">
        <v>416</v>
      </c>
      <c r="J459" s="17" t="s">
        <v>418</v>
      </c>
      <c r="K459" s="17" t="s">
        <v>420</v>
      </c>
      <c r="L459" s="18" t="s">
        <v>52</v>
      </c>
      <c r="M459" s="19">
        <v>11.0</v>
      </c>
      <c r="N459" s="19">
        <v>41.0</v>
      </c>
    </row>
    <row r="460">
      <c r="A460" s="12">
        <v>458.0</v>
      </c>
      <c r="B460" s="13" t="s">
        <v>962</v>
      </c>
      <c r="C460" s="14">
        <v>48.0</v>
      </c>
      <c r="D460" s="15" t="s">
        <v>1407</v>
      </c>
      <c r="E460" s="16" t="s">
        <v>221</v>
      </c>
      <c r="F460" s="13" t="s">
        <v>1437</v>
      </c>
      <c r="G460" s="13" t="s">
        <v>415</v>
      </c>
      <c r="H460" s="13" t="s">
        <v>415</v>
      </c>
      <c r="I460" s="13" t="s">
        <v>416</v>
      </c>
      <c r="J460" s="17" t="s">
        <v>418</v>
      </c>
      <c r="K460" s="17" t="s">
        <v>420</v>
      </c>
      <c r="L460" s="18" t="s">
        <v>52</v>
      </c>
      <c r="M460" s="19">
        <v>11.0</v>
      </c>
      <c r="N460" s="19">
        <v>41.0</v>
      </c>
    </row>
    <row r="461">
      <c r="A461" s="12">
        <v>459.0</v>
      </c>
      <c r="B461" s="13" t="s">
        <v>962</v>
      </c>
      <c r="C461" s="14">
        <v>49.0</v>
      </c>
      <c r="D461" s="15" t="s">
        <v>1407</v>
      </c>
      <c r="E461" s="16" t="s">
        <v>221</v>
      </c>
      <c r="F461" s="13" t="s">
        <v>1439</v>
      </c>
      <c r="G461" s="13" t="s">
        <v>415</v>
      </c>
      <c r="H461" s="13" t="s">
        <v>415</v>
      </c>
      <c r="I461" s="13" t="s">
        <v>416</v>
      </c>
      <c r="J461" s="17" t="s">
        <v>418</v>
      </c>
      <c r="K461" s="17" t="s">
        <v>420</v>
      </c>
      <c r="L461" s="18" t="s">
        <v>52</v>
      </c>
      <c r="M461" s="19">
        <v>11.0</v>
      </c>
      <c r="N461" s="19">
        <v>41.0</v>
      </c>
    </row>
    <row r="462">
      <c r="A462" s="12">
        <v>460.0</v>
      </c>
      <c r="B462" s="13" t="s">
        <v>962</v>
      </c>
      <c r="C462" s="14">
        <v>50.0</v>
      </c>
      <c r="D462" s="15" t="s">
        <v>1407</v>
      </c>
      <c r="E462" s="16" t="s">
        <v>221</v>
      </c>
      <c r="F462" s="13" t="s">
        <v>1440</v>
      </c>
      <c r="G462" s="13" t="s">
        <v>415</v>
      </c>
      <c r="H462" s="13" t="s">
        <v>415</v>
      </c>
      <c r="I462" s="13" t="s">
        <v>416</v>
      </c>
      <c r="J462" s="17" t="s">
        <v>418</v>
      </c>
      <c r="K462" s="17" t="s">
        <v>420</v>
      </c>
      <c r="L462" s="18" t="s">
        <v>52</v>
      </c>
      <c r="M462" s="19">
        <v>11.0</v>
      </c>
      <c r="N462" s="19">
        <v>41.0</v>
      </c>
    </row>
    <row r="463">
      <c r="A463" s="12">
        <v>461.0</v>
      </c>
      <c r="B463" s="13" t="s">
        <v>375</v>
      </c>
      <c r="C463" s="14">
        <v>1.0</v>
      </c>
      <c r="D463" s="15" t="s">
        <v>1441</v>
      </c>
      <c r="E463" s="16" t="s">
        <v>221</v>
      </c>
      <c r="F463" s="13" t="s">
        <v>746</v>
      </c>
      <c r="G463" s="13" t="s">
        <v>61</v>
      </c>
      <c r="H463" s="13" t="s">
        <v>1442</v>
      </c>
      <c r="I463" s="13" t="s">
        <v>56</v>
      </c>
      <c r="J463" s="17" t="s">
        <v>57</v>
      </c>
      <c r="K463" s="17" t="s">
        <v>58</v>
      </c>
      <c r="L463" s="18" t="s">
        <v>749</v>
      </c>
      <c r="M463" s="19">
        <v>12.0</v>
      </c>
      <c r="N463" s="19">
        <v>10.0</v>
      </c>
    </row>
    <row r="464">
      <c r="A464" s="12">
        <v>462.0</v>
      </c>
      <c r="B464" s="13" t="s">
        <v>375</v>
      </c>
      <c r="C464" s="14">
        <v>2.0</v>
      </c>
      <c r="D464" s="15" t="s">
        <v>1441</v>
      </c>
      <c r="E464" s="16" t="s">
        <v>221</v>
      </c>
      <c r="F464" s="13" t="s">
        <v>557</v>
      </c>
      <c r="G464" s="13" t="s">
        <v>61</v>
      </c>
      <c r="H464" s="13" t="s">
        <v>1443</v>
      </c>
      <c r="I464" s="13" t="s">
        <v>56</v>
      </c>
      <c r="J464" s="17" t="s">
        <v>57</v>
      </c>
      <c r="K464" s="17" t="s">
        <v>58</v>
      </c>
      <c r="L464" s="18" t="s">
        <v>749</v>
      </c>
      <c r="M464" s="19">
        <v>12.0</v>
      </c>
      <c r="N464" s="19">
        <v>10.0</v>
      </c>
    </row>
    <row r="465">
      <c r="A465" s="12">
        <v>463.0</v>
      </c>
      <c r="B465" s="13" t="s">
        <v>375</v>
      </c>
      <c r="C465" s="14">
        <v>3.0</v>
      </c>
      <c r="D465" s="15" t="s">
        <v>1441</v>
      </c>
      <c r="E465" s="16" t="s">
        <v>221</v>
      </c>
      <c r="F465" s="13" t="s">
        <v>605</v>
      </c>
      <c r="G465" s="13" t="s">
        <v>1445</v>
      </c>
      <c r="H465" s="13" t="s">
        <v>1446</v>
      </c>
      <c r="I465" s="13" t="s">
        <v>56</v>
      </c>
      <c r="J465" s="17" t="s">
        <v>67</v>
      </c>
      <c r="K465" s="17" t="s">
        <v>58</v>
      </c>
      <c r="L465" s="18" t="s">
        <v>52</v>
      </c>
      <c r="M465" s="19">
        <v>12.0</v>
      </c>
      <c r="N465" s="19">
        <v>20.0</v>
      </c>
    </row>
    <row r="466">
      <c r="A466" s="12">
        <v>464.0</v>
      </c>
      <c r="B466" s="13" t="s">
        <v>375</v>
      </c>
      <c r="C466" s="14">
        <v>4.0</v>
      </c>
      <c r="D466" s="15" t="s">
        <v>1441</v>
      </c>
      <c r="E466" s="16" t="s">
        <v>221</v>
      </c>
      <c r="F466" s="13" t="s">
        <v>570</v>
      </c>
      <c r="G466" s="13" t="s">
        <v>817</v>
      </c>
      <c r="H466" s="13" t="s">
        <v>818</v>
      </c>
      <c r="I466" s="13" t="s">
        <v>56</v>
      </c>
      <c r="J466" s="17" t="s">
        <v>67</v>
      </c>
      <c r="K466" s="17" t="s">
        <v>58</v>
      </c>
      <c r="L466" s="18" t="s">
        <v>52</v>
      </c>
      <c r="M466" s="19">
        <v>12.0</v>
      </c>
      <c r="N466" s="19">
        <v>20.0</v>
      </c>
    </row>
    <row r="467">
      <c r="A467" s="12">
        <v>465.0</v>
      </c>
      <c r="B467" s="13" t="s">
        <v>375</v>
      </c>
      <c r="C467" s="14">
        <v>5.0</v>
      </c>
      <c r="D467" s="15" t="s">
        <v>1441</v>
      </c>
      <c r="E467" s="16" t="s">
        <v>221</v>
      </c>
      <c r="F467" s="13" t="s">
        <v>320</v>
      </c>
      <c r="G467" s="13" t="s">
        <v>776</v>
      </c>
      <c r="H467" s="13" t="s">
        <v>946</v>
      </c>
      <c r="I467" s="13" t="s">
        <v>56</v>
      </c>
      <c r="J467" s="17" t="s">
        <v>67</v>
      </c>
      <c r="K467" s="17" t="s">
        <v>58</v>
      </c>
      <c r="L467" s="18" t="s">
        <v>52</v>
      </c>
      <c r="M467" s="19">
        <v>12.0</v>
      </c>
      <c r="N467" s="19">
        <v>20.0</v>
      </c>
    </row>
    <row r="468">
      <c r="A468" s="12">
        <v>466.0</v>
      </c>
      <c r="B468" s="13" t="s">
        <v>375</v>
      </c>
      <c r="C468" s="14">
        <v>6.0</v>
      </c>
      <c r="D468" s="15" t="s">
        <v>1441</v>
      </c>
      <c r="E468" s="16" t="s">
        <v>221</v>
      </c>
      <c r="F468" s="13" t="s">
        <v>632</v>
      </c>
      <c r="G468" s="13" t="s">
        <v>956</v>
      </c>
      <c r="H468" s="13" t="s">
        <v>1447</v>
      </c>
      <c r="I468" s="13" t="s">
        <v>56</v>
      </c>
      <c r="J468" s="17" t="s">
        <v>67</v>
      </c>
      <c r="K468" s="17" t="s">
        <v>58</v>
      </c>
      <c r="L468" s="18" t="s">
        <v>52</v>
      </c>
      <c r="M468" s="19">
        <v>12.0</v>
      </c>
      <c r="N468" s="19">
        <v>20.0</v>
      </c>
    </row>
    <row r="469">
      <c r="A469" s="12">
        <v>467.0</v>
      </c>
      <c r="B469" s="13" t="s">
        <v>375</v>
      </c>
      <c r="C469" s="14">
        <v>7.0</v>
      </c>
      <c r="D469" s="15" t="s">
        <v>1441</v>
      </c>
      <c r="E469" s="16" t="s">
        <v>221</v>
      </c>
      <c r="F469" s="13" t="s">
        <v>891</v>
      </c>
      <c r="G469" s="13" t="s">
        <v>892</v>
      </c>
      <c r="H469" s="13" t="s">
        <v>893</v>
      </c>
      <c r="I469" s="13" t="s">
        <v>56</v>
      </c>
      <c r="J469" s="17" t="s">
        <v>67</v>
      </c>
      <c r="K469" s="17" t="s">
        <v>58</v>
      </c>
      <c r="L469" s="18" t="s">
        <v>52</v>
      </c>
      <c r="M469" s="19">
        <v>12.0</v>
      </c>
      <c r="N469" s="19">
        <v>20.0</v>
      </c>
    </row>
    <row r="470">
      <c r="A470" s="12">
        <v>468.0</v>
      </c>
      <c r="B470" s="13" t="s">
        <v>375</v>
      </c>
      <c r="C470" s="14">
        <v>8.0</v>
      </c>
      <c r="D470" s="15" t="s">
        <v>1441</v>
      </c>
      <c r="E470" s="16" t="s">
        <v>221</v>
      </c>
      <c r="F470" s="13" t="s">
        <v>283</v>
      </c>
      <c r="G470" s="13" t="s">
        <v>960</v>
      </c>
      <c r="H470" s="13" t="s">
        <v>961</v>
      </c>
      <c r="I470" s="13" t="s">
        <v>56</v>
      </c>
      <c r="J470" s="17" t="s">
        <v>67</v>
      </c>
      <c r="K470" s="17" t="s">
        <v>58</v>
      </c>
      <c r="L470" s="18" t="s">
        <v>52</v>
      </c>
      <c r="M470" s="19">
        <v>12.0</v>
      </c>
      <c r="N470" s="19">
        <v>20.0</v>
      </c>
    </row>
    <row r="471">
      <c r="A471" s="12">
        <v>469.0</v>
      </c>
      <c r="B471" s="13" t="s">
        <v>375</v>
      </c>
      <c r="C471" s="14">
        <v>9.0</v>
      </c>
      <c r="D471" s="15" t="s">
        <v>1441</v>
      </c>
      <c r="E471" s="16" t="s">
        <v>221</v>
      </c>
      <c r="F471" s="13" t="s">
        <v>1448</v>
      </c>
      <c r="G471" s="13" t="s">
        <v>1449</v>
      </c>
      <c r="H471" s="13" t="s">
        <v>1450</v>
      </c>
      <c r="I471" s="13" t="s">
        <v>56</v>
      </c>
      <c r="J471" s="17" t="s">
        <v>67</v>
      </c>
      <c r="K471" s="17" t="s">
        <v>58</v>
      </c>
      <c r="L471" s="18" t="s">
        <v>52</v>
      </c>
      <c r="M471" s="19">
        <v>12.0</v>
      </c>
      <c r="N471" s="19">
        <v>20.0</v>
      </c>
    </row>
    <row r="472">
      <c r="A472" s="12">
        <v>470.0</v>
      </c>
      <c r="B472" s="13" t="s">
        <v>375</v>
      </c>
      <c r="C472" s="14">
        <v>10.0</v>
      </c>
      <c r="D472" s="15" t="s">
        <v>1441</v>
      </c>
      <c r="E472" s="16" t="s">
        <v>221</v>
      </c>
      <c r="F472" s="13" t="s">
        <v>894</v>
      </c>
      <c r="G472" s="13" t="s">
        <v>895</v>
      </c>
      <c r="H472" s="13" t="s">
        <v>893</v>
      </c>
      <c r="I472" s="13" t="s">
        <v>56</v>
      </c>
      <c r="J472" s="17" t="s">
        <v>67</v>
      </c>
      <c r="K472" s="17" t="s">
        <v>58</v>
      </c>
      <c r="L472" s="18" t="s">
        <v>52</v>
      </c>
      <c r="M472" s="19">
        <v>12.0</v>
      </c>
      <c r="N472" s="19">
        <v>20.0</v>
      </c>
    </row>
    <row r="473">
      <c r="A473" s="12">
        <v>471.0</v>
      </c>
      <c r="B473" s="13" t="s">
        <v>375</v>
      </c>
      <c r="C473" s="14">
        <v>11.0</v>
      </c>
      <c r="D473" s="15" t="s">
        <v>1441</v>
      </c>
      <c r="E473" s="16" t="s">
        <v>221</v>
      </c>
      <c r="F473" s="13" t="s">
        <v>672</v>
      </c>
      <c r="G473" s="13" t="s">
        <v>1451</v>
      </c>
      <c r="H473" s="13" t="s">
        <v>1452</v>
      </c>
      <c r="I473" s="13" t="s">
        <v>56</v>
      </c>
      <c r="J473" s="17" t="s">
        <v>67</v>
      </c>
      <c r="K473" s="17" t="s">
        <v>58</v>
      </c>
      <c r="L473" s="18" t="s">
        <v>52</v>
      </c>
      <c r="M473" s="19">
        <v>12.0</v>
      </c>
      <c r="N473" s="19">
        <v>20.0</v>
      </c>
    </row>
    <row r="474">
      <c r="A474" s="12">
        <v>472.0</v>
      </c>
      <c r="B474" s="13" t="s">
        <v>375</v>
      </c>
      <c r="C474" s="14">
        <v>12.0</v>
      </c>
      <c r="D474" s="15" t="s">
        <v>1441</v>
      </c>
      <c r="E474" s="16" t="s">
        <v>221</v>
      </c>
      <c r="F474" s="13" t="s">
        <v>1454</v>
      </c>
      <c r="G474" s="13" t="s">
        <v>1455</v>
      </c>
      <c r="H474" s="13" t="s">
        <v>1456</v>
      </c>
      <c r="I474" s="13" t="s">
        <v>56</v>
      </c>
      <c r="J474" s="17" t="s">
        <v>67</v>
      </c>
      <c r="K474" s="17" t="s">
        <v>58</v>
      </c>
      <c r="L474" s="18" t="s">
        <v>52</v>
      </c>
      <c r="M474" s="19">
        <v>12.0</v>
      </c>
      <c r="N474" s="19">
        <v>20.0</v>
      </c>
    </row>
    <row r="475">
      <c r="A475" s="12">
        <v>473.0</v>
      </c>
      <c r="B475" s="13" t="s">
        <v>375</v>
      </c>
      <c r="C475" s="14">
        <v>13.0</v>
      </c>
      <c r="D475" s="15" t="s">
        <v>1441</v>
      </c>
      <c r="E475" s="16" t="s">
        <v>221</v>
      </c>
      <c r="F475" s="13" t="s">
        <v>658</v>
      </c>
      <c r="G475" s="13" t="s">
        <v>958</v>
      </c>
      <c r="H475" s="13" t="s">
        <v>1457</v>
      </c>
      <c r="I475" s="13" t="s">
        <v>56</v>
      </c>
      <c r="J475" s="17" t="s">
        <v>67</v>
      </c>
      <c r="K475" s="17" t="s">
        <v>58</v>
      </c>
      <c r="L475" s="18" t="s">
        <v>52</v>
      </c>
      <c r="M475" s="19">
        <v>12.0</v>
      </c>
      <c r="N475" s="19">
        <v>20.0</v>
      </c>
    </row>
    <row r="476">
      <c r="A476" s="12">
        <v>474.0</v>
      </c>
      <c r="B476" s="13" t="s">
        <v>375</v>
      </c>
      <c r="C476" s="14">
        <v>14.0</v>
      </c>
      <c r="D476" s="15" t="s">
        <v>1441</v>
      </c>
      <c r="E476" s="16" t="s">
        <v>221</v>
      </c>
      <c r="F476" s="13" t="s">
        <v>732</v>
      </c>
      <c r="G476" s="13" t="s">
        <v>840</v>
      </c>
      <c r="H476" s="13" t="s">
        <v>1459</v>
      </c>
      <c r="I476" s="13" t="s">
        <v>56</v>
      </c>
      <c r="J476" s="17" t="s">
        <v>67</v>
      </c>
      <c r="K476" s="17" t="s">
        <v>58</v>
      </c>
      <c r="L476" s="18" t="s">
        <v>52</v>
      </c>
      <c r="M476" s="19">
        <v>12.0</v>
      </c>
      <c r="N476" s="19">
        <v>20.0</v>
      </c>
    </row>
    <row r="477">
      <c r="A477" s="12">
        <v>475.0</v>
      </c>
      <c r="B477" s="13" t="s">
        <v>375</v>
      </c>
      <c r="C477" s="14">
        <v>15.0</v>
      </c>
      <c r="D477" s="15" t="s">
        <v>1441</v>
      </c>
      <c r="E477" s="16" t="s">
        <v>221</v>
      </c>
      <c r="F477" s="13" t="s">
        <v>1460</v>
      </c>
      <c r="G477" s="13" t="s">
        <v>1461</v>
      </c>
      <c r="H477" s="13" t="s">
        <v>1462</v>
      </c>
      <c r="I477" s="13" t="s">
        <v>56</v>
      </c>
      <c r="J477" s="17" t="s">
        <v>67</v>
      </c>
      <c r="K477" s="17" t="s">
        <v>58</v>
      </c>
      <c r="L477" s="18" t="s">
        <v>52</v>
      </c>
      <c r="M477" s="19">
        <v>12.0</v>
      </c>
      <c r="N477" s="19">
        <v>20.0</v>
      </c>
    </row>
    <row r="478">
      <c r="A478" s="12">
        <v>476.0</v>
      </c>
      <c r="B478" s="13" t="s">
        <v>375</v>
      </c>
      <c r="C478" s="14">
        <v>16.0</v>
      </c>
      <c r="D478" s="15" t="s">
        <v>1441</v>
      </c>
      <c r="E478" s="16" t="s">
        <v>221</v>
      </c>
      <c r="F478" s="13" t="s">
        <v>734</v>
      </c>
      <c r="G478" s="13" t="s">
        <v>61</v>
      </c>
      <c r="H478" s="13" t="s">
        <v>1038</v>
      </c>
      <c r="I478" s="13" t="s">
        <v>63</v>
      </c>
      <c r="J478" s="17" t="s">
        <v>67</v>
      </c>
      <c r="K478" s="17" t="s">
        <v>58</v>
      </c>
      <c r="L478" s="18" t="s">
        <v>749</v>
      </c>
      <c r="M478" s="19">
        <v>12.0</v>
      </c>
      <c r="N478" s="19">
        <v>21.0</v>
      </c>
    </row>
    <row r="479">
      <c r="A479" s="12">
        <v>477.0</v>
      </c>
      <c r="B479" s="13" t="s">
        <v>375</v>
      </c>
      <c r="C479" s="14">
        <v>17.0</v>
      </c>
      <c r="D479" s="15" t="s">
        <v>1441</v>
      </c>
      <c r="E479" s="16" t="s">
        <v>221</v>
      </c>
      <c r="F479" s="13" t="s">
        <v>1463</v>
      </c>
      <c r="G479" s="13" t="s">
        <v>61</v>
      </c>
      <c r="H479" s="13" t="s">
        <v>1464</v>
      </c>
      <c r="I479" s="13" t="s">
        <v>63</v>
      </c>
      <c r="J479" s="17" t="s">
        <v>67</v>
      </c>
      <c r="K479" s="17" t="s">
        <v>58</v>
      </c>
      <c r="L479" s="18" t="s">
        <v>52</v>
      </c>
      <c r="M479" s="19">
        <v>12.0</v>
      </c>
      <c r="N479" s="19">
        <v>21.0</v>
      </c>
    </row>
    <row r="480">
      <c r="A480" s="12">
        <v>478.0</v>
      </c>
      <c r="B480" s="13" t="s">
        <v>375</v>
      </c>
      <c r="C480" s="14">
        <v>18.0</v>
      </c>
      <c r="D480" s="15" t="s">
        <v>1441</v>
      </c>
      <c r="E480" s="16" t="s">
        <v>221</v>
      </c>
      <c r="F480" s="13" t="s">
        <v>738</v>
      </c>
      <c r="G480" s="13" t="s">
        <v>1465</v>
      </c>
      <c r="H480" s="13" t="s">
        <v>1466</v>
      </c>
      <c r="I480" s="13" t="s">
        <v>56</v>
      </c>
      <c r="J480" s="17" t="s">
        <v>71</v>
      </c>
      <c r="K480" s="17" t="s">
        <v>58</v>
      </c>
      <c r="L480" s="18" t="s">
        <v>52</v>
      </c>
      <c r="M480" s="19">
        <v>12.0</v>
      </c>
      <c r="N480" s="19">
        <v>30.0</v>
      </c>
    </row>
    <row r="481">
      <c r="A481" s="12">
        <v>479.0</v>
      </c>
      <c r="B481" s="13" t="s">
        <v>375</v>
      </c>
      <c r="C481" s="14">
        <v>19.0</v>
      </c>
      <c r="D481" s="15" t="s">
        <v>1441</v>
      </c>
      <c r="E481" s="16" t="s">
        <v>221</v>
      </c>
      <c r="F481" s="13" t="s">
        <v>475</v>
      </c>
      <c r="G481" s="13" t="s">
        <v>61</v>
      </c>
      <c r="H481" s="13" t="s">
        <v>786</v>
      </c>
      <c r="I481" s="13" t="s">
        <v>56</v>
      </c>
      <c r="J481" s="17" t="s">
        <v>71</v>
      </c>
      <c r="K481" s="17" t="s">
        <v>58</v>
      </c>
      <c r="L481" s="18" t="s">
        <v>52</v>
      </c>
      <c r="M481" s="19">
        <v>12.0</v>
      </c>
      <c r="N481" s="19">
        <v>30.0</v>
      </c>
    </row>
    <row r="482">
      <c r="A482" s="12">
        <v>480.0</v>
      </c>
      <c r="B482" s="13" t="s">
        <v>375</v>
      </c>
      <c r="C482" s="14">
        <v>20.0</v>
      </c>
      <c r="D482" s="15" t="s">
        <v>1441</v>
      </c>
      <c r="E482" s="16" t="s">
        <v>221</v>
      </c>
      <c r="F482" s="13" t="s">
        <v>705</v>
      </c>
      <c r="G482" s="13" t="s">
        <v>925</v>
      </c>
      <c r="H482" s="13" t="s">
        <v>1467</v>
      </c>
      <c r="I482" s="13" t="s">
        <v>56</v>
      </c>
      <c r="J482" s="17" t="s">
        <v>71</v>
      </c>
      <c r="K482" s="17" t="s">
        <v>58</v>
      </c>
      <c r="L482" s="18" t="s">
        <v>52</v>
      </c>
      <c r="M482" s="19">
        <v>12.0</v>
      </c>
      <c r="N482" s="19">
        <v>30.0</v>
      </c>
    </row>
    <row r="483">
      <c r="A483" s="12">
        <v>481.0</v>
      </c>
      <c r="B483" s="13" t="s">
        <v>375</v>
      </c>
      <c r="C483" s="14">
        <v>21.0</v>
      </c>
      <c r="D483" s="15" t="s">
        <v>1441</v>
      </c>
      <c r="E483" s="16" t="s">
        <v>221</v>
      </c>
      <c r="F483" s="13" t="s">
        <v>314</v>
      </c>
      <c r="G483" s="13" t="s">
        <v>927</v>
      </c>
      <c r="H483" s="13" t="s">
        <v>1468</v>
      </c>
      <c r="I483" s="13" t="s">
        <v>56</v>
      </c>
      <c r="J483" s="17" t="s">
        <v>71</v>
      </c>
      <c r="K483" s="17" t="s">
        <v>58</v>
      </c>
      <c r="L483" s="18" t="s">
        <v>52</v>
      </c>
      <c r="M483" s="19">
        <v>12.0</v>
      </c>
      <c r="N483" s="19">
        <v>30.0</v>
      </c>
    </row>
    <row r="484">
      <c r="A484" s="12">
        <v>482.0</v>
      </c>
      <c r="B484" s="13" t="s">
        <v>375</v>
      </c>
      <c r="C484" s="14">
        <v>22.0</v>
      </c>
      <c r="D484" s="15" t="s">
        <v>1441</v>
      </c>
      <c r="E484" s="16" t="s">
        <v>221</v>
      </c>
      <c r="F484" s="13" t="s">
        <v>391</v>
      </c>
      <c r="G484" s="13" t="s">
        <v>61</v>
      </c>
      <c r="H484" s="13" t="s">
        <v>1469</v>
      </c>
      <c r="I484" s="13" t="s">
        <v>56</v>
      </c>
      <c r="J484" s="17" t="s">
        <v>71</v>
      </c>
      <c r="K484" s="17" t="s">
        <v>58</v>
      </c>
      <c r="L484" s="18" t="s">
        <v>52</v>
      </c>
      <c r="M484" s="19">
        <v>12.0</v>
      </c>
      <c r="N484" s="19">
        <v>30.0</v>
      </c>
    </row>
    <row r="485">
      <c r="A485" s="12">
        <v>483.0</v>
      </c>
      <c r="B485" s="13" t="s">
        <v>375</v>
      </c>
      <c r="C485" s="14">
        <v>23.0</v>
      </c>
      <c r="D485" s="15" t="s">
        <v>1441</v>
      </c>
      <c r="E485" s="16" t="s">
        <v>221</v>
      </c>
      <c r="F485" s="13" t="s">
        <v>586</v>
      </c>
      <c r="G485" s="13" t="s">
        <v>866</v>
      </c>
      <c r="H485" s="13" t="s">
        <v>1459</v>
      </c>
      <c r="I485" s="13" t="s">
        <v>56</v>
      </c>
      <c r="J485" s="17" t="s">
        <v>71</v>
      </c>
      <c r="K485" s="17" t="s">
        <v>58</v>
      </c>
      <c r="L485" s="18" t="s">
        <v>52</v>
      </c>
      <c r="M485" s="19">
        <v>12.0</v>
      </c>
      <c r="N485" s="19">
        <v>30.0</v>
      </c>
    </row>
    <row r="486">
      <c r="A486" s="12">
        <v>484.0</v>
      </c>
      <c r="B486" s="13" t="s">
        <v>375</v>
      </c>
      <c r="C486" s="14">
        <v>24.0</v>
      </c>
      <c r="D486" s="15" t="s">
        <v>1441</v>
      </c>
      <c r="E486" s="16" t="s">
        <v>221</v>
      </c>
      <c r="F486" s="13" t="s">
        <v>278</v>
      </c>
      <c r="G486" s="13" t="s">
        <v>1470</v>
      </c>
      <c r="H486" s="13" t="s">
        <v>1459</v>
      </c>
      <c r="I486" s="13" t="s">
        <v>56</v>
      </c>
      <c r="J486" s="17" t="s">
        <v>71</v>
      </c>
      <c r="K486" s="17" t="s">
        <v>58</v>
      </c>
      <c r="L486" s="18" t="s">
        <v>52</v>
      </c>
      <c r="M486" s="19">
        <v>12.0</v>
      </c>
      <c r="N486" s="19">
        <v>30.0</v>
      </c>
    </row>
    <row r="487">
      <c r="A487" s="12">
        <v>485.0</v>
      </c>
      <c r="B487" s="13" t="s">
        <v>375</v>
      </c>
      <c r="C487" s="14">
        <v>25.0</v>
      </c>
      <c r="D487" s="15" t="s">
        <v>1441</v>
      </c>
      <c r="E487" s="16" t="s">
        <v>221</v>
      </c>
      <c r="F487" s="13" t="s">
        <v>495</v>
      </c>
      <c r="G487" s="13" t="s">
        <v>973</v>
      </c>
      <c r="H487" s="13" t="s">
        <v>1473</v>
      </c>
      <c r="I487" s="13" t="s">
        <v>56</v>
      </c>
      <c r="J487" s="17" t="s">
        <v>71</v>
      </c>
      <c r="K487" s="17" t="s">
        <v>58</v>
      </c>
      <c r="L487" s="18" t="s">
        <v>52</v>
      </c>
      <c r="M487" s="19">
        <v>12.0</v>
      </c>
      <c r="N487" s="19">
        <v>30.0</v>
      </c>
    </row>
    <row r="488">
      <c r="A488" s="12">
        <v>486.0</v>
      </c>
      <c r="B488" s="13" t="s">
        <v>375</v>
      </c>
      <c r="C488" s="14">
        <v>26.0</v>
      </c>
      <c r="D488" s="15" t="s">
        <v>1441</v>
      </c>
      <c r="E488" s="16" t="s">
        <v>221</v>
      </c>
      <c r="F488" s="13" t="s">
        <v>1475</v>
      </c>
      <c r="G488" s="13" t="s">
        <v>1476</v>
      </c>
      <c r="H488" s="13" t="s">
        <v>1477</v>
      </c>
      <c r="I488" s="13" t="s">
        <v>56</v>
      </c>
      <c r="J488" s="17" t="s">
        <v>71</v>
      </c>
      <c r="K488" s="17" t="s">
        <v>58</v>
      </c>
      <c r="L488" s="18" t="s">
        <v>52</v>
      </c>
      <c r="M488" s="19">
        <v>12.0</v>
      </c>
      <c r="N488" s="19">
        <v>30.0</v>
      </c>
    </row>
    <row r="489">
      <c r="A489" s="12">
        <v>487.0</v>
      </c>
      <c r="B489" s="13" t="s">
        <v>375</v>
      </c>
      <c r="C489" s="14">
        <v>27.0</v>
      </c>
      <c r="D489" s="15" t="s">
        <v>1441</v>
      </c>
      <c r="E489" s="16" t="s">
        <v>221</v>
      </c>
      <c r="F489" s="13" t="s">
        <v>530</v>
      </c>
      <c r="G489" s="13" t="s">
        <v>804</v>
      </c>
      <c r="H489" s="13" t="s">
        <v>1459</v>
      </c>
      <c r="I489" s="13" t="s">
        <v>56</v>
      </c>
      <c r="J489" s="17" t="s">
        <v>71</v>
      </c>
      <c r="K489" s="17" t="s">
        <v>58</v>
      </c>
      <c r="L489" s="18" t="s">
        <v>52</v>
      </c>
      <c r="M489" s="19">
        <v>12.0</v>
      </c>
      <c r="N489" s="19">
        <v>30.0</v>
      </c>
    </row>
    <row r="490">
      <c r="A490" s="12">
        <v>488.0</v>
      </c>
      <c r="B490" s="13" t="s">
        <v>375</v>
      </c>
      <c r="C490" s="14">
        <v>28.0</v>
      </c>
      <c r="D490" s="15" t="s">
        <v>1441</v>
      </c>
      <c r="E490" s="16" t="s">
        <v>221</v>
      </c>
      <c r="F490" s="13" t="s">
        <v>836</v>
      </c>
      <c r="G490" s="13" t="s">
        <v>61</v>
      </c>
      <c r="H490" s="13" t="s">
        <v>1479</v>
      </c>
      <c r="I490" s="13" t="s">
        <v>63</v>
      </c>
      <c r="J490" s="17" t="s">
        <v>71</v>
      </c>
      <c r="K490" s="17" t="s">
        <v>58</v>
      </c>
      <c r="L490" s="18" t="s">
        <v>52</v>
      </c>
      <c r="M490" s="19">
        <v>12.0</v>
      </c>
      <c r="N490" s="19">
        <v>31.0</v>
      </c>
    </row>
    <row r="491">
      <c r="A491" s="12">
        <v>489.0</v>
      </c>
      <c r="B491" s="13" t="s">
        <v>375</v>
      </c>
      <c r="C491" s="14">
        <v>29.0</v>
      </c>
      <c r="D491" s="15" t="s">
        <v>1441</v>
      </c>
      <c r="E491" s="16" t="s">
        <v>221</v>
      </c>
      <c r="F491" s="13" t="s">
        <v>1480</v>
      </c>
      <c r="G491" s="13" t="s">
        <v>1481</v>
      </c>
      <c r="H491" s="13" t="s">
        <v>1482</v>
      </c>
      <c r="I491" s="13" t="s">
        <v>63</v>
      </c>
      <c r="J491" s="17" t="s">
        <v>71</v>
      </c>
      <c r="K491" s="17" t="s">
        <v>58</v>
      </c>
      <c r="L491" s="18" t="s">
        <v>52</v>
      </c>
      <c r="M491" s="19">
        <v>12.0</v>
      </c>
      <c r="N491" s="19">
        <v>31.0</v>
      </c>
    </row>
    <row r="492">
      <c r="A492" s="12">
        <v>490.0</v>
      </c>
      <c r="B492" s="13" t="s">
        <v>375</v>
      </c>
      <c r="C492" s="14">
        <v>30.0</v>
      </c>
      <c r="D492" s="15" t="s">
        <v>1441</v>
      </c>
      <c r="E492" s="16" t="s">
        <v>221</v>
      </c>
      <c r="F492" s="13" t="s">
        <v>1484</v>
      </c>
      <c r="G492" s="13" t="s">
        <v>1485</v>
      </c>
      <c r="H492" s="13" t="s">
        <v>1486</v>
      </c>
      <c r="I492" s="13" t="s">
        <v>63</v>
      </c>
      <c r="J492" s="17" t="s">
        <v>71</v>
      </c>
      <c r="K492" s="17" t="s">
        <v>58</v>
      </c>
      <c r="L492" s="18" t="s">
        <v>52</v>
      </c>
      <c r="M492" s="19">
        <v>12.0</v>
      </c>
      <c r="N492" s="19">
        <v>31.0</v>
      </c>
    </row>
    <row r="493">
      <c r="A493" s="12">
        <v>491.0</v>
      </c>
      <c r="B493" s="13" t="s">
        <v>375</v>
      </c>
      <c r="C493" s="14">
        <v>31.0</v>
      </c>
      <c r="D493" s="15" t="s">
        <v>1441</v>
      </c>
      <c r="E493" s="16" t="s">
        <v>221</v>
      </c>
      <c r="F493" s="13" t="s">
        <v>1487</v>
      </c>
      <c r="G493" s="13" t="s">
        <v>1488</v>
      </c>
      <c r="H493" s="13" t="s">
        <v>1489</v>
      </c>
      <c r="I493" s="13" t="s">
        <v>63</v>
      </c>
      <c r="J493" s="17" t="s">
        <v>71</v>
      </c>
      <c r="K493" s="17" t="s">
        <v>58</v>
      </c>
      <c r="L493" s="18" t="s">
        <v>52</v>
      </c>
      <c r="M493" s="19">
        <v>12.0</v>
      </c>
      <c r="N493" s="19">
        <v>31.0</v>
      </c>
    </row>
    <row r="494">
      <c r="A494" s="12">
        <v>492.0</v>
      </c>
      <c r="B494" s="13" t="s">
        <v>375</v>
      </c>
      <c r="C494" s="14">
        <v>32.0</v>
      </c>
      <c r="D494" s="15" t="s">
        <v>1441</v>
      </c>
      <c r="E494" s="16" t="s">
        <v>221</v>
      </c>
      <c r="F494" s="13" t="s">
        <v>341</v>
      </c>
      <c r="G494" s="13" t="s">
        <v>1490</v>
      </c>
      <c r="H494" s="13" t="s">
        <v>1491</v>
      </c>
      <c r="I494" s="13" t="s">
        <v>63</v>
      </c>
      <c r="J494" s="17" t="s">
        <v>71</v>
      </c>
      <c r="K494" s="17" t="s">
        <v>58</v>
      </c>
      <c r="L494" s="18" t="s">
        <v>52</v>
      </c>
      <c r="M494" s="19">
        <v>12.0</v>
      </c>
      <c r="N494" s="19">
        <v>31.0</v>
      </c>
    </row>
    <row r="495">
      <c r="A495" s="12">
        <v>493.0</v>
      </c>
      <c r="B495" s="13" t="s">
        <v>375</v>
      </c>
      <c r="C495" s="14">
        <v>33.0</v>
      </c>
      <c r="D495" s="15" t="s">
        <v>1441</v>
      </c>
      <c r="E495" s="16" t="s">
        <v>221</v>
      </c>
      <c r="F495" s="13" t="s">
        <v>489</v>
      </c>
      <c r="G495" s="13" t="s">
        <v>1041</v>
      </c>
      <c r="H495" s="13" t="s">
        <v>1042</v>
      </c>
      <c r="I495" s="13" t="s">
        <v>63</v>
      </c>
      <c r="J495" s="17" t="s">
        <v>71</v>
      </c>
      <c r="K495" s="17" t="s">
        <v>58</v>
      </c>
      <c r="L495" s="18" t="s">
        <v>52</v>
      </c>
      <c r="M495" s="19">
        <v>12.0</v>
      </c>
      <c r="N495" s="19">
        <v>31.0</v>
      </c>
    </row>
    <row r="496">
      <c r="A496" s="12">
        <v>494.0</v>
      </c>
      <c r="B496" s="13" t="s">
        <v>375</v>
      </c>
      <c r="C496" s="14">
        <v>34.0</v>
      </c>
      <c r="D496" s="15" t="s">
        <v>1441</v>
      </c>
      <c r="E496" s="16" t="s">
        <v>221</v>
      </c>
      <c r="F496" s="13" t="s">
        <v>593</v>
      </c>
      <c r="G496" s="13" t="s">
        <v>1492</v>
      </c>
      <c r="H496" s="13" t="s">
        <v>1493</v>
      </c>
      <c r="I496" s="13" t="s">
        <v>63</v>
      </c>
      <c r="J496" s="17" t="s">
        <v>71</v>
      </c>
      <c r="K496" s="17" t="s">
        <v>58</v>
      </c>
      <c r="L496" s="18" t="s">
        <v>52</v>
      </c>
      <c r="M496" s="19">
        <v>12.0</v>
      </c>
      <c r="N496" s="19">
        <v>31.0</v>
      </c>
    </row>
    <row r="497">
      <c r="A497" s="12">
        <v>495.0</v>
      </c>
      <c r="B497" s="13" t="s">
        <v>375</v>
      </c>
      <c r="C497" s="14">
        <v>35.0</v>
      </c>
      <c r="D497" s="15" t="s">
        <v>1441</v>
      </c>
      <c r="E497" s="16" t="s">
        <v>221</v>
      </c>
      <c r="F497" s="13" t="s">
        <v>367</v>
      </c>
      <c r="G497" s="13" t="s">
        <v>1494</v>
      </c>
      <c r="H497" s="13" t="s">
        <v>1495</v>
      </c>
      <c r="I497" s="13" t="s">
        <v>63</v>
      </c>
      <c r="J497" s="17" t="s">
        <v>71</v>
      </c>
      <c r="K497" s="17" t="s">
        <v>58</v>
      </c>
      <c r="L497" s="18" t="s">
        <v>52</v>
      </c>
      <c r="M497" s="19">
        <v>12.0</v>
      </c>
      <c r="N497" s="19">
        <v>31.0</v>
      </c>
    </row>
    <row r="498">
      <c r="A498" s="12">
        <v>496.0</v>
      </c>
      <c r="B498" s="13" t="s">
        <v>375</v>
      </c>
      <c r="C498" s="14">
        <v>36.0</v>
      </c>
      <c r="D498" s="15" t="s">
        <v>1441</v>
      </c>
      <c r="E498" s="16" t="s">
        <v>221</v>
      </c>
      <c r="F498" s="13" t="s">
        <v>501</v>
      </c>
      <c r="G498" s="13" t="s">
        <v>798</v>
      </c>
      <c r="H498" s="13" t="s">
        <v>1497</v>
      </c>
      <c r="I498" s="13" t="s">
        <v>63</v>
      </c>
      <c r="J498" s="17" t="s">
        <v>71</v>
      </c>
      <c r="K498" s="17" t="s">
        <v>58</v>
      </c>
      <c r="L498" s="18" t="s">
        <v>52</v>
      </c>
      <c r="M498" s="19">
        <v>12.0</v>
      </c>
      <c r="N498" s="19">
        <v>31.0</v>
      </c>
    </row>
    <row r="499">
      <c r="A499" s="12">
        <v>497.0</v>
      </c>
      <c r="B499" s="13" t="s">
        <v>375</v>
      </c>
      <c r="C499" s="14">
        <v>37.0</v>
      </c>
      <c r="D499" s="15" t="s">
        <v>1441</v>
      </c>
      <c r="E499" s="16" t="s">
        <v>221</v>
      </c>
      <c r="F499" s="13" t="s">
        <v>1498</v>
      </c>
      <c r="G499" s="13" t="s">
        <v>1499</v>
      </c>
      <c r="H499" s="13" t="s">
        <v>1500</v>
      </c>
      <c r="I499" s="13" t="s">
        <v>63</v>
      </c>
      <c r="J499" s="17" t="s">
        <v>71</v>
      </c>
      <c r="K499" s="17" t="s">
        <v>58</v>
      </c>
      <c r="L499" s="18" t="s">
        <v>52</v>
      </c>
      <c r="M499" s="19">
        <v>12.0</v>
      </c>
      <c r="N499" s="19">
        <v>31.0</v>
      </c>
    </row>
    <row r="500">
      <c r="A500" s="12">
        <v>498.0</v>
      </c>
      <c r="B500" s="13" t="s">
        <v>375</v>
      </c>
      <c r="C500" s="14">
        <v>38.0</v>
      </c>
      <c r="D500" s="15" t="s">
        <v>1441</v>
      </c>
      <c r="E500" s="16" t="s">
        <v>221</v>
      </c>
      <c r="F500" s="13" t="s">
        <v>1387</v>
      </c>
      <c r="G500" s="13" t="s">
        <v>61</v>
      </c>
      <c r="H500" s="13" t="s">
        <v>1501</v>
      </c>
      <c r="I500" s="13" t="s">
        <v>63</v>
      </c>
      <c r="J500" s="17" t="s">
        <v>71</v>
      </c>
      <c r="K500" s="17" t="s">
        <v>58</v>
      </c>
      <c r="L500" s="18" t="s">
        <v>52</v>
      </c>
      <c r="M500" s="19">
        <v>12.0</v>
      </c>
      <c r="N500" s="19">
        <v>31.0</v>
      </c>
    </row>
    <row r="501">
      <c r="A501" s="12">
        <v>499.0</v>
      </c>
      <c r="B501" s="13" t="s">
        <v>375</v>
      </c>
      <c r="C501" s="14">
        <v>39.0</v>
      </c>
      <c r="D501" s="15" t="s">
        <v>1441</v>
      </c>
      <c r="E501" s="16" t="s">
        <v>221</v>
      </c>
      <c r="F501" s="13" t="s">
        <v>218</v>
      </c>
      <c r="G501" s="13" t="s">
        <v>61</v>
      </c>
      <c r="H501" s="13" t="s">
        <v>1502</v>
      </c>
      <c r="I501" s="13" t="s">
        <v>63</v>
      </c>
      <c r="J501" s="17" t="s">
        <v>71</v>
      </c>
      <c r="K501" s="17" t="s">
        <v>58</v>
      </c>
      <c r="L501" s="18" t="s">
        <v>52</v>
      </c>
      <c r="M501" s="19">
        <v>12.0</v>
      </c>
      <c r="N501" s="19">
        <v>31.0</v>
      </c>
    </row>
    <row r="502">
      <c r="A502" s="12">
        <v>500.0</v>
      </c>
      <c r="B502" s="13" t="s">
        <v>375</v>
      </c>
      <c r="C502" s="14">
        <v>40.0</v>
      </c>
      <c r="D502" s="15" t="s">
        <v>1441</v>
      </c>
      <c r="E502" s="16" t="s">
        <v>221</v>
      </c>
      <c r="F502" s="13" t="s">
        <v>75</v>
      </c>
      <c r="G502" s="13" t="s">
        <v>1503</v>
      </c>
      <c r="H502" s="13" t="s">
        <v>1504</v>
      </c>
      <c r="I502" s="13" t="s">
        <v>63</v>
      </c>
      <c r="J502" s="17" t="s">
        <v>71</v>
      </c>
      <c r="K502" s="17" t="s">
        <v>58</v>
      </c>
      <c r="L502" s="18" t="s">
        <v>52</v>
      </c>
      <c r="M502" s="19">
        <v>12.0</v>
      </c>
      <c r="N502" s="19">
        <v>31.0</v>
      </c>
    </row>
    <row r="503">
      <c r="A503" s="12">
        <v>501.0</v>
      </c>
      <c r="B503" s="13" t="s">
        <v>375</v>
      </c>
      <c r="C503" s="14">
        <v>41.0</v>
      </c>
      <c r="D503" s="15" t="s">
        <v>1441</v>
      </c>
      <c r="E503" s="16" t="s">
        <v>221</v>
      </c>
      <c r="F503" s="13" t="s">
        <v>506</v>
      </c>
      <c r="G503" s="13" t="s">
        <v>1505</v>
      </c>
      <c r="H503" s="13" t="s">
        <v>1506</v>
      </c>
      <c r="I503" s="13" t="s">
        <v>63</v>
      </c>
      <c r="J503" s="17" t="s">
        <v>71</v>
      </c>
      <c r="K503" s="17" t="s">
        <v>58</v>
      </c>
      <c r="L503" s="18" t="s">
        <v>52</v>
      </c>
      <c r="M503" s="19">
        <v>12.0</v>
      </c>
      <c r="N503" s="19">
        <v>31.0</v>
      </c>
    </row>
    <row r="504">
      <c r="A504" s="12">
        <v>502.0</v>
      </c>
      <c r="B504" s="13" t="s">
        <v>375</v>
      </c>
      <c r="C504" s="14">
        <v>42.0</v>
      </c>
      <c r="D504" s="15" t="s">
        <v>1441</v>
      </c>
      <c r="E504" s="16" t="s">
        <v>221</v>
      </c>
      <c r="F504" s="13" t="s">
        <v>140</v>
      </c>
      <c r="G504" s="13" t="s">
        <v>1507</v>
      </c>
      <c r="H504" s="13" t="s">
        <v>1508</v>
      </c>
      <c r="I504" s="13" t="s">
        <v>63</v>
      </c>
      <c r="J504" s="17" t="s">
        <v>71</v>
      </c>
      <c r="K504" s="17" t="s">
        <v>58</v>
      </c>
      <c r="L504" s="18" t="s">
        <v>52</v>
      </c>
      <c r="M504" s="19">
        <v>12.0</v>
      </c>
      <c r="N504" s="19">
        <v>31.0</v>
      </c>
    </row>
    <row r="505">
      <c r="A505" s="12">
        <v>503.0</v>
      </c>
      <c r="B505" s="13" t="s">
        <v>375</v>
      </c>
      <c r="C505" s="14">
        <v>43.0</v>
      </c>
      <c r="D505" s="15" t="s">
        <v>1441</v>
      </c>
      <c r="E505" s="16" t="s">
        <v>221</v>
      </c>
      <c r="F505" s="13" t="s">
        <v>1509</v>
      </c>
      <c r="G505" s="13" t="s">
        <v>1510</v>
      </c>
      <c r="H505" s="13" t="s">
        <v>1511</v>
      </c>
      <c r="I505" s="13" t="s">
        <v>63</v>
      </c>
      <c r="J505" s="17" t="s">
        <v>71</v>
      </c>
      <c r="K505" s="17" t="s">
        <v>58</v>
      </c>
      <c r="L505" s="18" t="s">
        <v>52</v>
      </c>
      <c r="M505" s="19">
        <v>12.0</v>
      </c>
      <c r="N505" s="19">
        <v>31.0</v>
      </c>
    </row>
    <row r="506">
      <c r="A506" s="12">
        <v>504.0</v>
      </c>
      <c r="B506" s="13" t="s">
        <v>375</v>
      </c>
      <c r="C506" s="14">
        <v>44.0</v>
      </c>
      <c r="D506" s="15" t="s">
        <v>1441</v>
      </c>
      <c r="E506" s="16" t="s">
        <v>221</v>
      </c>
      <c r="F506" s="13" t="s">
        <v>1512</v>
      </c>
      <c r="G506" s="13" t="s">
        <v>1513</v>
      </c>
      <c r="H506" s="13" t="s">
        <v>1514</v>
      </c>
      <c r="I506" s="13" t="s">
        <v>63</v>
      </c>
      <c r="J506" s="17" t="s">
        <v>71</v>
      </c>
      <c r="K506" s="17" t="s">
        <v>58</v>
      </c>
      <c r="L506" s="18" t="s">
        <v>52</v>
      </c>
      <c r="M506" s="19">
        <v>12.0</v>
      </c>
      <c r="N506" s="19">
        <v>31.0</v>
      </c>
    </row>
    <row r="507">
      <c r="A507" s="12">
        <v>505.0</v>
      </c>
      <c r="B507" s="13" t="s">
        <v>375</v>
      </c>
      <c r="C507" s="14">
        <v>45.0</v>
      </c>
      <c r="D507" s="15" t="s">
        <v>1441</v>
      </c>
      <c r="E507" s="16" t="s">
        <v>221</v>
      </c>
      <c r="F507" s="13" t="s">
        <v>535</v>
      </c>
      <c r="G507" s="13" t="s">
        <v>1515</v>
      </c>
      <c r="H507" s="13" t="s">
        <v>1516</v>
      </c>
      <c r="I507" s="13" t="s">
        <v>63</v>
      </c>
      <c r="J507" s="17" t="s">
        <v>71</v>
      </c>
      <c r="K507" s="17" t="s">
        <v>58</v>
      </c>
      <c r="L507" s="18" t="s">
        <v>52</v>
      </c>
      <c r="M507" s="19">
        <v>12.0</v>
      </c>
      <c r="N507" s="19">
        <v>31.0</v>
      </c>
    </row>
    <row r="508">
      <c r="A508" s="12">
        <v>506.0</v>
      </c>
      <c r="B508" s="13" t="s">
        <v>375</v>
      </c>
      <c r="C508" s="14">
        <v>46.0</v>
      </c>
      <c r="D508" s="15" t="s">
        <v>1441</v>
      </c>
      <c r="E508" s="16" t="s">
        <v>221</v>
      </c>
      <c r="F508" s="13" t="s">
        <v>704</v>
      </c>
      <c r="G508" s="13" t="s">
        <v>766</v>
      </c>
      <c r="H508" s="13" t="s">
        <v>767</v>
      </c>
      <c r="I508" s="13" t="s">
        <v>63</v>
      </c>
      <c r="J508" s="17" t="s">
        <v>71</v>
      </c>
      <c r="K508" s="17" t="s">
        <v>58</v>
      </c>
      <c r="L508" s="18" t="s">
        <v>52</v>
      </c>
      <c r="M508" s="19">
        <v>12.0</v>
      </c>
      <c r="N508" s="19">
        <v>31.0</v>
      </c>
    </row>
    <row r="509">
      <c r="A509" s="12">
        <v>507.0</v>
      </c>
      <c r="B509" s="13" t="s">
        <v>375</v>
      </c>
      <c r="C509" s="14">
        <v>47.0</v>
      </c>
      <c r="D509" s="15" t="s">
        <v>1441</v>
      </c>
      <c r="E509" s="16" t="s">
        <v>221</v>
      </c>
      <c r="F509" s="13" t="s">
        <v>541</v>
      </c>
      <c r="G509" s="13" t="s">
        <v>61</v>
      </c>
      <c r="H509" s="13" t="s">
        <v>806</v>
      </c>
      <c r="I509" s="13" t="s">
        <v>63</v>
      </c>
      <c r="J509" s="17" t="s">
        <v>71</v>
      </c>
      <c r="K509" s="17" t="s">
        <v>58</v>
      </c>
      <c r="L509" s="18" t="s">
        <v>52</v>
      </c>
      <c r="M509" s="19">
        <v>12.0</v>
      </c>
      <c r="N509" s="19">
        <v>31.0</v>
      </c>
    </row>
    <row r="510">
      <c r="A510" s="12">
        <v>508.0</v>
      </c>
      <c r="B510" s="13" t="s">
        <v>375</v>
      </c>
      <c r="C510" s="14">
        <v>48.0</v>
      </c>
      <c r="D510" s="15" t="s">
        <v>1441</v>
      </c>
      <c r="E510" s="16" t="s">
        <v>221</v>
      </c>
      <c r="F510" s="13" t="s">
        <v>296</v>
      </c>
      <c r="G510" s="13" t="s">
        <v>812</v>
      </c>
      <c r="H510" s="13" t="s">
        <v>813</v>
      </c>
      <c r="I510" s="13" t="s">
        <v>63</v>
      </c>
      <c r="J510" s="17" t="s">
        <v>71</v>
      </c>
      <c r="K510" s="17" t="s">
        <v>58</v>
      </c>
      <c r="L510" s="18" t="s">
        <v>52</v>
      </c>
      <c r="M510" s="19">
        <v>12.0</v>
      </c>
      <c r="N510" s="19">
        <v>31.0</v>
      </c>
    </row>
    <row r="511">
      <c r="A511" s="12">
        <v>509.0</v>
      </c>
      <c r="B511" s="13" t="s">
        <v>375</v>
      </c>
      <c r="C511" s="14">
        <v>49.0</v>
      </c>
      <c r="D511" s="15" t="s">
        <v>1518</v>
      </c>
      <c r="E511" s="16" t="s">
        <v>221</v>
      </c>
      <c r="F511" s="13" t="s">
        <v>270</v>
      </c>
      <c r="G511" s="13" t="s">
        <v>271</v>
      </c>
      <c r="H511" s="13" t="s">
        <v>272</v>
      </c>
      <c r="I511" s="13" t="s">
        <v>63</v>
      </c>
      <c r="J511" s="17" t="s">
        <v>71</v>
      </c>
      <c r="K511" s="17" t="s">
        <v>58</v>
      </c>
      <c r="L511" s="18" t="s">
        <v>52</v>
      </c>
      <c r="M511" s="19">
        <v>12.0</v>
      </c>
      <c r="N511" s="19">
        <v>31.0</v>
      </c>
    </row>
    <row r="512">
      <c r="A512" s="12">
        <v>510.0</v>
      </c>
      <c r="B512" s="13" t="s">
        <v>375</v>
      </c>
      <c r="C512" s="14">
        <v>50.0</v>
      </c>
      <c r="D512" s="15" t="s">
        <v>1518</v>
      </c>
      <c r="E512" s="16" t="s">
        <v>221</v>
      </c>
      <c r="F512" s="13" t="s">
        <v>265</v>
      </c>
      <c r="G512" s="13" t="s">
        <v>941</v>
      </c>
      <c r="H512" s="13" t="s">
        <v>1519</v>
      </c>
      <c r="I512" s="13" t="s">
        <v>63</v>
      </c>
      <c r="J512" s="17" t="s">
        <v>71</v>
      </c>
      <c r="K512" s="17" t="s">
        <v>58</v>
      </c>
      <c r="L512" s="18" t="s">
        <v>52</v>
      </c>
      <c r="M512" s="19">
        <v>12.0</v>
      </c>
      <c r="N512" s="19">
        <v>31.0</v>
      </c>
    </row>
    <row r="513">
      <c r="A513" s="12">
        <v>511.0</v>
      </c>
      <c r="B513" s="13" t="s">
        <v>1520</v>
      </c>
      <c r="C513" s="14">
        <v>1.0</v>
      </c>
      <c r="D513" s="15" t="s">
        <v>1521</v>
      </c>
      <c r="E513" s="16" t="s">
        <v>221</v>
      </c>
      <c r="F513" s="13" t="s">
        <v>1522</v>
      </c>
      <c r="G513" s="13" t="s">
        <v>1523</v>
      </c>
      <c r="H513" s="13" t="s">
        <v>1524</v>
      </c>
      <c r="I513" s="13" t="s">
        <v>63</v>
      </c>
      <c r="J513" s="17" t="s">
        <v>57</v>
      </c>
      <c r="K513" s="17" t="s">
        <v>58</v>
      </c>
      <c r="L513" s="18" t="s">
        <v>52</v>
      </c>
      <c r="M513" s="19">
        <v>13.0</v>
      </c>
      <c r="N513" s="19">
        <v>11.0</v>
      </c>
    </row>
    <row r="514">
      <c r="A514" s="12">
        <v>512.0</v>
      </c>
      <c r="B514" s="13" t="s">
        <v>1520</v>
      </c>
      <c r="C514" s="14">
        <v>2.0</v>
      </c>
      <c r="D514" s="15" t="s">
        <v>1525</v>
      </c>
      <c r="E514" s="16" t="s">
        <v>221</v>
      </c>
      <c r="F514" s="13" t="s">
        <v>1526</v>
      </c>
      <c r="G514" s="13" t="s">
        <v>1527</v>
      </c>
      <c r="H514" s="13" t="s">
        <v>1528</v>
      </c>
      <c r="I514" s="13" t="s">
        <v>63</v>
      </c>
      <c r="J514" s="17" t="s">
        <v>57</v>
      </c>
      <c r="K514" s="17" t="s">
        <v>58</v>
      </c>
      <c r="L514" s="18" t="s">
        <v>52</v>
      </c>
      <c r="M514" s="19">
        <v>13.0</v>
      </c>
      <c r="N514" s="19">
        <v>11.0</v>
      </c>
    </row>
    <row r="515">
      <c r="A515" s="12">
        <v>513.0</v>
      </c>
      <c r="B515" s="13" t="s">
        <v>1520</v>
      </c>
      <c r="C515" s="14">
        <v>3.0</v>
      </c>
      <c r="D515" s="15" t="s">
        <v>1525</v>
      </c>
      <c r="E515" s="16" t="s">
        <v>221</v>
      </c>
      <c r="F515" s="13" t="s">
        <v>733</v>
      </c>
      <c r="G515" s="13" t="s">
        <v>61</v>
      </c>
      <c r="H515" s="13" t="s">
        <v>1529</v>
      </c>
      <c r="I515" s="13" t="s">
        <v>56</v>
      </c>
      <c r="J515" s="17" t="s">
        <v>67</v>
      </c>
      <c r="K515" s="17" t="s">
        <v>58</v>
      </c>
      <c r="L515" s="18" t="s">
        <v>52</v>
      </c>
      <c r="M515" s="19">
        <v>13.0</v>
      </c>
      <c r="N515" s="19">
        <v>20.0</v>
      </c>
    </row>
    <row r="516">
      <c r="A516" s="12">
        <v>514.0</v>
      </c>
      <c r="B516" s="13" t="s">
        <v>1520</v>
      </c>
      <c r="C516" s="14">
        <v>4.0</v>
      </c>
      <c r="D516" s="15" t="s">
        <v>1521</v>
      </c>
      <c r="E516" s="16" t="s">
        <v>221</v>
      </c>
      <c r="F516" s="13" t="s">
        <v>1530</v>
      </c>
      <c r="G516" s="13" t="s">
        <v>1531</v>
      </c>
      <c r="H516" s="13" t="s">
        <v>1532</v>
      </c>
      <c r="I516" s="13" t="s">
        <v>63</v>
      </c>
      <c r="J516" s="17" t="s">
        <v>67</v>
      </c>
      <c r="K516" s="17" t="s">
        <v>58</v>
      </c>
      <c r="L516" s="18" t="s">
        <v>52</v>
      </c>
      <c r="M516" s="19">
        <v>13.0</v>
      </c>
      <c r="N516" s="19">
        <v>21.0</v>
      </c>
    </row>
    <row r="517">
      <c r="A517" s="12">
        <v>515.0</v>
      </c>
      <c r="B517" s="13" t="s">
        <v>1520</v>
      </c>
      <c r="C517" s="14">
        <v>5.0</v>
      </c>
      <c r="D517" s="15" t="s">
        <v>1525</v>
      </c>
      <c r="E517" s="16" t="s">
        <v>221</v>
      </c>
      <c r="F517" s="13" t="s">
        <v>1534</v>
      </c>
      <c r="G517" s="13" t="s">
        <v>1535</v>
      </c>
      <c r="H517" s="13" t="s">
        <v>1536</v>
      </c>
      <c r="I517" s="13" t="s">
        <v>63</v>
      </c>
      <c r="J517" s="17" t="s">
        <v>67</v>
      </c>
      <c r="K517" s="17" t="s">
        <v>58</v>
      </c>
      <c r="L517" s="18" t="s">
        <v>52</v>
      </c>
      <c r="M517" s="19">
        <v>13.0</v>
      </c>
      <c r="N517" s="19">
        <v>21.0</v>
      </c>
    </row>
    <row r="518">
      <c r="A518" s="12">
        <v>516.0</v>
      </c>
      <c r="B518" s="13" t="s">
        <v>1520</v>
      </c>
      <c r="C518" s="14">
        <v>6.0</v>
      </c>
      <c r="D518" s="15" t="s">
        <v>1521</v>
      </c>
      <c r="E518" s="16" t="s">
        <v>221</v>
      </c>
      <c r="F518" s="13" t="s">
        <v>1439</v>
      </c>
      <c r="G518" s="13" t="s">
        <v>61</v>
      </c>
      <c r="H518" s="13" t="s">
        <v>1537</v>
      </c>
      <c r="I518" s="13" t="s">
        <v>63</v>
      </c>
      <c r="J518" s="17" t="s">
        <v>71</v>
      </c>
      <c r="K518" s="17" t="s">
        <v>58</v>
      </c>
      <c r="L518" s="18" t="s">
        <v>52</v>
      </c>
      <c r="M518" s="19">
        <v>13.0</v>
      </c>
      <c r="N518" s="19">
        <v>31.0</v>
      </c>
    </row>
    <row r="519">
      <c r="A519" s="12">
        <v>517.0</v>
      </c>
      <c r="B519" s="13" t="s">
        <v>1520</v>
      </c>
      <c r="C519" s="14">
        <v>7.0</v>
      </c>
      <c r="D519" s="15" t="s">
        <v>1521</v>
      </c>
      <c r="E519" s="16" t="s">
        <v>221</v>
      </c>
      <c r="F519" s="13" t="s">
        <v>1538</v>
      </c>
      <c r="G519" s="13" t="s">
        <v>61</v>
      </c>
      <c r="H519" s="13" t="s">
        <v>1539</v>
      </c>
      <c r="I519" s="13" t="s">
        <v>63</v>
      </c>
      <c r="J519" s="17" t="s">
        <v>71</v>
      </c>
      <c r="K519" s="17" t="s">
        <v>58</v>
      </c>
      <c r="L519" s="18" t="s">
        <v>52</v>
      </c>
      <c r="M519" s="19">
        <v>13.0</v>
      </c>
      <c r="N519" s="19">
        <v>31.0</v>
      </c>
    </row>
    <row r="520">
      <c r="A520" s="12">
        <v>518.0</v>
      </c>
      <c r="B520" s="13" t="s">
        <v>1520</v>
      </c>
      <c r="C520" s="14">
        <v>8.0</v>
      </c>
      <c r="D520" s="15" t="s">
        <v>1521</v>
      </c>
      <c r="E520" s="16" t="s">
        <v>221</v>
      </c>
      <c r="F520" s="13" t="s">
        <v>1540</v>
      </c>
      <c r="G520" s="13" t="s">
        <v>61</v>
      </c>
      <c r="H520" s="13" t="s">
        <v>1541</v>
      </c>
      <c r="I520" s="13" t="s">
        <v>63</v>
      </c>
      <c r="J520" s="17" t="s">
        <v>71</v>
      </c>
      <c r="K520" s="17" t="s">
        <v>58</v>
      </c>
      <c r="L520" s="18" t="s">
        <v>52</v>
      </c>
      <c r="M520" s="19">
        <v>13.0</v>
      </c>
      <c r="N520" s="19">
        <v>31.0</v>
      </c>
    </row>
    <row r="521">
      <c r="A521" s="12">
        <v>519.0</v>
      </c>
      <c r="B521" s="13" t="s">
        <v>1520</v>
      </c>
      <c r="C521" s="14">
        <v>9.0</v>
      </c>
      <c r="D521" s="15" t="s">
        <v>1521</v>
      </c>
      <c r="E521" s="16" t="s">
        <v>221</v>
      </c>
      <c r="F521" s="13" t="s">
        <v>1542</v>
      </c>
      <c r="G521" s="13" t="s">
        <v>1543</v>
      </c>
      <c r="H521" s="13" t="s">
        <v>1544</v>
      </c>
      <c r="I521" s="13" t="s">
        <v>63</v>
      </c>
      <c r="J521" s="17" t="s">
        <v>71</v>
      </c>
      <c r="K521" s="17" t="s">
        <v>58</v>
      </c>
      <c r="L521" s="18" t="s">
        <v>52</v>
      </c>
      <c r="M521" s="19">
        <v>13.0</v>
      </c>
      <c r="N521" s="19">
        <v>31.0</v>
      </c>
    </row>
    <row r="522">
      <c r="A522" s="12">
        <v>520.0</v>
      </c>
      <c r="B522" s="13" t="s">
        <v>1520</v>
      </c>
      <c r="C522" s="14">
        <v>10.0</v>
      </c>
      <c r="D522" s="15" t="s">
        <v>1521</v>
      </c>
      <c r="E522" s="16" t="s">
        <v>221</v>
      </c>
      <c r="F522" s="13" t="s">
        <v>1545</v>
      </c>
      <c r="G522" s="13" t="s">
        <v>1546</v>
      </c>
      <c r="H522" s="13" t="s">
        <v>1547</v>
      </c>
      <c r="I522" s="13" t="s">
        <v>63</v>
      </c>
      <c r="J522" s="17" t="s">
        <v>71</v>
      </c>
      <c r="K522" s="17" t="s">
        <v>58</v>
      </c>
      <c r="L522" s="18" t="s">
        <v>52</v>
      </c>
      <c r="M522" s="19">
        <v>13.0</v>
      </c>
      <c r="N522" s="19">
        <v>31.0</v>
      </c>
    </row>
    <row r="523">
      <c r="A523" s="12">
        <v>521.0</v>
      </c>
      <c r="B523" s="13" t="s">
        <v>1520</v>
      </c>
      <c r="C523" s="14">
        <v>11.0</v>
      </c>
      <c r="D523" s="15" t="s">
        <v>1521</v>
      </c>
      <c r="E523" s="16" t="s">
        <v>221</v>
      </c>
      <c r="F523" s="13" t="s">
        <v>1548</v>
      </c>
      <c r="G523" s="13" t="s">
        <v>1549</v>
      </c>
      <c r="H523" s="13" t="s">
        <v>1550</v>
      </c>
      <c r="I523" s="13" t="s">
        <v>63</v>
      </c>
      <c r="J523" s="17" t="s">
        <v>71</v>
      </c>
      <c r="K523" s="17" t="s">
        <v>58</v>
      </c>
      <c r="L523" s="18" t="s">
        <v>52</v>
      </c>
      <c r="M523" s="19">
        <v>13.0</v>
      </c>
      <c r="N523" s="19">
        <v>31.0</v>
      </c>
    </row>
    <row r="524">
      <c r="A524" s="12">
        <v>522.0</v>
      </c>
      <c r="B524" s="13" t="s">
        <v>1520</v>
      </c>
      <c r="C524" s="14">
        <v>12.0</v>
      </c>
      <c r="D524" s="15" t="s">
        <v>1521</v>
      </c>
      <c r="E524" s="16" t="s">
        <v>221</v>
      </c>
      <c r="F524" s="13" t="s">
        <v>1551</v>
      </c>
      <c r="G524" s="13" t="s">
        <v>1552</v>
      </c>
      <c r="H524" s="13" t="s">
        <v>1553</v>
      </c>
      <c r="I524" s="13" t="s">
        <v>63</v>
      </c>
      <c r="J524" s="17" t="s">
        <v>71</v>
      </c>
      <c r="K524" s="17" t="s">
        <v>58</v>
      </c>
      <c r="L524" s="18" t="s">
        <v>52</v>
      </c>
      <c r="M524" s="19">
        <v>13.0</v>
      </c>
      <c r="N524" s="19">
        <v>31.0</v>
      </c>
    </row>
    <row r="525">
      <c r="A525" s="12">
        <v>523.0</v>
      </c>
      <c r="B525" s="13" t="s">
        <v>1520</v>
      </c>
      <c r="C525" s="14">
        <v>13.0</v>
      </c>
      <c r="D525" s="15" t="s">
        <v>1521</v>
      </c>
      <c r="E525" s="16" t="s">
        <v>221</v>
      </c>
      <c r="F525" s="13" t="s">
        <v>1424</v>
      </c>
      <c r="G525" s="13" t="s">
        <v>61</v>
      </c>
      <c r="H525" s="13" t="s">
        <v>1554</v>
      </c>
      <c r="I525" s="13" t="s">
        <v>63</v>
      </c>
      <c r="J525" s="17" t="s">
        <v>71</v>
      </c>
      <c r="K525" s="17" t="s">
        <v>58</v>
      </c>
      <c r="L525" s="18" t="s">
        <v>52</v>
      </c>
      <c r="M525" s="19">
        <v>13.0</v>
      </c>
      <c r="N525" s="19">
        <v>31.0</v>
      </c>
    </row>
    <row r="526">
      <c r="A526" s="12">
        <v>524.0</v>
      </c>
      <c r="B526" s="13" t="s">
        <v>1520</v>
      </c>
      <c r="C526" s="14">
        <v>14.0</v>
      </c>
      <c r="D526" s="15" t="s">
        <v>1521</v>
      </c>
      <c r="E526" s="16" t="s">
        <v>221</v>
      </c>
      <c r="F526" s="13" t="s">
        <v>1555</v>
      </c>
      <c r="G526" s="13" t="s">
        <v>61</v>
      </c>
      <c r="H526" s="13" t="s">
        <v>1556</v>
      </c>
      <c r="I526" s="13" t="s">
        <v>63</v>
      </c>
      <c r="J526" s="17" t="s">
        <v>71</v>
      </c>
      <c r="K526" s="17" t="s">
        <v>58</v>
      </c>
      <c r="L526" s="18" t="s">
        <v>52</v>
      </c>
      <c r="M526" s="19">
        <v>13.0</v>
      </c>
      <c r="N526" s="19">
        <v>31.0</v>
      </c>
    </row>
    <row r="527">
      <c r="A527" s="12">
        <v>525.0</v>
      </c>
      <c r="B527" s="13" t="s">
        <v>1520</v>
      </c>
      <c r="C527" s="14">
        <v>15.0</v>
      </c>
      <c r="D527" s="15" t="s">
        <v>1521</v>
      </c>
      <c r="E527" s="16" t="s">
        <v>221</v>
      </c>
      <c r="F527" s="13" t="s">
        <v>1557</v>
      </c>
      <c r="G527" s="13" t="s">
        <v>1558</v>
      </c>
      <c r="H527" s="13" t="s">
        <v>1547</v>
      </c>
      <c r="I527" s="13" t="s">
        <v>63</v>
      </c>
      <c r="J527" s="17" t="s">
        <v>71</v>
      </c>
      <c r="K527" s="17" t="s">
        <v>58</v>
      </c>
      <c r="L527" s="18" t="s">
        <v>52</v>
      </c>
      <c r="M527" s="19">
        <v>13.0</v>
      </c>
      <c r="N527" s="19">
        <v>31.0</v>
      </c>
    </row>
    <row r="528">
      <c r="A528" s="12">
        <v>526.0</v>
      </c>
      <c r="B528" s="13" t="s">
        <v>1520</v>
      </c>
      <c r="C528" s="14">
        <v>16.0</v>
      </c>
      <c r="D528" s="15" t="s">
        <v>1521</v>
      </c>
      <c r="E528" s="16" t="s">
        <v>221</v>
      </c>
      <c r="F528" s="13" t="s">
        <v>1559</v>
      </c>
      <c r="G528" s="13" t="s">
        <v>61</v>
      </c>
      <c r="H528" s="13" t="s">
        <v>1560</v>
      </c>
      <c r="I528" s="13" t="s">
        <v>63</v>
      </c>
      <c r="J528" s="17" t="s">
        <v>71</v>
      </c>
      <c r="K528" s="17" t="s">
        <v>58</v>
      </c>
      <c r="L528" s="18" t="s">
        <v>52</v>
      </c>
      <c r="M528" s="19">
        <v>13.0</v>
      </c>
      <c r="N528" s="19">
        <v>31.0</v>
      </c>
    </row>
    <row r="529">
      <c r="A529" s="12">
        <v>527.0</v>
      </c>
      <c r="B529" s="13" t="s">
        <v>1520</v>
      </c>
      <c r="C529" s="14">
        <v>17.0</v>
      </c>
      <c r="D529" s="15" t="s">
        <v>1521</v>
      </c>
      <c r="E529" s="16" t="s">
        <v>221</v>
      </c>
      <c r="F529" s="13" t="s">
        <v>1561</v>
      </c>
      <c r="G529" s="13" t="s">
        <v>1562</v>
      </c>
      <c r="H529" s="13" t="s">
        <v>1547</v>
      </c>
      <c r="I529" s="13" t="s">
        <v>63</v>
      </c>
      <c r="J529" s="17" t="s">
        <v>71</v>
      </c>
      <c r="K529" s="17" t="s">
        <v>58</v>
      </c>
      <c r="L529" s="18" t="s">
        <v>52</v>
      </c>
      <c r="M529" s="19">
        <v>13.0</v>
      </c>
      <c r="N529" s="19">
        <v>31.0</v>
      </c>
    </row>
    <row r="530">
      <c r="A530" s="12">
        <v>528.0</v>
      </c>
      <c r="B530" s="13" t="s">
        <v>1520</v>
      </c>
      <c r="C530" s="14">
        <v>18.0</v>
      </c>
      <c r="D530" s="15" t="s">
        <v>1521</v>
      </c>
      <c r="E530" s="16" t="s">
        <v>221</v>
      </c>
      <c r="F530" s="13" t="s">
        <v>1563</v>
      </c>
      <c r="G530" s="13" t="s">
        <v>1565</v>
      </c>
      <c r="H530" s="13" t="s">
        <v>1566</v>
      </c>
      <c r="I530" s="13" t="s">
        <v>63</v>
      </c>
      <c r="J530" s="17" t="s">
        <v>71</v>
      </c>
      <c r="K530" s="17" t="s">
        <v>58</v>
      </c>
      <c r="L530" s="18" t="s">
        <v>52</v>
      </c>
      <c r="M530" s="19">
        <v>13.0</v>
      </c>
      <c r="N530" s="19">
        <v>31.0</v>
      </c>
    </row>
    <row r="531">
      <c r="A531" s="12">
        <v>529.0</v>
      </c>
      <c r="B531" s="13" t="s">
        <v>1520</v>
      </c>
      <c r="C531" s="14">
        <v>19.0</v>
      </c>
      <c r="D531" s="15" t="s">
        <v>1521</v>
      </c>
      <c r="E531" s="16" t="s">
        <v>221</v>
      </c>
      <c r="F531" s="13" t="s">
        <v>1567</v>
      </c>
      <c r="G531" s="13" t="s">
        <v>1568</v>
      </c>
      <c r="H531" s="13" t="s">
        <v>1569</v>
      </c>
      <c r="I531" s="13" t="s">
        <v>63</v>
      </c>
      <c r="J531" s="17" t="s">
        <v>71</v>
      </c>
      <c r="K531" s="17" t="s">
        <v>58</v>
      </c>
      <c r="L531" s="18" t="s">
        <v>52</v>
      </c>
      <c r="M531" s="19">
        <v>13.0</v>
      </c>
      <c r="N531" s="19">
        <v>31.0</v>
      </c>
    </row>
    <row r="532">
      <c r="A532" s="12">
        <v>530.0</v>
      </c>
      <c r="B532" s="13" t="s">
        <v>1520</v>
      </c>
      <c r="C532" s="14">
        <v>20.0</v>
      </c>
      <c r="D532" s="15" t="s">
        <v>1521</v>
      </c>
      <c r="E532" s="16" t="s">
        <v>221</v>
      </c>
      <c r="F532" s="13" t="s">
        <v>1297</v>
      </c>
      <c r="G532" s="13" t="s">
        <v>1571</v>
      </c>
      <c r="H532" s="13" t="s">
        <v>1572</v>
      </c>
      <c r="I532" s="13" t="s">
        <v>63</v>
      </c>
      <c r="J532" s="17" t="s">
        <v>71</v>
      </c>
      <c r="K532" s="17" t="s">
        <v>58</v>
      </c>
      <c r="L532" s="18" t="s">
        <v>52</v>
      </c>
      <c r="M532" s="19">
        <v>13.0</v>
      </c>
      <c r="N532" s="19">
        <v>31.0</v>
      </c>
    </row>
    <row r="533">
      <c r="A533" s="12">
        <v>531.0</v>
      </c>
      <c r="B533" s="13" t="s">
        <v>1520</v>
      </c>
      <c r="C533" s="14">
        <v>21.0</v>
      </c>
      <c r="D533" s="15" t="s">
        <v>1521</v>
      </c>
      <c r="E533" s="16" t="s">
        <v>221</v>
      </c>
      <c r="F533" s="13" t="s">
        <v>1574</v>
      </c>
      <c r="G533" s="13" t="s">
        <v>61</v>
      </c>
      <c r="H533" s="13" t="s">
        <v>1575</v>
      </c>
      <c r="I533" s="13" t="s">
        <v>63</v>
      </c>
      <c r="J533" s="17" t="s">
        <v>71</v>
      </c>
      <c r="K533" s="17" t="s">
        <v>58</v>
      </c>
      <c r="L533" s="18" t="s">
        <v>52</v>
      </c>
      <c r="M533" s="19">
        <v>13.0</v>
      </c>
      <c r="N533" s="19">
        <v>31.0</v>
      </c>
    </row>
    <row r="534">
      <c r="A534" s="12">
        <v>532.0</v>
      </c>
      <c r="B534" s="13" t="s">
        <v>1520</v>
      </c>
      <c r="C534" s="14">
        <v>22.0</v>
      </c>
      <c r="D534" s="15" t="s">
        <v>1521</v>
      </c>
      <c r="E534" s="16" t="s">
        <v>221</v>
      </c>
      <c r="F534" s="13" t="s">
        <v>1434</v>
      </c>
      <c r="G534" s="13" t="s">
        <v>1576</v>
      </c>
      <c r="H534" s="13" t="s">
        <v>1577</v>
      </c>
      <c r="I534" s="13" t="s">
        <v>63</v>
      </c>
      <c r="J534" s="17" t="s">
        <v>71</v>
      </c>
      <c r="K534" s="17" t="s">
        <v>58</v>
      </c>
      <c r="L534" s="18" t="s">
        <v>52</v>
      </c>
      <c r="M534" s="19">
        <v>13.0</v>
      </c>
      <c r="N534" s="19">
        <v>31.0</v>
      </c>
    </row>
    <row r="535">
      <c r="A535" s="12">
        <v>533.0</v>
      </c>
      <c r="B535" s="13" t="s">
        <v>1520</v>
      </c>
      <c r="C535" s="14">
        <v>23.0</v>
      </c>
      <c r="D535" s="15" t="s">
        <v>1521</v>
      </c>
      <c r="E535" s="16" t="s">
        <v>221</v>
      </c>
      <c r="F535" s="13" t="s">
        <v>1437</v>
      </c>
      <c r="G535" s="13" t="s">
        <v>1579</v>
      </c>
      <c r="H535" s="13" t="s">
        <v>1580</v>
      </c>
      <c r="I535" s="13" t="s">
        <v>63</v>
      </c>
      <c r="J535" s="17" t="s">
        <v>71</v>
      </c>
      <c r="K535" s="17" t="s">
        <v>58</v>
      </c>
      <c r="L535" s="18" t="s">
        <v>52</v>
      </c>
      <c r="M535" s="19">
        <v>13.0</v>
      </c>
      <c r="N535" s="19">
        <v>31.0</v>
      </c>
    </row>
    <row r="536">
      <c r="A536" s="12">
        <v>534.0</v>
      </c>
      <c r="B536" s="13" t="s">
        <v>1520</v>
      </c>
      <c r="C536" s="14">
        <v>24.0</v>
      </c>
      <c r="D536" s="15" t="s">
        <v>1521</v>
      </c>
      <c r="E536" s="16" t="s">
        <v>221</v>
      </c>
      <c r="F536" s="13" t="s">
        <v>1426</v>
      </c>
      <c r="G536" s="13" t="s">
        <v>1581</v>
      </c>
      <c r="H536" s="13" t="s">
        <v>1582</v>
      </c>
      <c r="I536" s="13" t="s">
        <v>63</v>
      </c>
      <c r="J536" s="17" t="s">
        <v>71</v>
      </c>
      <c r="K536" s="17" t="s">
        <v>58</v>
      </c>
      <c r="L536" s="18" t="s">
        <v>52</v>
      </c>
      <c r="M536" s="19">
        <v>13.0</v>
      </c>
      <c r="N536" s="19">
        <v>31.0</v>
      </c>
    </row>
    <row r="537">
      <c r="A537" s="12">
        <v>535.0</v>
      </c>
      <c r="B537" s="13" t="s">
        <v>1520</v>
      </c>
      <c r="C537" s="14">
        <v>25.0</v>
      </c>
      <c r="D537" s="15" t="s">
        <v>1525</v>
      </c>
      <c r="E537" s="16" t="s">
        <v>221</v>
      </c>
      <c r="F537" s="13" t="s">
        <v>1584</v>
      </c>
      <c r="G537" s="13" t="s">
        <v>61</v>
      </c>
      <c r="H537" s="13" t="s">
        <v>1585</v>
      </c>
      <c r="I537" s="13" t="s">
        <v>63</v>
      </c>
      <c r="J537" s="17" t="s">
        <v>71</v>
      </c>
      <c r="K537" s="17" t="s">
        <v>58</v>
      </c>
      <c r="L537" s="18" t="s">
        <v>52</v>
      </c>
      <c r="M537" s="19">
        <v>13.0</v>
      </c>
      <c r="N537" s="19">
        <v>31.0</v>
      </c>
    </row>
    <row r="538">
      <c r="A538" s="12">
        <v>536.0</v>
      </c>
      <c r="B538" s="13" t="s">
        <v>1520</v>
      </c>
      <c r="C538" s="14">
        <v>26.0</v>
      </c>
      <c r="D538" s="15" t="s">
        <v>1525</v>
      </c>
      <c r="E538" s="16" t="s">
        <v>221</v>
      </c>
      <c r="F538" s="13" t="s">
        <v>1417</v>
      </c>
      <c r="G538" s="13" t="s">
        <v>1586</v>
      </c>
      <c r="H538" s="13" t="s">
        <v>1528</v>
      </c>
      <c r="I538" s="13" t="s">
        <v>63</v>
      </c>
      <c r="J538" s="17" t="s">
        <v>71</v>
      </c>
      <c r="K538" s="17" t="s">
        <v>58</v>
      </c>
      <c r="L538" s="18" t="s">
        <v>52</v>
      </c>
      <c r="M538" s="19">
        <v>13.0</v>
      </c>
      <c r="N538" s="19">
        <v>31.0</v>
      </c>
    </row>
    <row r="539">
      <c r="A539" s="12">
        <v>537.0</v>
      </c>
      <c r="B539" s="13" t="s">
        <v>1520</v>
      </c>
      <c r="C539" s="14">
        <v>27.0</v>
      </c>
      <c r="D539" s="15" t="s">
        <v>1525</v>
      </c>
      <c r="E539" s="16" t="s">
        <v>221</v>
      </c>
      <c r="F539" s="13" t="s">
        <v>1300</v>
      </c>
      <c r="G539" s="13" t="s">
        <v>1587</v>
      </c>
      <c r="H539" s="13" t="s">
        <v>1588</v>
      </c>
      <c r="I539" s="13" t="s">
        <v>63</v>
      </c>
      <c r="J539" s="17" t="s">
        <v>71</v>
      </c>
      <c r="K539" s="17" t="s">
        <v>58</v>
      </c>
      <c r="L539" s="18" t="s">
        <v>52</v>
      </c>
      <c r="M539" s="19">
        <v>13.0</v>
      </c>
      <c r="N539" s="19">
        <v>31.0</v>
      </c>
    </row>
    <row r="540">
      <c r="A540" s="12">
        <v>538.0</v>
      </c>
      <c r="B540" s="13" t="s">
        <v>1520</v>
      </c>
      <c r="C540" s="14">
        <v>28.0</v>
      </c>
      <c r="D540" s="15" t="s">
        <v>1525</v>
      </c>
      <c r="E540" s="16" t="s">
        <v>221</v>
      </c>
      <c r="F540" s="13" t="s">
        <v>1262</v>
      </c>
      <c r="G540" s="13" t="s">
        <v>1263</v>
      </c>
      <c r="H540" s="13" t="s">
        <v>1590</v>
      </c>
      <c r="I540" s="13" t="s">
        <v>63</v>
      </c>
      <c r="J540" s="17" t="s">
        <v>71</v>
      </c>
      <c r="K540" s="17" t="s">
        <v>58</v>
      </c>
      <c r="L540" s="18" t="s">
        <v>52</v>
      </c>
      <c r="M540" s="19">
        <v>13.0</v>
      </c>
      <c r="N540" s="19">
        <v>31.0</v>
      </c>
    </row>
    <row r="541">
      <c r="A541" s="12">
        <v>539.0</v>
      </c>
      <c r="B541" s="13" t="s">
        <v>1520</v>
      </c>
      <c r="C541" s="14">
        <v>29.0</v>
      </c>
      <c r="D541" s="15" t="s">
        <v>1525</v>
      </c>
      <c r="E541" s="16" t="s">
        <v>221</v>
      </c>
      <c r="F541" s="13" t="s">
        <v>1432</v>
      </c>
      <c r="G541" s="13" t="s">
        <v>1592</v>
      </c>
      <c r="H541" s="13" t="s">
        <v>1593</v>
      </c>
      <c r="I541" s="13" t="s">
        <v>63</v>
      </c>
      <c r="J541" s="17" t="s">
        <v>71</v>
      </c>
      <c r="K541" s="17" t="s">
        <v>58</v>
      </c>
      <c r="L541" s="18" t="s">
        <v>52</v>
      </c>
      <c r="M541" s="19">
        <v>13.0</v>
      </c>
      <c r="N541" s="19">
        <v>31.0</v>
      </c>
    </row>
    <row r="542">
      <c r="A542" s="12">
        <v>540.0</v>
      </c>
      <c r="B542" s="13" t="s">
        <v>1520</v>
      </c>
      <c r="C542" s="14">
        <v>30.0</v>
      </c>
      <c r="D542" s="15" t="s">
        <v>1525</v>
      </c>
      <c r="E542" s="16" t="s">
        <v>221</v>
      </c>
      <c r="F542" s="13" t="s">
        <v>1423</v>
      </c>
      <c r="G542" s="13" t="s">
        <v>1594</v>
      </c>
      <c r="H542" s="13" t="s">
        <v>1595</v>
      </c>
      <c r="I542" s="13" t="s">
        <v>63</v>
      </c>
      <c r="J542" s="17" t="s">
        <v>71</v>
      </c>
      <c r="K542" s="17" t="s">
        <v>58</v>
      </c>
      <c r="L542" s="18" t="s">
        <v>52</v>
      </c>
      <c r="M542" s="19">
        <v>13.0</v>
      </c>
      <c r="N542" s="19">
        <v>31.0</v>
      </c>
    </row>
    <row r="543">
      <c r="A543" s="12">
        <v>541.0</v>
      </c>
      <c r="B543" s="13" t="s">
        <v>1597</v>
      </c>
      <c r="C543" s="14">
        <v>1.0</v>
      </c>
      <c r="D543" s="15" t="s">
        <v>1598</v>
      </c>
      <c r="E543" s="16" t="s">
        <v>221</v>
      </c>
      <c r="F543" s="13" t="s">
        <v>1437</v>
      </c>
      <c r="G543" s="13" t="s">
        <v>61</v>
      </c>
      <c r="H543" s="13" t="s">
        <v>1599</v>
      </c>
      <c r="I543" s="13" t="s">
        <v>56</v>
      </c>
      <c r="J543" s="17" t="s">
        <v>57</v>
      </c>
      <c r="K543" s="17" t="s">
        <v>58</v>
      </c>
      <c r="L543" s="18" t="s">
        <v>52</v>
      </c>
      <c r="M543" s="19">
        <v>14.0</v>
      </c>
      <c r="N543" s="19">
        <v>10.0</v>
      </c>
    </row>
    <row r="544">
      <c r="A544" s="12">
        <v>542.0</v>
      </c>
      <c r="B544" s="13" t="s">
        <v>1597</v>
      </c>
      <c r="C544" s="14">
        <v>2.0</v>
      </c>
      <c r="D544" s="15" t="s">
        <v>1600</v>
      </c>
      <c r="E544" s="16" t="s">
        <v>221</v>
      </c>
      <c r="F544" s="13" t="s">
        <v>1426</v>
      </c>
      <c r="G544" s="13" t="s">
        <v>1581</v>
      </c>
      <c r="H544" s="13" t="s">
        <v>1601</v>
      </c>
      <c r="I544" s="13" t="s">
        <v>63</v>
      </c>
      <c r="J544" s="17" t="s">
        <v>57</v>
      </c>
      <c r="K544" s="17" t="s">
        <v>58</v>
      </c>
      <c r="L544" s="18" t="s">
        <v>52</v>
      </c>
      <c r="M544" s="19">
        <v>14.0</v>
      </c>
      <c r="N544" s="19">
        <v>11.0</v>
      </c>
    </row>
    <row r="545">
      <c r="A545" s="12">
        <v>543.0</v>
      </c>
      <c r="B545" s="13" t="s">
        <v>1597</v>
      </c>
      <c r="C545" s="14">
        <v>3.0</v>
      </c>
      <c r="D545" s="15" t="s">
        <v>1598</v>
      </c>
      <c r="E545" s="16" t="s">
        <v>221</v>
      </c>
      <c r="F545" s="13" t="s">
        <v>85</v>
      </c>
      <c r="G545" s="13" t="s">
        <v>1602</v>
      </c>
      <c r="H545" s="13" t="s">
        <v>1603</v>
      </c>
      <c r="I545" s="13" t="s">
        <v>63</v>
      </c>
      <c r="J545" s="17" t="s">
        <v>57</v>
      </c>
      <c r="K545" s="17" t="s">
        <v>58</v>
      </c>
      <c r="L545" s="18" t="s">
        <v>52</v>
      </c>
      <c r="M545" s="19">
        <v>14.0</v>
      </c>
      <c r="N545" s="19">
        <v>11.0</v>
      </c>
    </row>
    <row r="546">
      <c r="A546" s="12">
        <v>544.0</v>
      </c>
      <c r="B546" s="13" t="s">
        <v>1597</v>
      </c>
      <c r="C546" s="14">
        <v>4.0</v>
      </c>
      <c r="D546" s="15" t="s">
        <v>1598</v>
      </c>
      <c r="E546" s="16" t="s">
        <v>221</v>
      </c>
      <c r="F546" s="13" t="s">
        <v>1605</v>
      </c>
      <c r="G546" s="13" t="s">
        <v>1606</v>
      </c>
      <c r="H546" s="13" t="s">
        <v>1607</v>
      </c>
      <c r="I546" s="13" t="s">
        <v>56</v>
      </c>
      <c r="J546" s="17" t="s">
        <v>67</v>
      </c>
      <c r="K546" s="17" t="s">
        <v>58</v>
      </c>
      <c r="L546" s="18" t="s">
        <v>52</v>
      </c>
      <c r="M546" s="19">
        <v>14.0</v>
      </c>
      <c r="N546" s="19">
        <v>20.0</v>
      </c>
    </row>
    <row r="547">
      <c r="A547" s="12">
        <v>545.0</v>
      </c>
      <c r="B547" s="13" t="s">
        <v>1597</v>
      </c>
      <c r="C547" s="14">
        <v>5.0</v>
      </c>
      <c r="D547" s="15" t="s">
        <v>1598</v>
      </c>
      <c r="E547" s="16" t="s">
        <v>221</v>
      </c>
      <c r="F547" s="13" t="s">
        <v>1608</v>
      </c>
      <c r="G547" s="13" t="s">
        <v>1609</v>
      </c>
      <c r="H547" s="13" t="s">
        <v>1610</v>
      </c>
      <c r="I547" s="13" t="s">
        <v>56</v>
      </c>
      <c r="J547" s="17" t="s">
        <v>67</v>
      </c>
      <c r="K547" s="17" t="s">
        <v>58</v>
      </c>
      <c r="L547" s="18" t="s">
        <v>52</v>
      </c>
      <c r="M547" s="19">
        <v>14.0</v>
      </c>
      <c r="N547" s="19">
        <v>20.0</v>
      </c>
    </row>
    <row r="548">
      <c r="A548" s="12">
        <v>546.0</v>
      </c>
      <c r="B548" s="13" t="s">
        <v>1597</v>
      </c>
      <c r="C548" s="14">
        <v>6.0</v>
      </c>
      <c r="D548" s="15" t="s">
        <v>1598</v>
      </c>
      <c r="E548" s="16" t="s">
        <v>221</v>
      </c>
      <c r="F548" s="13" t="s">
        <v>1612</v>
      </c>
      <c r="G548" s="13" t="s">
        <v>1613</v>
      </c>
      <c r="H548" s="13" t="s">
        <v>1614</v>
      </c>
      <c r="I548" s="13" t="s">
        <v>56</v>
      </c>
      <c r="J548" s="17" t="s">
        <v>67</v>
      </c>
      <c r="K548" s="17" t="s">
        <v>58</v>
      </c>
      <c r="L548" s="18" t="s">
        <v>52</v>
      </c>
      <c r="M548" s="19">
        <v>14.0</v>
      </c>
      <c r="N548" s="19">
        <v>20.0</v>
      </c>
    </row>
    <row r="549">
      <c r="A549" s="12">
        <v>547.0</v>
      </c>
      <c r="B549" s="13" t="s">
        <v>1597</v>
      </c>
      <c r="C549" s="14">
        <v>7.0</v>
      </c>
      <c r="D549" s="15" t="s">
        <v>1598</v>
      </c>
      <c r="E549" s="16" t="s">
        <v>221</v>
      </c>
      <c r="F549" s="13" t="s">
        <v>1574</v>
      </c>
      <c r="G549" s="13" t="s">
        <v>1615</v>
      </c>
      <c r="H549" s="13" t="s">
        <v>1616</v>
      </c>
      <c r="I549" s="13" t="s">
        <v>63</v>
      </c>
      <c r="J549" s="17" t="s">
        <v>67</v>
      </c>
      <c r="K549" s="17" t="s">
        <v>58</v>
      </c>
      <c r="L549" s="18" t="s">
        <v>52</v>
      </c>
      <c r="M549" s="19">
        <v>14.0</v>
      </c>
      <c r="N549" s="19">
        <v>21.0</v>
      </c>
    </row>
    <row r="550">
      <c r="A550" s="12">
        <v>548.0</v>
      </c>
      <c r="B550" s="13" t="s">
        <v>1597</v>
      </c>
      <c r="C550" s="14">
        <v>8.0</v>
      </c>
      <c r="D550" s="15" t="s">
        <v>1598</v>
      </c>
      <c r="E550" s="16" t="s">
        <v>221</v>
      </c>
      <c r="F550" s="13" t="s">
        <v>1297</v>
      </c>
      <c r="G550" s="13" t="s">
        <v>1571</v>
      </c>
      <c r="H550" s="13" t="s">
        <v>1617</v>
      </c>
      <c r="I550" s="13" t="s">
        <v>56</v>
      </c>
      <c r="J550" s="17" t="s">
        <v>71</v>
      </c>
      <c r="K550" s="17" t="s">
        <v>58</v>
      </c>
      <c r="L550" s="18" t="s">
        <v>52</v>
      </c>
      <c r="M550" s="19">
        <v>14.0</v>
      </c>
      <c r="N550" s="19">
        <v>30.0</v>
      </c>
    </row>
    <row r="551">
      <c r="A551" s="12">
        <v>549.0</v>
      </c>
      <c r="B551" s="13" t="s">
        <v>1597</v>
      </c>
      <c r="C551" s="14">
        <v>9.0</v>
      </c>
      <c r="D551" s="15" t="s">
        <v>1598</v>
      </c>
      <c r="E551" s="16" t="s">
        <v>221</v>
      </c>
      <c r="F551" s="13" t="s">
        <v>1618</v>
      </c>
      <c r="G551" s="13" t="s">
        <v>1619</v>
      </c>
      <c r="H551" s="13" t="s">
        <v>1620</v>
      </c>
      <c r="I551" s="13" t="s">
        <v>56</v>
      </c>
      <c r="J551" s="17" t="s">
        <v>71</v>
      </c>
      <c r="K551" s="17" t="s">
        <v>58</v>
      </c>
      <c r="L551" s="18" t="s">
        <v>52</v>
      </c>
      <c r="M551" s="19">
        <v>14.0</v>
      </c>
      <c r="N551" s="19">
        <v>30.0</v>
      </c>
    </row>
    <row r="552">
      <c r="A552" s="12">
        <v>550.0</v>
      </c>
      <c r="B552" s="13" t="s">
        <v>1597</v>
      </c>
      <c r="C552" s="14">
        <v>10.0</v>
      </c>
      <c r="D552" s="15" t="s">
        <v>1600</v>
      </c>
      <c r="E552" s="16" t="s">
        <v>221</v>
      </c>
      <c r="F552" s="13" t="s">
        <v>744</v>
      </c>
      <c r="G552" s="13" t="s">
        <v>1621</v>
      </c>
      <c r="H552" s="13" t="s">
        <v>1622</v>
      </c>
      <c r="I552" s="13" t="s">
        <v>63</v>
      </c>
      <c r="J552" s="17" t="s">
        <v>71</v>
      </c>
      <c r="K552" s="17" t="s">
        <v>58</v>
      </c>
      <c r="L552" s="18" t="s">
        <v>52</v>
      </c>
      <c r="M552" s="19">
        <v>14.0</v>
      </c>
      <c r="N552" s="19">
        <v>31.0</v>
      </c>
    </row>
    <row r="553">
      <c r="A553" s="12">
        <v>551.0</v>
      </c>
      <c r="B553" s="13" t="s">
        <v>1597</v>
      </c>
      <c r="C553" s="14">
        <v>11.0</v>
      </c>
      <c r="D553" s="15" t="s">
        <v>1600</v>
      </c>
      <c r="E553" s="16" t="s">
        <v>221</v>
      </c>
      <c r="F553" s="13" t="s">
        <v>733</v>
      </c>
      <c r="G553" s="13" t="s">
        <v>61</v>
      </c>
      <c r="H553" s="13" t="s">
        <v>1623</v>
      </c>
      <c r="I553" s="13" t="s">
        <v>63</v>
      </c>
      <c r="J553" s="17" t="s">
        <v>71</v>
      </c>
      <c r="K553" s="17" t="s">
        <v>58</v>
      </c>
      <c r="L553" s="18" t="s">
        <v>52</v>
      </c>
      <c r="M553" s="19">
        <v>14.0</v>
      </c>
      <c r="N553" s="19">
        <v>31.0</v>
      </c>
    </row>
    <row r="554">
      <c r="A554" s="12">
        <v>552.0</v>
      </c>
      <c r="B554" s="13" t="s">
        <v>1597</v>
      </c>
      <c r="C554" s="14">
        <v>12.0</v>
      </c>
      <c r="D554" s="15" t="s">
        <v>1600</v>
      </c>
      <c r="E554" s="16" t="s">
        <v>221</v>
      </c>
      <c r="F554" s="13" t="s">
        <v>1624</v>
      </c>
      <c r="G554" s="13" t="s">
        <v>61</v>
      </c>
      <c r="H554" s="13" t="s">
        <v>1625</v>
      </c>
      <c r="I554" s="13" t="s">
        <v>63</v>
      </c>
      <c r="J554" s="17" t="s">
        <v>71</v>
      </c>
      <c r="K554" s="17" t="s">
        <v>58</v>
      </c>
      <c r="L554" s="18" t="s">
        <v>52</v>
      </c>
      <c r="M554" s="19">
        <v>14.0</v>
      </c>
      <c r="N554" s="19">
        <v>31.0</v>
      </c>
    </row>
    <row r="555">
      <c r="A555" s="12">
        <v>553.0</v>
      </c>
      <c r="B555" s="13" t="s">
        <v>1597</v>
      </c>
      <c r="C555" s="14">
        <v>13.0</v>
      </c>
      <c r="D555" s="15" t="s">
        <v>1600</v>
      </c>
      <c r="E555" s="16" t="s">
        <v>221</v>
      </c>
      <c r="F555" s="13" t="s">
        <v>724</v>
      </c>
      <c r="G555" s="13" t="s">
        <v>1626</v>
      </c>
      <c r="H555" s="13" t="s">
        <v>1627</v>
      </c>
      <c r="I555" s="13" t="s">
        <v>63</v>
      </c>
      <c r="J555" s="17" t="s">
        <v>71</v>
      </c>
      <c r="K555" s="17" t="s">
        <v>58</v>
      </c>
      <c r="L555" s="18" t="s">
        <v>52</v>
      </c>
      <c r="M555" s="19">
        <v>14.0</v>
      </c>
      <c r="N555" s="19">
        <v>31.0</v>
      </c>
    </row>
    <row r="556">
      <c r="A556" s="12">
        <v>554.0</v>
      </c>
      <c r="B556" s="13" t="s">
        <v>1597</v>
      </c>
      <c r="C556" s="14">
        <v>14.0</v>
      </c>
      <c r="D556" s="15" t="s">
        <v>1600</v>
      </c>
      <c r="E556" s="16" t="s">
        <v>221</v>
      </c>
      <c r="F556" s="13" t="s">
        <v>1370</v>
      </c>
      <c r="G556" s="13" t="s">
        <v>1628</v>
      </c>
      <c r="H556" s="13" t="s">
        <v>1629</v>
      </c>
      <c r="I556" s="13" t="s">
        <v>63</v>
      </c>
      <c r="J556" s="17" t="s">
        <v>71</v>
      </c>
      <c r="K556" s="17" t="s">
        <v>58</v>
      </c>
      <c r="L556" s="18" t="s">
        <v>52</v>
      </c>
      <c r="M556" s="19">
        <v>14.0</v>
      </c>
      <c r="N556" s="19">
        <v>31.0</v>
      </c>
    </row>
    <row r="557">
      <c r="A557" s="12">
        <v>555.0</v>
      </c>
      <c r="B557" s="13" t="s">
        <v>1597</v>
      </c>
      <c r="C557" s="14">
        <v>15.0</v>
      </c>
      <c r="D557" s="15" t="s">
        <v>1600</v>
      </c>
      <c r="E557" s="16" t="s">
        <v>221</v>
      </c>
      <c r="F557" s="13" t="s">
        <v>1434</v>
      </c>
      <c r="G557" s="13" t="s">
        <v>61</v>
      </c>
      <c r="H557" s="13" t="s">
        <v>1630</v>
      </c>
      <c r="I557" s="13" t="s">
        <v>63</v>
      </c>
      <c r="J557" s="17" t="s">
        <v>71</v>
      </c>
      <c r="K557" s="17" t="s">
        <v>58</v>
      </c>
      <c r="L557" s="18" t="s">
        <v>52</v>
      </c>
      <c r="M557" s="19">
        <v>14.0</v>
      </c>
      <c r="N557" s="19">
        <v>31.0</v>
      </c>
    </row>
    <row r="558">
      <c r="A558" s="12">
        <v>556.0</v>
      </c>
      <c r="B558" s="13" t="s">
        <v>1597</v>
      </c>
      <c r="C558" s="14">
        <v>16.0</v>
      </c>
      <c r="D558" s="15" t="s">
        <v>1600</v>
      </c>
      <c r="E558" s="16" t="s">
        <v>221</v>
      </c>
      <c r="F558" s="13" t="s">
        <v>1631</v>
      </c>
      <c r="G558" s="13" t="s">
        <v>61</v>
      </c>
      <c r="H558" s="13" t="s">
        <v>1632</v>
      </c>
      <c r="I558" s="13" t="s">
        <v>63</v>
      </c>
      <c r="J558" s="17" t="s">
        <v>71</v>
      </c>
      <c r="K558" s="17" t="s">
        <v>58</v>
      </c>
      <c r="L558" s="18" t="s">
        <v>52</v>
      </c>
      <c r="M558" s="19">
        <v>14.0</v>
      </c>
      <c r="N558" s="19">
        <v>31.0</v>
      </c>
    </row>
    <row r="559">
      <c r="A559" s="12">
        <v>557.0</v>
      </c>
      <c r="B559" s="13" t="s">
        <v>1597</v>
      </c>
      <c r="C559" s="14">
        <v>17.0</v>
      </c>
      <c r="D559" s="15" t="s">
        <v>1600</v>
      </c>
      <c r="E559" s="16" t="s">
        <v>221</v>
      </c>
      <c r="F559" s="13" t="s">
        <v>1540</v>
      </c>
      <c r="G559" s="13" t="s">
        <v>1634</v>
      </c>
      <c r="H559" s="13" t="s">
        <v>1635</v>
      </c>
      <c r="I559" s="13" t="s">
        <v>63</v>
      </c>
      <c r="J559" s="17" t="s">
        <v>71</v>
      </c>
      <c r="K559" s="17" t="s">
        <v>58</v>
      </c>
      <c r="L559" s="18" t="s">
        <v>52</v>
      </c>
      <c r="M559" s="19">
        <v>14.0</v>
      </c>
      <c r="N559" s="19">
        <v>31.0</v>
      </c>
    </row>
    <row r="560">
      <c r="A560" s="12">
        <v>558.0</v>
      </c>
      <c r="B560" s="13" t="s">
        <v>1597</v>
      </c>
      <c r="C560" s="14">
        <v>18.0</v>
      </c>
      <c r="D560" s="15" t="s">
        <v>1600</v>
      </c>
      <c r="E560" s="16" t="s">
        <v>221</v>
      </c>
      <c r="F560" s="13" t="s">
        <v>350</v>
      </c>
      <c r="G560" s="13" t="s">
        <v>761</v>
      </c>
      <c r="H560" s="13" t="s">
        <v>1636</v>
      </c>
      <c r="I560" s="13" t="s">
        <v>63</v>
      </c>
      <c r="J560" s="17" t="s">
        <v>71</v>
      </c>
      <c r="K560" s="17" t="s">
        <v>58</v>
      </c>
      <c r="L560" s="18" t="s">
        <v>52</v>
      </c>
      <c r="M560" s="19">
        <v>14.0</v>
      </c>
      <c r="N560" s="19">
        <v>31.0</v>
      </c>
    </row>
    <row r="561">
      <c r="A561" s="12">
        <v>559.0</v>
      </c>
      <c r="B561" s="13" t="s">
        <v>1597</v>
      </c>
      <c r="C561" s="14">
        <v>19.0</v>
      </c>
      <c r="D561" s="15" t="s">
        <v>1600</v>
      </c>
      <c r="E561" s="16" t="s">
        <v>221</v>
      </c>
      <c r="F561" s="13" t="s">
        <v>1268</v>
      </c>
      <c r="G561" s="13" t="s">
        <v>61</v>
      </c>
      <c r="H561" s="13" t="s">
        <v>1637</v>
      </c>
      <c r="I561" s="13" t="s">
        <v>63</v>
      </c>
      <c r="J561" s="17" t="s">
        <v>71</v>
      </c>
      <c r="K561" s="17" t="s">
        <v>58</v>
      </c>
      <c r="L561" s="18" t="s">
        <v>52</v>
      </c>
      <c r="M561" s="19">
        <v>14.0</v>
      </c>
      <c r="N561" s="19">
        <v>31.0</v>
      </c>
    </row>
    <row r="562">
      <c r="A562" s="12">
        <v>560.0</v>
      </c>
      <c r="B562" s="13" t="s">
        <v>1597</v>
      </c>
      <c r="C562" s="14">
        <v>20.0</v>
      </c>
      <c r="D562" s="15" t="s">
        <v>1600</v>
      </c>
      <c r="E562" s="16" t="s">
        <v>221</v>
      </c>
      <c r="F562" s="13" t="s">
        <v>1168</v>
      </c>
      <c r="G562" s="13" t="s">
        <v>61</v>
      </c>
      <c r="H562" s="13" t="s">
        <v>1638</v>
      </c>
      <c r="I562" s="13" t="s">
        <v>63</v>
      </c>
      <c r="J562" s="17" t="s">
        <v>71</v>
      </c>
      <c r="K562" s="17" t="s">
        <v>58</v>
      </c>
      <c r="L562" s="18" t="s">
        <v>52</v>
      </c>
      <c r="M562" s="19">
        <v>14.0</v>
      </c>
      <c r="N562" s="19">
        <v>31.0</v>
      </c>
    </row>
    <row r="563">
      <c r="A563" s="12">
        <v>561.0</v>
      </c>
      <c r="B563" s="13" t="s">
        <v>1597</v>
      </c>
      <c r="C563" s="14">
        <v>21.0</v>
      </c>
      <c r="D563" s="15" t="s">
        <v>1598</v>
      </c>
      <c r="E563" s="16" t="s">
        <v>221</v>
      </c>
      <c r="F563" s="13" t="s">
        <v>728</v>
      </c>
      <c r="G563" s="13" t="s">
        <v>922</v>
      </c>
      <c r="H563" s="13" t="s">
        <v>1639</v>
      </c>
      <c r="I563" s="13" t="s">
        <v>63</v>
      </c>
      <c r="J563" s="17" t="s">
        <v>71</v>
      </c>
      <c r="K563" s="17" t="s">
        <v>58</v>
      </c>
      <c r="L563" s="18" t="s">
        <v>52</v>
      </c>
      <c r="M563" s="19">
        <v>14.0</v>
      </c>
      <c r="N563" s="19">
        <v>31.0</v>
      </c>
    </row>
    <row r="564">
      <c r="A564" s="12">
        <v>562.0</v>
      </c>
      <c r="B564" s="13" t="s">
        <v>1597</v>
      </c>
      <c r="C564" s="14">
        <v>22.0</v>
      </c>
      <c r="D564" s="15" t="s">
        <v>1598</v>
      </c>
      <c r="E564" s="16" t="s">
        <v>221</v>
      </c>
      <c r="F564" s="13" t="s">
        <v>623</v>
      </c>
      <c r="G564" s="13" t="s">
        <v>1640</v>
      </c>
      <c r="H564" s="13" t="s">
        <v>1642</v>
      </c>
      <c r="I564" s="13" t="s">
        <v>63</v>
      </c>
      <c r="J564" s="17" t="s">
        <v>71</v>
      </c>
      <c r="K564" s="17" t="s">
        <v>58</v>
      </c>
      <c r="L564" s="18" t="s">
        <v>52</v>
      </c>
      <c r="M564" s="19">
        <v>14.0</v>
      </c>
      <c r="N564" s="19">
        <v>31.0</v>
      </c>
    </row>
    <row r="565">
      <c r="A565" s="12">
        <v>563.0</v>
      </c>
      <c r="B565" s="13" t="s">
        <v>1597</v>
      </c>
      <c r="C565" s="14">
        <v>23.0</v>
      </c>
      <c r="D565" s="15" t="s">
        <v>1598</v>
      </c>
      <c r="E565" s="16" t="s">
        <v>221</v>
      </c>
      <c r="F565" s="13" t="s">
        <v>1643</v>
      </c>
      <c r="G565" s="13" t="s">
        <v>1644</v>
      </c>
      <c r="H565" s="13" t="s">
        <v>1645</v>
      </c>
      <c r="I565" s="13" t="s">
        <v>63</v>
      </c>
      <c r="J565" s="17" t="s">
        <v>71</v>
      </c>
      <c r="K565" s="17" t="s">
        <v>58</v>
      </c>
      <c r="L565" s="18" t="s">
        <v>52</v>
      </c>
      <c r="M565" s="19">
        <v>14.0</v>
      </c>
      <c r="N565" s="19">
        <v>31.0</v>
      </c>
    </row>
    <row r="566">
      <c r="A566" s="12">
        <v>564.0</v>
      </c>
      <c r="B566" s="13" t="s">
        <v>1597</v>
      </c>
      <c r="C566" s="14">
        <v>24.0</v>
      </c>
      <c r="D566" s="15" t="s">
        <v>1598</v>
      </c>
      <c r="E566" s="16" t="s">
        <v>221</v>
      </c>
      <c r="F566" s="13" t="s">
        <v>1439</v>
      </c>
      <c r="G566" s="13" t="s">
        <v>1646</v>
      </c>
      <c r="H566" s="13" t="s">
        <v>1648</v>
      </c>
      <c r="I566" s="13" t="s">
        <v>63</v>
      </c>
      <c r="J566" s="17" t="s">
        <v>71</v>
      </c>
      <c r="K566" s="17" t="s">
        <v>58</v>
      </c>
      <c r="L566" s="18" t="s">
        <v>52</v>
      </c>
      <c r="M566" s="19">
        <v>14.0</v>
      </c>
      <c r="N566" s="19">
        <v>31.0</v>
      </c>
    </row>
    <row r="567">
      <c r="A567" s="12">
        <v>565.0</v>
      </c>
      <c r="B567" s="13" t="s">
        <v>1597</v>
      </c>
      <c r="C567" s="14">
        <v>25.0</v>
      </c>
      <c r="D567" s="15" t="s">
        <v>1598</v>
      </c>
      <c r="E567" s="16" t="s">
        <v>221</v>
      </c>
      <c r="F567" s="13" t="s">
        <v>1649</v>
      </c>
      <c r="G567" s="13" t="s">
        <v>1650</v>
      </c>
      <c r="H567" s="13" t="s">
        <v>1651</v>
      </c>
      <c r="I567" s="13" t="s">
        <v>63</v>
      </c>
      <c r="J567" s="17" t="s">
        <v>71</v>
      </c>
      <c r="K567" s="17" t="s">
        <v>58</v>
      </c>
      <c r="L567" s="18" t="s">
        <v>52</v>
      </c>
      <c r="M567" s="19">
        <v>14.0</v>
      </c>
      <c r="N567" s="19">
        <v>31.0</v>
      </c>
    </row>
    <row r="568">
      <c r="A568" s="12">
        <v>566.0</v>
      </c>
      <c r="B568" s="13" t="s">
        <v>1597</v>
      </c>
      <c r="C568" s="14">
        <v>26.0</v>
      </c>
      <c r="D568" s="15" t="s">
        <v>1598</v>
      </c>
      <c r="E568" s="16" t="s">
        <v>221</v>
      </c>
      <c r="F568" s="13" t="s">
        <v>1032</v>
      </c>
      <c r="G568" s="13" t="s">
        <v>1652</v>
      </c>
      <c r="H568" s="13" t="s">
        <v>1653</v>
      </c>
      <c r="I568" s="13" t="s">
        <v>63</v>
      </c>
      <c r="J568" s="17" t="s">
        <v>71</v>
      </c>
      <c r="K568" s="17" t="s">
        <v>58</v>
      </c>
      <c r="L568" s="18" t="s">
        <v>52</v>
      </c>
      <c r="M568" s="19">
        <v>14.0</v>
      </c>
      <c r="N568" s="19">
        <v>31.0</v>
      </c>
    </row>
    <row r="569">
      <c r="A569" s="12">
        <v>567.0</v>
      </c>
      <c r="B569" s="13" t="s">
        <v>1597</v>
      </c>
      <c r="C569" s="14">
        <v>27.0</v>
      </c>
      <c r="D569" s="15" t="s">
        <v>1598</v>
      </c>
      <c r="E569" s="16" t="s">
        <v>221</v>
      </c>
      <c r="F569" s="13" t="s">
        <v>1654</v>
      </c>
      <c r="G569" s="13" t="s">
        <v>1655</v>
      </c>
      <c r="H569" s="13" t="s">
        <v>1656</v>
      </c>
      <c r="I569" s="13" t="s">
        <v>63</v>
      </c>
      <c r="J569" s="17" t="s">
        <v>71</v>
      </c>
      <c r="K569" s="17" t="s">
        <v>58</v>
      </c>
      <c r="L569" s="18" t="s">
        <v>52</v>
      </c>
      <c r="M569" s="19">
        <v>14.0</v>
      </c>
      <c r="N569" s="19">
        <v>31.0</v>
      </c>
    </row>
    <row r="570">
      <c r="A570" s="12">
        <v>568.0</v>
      </c>
      <c r="B570" s="13" t="s">
        <v>1597</v>
      </c>
      <c r="C570" s="14">
        <v>28.0</v>
      </c>
      <c r="D570" s="15" t="s">
        <v>1598</v>
      </c>
      <c r="E570" s="16" t="s">
        <v>221</v>
      </c>
      <c r="F570" s="13" t="s">
        <v>1657</v>
      </c>
      <c r="G570" s="13" t="s">
        <v>1562</v>
      </c>
      <c r="H570" s="13" t="s">
        <v>1547</v>
      </c>
      <c r="I570" s="13" t="s">
        <v>63</v>
      </c>
      <c r="J570" s="17" t="s">
        <v>71</v>
      </c>
      <c r="K570" s="17" t="s">
        <v>58</v>
      </c>
      <c r="L570" s="18" t="s">
        <v>52</v>
      </c>
      <c r="M570" s="19">
        <v>14.0</v>
      </c>
      <c r="N570" s="19">
        <v>31.0</v>
      </c>
    </row>
    <row r="571">
      <c r="A571" s="12">
        <v>569.0</v>
      </c>
      <c r="B571" s="13" t="s">
        <v>1597</v>
      </c>
      <c r="C571" s="14">
        <v>29.0</v>
      </c>
      <c r="D571" s="15" t="s">
        <v>1598</v>
      </c>
      <c r="E571" s="16" t="s">
        <v>221</v>
      </c>
      <c r="F571" s="13" t="s">
        <v>1119</v>
      </c>
      <c r="G571" s="13" t="s">
        <v>1658</v>
      </c>
      <c r="H571" s="13" t="s">
        <v>1659</v>
      </c>
      <c r="I571" s="13" t="s">
        <v>63</v>
      </c>
      <c r="J571" s="17" t="s">
        <v>71</v>
      </c>
      <c r="K571" s="17" t="s">
        <v>58</v>
      </c>
      <c r="L571" s="18" t="s">
        <v>52</v>
      </c>
      <c r="M571" s="19">
        <v>14.0</v>
      </c>
      <c r="N571" s="19">
        <v>31.0</v>
      </c>
    </row>
    <row r="572">
      <c r="A572" s="12">
        <v>570.0</v>
      </c>
      <c r="B572" s="13" t="s">
        <v>1597</v>
      </c>
      <c r="C572" s="14">
        <v>30.0</v>
      </c>
      <c r="D572" s="15" t="s">
        <v>1598</v>
      </c>
      <c r="E572" s="16" t="s">
        <v>221</v>
      </c>
      <c r="F572" s="13" t="s">
        <v>1143</v>
      </c>
      <c r="G572" s="13" t="s">
        <v>1660</v>
      </c>
      <c r="H572" s="13" t="s">
        <v>1661</v>
      </c>
      <c r="I572" s="13" t="s">
        <v>63</v>
      </c>
      <c r="J572" s="17" t="s">
        <v>71</v>
      </c>
      <c r="K572" s="17" t="s">
        <v>58</v>
      </c>
      <c r="L572" s="18" t="s">
        <v>52</v>
      </c>
      <c r="M572" s="19">
        <v>14.0</v>
      </c>
      <c r="N572" s="19">
        <v>31.0</v>
      </c>
    </row>
    <row r="573">
      <c r="A573" s="12">
        <v>571.0</v>
      </c>
      <c r="B573" s="13" t="s">
        <v>1663</v>
      </c>
      <c r="C573" s="14">
        <v>1.0</v>
      </c>
      <c r="D573" s="15" t="s">
        <v>1664</v>
      </c>
      <c r="E573" s="16" t="s">
        <v>52</v>
      </c>
      <c r="F573" s="13" t="s">
        <v>1665</v>
      </c>
      <c r="G573" s="13" t="s">
        <v>1666</v>
      </c>
      <c r="H573" s="13" t="s">
        <v>1667</v>
      </c>
      <c r="I573" s="13" t="s">
        <v>56</v>
      </c>
      <c r="J573" s="17" t="s">
        <v>57</v>
      </c>
      <c r="K573" s="17" t="s">
        <v>58</v>
      </c>
      <c r="L573" s="18" t="s">
        <v>52</v>
      </c>
      <c r="M573" s="19">
        <v>15.0</v>
      </c>
      <c r="N573" s="19">
        <v>10.0</v>
      </c>
    </row>
    <row r="574">
      <c r="A574" s="12">
        <v>572.0</v>
      </c>
      <c r="B574" s="13" t="s">
        <v>1663</v>
      </c>
      <c r="C574" s="14">
        <v>2.0</v>
      </c>
      <c r="D574" s="15" t="s">
        <v>1664</v>
      </c>
      <c r="E574" s="16" t="s">
        <v>52</v>
      </c>
      <c r="F574" s="13" t="s">
        <v>1405</v>
      </c>
      <c r="G574" s="13" t="s">
        <v>61</v>
      </c>
      <c r="H574" s="13" t="s">
        <v>1668</v>
      </c>
      <c r="I574" s="13" t="s">
        <v>63</v>
      </c>
      <c r="J574" s="17" t="s">
        <v>57</v>
      </c>
      <c r="K574" s="17" t="s">
        <v>58</v>
      </c>
      <c r="L574" s="18" t="s">
        <v>52</v>
      </c>
      <c r="M574" s="19">
        <v>15.0</v>
      </c>
      <c r="N574" s="19">
        <v>11.0</v>
      </c>
    </row>
    <row r="575">
      <c r="A575" s="12">
        <v>573.0</v>
      </c>
      <c r="B575" s="13" t="s">
        <v>1663</v>
      </c>
      <c r="C575" s="14">
        <v>3.0</v>
      </c>
      <c r="D575" s="15" t="s">
        <v>1664</v>
      </c>
      <c r="E575" s="16" t="s">
        <v>52</v>
      </c>
      <c r="F575" s="13" t="s">
        <v>1669</v>
      </c>
      <c r="G575" s="13" t="s">
        <v>1670</v>
      </c>
      <c r="H575" s="13" t="s">
        <v>1671</v>
      </c>
      <c r="I575" s="13" t="s">
        <v>56</v>
      </c>
      <c r="J575" s="17" t="s">
        <v>67</v>
      </c>
      <c r="K575" s="17" t="s">
        <v>58</v>
      </c>
      <c r="L575" s="18" t="s">
        <v>52</v>
      </c>
      <c r="M575" s="19">
        <v>15.0</v>
      </c>
      <c r="N575" s="19">
        <v>20.0</v>
      </c>
    </row>
    <row r="576">
      <c r="A576" s="12">
        <v>574.0</v>
      </c>
      <c r="B576" s="13" t="s">
        <v>1663</v>
      </c>
      <c r="C576" s="14">
        <v>4.0</v>
      </c>
      <c r="D576" s="15" t="s">
        <v>1664</v>
      </c>
      <c r="E576" s="16" t="s">
        <v>52</v>
      </c>
      <c r="F576" s="13" t="s">
        <v>91</v>
      </c>
      <c r="G576" s="13" t="s">
        <v>1672</v>
      </c>
      <c r="H576" s="13" t="s">
        <v>1673</v>
      </c>
      <c r="I576" s="13" t="s">
        <v>56</v>
      </c>
      <c r="J576" s="17" t="s">
        <v>67</v>
      </c>
      <c r="K576" s="17" t="s">
        <v>58</v>
      </c>
      <c r="L576" s="18" t="s">
        <v>52</v>
      </c>
      <c r="M576" s="19">
        <v>15.0</v>
      </c>
      <c r="N576" s="19">
        <v>20.0</v>
      </c>
    </row>
    <row r="577">
      <c r="A577" s="12">
        <v>575.0</v>
      </c>
      <c r="B577" s="13" t="s">
        <v>1663</v>
      </c>
      <c r="C577" s="14">
        <v>5.0</v>
      </c>
      <c r="D577" s="15" t="s">
        <v>1674</v>
      </c>
      <c r="E577" s="16" t="s">
        <v>52</v>
      </c>
      <c r="F577" s="13" t="s">
        <v>1649</v>
      </c>
      <c r="G577" s="13" t="s">
        <v>1675</v>
      </c>
      <c r="H577" s="13" t="s">
        <v>1676</v>
      </c>
      <c r="I577" s="13" t="s">
        <v>56</v>
      </c>
      <c r="J577" s="17" t="s">
        <v>67</v>
      </c>
      <c r="K577" s="17" t="s">
        <v>58</v>
      </c>
      <c r="L577" s="18" t="s">
        <v>52</v>
      </c>
      <c r="M577" s="19">
        <v>15.0</v>
      </c>
      <c r="N577" s="19">
        <v>20.0</v>
      </c>
    </row>
    <row r="578">
      <c r="A578" s="12">
        <v>576.0</v>
      </c>
      <c r="B578" s="13" t="s">
        <v>1663</v>
      </c>
      <c r="C578" s="14">
        <v>6.0</v>
      </c>
      <c r="D578" s="15" t="s">
        <v>1674</v>
      </c>
      <c r="E578" s="16" t="s">
        <v>52</v>
      </c>
      <c r="F578" s="13" t="s">
        <v>1677</v>
      </c>
      <c r="G578" s="13" t="s">
        <v>1678</v>
      </c>
      <c r="H578" s="13" t="s">
        <v>1679</v>
      </c>
      <c r="I578" s="13" t="s">
        <v>56</v>
      </c>
      <c r="J578" s="17" t="s">
        <v>67</v>
      </c>
      <c r="K578" s="17" t="s">
        <v>58</v>
      </c>
      <c r="L578" s="18" t="s">
        <v>52</v>
      </c>
      <c r="M578" s="19">
        <v>15.0</v>
      </c>
      <c r="N578" s="19">
        <v>20.0</v>
      </c>
    </row>
    <row r="579">
      <c r="A579" s="12">
        <v>577.0</v>
      </c>
      <c r="B579" s="13" t="s">
        <v>1663</v>
      </c>
      <c r="C579" s="14">
        <v>7.0</v>
      </c>
      <c r="D579" s="15" t="s">
        <v>1674</v>
      </c>
      <c r="E579" s="16" t="s">
        <v>52</v>
      </c>
      <c r="F579" s="13" t="s">
        <v>1159</v>
      </c>
      <c r="G579" s="13" t="s">
        <v>1680</v>
      </c>
      <c r="H579" s="13" t="s">
        <v>1681</v>
      </c>
      <c r="I579" s="13" t="s">
        <v>56</v>
      </c>
      <c r="J579" s="17" t="s">
        <v>67</v>
      </c>
      <c r="K579" s="17" t="s">
        <v>58</v>
      </c>
      <c r="L579" s="18" t="s">
        <v>52</v>
      </c>
      <c r="M579" s="19">
        <v>15.0</v>
      </c>
      <c r="N579" s="19">
        <v>20.0</v>
      </c>
    </row>
    <row r="580">
      <c r="A580" s="12">
        <v>578.0</v>
      </c>
      <c r="B580" s="13" t="s">
        <v>1663</v>
      </c>
      <c r="C580" s="14">
        <v>8.0</v>
      </c>
      <c r="D580" s="15" t="s">
        <v>1674</v>
      </c>
      <c r="E580" s="16" t="s">
        <v>52</v>
      </c>
      <c r="F580" s="13" t="s">
        <v>1682</v>
      </c>
      <c r="G580" s="13" t="s">
        <v>61</v>
      </c>
      <c r="H580" s="13" t="s">
        <v>1683</v>
      </c>
      <c r="I580" s="13" t="s">
        <v>63</v>
      </c>
      <c r="J580" s="17" t="s">
        <v>67</v>
      </c>
      <c r="K580" s="17" t="s">
        <v>58</v>
      </c>
      <c r="L580" s="18" t="s">
        <v>52</v>
      </c>
      <c r="M580" s="19">
        <v>15.0</v>
      </c>
      <c r="N580" s="19">
        <v>21.0</v>
      </c>
    </row>
    <row r="581">
      <c r="A581" s="12">
        <v>579.0</v>
      </c>
      <c r="B581" s="13" t="s">
        <v>1663</v>
      </c>
      <c r="C581" s="14">
        <v>9.0</v>
      </c>
      <c r="D581" s="15" t="s">
        <v>1664</v>
      </c>
      <c r="E581" s="16" t="s">
        <v>52</v>
      </c>
      <c r="F581" s="13" t="s">
        <v>50</v>
      </c>
      <c r="G581" s="13" t="s">
        <v>1684</v>
      </c>
      <c r="H581" s="13" t="s">
        <v>1685</v>
      </c>
      <c r="I581" s="13" t="s">
        <v>56</v>
      </c>
      <c r="J581" s="17" t="s">
        <v>71</v>
      </c>
      <c r="K581" s="17" t="s">
        <v>58</v>
      </c>
      <c r="L581" s="18" t="s">
        <v>52</v>
      </c>
      <c r="M581" s="19">
        <v>15.0</v>
      </c>
      <c r="N581" s="19">
        <v>30.0</v>
      </c>
    </row>
    <row r="582">
      <c r="A582" s="12">
        <v>580.0</v>
      </c>
      <c r="B582" s="13" t="s">
        <v>1663</v>
      </c>
      <c r="C582" s="14">
        <v>10.0</v>
      </c>
      <c r="D582" s="15" t="s">
        <v>1674</v>
      </c>
      <c r="E582" s="16" t="s">
        <v>52</v>
      </c>
      <c r="F582" s="13" t="s">
        <v>160</v>
      </c>
      <c r="G582" s="13" t="s">
        <v>61</v>
      </c>
      <c r="H582" s="13" t="s">
        <v>1686</v>
      </c>
      <c r="I582" s="13" t="s">
        <v>56</v>
      </c>
      <c r="J582" s="17" t="s">
        <v>71</v>
      </c>
      <c r="K582" s="17" t="s">
        <v>58</v>
      </c>
      <c r="L582" s="18" t="s">
        <v>52</v>
      </c>
      <c r="M582" s="19">
        <v>15.0</v>
      </c>
      <c r="N582" s="19">
        <v>30.0</v>
      </c>
    </row>
    <row r="583">
      <c r="A583" s="12">
        <v>581.0</v>
      </c>
      <c r="B583" s="13" t="s">
        <v>1663</v>
      </c>
      <c r="C583" s="14">
        <v>11.0</v>
      </c>
      <c r="D583" s="15" t="s">
        <v>1674</v>
      </c>
      <c r="E583" s="16" t="s">
        <v>52</v>
      </c>
      <c r="F583" s="13" t="s">
        <v>1687</v>
      </c>
      <c r="G583" s="13" t="s">
        <v>1688</v>
      </c>
      <c r="H583" s="13" t="s">
        <v>1689</v>
      </c>
      <c r="I583" s="13" t="s">
        <v>56</v>
      </c>
      <c r="J583" s="17" t="s">
        <v>71</v>
      </c>
      <c r="K583" s="17" t="s">
        <v>58</v>
      </c>
      <c r="L583" s="18" t="s">
        <v>52</v>
      </c>
      <c r="M583" s="19">
        <v>15.0</v>
      </c>
      <c r="N583" s="19">
        <v>30.0</v>
      </c>
    </row>
    <row r="584">
      <c r="A584" s="12">
        <v>582.0</v>
      </c>
      <c r="B584" s="13" t="s">
        <v>1663</v>
      </c>
      <c r="C584" s="14">
        <v>12.0</v>
      </c>
      <c r="D584" s="15" t="s">
        <v>1674</v>
      </c>
      <c r="E584" s="16" t="s">
        <v>52</v>
      </c>
      <c r="F584" s="13" t="s">
        <v>1690</v>
      </c>
      <c r="G584" s="13" t="s">
        <v>1691</v>
      </c>
      <c r="H584" s="13" t="s">
        <v>1692</v>
      </c>
      <c r="I584" s="13" t="s">
        <v>56</v>
      </c>
      <c r="J584" s="17" t="s">
        <v>71</v>
      </c>
      <c r="K584" s="17" t="s">
        <v>58</v>
      </c>
      <c r="L584" s="18" t="s">
        <v>52</v>
      </c>
      <c r="M584" s="19">
        <v>15.0</v>
      </c>
      <c r="N584" s="19">
        <v>30.0</v>
      </c>
    </row>
    <row r="585">
      <c r="A585" s="12">
        <v>583.0</v>
      </c>
      <c r="B585" s="13" t="s">
        <v>1663</v>
      </c>
      <c r="C585" s="14">
        <v>13.0</v>
      </c>
      <c r="D585" s="15" t="s">
        <v>1674</v>
      </c>
      <c r="E585" s="16" t="s">
        <v>52</v>
      </c>
      <c r="F585" s="13" t="s">
        <v>1693</v>
      </c>
      <c r="G585" s="13" t="s">
        <v>1694</v>
      </c>
      <c r="H585" s="13" t="s">
        <v>1695</v>
      </c>
      <c r="I585" s="13" t="s">
        <v>56</v>
      </c>
      <c r="J585" s="17" t="s">
        <v>71</v>
      </c>
      <c r="K585" s="17" t="s">
        <v>58</v>
      </c>
      <c r="L585" s="18" t="s">
        <v>52</v>
      </c>
      <c r="M585" s="19">
        <v>15.0</v>
      </c>
      <c r="N585" s="19">
        <v>30.0</v>
      </c>
    </row>
    <row r="586">
      <c r="A586" s="12">
        <v>584.0</v>
      </c>
      <c r="B586" s="13" t="s">
        <v>1663</v>
      </c>
      <c r="C586" s="14">
        <v>14.0</v>
      </c>
      <c r="D586" s="15" t="s">
        <v>1674</v>
      </c>
      <c r="E586" s="16" t="s">
        <v>52</v>
      </c>
      <c r="F586" s="13" t="s">
        <v>1436</v>
      </c>
      <c r="G586" s="13" t="s">
        <v>1697</v>
      </c>
      <c r="H586" s="13" t="s">
        <v>1698</v>
      </c>
      <c r="I586" s="13" t="s">
        <v>56</v>
      </c>
      <c r="J586" s="17" t="s">
        <v>71</v>
      </c>
      <c r="K586" s="17" t="s">
        <v>58</v>
      </c>
      <c r="L586" s="18" t="s">
        <v>52</v>
      </c>
      <c r="M586" s="19">
        <v>15.0</v>
      </c>
      <c r="N586" s="19">
        <v>30.0</v>
      </c>
    </row>
    <row r="587">
      <c r="A587" s="12">
        <v>585.0</v>
      </c>
      <c r="B587" s="13" t="s">
        <v>1663</v>
      </c>
      <c r="C587" s="14">
        <v>15.0</v>
      </c>
      <c r="D587" s="15" t="s">
        <v>1674</v>
      </c>
      <c r="E587" s="16" t="s">
        <v>52</v>
      </c>
      <c r="F587" s="13" t="s">
        <v>1699</v>
      </c>
      <c r="G587" s="13" t="s">
        <v>61</v>
      </c>
      <c r="H587" s="13" t="s">
        <v>1700</v>
      </c>
      <c r="I587" s="13" t="s">
        <v>56</v>
      </c>
      <c r="J587" s="17" t="s">
        <v>71</v>
      </c>
      <c r="K587" s="17" t="s">
        <v>58</v>
      </c>
      <c r="L587" s="18" t="s">
        <v>52</v>
      </c>
      <c r="M587" s="19">
        <v>15.0</v>
      </c>
      <c r="N587" s="19">
        <v>30.0</v>
      </c>
    </row>
    <row r="588">
      <c r="A588" s="12">
        <v>586.0</v>
      </c>
      <c r="B588" s="13" t="s">
        <v>1663</v>
      </c>
      <c r="C588" s="14">
        <v>16.0</v>
      </c>
      <c r="D588" s="15" t="s">
        <v>1674</v>
      </c>
      <c r="E588" s="16" t="s">
        <v>52</v>
      </c>
      <c r="F588" s="13" t="s">
        <v>1701</v>
      </c>
      <c r="G588" s="13" t="s">
        <v>1702</v>
      </c>
      <c r="H588" s="13" t="s">
        <v>1703</v>
      </c>
      <c r="I588" s="13" t="s">
        <v>56</v>
      </c>
      <c r="J588" s="17" t="s">
        <v>71</v>
      </c>
      <c r="K588" s="17" t="s">
        <v>58</v>
      </c>
      <c r="L588" s="18" t="s">
        <v>52</v>
      </c>
      <c r="M588" s="19">
        <v>15.0</v>
      </c>
      <c r="N588" s="19">
        <v>30.0</v>
      </c>
    </row>
    <row r="589">
      <c r="A589" s="12">
        <v>587.0</v>
      </c>
      <c r="B589" s="13" t="s">
        <v>1663</v>
      </c>
      <c r="C589" s="14">
        <v>17.0</v>
      </c>
      <c r="D589" s="15" t="s">
        <v>1674</v>
      </c>
      <c r="E589" s="16" t="s">
        <v>52</v>
      </c>
      <c r="F589" s="13" t="s">
        <v>1704</v>
      </c>
      <c r="G589" s="13" t="s">
        <v>1705</v>
      </c>
      <c r="H589" s="13" t="s">
        <v>1706</v>
      </c>
      <c r="I589" s="13" t="s">
        <v>56</v>
      </c>
      <c r="J589" s="17" t="s">
        <v>71</v>
      </c>
      <c r="K589" s="17" t="s">
        <v>58</v>
      </c>
      <c r="L589" s="18" t="s">
        <v>52</v>
      </c>
      <c r="M589" s="19">
        <v>15.0</v>
      </c>
      <c r="N589" s="19">
        <v>30.0</v>
      </c>
    </row>
    <row r="590">
      <c r="A590" s="12">
        <v>588.0</v>
      </c>
      <c r="B590" s="13" t="s">
        <v>1663</v>
      </c>
      <c r="C590" s="14">
        <v>18.0</v>
      </c>
      <c r="D590" s="15" t="s">
        <v>1674</v>
      </c>
      <c r="E590" s="16" t="s">
        <v>52</v>
      </c>
      <c r="F590" s="13" t="s">
        <v>1707</v>
      </c>
      <c r="G590" s="13" t="s">
        <v>1708</v>
      </c>
      <c r="H590" s="13" t="s">
        <v>1709</v>
      </c>
      <c r="I590" s="13" t="s">
        <v>56</v>
      </c>
      <c r="J590" s="17" t="s">
        <v>71</v>
      </c>
      <c r="K590" s="17" t="s">
        <v>58</v>
      </c>
      <c r="L590" s="18" t="s">
        <v>52</v>
      </c>
      <c r="M590" s="19">
        <v>15.0</v>
      </c>
      <c r="N590" s="19">
        <v>30.0</v>
      </c>
    </row>
    <row r="591">
      <c r="A591" s="12">
        <v>589.0</v>
      </c>
      <c r="B591" s="13" t="s">
        <v>1663</v>
      </c>
      <c r="C591" s="14">
        <v>19.0</v>
      </c>
      <c r="D591" s="15" t="s">
        <v>1664</v>
      </c>
      <c r="E591" s="16" t="s">
        <v>52</v>
      </c>
      <c r="F591" s="13" t="s">
        <v>1710</v>
      </c>
      <c r="G591" s="13" t="s">
        <v>1711</v>
      </c>
      <c r="H591" s="13" t="s">
        <v>1713</v>
      </c>
      <c r="I591" s="13" t="s">
        <v>63</v>
      </c>
      <c r="J591" s="17" t="s">
        <v>71</v>
      </c>
      <c r="K591" s="17" t="s">
        <v>58</v>
      </c>
      <c r="L591" s="18" t="s">
        <v>52</v>
      </c>
      <c r="M591" s="19">
        <v>15.0</v>
      </c>
      <c r="N591" s="19">
        <v>31.0</v>
      </c>
    </row>
    <row r="592">
      <c r="A592" s="12">
        <v>590.0</v>
      </c>
      <c r="B592" s="13" t="s">
        <v>1663</v>
      </c>
      <c r="C592" s="14">
        <v>20.0</v>
      </c>
      <c r="D592" s="15" t="s">
        <v>1664</v>
      </c>
      <c r="E592" s="16" t="s">
        <v>52</v>
      </c>
      <c r="F592" s="13" t="s">
        <v>1714</v>
      </c>
      <c r="G592" s="13" t="s">
        <v>61</v>
      </c>
      <c r="H592" s="13" t="s">
        <v>1715</v>
      </c>
      <c r="I592" s="13" t="s">
        <v>63</v>
      </c>
      <c r="J592" s="17" t="s">
        <v>71</v>
      </c>
      <c r="K592" s="17" t="s">
        <v>58</v>
      </c>
      <c r="L592" s="18" t="s">
        <v>52</v>
      </c>
      <c r="M592" s="19">
        <v>15.0</v>
      </c>
      <c r="N592" s="19">
        <v>31.0</v>
      </c>
    </row>
    <row r="593">
      <c r="A593" s="12">
        <v>591.0</v>
      </c>
      <c r="B593" s="13" t="s">
        <v>1663</v>
      </c>
      <c r="C593" s="14">
        <v>21.0</v>
      </c>
      <c r="D593" s="15" t="s">
        <v>1664</v>
      </c>
      <c r="E593" s="16" t="s">
        <v>52</v>
      </c>
      <c r="F593" s="13" t="s">
        <v>1716</v>
      </c>
      <c r="G593" s="13" t="s">
        <v>1717</v>
      </c>
      <c r="H593" s="13" t="s">
        <v>1718</v>
      </c>
      <c r="I593" s="13" t="s">
        <v>63</v>
      </c>
      <c r="J593" s="17" t="s">
        <v>71</v>
      </c>
      <c r="K593" s="17" t="s">
        <v>58</v>
      </c>
      <c r="L593" s="18" t="s">
        <v>52</v>
      </c>
      <c r="M593" s="19">
        <v>15.0</v>
      </c>
      <c r="N593" s="19">
        <v>31.0</v>
      </c>
    </row>
    <row r="594">
      <c r="A594" s="12">
        <v>592.0</v>
      </c>
      <c r="B594" s="13" t="s">
        <v>1663</v>
      </c>
      <c r="C594" s="14">
        <v>22.0</v>
      </c>
      <c r="D594" s="15" t="s">
        <v>1664</v>
      </c>
      <c r="E594" s="16" t="s">
        <v>52</v>
      </c>
      <c r="F594" s="13" t="s">
        <v>1719</v>
      </c>
      <c r="G594" s="13" t="s">
        <v>1720</v>
      </c>
      <c r="H594" s="13" t="s">
        <v>1721</v>
      </c>
      <c r="I594" s="13" t="s">
        <v>63</v>
      </c>
      <c r="J594" s="17" t="s">
        <v>71</v>
      </c>
      <c r="K594" s="17" t="s">
        <v>58</v>
      </c>
      <c r="L594" s="18" t="s">
        <v>52</v>
      </c>
      <c r="M594" s="19">
        <v>15.0</v>
      </c>
      <c r="N594" s="19">
        <v>31.0</v>
      </c>
    </row>
    <row r="595">
      <c r="A595" s="12">
        <v>593.0</v>
      </c>
      <c r="B595" s="13" t="s">
        <v>1663</v>
      </c>
      <c r="C595" s="14">
        <v>23.0</v>
      </c>
      <c r="D595" s="15" t="s">
        <v>1664</v>
      </c>
      <c r="E595" s="16" t="s">
        <v>52</v>
      </c>
      <c r="F595" s="13" t="s">
        <v>1722</v>
      </c>
      <c r="G595" s="13" t="s">
        <v>61</v>
      </c>
      <c r="H595" s="13" t="s">
        <v>1723</v>
      </c>
      <c r="I595" s="13" t="s">
        <v>63</v>
      </c>
      <c r="J595" s="17" t="s">
        <v>71</v>
      </c>
      <c r="K595" s="17" t="s">
        <v>58</v>
      </c>
      <c r="L595" s="18" t="s">
        <v>52</v>
      </c>
      <c r="M595" s="19">
        <v>15.0</v>
      </c>
      <c r="N595" s="19">
        <v>31.0</v>
      </c>
    </row>
    <row r="596">
      <c r="A596" s="12">
        <v>594.0</v>
      </c>
      <c r="B596" s="13" t="s">
        <v>1663</v>
      </c>
      <c r="C596" s="14">
        <v>24.0</v>
      </c>
      <c r="D596" s="15" t="s">
        <v>1664</v>
      </c>
      <c r="E596" s="16" t="s">
        <v>52</v>
      </c>
      <c r="F596" s="13" t="s">
        <v>1724</v>
      </c>
      <c r="G596" s="13" t="s">
        <v>1725</v>
      </c>
      <c r="H596" s="13" t="s">
        <v>1726</v>
      </c>
      <c r="I596" s="13" t="s">
        <v>63</v>
      </c>
      <c r="J596" s="17" t="s">
        <v>71</v>
      </c>
      <c r="K596" s="17" t="s">
        <v>58</v>
      </c>
      <c r="L596" s="18" t="s">
        <v>52</v>
      </c>
      <c r="M596" s="19">
        <v>15.0</v>
      </c>
      <c r="N596" s="19">
        <v>31.0</v>
      </c>
    </row>
    <row r="597">
      <c r="A597" s="12">
        <v>595.0</v>
      </c>
      <c r="B597" s="13" t="s">
        <v>1663</v>
      </c>
      <c r="C597" s="14">
        <v>25.0</v>
      </c>
      <c r="D597" s="15" t="s">
        <v>1674</v>
      </c>
      <c r="E597" s="16" t="s">
        <v>52</v>
      </c>
      <c r="F597" s="13" t="s">
        <v>444</v>
      </c>
      <c r="G597" s="13" t="s">
        <v>1727</v>
      </c>
      <c r="H597" s="13" t="s">
        <v>1728</v>
      </c>
      <c r="I597" s="13" t="s">
        <v>63</v>
      </c>
      <c r="J597" s="17" t="s">
        <v>71</v>
      </c>
      <c r="K597" s="17" t="s">
        <v>58</v>
      </c>
      <c r="L597" s="18" t="s">
        <v>52</v>
      </c>
      <c r="M597" s="19">
        <v>15.0</v>
      </c>
      <c r="N597" s="19">
        <v>31.0</v>
      </c>
    </row>
    <row r="598">
      <c r="A598" s="12">
        <v>596.0</v>
      </c>
      <c r="B598" s="13" t="s">
        <v>1663</v>
      </c>
      <c r="C598" s="14">
        <v>26.0</v>
      </c>
      <c r="D598" s="15" t="s">
        <v>1674</v>
      </c>
      <c r="E598" s="16" t="s">
        <v>52</v>
      </c>
      <c r="F598" s="13" t="s">
        <v>1729</v>
      </c>
      <c r="G598" s="13" t="s">
        <v>1730</v>
      </c>
      <c r="H598" s="13" t="s">
        <v>1731</v>
      </c>
      <c r="I598" s="13" t="s">
        <v>63</v>
      </c>
      <c r="J598" s="17" t="s">
        <v>71</v>
      </c>
      <c r="K598" s="17" t="s">
        <v>58</v>
      </c>
      <c r="L598" s="18" t="s">
        <v>52</v>
      </c>
      <c r="M598" s="19">
        <v>15.0</v>
      </c>
      <c r="N598" s="19">
        <v>31.0</v>
      </c>
    </row>
    <row r="599">
      <c r="A599" s="12">
        <v>597.0</v>
      </c>
      <c r="B599" s="13" t="s">
        <v>1663</v>
      </c>
      <c r="C599" s="14">
        <v>27.0</v>
      </c>
      <c r="D599" s="15" t="s">
        <v>1674</v>
      </c>
      <c r="E599" s="16" t="s">
        <v>52</v>
      </c>
      <c r="F599" s="13" t="s">
        <v>1732</v>
      </c>
      <c r="G599" s="13" t="s">
        <v>1733</v>
      </c>
      <c r="H599" s="13" t="s">
        <v>1734</v>
      </c>
      <c r="I599" s="13" t="s">
        <v>63</v>
      </c>
      <c r="J599" s="17" t="s">
        <v>71</v>
      </c>
      <c r="K599" s="17" t="s">
        <v>58</v>
      </c>
      <c r="L599" s="18" t="s">
        <v>52</v>
      </c>
      <c r="M599" s="19">
        <v>15.0</v>
      </c>
      <c r="N599" s="19">
        <v>31.0</v>
      </c>
    </row>
    <row r="600">
      <c r="A600" s="12">
        <v>598.0</v>
      </c>
      <c r="B600" s="13" t="s">
        <v>1663</v>
      </c>
      <c r="C600" s="14">
        <v>28.0</v>
      </c>
      <c r="D600" s="15" t="s">
        <v>1674</v>
      </c>
      <c r="E600" s="16" t="s">
        <v>52</v>
      </c>
      <c r="F600" s="13" t="s">
        <v>1735</v>
      </c>
      <c r="G600" s="13" t="s">
        <v>1736</v>
      </c>
      <c r="H600" s="13" t="s">
        <v>1737</v>
      </c>
      <c r="I600" s="13" t="s">
        <v>63</v>
      </c>
      <c r="J600" s="17" t="s">
        <v>71</v>
      </c>
      <c r="K600" s="17" t="s">
        <v>58</v>
      </c>
      <c r="L600" s="18" t="s">
        <v>52</v>
      </c>
      <c r="M600" s="19">
        <v>15.0</v>
      </c>
      <c r="N600" s="19">
        <v>31.0</v>
      </c>
    </row>
    <row r="601">
      <c r="A601" s="12">
        <v>599.0</v>
      </c>
      <c r="B601" s="13" t="s">
        <v>1663</v>
      </c>
      <c r="C601" s="14">
        <v>29.0</v>
      </c>
      <c r="D601" s="15" t="s">
        <v>1674</v>
      </c>
      <c r="E601" s="16" t="s">
        <v>52</v>
      </c>
      <c r="F601" s="13" t="s">
        <v>1738</v>
      </c>
      <c r="G601" s="13" t="s">
        <v>1739</v>
      </c>
      <c r="H601" s="13" t="s">
        <v>1740</v>
      </c>
      <c r="I601" s="13" t="s">
        <v>63</v>
      </c>
      <c r="J601" s="17" t="s">
        <v>71</v>
      </c>
      <c r="K601" s="17" t="s">
        <v>58</v>
      </c>
      <c r="L601" s="18" t="s">
        <v>52</v>
      </c>
      <c r="M601" s="19">
        <v>15.0</v>
      </c>
      <c r="N601" s="19">
        <v>31.0</v>
      </c>
    </row>
    <row r="602">
      <c r="A602" s="12">
        <v>600.0</v>
      </c>
      <c r="B602" s="13" t="s">
        <v>1663</v>
      </c>
      <c r="C602" s="14">
        <v>30.0</v>
      </c>
      <c r="D602" s="15" t="s">
        <v>1674</v>
      </c>
      <c r="E602" s="16" t="s">
        <v>52</v>
      </c>
      <c r="F602" s="13" t="s">
        <v>96</v>
      </c>
      <c r="G602" s="13" t="s">
        <v>61</v>
      </c>
      <c r="H602" s="13" t="s">
        <v>97</v>
      </c>
      <c r="I602" s="13" t="s">
        <v>63</v>
      </c>
      <c r="J602" s="17" t="s">
        <v>71</v>
      </c>
      <c r="K602" s="17" t="s">
        <v>58</v>
      </c>
      <c r="L602" s="18" t="s">
        <v>52</v>
      </c>
      <c r="M602" s="19">
        <v>15.0</v>
      </c>
      <c r="N602" s="19">
        <v>31.0</v>
      </c>
    </row>
    <row r="603">
      <c r="A603" s="12">
        <v>601.0</v>
      </c>
      <c r="B603" s="13" t="s">
        <v>1741</v>
      </c>
      <c r="C603" s="14">
        <v>1.0</v>
      </c>
      <c r="D603" s="15" t="s">
        <v>1742</v>
      </c>
      <c r="E603" s="16" t="s">
        <v>52</v>
      </c>
      <c r="F603" s="13" t="s">
        <v>1534</v>
      </c>
      <c r="G603" s="13" t="s">
        <v>1743</v>
      </c>
      <c r="H603" s="13" t="s">
        <v>1744</v>
      </c>
      <c r="I603" s="13" t="s">
        <v>63</v>
      </c>
      <c r="J603" s="17" t="s">
        <v>57</v>
      </c>
      <c r="K603" s="17" t="s">
        <v>58</v>
      </c>
      <c r="L603" s="18" t="s">
        <v>52</v>
      </c>
      <c r="M603" s="19">
        <v>16.0</v>
      </c>
      <c r="N603" s="19">
        <v>11.0</v>
      </c>
    </row>
    <row r="604">
      <c r="A604" s="12">
        <v>602.0</v>
      </c>
      <c r="B604" s="13" t="s">
        <v>1741</v>
      </c>
      <c r="C604" s="14">
        <v>2.0</v>
      </c>
      <c r="D604" s="15" t="s">
        <v>1745</v>
      </c>
      <c r="E604" s="16" t="s">
        <v>52</v>
      </c>
      <c r="F604" s="13" t="s">
        <v>1563</v>
      </c>
      <c r="G604" s="13" t="s">
        <v>1565</v>
      </c>
      <c r="H604" s="13" t="s">
        <v>1746</v>
      </c>
      <c r="I604" s="13" t="s">
        <v>63</v>
      </c>
      <c r="J604" s="17" t="s">
        <v>57</v>
      </c>
      <c r="K604" s="17" t="s">
        <v>58</v>
      </c>
      <c r="L604" s="18" t="s">
        <v>52</v>
      </c>
      <c r="M604" s="19">
        <v>16.0</v>
      </c>
      <c r="N604" s="19">
        <v>11.0</v>
      </c>
    </row>
    <row r="605">
      <c r="A605" s="12">
        <v>603.0</v>
      </c>
      <c r="B605" s="13" t="s">
        <v>1741</v>
      </c>
      <c r="C605" s="14">
        <v>3.0</v>
      </c>
      <c r="D605" s="15" t="s">
        <v>1745</v>
      </c>
      <c r="E605" s="16" t="s">
        <v>52</v>
      </c>
      <c r="F605" s="13" t="s">
        <v>1747</v>
      </c>
      <c r="G605" s="13" t="s">
        <v>61</v>
      </c>
      <c r="H605" s="13" t="s">
        <v>1748</v>
      </c>
      <c r="I605" s="13" t="s">
        <v>63</v>
      </c>
      <c r="J605" s="17" t="s">
        <v>57</v>
      </c>
      <c r="K605" s="17" t="s">
        <v>58</v>
      </c>
      <c r="L605" s="18" t="s">
        <v>52</v>
      </c>
      <c r="M605" s="19">
        <v>16.0</v>
      </c>
      <c r="N605" s="19">
        <v>11.0</v>
      </c>
    </row>
    <row r="606">
      <c r="A606" s="12">
        <v>604.0</v>
      </c>
      <c r="B606" s="13" t="s">
        <v>1741</v>
      </c>
      <c r="C606" s="14">
        <v>4.0</v>
      </c>
      <c r="D606" s="15" t="s">
        <v>1749</v>
      </c>
      <c r="E606" s="16" t="s">
        <v>52</v>
      </c>
      <c r="F606" s="13" t="s">
        <v>1750</v>
      </c>
      <c r="G606" s="13" t="s">
        <v>1751</v>
      </c>
      <c r="H606" s="13" t="s">
        <v>1752</v>
      </c>
      <c r="I606" s="13" t="s">
        <v>56</v>
      </c>
      <c r="J606" s="17" t="s">
        <v>67</v>
      </c>
      <c r="K606" s="17" t="s">
        <v>58</v>
      </c>
      <c r="L606" s="18" t="s">
        <v>52</v>
      </c>
      <c r="M606" s="19">
        <v>16.0</v>
      </c>
      <c r="N606" s="19">
        <v>20.0</v>
      </c>
    </row>
    <row r="607">
      <c r="A607" s="12">
        <v>605.0</v>
      </c>
      <c r="B607" s="13" t="s">
        <v>1741</v>
      </c>
      <c r="C607" s="14">
        <v>5.0</v>
      </c>
      <c r="D607" s="15" t="s">
        <v>1749</v>
      </c>
      <c r="E607" s="16" t="s">
        <v>52</v>
      </c>
      <c r="F607" s="13" t="s">
        <v>1351</v>
      </c>
      <c r="G607" s="13" t="s">
        <v>1753</v>
      </c>
      <c r="H607" s="13" t="s">
        <v>1754</v>
      </c>
      <c r="I607" s="13" t="s">
        <v>63</v>
      </c>
      <c r="J607" s="17" t="s">
        <v>71</v>
      </c>
      <c r="K607" s="17" t="s">
        <v>58</v>
      </c>
      <c r="L607" s="18" t="s">
        <v>52</v>
      </c>
      <c r="M607" s="19">
        <v>16.0</v>
      </c>
      <c r="N607" s="19">
        <v>31.0</v>
      </c>
    </row>
    <row r="608">
      <c r="A608" s="12">
        <v>606.0</v>
      </c>
      <c r="B608" s="13" t="s">
        <v>1741</v>
      </c>
      <c r="C608" s="14">
        <v>6.0</v>
      </c>
      <c r="D608" s="15" t="s">
        <v>1749</v>
      </c>
      <c r="E608" s="16" t="s">
        <v>52</v>
      </c>
      <c r="F608" s="13" t="s">
        <v>1428</v>
      </c>
      <c r="G608" s="13" t="s">
        <v>1755</v>
      </c>
      <c r="H608" s="13" t="s">
        <v>1756</v>
      </c>
      <c r="I608" s="13" t="s">
        <v>63</v>
      </c>
      <c r="J608" s="17" t="s">
        <v>71</v>
      </c>
      <c r="K608" s="17" t="s">
        <v>58</v>
      </c>
      <c r="L608" s="18" t="s">
        <v>52</v>
      </c>
      <c r="M608" s="19">
        <v>16.0</v>
      </c>
      <c r="N608" s="19">
        <v>31.0</v>
      </c>
    </row>
    <row r="609">
      <c r="A609" s="12">
        <v>607.0</v>
      </c>
      <c r="B609" s="13" t="s">
        <v>1741</v>
      </c>
      <c r="C609" s="14">
        <v>7.0</v>
      </c>
      <c r="D609" s="15" t="s">
        <v>1749</v>
      </c>
      <c r="E609" s="16" t="s">
        <v>52</v>
      </c>
      <c r="F609" s="13" t="s">
        <v>723</v>
      </c>
      <c r="G609" s="13" t="s">
        <v>874</v>
      </c>
      <c r="H609" s="13" t="s">
        <v>1095</v>
      </c>
      <c r="I609" s="13" t="s">
        <v>63</v>
      </c>
      <c r="J609" s="17" t="s">
        <v>71</v>
      </c>
      <c r="K609" s="17" t="s">
        <v>58</v>
      </c>
      <c r="L609" s="18" t="s">
        <v>52</v>
      </c>
      <c r="M609" s="19">
        <v>16.0</v>
      </c>
      <c r="N609" s="19">
        <v>31.0</v>
      </c>
    </row>
    <row r="610">
      <c r="A610" s="12">
        <v>608.0</v>
      </c>
      <c r="B610" s="13" t="s">
        <v>1741</v>
      </c>
      <c r="C610" s="14">
        <v>8.0</v>
      </c>
      <c r="D610" s="15" t="s">
        <v>1749</v>
      </c>
      <c r="E610" s="16" t="s">
        <v>52</v>
      </c>
      <c r="F610" s="13" t="s">
        <v>737</v>
      </c>
      <c r="G610" s="13" t="s">
        <v>1757</v>
      </c>
      <c r="H610" s="13" t="s">
        <v>1758</v>
      </c>
      <c r="I610" s="13" t="s">
        <v>63</v>
      </c>
      <c r="J610" s="17" t="s">
        <v>71</v>
      </c>
      <c r="K610" s="17" t="s">
        <v>58</v>
      </c>
      <c r="L610" s="18" t="s">
        <v>52</v>
      </c>
      <c r="M610" s="19">
        <v>16.0</v>
      </c>
      <c r="N610" s="19">
        <v>31.0</v>
      </c>
    </row>
    <row r="611">
      <c r="A611" s="12">
        <v>609.0</v>
      </c>
      <c r="B611" s="13" t="s">
        <v>1741</v>
      </c>
      <c r="C611" s="14">
        <v>9.0</v>
      </c>
      <c r="D611" s="15" t="s">
        <v>1749</v>
      </c>
      <c r="E611" s="16" t="s">
        <v>52</v>
      </c>
      <c r="F611" s="13" t="s">
        <v>1759</v>
      </c>
      <c r="G611" s="13" t="s">
        <v>1760</v>
      </c>
      <c r="H611" s="13" t="s">
        <v>1761</v>
      </c>
      <c r="I611" s="13" t="s">
        <v>63</v>
      </c>
      <c r="J611" s="17" t="s">
        <v>71</v>
      </c>
      <c r="K611" s="17" t="s">
        <v>58</v>
      </c>
      <c r="L611" s="18" t="s">
        <v>52</v>
      </c>
      <c r="M611" s="19">
        <v>16.0</v>
      </c>
      <c r="N611" s="19">
        <v>31.0</v>
      </c>
    </row>
    <row r="612">
      <c r="A612" s="12">
        <v>610.0</v>
      </c>
      <c r="B612" s="13" t="s">
        <v>1741</v>
      </c>
      <c r="C612" s="14">
        <v>10.0</v>
      </c>
      <c r="D612" s="15" t="s">
        <v>1749</v>
      </c>
      <c r="E612" s="16" t="s">
        <v>52</v>
      </c>
      <c r="F612" s="13" t="s">
        <v>1253</v>
      </c>
      <c r="G612" s="13" t="s">
        <v>1762</v>
      </c>
      <c r="H612" s="13" t="s">
        <v>1763</v>
      </c>
      <c r="I612" s="13" t="s">
        <v>63</v>
      </c>
      <c r="J612" s="17" t="s">
        <v>71</v>
      </c>
      <c r="K612" s="17" t="s">
        <v>58</v>
      </c>
      <c r="L612" s="18" t="s">
        <v>52</v>
      </c>
      <c r="M612" s="19">
        <v>16.0</v>
      </c>
      <c r="N612" s="19">
        <v>31.0</v>
      </c>
    </row>
    <row r="613">
      <c r="A613" s="12">
        <v>611.0</v>
      </c>
      <c r="B613" s="13" t="s">
        <v>1741</v>
      </c>
      <c r="C613" s="14">
        <v>11.0</v>
      </c>
      <c r="D613" s="15" t="s">
        <v>1749</v>
      </c>
      <c r="E613" s="16" t="s">
        <v>52</v>
      </c>
      <c r="F613" s="13" t="s">
        <v>1764</v>
      </c>
      <c r="G613" s="13" t="s">
        <v>1765</v>
      </c>
      <c r="H613" s="13" t="s">
        <v>1766</v>
      </c>
      <c r="I613" s="13" t="s">
        <v>63</v>
      </c>
      <c r="J613" s="17" t="s">
        <v>71</v>
      </c>
      <c r="K613" s="17" t="s">
        <v>58</v>
      </c>
      <c r="L613" s="18" t="s">
        <v>52</v>
      </c>
      <c r="M613" s="19">
        <v>16.0</v>
      </c>
      <c r="N613" s="19">
        <v>31.0</v>
      </c>
    </row>
    <row r="614">
      <c r="A614" s="12">
        <v>612.0</v>
      </c>
      <c r="B614" s="13" t="s">
        <v>1741</v>
      </c>
      <c r="C614" s="14">
        <v>12.0</v>
      </c>
      <c r="D614" s="15" t="s">
        <v>1742</v>
      </c>
      <c r="E614" s="16" t="s">
        <v>52</v>
      </c>
      <c r="F614" s="13" t="s">
        <v>1262</v>
      </c>
      <c r="G614" s="13" t="s">
        <v>1767</v>
      </c>
      <c r="H614" s="13" t="s">
        <v>1768</v>
      </c>
      <c r="I614" s="13" t="s">
        <v>63</v>
      </c>
      <c r="J614" s="17" t="s">
        <v>71</v>
      </c>
      <c r="K614" s="17" t="s">
        <v>58</v>
      </c>
      <c r="L614" s="18" t="s">
        <v>52</v>
      </c>
      <c r="M614" s="19">
        <v>16.0</v>
      </c>
      <c r="N614" s="19">
        <v>31.0</v>
      </c>
    </row>
    <row r="615">
      <c r="A615" s="12">
        <v>613.0</v>
      </c>
      <c r="B615" s="13" t="s">
        <v>1741</v>
      </c>
      <c r="C615" s="14">
        <v>13.0</v>
      </c>
      <c r="D615" s="15" t="s">
        <v>1745</v>
      </c>
      <c r="E615" s="16" t="s">
        <v>52</v>
      </c>
      <c r="F615" s="13" t="s">
        <v>1769</v>
      </c>
      <c r="G615" s="13" t="s">
        <v>1770</v>
      </c>
      <c r="H615" s="13" t="s">
        <v>1771</v>
      </c>
      <c r="I615" s="13" t="s">
        <v>63</v>
      </c>
      <c r="J615" s="17" t="s">
        <v>71</v>
      </c>
      <c r="K615" s="17" t="s">
        <v>58</v>
      </c>
      <c r="L615" s="18" t="s">
        <v>52</v>
      </c>
      <c r="M615" s="19">
        <v>16.0</v>
      </c>
      <c r="N615" s="19">
        <v>31.0</v>
      </c>
    </row>
    <row r="616">
      <c r="A616" s="12">
        <v>614.0</v>
      </c>
      <c r="B616" s="13" t="s">
        <v>1741</v>
      </c>
      <c r="C616" s="14">
        <v>14.0</v>
      </c>
      <c r="D616" s="15" t="s">
        <v>1745</v>
      </c>
      <c r="E616" s="16" t="s">
        <v>52</v>
      </c>
      <c r="F616" s="13" t="s">
        <v>1342</v>
      </c>
      <c r="G616" s="13" t="s">
        <v>1772</v>
      </c>
      <c r="H616" s="13" t="s">
        <v>1773</v>
      </c>
      <c r="I616" s="13" t="s">
        <v>63</v>
      </c>
      <c r="J616" s="17" t="s">
        <v>71</v>
      </c>
      <c r="K616" s="17" t="s">
        <v>58</v>
      </c>
      <c r="L616" s="18" t="s">
        <v>52</v>
      </c>
      <c r="M616" s="19">
        <v>16.0</v>
      </c>
      <c r="N616" s="19">
        <v>31.0</v>
      </c>
    </row>
    <row r="617">
      <c r="A617" s="12">
        <v>615.0</v>
      </c>
      <c r="B617" s="13" t="s">
        <v>1741</v>
      </c>
      <c r="C617" s="14">
        <v>15.0</v>
      </c>
      <c r="D617" s="15" t="s">
        <v>1745</v>
      </c>
      <c r="E617" s="16" t="s">
        <v>52</v>
      </c>
      <c r="F617" s="13" t="s">
        <v>1538</v>
      </c>
      <c r="G617" s="13" t="s">
        <v>1774</v>
      </c>
      <c r="H617" s="13" t="s">
        <v>1775</v>
      </c>
      <c r="I617" s="13" t="s">
        <v>63</v>
      </c>
      <c r="J617" s="17" t="s">
        <v>71</v>
      </c>
      <c r="K617" s="17" t="s">
        <v>58</v>
      </c>
      <c r="L617" s="18" t="s">
        <v>52</v>
      </c>
      <c r="M617" s="19">
        <v>16.0</v>
      </c>
      <c r="N617" s="19">
        <v>31.0</v>
      </c>
    </row>
    <row r="618">
      <c r="A618" s="12">
        <v>616.0</v>
      </c>
      <c r="B618" s="13" t="s">
        <v>1741</v>
      </c>
      <c r="C618" s="14">
        <v>16.0</v>
      </c>
      <c r="D618" s="15" t="s">
        <v>1745</v>
      </c>
      <c r="E618" s="16" t="s">
        <v>52</v>
      </c>
      <c r="F618" s="13" t="s">
        <v>1440</v>
      </c>
      <c r="G618" s="13" t="s">
        <v>1776</v>
      </c>
      <c r="H618" s="13" t="s">
        <v>1777</v>
      </c>
      <c r="I618" s="13" t="s">
        <v>63</v>
      </c>
      <c r="J618" s="17" t="s">
        <v>71</v>
      </c>
      <c r="K618" s="17" t="s">
        <v>58</v>
      </c>
      <c r="L618" s="18" t="s">
        <v>52</v>
      </c>
      <c r="M618" s="19">
        <v>16.0</v>
      </c>
      <c r="N618" s="19">
        <v>31.0</v>
      </c>
    </row>
    <row r="619">
      <c r="A619" s="12">
        <v>617.0</v>
      </c>
      <c r="B619" s="13" t="s">
        <v>1741</v>
      </c>
      <c r="C619" s="14">
        <v>17.0</v>
      </c>
      <c r="D619" s="15" t="s">
        <v>1745</v>
      </c>
      <c r="E619" s="16" t="s">
        <v>52</v>
      </c>
      <c r="F619" s="13" t="s">
        <v>1432</v>
      </c>
      <c r="G619" s="13" t="s">
        <v>61</v>
      </c>
      <c r="H619" s="13" t="s">
        <v>1778</v>
      </c>
      <c r="I619" s="13" t="s">
        <v>63</v>
      </c>
      <c r="J619" s="17" t="s">
        <v>71</v>
      </c>
      <c r="K619" s="17" t="s">
        <v>58</v>
      </c>
      <c r="L619" s="18" t="s">
        <v>52</v>
      </c>
      <c r="M619" s="19">
        <v>16.0</v>
      </c>
      <c r="N619" s="19">
        <v>31.0</v>
      </c>
    </row>
    <row r="620">
      <c r="A620" s="12">
        <v>618.0</v>
      </c>
      <c r="B620" s="13" t="s">
        <v>1741</v>
      </c>
      <c r="C620" s="14">
        <v>18.0</v>
      </c>
      <c r="D620" s="15" t="s">
        <v>1745</v>
      </c>
      <c r="E620" s="16" t="s">
        <v>52</v>
      </c>
      <c r="F620" s="13" t="s">
        <v>1338</v>
      </c>
      <c r="G620" s="13" t="s">
        <v>1779</v>
      </c>
      <c r="H620" s="13" t="s">
        <v>1780</v>
      </c>
      <c r="I620" s="13" t="s">
        <v>63</v>
      </c>
      <c r="J620" s="17" t="s">
        <v>71</v>
      </c>
      <c r="K620" s="17" t="s">
        <v>58</v>
      </c>
      <c r="L620" s="18" t="s">
        <v>52</v>
      </c>
      <c r="M620" s="19">
        <v>16.0</v>
      </c>
      <c r="N620" s="19">
        <v>31.0</v>
      </c>
    </row>
    <row r="621">
      <c r="A621" s="12">
        <v>619.0</v>
      </c>
      <c r="B621" s="13" t="s">
        <v>1741</v>
      </c>
      <c r="C621" s="14">
        <v>19.0</v>
      </c>
      <c r="D621" s="15" t="s">
        <v>1745</v>
      </c>
      <c r="E621" s="16" t="s">
        <v>52</v>
      </c>
      <c r="F621" s="13" t="s">
        <v>1781</v>
      </c>
      <c r="G621" s="13" t="s">
        <v>61</v>
      </c>
      <c r="H621" s="13" t="s">
        <v>1782</v>
      </c>
      <c r="I621" s="13" t="s">
        <v>63</v>
      </c>
      <c r="J621" s="17" t="s">
        <v>71</v>
      </c>
      <c r="K621" s="17" t="s">
        <v>58</v>
      </c>
      <c r="L621" s="18" t="s">
        <v>52</v>
      </c>
      <c r="M621" s="19">
        <v>16.0</v>
      </c>
      <c r="N621" s="19">
        <v>31.0</v>
      </c>
    </row>
    <row r="622">
      <c r="A622" s="12">
        <v>620.0</v>
      </c>
      <c r="B622" s="13" t="s">
        <v>1741</v>
      </c>
      <c r="C622" s="14">
        <v>20.0</v>
      </c>
      <c r="D622" s="15" t="s">
        <v>1745</v>
      </c>
      <c r="E622" s="16" t="s">
        <v>52</v>
      </c>
      <c r="F622" s="13" t="s">
        <v>1783</v>
      </c>
      <c r="G622" s="13" t="s">
        <v>1784</v>
      </c>
      <c r="H622" s="13" t="s">
        <v>1785</v>
      </c>
      <c r="I622" s="13" t="s">
        <v>63</v>
      </c>
      <c r="J622" s="17" t="s">
        <v>71</v>
      </c>
      <c r="K622" s="17" t="s">
        <v>58</v>
      </c>
      <c r="L622" s="18" t="s">
        <v>52</v>
      </c>
      <c r="M622" s="19">
        <v>16.0</v>
      </c>
      <c r="N622" s="19">
        <v>31.0</v>
      </c>
    </row>
    <row r="623">
      <c r="A623" s="12">
        <v>621.0</v>
      </c>
      <c r="B623" s="13" t="s">
        <v>1741</v>
      </c>
      <c r="C623" s="14">
        <v>21.0</v>
      </c>
      <c r="D623" s="15" t="s">
        <v>1745</v>
      </c>
      <c r="E623" s="16" t="s">
        <v>52</v>
      </c>
      <c r="F623" s="13" t="s">
        <v>1303</v>
      </c>
      <c r="G623" s="13" t="s">
        <v>1786</v>
      </c>
      <c r="H623" s="13" t="s">
        <v>1787</v>
      </c>
      <c r="I623" s="13" t="s">
        <v>63</v>
      </c>
      <c r="J623" s="17" t="s">
        <v>71</v>
      </c>
      <c r="K623" s="17" t="s">
        <v>58</v>
      </c>
      <c r="L623" s="18" t="s">
        <v>52</v>
      </c>
      <c r="M623" s="19">
        <v>16.0</v>
      </c>
      <c r="N623" s="19">
        <v>31.0</v>
      </c>
    </row>
    <row r="624">
      <c r="A624" s="12">
        <v>622.0</v>
      </c>
      <c r="B624" s="13" t="s">
        <v>1741</v>
      </c>
      <c r="C624" s="14">
        <v>22.0</v>
      </c>
      <c r="D624" s="15" t="s">
        <v>1745</v>
      </c>
      <c r="E624" s="16" t="s">
        <v>52</v>
      </c>
      <c r="F624" s="13" t="s">
        <v>1788</v>
      </c>
      <c r="G624" s="13" t="s">
        <v>1789</v>
      </c>
      <c r="H624" s="13" t="s">
        <v>1790</v>
      </c>
      <c r="I624" s="13" t="s">
        <v>63</v>
      </c>
      <c r="J624" s="17" t="s">
        <v>71</v>
      </c>
      <c r="K624" s="17" t="s">
        <v>58</v>
      </c>
      <c r="L624" s="18" t="s">
        <v>52</v>
      </c>
      <c r="M624" s="19">
        <v>16.0</v>
      </c>
      <c r="N624" s="19">
        <v>31.0</v>
      </c>
    </row>
    <row r="625">
      <c r="A625" s="12">
        <v>623.0</v>
      </c>
      <c r="B625" s="13" t="s">
        <v>1741</v>
      </c>
      <c r="C625" s="14">
        <v>23.0</v>
      </c>
      <c r="D625" s="15" t="s">
        <v>1745</v>
      </c>
      <c r="E625" s="16" t="s">
        <v>52</v>
      </c>
      <c r="F625" s="13" t="s">
        <v>1258</v>
      </c>
      <c r="G625" s="13" t="s">
        <v>1791</v>
      </c>
      <c r="H625" s="13" t="s">
        <v>1792</v>
      </c>
      <c r="I625" s="13" t="s">
        <v>63</v>
      </c>
      <c r="J625" s="17" t="s">
        <v>71</v>
      </c>
      <c r="K625" s="17" t="s">
        <v>58</v>
      </c>
      <c r="L625" s="18" t="s">
        <v>52</v>
      </c>
      <c r="M625" s="19">
        <v>16.0</v>
      </c>
      <c r="N625" s="19">
        <v>31.0</v>
      </c>
    </row>
    <row r="626">
      <c r="A626" s="12">
        <v>624.0</v>
      </c>
      <c r="B626" s="13" t="s">
        <v>1741</v>
      </c>
      <c r="C626" s="14">
        <v>24.0</v>
      </c>
      <c r="D626" s="15" t="s">
        <v>1745</v>
      </c>
      <c r="E626" s="16" t="s">
        <v>52</v>
      </c>
      <c r="F626" s="13" t="s">
        <v>1793</v>
      </c>
      <c r="G626" s="13" t="s">
        <v>1794</v>
      </c>
      <c r="H626" s="13" t="s">
        <v>1795</v>
      </c>
      <c r="I626" s="13" t="s">
        <v>63</v>
      </c>
      <c r="J626" s="17" t="s">
        <v>71</v>
      </c>
      <c r="K626" s="17" t="s">
        <v>58</v>
      </c>
      <c r="L626" s="18" t="s">
        <v>52</v>
      </c>
      <c r="M626" s="19">
        <v>16.0</v>
      </c>
      <c r="N626" s="19">
        <v>31.0</v>
      </c>
    </row>
    <row r="627">
      <c r="A627" s="12">
        <v>625.0</v>
      </c>
      <c r="B627" s="13" t="s">
        <v>1741</v>
      </c>
      <c r="C627" s="14">
        <v>25.0</v>
      </c>
      <c r="D627" s="15" t="s">
        <v>1745</v>
      </c>
      <c r="E627" s="16" t="s">
        <v>52</v>
      </c>
      <c r="F627" s="13" t="s">
        <v>1612</v>
      </c>
      <c r="G627" s="13" t="s">
        <v>1613</v>
      </c>
      <c r="H627" s="13" t="s">
        <v>1796</v>
      </c>
      <c r="I627" s="13" t="s">
        <v>63</v>
      </c>
      <c r="J627" s="17" t="s">
        <v>71</v>
      </c>
      <c r="K627" s="17" t="s">
        <v>58</v>
      </c>
      <c r="L627" s="18" t="s">
        <v>52</v>
      </c>
      <c r="M627" s="19">
        <v>16.0</v>
      </c>
      <c r="N627" s="19">
        <v>31.0</v>
      </c>
    </row>
    <row r="628">
      <c r="A628" s="12">
        <v>626.0</v>
      </c>
      <c r="B628" s="13" t="s">
        <v>1741</v>
      </c>
      <c r="C628" s="14">
        <v>26.0</v>
      </c>
      <c r="D628" s="15" t="s">
        <v>1745</v>
      </c>
      <c r="E628" s="16" t="s">
        <v>52</v>
      </c>
      <c r="F628" s="13" t="s">
        <v>1797</v>
      </c>
      <c r="G628" s="13" t="s">
        <v>1798</v>
      </c>
      <c r="H628" s="13" t="s">
        <v>1799</v>
      </c>
      <c r="I628" s="13" t="s">
        <v>63</v>
      </c>
      <c r="J628" s="17" t="s">
        <v>71</v>
      </c>
      <c r="K628" s="17" t="s">
        <v>58</v>
      </c>
      <c r="L628" s="18" t="s">
        <v>52</v>
      </c>
      <c r="M628" s="19">
        <v>16.0</v>
      </c>
      <c r="N628" s="19">
        <v>31.0</v>
      </c>
    </row>
    <row r="629">
      <c r="A629" s="12">
        <v>627.0</v>
      </c>
      <c r="B629" s="13" t="s">
        <v>1741</v>
      </c>
      <c r="C629" s="14">
        <v>27.0</v>
      </c>
      <c r="D629" s="15" t="s">
        <v>1745</v>
      </c>
      <c r="E629" s="16" t="s">
        <v>52</v>
      </c>
      <c r="F629" s="13" t="s">
        <v>1800</v>
      </c>
      <c r="G629" s="13" t="s">
        <v>1801</v>
      </c>
      <c r="H629" s="13" t="s">
        <v>1802</v>
      </c>
      <c r="I629" s="13" t="s">
        <v>63</v>
      </c>
      <c r="J629" s="17" t="s">
        <v>71</v>
      </c>
      <c r="K629" s="17" t="s">
        <v>58</v>
      </c>
      <c r="L629" s="18" t="s">
        <v>52</v>
      </c>
      <c r="M629" s="19">
        <v>16.0</v>
      </c>
      <c r="N629" s="19">
        <v>31.0</v>
      </c>
    </row>
    <row r="630">
      <c r="A630" s="12">
        <v>628.0</v>
      </c>
      <c r="B630" s="13" t="s">
        <v>1741</v>
      </c>
      <c r="C630" s="14">
        <v>28.0</v>
      </c>
      <c r="D630" s="15" t="s">
        <v>1745</v>
      </c>
      <c r="E630" s="16" t="s">
        <v>52</v>
      </c>
      <c r="F630" s="13" t="s">
        <v>1803</v>
      </c>
      <c r="G630" s="13" t="s">
        <v>61</v>
      </c>
      <c r="H630" s="13" t="s">
        <v>1804</v>
      </c>
      <c r="I630" s="13" t="s">
        <v>63</v>
      </c>
      <c r="J630" s="17" t="s">
        <v>71</v>
      </c>
      <c r="K630" s="17" t="s">
        <v>58</v>
      </c>
      <c r="L630" s="18" t="s">
        <v>52</v>
      </c>
      <c r="M630" s="19">
        <v>16.0</v>
      </c>
      <c r="N630" s="19">
        <v>31.0</v>
      </c>
    </row>
    <row r="631">
      <c r="A631" s="12">
        <v>629.0</v>
      </c>
      <c r="B631" s="13" t="s">
        <v>1741</v>
      </c>
      <c r="C631" s="14">
        <v>29.0</v>
      </c>
      <c r="D631" s="15" t="s">
        <v>1745</v>
      </c>
      <c r="E631" s="16" t="s">
        <v>52</v>
      </c>
      <c r="F631" s="13" t="s">
        <v>1805</v>
      </c>
      <c r="G631" s="13" t="s">
        <v>61</v>
      </c>
      <c r="H631" s="13" t="s">
        <v>1806</v>
      </c>
      <c r="I631" s="13" t="s">
        <v>63</v>
      </c>
      <c r="J631" s="17" t="s">
        <v>71</v>
      </c>
      <c r="K631" s="17" t="s">
        <v>58</v>
      </c>
      <c r="L631" s="18" t="s">
        <v>52</v>
      </c>
      <c r="M631" s="19">
        <v>16.0</v>
      </c>
      <c r="N631" s="19">
        <v>31.0</v>
      </c>
    </row>
    <row r="632">
      <c r="A632" s="12">
        <v>630.0</v>
      </c>
      <c r="B632" s="13" t="s">
        <v>1741</v>
      </c>
      <c r="C632" s="14">
        <v>30.0</v>
      </c>
      <c r="D632" s="15" t="s">
        <v>1745</v>
      </c>
      <c r="E632" s="16" t="s">
        <v>52</v>
      </c>
      <c r="F632" s="13" t="s">
        <v>1807</v>
      </c>
      <c r="G632" s="13" t="s">
        <v>1808</v>
      </c>
      <c r="H632" s="13" t="s">
        <v>1810</v>
      </c>
      <c r="I632" s="13" t="s">
        <v>63</v>
      </c>
      <c r="J632" s="17" t="s">
        <v>71</v>
      </c>
      <c r="K632" s="17" t="s">
        <v>58</v>
      </c>
      <c r="L632" s="18" t="s">
        <v>52</v>
      </c>
      <c r="M632" s="19">
        <v>16.0</v>
      </c>
      <c r="N632" s="19">
        <v>31.0</v>
      </c>
    </row>
    <row r="633">
      <c r="A633" s="12">
        <v>631.0</v>
      </c>
      <c r="B633" s="13" t="s">
        <v>1608</v>
      </c>
      <c r="C633" s="14">
        <v>1.0</v>
      </c>
      <c r="D633" s="15" t="s">
        <v>1811</v>
      </c>
      <c r="E633" s="16" t="s">
        <v>52</v>
      </c>
      <c r="F633" s="13" t="s">
        <v>1812</v>
      </c>
      <c r="G633" s="13" t="s">
        <v>1813</v>
      </c>
      <c r="H633" s="13" t="s">
        <v>1814</v>
      </c>
      <c r="I633" s="13" t="s">
        <v>56</v>
      </c>
      <c r="J633" s="17" t="s">
        <v>57</v>
      </c>
      <c r="K633" s="17" t="s">
        <v>58</v>
      </c>
      <c r="L633" s="18" t="s">
        <v>52</v>
      </c>
      <c r="M633" s="19">
        <v>17.0</v>
      </c>
      <c r="N633" s="19">
        <v>10.0</v>
      </c>
    </row>
    <row r="634">
      <c r="A634" s="12">
        <v>632.0</v>
      </c>
      <c r="B634" s="13" t="s">
        <v>1608</v>
      </c>
      <c r="C634" s="14">
        <v>2.0</v>
      </c>
      <c r="D634" s="15" t="s">
        <v>1815</v>
      </c>
      <c r="E634" s="16" t="s">
        <v>52</v>
      </c>
      <c r="F634" s="13" t="s">
        <v>1699</v>
      </c>
      <c r="G634" s="13" t="s">
        <v>61</v>
      </c>
      <c r="H634" s="13" t="s">
        <v>1816</v>
      </c>
      <c r="I634" s="13" t="s">
        <v>63</v>
      </c>
      <c r="J634" s="17" t="s">
        <v>57</v>
      </c>
      <c r="K634" s="17" t="s">
        <v>58</v>
      </c>
      <c r="L634" s="18" t="s">
        <v>52</v>
      </c>
      <c r="M634" s="19">
        <v>17.0</v>
      </c>
      <c r="N634" s="19">
        <v>11.0</v>
      </c>
    </row>
    <row r="635">
      <c r="A635" s="12">
        <v>633.0</v>
      </c>
      <c r="B635" s="13" t="s">
        <v>1608</v>
      </c>
      <c r="C635" s="14">
        <v>3.0</v>
      </c>
      <c r="D635" s="15" t="s">
        <v>1815</v>
      </c>
      <c r="E635" s="16" t="s">
        <v>52</v>
      </c>
      <c r="F635" s="13" t="s">
        <v>1817</v>
      </c>
      <c r="G635" s="13" t="s">
        <v>1818</v>
      </c>
      <c r="H635" s="13" t="s">
        <v>1819</v>
      </c>
      <c r="I635" s="13" t="s">
        <v>63</v>
      </c>
      <c r="J635" s="17" t="s">
        <v>67</v>
      </c>
      <c r="K635" s="17" t="s">
        <v>58</v>
      </c>
      <c r="L635" s="18" t="s">
        <v>52</v>
      </c>
      <c r="M635" s="19">
        <v>17.0</v>
      </c>
      <c r="N635" s="19">
        <v>21.0</v>
      </c>
    </row>
    <row r="636">
      <c r="A636" s="12">
        <v>634.0</v>
      </c>
      <c r="B636" s="13" t="s">
        <v>1608</v>
      </c>
      <c r="C636" s="14">
        <v>4.0</v>
      </c>
      <c r="D636" s="15" t="s">
        <v>1815</v>
      </c>
      <c r="E636" s="16" t="s">
        <v>52</v>
      </c>
      <c r="F636" s="13" t="s">
        <v>1820</v>
      </c>
      <c r="G636" s="13" t="s">
        <v>1821</v>
      </c>
      <c r="H636" s="13" t="s">
        <v>1822</v>
      </c>
      <c r="I636" s="13" t="s">
        <v>63</v>
      </c>
      <c r="J636" s="17" t="s">
        <v>67</v>
      </c>
      <c r="K636" s="17" t="s">
        <v>58</v>
      </c>
      <c r="L636" s="18" t="s">
        <v>52</v>
      </c>
      <c r="M636" s="19">
        <v>17.0</v>
      </c>
      <c r="N636" s="19">
        <v>21.0</v>
      </c>
    </row>
    <row r="637">
      <c r="A637" s="12">
        <v>635.0</v>
      </c>
      <c r="B637" s="13" t="s">
        <v>1608</v>
      </c>
      <c r="C637" s="14">
        <v>5.0</v>
      </c>
      <c r="D637" s="15" t="s">
        <v>1815</v>
      </c>
      <c r="E637" s="16" t="s">
        <v>52</v>
      </c>
      <c r="F637" s="13" t="s">
        <v>1823</v>
      </c>
      <c r="G637" s="13" t="s">
        <v>1824</v>
      </c>
      <c r="H637" s="13" t="s">
        <v>1825</v>
      </c>
      <c r="I637" s="13" t="s">
        <v>63</v>
      </c>
      <c r="J637" s="17" t="s">
        <v>67</v>
      </c>
      <c r="K637" s="17" t="s">
        <v>58</v>
      </c>
      <c r="L637" s="18" t="s">
        <v>52</v>
      </c>
      <c r="M637" s="19">
        <v>17.0</v>
      </c>
      <c r="N637" s="19">
        <v>21.0</v>
      </c>
    </row>
    <row r="638">
      <c r="A638" s="12">
        <v>636.0</v>
      </c>
      <c r="B638" s="13" t="s">
        <v>1608</v>
      </c>
      <c r="C638" s="14">
        <v>6.0</v>
      </c>
      <c r="D638" s="15" t="s">
        <v>1815</v>
      </c>
      <c r="E638" s="16" t="s">
        <v>52</v>
      </c>
      <c r="F638" s="13" t="s">
        <v>1826</v>
      </c>
      <c r="G638" s="13" t="s">
        <v>1827</v>
      </c>
      <c r="H638" s="13" t="s">
        <v>1828</v>
      </c>
      <c r="I638" s="13" t="s">
        <v>63</v>
      </c>
      <c r="J638" s="17" t="s">
        <v>71</v>
      </c>
      <c r="K638" s="17" t="s">
        <v>58</v>
      </c>
      <c r="L638" s="18" t="s">
        <v>52</v>
      </c>
      <c r="M638" s="19">
        <v>17.0</v>
      </c>
      <c r="N638" s="19">
        <v>31.0</v>
      </c>
    </row>
    <row r="639">
      <c r="A639" s="12">
        <v>637.0</v>
      </c>
      <c r="B639" s="13" t="s">
        <v>1608</v>
      </c>
      <c r="C639" s="14">
        <v>7.0</v>
      </c>
      <c r="D639" s="15" t="s">
        <v>1815</v>
      </c>
      <c r="E639" s="16" t="s">
        <v>52</v>
      </c>
      <c r="F639" s="13" t="s">
        <v>1764</v>
      </c>
      <c r="G639" s="13" t="s">
        <v>1829</v>
      </c>
      <c r="H639" s="13" t="s">
        <v>1830</v>
      </c>
      <c r="I639" s="13" t="s">
        <v>63</v>
      </c>
      <c r="J639" s="17" t="s">
        <v>71</v>
      </c>
      <c r="K639" s="17" t="s">
        <v>58</v>
      </c>
      <c r="L639" s="18" t="s">
        <v>52</v>
      </c>
      <c r="M639" s="19">
        <v>17.0</v>
      </c>
      <c r="N639" s="19">
        <v>31.0</v>
      </c>
    </row>
    <row r="640">
      <c r="A640" s="12">
        <v>638.0</v>
      </c>
      <c r="B640" s="13" t="s">
        <v>1608</v>
      </c>
      <c r="C640" s="14">
        <v>8.0</v>
      </c>
      <c r="D640" s="15" t="s">
        <v>1815</v>
      </c>
      <c r="E640" s="16" t="s">
        <v>52</v>
      </c>
      <c r="F640" s="13" t="s">
        <v>1605</v>
      </c>
      <c r="G640" s="13" t="s">
        <v>1831</v>
      </c>
      <c r="H640" s="13" t="s">
        <v>1832</v>
      </c>
      <c r="I640" s="13" t="s">
        <v>63</v>
      </c>
      <c r="J640" s="17" t="s">
        <v>71</v>
      </c>
      <c r="K640" s="17" t="s">
        <v>58</v>
      </c>
      <c r="L640" s="18" t="s">
        <v>52</v>
      </c>
      <c r="M640" s="19">
        <v>17.0</v>
      </c>
      <c r="N640" s="19">
        <v>31.0</v>
      </c>
    </row>
    <row r="641">
      <c r="A641" s="12">
        <v>639.0</v>
      </c>
      <c r="B641" s="13" t="s">
        <v>1608</v>
      </c>
      <c r="C641" s="14">
        <v>9.0</v>
      </c>
      <c r="D641" s="15" t="s">
        <v>1815</v>
      </c>
      <c r="E641" s="16" t="s">
        <v>52</v>
      </c>
      <c r="F641" s="13" t="s">
        <v>1833</v>
      </c>
      <c r="G641" s="13" t="s">
        <v>1834</v>
      </c>
      <c r="H641" s="13" t="s">
        <v>1835</v>
      </c>
      <c r="I641" s="13" t="s">
        <v>63</v>
      </c>
      <c r="J641" s="17" t="s">
        <v>71</v>
      </c>
      <c r="K641" s="17" t="s">
        <v>58</v>
      </c>
      <c r="L641" s="18" t="s">
        <v>52</v>
      </c>
      <c r="M641" s="19">
        <v>17.0</v>
      </c>
      <c r="N641" s="19">
        <v>31.0</v>
      </c>
    </row>
    <row r="642">
      <c r="A642" s="12">
        <v>640.0</v>
      </c>
      <c r="B642" s="13" t="s">
        <v>1608</v>
      </c>
      <c r="C642" s="14">
        <v>10.0</v>
      </c>
      <c r="D642" s="15" t="s">
        <v>1815</v>
      </c>
      <c r="E642" s="16" t="s">
        <v>52</v>
      </c>
      <c r="F642" s="13" t="s">
        <v>1836</v>
      </c>
      <c r="G642" s="13" t="s">
        <v>1837</v>
      </c>
      <c r="H642" s="13" t="s">
        <v>1838</v>
      </c>
      <c r="I642" s="13" t="s">
        <v>63</v>
      </c>
      <c r="J642" s="17" t="s">
        <v>71</v>
      </c>
      <c r="K642" s="17" t="s">
        <v>58</v>
      </c>
      <c r="L642" s="18" t="s">
        <v>52</v>
      </c>
      <c r="M642" s="19">
        <v>17.0</v>
      </c>
      <c r="N642" s="19">
        <v>31.0</v>
      </c>
    </row>
    <row r="643">
      <c r="A643" s="12">
        <v>641.0</v>
      </c>
      <c r="B643" s="13" t="s">
        <v>1608</v>
      </c>
      <c r="C643" s="14">
        <v>11.0</v>
      </c>
      <c r="D643" s="15" t="s">
        <v>1815</v>
      </c>
      <c r="E643" s="16" t="s">
        <v>52</v>
      </c>
      <c r="F643" s="13" t="s">
        <v>1839</v>
      </c>
      <c r="G643" s="13" t="s">
        <v>1840</v>
      </c>
      <c r="H643" s="13" t="s">
        <v>1841</v>
      </c>
      <c r="I643" s="13" t="s">
        <v>63</v>
      </c>
      <c r="J643" s="17" t="s">
        <v>71</v>
      </c>
      <c r="K643" s="17" t="s">
        <v>58</v>
      </c>
      <c r="L643" s="18" t="s">
        <v>52</v>
      </c>
      <c r="M643" s="19">
        <v>17.0</v>
      </c>
      <c r="N643" s="19">
        <v>31.0</v>
      </c>
    </row>
    <row r="644">
      <c r="A644" s="12">
        <v>642.0</v>
      </c>
      <c r="B644" s="13" t="s">
        <v>1608</v>
      </c>
      <c r="C644" s="14">
        <v>12.0</v>
      </c>
      <c r="D644" s="15" t="s">
        <v>1815</v>
      </c>
      <c r="E644" s="16" t="s">
        <v>52</v>
      </c>
      <c r="F644" s="13" t="s">
        <v>1584</v>
      </c>
      <c r="G644" s="13" t="s">
        <v>61</v>
      </c>
      <c r="H644" s="13" t="s">
        <v>1842</v>
      </c>
      <c r="I644" s="13" t="s">
        <v>63</v>
      </c>
      <c r="J644" s="17" t="s">
        <v>71</v>
      </c>
      <c r="K644" s="17" t="s">
        <v>58</v>
      </c>
      <c r="L644" s="18" t="s">
        <v>52</v>
      </c>
      <c r="M644" s="19">
        <v>17.0</v>
      </c>
      <c r="N644" s="19">
        <v>31.0</v>
      </c>
    </row>
    <row r="645">
      <c r="A645" s="12">
        <v>643.0</v>
      </c>
      <c r="B645" s="13" t="s">
        <v>1608</v>
      </c>
      <c r="C645" s="14">
        <v>13.0</v>
      </c>
      <c r="D645" s="15" t="s">
        <v>1815</v>
      </c>
      <c r="E645" s="16" t="s">
        <v>52</v>
      </c>
      <c r="F645" s="13" t="s">
        <v>1843</v>
      </c>
      <c r="G645" s="13" t="s">
        <v>1844</v>
      </c>
      <c r="H645" s="13" t="s">
        <v>1846</v>
      </c>
      <c r="I645" s="13" t="s">
        <v>63</v>
      </c>
      <c r="J645" s="17" t="s">
        <v>71</v>
      </c>
      <c r="K645" s="17" t="s">
        <v>58</v>
      </c>
      <c r="L645" s="18" t="s">
        <v>52</v>
      </c>
      <c r="M645" s="19">
        <v>17.0</v>
      </c>
      <c r="N645" s="19">
        <v>31.0</v>
      </c>
    </row>
    <row r="646">
      <c r="A646" s="12">
        <v>644.0</v>
      </c>
      <c r="B646" s="13" t="s">
        <v>1608</v>
      </c>
      <c r="C646" s="14">
        <v>14.0</v>
      </c>
      <c r="D646" s="15" t="s">
        <v>1815</v>
      </c>
      <c r="E646" s="16" t="s">
        <v>52</v>
      </c>
      <c r="F646" s="13" t="s">
        <v>1710</v>
      </c>
      <c r="G646" s="13" t="s">
        <v>1711</v>
      </c>
      <c r="H646" s="13" t="s">
        <v>1848</v>
      </c>
      <c r="I646" s="13" t="s">
        <v>63</v>
      </c>
      <c r="J646" s="17" t="s">
        <v>71</v>
      </c>
      <c r="K646" s="17" t="s">
        <v>58</v>
      </c>
      <c r="L646" s="18" t="s">
        <v>52</v>
      </c>
      <c r="M646" s="19">
        <v>17.0</v>
      </c>
      <c r="N646" s="19">
        <v>31.0</v>
      </c>
    </row>
    <row r="647">
      <c r="A647" s="12">
        <v>645.0</v>
      </c>
      <c r="B647" s="13" t="s">
        <v>1608</v>
      </c>
      <c r="C647" s="14">
        <v>15.0</v>
      </c>
      <c r="D647" s="15" t="s">
        <v>1815</v>
      </c>
      <c r="E647" s="16" t="s">
        <v>52</v>
      </c>
      <c r="F647" s="13" t="s">
        <v>1618</v>
      </c>
      <c r="G647" s="13" t="s">
        <v>61</v>
      </c>
      <c r="H647" s="13" t="s">
        <v>1850</v>
      </c>
      <c r="I647" s="13" t="s">
        <v>63</v>
      </c>
      <c r="J647" s="17" t="s">
        <v>71</v>
      </c>
      <c r="K647" s="17" t="s">
        <v>58</v>
      </c>
      <c r="L647" s="18" t="s">
        <v>52</v>
      </c>
      <c r="M647" s="19">
        <v>17.0</v>
      </c>
      <c r="N647" s="19">
        <v>31.0</v>
      </c>
    </row>
    <row r="648">
      <c r="A648" s="12">
        <v>646.0</v>
      </c>
      <c r="B648" s="13" t="s">
        <v>1608</v>
      </c>
      <c r="C648" s="14">
        <v>16.0</v>
      </c>
      <c r="D648" s="15" t="s">
        <v>1815</v>
      </c>
      <c r="E648" s="16" t="s">
        <v>52</v>
      </c>
      <c r="F648" s="13" t="s">
        <v>1168</v>
      </c>
      <c r="G648" s="13" t="s">
        <v>1851</v>
      </c>
      <c r="H648" s="13" t="s">
        <v>1852</v>
      </c>
      <c r="I648" s="13" t="s">
        <v>63</v>
      </c>
      <c r="J648" s="17" t="s">
        <v>71</v>
      </c>
      <c r="K648" s="17" t="s">
        <v>58</v>
      </c>
      <c r="L648" s="18" t="s">
        <v>52</v>
      </c>
      <c r="M648" s="19">
        <v>17.0</v>
      </c>
      <c r="N648" s="19">
        <v>31.0</v>
      </c>
    </row>
    <row r="649">
      <c r="A649" s="12">
        <v>647.0</v>
      </c>
      <c r="B649" s="13" t="s">
        <v>1608</v>
      </c>
      <c r="C649" s="14">
        <v>17.0</v>
      </c>
      <c r="D649" s="15" t="s">
        <v>1815</v>
      </c>
      <c r="E649" s="16" t="s">
        <v>52</v>
      </c>
      <c r="F649" s="13" t="s">
        <v>231</v>
      </c>
      <c r="G649" s="13" t="s">
        <v>1854</v>
      </c>
      <c r="H649" s="13" t="s">
        <v>1855</v>
      </c>
      <c r="I649" s="13" t="s">
        <v>63</v>
      </c>
      <c r="J649" s="17" t="s">
        <v>71</v>
      </c>
      <c r="K649" s="17" t="s">
        <v>58</v>
      </c>
      <c r="L649" s="18" t="s">
        <v>52</v>
      </c>
      <c r="M649" s="19">
        <v>17.0</v>
      </c>
      <c r="N649" s="19">
        <v>31.0</v>
      </c>
    </row>
    <row r="650">
      <c r="A650" s="12">
        <v>648.0</v>
      </c>
      <c r="B650" s="13" t="s">
        <v>1608</v>
      </c>
      <c r="C650" s="14">
        <v>18.0</v>
      </c>
      <c r="D650" s="15" t="s">
        <v>1815</v>
      </c>
      <c r="E650" s="16" t="s">
        <v>52</v>
      </c>
      <c r="F650" s="13" t="s">
        <v>1857</v>
      </c>
      <c r="G650" s="13" t="s">
        <v>1858</v>
      </c>
      <c r="H650" s="13" t="s">
        <v>1859</v>
      </c>
      <c r="I650" s="13" t="s">
        <v>63</v>
      </c>
      <c r="J650" s="17" t="s">
        <v>71</v>
      </c>
      <c r="K650" s="17" t="s">
        <v>58</v>
      </c>
      <c r="L650" s="18" t="s">
        <v>52</v>
      </c>
      <c r="M650" s="19">
        <v>17.0</v>
      </c>
      <c r="N650" s="19">
        <v>31.0</v>
      </c>
    </row>
    <row r="651">
      <c r="A651" s="12">
        <v>649.0</v>
      </c>
      <c r="B651" s="13" t="s">
        <v>1608</v>
      </c>
      <c r="C651" s="14">
        <v>19.0</v>
      </c>
      <c r="D651" s="15" t="s">
        <v>1815</v>
      </c>
      <c r="E651" s="16" t="s">
        <v>52</v>
      </c>
      <c r="F651" s="13" t="s">
        <v>1860</v>
      </c>
      <c r="G651" s="13" t="s">
        <v>1861</v>
      </c>
      <c r="H651" s="13" t="s">
        <v>1862</v>
      </c>
      <c r="I651" s="13" t="s">
        <v>63</v>
      </c>
      <c r="J651" s="17" t="s">
        <v>71</v>
      </c>
      <c r="K651" s="17" t="s">
        <v>58</v>
      </c>
      <c r="L651" s="18" t="s">
        <v>52</v>
      </c>
      <c r="M651" s="19">
        <v>17.0</v>
      </c>
      <c r="N651" s="19">
        <v>31.0</v>
      </c>
    </row>
    <row r="652">
      <c r="A652" s="12">
        <v>650.0</v>
      </c>
      <c r="B652" s="13" t="s">
        <v>1608</v>
      </c>
      <c r="C652" s="14">
        <v>20.0</v>
      </c>
      <c r="D652" s="15" t="s">
        <v>1815</v>
      </c>
      <c r="E652" s="16" t="s">
        <v>52</v>
      </c>
      <c r="F652" s="13" t="s">
        <v>1265</v>
      </c>
      <c r="G652" s="13" t="s">
        <v>1863</v>
      </c>
      <c r="H652" s="13" t="s">
        <v>1864</v>
      </c>
      <c r="I652" s="13" t="s">
        <v>63</v>
      </c>
      <c r="J652" s="17" t="s">
        <v>71</v>
      </c>
      <c r="K652" s="17" t="s">
        <v>58</v>
      </c>
      <c r="L652" s="18" t="s">
        <v>52</v>
      </c>
      <c r="M652" s="19">
        <v>17.0</v>
      </c>
      <c r="N652" s="19">
        <v>31.0</v>
      </c>
    </row>
    <row r="653">
      <c r="A653" s="12">
        <v>651.0</v>
      </c>
      <c r="B653" s="13" t="s">
        <v>1608</v>
      </c>
      <c r="C653" s="14">
        <v>21.0</v>
      </c>
      <c r="D653" s="15" t="s">
        <v>1815</v>
      </c>
      <c r="E653" s="16" t="s">
        <v>52</v>
      </c>
      <c r="F653" s="13" t="s">
        <v>1643</v>
      </c>
      <c r="G653" s="13" t="s">
        <v>1866</v>
      </c>
      <c r="H653" s="13" t="s">
        <v>1867</v>
      </c>
      <c r="I653" s="13" t="s">
        <v>63</v>
      </c>
      <c r="J653" s="17" t="s">
        <v>71</v>
      </c>
      <c r="K653" s="17" t="s">
        <v>58</v>
      </c>
      <c r="L653" s="18" t="s">
        <v>52</v>
      </c>
      <c r="M653" s="19">
        <v>17.0</v>
      </c>
      <c r="N653" s="19">
        <v>31.0</v>
      </c>
    </row>
    <row r="654">
      <c r="A654" s="12">
        <v>652.0</v>
      </c>
      <c r="B654" s="13" t="s">
        <v>1608</v>
      </c>
      <c r="C654" s="14">
        <v>22.0</v>
      </c>
      <c r="D654" s="15" t="s">
        <v>1815</v>
      </c>
      <c r="E654" s="16" t="s">
        <v>52</v>
      </c>
      <c r="F654" s="13" t="s">
        <v>1677</v>
      </c>
      <c r="G654" s="13" t="s">
        <v>1868</v>
      </c>
      <c r="H654" s="13" t="s">
        <v>1869</v>
      </c>
      <c r="I654" s="13" t="s">
        <v>63</v>
      </c>
      <c r="J654" s="17" t="s">
        <v>71</v>
      </c>
      <c r="K654" s="17" t="s">
        <v>58</v>
      </c>
      <c r="L654" s="18" t="s">
        <v>52</v>
      </c>
      <c r="M654" s="19">
        <v>17.0</v>
      </c>
      <c r="N654" s="19">
        <v>31.0</v>
      </c>
    </row>
    <row r="655">
      <c r="A655" s="12">
        <v>653.0</v>
      </c>
      <c r="B655" s="13" t="s">
        <v>1608</v>
      </c>
      <c r="C655" s="14">
        <v>23.0</v>
      </c>
      <c r="D655" s="15" t="s">
        <v>1815</v>
      </c>
      <c r="E655" s="16" t="s">
        <v>52</v>
      </c>
      <c r="F655" s="13" t="s">
        <v>1871</v>
      </c>
      <c r="G655" s="13" t="s">
        <v>1872</v>
      </c>
      <c r="H655" s="13" t="s">
        <v>1873</v>
      </c>
      <c r="I655" s="13" t="s">
        <v>63</v>
      </c>
      <c r="J655" s="17" t="s">
        <v>71</v>
      </c>
      <c r="K655" s="17" t="s">
        <v>58</v>
      </c>
      <c r="L655" s="18" t="s">
        <v>52</v>
      </c>
      <c r="M655" s="19">
        <v>17.0</v>
      </c>
      <c r="N655" s="19">
        <v>31.0</v>
      </c>
    </row>
    <row r="656">
      <c r="A656" s="12">
        <v>654.0</v>
      </c>
      <c r="B656" s="13" t="s">
        <v>1608</v>
      </c>
      <c r="C656" s="14">
        <v>24.0</v>
      </c>
      <c r="D656" s="15" t="s">
        <v>1815</v>
      </c>
      <c r="E656" s="16" t="s">
        <v>52</v>
      </c>
      <c r="F656" s="13" t="s">
        <v>1875</v>
      </c>
      <c r="G656" s="13" t="s">
        <v>1876</v>
      </c>
      <c r="H656" s="13" t="s">
        <v>1877</v>
      </c>
      <c r="I656" s="13" t="s">
        <v>63</v>
      </c>
      <c r="J656" s="17" t="s">
        <v>71</v>
      </c>
      <c r="K656" s="17" t="s">
        <v>58</v>
      </c>
      <c r="L656" s="18" t="s">
        <v>52</v>
      </c>
      <c r="M656" s="19">
        <v>17.0</v>
      </c>
      <c r="N656" s="19">
        <v>31.0</v>
      </c>
    </row>
    <row r="657">
      <c r="A657" s="12">
        <v>655.0</v>
      </c>
      <c r="B657" s="13" t="s">
        <v>1608</v>
      </c>
      <c r="C657" s="14">
        <v>25.0</v>
      </c>
      <c r="D657" s="15" t="s">
        <v>1815</v>
      </c>
      <c r="E657" s="16" t="s">
        <v>52</v>
      </c>
      <c r="F657" s="13" t="s">
        <v>1878</v>
      </c>
      <c r="G657" s="13" t="s">
        <v>1879</v>
      </c>
      <c r="H657" s="13" t="s">
        <v>1880</v>
      </c>
      <c r="I657" s="13" t="s">
        <v>63</v>
      </c>
      <c r="J657" s="17" t="s">
        <v>71</v>
      </c>
      <c r="K657" s="17" t="s">
        <v>58</v>
      </c>
      <c r="L657" s="18" t="s">
        <v>52</v>
      </c>
      <c r="M657" s="19">
        <v>17.0</v>
      </c>
      <c r="N657" s="19">
        <v>31.0</v>
      </c>
    </row>
    <row r="658">
      <c r="A658" s="12">
        <v>656.0</v>
      </c>
      <c r="B658" s="13" t="s">
        <v>1608</v>
      </c>
      <c r="C658" s="14">
        <v>26.0</v>
      </c>
      <c r="D658" s="15" t="s">
        <v>1815</v>
      </c>
      <c r="E658" s="16" t="s">
        <v>52</v>
      </c>
      <c r="F658" s="13" t="s">
        <v>1881</v>
      </c>
      <c r="G658" s="13" t="s">
        <v>1882</v>
      </c>
      <c r="H658" s="13" t="s">
        <v>1883</v>
      </c>
      <c r="I658" s="13" t="s">
        <v>63</v>
      </c>
      <c r="J658" s="17" t="s">
        <v>71</v>
      </c>
      <c r="K658" s="17" t="s">
        <v>58</v>
      </c>
      <c r="L658" s="18" t="s">
        <v>52</v>
      </c>
      <c r="M658" s="19">
        <v>17.0</v>
      </c>
      <c r="N658" s="19">
        <v>31.0</v>
      </c>
    </row>
    <row r="659">
      <c r="A659" s="12">
        <v>657.0</v>
      </c>
      <c r="B659" s="13" t="s">
        <v>1608</v>
      </c>
      <c r="C659" s="14">
        <v>27.0</v>
      </c>
      <c r="D659" s="15" t="s">
        <v>1815</v>
      </c>
      <c r="E659" s="16" t="s">
        <v>52</v>
      </c>
      <c r="F659" s="13" t="s">
        <v>1884</v>
      </c>
      <c r="G659" s="13" t="s">
        <v>1885</v>
      </c>
      <c r="H659" s="13" t="s">
        <v>1886</v>
      </c>
      <c r="I659" s="13" t="s">
        <v>63</v>
      </c>
      <c r="J659" s="17" t="s">
        <v>71</v>
      </c>
      <c r="K659" s="17" t="s">
        <v>58</v>
      </c>
      <c r="L659" s="18" t="s">
        <v>52</v>
      </c>
      <c r="M659" s="19">
        <v>17.0</v>
      </c>
      <c r="N659" s="19">
        <v>31.0</v>
      </c>
    </row>
    <row r="660">
      <c r="A660" s="12">
        <v>658.0</v>
      </c>
      <c r="B660" s="13" t="s">
        <v>1608</v>
      </c>
      <c r="C660" s="14">
        <v>28.0</v>
      </c>
      <c r="D660" s="15" t="s">
        <v>1815</v>
      </c>
      <c r="E660" s="16" t="s">
        <v>52</v>
      </c>
      <c r="F660" s="13" t="s">
        <v>1887</v>
      </c>
      <c r="G660" s="13" t="s">
        <v>1888</v>
      </c>
      <c r="H660" s="13" t="s">
        <v>1889</v>
      </c>
      <c r="I660" s="13" t="s">
        <v>63</v>
      </c>
      <c r="J660" s="17" t="s">
        <v>71</v>
      </c>
      <c r="K660" s="17" t="s">
        <v>58</v>
      </c>
      <c r="L660" s="18" t="s">
        <v>52</v>
      </c>
      <c r="M660" s="19">
        <v>17.0</v>
      </c>
      <c r="N660" s="19">
        <v>31.0</v>
      </c>
    </row>
    <row r="661">
      <c r="A661" s="12">
        <v>659.0</v>
      </c>
      <c r="B661" s="13" t="s">
        <v>1608</v>
      </c>
      <c r="C661" s="14">
        <v>29.0</v>
      </c>
      <c r="D661" s="15" t="s">
        <v>1815</v>
      </c>
      <c r="E661" s="16" t="s">
        <v>52</v>
      </c>
      <c r="F661" s="13" t="s">
        <v>1563</v>
      </c>
      <c r="G661" s="13" t="s">
        <v>1565</v>
      </c>
      <c r="H661" s="13" t="s">
        <v>1566</v>
      </c>
      <c r="I661" s="13" t="s">
        <v>63</v>
      </c>
      <c r="J661" s="17" t="s">
        <v>71</v>
      </c>
      <c r="K661" s="17" t="s">
        <v>58</v>
      </c>
      <c r="L661" s="18" t="s">
        <v>52</v>
      </c>
      <c r="M661" s="19">
        <v>17.0</v>
      </c>
      <c r="N661" s="19">
        <v>31.0</v>
      </c>
    </row>
    <row r="662">
      <c r="A662" s="12">
        <v>660.0</v>
      </c>
      <c r="B662" s="13" t="s">
        <v>1608</v>
      </c>
      <c r="C662" s="14">
        <v>30.0</v>
      </c>
      <c r="D662" s="15" t="s">
        <v>1815</v>
      </c>
      <c r="E662" s="16" t="s">
        <v>52</v>
      </c>
      <c r="F662" s="13" t="s">
        <v>1788</v>
      </c>
      <c r="G662" s="13" t="s">
        <v>1789</v>
      </c>
      <c r="H662" s="13" t="s">
        <v>1890</v>
      </c>
      <c r="I662" s="13" t="s">
        <v>63</v>
      </c>
      <c r="J662" s="17" t="s">
        <v>71</v>
      </c>
      <c r="K662" s="17" t="s">
        <v>58</v>
      </c>
      <c r="L662" s="18" t="s">
        <v>52</v>
      </c>
      <c r="M662" s="19">
        <v>17.0</v>
      </c>
      <c r="N662" s="19">
        <v>31.0</v>
      </c>
    </row>
    <row r="663">
      <c r="A663" s="12">
        <v>661.0</v>
      </c>
      <c r="B663" s="13" t="s">
        <v>1618</v>
      </c>
      <c r="C663" s="14">
        <v>1.0</v>
      </c>
      <c r="D663" s="15" t="s">
        <v>1892</v>
      </c>
      <c r="E663" s="16" t="s">
        <v>52</v>
      </c>
      <c r="F663" s="13" t="s">
        <v>1878</v>
      </c>
      <c r="G663" s="13" t="s">
        <v>1879</v>
      </c>
      <c r="H663" s="13" t="s">
        <v>1880</v>
      </c>
      <c r="I663" s="13" t="s">
        <v>63</v>
      </c>
      <c r="J663" s="17" t="s">
        <v>57</v>
      </c>
      <c r="K663" s="17" t="s">
        <v>58</v>
      </c>
      <c r="L663" s="18" t="s">
        <v>52</v>
      </c>
      <c r="M663" s="19">
        <v>18.0</v>
      </c>
      <c r="N663" s="19">
        <v>11.0</v>
      </c>
    </row>
    <row r="664">
      <c r="A664" s="12">
        <v>662.0</v>
      </c>
      <c r="B664" s="13" t="s">
        <v>1618</v>
      </c>
      <c r="C664" s="14">
        <v>2.0</v>
      </c>
      <c r="D664" s="15" t="s">
        <v>1893</v>
      </c>
      <c r="E664" s="16" t="s">
        <v>52</v>
      </c>
      <c r="F664" s="13" t="s">
        <v>1894</v>
      </c>
      <c r="G664" s="13" t="s">
        <v>61</v>
      </c>
      <c r="H664" s="13" t="s">
        <v>1895</v>
      </c>
      <c r="I664" s="13" t="s">
        <v>63</v>
      </c>
      <c r="J664" s="17" t="s">
        <v>67</v>
      </c>
      <c r="K664" s="17" t="s">
        <v>58</v>
      </c>
      <c r="L664" s="18" t="s">
        <v>52</v>
      </c>
      <c r="M664" s="19">
        <v>18.0</v>
      </c>
      <c r="N664" s="19">
        <v>21.0</v>
      </c>
    </row>
    <row r="665">
      <c r="A665" s="12">
        <v>663.0</v>
      </c>
      <c r="B665" s="13" t="s">
        <v>1618</v>
      </c>
      <c r="C665" s="14">
        <v>3.0</v>
      </c>
      <c r="D665" s="15" t="s">
        <v>1893</v>
      </c>
      <c r="E665" s="16" t="s">
        <v>52</v>
      </c>
      <c r="F665" s="13" t="s">
        <v>1896</v>
      </c>
      <c r="G665" s="13" t="s">
        <v>1897</v>
      </c>
      <c r="H665" s="13" t="s">
        <v>1898</v>
      </c>
      <c r="I665" s="13" t="s">
        <v>63</v>
      </c>
      <c r="J665" s="17" t="s">
        <v>67</v>
      </c>
      <c r="K665" s="17" t="s">
        <v>58</v>
      </c>
      <c r="L665" s="18" t="s">
        <v>52</v>
      </c>
      <c r="M665" s="19">
        <v>18.0</v>
      </c>
      <c r="N665" s="19">
        <v>21.0</v>
      </c>
    </row>
    <row r="666">
      <c r="A666" s="12">
        <v>664.0</v>
      </c>
      <c r="B666" s="13" t="s">
        <v>1618</v>
      </c>
      <c r="C666" s="14">
        <v>4.0</v>
      </c>
      <c r="D666" s="15" t="s">
        <v>1892</v>
      </c>
      <c r="E666" s="16" t="s">
        <v>52</v>
      </c>
      <c r="F666" s="13" t="s">
        <v>1836</v>
      </c>
      <c r="G666" s="13" t="s">
        <v>1899</v>
      </c>
      <c r="H666" s="13" t="s">
        <v>1614</v>
      </c>
      <c r="I666" s="13" t="s">
        <v>63</v>
      </c>
      <c r="J666" s="17" t="s">
        <v>71</v>
      </c>
      <c r="K666" s="17" t="s">
        <v>58</v>
      </c>
      <c r="L666" s="18" t="s">
        <v>52</v>
      </c>
      <c r="M666" s="19">
        <v>18.0</v>
      </c>
      <c r="N666" s="19">
        <v>31.0</v>
      </c>
    </row>
    <row r="667">
      <c r="A667" s="12">
        <v>665.0</v>
      </c>
      <c r="B667" s="13" t="s">
        <v>1618</v>
      </c>
      <c r="C667" s="14">
        <v>5.0</v>
      </c>
      <c r="D667" s="15" t="s">
        <v>1892</v>
      </c>
      <c r="E667" s="16" t="s">
        <v>52</v>
      </c>
      <c r="F667" s="13" t="s">
        <v>1437</v>
      </c>
      <c r="G667" s="13" t="s">
        <v>1579</v>
      </c>
      <c r="H667" s="13" t="s">
        <v>1900</v>
      </c>
      <c r="I667" s="13" t="s">
        <v>63</v>
      </c>
      <c r="J667" s="17" t="s">
        <v>71</v>
      </c>
      <c r="K667" s="17" t="s">
        <v>58</v>
      </c>
      <c r="L667" s="18" t="s">
        <v>52</v>
      </c>
      <c r="M667" s="19">
        <v>18.0</v>
      </c>
      <c r="N667" s="19">
        <v>31.0</v>
      </c>
    </row>
    <row r="668">
      <c r="A668" s="12">
        <v>666.0</v>
      </c>
      <c r="B668" s="13" t="s">
        <v>1618</v>
      </c>
      <c r="C668" s="14">
        <v>6.0</v>
      </c>
      <c r="D668" s="15" t="s">
        <v>1892</v>
      </c>
      <c r="E668" s="16" t="s">
        <v>52</v>
      </c>
      <c r="F668" s="13" t="s">
        <v>1902</v>
      </c>
      <c r="G668" s="13" t="s">
        <v>1903</v>
      </c>
      <c r="H668" s="13" t="s">
        <v>1904</v>
      </c>
      <c r="I668" s="13" t="s">
        <v>63</v>
      </c>
      <c r="J668" s="17" t="s">
        <v>71</v>
      </c>
      <c r="K668" s="17" t="s">
        <v>58</v>
      </c>
      <c r="L668" s="18" t="s">
        <v>52</v>
      </c>
      <c r="M668" s="19">
        <v>18.0</v>
      </c>
      <c r="N668" s="19">
        <v>31.0</v>
      </c>
    </row>
    <row r="669">
      <c r="A669" s="12">
        <v>667.0</v>
      </c>
      <c r="B669" s="13" t="s">
        <v>1618</v>
      </c>
      <c r="C669" s="14">
        <v>7.0</v>
      </c>
      <c r="D669" s="15" t="s">
        <v>1892</v>
      </c>
      <c r="E669" s="16" t="s">
        <v>52</v>
      </c>
      <c r="F669" s="13" t="s">
        <v>1612</v>
      </c>
      <c r="G669" s="13" t="s">
        <v>1613</v>
      </c>
      <c r="H669" s="13" t="s">
        <v>1614</v>
      </c>
      <c r="I669" s="13" t="s">
        <v>63</v>
      </c>
      <c r="J669" s="17" t="s">
        <v>71</v>
      </c>
      <c r="K669" s="17" t="s">
        <v>58</v>
      </c>
      <c r="L669" s="18" t="s">
        <v>52</v>
      </c>
      <c r="M669" s="19">
        <v>18.0</v>
      </c>
      <c r="N669" s="19">
        <v>31.0</v>
      </c>
    </row>
    <row r="670">
      <c r="A670" s="12">
        <v>668.0</v>
      </c>
      <c r="B670" s="13" t="s">
        <v>1618</v>
      </c>
      <c r="C670" s="14">
        <v>8.0</v>
      </c>
      <c r="D670" s="15" t="s">
        <v>1892</v>
      </c>
      <c r="E670" s="16" t="s">
        <v>52</v>
      </c>
      <c r="F670" s="13" t="s">
        <v>1905</v>
      </c>
      <c r="G670" s="13" t="s">
        <v>61</v>
      </c>
      <c r="H670" s="13" t="s">
        <v>1906</v>
      </c>
      <c r="I670" s="13" t="s">
        <v>63</v>
      </c>
      <c r="J670" s="17" t="s">
        <v>71</v>
      </c>
      <c r="K670" s="17" t="s">
        <v>58</v>
      </c>
      <c r="L670" s="18" t="s">
        <v>52</v>
      </c>
      <c r="M670" s="19">
        <v>18.0</v>
      </c>
      <c r="N670" s="19">
        <v>31.0</v>
      </c>
    </row>
    <row r="671">
      <c r="A671" s="12">
        <v>669.0</v>
      </c>
      <c r="B671" s="13" t="s">
        <v>1618</v>
      </c>
      <c r="C671" s="14">
        <v>9.0</v>
      </c>
      <c r="D671" s="15" t="s">
        <v>1892</v>
      </c>
      <c r="E671" s="16" t="s">
        <v>52</v>
      </c>
      <c r="F671" s="13" t="s">
        <v>1839</v>
      </c>
      <c r="G671" s="13" t="s">
        <v>1840</v>
      </c>
      <c r="H671" s="13" t="s">
        <v>1841</v>
      </c>
      <c r="I671" s="13" t="s">
        <v>63</v>
      </c>
      <c r="J671" s="17" t="s">
        <v>71</v>
      </c>
      <c r="K671" s="17" t="s">
        <v>58</v>
      </c>
      <c r="L671" s="18" t="s">
        <v>52</v>
      </c>
      <c r="M671" s="19">
        <v>18.0</v>
      </c>
      <c r="N671" s="19">
        <v>31.0</v>
      </c>
    </row>
    <row r="672">
      <c r="A672" s="12">
        <v>670.0</v>
      </c>
      <c r="B672" s="13" t="s">
        <v>1618</v>
      </c>
      <c r="C672" s="14">
        <v>10.0</v>
      </c>
      <c r="D672" s="15" t="s">
        <v>1892</v>
      </c>
      <c r="E672" s="16" t="s">
        <v>52</v>
      </c>
      <c r="F672" s="13" t="s">
        <v>1643</v>
      </c>
      <c r="G672" s="13" t="s">
        <v>1866</v>
      </c>
      <c r="H672" s="13" t="s">
        <v>1867</v>
      </c>
      <c r="I672" s="13" t="s">
        <v>63</v>
      </c>
      <c r="J672" s="17" t="s">
        <v>71</v>
      </c>
      <c r="K672" s="17" t="s">
        <v>58</v>
      </c>
      <c r="L672" s="18" t="s">
        <v>52</v>
      </c>
      <c r="M672" s="19">
        <v>18.0</v>
      </c>
      <c r="N672" s="19">
        <v>31.0</v>
      </c>
    </row>
    <row r="673">
      <c r="A673" s="12">
        <v>671.0</v>
      </c>
      <c r="B673" s="13" t="s">
        <v>1618</v>
      </c>
      <c r="C673" s="14">
        <v>11.0</v>
      </c>
      <c r="D673" s="15" t="s">
        <v>1892</v>
      </c>
      <c r="E673" s="16" t="s">
        <v>52</v>
      </c>
      <c r="F673" s="13" t="s">
        <v>1288</v>
      </c>
      <c r="G673" s="13" t="s">
        <v>1907</v>
      </c>
      <c r="H673" s="13" t="s">
        <v>1908</v>
      </c>
      <c r="I673" s="13" t="s">
        <v>63</v>
      </c>
      <c r="J673" s="17" t="s">
        <v>71</v>
      </c>
      <c r="K673" s="17" t="s">
        <v>58</v>
      </c>
      <c r="L673" s="18" t="s">
        <v>52</v>
      </c>
      <c r="M673" s="19">
        <v>18.0</v>
      </c>
      <c r="N673" s="19">
        <v>31.0</v>
      </c>
    </row>
    <row r="674">
      <c r="A674" s="12">
        <v>672.0</v>
      </c>
      <c r="B674" s="13" t="s">
        <v>1618</v>
      </c>
      <c r="C674" s="14">
        <v>12.0</v>
      </c>
      <c r="D674" s="15" t="s">
        <v>1892</v>
      </c>
      <c r="E674" s="16" t="s">
        <v>52</v>
      </c>
      <c r="F674" s="13" t="s">
        <v>1699</v>
      </c>
      <c r="G674" s="13" t="s">
        <v>61</v>
      </c>
      <c r="H674" s="13" t="s">
        <v>1816</v>
      </c>
      <c r="I674" s="13" t="s">
        <v>63</v>
      </c>
      <c r="J674" s="17" t="s">
        <v>71</v>
      </c>
      <c r="K674" s="17" t="s">
        <v>58</v>
      </c>
      <c r="L674" s="18" t="s">
        <v>52</v>
      </c>
      <c r="M674" s="19">
        <v>18.0</v>
      </c>
      <c r="N674" s="19">
        <v>31.0</v>
      </c>
    </row>
    <row r="675">
      <c r="A675" s="12">
        <v>673.0</v>
      </c>
      <c r="B675" s="13" t="s">
        <v>1618</v>
      </c>
      <c r="C675" s="14">
        <v>13.0</v>
      </c>
      <c r="D675" s="15" t="s">
        <v>1892</v>
      </c>
      <c r="E675" s="16" t="s">
        <v>52</v>
      </c>
      <c r="F675" s="13" t="s">
        <v>1522</v>
      </c>
      <c r="G675" s="13" t="s">
        <v>1909</v>
      </c>
      <c r="H675" s="13" t="s">
        <v>1910</v>
      </c>
      <c r="I675" s="13" t="s">
        <v>63</v>
      </c>
      <c r="J675" s="17" t="s">
        <v>71</v>
      </c>
      <c r="K675" s="17" t="s">
        <v>58</v>
      </c>
      <c r="L675" s="18" t="s">
        <v>52</v>
      </c>
      <c r="M675" s="19">
        <v>18.0</v>
      </c>
      <c r="N675" s="19">
        <v>31.0</v>
      </c>
    </row>
    <row r="676">
      <c r="A676" s="12">
        <v>674.0</v>
      </c>
      <c r="B676" s="13" t="s">
        <v>1618</v>
      </c>
      <c r="C676" s="14">
        <v>14.0</v>
      </c>
      <c r="D676" s="15" t="s">
        <v>1892</v>
      </c>
      <c r="E676" s="16" t="s">
        <v>52</v>
      </c>
      <c r="F676" s="13" t="s">
        <v>1887</v>
      </c>
      <c r="G676" s="13" t="s">
        <v>1911</v>
      </c>
      <c r="H676" s="13" t="s">
        <v>1912</v>
      </c>
      <c r="I676" s="13" t="s">
        <v>63</v>
      </c>
      <c r="J676" s="17" t="s">
        <v>71</v>
      </c>
      <c r="K676" s="17" t="s">
        <v>58</v>
      </c>
      <c r="L676" s="18" t="s">
        <v>52</v>
      </c>
      <c r="M676" s="19">
        <v>18.0</v>
      </c>
      <c r="N676" s="19">
        <v>31.0</v>
      </c>
    </row>
    <row r="677">
      <c r="A677" s="12">
        <v>675.0</v>
      </c>
      <c r="B677" s="13" t="s">
        <v>1618</v>
      </c>
      <c r="C677" s="14">
        <v>15.0</v>
      </c>
      <c r="D677" s="15" t="s">
        <v>1892</v>
      </c>
      <c r="E677" s="16" t="s">
        <v>52</v>
      </c>
      <c r="F677" s="13" t="s">
        <v>1584</v>
      </c>
      <c r="G677" s="13" t="s">
        <v>1913</v>
      </c>
      <c r="H677" s="13" t="s">
        <v>1914</v>
      </c>
      <c r="I677" s="13" t="s">
        <v>63</v>
      </c>
      <c r="J677" s="17" t="s">
        <v>71</v>
      </c>
      <c r="K677" s="17" t="s">
        <v>58</v>
      </c>
      <c r="L677" s="18" t="s">
        <v>52</v>
      </c>
      <c r="M677" s="19">
        <v>18.0</v>
      </c>
      <c r="N677" s="19">
        <v>31.0</v>
      </c>
    </row>
    <row r="678">
      <c r="A678" s="12">
        <v>676.0</v>
      </c>
      <c r="B678" s="13" t="s">
        <v>1618</v>
      </c>
      <c r="C678" s="14">
        <v>16.0</v>
      </c>
      <c r="D678" s="15" t="s">
        <v>1892</v>
      </c>
      <c r="E678" s="16" t="s">
        <v>52</v>
      </c>
      <c r="F678" s="13" t="s">
        <v>1119</v>
      </c>
      <c r="G678" s="13" t="s">
        <v>1915</v>
      </c>
      <c r="H678" s="13" t="s">
        <v>1916</v>
      </c>
      <c r="I678" s="13" t="s">
        <v>63</v>
      </c>
      <c r="J678" s="17" t="s">
        <v>71</v>
      </c>
      <c r="K678" s="17" t="s">
        <v>58</v>
      </c>
      <c r="L678" s="18" t="s">
        <v>52</v>
      </c>
      <c r="M678" s="19">
        <v>18.0</v>
      </c>
      <c r="N678" s="19">
        <v>31.0</v>
      </c>
    </row>
    <row r="679">
      <c r="A679" s="12">
        <v>677.0</v>
      </c>
      <c r="B679" s="13" t="s">
        <v>1618</v>
      </c>
      <c r="C679" s="14">
        <v>17.0</v>
      </c>
      <c r="D679" s="15" t="s">
        <v>1892</v>
      </c>
      <c r="E679" s="16" t="s">
        <v>52</v>
      </c>
      <c r="F679" s="13" t="s">
        <v>1563</v>
      </c>
      <c r="G679" s="13" t="s">
        <v>1917</v>
      </c>
      <c r="H679" s="13" t="s">
        <v>1918</v>
      </c>
      <c r="I679" s="13" t="s">
        <v>63</v>
      </c>
      <c r="J679" s="17" t="s">
        <v>71</v>
      </c>
      <c r="K679" s="17" t="s">
        <v>58</v>
      </c>
      <c r="L679" s="18" t="s">
        <v>52</v>
      </c>
      <c r="M679" s="19">
        <v>18.0</v>
      </c>
      <c r="N679" s="19">
        <v>31.0</v>
      </c>
    </row>
    <row r="680">
      <c r="A680" s="12">
        <v>678.0</v>
      </c>
      <c r="B680" s="13" t="s">
        <v>1618</v>
      </c>
      <c r="C680" s="14">
        <v>18.0</v>
      </c>
      <c r="D680" s="15" t="s">
        <v>1892</v>
      </c>
      <c r="E680" s="16" t="s">
        <v>52</v>
      </c>
      <c r="F680" s="13" t="s">
        <v>1542</v>
      </c>
      <c r="G680" s="13" t="s">
        <v>1562</v>
      </c>
      <c r="H680" s="13" t="s">
        <v>1547</v>
      </c>
      <c r="I680" s="13" t="s">
        <v>63</v>
      </c>
      <c r="J680" s="17" t="s">
        <v>71</v>
      </c>
      <c r="K680" s="17" t="s">
        <v>58</v>
      </c>
      <c r="L680" s="18" t="s">
        <v>52</v>
      </c>
      <c r="M680" s="19">
        <v>18.0</v>
      </c>
      <c r="N680" s="19">
        <v>31.0</v>
      </c>
    </row>
    <row r="681">
      <c r="A681" s="12">
        <v>679.0</v>
      </c>
      <c r="B681" s="13" t="s">
        <v>1618</v>
      </c>
      <c r="C681" s="14">
        <v>19.0</v>
      </c>
      <c r="D681" s="15" t="s">
        <v>1892</v>
      </c>
      <c r="E681" s="16" t="s">
        <v>52</v>
      </c>
      <c r="F681" s="13" t="s">
        <v>1788</v>
      </c>
      <c r="G681" s="13" t="s">
        <v>1919</v>
      </c>
      <c r="H681" s="13" t="s">
        <v>1920</v>
      </c>
      <c r="I681" s="13" t="s">
        <v>63</v>
      </c>
      <c r="J681" s="17" t="s">
        <v>71</v>
      </c>
      <c r="K681" s="17" t="s">
        <v>58</v>
      </c>
      <c r="L681" s="18" t="s">
        <v>52</v>
      </c>
      <c r="M681" s="19">
        <v>18.0</v>
      </c>
      <c r="N681" s="19">
        <v>31.0</v>
      </c>
    </row>
    <row r="682">
      <c r="A682" s="12">
        <v>680.0</v>
      </c>
      <c r="B682" s="13" t="s">
        <v>1618</v>
      </c>
      <c r="C682" s="14">
        <v>20.0</v>
      </c>
      <c r="D682" s="15" t="s">
        <v>1892</v>
      </c>
      <c r="E682" s="16" t="s">
        <v>52</v>
      </c>
      <c r="F682" s="13" t="s">
        <v>1555</v>
      </c>
      <c r="G682" s="13" t="s">
        <v>1922</v>
      </c>
      <c r="H682" s="13" t="s">
        <v>1923</v>
      </c>
      <c r="I682" s="13" t="s">
        <v>63</v>
      </c>
      <c r="J682" s="17" t="s">
        <v>71</v>
      </c>
      <c r="K682" s="17" t="s">
        <v>58</v>
      </c>
      <c r="L682" s="18" t="s">
        <v>52</v>
      </c>
      <c r="M682" s="19">
        <v>18.0</v>
      </c>
      <c r="N682" s="19">
        <v>31.0</v>
      </c>
    </row>
    <row r="683">
      <c r="A683" s="12">
        <v>681.0</v>
      </c>
      <c r="B683" s="13" t="s">
        <v>1618</v>
      </c>
      <c r="C683" s="14">
        <v>21.0</v>
      </c>
      <c r="D683" s="15" t="s">
        <v>1892</v>
      </c>
      <c r="E683" s="16" t="s">
        <v>52</v>
      </c>
      <c r="F683" s="13" t="s">
        <v>1800</v>
      </c>
      <c r="G683" s="13" t="s">
        <v>1924</v>
      </c>
      <c r="H683" s="13" t="s">
        <v>1925</v>
      </c>
      <c r="I683" s="13" t="s">
        <v>63</v>
      </c>
      <c r="J683" s="17" t="s">
        <v>71</v>
      </c>
      <c r="K683" s="17" t="s">
        <v>58</v>
      </c>
      <c r="L683" s="18" t="s">
        <v>52</v>
      </c>
      <c r="M683" s="19">
        <v>18.0</v>
      </c>
      <c r="N683" s="19">
        <v>31.0</v>
      </c>
    </row>
    <row r="684">
      <c r="A684" s="12">
        <v>682.0</v>
      </c>
      <c r="B684" s="13" t="s">
        <v>1618</v>
      </c>
      <c r="C684" s="14">
        <v>22.0</v>
      </c>
      <c r="D684" s="15" t="s">
        <v>1892</v>
      </c>
      <c r="E684" s="16" t="s">
        <v>52</v>
      </c>
      <c r="F684" s="13" t="s">
        <v>1926</v>
      </c>
      <c r="G684" s="13" t="s">
        <v>1927</v>
      </c>
      <c r="H684" s="13" t="s">
        <v>1928</v>
      </c>
      <c r="I684" s="13" t="s">
        <v>63</v>
      </c>
      <c r="J684" s="17" t="s">
        <v>71</v>
      </c>
      <c r="K684" s="17" t="s">
        <v>58</v>
      </c>
      <c r="L684" s="18" t="s">
        <v>52</v>
      </c>
      <c r="M684" s="19">
        <v>18.0</v>
      </c>
      <c r="N684" s="19">
        <v>31.0</v>
      </c>
    </row>
    <row r="685">
      <c r="A685" s="12">
        <v>683.0</v>
      </c>
      <c r="B685" s="13" t="s">
        <v>1618</v>
      </c>
      <c r="C685" s="14">
        <v>23.0</v>
      </c>
      <c r="D685" s="15" t="s">
        <v>1892</v>
      </c>
      <c r="E685" s="16" t="s">
        <v>52</v>
      </c>
      <c r="F685" s="13" t="s">
        <v>1265</v>
      </c>
      <c r="G685" s="13" t="s">
        <v>1863</v>
      </c>
      <c r="H685" s="13" t="s">
        <v>1864</v>
      </c>
      <c r="I685" s="13" t="s">
        <v>63</v>
      </c>
      <c r="J685" s="17" t="s">
        <v>71</v>
      </c>
      <c r="K685" s="17" t="s">
        <v>58</v>
      </c>
      <c r="L685" s="18" t="s">
        <v>52</v>
      </c>
      <c r="M685" s="19">
        <v>18.0</v>
      </c>
      <c r="N685" s="19">
        <v>31.0</v>
      </c>
    </row>
    <row r="686">
      <c r="A686" s="12">
        <v>684.0</v>
      </c>
      <c r="B686" s="13" t="s">
        <v>1618</v>
      </c>
      <c r="C686" s="14">
        <v>24.0</v>
      </c>
      <c r="D686" s="15" t="s">
        <v>1892</v>
      </c>
      <c r="E686" s="16" t="s">
        <v>52</v>
      </c>
      <c r="F686" s="13" t="s">
        <v>1704</v>
      </c>
      <c r="G686" s="13" t="s">
        <v>1929</v>
      </c>
      <c r="H686" s="13" t="s">
        <v>1930</v>
      </c>
      <c r="I686" s="13" t="s">
        <v>63</v>
      </c>
      <c r="J686" s="17" t="s">
        <v>71</v>
      </c>
      <c r="K686" s="17" t="s">
        <v>58</v>
      </c>
      <c r="L686" s="18" t="s">
        <v>52</v>
      </c>
      <c r="M686" s="19">
        <v>18.0</v>
      </c>
      <c r="N686" s="19">
        <v>31.0</v>
      </c>
    </row>
    <row r="687">
      <c r="A687" s="12">
        <v>685.0</v>
      </c>
      <c r="B687" s="13" t="s">
        <v>1618</v>
      </c>
      <c r="C687" s="14">
        <v>25.0</v>
      </c>
      <c r="D687" s="15" t="s">
        <v>1892</v>
      </c>
      <c r="E687" s="16" t="s">
        <v>52</v>
      </c>
      <c r="F687" s="13" t="s">
        <v>1272</v>
      </c>
      <c r="G687" s="13" t="s">
        <v>1931</v>
      </c>
      <c r="H687" s="13" t="s">
        <v>1932</v>
      </c>
      <c r="I687" s="13" t="s">
        <v>63</v>
      </c>
      <c r="J687" s="17" t="s">
        <v>71</v>
      </c>
      <c r="K687" s="17" t="s">
        <v>58</v>
      </c>
      <c r="L687" s="18" t="s">
        <v>52</v>
      </c>
      <c r="M687" s="19">
        <v>18.0</v>
      </c>
      <c r="N687" s="19">
        <v>31.0</v>
      </c>
    </row>
    <row r="688">
      <c r="A688" s="12">
        <v>686.0</v>
      </c>
      <c r="B688" s="13" t="s">
        <v>1618</v>
      </c>
      <c r="C688" s="14">
        <v>26.0</v>
      </c>
      <c r="D688" s="15" t="s">
        <v>1892</v>
      </c>
      <c r="E688" s="16" t="s">
        <v>52</v>
      </c>
      <c r="F688" s="13" t="s">
        <v>1750</v>
      </c>
      <c r="G688" s="13" t="s">
        <v>1751</v>
      </c>
      <c r="H688" s="13" t="s">
        <v>1934</v>
      </c>
      <c r="I688" s="13" t="s">
        <v>63</v>
      </c>
      <c r="J688" s="17" t="s">
        <v>71</v>
      </c>
      <c r="K688" s="17" t="s">
        <v>58</v>
      </c>
      <c r="L688" s="18" t="s">
        <v>52</v>
      </c>
      <c r="M688" s="19">
        <v>18.0</v>
      </c>
      <c r="N688" s="19">
        <v>31.0</v>
      </c>
    </row>
    <row r="689">
      <c r="A689" s="12">
        <v>687.0</v>
      </c>
      <c r="B689" s="13" t="s">
        <v>1618</v>
      </c>
      <c r="C689" s="14">
        <v>27.0</v>
      </c>
      <c r="D689" s="15" t="s">
        <v>1892</v>
      </c>
      <c r="E689" s="16" t="s">
        <v>52</v>
      </c>
      <c r="F689" s="13" t="s">
        <v>1935</v>
      </c>
      <c r="G689" s="13" t="s">
        <v>1936</v>
      </c>
      <c r="H689" s="13" t="s">
        <v>1937</v>
      </c>
      <c r="I689" s="13" t="s">
        <v>63</v>
      </c>
      <c r="J689" s="17" t="s">
        <v>71</v>
      </c>
      <c r="K689" s="17" t="s">
        <v>58</v>
      </c>
      <c r="L689" s="18" t="s">
        <v>52</v>
      </c>
      <c r="M689" s="19">
        <v>18.0</v>
      </c>
      <c r="N689" s="19">
        <v>31.0</v>
      </c>
    </row>
    <row r="690">
      <c r="A690" s="12">
        <v>688.0</v>
      </c>
      <c r="B690" s="13" t="s">
        <v>1618</v>
      </c>
      <c r="C690" s="14">
        <v>28.0</v>
      </c>
      <c r="D690" s="15" t="s">
        <v>1892</v>
      </c>
      <c r="E690" s="16" t="s">
        <v>52</v>
      </c>
      <c r="F690" s="13" t="s">
        <v>1297</v>
      </c>
      <c r="G690" s="13" t="s">
        <v>1571</v>
      </c>
      <c r="H690" s="13" t="s">
        <v>1572</v>
      </c>
      <c r="I690" s="13" t="s">
        <v>63</v>
      </c>
      <c r="J690" s="17" t="s">
        <v>71</v>
      </c>
      <c r="K690" s="17" t="s">
        <v>58</v>
      </c>
      <c r="L690" s="18" t="s">
        <v>52</v>
      </c>
      <c r="M690" s="19">
        <v>18.0</v>
      </c>
      <c r="N690" s="19">
        <v>31.0</v>
      </c>
    </row>
    <row r="691">
      <c r="A691" s="12">
        <v>689.0</v>
      </c>
      <c r="B691" s="13" t="s">
        <v>1618</v>
      </c>
      <c r="C691" s="14">
        <v>29.0</v>
      </c>
      <c r="D691" s="15" t="s">
        <v>1893</v>
      </c>
      <c r="E691" s="16" t="s">
        <v>52</v>
      </c>
      <c r="F691" s="13" t="s">
        <v>1812</v>
      </c>
      <c r="G691" s="13" t="s">
        <v>1813</v>
      </c>
      <c r="H691" s="13" t="s">
        <v>1938</v>
      </c>
      <c r="I691" s="13" t="s">
        <v>63</v>
      </c>
      <c r="J691" s="17" t="s">
        <v>71</v>
      </c>
      <c r="K691" s="17" t="s">
        <v>58</v>
      </c>
      <c r="L691" s="18" t="s">
        <v>52</v>
      </c>
      <c r="M691" s="19">
        <v>18.0</v>
      </c>
      <c r="N691" s="19">
        <v>31.0</v>
      </c>
    </row>
    <row r="692">
      <c r="A692" s="12">
        <v>690.0</v>
      </c>
      <c r="B692" s="13" t="s">
        <v>1618</v>
      </c>
      <c r="C692" s="14">
        <v>30.0</v>
      </c>
      <c r="D692" s="15" t="s">
        <v>1893</v>
      </c>
      <c r="E692" s="16" t="s">
        <v>52</v>
      </c>
      <c r="F692" s="13" t="s">
        <v>1608</v>
      </c>
      <c r="G692" s="13" t="s">
        <v>1939</v>
      </c>
      <c r="H692" s="13" t="s">
        <v>1940</v>
      </c>
      <c r="I692" s="13" t="s">
        <v>63</v>
      </c>
      <c r="J692" s="17" t="s">
        <v>71</v>
      </c>
      <c r="K692" s="17" t="s">
        <v>58</v>
      </c>
      <c r="L692" s="18" t="s">
        <v>52</v>
      </c>
      <c r="M692" s="19">
        <v>18.0</v>
      </c>
      <c r="N692" s="19">
        <v>31.0</v>
      </c>
    </row>
    <row r="693">
      <c r="A693" s="12">
        <v>691.0</v>
      </c>
      <c r="B693" s="13" t="s">
        <v>1297</v>
      </c>
      <c r="C693" s="14">
        <v>1.0</v>
      </c>
      <c r="D693" s="15" t="s">
        <v>1941</v>
      </c>
      <c r="E693" s="16" t="s">
        <v>52</v>
      </c>
      <c r="F693" s="13" t="s">
        <v>1538</v>
      </c>
      <c r="G693" s="13" t="s">
        <v>1774</v>
      </c>
      <c r="H693" s="13" t="s">
        <v>1942</v>
      </c>
      <c r="I693" s="13" t="s">
        <v>56</v>
      </c>
      <c r="J693" s="17" t="s">
        <v>57</v>
      </c>
      <c r="K693" s="17" t="s">
        <v>58</v>
      </c>
      <c r="L693" s="18" t="s">
        <v>52</v>
      </c>
      <c r="M693" s="19">
        <v>19.0</v>
      </c>
      <c r="N693" s="19">
        <v>10.0</v>
      </c>
    </row>
    <row r="694">
      <c r="A694" s="12">
        <v>692.0</v>
      </c>
      <c r="B694" s="13" t="s">
        <v>1297</v>
      </c>
      <c r="C694" s="14">
        <v>2.0</v>
      </c>
      <c r="D694" s="15" t="s">
        <v>1941</v>
      </c>
      <c r="E694" s="16" t="s">
        <v>52</v>
      </c>
      <c r="F694" s="13" t="s">
        <v>1253</v>
      </c>
      <c r="G694" s="13" t="s">
        <v>1943</v>
      </c>
      <c r="H694" s="13" t="s">
        <v>1944</v>
      </c>
      <c r="I694" s="13" t="s">
        <v>56</v>
      </c>
      <c r="J694" s="17" t="s">
        <v>57</v>
      </c>
      <c r="K694" s="17" t="s">
        <v>58</v>
      </c>
      <c r="L694" s="18" t="s">
        <v>52</v>
      </c>
      <c r="M694" s="19">
        <v>19.0</v>
      </c>
      <c r="N694" s="19">
        <v>10.0</v>
      </c>
    </row>
    <row r="695">
      <c r="A695" s="12">
        <v>693.0</v>
      </c>
      <c r="B695" s="13" t="s">
        <v>1297</v>
      </c>
      <c r="C695" s="14">
        <v>3.0</v>
      </c>
      <c r="D695" s="15" t="s">
        <v>1945</v>
      </c>
      <c r="E695" s="16" t="s">
        <v>52</v>
      </c>
      <c r="F695" s="13" t="s">
        <v>1946</v>
      </c>
      <c r="G695" s="13" t="s">
        <v>1947</v>
      </c>
      <c r="H695" s="13" t="s">
        <v>1948</v>
      </c>
      <c r="I695" s="13" t="s">
        <v>56</v>
      </c>
      <c r="J695" s="17" t="s">
        <v>67</v>
      </c>
      <c r="K695" s="17" t="s">
        <v>58</v>
      </c>
      <c r="L695" s="18" t="s">
        <v>52</v>
      </c>
      <c r="M695" s="19">
        <v>19.0</v>
      </c>
      <c r="N695" s="19">
        <v>20.0</v>
      </c>
    </row>
    <row r="696">
      <c r="A696" s="12">
        <v>694.0</v>
      </c>
      <c r="B696" s="13" t="s">
        <v>1297</v>
      </c>
      <c r="C696" s="14">
        <v>4.0</v>
      </c>
      <c r="D696" s="15" t="s">
        <v>1945</v>
      </c>
      <c r="E696" s="16" t="s">
        <v>52</v>
      </c>
      <c r="F696" s="13" t="s">
        <v>1303</v>
      </c>
      <c r="G696" s="13" t="s">
        <v>1304</v>
      </c>
      <c r="H696" s="13" t="s">
        <v>1305</v>
      </c>
      <c r="I696" s="13" t="s">
        <v>56</v>
      </c>
      <c r="J696" s="17" t="s">
        <v>67</v>
      </c>
      <c r="K696" s="17" t="s">
        <v>58</v>
      </c>
      <c r="L696" s="18" t="s">
        <v>52</v>
      </c>
      <c r="M696" s="19">
        <v>19.0</v>
      </c>
      <c r="N696" s="19">
        <v>20.0</v>
      </c>
    </row>
    <row r="697">
      <c r="A697" s="12">
        <v>695.0</v>
      </c>
      <c r="B697" s="13" t="s">
        <v>1297</v>
      </c>
      <c r="C697" s="14">
        <v>5.0</v>
      </c>
      <c r="D697" s="15" t="s">
        <v>1941</v>
      </c>
      <c r="E697" s="16" t="s">
        <v>52</v>
      </c>
      <c r="F697" s="13" t="s">
        <v>327</v>
      </c>
      <c r="G697" s="13" t="s">
        <v>1949</v>
      </c>
      <c r="H697" s="13" t="s">
        <v>1950</v>
      </c>
      <c r="I697" s="13" t="s">
        <v>56</v>
      </c>
      <c r="J697" s="17" t="s">
        <v>67</v>
      </c>
      <c r="K697" s="17" t="s">
        <v>58</v>
      </c>
      <c r="L697" s="18" t="s">
        <v>52</v>
      </c>
      <c r="M697" s="19">
        <v>19.0</v>
      </c>
      <c r="N697" s="19">
        <v>20.0</v>
      </c>
    </row>
    <row r="698">
      <c r="A698" s="12">
        <v>696.0</v>
      </c>
      <c r="B698" s="13" t="s">
        <v>1297</v>
      </c>
      <c r="C698" s="14">
        <v>6.0</v>
      </c>
      <c r="D698" s="15" t="s">
        <v>1941</v>
      </c>
      <c r="E698" s="16" t="s">
        <v>52</v>
      </c>
      <c r="F698" s="13" t="s">
        <v>561</v>
      </c>
      <c r="G698" s="13" t="s">
        <v>814</v>
      </c>
      <c r="H698" s="13" t="s">
        <v>1951</v>
      </c>
      <c r="I698" s="13" t="s">
        <v>56</v>
      </c>
      <c r="J698" s="17" t="s">
        <v>67</v>
      </c>
      <c r="K698" s="17" t="s">
        <v>58</v>
      </c>
      <c r="L698" s="18" t="s">
        <v>52</v>
      </c>
      <c r="M698" s="19">
        <v>19.0</v>
      </c>
      <c r="N698" s="19">
        <v>20.0</v>
      </c>
    </row>
    <row r="699">
      <c r="A699" s="12">
        <v>697.0</v>
      </c>
      <c r="B699" s="13" t="s">
        <v>1297</v>
      </c>
      <c r="C699" s="14">
        <v>7.0</v>
      </c>
      <c r="D699" s="15" t="s">
        <v>1941</v>
      </c>
      <c r="E699" s="16" t="s">
        <v>52</v>
      </c>
      <c r="F699" s="13" t="s">
        <v>1952</v>
      </c>
      <c r="G699" s="13" t="s">
        <v>1953</v>
      </c>
      <c r="H699" s="13" t="s">
        <v>1954</v>
      </c>
      <c r="I699" s="13" t="s">
        <v>56</v>
      </c>
      <c r="J699" s="17" t="s">
        <v>67</v>
      </c>
      <c r="K699" s="17" t="s">
        <v>58</v>
      </c>
      <c r="L699" s="18" t="s">
        <v>52</v>
      </c>
      <c r="M699" s="19">
        <v>19.0</v>
      </c>
      <c r="N699" s="19">
        <v>20.0</v>
      </c>
    </row>
    <row r="700">
      <c r="A700" s="12">
        <v>698.0</v>
      </c>
      <c r="B700" s="13" t="s">
        <v>1297</v>
      </c>
      <c r="C700" s="14">
        <v>8.0</v>
      </c>
      <c r="D700" s="15" t="s">
        <v>1941</v>
      </c>
      <c r="E700" s="16" t="s">
        <v>52</v>
      </c>
      <c r="F700" s="13" t="s">
        <v>91</v>
      </c>
      <c r="G700" s="13" t="s">
        <v>1672</v>
      </c>
      <c r="H700" s="13" t="s">
        <v>1955</v>
      </c>
      <c r="I700" s="13" t="s">
        <v>56</v>
      </c>
      <c r="J700" s="17" t="s">
        <v>67</v>
      </c>
      <c r="K700" s="17" t="s">
        <v>58</v>
      </c>
      <c r="L700" s="18" t="s">
        <v>52</v>
      </c>
      <c r="M700" s="19">
        <v>19.0</v>
      </c>
      <c r="N700" s="19">
        <v>20.0</v>
      </c>
    </row>
    <row r="701">
      <c r="A701" s="12">
        <v>699.0</v>
      </c>
      <c r="B701" s="13" t="s">
        <v>1297</v>
      </c>
      <c r="C701" s="14">
        <v>9.0</v>
      </c>
      <c r="D701" s="15" t="s">
        <v>1941</v>
      </c>
      <c r="E701" s="16" t="s">
        <v>52</v>
      </c>
      <c r="F701" s="13" t="s">
        <v>1788</v>
      </c>
      <c r="G701" s="13" t="s">
        <v>1919</v>
      </c>
      <c r="H701" s="13" t="s">
        <v>1957</v>
      </c>
      <c r="I701" s="13" t="s">
        <v>63</v>
      </c>
      <c r="J701" s="17" t="s">
        <v>67</v>
      </c>
      <c r="K701" s="17" t="s">
        <v>58</v>
      </c>
      <c r="L701" s="18" t="s">
        <v>52</v>
      </c>
      <c r="M701" s="19">
        <v>19.0</v>
      </c>
      <c r="N701" s="19">
        <v>21.0</v>
      </c>
    </row>
    <row r="702">
      <c r="A702" s="12">
        <v>700.0</v>
      </c>
      <c r="B702" s="13" t="s">
        <v>1297</v>
      </c>
      <c r="C702" s="14">
        <v>10.0</v>
      </c>
      <c r="D702" s="15" t="s">
        <v>1941</v>
      </c>
      <c r="E702" s="16" t="s">
        <v>52</v>
      </c>
      <c r="F702" s="13" t="s">
        <v>737</v>
      </c>
      <c r="G702" s="13" t="s">
        <v>1958</v>
      </c>
      <c r="H702" s="13" t="s">
        <v>1959</v>
      </c>
      <c r="I702" s="13" t="s">
        <v>56</v>
      </c>
      <c r="J702" s="17" t="s">
        <v>71</v>
      </c>
      <c r="K702" s="17" t="s">
        <v>58</v>
      </c>
      <c r="L702" s="18" t="s">
        <v>52</v>
      </c>
      <c r="M702" s="19">
        <v>19.0</v>
      </c>
      <c r="N702" s="19">
        <v>30.0</v>
      </c>
    </row>
    <row r="703">
      <c r="A703" s="12">
        <v>701.0</v>
      </c>
      <c r="B703" s="13" t="s">
        <v>1297</v>
      </c>
      <c r="C703" s="14">
        <v>11.0</v>
      </c>
      <c r="D703" s="15" t="s">
        <v>1945</v>
      </c>
      <c r="E703" s="16" t="s">
        <v>52</v>
      </c>
      <c r="F703" s="13" t="s">
        <v>1960</v>
      </c>
      <c r="G703" s="13" t="s">
        <v>1961</v>
      </c>
      <c r="H703" s="13" t="s">
        <v>1962</v>
      </c>
      <c r="I703" s="13" t="s">
        <v>63</v>
      </c>
      <c r="J703" s="17" t="s">
        <v>71</v>
      </c>
      <c r="K703" s="17" t="s">
        <v>58</v>
      </c>
      <c r="L703" s="18" t="s">
        <v>52</v>
      </c>
      <c r="M703" s="19">
        <v>19.0</v>
      </c>
      <c r="N703" s="19">
        <v>31.0</v>
      </c>
    </row>
    <row r="704">
      <c r="A704" s="12">
        <v>702.0</v>
      </c>
      <c r="B704" s="13" t="s">
        <v>1297</v>
      </c>
      <c r="C704" s="14">
        <v>12.0</v>
      </c>
      <c r="D704" s="15" t="s">
        <v>1945</v>
      </c>
      <c r="E704" s="16" t="s">
        <v>52</v>
      </c>
      <c r="F704" s="13" t="s">
        <v>1236</v>
      </c>
      <c r="G704" s="13" t="s">
        <v>1963</v>
      </c>
      <c r="H704" s="13" t="s">
        <v>1964</v>
      </c>
      <c r="I704" s="13" t="s">
        <v>63</v>
      </c>
      <c r="J704" s="17" t="s">
        <v>71</v>
      </c>
      <c r="K704" s="17" t="s">
        <v>58</v>
      </c>
      <c r="L704" s="18" t="s">
        <v>52</v>
      </c>
      <c r="M704" s="19">
        <v>19.0</v>
      </c>
      <c r="N704" s="19">
        <v>31.0</v>
      </c>
    </row>
    <row r="705">
      <c r="A705" s="12">
        <v>703.0</v>
      </c>
      <c r="B705" s="13" t="s">
        <v>1297</v>
      </c>
      <c r="C705" s="14">
        <v>13.0</v>
      </c>
      <c r="D705" s="15" t="s">
        <v>1945</v>
      </c>
      <c r="E705" s="16" t="s">
        <v>52</v>
      </c>
      <c r="F705" s="13" t="s">
        <v>1228</v>
      </c>
      <c r="G705" s="13" t="s">
        <v>1965</v>
      </c>
      <c r="H705" s="13" t="s">
        <v>1964</v>
      </c>
      <c r="I705" s="13" t="s">
        <v>63</v>
      </c>
      <c r="J705" s="17" t="s">
        <v>71</v>
      </c>
      <c r="K705" s="17" t="s">
        <v>58</v>
      </c>
      <c r="L705" s="18" t="s">
        <v>52</v>
      </c>
      <c r="M705" s="19">
        <v>19.0</v>
      </c>
      <c r="N705" s="19">
        <v>31.0</v>
      </c>
    </row>
    <row r="706">
      <c r="A706" s="12">
        <v>704.0</v>
      </c>
      <c r="B706" s="13" t="s">
        <v>1297</v>
      </c>
      <c r="C706" s="14">
        <v>14.0</v>
      </c>
      <c r="D706" s="15" t="s">
        <v>1945</v>
      </c>
      <c r="E706" s="16" t="s">
        <v>52</v>
      </c>
      <c r="F706" s="13" t="s">
        <v>1966</v>
      </c>
      <c r="G706" s="13" t="s">
        <v>1967</v>
      </c>
      <c r="H706" s="13" t="s">
        <v>1968</v>
      </c>
      <c r="I706" s="13" t="s">
        <v>63</v>
      </c>
      <c r="J706" s="17" t="s">
        <v>71</v>
      </c>
      <c r="K706" s="17" t="s">
        <v>58</v>
      </c>
      <c r="L706" s="18" t="s">
        <v>52</v>
      </c>
      <c r="M706" s="19">
        <v>19.0</v>
      </c>
      <c r="N706" s="19">
        <v>31.0</v>
      </c>
    </row>
    <row r="707">
      <c r="A707" s="12">
        <v>705.0</v>
      </c>
      <c r="B707" s="13" t="s">
        <v>1297</v>
      </c>
      <c r="C707" s="14">
        <v>15.0</v>
      </c>
      <c r="D707" s="15" t="s">
        <v>1945</v>
      </c>
      <c r="E707" s="16" t="s">
        <v>52</v>
      </c>
      <c r="F707" s="13" t="s">
        <v>1969</v>
      </c>
      <c r="G707" s="13" t="s">
        <v>1970</v>
      </c>
      <c r="H707" s="13" t="s">
        <v>1971</v>
      </c>
      <c r="I707" s="13" t="s">
        <v>63</v>
      </c>
      <c r="J707" s="17" t="s">
        <v>71</v>
      </c>
      <c r="K707" s="17" t="s">
        <v>58</v>
      </c>
      <c r="L707" s="18" t="s">
        <v>52</v>
      </c>
      <c r="M707" s="19">
        <v>19.0</v>
      </c>
      <c r="N707" s="19">
        <v>31.0</v>
      </c>
    </row>
    <row r="708">
      <c r="A708" s="12">
        <v>706.0</v>
      </c>
      <c r="B708" s="13" t="s">
        <v>1297</v>
      </c>
      <c r="C708" s="14">
        <v>16.0</v>
      </c>
      <c r="D708" s="15" t="s">
        <v>1945</v>
      </c>
      <c r="E708" s="16" t="s">
        <v>52</v>
      </c>
      <c r="F708" s="13" t="s">
        <v>1972</v>
      </c>
      <c r="G708" s="13" t="s">
        <v>1973</v>
      </c>
      <c r="H708" s="13" t="s">
        <v>1974</v>
      </c>
      <c r="I708" s="13" t="s">
        <v>63</v>
      </c>
      <c r="J708" s="17" t="s">
        <v>71</v>
      </c>
      <c r="K708" s="17" t="s">
        <v>58</v>
      </c>
      <c r="L708" s="18" t="s">
        <v>52</v>
      </c>
      <c r="M708" s="19">
        <v>19.0</v>
      </c>
      <c r="N708" s="19">
        <v>31.0</v>
      </c>
    </row>
    <row r="709">
      <c r="A709" s="12">
        <v>707.0</v>
      </c>
      <c r="B709" s="13" t="s">
        <v>1297</v>
      </c>
      <c r="C709" s="14">
        <v>17.0</v>
      </c>
      <c r="D709" s="15" t="s">
        <v>1945</v>
      </c>
      <c r="E709" s="16" t="s">
        <v>52</v>
      </c>
      <c r="F709" s="13" t="s">
        <v>1975</v>
      </c>
      <c r="G709" s="13" t="s">
        <v>1976</v>
      </c>
      <c r="H709" s="13" t="s">
        <v>1977</v>
      </c>
      <c r="I709" s="13" t="s">
        <v>63</v>
      </c>
      <c r="J709" s="17" t="s">
        <v>71</v>
      </c>
      <c r="K709" s="17" t="s">
        <v>58</v>
      </c>
      <c r="L709" s="18" t="s">
        <v>52</v>
      </c>
      <c r="M709" s="19">
        <v>19.0</v>
      </c>
      <c r="N709" s="19">
        <v>31.0</v>
      </c>
    </row>
    <row r="710">
      <c r="A710" s="12">
        <v>708.0</v>
      </c>
      <c r="B710" s="13" t="s">
        <v>1297</v>
      </c>
      <c r="C710" s="14">
        <v>18.0</v>
      </c>
      <c r="D710" s="15" t="s">
        <v>1945</v>
      </c>
      <c r="E710" s="16" t="s">
        <v>52</v>
      </c>
      <c r="F710" s="13" t="s">
        <v>1574</v>
      </c>
      <c r="G710" s="13" t="s">
        <v>61</v>
      </c>
      <c r="H710" s="13" t="s">
        <v>1575</v>
      </c>
      <c r="I710" s="13" t="s">
        <v>63</v>
      </c>
      <c r="J710" s="17" t="s">
        <v>71</v>
      </c>
      <c r="K710" s="17" t="s">
        <v>58</v>
      </c>
      <c r="L710" s="18" t="s">
        <v>52</v>
      </c>
      <c r="M710" s="19">
        <v>19.0</v>
      </c>
      <c r="N710" s="19">
        <v>31.0</v>
      </c>
    </row>
    <row r="711">
      <c r="A711" s="12">
        <v>709.0</v>
      </c>
      <c r="B711" s="13" t="s">
        <v>1297</v>
      </c>
      <c r="C711" s="14">
        <v>19.0</v>
      </c>
      <c r="D711" s="15" t="s">
        <v>1945</v>
      </c>
      <c r="E711" s="16" t="s">
        <v>52</v>
      </c>
      <c r="F711" s="13" t="s">
        <v>1249</v>
      </c>
      <c r="G711" s="13" t="s">
        <v>1250</v>
      </c>
      <c r="H711" s="13" t="s">
        <v>1981</v>
      </c>
      <c r="I711" s="13" t="s">
        <v>63</v>
      </c>
      <c r="J711" s="17" t="s">
        <v>71</v>
      </c>
      <c r="K711" s="17" t="s">
        <v>58</v>
      </c>
      <c r="L711" s="18" t="s">
        <v>52</v>
      </c>
      <c r="M711" s="19">
        <v>19.0</v>
      </c>
      <c r="N711" s="19">
        <v>31.0</v>
      </c>
    </row>
    <row r="712">
      <c r="A712" s="12">
        <v>710.0</v>
      </c>
      <c r="B712" s="13" t="s">
        <v>1297</v>
      </c>
      <c r="C712" s="14">
        <v>20.0</v>
      </c>
      <c r="D712" s="15" t="s">
        <v>1941</v>
      </c>
      <c r="E712" s="16" t="s">
        <v>52</v>
      </c>
      <c r="F712" s="13" t="s">
        <v>1833</v>
      </c>
      <c r="G712" s="13" t="s">
        <v>1982</v>
      </c>
      <c r="H712" s="13" t="s">
        <v>1983</v>
      </c>
      <c r="I712" s="13" t="s">
        <v>63</v>
      </c>
      <c r="J712" s="17" t="s">
        <v>71</v>
      </c>
      <c r="K712" s="17" t="s">
        <v>58</v>
      </c>
      <c r="L712" s="18" t="s">
        <v>52</v>
      </c>
      <c r="M712" s="19">
        <v>19.0</v>
      </c>
      <c r="N712" s="19">
        <v>31.0</v>
      </c>
    </row>
    <row r="713">
      <c r="A713" s="12">
        <v>711.0</v>
      </c>
      <c r="B713" s="13" t="s">
        <v>1297</v>
      </c>
      <c r="C713" s="14">
        <v>21.0</v>
      </c>
      <c r="D713" s="15" t="s">
        <v>1941</v>
      </c>
      <c r="E713" s="16" t="s">
        <v>52</v>
      </c>
      <c r="F713" s="13" t="s">
        <v>1431</v>
      </c>
      <c r="G713" s="13" t="s">
        <v>1985</v>
      </c>
      <c r="H713" s="13" t="s">
        <v>1986</v>
      </c>
      <c r="I713" s="13" t="s">
        <v>63</v>
      </c>
      <c r="J713" s="17" t="s">
        <v>71</v>
      </c>
      <c r="K713" s="17" t="s">
        <v>58</v>
      </c>
      <c r="L713" s="18" t="s">
        <v>52</v>
      </c>
      <c r="M713" s="19">
        <v>19.0</v>
      </c>
      <c r="N713" s="19">
        <v>31.0</v>
      </c>
    </row>
    <row r="714">
      <c r="A714" s="12">
        <v>712.0</v>
      </c>
      <c r="B714" s="13" t="s">
        <v>1297</v>
      </c>
      <c r="C714" s="14">
        <v>22.0</v>
      </c>
      <c r="D714" s="15" t="s">
        <v>1941</v>
      </c>
      <c r="E714" s="16" t="s">
        <v>52</v>
      </c>
      <c r="F714" s="13" t="s">
        <v>1817</v>
      </c>
      <c r="G714" s="13" t="s">
        <v>1982</v>
      </c>
      <c r="H714" s="13" t="s">
        <v>1983</v>
      </c>
      <c r="I714" s="13" t="s">
        <v>63</v>
      </c>
      <c r="J714" s="17" t="s">
        <v>71</v>
      </c>
      <c r="K714" s="17" t="s">
        <v>58</v>
      </c>
      <c r="L714" s="18" t="s">
        <v>52</v>
      </c>
      <c r="M714" s="19">
        <v>19.0</v>
      </c>
      <c r="N714" s="19">
        <v>31.0</v>
      </c>
    </row>
    <row r="715">
      <c r="A715" s="12">
        <v>713.0</v>
      </c>
      <c r="B715" s="13" t="s">
        <v>1297</v>
      </c>
      <c r="C715" s="14">
        <v>23.0</v>
      </c>
      <c r="D715" s="15" t="s">
        <v>1941</v>
      </c>
      <c r="E715" s="16" t="s">
        <v>52</v>
      </c>
      <c r="F715" s="13" t="s">
        <v>1989</v>
      </c>
      <c r="G715" s="13" t="s">
        <v>1990</v>
      </c>
      <c r="H715" s="13" t="s">
        <v>1991</v>
      </c>
      <c r="I715" s="13" t="s">
        <v>63</v>
      </c>
      <c r="J715" s="17" t="s">
        <v>71</v>
      </c>
      <c r="K715" s="17" t="s">
        <v>58</v>
      </c>
      <c r="L715" s="18" t="s">
        <v>52</v>
      </c>
      <c r="M715" s="19">
        <v>19.0</v>
      </c>
      <c r="N715" s="19">
        <v>31.0</v>
      </c>
    </row>
    <row r="716">
      <c r="A716" s="12">
        <v>714.0</v>
      </c>
      <c r="B716" s="13" t="s">
        <v>1297</v>
      </c>
      <c r="C716" s="14">
        <v>24.0</v>
      </c>
      <c r="D716" s="15" t="s">
        <v>1941</v>
      </c>
      <c r="E716" s="16" t="s">
        <v>52</v>
      </c>
      <c r="F716" s="13" t="s">
        <v>1993</v>
      </c>
      <c r="G716" s="13" t="s">
        <v>1994</v>
      </c>
      <c r="H716" s="13" t="s">
        <v>1995</v>
      </c>
      <c r="I716" s="13" t="s">
        <v>63</v>
      </c>
      <c r="J716" s="17" t="s">
        <v>71</v>
      </c>
      <c r="K716" s="17" t="s">
        <v>58</v>
      </c>
      <c r="L716" s="18" t="s">
        <v>52</v>
      </c>
      <c r="M716" s="19">
        <v>19.0</v>
      </c>
      <c r="N716" s="19">
        <v>31.0</v>
      </c>
    </row>
    <row r="717">
      <c r="A717" s="12">
        <v>715.0</v>
      </c>
      <c r="B717" s="13" t="s">
        <v>1297</v>
      </c>
      <c r="C717" s="14">
        <v>25.0</v>
      </c>
      <c r="D717" s="15" t="s">
        <v>1941</v>
      </c>
      <c r="E717" s="16" t="s">
        <v>52</v>
      </c>
      <c r="F717" s="13" t="s">
        <v>1823</v>
      </c>
      <c r="G717" s="13" t="s">
        <v>1824</v>
      </c>
      <c r="H717" s="13" t="s">
        <v>1825</v>
      </c>
      <c r="I717" s="13" t="s">
        <v>63</v>
      </c>
      <c r="J717" s="17" t="s">
        <v>71</v>
      </c>
      <c r="K717" s="17" t="s">
        <v>58</v>
      </c>
      <c r="L717" s="18" t="s">
        <v>52</v>
      </c>
      <c r="M717" s="19">
        <v>19.0</v>
      </c>
      <c r="N717" s="19">
        <v>31.0</v>
      </c>
    </row>
    <row r="718">
      <c r="A718" s="12">
        <v>716.0</v>
      </c>
      <c r="B718" s="13" t="s">
        <v>1297</v>
      </c>
      <c r="C718" s="14">
        <v>26.0</v>
      </c>
      <c r="D718" s="15" t="s">
        <v>1941</v>
      </c>
      <c r="E718" s="16" t="s">
        <v>52</v>
      </c>
      <c r="F718" s="13" t="s">
        <v>1997</v>
      </c>
      <c r="G718" s="13" t="s">
        <v>1998</v>
      </c>
      <c r="H718" s="13" t="s">
        <v>1999</v>
      </c>
      <c r="I718" s="13" t="s">
        <v>63</v>
      </c>
      <c r="J718" s="17" t="s">
        <v>71</v>
      </c>
      <c r="K718" s="17" t="s">
        <v>58</v>
      </c>
      <c r="L718" s="18" t="s">
        <v>52</v>
      </c>
      <c r="M718" s="19">
        <v>19.0</v>
      </c>
      <c r="N718" s="19">
        <v>31.0</v>
      </c>
    </row>
    <row r="719">
      <c r="A719" s="12">
        <v>717.0</v>
      </c>
      <c r="B719" s="13" t="s">
        <v>1297</v>
      </c>
      <c r="C719" s="14">
        <v>27.0</v>
      </c>
      <c r="D719" s="15" t="s">
        <v>1941</v>
      </c>
      <c r="E719" s="16" t="s">
        <v>52</v>
      </c>
      <c r="F719" s="13" t="s">
        <v>2000</v>
      </c>
      <c r="G719" s="13" t="s">
        <v>2001</v>
      </c>
      <c r="H719" s="13" t="s">
        <v>2002</v>
      </c>
      <c r="I719" s="13" t="s">
        <v>63</v>
      </c>
      <c r="J719" s="17" t="s">
        <v>71</v>
      </c>
      <c r="K719" s="17" t="s">
        <v>58</v>
      </c>
      <c r="L719" s="18" t="s">
        <v>52</v>
      </c>
      <c r="M719" s="19">
        <v>19.0</v>
      </c>
      <c r="N719" s="19">
        <v>31.0</v>
      </c>
    </row>
    <row r="720">
      <c r="A720" s="12">
        <v>718.0</v>
      </c>
      <c r="B720" s="13" t="s">
        <v>1297</v>
      </c>
      <c r="C720" s="14">
        <v>28.0</v>
      </c>
      <c r="D720" s="15" t="s">
        <v>1941</v>
      </c>
      <c r="E720" s="16" t="s">
        <v>52</v>
      </c>
      <c r="F720" s="13" t="s">
        <v>2003</v>
      </c>
      <c r="G720" s="13" t="s">
        <v>1982</v>
      </c>
      <c r="H720" s="13" t="s">
        <v>1983</v>
      </c>
      <c r="I720" s="13" t="s">
        <v>63</v>
      </c>
      <c r="J720" s="17" t="s">
        <v>71</v>
      </c>
      <c r="K720" s="17" t="s">
        <v>58</v>
      </c>
      <c r="L720" s="18" t="s">
        <v>52</v>
      </c>
      <c r="M720" s="19">
        <v>19.0</v>
      </c>
      <c r="N720" s="19">
        <v>31.0</v>
      </c>
    </row>
    <row r="721">
      <c r="A721" s="12">
        <v>719.0</v>
      </c>
      <c r="B721" s="13" t="s">
        <v>1297</v>
      </c>
      <c r="C721" s="14">
        <v>29.0</v>
      </c>
      <c r="D721" s="15" t="s">
        <v>1941</v>
      </c>
      <c r="E721" s="16" t="s">
        <v>52</v>
      </c>
      <c r="F721" s="13" t="s">
        <v>1820</v>
      </c>
      <c r="G721" s="13" t="s">
        <v>2004</v>
      </c>
      <c r="H721" s="13" t="s">
        <v>2005</v>
      </c>
      <c r="I721" s="13" t="s">
        <v>63</v>
      </c>
      <c r="J721" s="17" t="s">
        <v>71</v>
      </c>
      <c r="K721" s="17" t="s">
        <v>58</v>
      </c>
      <c r="L721" s="18" t="s">
        <v>52</v>
      </c>
      <c r="M721" s="19">
        <v>19.0</v>
      </c>
      <c r="N721" s="19">
        <v>31.0</v>
      </c>
    </row>
    <row r="722">
      <c r="A722" s="12">
        <v>720.0</v>
      </c>
      <c r="B722" s="13" t="s">
        <v>1297</v>
      </c>
      <c r="C722" s="14">
        <v>30.0</v>
      </c>
      <c r="D722" s="15" t="s">
        <v>1941</v>
      </c>
      <c r="E722" s="16" t="s">
        <v>52</v>
      </c>
      <c r="F722" s="13" t="s">
        <v>2006</v>
      </c>
      <c r="G722" s="13" t="s">
        <v>61</v>
      </c>
      <c r="H722" s="13" t="s">
        <v>2007</v>
      </c>
      <c r="I722" s="13" t="s">
        <v>63</v>
      </c>
      <c r="J722" s="17" t="s">
        <v>71</v>
      </c>
      <c r="K722" s="17" t="s">
        <v>58</v>
      </c>
      <c r="L722" s="18" t="s">
        <v>52</v>
      </c>
      <c r="M722" s="19">
        <v>19.0</v>
      </c>
      <c r="N722" s="19">
        <v>31.0</v>
      </c>
    </row>
    <row r="723">
      <c r="A723" s="12">
        <v>721.0</v>
      </c>
      <c r="B723" s="13" t="s">
        <v>2008</v>
      </c>
      <c r="C723" s="14">
        <v>1.0</v>
      </c>
      <c r="D723" s="15" t="s">
        <v>2009</v>
      </c>
      <c r="E723" s="16" t="s">
        <v>52</v>
      </c>
      <c r="F723" s="13" t="s">
        <v>1463</v>
      </c>
      <c r="G723" s="13" t="s">
        <v>2010</v>
      </c>
      <c r="H723" s="13" t="s">
        <v>2011</v>
      </c>
      <c r="I723" s="13" t="s">
        <v>56</v>
      </c>
      <c r="J723" s="17" t="s">
        <v>57</v>
      </c>
      <c r="K723" s="17" t="s">
        <v>58</v>
      </c>
      <c r="L723" s="18" t="s">
        <v>52</v>
      </c>
      <c r="M723" s="19">
        <v>20.0</v>
      </c>
      <c r="N723" s="19">
        <v>10.0</v>
      </c>
    </row>
    <row r="724">
      <c r="A724" s="12">
        <v>722.0</v>
      </c>
      <c r="B724" s="13" t="s">
        <v>2008</v>
      </c>
      <c r="C724" s="14">
        <v>2.0</v>
      </c>
      <c r="D724" s="15" t="s">
        <v>2009</v>
      </c>
      <c r="E724" s="16" t="s">
        <v>52</v>
      </c>
      <c r="F724" s="13" t="s">
        <v>1012</v>
      </c>
      <c r="G724" s="13" t="s">
        <v>1013</v>
      </c>
      <c r="H724" s="13" t="s">
        <v>2012</v>
      </c>
      <c r="I724" s="13" t="s">
        <v>56</v>
      </c>
      <c r="J724" s="17" t="s">
        <v>67</v>
      </c>
      <c r="K724" s="17" t="s">
        <v>58</v>
      </c>
      <c r="L724" s="18" t="s">
        <v>52</v>
      </c>
      <c r="M724" s="19">
        <v>20.0</v>
      </c>
      <c r="N724" s="19">
        <v>20.0</v>
      </c>
    </row>
    <row r="725">
      <c r="A725" s="12">
        <v>723.0</v>
      </c>
      <c r="B725" s="13" t="s">
        <v>2008</v>
      </c>
      <c r="C725" s="14">
        <v>3.0</v>
      </c>
      <c r="D725" s="15" t="s">
        <v>2009</v>
      </c>
      <c r="E725" s="16" t="s">
        <v>52</v>
      </c>
      <c r="F725" s="13" t="s">
        <v>2013</v>
      </c>
      <c r="G725" s="13" t="s">
        <v>2014</v>
      </c>
      <c r="H725" s="13" t="s">
        <v>2015</v>
      </c>
      <c r="I725" s="13" t="s">
        <v>56</v>
      </c>
      <c r="J725" s="17" t="s">
        <v>67</v>
      </c>
      <c r="K725" s="17" t="s">
        <v>58</v>
      </c>
      <c r="L725" s="18" t="s">
        <v>52</v>
      </c>
      <c r="M725" s="19">
        <v>20.0</v>
      </c>
      <c r="N725" s="19">
        <v>20.0</v>
      </c>
    </row>
    <row r="726">
      <c r="A726" s="12">
        <v>724.0</v>
      </c>
      <c r="B726" s="13" t="s">
        <v>2008</v>
      </c>
      <c r="C726" s="14">
        <v>4.0</v>
      </c>
      <c r="D726" s="15" t="s">
        <v>2009</v>
      </c>
      <c r="E726" s="16" t="s">
        <v>52</v>
      </c>
      <c r="F726" s="13" t="s">
        <v>2016</v>
      </c>
      <c r="G726" s="13" t="s">
        <v>2017</v>
      </c>
      <c r="H726" s="13" t="s">
        <v>2018</v>
      </c>
      <c r="I726" s="13" t="s">
        <v>56</v>
      </c>
      <c r="J726" s="17" t="s">
        <v>67</v>
      </c>
      <c r="K726" s="17" t="s">
        <v>58</v>
      </c>
      <c r="L726" s="18" t="s">
        <v>52</v>
      </c>
      <c r="M726" s="19">
        <v>20.0</v>
      </c>
      <c r="N726" s="19">
        <v>20.0</v>
      </c>
    </row>
    <row r="727">
      <c r="A727" s="12">
        <v>725.0</v>
      </c>
      <c r="B727" s="13" t="s">
        <v>2008</v>
      </c>
      <c r="C727" s="14">
        <v>5.0</v>
      </c>
      <c r="D727" s="15" t="s">
        <v>2009</v>
      </c>
      <c r="E727" s="16" t="s">
        <v>52</v>
      </c>
      <c r="F727" s="13" t="s">
        <v>2019</v>
      </c>
      <c r="G727" s="13" t="s">
        <v>2020</v>
      </c>
      <c r="H727" s="13" t="s">
        <v>2021</v>
      </c>
      <c r="I727" s="13" t="s">
        <v>56</v>
      </c>
      <c r="J727" s="17" t="s">
        <v>67</v>
      </c>
      <c r="K727" s="17" t="s">
        <v>58</v>
      </c>
      <c r="L727" s="18" t="s">
        <v>52</v>
      </c>
      <c r="M727" s="19">
        <v>20.0</v>
      </c>
      <c r="N727" s="19">
        <v>20.0</v>
      </c>
    </row>
    <row r="728">
      <c r="A728" s="12">
        <v>726.0</v>
      </c>
      <c r="B728" s="13" t="s">
        <v>2008</v>
      </c>
      <c r="C728" s="14">
        <v>6.0</v>
      </c>
      <c r="D728" s="15" t="s">
        <v>2009</v>
      </c>
      <c r="E728" s="16" t="s">
        <v>52</v>
      </c>
      <c r="F728" s="13" t="s">
        <v>1665</v>
      </c>
      <c r="G728" s="13" t="s">
        <v>2022</v>
      </c>
      <c r="H728" s="13" t="s">
        <v>2023</v>
      </c>
      <c r="I728" s="13" t="s">
        <v>56</v>
      </c>
      <c r="J728" s="17" t="s">
        <v>67</v>
      </c>
      <c r="K728" s="17" t="s">
        <v>58</v>
      </c>
      <c r="L728" s="18" t="s">
        <v>52</v>
      </c>
      <c r="M728" s="19">
        <v>20.0</v>
      </c>
      <c r="N728" s="19">
        <v>20.0</v>
      </c>
    </row>
    <row r="729">
      <c r="A729" s="12">
        <v>727.0</v>
      </c>
      <c r="B729" s="13" t="s">
        <v>2008</v>
      </c>
      <c r="C729" s="14">
        <v>7.0</v>
      </c>
      <c r="D729" s="15" t="s">
        <v>2009</v>
      </c>
      <c r="E729" s="16" t="s">
        <v>52</v>
      </c>
      <c r="F729" s="13" t="s">
        <v>2024</v>
      </c>
      <c r="G729" s="13" t="s">
        <v>61</v>
      </c>
      <c r="H729" s="13" t="s">
        <v>2025</v>
      </c>
      <c r="I729" s="13" t="s">
        <v>63</v>
      </c>
      <c r="J729" s="17" t="s">
        <v>67</v>
      </c>
      <c r="K729" s="17" t="s">
        <v>58</v>
      </c>
      <c r="L729" s="18" t="s">
        <v>52</v>
      </c>
      <c r="M729" s="19">
        <v>20.0</v>
      </c>
      <c r="N729" s="19">
        <v>21.0</v>
      </c>
    </row>
    <row r="730">
      <c r="A730" s="12">
        <v>728.0</v>
      </c>
      <c r="B730" s="13" t="s">
        <v>2008</v>
      </c>
      <c r="C730" s="14">
        <v>8.0</v>
      </c>
      <c r="D730" s="15" t="s">
        <v>2009</v>
      </c>
      <c r="E730" s="16" t="s">
        <v>52</v>
      </c>
      <c r="F730" s="13" t="s">
        <v>605</v>
      </c>
      <c r="G730" s="13" t="s">
        <v>2026</v>
      </c>
      <c r="H730" s="13" t="s">
        <v>2027</v>
      </c>
      <c r="I730" s="13" t="s">
        <v>63</v>
      </c>
      <c r="J730" s="17" t="s">
        <v>67</v>
      </c>
      <c r="K730" s="17" t="s">
        <v>58</v>
      </c>
      <c r="L730" s="18" t="s">
        <v>52</v>
      </c>
      <c r="M730" s="19">
        <v>20.0</v>
      </c>
      <c r="N730" s="19">
        <v>21.0</v>
      </c>
    </row>
    <row r="731">
      <c r="A731" s="12">
        <v>729.0</v>
      </c>
      <c r="B731" s="13" t="s">
        <v>2008</v>
      </c>
      <c r="C731" s="14">
        <v>9.0</v>
      </c>
      <c r="D731" s="15" t="s">
        <v>2009</v>
      </c>
      <c r="E731" s="16" t="s">
        <v>52</v>
      </c>
      <c r="F731" s="13" t="s">
        <v>1171</v>
      </c>
      <c r="G731" s="13" t="s">
        <v>2028</v>
      </c>
      <c r="H731" s="13" t="s">
        <v>2029</v>
      </c>
      <c r="I731" s="13" t="s">
        <v>63</v>
      </c>
      <c r="J731" s="17" t="s">
        <v>67</v>
      </c>
      <c r="K731" s="17" t="s">
        <v>58</v>
      </c>
      <c r="L731" s="18" t="s">
        <v>52</v>
      </c>
      <c r="M731" s="19">
        <v>20.0</v>
      </c>
      <c r="N731" s="19">
        <v>21.0</v>
      </c>
    </row>
    <row r="732">
      <c r="A732" s="12">
        <v>730.0</v>
      </c>
      <c r="B732" s="13" t="s">
        <v>2008</v>
      </c>
      <c r="C732" s="14">
        <v>10.0</v>
      </c>
      <c r="D732" s="15" t="s">
        <v>2030</v>
      </c>
      <c r="E732" s="16" t="s">
        <v>52</v>
      </c>
      <c r="F732" s="13" t="s">
        <v>2031</v>
      </c>
      <c r="G732" s="13" t="s">
        <v>2032</v>
      </c>
      <c r="H732" s="13" t="s">
        <v>2033</v>
      </c>
      <c r="I732" s="13" t="s">
        <v>63</v>
      </c>
      <c r="J732" s="17" t="s">
        <v>71</v>
      </c>
      <c r="K732" s="17" t="s">
        <v>58</v>
      </c>
      <c r="L732" s="18" t="s">
        <v>52</v>
      </c>
      <c r="M732" s="19">
        <v>20.0</v>
      </c>
      <c r="N732" s="19">
        <v>31.0</v>
      </c>
    </row>
    <row r="733">
      <c r="A733" s="12">
        <v>731.0</v>
      </c>
      <c r="B733" s="13" t="s">
        <v>2008</v>
      </c>
      <c r="C733" s="14">
        <v>11.0</v>
      </c>
      <c r="D733" s="15" t="s">
        <v>2030</v>
      </c>
      <c r="E733" s="16" t="s">
        <v>52</v>
      </c>
      <c r="F733" s="13" t="s">
        <v>1878</v>
      </c>
      <c r="G733" s="13" t="s">
        <v>2034</v>
      </c>
      <c r="H733" s="13" t="s">
        <v>2035</v>
      </c>
      <c r="I733" s="13" t="s">
        <v>63</v>
      </c>
      <c r="J733" s="17" t="s">
        <v>71</v>
      </c>
      <c r="K733" s="17" t="s">
        <v>58</v>
      </c>
      <c r="L733" s="18" t="s">
        <v>52</v>
      </c>
      <c r="M733" s="19">
        <v>20.0</v>
      </c>
      <c r="N733" s="19">
        <v>31.0</v>
      </c>
    </row>
    <row r="734">
      <c r="A734" s="12">
        <v>732.0</v>
      </c>
      <c r="B734" s="13" t="s">
        <v>2008</v>
      </c>
      <c r="C734" s="14">
        <v>12.0</v>
      </c>
      <c r="D734" s="15" t="s">
        <v>2009</v>
      </c>
      <c r="E734" s="16" t="s">
        <v>52</v>
      </c>
      <c r="F734" s="13" t="s">
        <v>2036</v>
      </c>
      <c r="G734" s="13" t="s">
        <v>2037</v>
      </c>
      <c r="H734" s="13" t="s">
        <v>2038</v>
      </c>
      <c r="I734" s="13" t="s">
        <v>63</v>
      </c>
      <c r="J734" s="17" t="s">
        <v>71</v>
      </c>
      <c r="K734" s="17" t="s">
        <v>58</v>
      </c>
      <c r="L734" s="18" t="s">
        <v>52</v>
      </c>
      <c r="M734" s="19">
        <v>20.0</v>
      </c>
      <c r="N734" s="19">
        <v>31.0</v>
      </c>
    </row>
    <row r="735">
      <c r="A735" s="12">
        <v>733.0</v>
      </c>
      <c r="B735" s="13" t="s">
        <v>2008</v>
      </c>
      <c r="C735" s="14">
        <v>13.0</v>
      </c>
      <c r="D735" s="15" t="s">
        <v>2009</v>
      </c>
      <c r="E735" s="16" t="s">
        <v>52</v>
      </c>
      <c r="F735" s="13" t="s">
        <v>2039</v>
      </c>
      <c r="G735" s="13" t="s">
        <v>2040</v>
      </c>
      <c r="H735" s="13" t="s">
        <v>2041</v>
      </c>
      <c r="I735" s="13" t="s">
        <v>63</v>
      </c>
      <c r="J735" s="17" t="s">
        <v>71</v>
      </c>
      <c r="K735" s="17" t="s">
        <v>58</v>
      </c>
      <c r="L735" s="18" t="s">
        <v>52</v>
      </c>
      <c r="M735" s="19">
        <v>20.0</v>
      </c>
      <c r="N735" s="19">
        <v>31.0</v>
      </c>
    </row>
    <row r="736">
      <c r="A736" s="12">
        <v>734.0</v>
      </c>
      <c r="B736" s="13" t="s">
        <v>2008</v>
      </c>
      <c r="C736" s="14">
        <v>14.0</v>
      </c>
      <c r="D736" s="15" t="s">
        <v>2009</v>
      </c>
      <c r="E736" s="16" t="s">
        <v>52</v>
      </c>
      <c r="F736" s="13" t="s">
        <v>2042</v>
      </c>
      <c r="G736" s="13" t="s">
        <v>2043</v>
      </c>
      <c r="H736" s="13" t="s">
        <v>2044</v>
      </c>
      <c r="I736" s="13" t="s">
        <v>63</v>
      </c>
      <c r="J736" s="17" t="s">
        <v>71</v>
      </c>
      <c r="K736" s="17" t="s">
        <v>58</v>
      </c>
      <c r="L736" s="18" t="s">
        <v>52</v>
      </c>
      <c r="M736" s="19">
        <v>20.0</v>
      </c>
      <c r="N736" s="19">
        <v>31.0</v>
      </c>
    </row>
    <row r="737">
      <c r="A737" s="12">
        <v>735.0</v>
      </c>
      <c r="B737" s="13" t="s">
        <v>2008</v>
      </c>
      <c r="C737" s="14">
        <v>15.0</v>
      </c>
      <c r="D737" s="15" t="s">
        <v>2009</v>
      </c>
      <c r="E737" s="16" t="s">
        <v>52</v>
      </c>
      <c r="F737" s="13" t="s">
        <v>2046</v>
      </c>
      <c r="G737" s="13" t="s">
        <v>2047</v>
      </c>
      <c r="H737" s="13" t="s">
        <v>2048</v>
      </c>
      <c r="I737" s="13" t="s">
        <v>63</v>
      </c>
      <c r="J737" s="17" t="s">
        <v>71</v>
      </c>
      <c r="K737" s="17" t="s">
        <v>58</v>
      </c>
      <c r="L737" s="18" t="s">
        <v>52</v>
      </c>
      <c r="M737" s="19">
        <v>20.0</v>
      </c>
      <c r="N737" s="19">
        <v>31.0</v>
      </c>
    </row>
    <row r="738">
      <c r="A738" s="12">
        <v>736.0</v>
      </c>
      <c r="B738" s="13" t="s">
        <v>2008</v>
      </c>
      <c r="C738" s="14">
        <v>16.0</v>
      </c>
      <c r="D738" s="15" t="s">
        <v>2009</v>
      </c>
      <c r="E738" s="16" t="s">
        <v>52</v>
      </c>
      <c r="F738" s="13" t="s">
        <v>2049</v>
      </c>
      <c r="G738" s="13" t="s">
        <v>2050</v>
      </c>
      <c r="H738" s="13" t="s">
        <v>2051</v>
      </c>
      <c r="I738" s="13" t="s">
        <v>63</v>
      </c>
      <c r="J738" s="17" t="s">
        <v>71</v>
      </c>
      <c r="K738" s="17" t="s">
        <v>58</v>
      </c>
      <c r="L738" s="18" t="s">
        <v>52</v>
      </c>
      <c r="M738" s="19">
        <v>20.0</v>
      </c>
      <c r="N738" s="19">
        <v>31.0</v>
      </c>
    </row>
    <row r="739">
      <c r="A739" s="12">
        <v>737.0</v>
      </c>
      <c r="B739" s="13" t="s">
        <v>2008</v>
      </c>
      <c r="C739" s="14">
        <v>17.0</v>
      </c>
      <c r="D739" s="15" t="s">
        <v>2009</v>
      </c>
      <c r="E739" s="16" t="s">
        <v>52</v>
      </c>
      <c r="F739" s="13" t="s">
        <v>2053</v>
      </c>
      <c r="G739" s="13" t="s">
        <v>1406</v>
      </c>
      <c r="H739" s="13" t="s">
        <v>2054</v>
      </c>
      <c r="I739" s="13" t="s">
        <v>63</v>
      </c>
      <c r="J739" s="17" t="s">
        <v>71</v>
      </c>
      <c r="K739" s="17" t="s">
        <v>58</v>
      </c>
      <c r="L739" s="18" t="s">
        <v>52</v>
      </c>
      <c r="M739" s="19">
        <v>20.0</v>
      </c>
      <c r="N739" s="19">
        <v>31.0</v>
      </c>
    </row>
    <row r="740">
      <c r="A740" s="12">
        <v>738.0</v>
      </c>
      <c r="B740" s="13" t="s">
        <v>2008</v>
      </c>
      <c r="C740" s="14">
        <v>18.0</v>
      </c>
      <c r="D740" s="15" t="s">
        <v>2009</v>
      </c>
      <c r="E740" s="16" t="s">
        <v>52</v>
      </c>
      <c r="F740" s="13" t="s">
        <v>1522</v>
      </c>
      <c r="G740" s="13" t="s">
        <v>1523</v>
      </c>
      <c r="H740" s="13" t="s">
        <v>2056</v>
      </c>
      <c r="I740" s="13" t="s">
        <v>63</v>
      </c>
      <c r="J740" s="17" t="s">
        <v>71</v>
      </c>
      <c r="K740" s="17" t="s">
        <v>58</v>
      </c>
      <c r="L740" s="18" t="s">
        <v>52</v>
      </c>
      <c r="M740" s="19">
        <v>20.0</v>
      </c>
      <c r="N740" s="19">
        <v>31.0</v>
      </c>
    </row>
    <row r="741">
      <c r="A741" s="12">
        <v>739.0</v>
      </c>
      <c r="B741" s="13" t="s">
        <v>2008</v>
      </c>
      <c r="C741" s="14">
        <v>19.0</v>
      </c>
      <c r="D741" s="15" t="s">
        <v>2009</v>
      </c>
      <c r="E741" s="16" t="s">
        <v>52</v>
      </c>
      <c r="F741" s="13" t="s">
        <v>2058</v>
      </c>
      <c r="G741" s="13" t="s">
        <v>2059</v>
      </c>
      <c r="H741" s="13" t="s">
        <v>2060</v>
      </c>
      <c r="I741" s="13" t="s">
        <v>63</v>
      </c>
      <c r="J741" s="17" t="s">
        <v>71</v>
      </c>
      <c r="K741" s="17" t="s">
        <v>58</v>
      </c>
      <c r="L741" s="18" t="s">
        <v>52</v>
      </c>
      <c r="M741" s="19">
        <v>20.0</v>
      </c>
      <c r="N741" s="19">
        <v>31.0</v>
      </c>
    </row>
    <row r="742">
      <c r="A742" s="12">
        <v>740.0</v>
      </c>
      <c r="B742" s="13" t="s">
        <v>2008</v>
      </c>
      <c r="C742" s="14">
        <v>20.0</v>
      </c>
      <c r="D742" s="15" t="s">
        <v>2009</v>
      </c>
      <c r="E742" s="16" t="s">
        <v>52</v>
      </c>
      <c r="F742" s="13" t="s">
        <v>2062</v>
      </c>
      <c r="G742" s="13" t="s">
        <v>2063</v>
      </c>
      <c r="H742" s="13" t="s">
        <v>2064</v>
      </c>
      <c r="I742" s="13" t="s">
        <v>63</v>
      </c>
      <c r="J742" s="17" t="s">
        <v>71</v>
      </c>
      <c r="K742" s="17" t="s">
        <v>58</v>
      </c>
      <c r="L742" s="18" t="s">
        <v>52</v>
      </c>
      <c r="M742" s="19">
        <v>20.0</v>
      </c>
      <c r="N742" s="19">
        <v>31.0</v>
      </c>
    </row>
    <row r="743">
      <c r="A743" s="12">
        <v>741.0</v>
      </c>
      <c r="B743" s="13" t="s">
        <v>2008</v>
      </c>
      <c r="C743" s="14">
        <v>21.0</v>
      </c>
      <c r="D743" s="15" t="s">
        <v>2009</v>
      </c>
      <c r="E743" s="16" t="s">
        <v>52</v>
      </c>
      <c r="F743" s="13" t="s">
        <v>2065</v>
      </c>
      <c r="G743" s="13" t="s">
        <v>61</v>
      </c>
      <c r="H743" s="13" t="s">
        <v>2066</v>
      </c>
      <c r="I743" s="13" t="s">
        <v>63</v>
      </c>
      <c r="J743" s="17" t="s">
        <v>71</v>
      </c>
      <c r="K743" s="17" t="s">
        <v>58</v>
      </c>
      <c r="L743" s="18" t="s">
        <v>52</v>
      </c>
      <c r="M743" s="19">
        <v>20.0</v>
      </c>
      <c r="N743" s="19">
        <v>31.0</v>
      </c>
    </row>
    <row r="744">
      <c r="A744" s="12">
        <v>742.0</v>
      </c>
      <c r="B744" s="13" t="s">
        <v>2008</v>
      </c>
      <c r="C744" s="14">
        <v>22.0</v>
      </c>
      <c r="D744" s="15" t="s">
        <v>2009</v>
      </c>
      <c r="E744" s="16" t="s">
        <v>52</v>
      </c>
      <c r="F744" s="13" t="s">
        <v>2068</v>
      </c>
      <c r="G744" s="13" t="s">
        <v>2069</v>
      </c>
      <c r="H744" s="13" t="s">
        <v>2070</v>
      </c>
      <c r="I744" s="13" t="s">
        <v>63</v>
      </c>
      <c r="J744" s="17" t="s">
        <v>71</v>
      </c>
      <c r="K744" s="17" t="s">
        <v>58</v>
      </c>
      <c r="L744" s="18" t="s">
        <v>52</v>
      </c>
      <c r="M744" s="19">
        <v>20.0</v>
      </c>
      <c r="N744" s="19">
        <v>31.0</v>
      </c>
    </row>
    <row r="745">
      <c r="A745" s="12">
        <v>743.0</v>
      </c>
      <c r="B745" s="13" t="s">
        <v>2008</v>
      </c>
      <c r="C745" s="14">
        <v>23.0</v>
      </c>
      <c r="D745" s="15" t="s">
        <v>2009</v>
      </c>
      <c r="E745" s="16" t="s">
        <v>52</v>
      </c>
      <c r="F745" s="13" t="s">
        <v>2072</v>
      </c>
      <c r="G745" s="13" t="s">
        <v>2073</v>
      </c>
      <c r="H745" s="13" t="s">
        <v>2074</v>
      </c>
      <c r="I745" s="13" t="s">
        <v>63</v>
      </c>
      <c r="J745" s="17" t="s">
        <v>71</v>
      </c>
      <c r="K745" s="17" t="s">
        <v>58</v>
      </c>
      <c r="L745" s="18" t="s">
        <v>52</v>
      </c>
      <c r="M745" s="19">
        <v>20.0</v>
      </c>
      <c r="N745" s="19">
        <v>31.0</v>
      </c>
    </row>
    <row r="746">
      <c r="A746" s="12">
        <v>744.0</v>
      </c>
      <c r="B746" s="13" t="s">
        <v>2008</v>
      </c>
      <c r="C746" s="14">
        <v>24.0</v>
      </c>
      <c r="D746" s="15" t="s">
        <v>2009</v>
      </c>
      <c r="E746" s="16" t="s">
        <v>52</v>
      </c>
      <c r="F746" s="13" t="s">
        <v>2076</v>
      </c>
      <c r="G746" s="13" t="s">
        <v>2077</v>
      </c>
      <c r="H746" s="13" t="s">
        <v>2078</v>
      </c>
      <c r="I746" s="13" t="s">
        <v>63</v>
      </c>
      <c r="J746" s="17" t="s">
        <v>71</v>
      </c>
      <c r="K746" s="17" t="s">
        <v>58</v>
      </c>
      <c r="L746" s="18" t="s">
        <v>52</v>
      </c>
      <c r="M746" s="19">
        <v>20.0</v>
      </c>
      <c r="N746" s="19">
        <v>31.0</v>
      </c>
    </row>
    <row r="747">
      <c r="A747" s="12">
        <v>745.0</v>
      </c>
      <c r="B747" s="13" t="s">
        <v>2008</v>
      </c>
      <c r="C747" s="14">
        <v>25.0</v>
      </c>
      <c r="D747" s="15" t="s">
        <v>2009</v>
      </c>
      <c r="E747" s="16" t="s">
        <v>52</v>
      </c>
      <c r="F747" s="13" t="s">
        <v>1367</v>
      </c>
      <c r="G747" s="13" t="s">
        <v>2079</v>
      </c>
      <c r="H747" s="13" t="s">
        <v>2081</v>
      </c>
      <c r="I747" s="13" t="s">
        <v>63</v>
      </c>
      <c r="J747" s="17" t="s">
        <v>71</v>
      </c>
      <c r="K747" s="17" t="s">
        <v>58</v>
      </c>
      <c r="L747" s="18" t="s">
        <v>52</v>
      </c>
      <c r="M747" s="19">
        <v>20.0</v>
      </c>
      <c r="N747" s="19">
        <v>31.0</v>
      </c>
    </row>
    <row r="748">
      <c r="A748" s="12">
        <v>746.0</v>
      </c>
      <c r="B748" s="13" t="s">
        <v>2008</v>
      </c>
      <c r="C748" s="14">
        <v>26.0</v>
      </c>
      <c r="D748" s="15" t="s">
        <v>2009</v>
      </c>
      <c r="E748" s="16" t="s">
        <v>52</v>
      </c>
      <c r="F748" s="13" t="s">
        <v>2083</v>
      </c>
      <c r="G748" s="13" t="s">
        <v>2084</v>
      </c>
      <c r="H748" s="13" t="s">
        <v>2085</v>
      </c>
      <c r="I748" s="13" t="s">
        <v>63</v>
      </c>
      <c r="J748" s="17" t="s">
        <v>71</v>
      </c>
      <c r="K748" s="17" t="s">
        <v>58</v>
      </c>
      <c r="L748" s="18" t="s">
        <v>52</v>
      </c>
      <c r="M748" s="19">
        <v>20.0</v>
      </c>
      <c r="N748" s="19">
        <v>31.0</v>
      </c>
    </row>
    <row r="749">
      <c r="A749" s="12">
        <v>747.0</v>
      </c>
      <c r="B749" s="13" t="s">
        <v>2008</v>
      </c>
      <c r="C749" s="14">
        <v>27.0</v>
      </c>
      <c r="D749" s="15" t="s">
        <v>2009</v>
      </c>
      <c r="E749" s="16" t="s">
        <v>52</v>
      </c>
      <c r="F749" s="13" t="s">
        <v>1509</v>
      </c>
      <c r="G749" s="13" t="s">
        <v>2086</v>
      </c>
      <c r="H749" s="13" t="s">
        <v>2087</v>
      </c>
      <c r="I749" s="13" t="s">
        <v>63</v>
      </c>
      <c r="J749" s="17" t="s">
        <v>71</v>
      </c>
      <c r="K749" s="17" t="s">
        <v>58</v>
      </c>
      <c r="L749" s="18" t="s">
        <v>52</v>
      </c>
      <c r="M749" s="19">
        <v>20.0</v>
      </c>
      <c r="N749" s="19">
        <v>31.0</v>
      </c>
    </row>
    <row r="750">
      <c r="A750" s="12">
        <v>748.0</v>
      </c>
      <c r="B750" s="13" t="s">
        <v>2008</v>
      </c>
      <c r="C750" s="14">
        <v>28.0</v>
      </c>
      <c r="D750" s="15" t="s">
        <v>2009</v>
      </c>
      <c r="E750" s="16" t="s">
        <v>52</v>
      </c>
      <c r="F750" s="13" t="s">
        <v>1315</v>
      </c>
      <c r="G750" s="13" t="s">
        <v>2089</v>
      </c>
      <c r="H750" s="13" t="s">
        <v>2090</v>
      </c>
      <c r="I750" s="13" t="s">
        <v>63</v>
      </c>
      <c r="J750" s="17" t="s">
        <v>71</v>
      </c>
      <c r="K750" s="17" t="s">
        <v>58</v>
      </c>
      <c r="L750" s="18" t="s">
        <v>52</v>
      </c>
      <c r="M750" s="19">
        <v>20.0</v>
      </c>
      <c r="N750" s="19">
        <v>31.0</v>
      </c>
    </row>
    <row r="751">
      <c r="A751" s="12">
        <v>749.0</v>
      </c>
      <c r="B751" s="13" t="s">
        <v>2008</v>
      </c>
      <c r="C751" s="14">
        <v>29.0</v>
      </c>
      <c r="D751" s="15" t="s">
        <v>2009</v>
      </c>
      <c r="E751" s="16" t="s">
        <v>52</v>
      </c>
      <c r="F751" s="13" t="s">
        <v>2091</v>
      </c>
      <c r="G751" s="13" t="s">
        <v>2093</v>
      </c>
      <c r="H751" s="13" t="s">
        <v>2094</v>
      </c>
      <c r="I751" s="13" t="s">
        <v>63</v>
      </c>
      <c r="J751" s="17" t="s">
        <v>71</v>
      </c>
      <c r="K751" s="17" t="s">
        <v>58</v>
      </c>
      <c r="L751" s="18" t="s">
        <v>52</v>
      </c>
      <c r="M751" s="19">
        <v>20.0</v>
      </c>
      <c r="N751" s="19">
        <v>31.0</v>
      </c>
    </row>
    <row r="752">
      <c r="A752" s="12">
        <v>750.0</v>
      </c>
      <c r="B752" s="13" t="s">
        <v>2008</v>
      </c>
      <c r="C752" s="14">
        <v>30.0</v>
      </c>
      <c r="D752" s="15" t="s">
        <v>2009</v>
      </c>
      <c r="E752" s="16" t="s">
        <v>52</v>
      </c>
      <c r="F752" s="13" t="s">
        <v>2095</v>
      </c>
      <c r="G752" s="13" t="s">
        <v>2096</v>
      </c>
      <c r="H752" s="13" t="s">
        <v>2098</v>
      </c>
      <c r="I752" s="13" t="s">
        <v>63</v>
      </c>
      <c r="J752" s="17" t="s">
        <v>71</v>
      </c>
      <c r="K752" s="17" t="s">
        <v>58</v>
      </c>
      <c r="L752" s="18" t="s">
        <v>52</v>
      </c>
      <c r="M752" s="19">
        <v>20.0</v>
      </c>
      <c r="N752" s="19">
        <v>31.0</v>
      </c>
    </row>
    <row r="753">
      <c r="A753" s="12">
        <v>751.0</v>
      </c>
      <c r="B753" s="13" t="s">
        <v>1545</v>
      </c>
      <c r="C753" s="14">
        <v>1.0</v>
      </c>
      <c r="D753" s="15" t="s">
        <v>2099</v>
      </c>
      <c r="E753" s="16" t="s">
        <v>52</v>
      </c>
      <c r="F753" s="13" t="s">
        <v>1555</v>
      </c>
      <c r="G753" s="13" t="s">
        <v>61</v>
      </c>
      <c r="H753" s="13" t="s">
        <v>2100</v>
      </c>
      <c r="I753" s="13" t="s">
        <v>56</v>
      </c>
      <c r="J753" s="17" t="s">
        <v>57</v>
      </c>
      <c r="K753" s="17" t="s">
        <v>58</v>
      </c>
      <c r="L753" s="18" t="s">
        <v>52</v>
      </c>
      <c r="M753" s="19">
        <v>21.0</v>
      </c>
      <c r="N753" s="19">
        <v>10.0</v>
      </c>
    </row>
    <row r="754">
      <c r="A754" s="12">
        <v>752.0</v>
      </c>
      <c r="B754" s="13" t="s">
        <v>1545</v>
      </c>
      <c r="C754" s="14">
        <v>2.0</v>
      </c>
      <c r="D754" s="15" t="s">
        <v>2102</v>
      </c>
      <c r="E754" s="16" t="s">
        <v>52</v>
      </c>
      <c r="F754" s="13" t="s">
        <v>1657</v>
      </c>
      <c r="G754" s="13" t="s">
        <v>1562</v>
      </c>
      <c r="H754" s="13" t="s">
        <v>2103</v>
      </c>
      <c r="I754" s="13" t="s">
        <v>63</v>
      </c>
      <c r="J754" s="17" t="s">
        <v>57</v>
      </c>
      <c r="K754" s="17" t="s">
        <v>58</v>
      </c>
      <c r="L754" s="18" t="s">
        <v>52</v>
      </c>
      <c r="M754" s="19">
        <v>21.0</v>
      </c>
      <c r="N754" s="19">
        <v>11.0</v>
      </c>
    </row>
    <row r="755">
      <c r="A755" s="12">
        <v>753.0</v>
      </c>
      <c r="B755" s="13" t="s">
        <v>1545</v>
      </c>
      <c r="C755" s="14">
        <v>3.0</v>
      </c>
      <c r="D755" s="15" t="s">
        <v>2102</v>
      </c>
      <c r="E755" s="16" t="s">
        <v>52</v>
      </c>
      <c r="F755" s="13" t="s">
        <v>1559</v>
      </c>
      <c r="G755" s="13" t="s">
        <v>1558</v>
      </c>
      <c r="H755" s="13" t="s">
        <v>2105</v>
      </c>
      <c r="I755" s="13" t="s">
        <v>63</v>
      </c>
      <c r="J755" s="17" t="s">
        <v>57</v>
      </c>
      <c r="K755" s="17" t="s">
        <v>58</v>
      </c>
      <c r="L755" s="18" t="s">
        <v>52</v>
      </c>
      <c r="M755" s="19">
        <v>21.0</v>
      </c>
      <c r="N755" s="19">
        <v>11.0</v>
      </c>
    </row>
    <row r="756">
      <c r="A756" s="12">
        <v>754.0</v>
      </c>
      <c r="B756" s="13" t="s">
        <v>1545</v>
      </c>
      <c r="C756" s="14">
        <v>4.0</v>
      </c>
      <c r="D756" s="15" t="s">
        <v>2102</v>
      </c>
      <c r="E756" s="16" t="s">
        <v>52</v>
      </c>
      <c r="F756" s="13" t="s">
        <v>1584</v>
      </c>
      <c r="G756" s="13" t="s">
        <v>2106</v>
      </c>
      <c r="H756" s="13" t="s">
        <v>2107</v>
      </c>
      <c r="I756" s="13" t="s">
        <v>63</v>
      </c>
      <c r="J756" s="17" t="s">
        <v>57</v>
      </c>
      <c r="K756" s="17" t="s">
        <v>58</v>
      </c>
      <c r="L756" s="18" t="s">
        <v>52</v>
      </c>
      <c r="M756" s="19">
        <v>21.0</v>
      </c>
      <c r="N756" s="19">
        <v>11.0</v>
      </c>
    </row>
    <row r="757">
      <c r="A757" s="12">
        <v>755.0</v>
      </c>
      <c r="B757" s="13" t="s">
        <v>1545</v>
      </c>
      <c r="C757" s="14">
        <v>5.0</v>
      </c>
      <c r="D757" s="15" t="s">
        <v>2102</v>
      </c>
      <c r="E757" s="16" t="s">
        <v>52</v>
      </c>
      <c r="F757" s="13" t="s">
        <v>2108</v>
      </c>
      <c r="G757" s="13" t="s">
        <v>61</v>
      </c>
      <c r="H757" s="13" t="s">
        <v>2109</v>
      </c>
      <c r="I757" s="13" t="s">
        <v>63</v>
      </c>
      <c r="J757" s="17" t="s">
        <v>67</v>
      </c>
      <c r="K757" s="17" t="s">
        <v>58</v>
      </c>
      <c r="L757" s="18" t="s">
        <v>52</v>
      </c>
      <c r="M757" s="19">
        <v>21.0</v>
      </c>
      <c r="N757" s="19">
        <v>21.0</v>
      </c>
    </row>
    <row r="758">
      <c r="A758" s="12">
        <v>756.0</v>
      </c>
      <c r="B758" s="13" t="s">
        <v>1545</v>
      </c>
      <c r="C758" s="14">
        <v>6.0</v>
      </c>
      <c r="D758" s="15" t="s">
        <v>2099</v>
      </c>
      <c r="E758" s="16" t="s">
        <v>52</v>
      </c>
      <c r="F758" s="13" t="s">
        <v>1542</v>
      </c>
      <c r="G758" s="13" t="s">
        <v>61</v>
      </c>
      <c r="H758" s="13" t="s">
        <v>2110</v>
      </c>
      <c r="I758" s="13" t="s">
        <v>63</v>
      </c>
      <c r="J758" s="17" t="s">
        <v>71</v>
      </c>
      <c r="K758" s="17" t="s">
        <v>58</v>
      </c>
      <c r="L758" s="18" t="s">
        <v>52</v>
      </c>
      <c r="M758" s="19">
        <v>21.0</v>
      </c>
      <c r="N758" s="19">
        <v>31.0</v>
      </c>
    </row>
    <row r="759">
      <c r="A759" s="12">
        <v>757.0</v>
      </c>
      <c r="B759" s="13" t="s">
        <v>1545</v>
      </c>
      <c r="C759" s="14">
        <v>7.0</v>
      </c>
      <c r="D759" s="15" t="s">
        <v>2099</v>
      </c>
      <c r="E759" s="16" t="s">
        <v>52</v>
      </c>
      <c r="F759" s="13" t="s">
        <v>1548</v>
      </c>
      <c r="G759" s="13" t="s">
        <v>2111</v>
      </c>
      <c r="H759" s="13" t="s">
        <v>2112</v>
      </c>
      <c r="I759" s="13" t="s">
        <v>63</v>
      </c>
      <c r="J759" s="17" t="s">
        <v>71</v>
      </c>
      <c r="K759" s="17" t="s">
        <v>58</v>
      </c>
      <c r="L759" s="18" t="s">
        <v>52</v>
      </c>
      <c r="M759" s="19">
        <v>21.0</v>
      </c>
      <c r="N759" s="19">
        <v>31.0</v>
      </c>
    </row>
    <row r="760">
      <c r="A760" s="12">
        <v>758.0</v>
      </c>
      <c r="B760" s="13" t="s">
        <v>1545</v>
      </c>
      <c r="C760" s="14">
        <v>8.0</v>
      </c>
      <c r="D760" s="15" t="s">
        <v>2099</v>
      </c>
      <c r="E760" s="16" t="s">
        <v>52</v>
      </c>
      <c r="F760" s="13" t="s">
        <v>1551</v>
      </c>
      <c r="G760" s="13" t="s">
        <v>2113</v>
      </c>
      <c r="H760" s="13" t="s">
        <v>2114</v>
      </c>
      <c r="I760" s="13" t="s">
        <v>63</v>
      </c>
      <c r="J760" s="17" t="s">
        <v>71</v>
      </c>
      <c r="K760" s="17" t="s">
        <v>58</v>
      </c>
      <c r="L760" s="18" t="s">
        <v>52</v>
      </c>
      <c r="M760" s="19">
        <v>21.0</v>
      </c>
      <c r="N760" s="19">
        <v>31.0</v>
      </c>
    </row>
    <row r="761">
      <c r="A761" s="12">
        <v>759.0</v>
      </c>
      <c r="B761" s="13" t="s">
        <v>1545</v>
      </c>
      <c r="C761" s="14">
        <v>9.0</v>
      </c>
      <c r="D761" s="15" t="s">
        <v>2099</v>
      </c>
      <c r="E761" s="16" t="s">
        <v>52</v>
      </c>
      <c r="F761" s="13" t="s">
        <v>1561</v>
      </c>
      <c r="G761" s="13" t="s">
        <v>2115</v>
      </c>
      <c r="H761" s="13" t="s">
        <v>2116</v>
      </c>
      <c r="I761" s="13" t="s">
        <v>63</v>
      </c>
      <c r="J761" s="17" t="s">
        <v>71</v>
      </c>
      <c r="K761" s="17" t="s">
        <v>58</v>
      </c>
      <c r="L761" s="18" t="s">
        <v>52</v>
      </c>
      <c r="M761" s="19">
        <v>21.0</v>
      </c>
      <c r="N761" s="19">
        <v>31.0</v>
      </c>
    </row>
    <row r="762">
      <c r="A762" s="12">
        <v>760.0</v>
      </c>
      <c r="B762" s="13" t="s">
        <v>1545</v>
      </c>
      <c r="C762" s="14">
        <v>10.0</v>
      </c>
      <c r="D762" s="15" t="s">
        <v>2099</v>
      </c>
      <c r="E762" s="16" t="s">
        <v>52</v>
      </c>
      <c r="F762" s="13" t="s">
        <v>1557</v>
      </c>
      <c r="G762" s="13" t="s">
        <v>2117</v>
      </c>
      <c r="H762" s="13" t="s">
        <v>2118</v>
      </c>
      <c r="I762" s="13" t="s">
        <v>63</v>
      </c>
      <c r="J762" s="17" t="s">
        <v>71</v>
      </c>
      <c r="K762" s="17" t="s">
        <v>58</v>
      </c>
      <c r="L762" s="18" t="s">
        <v>52</v>
      </c>
      <c r="M762" s="19">
        <v>21.0</v>
      </c>
      <c r="N762" s="19">
        <v>31.0</v>
      </c>
    </row>
    <row r="763">
      <c r="A763" s="12">
        <v>761.0</v>
      </c>
      <c r="B763" s="13" t="s">
        <v>1545</v>
      </c>
      <c r="C763" s="14">
        <v>11.0</v>
      </c>
      <c r="D763" s="15" t="s">
        <v>2102</v>
      </c>
      <c r="E763" s="16" t="s">
        <v>52</v>
      </c>
      <c r="F763" s="13" t="s">
        <v>1439</v>
      </c>
      <c r="G763" s="13" t="s">
        <v>2120</v>
      </c>
      <c r="H763" s="13" t="s">
        <v>2121</v>
      </c>
      <c r="I763" s="13" t="s">
        <v>63</v>
      </c>
      <c r="J763" s="17" t="s">
        <v>71</v>
      </c>
      <c r="K763" s="17" t="s">
        <v>58</v>
      </c>
      <c r="L763" s="18" t="s">
        <v>52</v>
      </c>
      <c r="M763" s="19">
        <v>21.0</v>
      </c>
      <c r="N763" s="19">
        <v>31.0</v>
      </c>
    </row>
    <row r="764">
      <c r="A764" s="12">
        <v>762.0</v>
      </c>
      <c r="B764" s="13" t="s">
        <v>1545</v>
      </c>
      <c r="C764" s="14">
        <v>12.0</v>
      </c>
      <c r="D764" s="15" t="s">
        <v>2102</v>
      </c>
      <c r="E764" s="16" t="s">
        <v>52</v>
      </c>
      <c r="F764" s="13" t="s">
        <v>2122</v>
      </c>
      <c r="G764" s="13" t="s">
        <v>2123</v>
      </c>
      <c r="H764" s="13" t="s">
        <v>2124</v>
      </c>
      <c r="I764" s="13" t="s">
        <v>63</v>
      </c>
      <c r="J764" s="17" t="s">
        <v>71</v>
      </c>
      <c r="K764" s="17" t="s">
        <v>58</v>
      </c>
      <c r="L764" s="18" t="s">
        <v>52</v>
      </c>
      <c r="M764" s="19">
        <v>21.0</v>
      </c>
      <c r="N764" s="19">
        <v>31.0</v>
      </c>
    </row>
    <row r="765">
      <c r="A765" s="12">
        <v>763.0</v>
      </c>
      <c r="B765" s="13" t="s">
        <v>1545</v>
      </c>
      <c r="C765" s="14">
        <v>13.0</v>
      </c>
      <c r="D765" s="15" t="s">
        <v>2102</v>
      </c>
      <c r="E765" s="16" t="s">
        <v>52</v>
      </c>
      <c r="F765" s="13" t="s">
        <v>1857</v>
      </c>
      <c r="G765" s="13" t="s">
        <v>1858</v>
      </c>
      <c r="H765" s="13" t="s">
        <v>2126</v>
      </c>
      <c r="I765" s="13" t="s">
        <v>63</v>
      </c>
      <c r="J765" s="17" t="s">
        <v>71</v>
      </c>
      <c r="K765" s="17" t="s">
        <v>58</v>
      </c>
      <c r="L765" s="18" t="s">
        <v>52</v>
      </c>
      <c r="M765" s="19">
        <v>21.0</v>
      </c>
      <c r="N765" s="19">
        <v>31.0</v>
      </c>
    </row>
    <row r="766">
      <c r="A766" s="12">
        <v>764.0</v>
      </c>
      <c r="B766" s="13" t="s">
        <v>1545</v>
      </c>
      <c r="C766" s="14">
        <v>14.0</v>
      </c>
      <c r="D766" s="15" t="s">
        <v>2102</v>
      </c>
      <c r="E766" s="16" t="s">
        <v>52</v>
      </c>
      <c r="F766" s="13" t="s">
        <v>1563</v>
      </c>
      <c r="G766" s="13" t="s">
        <v>1917</v>
      </c>
      <c r="H766" s="13" t="s">
        <v>1918</v>
      </c>
      <c r="I766" s="13" t="s">
        <v>63</v>
      </c>
      <c r="J766" s="17" t="s">
        <v>71</v>
      </c>
      <c r="K766" s="17" t="s">
        <v>58</v>
      </c>
      <c r="L766" s="18" t="s">
        <v>52</v>
      </c>
      <c r="M766" s="19">
        <v>21.0</v>
      </c>
      <c r="N766" s="19">
        <v>31.0</v>
      </c>
    </row>
    <row r="767">
      <c r="A767" s="12">
        <v>765.0</v>
      </c>
      <c r="B767" s="13" t="s">
        <v>1545</v>
      </c>
      <c r="C767" s="14">
        <v>15.0</v>
      </c>
      <c r="D767" s="15" t="s">
        <v>2102</v>
      </c>
      <c r="E767" s="16" t="s">
        <v>52</v>
      </c>
      <c r="F767" s="13" t="s">
        <v>1800</v>
      </c>
      <c r="G767" s="13" t="s">
        <v>1924</v>
      </c>
      <c r="H767" s="13" t="s">
        <v>1925</v>
      </c>
      <c r="I767" s="13" t="s">
        <v>63</v>
      </c>
      <c r="J767" s="17" t="s">
        <v>71</v>
      </c>
      <c r="K767" s="17" t="s">
        <v>58</v>
      </c>
      <c r="L767" s="18" t="s">
        <v>52</v>
      </c>
      <c r="M767" s="19">
        <v>21.0</v>
      </c>
      <c r="N767" s="19">
        <v>31.0</v>
      </c>
    </row>
    <row r="768">
      <c r="A768" s="12">
        <v>766.0</v>
      </c>
      <c r="B768" s="13" t="s">
        <v>1545</v>
      </c>
      <c r="C768" s="14">
        <v>16.0</v>
      </c>
      <c r="D768" s="15" t="s">
        <v>2102</v>
      </c>
      <c r="E768" s="16" t="s">
        <v>52</v>
      </c>
      <c r="F768" s="13" t="s">
        <v>1649</v>
      </c>
      <c r="G768" s="13" t="s">
        <v>2128</v>
      </c>
      <c r="H768" s="13" t="s">
        <v>2129</v>
      </c>
      <c r="I768" s="13" t="s">
        <v>63</v>
      </c>
      <c r="J768" s="17" t="s">
        <v>71</v>
      </c>
      <c r="K768" s="17" t="s">
        <v>58</v>
      </c>
      <c r="L768" s="18" t="s">
        <v>52</v>
      </c>
      <c r="M768" s="19">
        <v>21.0</v>
      </c>
      <c r="N768" s="19">
        <v>31.0</v>
      </c>
    </row>
    <row r="769">
      <c r="A769" s="12">
        <v>767.0</v>
      </c>
      <c r="B769" s="13" t="s">
        <v>1545</v>
      </c>
      <c r="C769" s="14">
        <v>17.0</v>
      </c>
      <c r="D769" s="15" t="s">
        <v>2102</v>
      </c>
      <c r="E769" s="16" t="s">
        <v>52</v>
      </c>
      <c r="F769" s="13" t="s">
        <v>728</v>
      </c>
      <c r="G769" s="13" t="s">
        <v>922</v>
      </c>
      <c r="H769" s="13" t="s">
        <v>1639</v>
      </c>
      <c r="I769" s="13" t="s">
        <v>63</v>
      </c>
      <c r="J769" s="17" t="s">
        <v>71</v>
      </c>
      <c r="K769" s="17" t="s">
        <v>58</v>
      </c>
      <c r="L769" s="18" t="s">
        <v>52</v>
      </c>
      <c r="M769" s="19">
        <v>21.0</v>
      </c>
      <c r="N769" s="19">
        <v>31.0</v>
      </c>
    </row>
    <row r="770">
      <c r="A770" s="12">
        <v>768.0</v>
      </c>
      <c r="B770" s="13" t="s">
        <v>1545</v>
      </c>
      <c r="C770" s="14">
        <v>18.0</v>
      </c>
      <c r="D770" s="15" t="s">
        <v>2102</v>
      </c>
      <c r="E770" s="16" t="s">
        <v>52</v>
      </c>
      <c r="F770" s="13" t="s">
        <v>1129</v>
      </c>
      <c r="G770" s="13" t="s">
        <v>2130</v>
      </c>
      <c r="H770" s="13" t="s">
        <v>2131</v>
      </c>
      <c r="I770" s="13" t="s">
        <v>63</v>
      </c>
      <c r="J770" s="17" t="s">
        <v>71</v>
      </c>
      <c r="K770" s="17" t="s">
        <v>58</v>
      </c>
      <c r="L770" s="18" t="s">
        <v>52</v>
      </c>
      <c r="M770" s="19">
        <v>21.0</v>
      </c>
      <c r="N770" s="19">
        <v>31.0</v>
      </c>
    </row>
    <row r="771">
      <c r="A771" s="12">
        <v>769.0</v>
      </c>
      <c r="B771" s="13" t="s">
        <v>1545</v>
      </c>
      <c r="C771" s="14">
        <v>19.0</v>
      </c>
      <c r="D771" s="15" t="s">
        <v>2102</v>
      </c>
      <c r="E771" s="16" t="s">
        <v>52</v>
      </c>
      <c r="F771" s="13" t="s">
        <v>1134</v>
      </c>
      <c r="G771" s="13" t="s">
        <v>1135</v>
      </c>
      <c r="H771" s="13" t="s">
        <v>2132</v>
      </c>
      <c r="I771" s="13" t="s">
        <v>63</v>
      </c>
      <c r="J771" s="17" t="s">
        <v>71</v>
      </c>
      <c r="K771" s="17" t="s">
        <v>58</v>
      </c>
      <c r="L771" s="18" t="s">
        <v>52</v>
      </c>
      <c r="M771" s="19">
        <v>21.0</v>
      </c>
      <c r="N771" s="19">
        <v>31.0</v>
      </c>
    </row>
    <row r="772">
      <c r="A772" s="12">
        <v>770.0</v>
      </c>
      <c r="B772" s="13" t="s">
        <v>1545</v>
      </c>
      <c r="C772" s="14">
        <v>20.0</v>
      </c>
      <c r="D772" s="15" t="s">
        <v>2102</v>
      </c>
      <c r="E772" s="16" t="s">
        <v>52</v>
      </c>
      <c r="F772" s="13" t="s">
        <v>721</v>
      </c>
      <c r="G772" s="13" t="s">
        <v>917</v>
      </c>
      <c r="H772" s="13" t="s">
        <v>2133</v>
      </c>
      <c r="I772" s="13" t="s">
        <v>63</v>
      </c>
      <c r="J772" s="17" t="s">
        <v>71</v>
      </c>
      <c r="K772" s="17" t="s">
        <v>58</v>
      </c>
      <c r="L772" s="18" t="s">
        <v>52</v>
      </c>
      <c r="M772" s="19">
        <v>21.0</v>
      </c>
      <c r="N772" s="19">
        <v>31.0</v>
      </c>
    </row>
    <row r="773">
      <c r="A773" s="12">
        <v>771.0</v>
      </c>
      <c r="B773" s="13" t="s">
        <v>1545</v>
      </c>
      <c r="C773" s="14">
        <v>21.0</v>
      </c>
      <c r="D773" s="15" t="s">
        <v>2102</v>
      </c>
      <c r="E773" s="16" t="s">
        <v>52</v>
      </c>
      <c r="F773" s="13" t="s">
        <v>1032</v>
      </c>
      <c r="G773" s="13" t="s">
        <v>1652</v>
      </c>
      <c r="H773" s="13" t="s">
        <v>2132</v>
      </c>
      <c r="I773" s="13" t="s">
        <v>63</v>
      </c>
      <c r="J773" s="17" t="s">
        <v>71</v>
      </c>
      <c r="K773" s="17" t="s">
        <v>58</v>
      </c>
      <c r="L773" s="18" t="s">
        <v>52</v>
      </c>
      <c r="M773" s="19">
        <v>21.0</v>
      </c>
      <c r="N773" s="19">
        <v>31.0</v>
      </c>
    </row>
    <row r="774">
      <c r="A774" s="12">
        <v>772.0</v>
      </c>
      <c r="B774" s="13" t="s">
        <v>1545</v>
      </c>
      <c r="C774" s="14">
        <v>22.0</v>
      </c>
      <c r="D774" s="15" t="s">
        <v>2102</v>
      </c>
      <c r="E774" s="16" t="s">
        <v>52</v>
      </c>
      <c r="F774" s="13" t="s">
        <v>2134</v>
      </c>
      <c r="G774" s="13" t="s">
        <v>2135</v>
      </c>
      <c r="H774" s="13" t="s">
        <v>2136</v>
      </c>
      <c r="I774" s="13" t="s">
        <v>63</v>
      </c>
      <c r="J774" s="17" t="s">
        <v>71</v>
      </c>
      <c r="K774" s="17" t="s">
        <v>58</v>
      </c>
      <c r="L774" s="18" t="s">
        <v>52</v>
      </c>
      <c r="M774" s="19">
        <v>21.0</v>
      </c>
      <c r="N774" s="19">
        <v>31.0</v>
      </c>
    </row>
    <row r="775">
      <c r="A775" s="12">
        <v>773.0</v>
      </c>
      <c r="B775" s="13" t="s">
        <v>1545</v>
      </c>
      <c r="C775" s="14">
        <v>23.0</v>
      </c>
      <c r="D775" s="15" t="s">
        <v>2102</v>
      </c>
      <c r="E775" s="16" t="s">
        <v>52</v>
      </c>
      <c r="F775" s="13" t="s">
        <v>1520</v>
      </c>
      <c r="G775" s="13" t="s">
        <v>2137</v>
      </c>
      <c r="H775" s="13" t="s">
        <v>2138</v>
      </c>
      <c r="I775" s="13" t="s">
        <v>63</v>
      </c>
      <c r="J775" s="17" t="s">
        <v>71</v>
      </c>
      <c r="K775" s="17" t="s">
        <v>58</v>
      </c>
      <c r="L775" s="18" t="s">
        <v>52</v>
      </c>
      <c r="M775" s="19">
        <v>21.0</v>
      </c>
      <c r="N775" s="19">
        <v>31.0</v>
      </c>
    </row>
    <row r="776">
      <c r="A776" s="12">
        <v>774.0</v>
      </c>
      <c r="B776" s="13" t="s">
        <v>1545</v>
      </c>
      <c r="C776" s="14">
        <v>24.0</v>
      </c>
      <c r="D776" s="15" t="s">
        <v>2102</v>
      </c>
      <c r="E776" s="16" t="s">
        <v>52</v>
      </c>
      <c r="F776" s="13" t="s">
        <v>1839</v>
      </c>
      <c r="G776" s="13" t="s">
        <v>2139</v>
      </c>
      <c r="H776" s="13" t="s">
        <v>2140</v>
      </c>
      <c r="I776" s="13" t="s">
        <v>63</v>
      </c>
      <c r="J776" s="17" t="s">
        <v>71</v>
      </c>
      <c r="K776" s="17" t="s">
        <v>58</v>
      </c>
      <c r="L776" s="18" t="s">
        <v>52</v>
      </c>
      <c r="M776" s="19">
        <v>21.0</v>
      </c>
      <c r="N776" s="19">
        <v>31.0</v>
      </c>
    </row>
    <row r="777">
      <c r="A777" s="12">
        <v>775.0</v>
      </c>
      <c r="B777" s="13" t="s">
        <v>1545</v>
      </c>
      <c r="C777" s="14">
        <v>25.0</v>
      </c>
      <c r="D777" s="15" t="s">
        <v>2102</v>
      </c>
      <c r="E777" s="16" t="s">
        <v>52</v>
      </c>
      <c r="F777" s="13" t="s">
        <v>1643</v>
      </c>
      <c r="G777" s="13" t="s">
        <v>2141</v>
      </c>
      <c r="H777" s="13" t="s">
        <v>2142</v>
      </c>
      <c r="I777" s="13" t="s">
        <v>63</v>
      </c>
      <c r="J777" s="17" t="s">
        <v>71</v>
      </c>
      <c r="K777" s="17" t="s">
        <v>58</v>
      </c>
      <c r="L777" s="18" t="s">
        <v>52</v>
      </c>
      <c r="M777" s="19">
        <v>21.0</v>
      </c>
      <c r="N777" s="19">
        <v>31.0</v>
      </c>
    </row>
    <row r="778">
      <c r="A778" s="12">
        <v>776.0</v>
      </c>
      <c r="B778" s="13" t="s">
        <v>1545</v>
      </c>
      <c r="C778" s="14">
        <v>26.0</v>
      </c>
      <c r="D778" s="15" t="s">
        <v>2102</v>
      </c>
      <c r="E778" s="16" t="s">
        <v>52</v>
      </c>
      <c r="F778" s="13" t="s">
        <v>341</v>
      </c>
      <c r="G778" s="13" t="s">
        <v>1136</v>
      </c>
      <c r="H778" s="13" t="s">
        <v>1137</v>
      </c>
      <c r="I778" s="13" t="s">
        <v>63</v>
      </c>
      <c r="J778" s="17" t="s">
        <v>71</v>
      </c>
      <c r="K778" s="17" t="s">
        <v>58</v>
      </c>
      <c r="L778" s="18" t="s">
        <v>52</v>
      </c>
      <c r="M778" s="19">
        <v>21.0</v>
      </c>
      <c r="N778" s="19">
        <v>31.0</v>
      </c>
    </row>
    <row r="779">
      <c r="A779" s="12">
        <v>777.0</v>
      </c>
      <c r="B779" s="13" t="s">
        <v>1545</v>
      </c>
      <c r="C779" s="14">
        <v>27.0</v>
      </c>
      <c r="D779" s="15" t="s">
        <v>2102</v>
      </c>
      <c r="E779" s="16" t="s">
        <v>52</v>
      </c>
      <c r="F779" s="13" t="s">
        <v>1405</v>
      </c>
      <c r="G779" s="13" t="s">
        <v>2143</v>
      </c>
      <c r="H779" s="13" t="s">
        <v>2144</v>
      </c>
      <c r="I779" s="13" t="s">
        <v>63</v>
      </c>
      <c r="J779" s="17" t="s">
        <v>71</v>
      </c>
      <c r="K779" s="17" t="s">
        <v>58</v>
      </c>
      <c r="L779" s="18" t="s">
        <v>52</v>
      </c>
      <c r="M779" s="19">
        <v>21.0</v>
      </c>
      <c r="N779" s="19">
        <v>31.0</v>
      </c>
    </row>
    <row r="780">
      <c r="A780" s="12">
        <v>778.0</v>
      </c>
      <c r="B780" s="13" t="s">
        <v>1545</v>
      </c>
      <c r="C780" s="14">
        <v>28.0</v>
      </c>
      <c r="D780" s="15" t="s">
        <v>2102</v>
      </c>
      <c r="E780" s="16" t="s">
        <v>52</v>
      </c>
      <c r="F780" s="13" t="s">
        <v>274</v>
      </c>
      <c r="G780" s="13" t="s">
        <v>2145</v>
      </c>
      <c r="H780" s="13" t="s">
        <v>2146</v>
      </c>
      <c r="I780" s="13" t="s">
        <v>63</v>
      </c>
      <c r="J780" s="17" t="s">
        <v>71</v>
      </c>
      <c r="K780" s="17" t="s">
        <v>58</v>
      </c>
      <c r="L780" s="18" t="s">
        <v>52</v>
      </c>
      <c r="M780" s="19">
        <v>21.0</v>
      </c>
      <c r="N780" s="19">
        <v>31.0</v>
      </c>
    </row>
    <row r="781">
      <c r="A781" s="12">
        <v>779.0</v>
      </c>
      <c r="B781" s="13" t="s">
        <v>1545</v>
      </c>
      <c r="C781" s="14">
        <v>29.0</v>
      </c>
      <c r="D781" s="15" t="s">
        <v>2102</v>
      </c>
      <c r="E781" s="16" t="s">
        <v>52</v>
      </c>
      <c r="F781" s="13" t="s">
        <v>1783</v>
      </c>
      <c r="G781" s="13" t="s">
        <v>2149</v>
      </c>
      <c r="H781" s="13" t="s">
        <v>2150</v>
      </c>
      <c r="I781" s="13" t="s">
        <v>63</v>
      </c>
      <c r="J781" s="17" t="s">
        <v>71</v>
      </c>
      <c r="K781" s="17" t="s">
        <v>58</v>
      </c>
      <c r="L781" s="18" t="s">
        <v>52</v>
      </c>
      <c r="M781" s="19">
        <v>21.0</v>
      </c>
      <c r="N781" s="19">
        <v>31.0</v>
      </c>
    </row>
    <row r="782">
      <c r="A782" s="12">
        <v>780.0</v>
      </c>
      <c r="B782" s="13" t="s">
        <v>1545</v>
      </c>
      <c r="C782" s="14">
        <v>30.0</v>
      </c>
      <c r="D782" s="15" t="s">
        <v>2102</v>
      </c>
      <c r="E782" s="16" t="s">
        <v>52</v>
      </c>
      <c r="F782" s="13" t="s">
        <v>270</v>
      </c>
      <c r="G782" s="13" t="s">
        <v>2151</v>
      </c>
      <c r="H782" s="13" t="s">
        <v>2153</v>
      </c>
      <c r="I782" s="13" t="s">
        <v>63</v>
      </c>
      <c r="J782" s="17" t="s">
        <v>71</v>
      </c>
      <c r="K782" s="17" t="s">
        <v>58</v>
      </c>
      <c r="L782" s="18" t="s">
        <v>52</v>
      </c>
      <c r="M782" s="19">
        <v>21.0</v>
      </c>
      <c r="N782" s="19">
        <v>31.0</v>
      </c>
    </row>
    <row r="783">
      <c r="A783" s="12">
        <v>781.0</v>
      </c>
      <c r="B783" s="13" t="s">
        <v>391</v>
      </c>
      <c r="C783" s="14">
        <v>1.0</v>
      </c>
      <c r="D783" s="15" t="s">
        <v>2154</v>
      </c>
      <c r="E783" s="16" t="s">
        <v>52</v>
      </c>
      <c r="F783" s="13" t="s">
        <v>475</v>
      </c>
      <c r="G783" s="13" t="s">
        <v>2155</v>
      </c>
      <c r="H783" s="13" t="s">
        <v>2156</v>
      </c>
      <c r="I783" s="13" t="s">
        <v>56</v>
      </c>
      <c r="J783" s="17" t="s">
        <v>57</v>
      </c>
      <c r="K783" s="17" t="s">
        <v>58</v>
      </c>
      <c r="L783" s="18" t="s">
        <v>52</v>
      </c>
      <c r="M783" s="19">
        <v>22.0</v>
      </c>
      <c r="N783" s="19">
        <v>10.0</v>
      </c>
    </row>
    <row r="784">
      <c r="A784" s="12">
        <v>782.0</v>
      </c>
      <c r="B784" s="13" t="s">
        <v>391</v>
      </c>
      <c r="C784" s="14">
        <v>2.0</v>
      </c>
      <c r="D784" s="15" t="s">
        <v>2158</v>
      </c>
      <c r="E784" s="16" t="s">
        <v>52</v>
      </c>
      <c r="F784" s="13" t="s">
        <v>734</v>
      </c>
      <c r="G784" s="13" t="s">
        <v>2159</v>
      </c>
      <c r="H784" s="13" t="s">
        <v>2160</v>
      </c>
      <c r="I784" s="13" t="s">
        <v>63</v>
      </c>
      <c r="J784" s="17" t="s">
        <v>57</v>
      </c>
      <c r="K784" s="17" t="s">
        <v>58</v>
      </c>
      <c r="L784" s="18" t="s">
        <v>749</v>
      </c>
      <c r="M784" s="19">
        <v>22.0</v>
      </c>
      <c r="N784" s="19">
        <v>11.0</v>
      </c>
    </row>
    <row r="785">
      <c r="A785" s="12">
        <v>783.0</v>
      </c>
      <c r="B785" s="13" t="s">
        <v>391</v>
      </c>
      <c r="C785" s="14">
        <v>3.0</v>
      </c>
      <c r="D785" s="15" t="s">
        <v>2158</v>
      </c>
      <c r="E785" s="16" t="s">
        <v>52</v>
      </c>
      <c r="F785" s="13" t="s">
        <v>557</v>
      </c>
      <c r="G785" s="13" t="s">
        <v>2162</v>
      </c>
      <c r="H785" s="13" t="s">
        <v>2163</v>
      </c>
      <c r="I785" s="13" t="s">
        <v>63</v>
      </c>
      <c r="J785" s="17" t="s">
        <v>67</v>
      </c>
      <c r="K785" s="17" t="s">
        <v>58</v>
      </c>
      <c r="L785" s="18" t="s">
        <v>749</v>
      </c>
      <c r="M785" s="19">
        <v>22.0</v>
      </c>
      <c r="N785" s="19">
        <v>21.0</v>
      </c>
    </row>
    <row r="786">
      <c r="A786" s="12">
        <v>784.0</v>
      </c>
      <c r="B786" s="13" t="s">
        <v>391</v>
      </c>
      <c r="C786" s="14">
        <v>4.0</v>
      </c>
      <c r="D786" s="15" t="s">
        <v>2158</v>
      </c>
      <c r="E786" s="16" t="s">
        <v>52</v>
      </c>
      <c r="F786" s="13" t="s">
        <v>746</v>
      </c>
      <c r="G786" s="13" t="s">
        <v>2165</v>
      </c>
      <c r="H786" s="13" t="s">
        <v>2163</v>
      </c>
      <c r="I786" s="13" t="s">
        <v>63</v>
      </c>
      <c r="J786" s="17" t="s">
        <v>67</v>
      </c>
      <c r="K786" s="17" t="s">
        <v>58</v>
      </c>
      <c r="L786" s="18" t="s">
        <v>749</v>
      </c>
      <c r="M786" s="19">
        <v>22.0</v>
      </c>
      <c r="N786" s="19">
        <v>21.0</v>
      </c>
    </row>
    <row r="787">
      <c r="A787" s="12">
        <v>785.0</v>
      </c>
      <c r="B787" s="13" t="s">
        <v>391</v>
      </c>
      <c r="C787" s="14">
        <v>5.0</v>
      </c>
      <c r="D787" s="15" t="s">
        <v>2166</v>
      </c>
      <c r="E787" s="16" t="s">
        <v>52</v>
      </c>
      <c r="F787" s="13" t="s">
        <v>744</v>
      </c>
      <c r="G787" s="13" t="s">
        <v>2168</v>
      </c>
      <c r="H787" s="13" t="s">
        <v>2169</v>
      </c>
      <c r="I787" s="13" t="s">
        <v>63</v>
      </c>
      <c r="J787" s="17" t="s">
        <v>67</v>
      </c>
      <c r="K787" s="17" t="s">
        <v>58</v>
      </c>
      <c r="L787" s="18" t="s">
        <v>52</v>
      </c>
      <c r="M787" s="19">
        <v>22.0</v>
      </c>
      <c r="N787" s="19">
        <v>21.0</v>
      </c>
    </row>
    <row r="788">
      <c r="A788" s="12">
        <v>786.0</v>
      </c>
      <c r="B788" s="13" t="s">
        <v>391</v>
      </c>
      <c r="C788" s="14">
        <v>6.0</v>
      </c>
      <c r="D788" s="15" t="s">
        <v>2158</v>
      </c>
      <c r="E788" s="16" t="s">
        <v>52</v>
      </c>
      <c r="F788" s="13" t="s">
        <v>2053</v>
      </c>
      <c r="G788" s="13" t="s">
        <v>2170</v>
      </c>
      <c r="H788" s="13" t="s">
        <v>2171</v>
      </c>
      <c r="I788" s="13" t="s">
        <v>63</v>
      </c>
      <c r="J788" s="17" t="s">
        <v>71</v>
      </c>
      <c r="K788" s="17" t="s">
        <v>58</v>
      </c>
      <c r="L788" s="18" t="s">
        <v>52</v>
      </c>
      <c r="M788" s="19">
        <v>22.0</v>
      </c>
      <c r="N788" s="19">
        <v>31.0</v>
      </c>
    </row>
    <row r="789">
      <c r="A789" s="12">
        <v>787.0</v>
      </c>
      <c r="B789" s="13" t="s">
        <v>391</v>
      </c>
      <c r="C789" s="14">
        <v>7.0</v>
      </c>
      <c r="D789" s="15" t="s">
        <v>2158</v>
      </c>
      <c r="E789" s="16" t="s">
        <v>52</v>
      </c>
      <c r="F789" s="13" t="s">
        <v>375</v>
      </c>
      <c r="G789" s="13" t="s">
        <v>1051</v>
      </c>
      <c r="H789" s="13" t="s">
        <v>2174</v>
      </c>
      <c r="I789" s="13" t="s">
        <v>63</v>
      </c>
      <c r="J789" s="17" t="s">
        <v>71</v>
      </c>
      <c r="K789" s="17" t="s">
        <v>58</v>
      </c>
      <c r="L789" s="18" t="s">
        <v>253</v>
      </c>
      <c r="M789" s="19">
        <v>22.0</v>
      </c>
      <c r="N789" s="19">
        <v>31.0</v>
      </c>
    </row>
    <row r="790">
      <c r="A790" s="12">
        <v>788.0</v>
      </c>
      <c r="B790" s="13" t="s">
        <v>391</v>
      </c>
      <c r="C790" s="14">
        <v>8.0</v>
      </c>
      <c r="D790" s="15" t="s">
        <v>2158</v>
      </c>
      <c r="E790" s="16" t="s">
        <v>52</v>
      </c>
      <c r="F790" s="13" t="s">
        <v>836</v>
      </c>
      <c r="G790" s="13" t="s">
        <v>2175</v>
      </c>
      <c r="H790" s="13" t="s">
        <v>2177</v>
      </c>
      <c r="I790" s="13" t="s">
        <v>63</v>
      </c>
      <c r="J790" s="17" t="s">
        <v>71</v>
      </c>
      <c r="K790" s="17" t="s">
        <v>58</v>
      </c>
      <c r="L790" s="18" t="s">
        <v>52</v>
      </c>
      <c r="M790" s="19">
        <v>22.0</v>
      </c>
      <c r="N790" s="19">
        <v>31.0</v>
      </c>
    </row>
    <row r="791">
      <c r="A791" s="12">
        <v>789.0</v>
      </c>
      <c r="B791" s="13" t="s">
        <v>391</v>
      </c>
      <c r="C791" s="14">
        <v>9.0</v>
      </c>
      <c r="D791" s="15" t="s">
        <v>2158</v>
      </c>
      <c r="E791" s="16" t="s">
        <v>52</v>
      </c>
      <c r="F791" s="13" t="s">
        <v>278</v>
      </c>
      <c r="G791" s="13" t="s">
        <v>1470</v>
      </c>
      <c r="H791" s="13" t="s">
        <v>1459</v>
      </c>
      <c r="I791" s="13" t="s">
        <v>63</v>
      </c>
      <c r="J791" s="17" t="s">
        <v>71</v>
      </c>
      <c r="K791" s="17" t="s">
        <v>58</v>
      </c>
      <c r="L791" s="18" t="s">
        <v>52</v>
      </c>
      <c r="M791" s="19">
        <v>22.0</v>
      </c>
      <c r="N791" s="19">
        <v>31.0</v>
      </c>
    </row>
    <row r="792">
      <c r="A792" s="12">
        <v>790.0</v>
      </c>
      <c r="B792" s="13" t="s">
        <v>391</v>
      </c>
      <c r="C792" s="14">
        <v>10.0</v>
      </c>
      <c r="D792" s="15" t="s">
        <v>2158</v>
      </c>
      <c r="E792" s="16" t="s">
        <v>52</v>
      </c>
      <c r="F792" s="13" t="s">
        <v>495</v>
      </c>
      <c r="G792" s="13" t="s">
        <v>973</v>
      </c>
      <c r="H792" s="13" t="s">
        <v>2179</v>
      </c>
      <c r="I792" s="13" t="s">
        <v>63</v>
      </c>
      <c r="J792" s="17" t="s">
        <v>71</v>
      </c>
      <c r="K792" s="17" t="s">
        <v>58</v>
      </c>
      <c r="L792" s="18" t="s">
        <v>52</v>
      </c>
      <c r="M792" s="19">
        <v>22.0</v>
      </c>
      <c r="N792" s="19">
        <v>31.0</v>
      </c>
    </row>
    <row r="793">
      <c r="A793" s="12">
        <v>791.0</v>
      </c>
      <c r="B793" s="13" t="s">
        <v>391</v>
      </c>
      <c r="C793" s="14">
        <v>11.0</v>
      </c>
      <c r="D793" s="15" t="s">
        <v>2158</v>
      </c>
      <c r="E793" s="16" t="s">
        <v>52</v>
      </c>
      <c r="F793" s="13" t="s">
        <v>1475</v>
      </c>
      <c r="G793" s="13" t="s">
        <v>1476</v>
      </c>
      <c r="H793" s="13" t="s">
        <v>1477</v>
      </c>
      <c r="I793" s="13" t="s">
        <v>63</v>
      </c>
      <c r="J793" s="17" t="s">
        <v>71</v>
      </c>
      <c r="K793" s="17" t="s">
        <v>58</v>
      </c>
      <c r="L793" s="18" t="s">
        <v>52</v>
      </c>
      <c r="M793" s="19">
        <v>22.0</v>
      </c>
      <c r="N793" s="19">
        <v>31.0</v>
      </c>
    </row>
    <row r="794">
      <c r="A794" s="12">
        <v>792.0</v>
      </c>
      <c r="B794" s="13" t="s">
        <v>391</v>
      </c>
      <c r="C794" s="14">
        <v>12.0</v>
      </c>
      <c r="D794" s="15" t="s">
        <v>2166</v>
      </c>
      <c r="E794" s="16" t="s">
        <v>52</v>
      </c>
      <c r="F794" s="13" t="s">
        <v>257</v>
      </c>
      <c r="G794" s="13" t="s">
        <v>61</v>
      </c>
      <c r="H794" s="13" t="s">
        <v>259</v>
      </c>
      <c r="I794" s="13" t="s">
        <v>63</v>
      </c>
      <c r="J794" s="17" t="s">
        <v>71</v>
      </c>
      <c r="K794" s="17" t="s">
        <v>58</v>
      </c>
      <c r="L794" s="18" t="s">
        <v>52</v>
      </c>
      <c r="M794" s="19">
        <v>22.0</v>
      </c>
      <c r="N794" s="19">
        <v>31.0</v>
      </c>
    </row>
    <row r="795">
      <c r="A795" s="12">
        <v>793.0</v>
      </c>
      <c r="B795" s="13" t="s">
        <v>391</v>
      </c>
      <c r="C795" s="14">
        <v>13.0</v>
      </c>
      <c r="D795" s="15" t="s">
        <v>2166</v>
      </c>
      <c r="E795" s="16" t="s">
        <v>52</v>
      </c>
      <c r="F795" s="13" t="s">
        <v>302</v>
      </c>
      <c r="G795" s="13" t="s">
        <v>61</v>
      </c>
      <c r="H795" s="13" t="s">
        <v>303</v>
      </c>
      <c r="I795" s="13" t="s">
        <v>63</v>
      </c>
      <c r="J795" s="17" t="s">
        <v>71</v>
      </c>
      <c r="K795" s="17" t="s">
        <v>58</v>
      </c>
      <c r="L795" s="18" t="s">
        <v>52</v>
      </c>
      <c r="M795" s="19">
        <v>22.0</v>
      </c>
      <c r="N795" s="19">
        <v>31.0</v>
      </c>
    </row>
    <row r="796">
      <c r="A796" s="12">
        <v>794.0</v>
      </c>
      <c r="B796" s="13" t="s">
        <v>391</v>
      </c>
      <c r="C796" s="14">
        <v>14.0</v>
      </c>
      <c r="D796" s="15" t="s">
        <v>2154</v>
      </c>
      <c r="E796" s="16" t="s">
        <v>52</v>
      </c>
      <c r="F796" s="13" t="s">
        <v>738</v>
      </c>
      <c r="G796" s="13" t="s">
        <v>2180</v>
      </c>
      <c r="H796" s="13" t="s">
        <v>1030</v>
      </c>
      <c r="I796" s="13" t="s">
        <v>63</v>
      </c>
      <c r="J796" s="17" t="s">
        <v>71</v>
      </c>
      <c r="K796" s="17" t="s">
        <v>58</v>
      </c>
      <c r="L796" s="18" t="s">
        <v>52</v>
      </c>
      <c r="M796" s="19">
        <v>22.0</v>
      </c>
      <c r="N796" s="19">
        <v>31.0</v>
      </c>
    </row>
    <row r="797">
      <c r="A797" s="12">
        <v>795.0</v>
      </c>
      <c r="B797" s="13" t="s">
        <v>391</v>
      </c>
      <c r="C797" s="14">
        <v>15.0</v>
      </c>
      <c r="D797" s="15" t="s">
        <v>2154</v>
      </c>
      <c r="E797" s="16" t="s">
        <v>52</v>
      </c>
      <c r="F797" s="13" t="s">
        <v>247</v>
      </c>
      <c r="G797" s="13" t="s">
        <v>61</v>
      </c>
      <c r="H797" s="13" t="s">
        <v>783</v>
      </c>
      <c r="I797" s="13" t="s">
        <v>63</v>
      </c>
      <c r="J797" s="17" t="s">
        <v>71</v>
      </c>
      <c r="K797" s="17" t="s">
        <v>58</v>
      </c>
      <c r="L797" s="18" t="s">
        <v>253</v>
      </c>
      <c r="M797" s="19">
        <v>22.0</v>
      </c>
      <c r="N797" s="19">
        <v>31.0</v>
      </c>
    </row>
    <row r="798">
      <c r="A798" s="12">
        <v>796.0</v>
      </c>
      <c r="B798" s="13" t="s">
        <v>391</v>
      </c>
      <c r="C798" s="14">
        <v>16.0</v>
      </c>
      <c r="D798" s="15" t="s">
        <v>2154</v>
      </c>
      <c r="E798" s="16" t="s">
        <v>52</v>
      </c>
      <c r="F798" s="13" t="s">
        <v>544</v>
      </c>
      <c r="G798" s="13" t="s">
        <v>2181</v>
      </c>
      <c r="H798" s="13" t="s">
        <v>2182</v>
      </c>
      <c r="I798" s="13" t="s">
        <v>63</v>
      </c>
      <c r="J798" s="17" t="s">
        <v>71</v>
      </c>
      <c r="K798" s="17" t="s">
        <v>58</v>
      </c>
      <c r="L798" s="18" t="s">
        <v>52</v>
      </c>
      <c r="M798" s="19">
        <v>22.0</v>
      </c>
      <c r="N798" s="19">
        <v>31.0</v>
      </c>
    </row>
    <row r="799">
      <c r="A799" s="12">
        <v>797.0</v>
      </c>
      <c r="B799" s="13" t="s">
        <v>391</v>
      </c>
      <c r="C799" s="14">
        <v>17.0</v>
      </c>
      <c r="D799" s="15" t="s">
        <v>2154</v>
      </c>
      <c r="E799" s="16" t="s">
        <v>52</v>
      </c>
      <c r="F799" s="13" t="s">
        <v>705</v>
      </c>
      <c r="G799" s="13" t="s">
        <v>778</v>
      </c>
      <c r="H799" s="13" t="s">
        <v>1030</v>
      </c>
      <c r="I799" s="13" t="s">
        <v>63</v>
      </c>
      <c r="J799" s="17" t="s">
        <v>71</v>
      </c>
      <c r="K799" s="17" t="s">
        <v>58</v>
      </c>
      <c r="L799" s="18" t="s">
        <v>52</v>
      </c>
      <c r="M799" s="19">
        <v>22.0</v>
      </c>
      <c r="N799" s="19">
        <v>31.0</v>
      </c>
    </row>
    <row r="800">
      <c r="A800" s="12">
        <v>798.0</v>
      </c>
      <c r="B800" s="13" t="s">
        <v>391</v>
      </c>
      <c r="C800" s="14">
        <v>18.0</v>
      </c>
      <c r="D800" s="15" t="s">
        <v>2154</v>
      </c>
      <c r="E800" s="16" t="s">
        <v>52</v>
      </c>
      <c r="F800" s="13" t="s">
        <v>314</v>
      </c>
      <c r="G800" s="13" t="s">
        <v>316</v>
      </c>
      <c r="H800" s="13" t="s">
        <v>2183</v>
      </c>
      <c r="I800" s="13" t="s">
        <v>63</v>
      </c>
      <c r="J800" s="17" t="s">
        <v>71</v>
      </c>
      <c r="K800" s="17" t="s">
        <v>58</v>
      </c>
      <c r="L800" s="18" t="s">
        <v>52</v>
      </c>
      <c r="M800" s="19">
        <v>22.0</v>
      </c>
      <c r="N800" s="19">
        <v>31.0</v>
      </c>
    </row>
    <row r="801">
      <c r="A801" s="12">
        <v>799.0</v>
      </c>
      <c r="B801" s="13" t="s">
        <v>391</v>
      </c>
      <c r="C801" s="14">
        <v>19.0</v>
      </c>
      <c r="D801" s="15" t="s">
        <v>2154</v>
      </c>
      <c r="E801" s="16" t="s">
        <v>52</v>
      </c>
      <c r="F801" s="13" t="s">
        <v>593</v>
      </c>
      <c r="G801" s="13" t="s">
        <v>61</v>
      </c>
      <c r="H801" s="13" t="s">
        <v>792</v>
      </c>
      <c r="I801" s="13" t="s">
        <v>63</v>
      </c>
      <c r="J801" s="17" t="s">
        <v>71</v>
      </c>
      <c r="K801" s="17" t="s">
        <v>58</v>
      </c>
      <c r="L801" s="18" t="s">
        <v>52</v>
      </c>
      <c r="M801" s="19">
        <v>22.0</v>
      </c>
      <c r="N801" s="19">
        <v>31.0</v>
      </c>
    </row>
    <row r="802">
      <c r="A802" s="12">
        <v>800.0</v>
      </c>
      <c r="B802" s="13" t="s">
        <v>391</v>
      </c>
      <c r="C802" s="14">
        <v>20.0</v>
      </c>
      <c r="D802" s="15" t="s">
        <v>2154</v>
      </c>
      <c r="E802" s="16" t="s">
        <v>52</v>
      </c>
      <c r="F802" s="13" t="s">
        <v>605</v>
      </c>
      <c r="G802" s="13" t="s">
        <v>759</v>
      </c>
      <c r="H802" s="13" t="s">
        <v>2184</v>
      </c>
      <c r="I802" s="13" t="s">
        <v>63</v>
      </c>
      <c r="J802" s="17" t="s">
        <v>71</v>
      </c>
      <c r="K802" s="17" t="s">
        <v>58</v>
      </c>
      <c r="L802" s="18" t="s">
        <v>253</v>
      </c>
      <c r="M802" s="19">
        <v>22.0</v>
      </c>
      <c r="N802" s="19">
        <v>31.0</v>
      </c>
    </row>
    <row r="803">
      <c r="A803" s="12">
        <v>801.0</v>
      </c>
      <c r="B803" s="13" t="s">
        <v>391</v>
      </c>
      <c r="C803" s="14">
        <v>21.0</v>
      </c>
      <c r="D803" s="15" t="s">
        <v>2154</v>
      </c>
      <c r="E803" s="16" t="s">
        <v>52</v>
      </c>
      <c r="F803" s="13" t="s">
        <v>350</v>
      </c>
      <c r="G803" s="13" t="s">
        <v>761</v>
      </c>
      <c r="H803" s="13" t="s">
        <v>2184</v>
      </c>
      <c r="I803" s="13" t="s">
        <v>63</v>
      </c>
      <c r="J803" s="17" t="s">
        <v>71</v>
      </c>
      <c r="K803" s="17" t="s">
        <v>58</v>
      </c>
      <c r="L803" s="18" t="s">
        <v>52</v>
      </c>
      <c r="M803" s="19">
        <v>22.0</v>
      </c>
      <c r="N803" s="19">
        <v>31.0</v>
      </c>
    </row>
    <row r="804">
      <c r="A804" s="12">
        <v>802.0</v>
      </c>
      <c r="B804" s="13" t="s">
        <v>391</v>
      </c>
      <c r="C804" s="14">
        <v>22.0</v>
      </c>
      <c r="D804" s="15" t="s">
        <v>2154</v>
      </c>
      <c r="E804" s="16" t="s">
        <v>52</v>
      </c>
      <c r="F804" s="13" t="s">
        <v>218</v>
      </c>
      <c r="G804" s="13" t="s">
        <v>2185</v>
      </c>
      <c r="H804" s="13" t="s">
        <v>2186</v>
      </c>
      <c r="I804" s="13" t="s">
        <v>63</v>
      </c>
      <c r="J804" s="17" t="s">
        <v>71</v>
      </c>
      <c r="K804" s="17" t="s">
        <v>58</v>
      </c>
      <c r="L804" s="18" t="s">
        <v>52</v>
      </c>
      <c r="M804" s="19">
        <v>22.0</v>
      </c>
      <c r="N804" s="19">
        <v>31.0</v>
      </c>
    </row>
    <row r="805">
      <c r="A805" s="12">
        <v>803.0</v>
      </c>
      <c r="B805" s="13" t="s">
        <v>391</v>
      </c>
      <c r="C805" s="14">
        <v>23.0</v>
      </c>
      <c r="D805" s="15" t="s">
        <v>2154</v>
      </c>
      <c r="E805" s="16" t="s">
        <v>52</v>
      </c>
      <c r="F805" s="13" t="s">
        <v>222</v>
      </c>
      <c r="G805" s="13" t="s">
        <v>2187</v>
      </c>
      <c r="H805" s="13" t="s">
        <v>2188</v>
      </c>
      <c r="I805" s="13" t="s">
        <v>63</v>
      </c>
      <c r="J805" s="17" t="s">
        <v>71</v>
      </c>
      <c r="K805" s="17" t="s">
        <v>58</v>
      </c>
      <c r="L805" s="18" t="s">
        <v>52</v>
      </c>
      <c r="M805" s="19">
        <v>22.0</v>
      </c>
      <c r="N805" s="19">
        <v>31.0</v>
      </c>
    </row>
    <row r="806">
      <c r="A806" s="12">
        <v>804.0</v>
      </c>
      <c r="B806" s="13" t="s">
        <v>391</v>
      </c>
      <c r="C806" s="14">
        <v>24.0</v>
      </c>
      <c r="D806" s="15" t="s">
        <v>2154</v>
      </c>
      <c r="E806" s="16" t="s">
        <v>52</v>
      </c>
      <c r="F806" s="13" t="s">
        <v>274</v>
      </c>
      <c r="G806" s="13" t="s">
        <v>61</v>
      </c>
      <c r="H806" s="13" t="s">
        <v>275</v>
      </c>
      <c r="I806" s="13" t="s">
        <v>63</v>
      </c>
      <c r="J806" s="17" t="s">
        <v>71</v>
      </c>
      <c r="K806" s="17" t="s">
        <v>58</v>
      </c>
      <c r="L806" s="18" t="s">
        <v>52</v>
      </c>
      <c r="M806" s="19">
        <v>22.0</v>
      </c>
      <c r="N806" s="19">
        <v>31.0</v>
      </c>
    </row>
    <row r="807">
      <c r="A807" s="12">
        <v>805.0</v>
      </c>
      <c r="B807" s="13" t="s">
        <v>391</v>
      </c>
      <c r="C807" s="14">
        <v>25.0</v>
      </c>
      <c r="D807" s="15" t="s">
        <v>2154</v>
      </c>
      <c r="E807" s="16" t="s">
        <v>52</v>
      </c>
      <c r="F807" s="13" t="s">
        <v>586</v>
      </c>
      <c r="G807" s="13" t="s">
        <v>998</v>
      </c>
      <c r="H807" s="13" t="s">
        <v>2189</v>
      </c>
      <c r="I807" s="13" t="s">
        <v>63</v>
      </c>
      <c r="J807" s="17" t="s">
        <v>71</v>
      </c>
      <c r="K807" s="17" t="s">
        <v>58</v>
      </c>
      <c r="L807" s="18" t="s">
        <v>52</v>
      </c>
      <c r="M807" s="19">
        <v>22.0</v>
      </c>
      <c r="N807" s="19">
        <v>31.0</v>
      </c>
    </row>
    <row r="808">
      <c r="A808" s="12">
        <v>806.0</v>
      </c>
      <c r="B808" s="13" t="s">
        <v>391</v>
      </c>
      <c r="C808" s="14">
        <v>26.0</v>
      </c>
      <c r="D808" s="15" t="s">
        <v>2154</v>
      </c>
      <c r="E808" s="16" t="s">
        <v>52</v>
      </c>
      <c r="F808" s="13" t="s">
        <v>731</v>
      </c>
      <c r="G808" s="13" t="s">
        <v>2190</v>
      </c>
      <c r="H808" s="13" t="s">
        <v>2191</v>
      </c>
      <c r="I808" s="13" t="s">
        <v>63</v>
      </c>
      <c r="J808" s="17" t="s">
        <v>71</v>
      </c>
      <c r="K808" s="17" t="s">
        <v>58</v>
      </c>
      <c r="L808" s="18" t="s">
        <v>52</v>
      </c>
      <c r="M808" s="19">
        <v>22.0</v>
      </c>
      <c r="N808" s="19">
        <v>31.0</v>
      </c>
    </row>
    <row r="809">
      <c r="A809" s="12">
        <v>807.0</v>
      </c>
      <c r="B809" s="13" t="s">
        <v>391</v>
      </c>
      <c r="C809" s="14">
        <v>27.0</v>
      </c>
      <c r="D809" s="15" t="s">
        <v>2154</v>
      </c>
      <c r="E809" s="16" t="s">
        <v>52</v>
      </c>
      <c r="F809" s="13" t="s">
        <v>334</v>
      </c>
      <c r="G809" s="13" t="s">
        <v>61</v>
      </c>
      <c r="H809" s="13" t="s">
        <v>1007</v>
      </c>
      <c r="I809" s="13" t="s">
        <v>63</v>
      </c>
      <c r="J809" s="17" t="s">
        <v>71</v>
      </c>
      <c r="K809" s="17" t="s">
        <v>58</v>
      </c>
      <c r="L809" s="18" t="s">
        <v>52</v>
      </c>
      <c r="M809" s="19">
        <v>22.0</v>
      </c>
      <c r="N809" s="19">
        <v>31.0</v>
      </c>
    </row>
    <row r="810">
      <c r="A810" s="12">
        <v>808.0</v>
      </c>
      <c r="B810" s="13" t="s">
        <v>391</v>
      </c>
      <c r="C810" s="14">
        <v>28.0</v>
      </c>
      <c r="D810" s="15" t="s">
        <v>2154</v>
      </c>
      <c r="E810" s="16" t="s">
        <v>52</v>
      </c>
      <c r="F810" s="13" t="s">
        <v>265</v>
      </c>
      <c r="G810" s="13" t="s">
        <v>266</v>
      </c>
      <c r="H810" s="13" t="s">
        <v>2183</v>
      </c>
      <c r="I810" s="13" t="s">
        <v>63</v>
      </c>
      <c r="J810" s="17" t="s">
        <v>71</v>
      </c>
      <c r="K810" s="17" t="s">
        <v>58</v>
      </c>
      <c r="L810" s="18" t="s">
        <v>52</v>
      </c>
      <c r="M810" s="19">
        <v>22.0</v>
      </c>
      <c r="N810" s="19">
        <v>31.0</v>
      </c>
    </row>
    <row r="811">
      <c r="A811" s="12">
        <v>809.0</v>
      </c>
      <c r="B811" s="13" t="s">
        <v>391</v>
      </c>
      <c r="C811" s="14">
        <v>29.0</v>
      </c>
      <c r="D811" s="15" t="s">
        <v>2154</v>
      </c>
      <c r="E811" s="16" t="s">
        <v>52</v>
      </c>
      <c r="F811" s="13" t="s">
        <v>658</v>
      </c>
      <c r="G811" s="13" t="s">
        <v>2193</v>
      </c>
      <c r="H811" s="13" t="s">
        <v>1030</v>
      </c>
      <c r="I811" s="13" t="s">
        <v>63</v>
      </c>
      <c r="J811" s="17" t="s">
        <v>71</v>
      </c>
      <c r="K811" s="17" t="s">
        <v>58</v>
      </c>
      <c r="L811" s="18" t="s">
        <v>52</v>
      </c>
      <c r="M811" s="19">
        <v>22.0</v>
      </c>
      <c r="N811" s="19">
        <v>31.0</v>
      </c>
    </row>
    <row r="812">
      <c r="A812" s="12">
        <v>810.0</v>
      </c>
      <c r="B812" s="13" t="s">
        <v>391</v>
      </c>
      <c r="C812" s="14">
        <v>30.0</v>
      </c>
      <c r="D812" s="15" t="s">
        <v>2154</v>
      </c>
      <c r="E812" s="16" t="s">
        <v>52</v>
      </c>
      <c r="F812" s="13" t="s">
        <v>965</v>
      </c>
      <c r="G812" s="13" t="s">
        <v>966</v>
      </c>
      <c r="H812" s="13" t="s">
        <v>2194</v>
      </c>
      <c r="I812" s="13" t="s">
        <v>63</v>
      </c>
      <c r="J812" s="17" t="s">
        <v>71</v>
      </c>
      <c r="K812" s="17" t="s">
        <v>58</v>
      </c>
      <c r="L812" s="18" t="s">
        <v>52</v>
      </c>
      <c r="M812" s="19">
        <v>22.0</v>
      </c>
      <c r="N812" s="19">
        <v>31.0</v>
      </c>
    </row>
    <row r="813">
      <c r="A813" s="12">
        <v>811.0</v>
      </c>
      <c r="B813" s="13" t="s">
        <v>2195</v>
      </c>
      <c r="C813" s="14">
        <v>1.0</v>
      </c>
      <c r="D813" s="15" t="s">
        <v>2196</v>
      </c>
      <c r="E813" s="16" t="s">
        <v>52</v>
      </c>
      <c r="F813" s="13" t="s">
        <v>1434</v>
      </c>
      <c r="G813" s="13" t="s">
        <v>1576</v>
      </c>
      <c r="H813" s="13" t="s">
        <v>1577</v>
      </c>
      <c r="I813" s="13" t="s">
        <v>63</v>
      </c>
      <c r="J813" s="17" t="s">
        <v>57</v>
      </c>
      <c r="K813" s="17" t="s">
        <v>58</v>
      </c>
      <c r="L813" s="18" t="s">
        <v>52</v>
      </c>
      <c r="M813" s="19">
        <v>23.0</v>
      </c>
      <c r="N813" s="19">
        <v>11.0</v>
      </c>
    </row>
    <row r="814">
      <c r="A814" s="12">
        <v>812.0</v>
      </c>
      <c r="B814" s="13" t="s">
        <v>2195</v>
      </c>
      <c r="C814" s="14">
        <v>2.0</v>
      </c>
      <c r="D814" s="15" t="s">
        <v>2196</v>
      </c>
      <c r="E814" s="16" t="s">
        <v>52</v>
      </c>
      <c r="F814" s="13" t="s">
        <v>1902</v>
      </c>
      <c r="G814" s="13" t="s">
        <v>2199</v>
      </c>
      <c r="H814" s="13" t="s">
        <v>2200</v>
      </c>
      <c r="I814" s="13" t="s">
        <v>63</v>
      </c>
      <c r="J814" s="17" t="s">
        <v>57</v>
      </c>
      <c r="K814" s="17" t="s">
        <v>58</v>
      </c>
      <c r="L814" s="18" t="s">
        <v>52</v>
      </c>
      <c r="M814" s="19">
        <v>23.0</v>
      </c>
      <c r="N814" s="19">
        <v>11.0</v>
      </c>
    </row>
    <row r="815">
      <c r="A815" s="12">
        <v>813.0</v>
      </c>
      <c r="B815" s="13" t="s">
        <v>2195</v>
      </c>
      <c r="C815" s="14">
        <v>3.0</v>
      </c>
      <c r="D815" s="15" t="s">
        <v>2201</v>
      </c>
      <c r="E815" s="16" t="s">
        <v>52</v>
      </c>
      <c r="F815" s="13" t="s">
        <v>1143</v>
      </c>
      <c r="G815" s="13" t="s">
        <v>2202</v>
      </c>
      <c r="H815" s="13" t="s">
        <v>2203</v>
      </c>
      <c r="I815" s="13" t="s">
        <v>56</v>
      </c>
      <c r="J815" s="17" t="s">
        <v>67</v>
      </c>
      <c r="K815" s="17" t="s">
        <v>58</v>
      </c>
      <c r="L815" s="18" t="s">
        <v>52</v>
      </c>
      <c r="M815" s="19">
        <v>23.0</v>
      </c>
      <c r="N815" s="19">
        <v>20.0</v>
      </c>
    </row>
    <row r="816">
      <c r="A816" s="12">
        <v>814.0</v>
      </c>
      <c r="B816" s="13" t="s">
        <v>2195</v>
      </c>
      <c r="C816" s="14">
        <v>4.0</v>
      </c>
      <c r="D816" s="15" t="s">
        <v>2201</v>
      </c>
      <c r="E816" s="16" t="s">
        <v>52</v>
      </c>
      <c r="F816" s="13" t="s">
        <v>2204</v>
      </c>
      <c r="G816" s="13" t="s">
        <v>2206</v>
      </c>
      <c r="H816" s="13" t="s">
        <v>2207</v>
      </c>
      <c r="I816" s="13" t="s">
        <v>56</v>
      </c>
      <c r="J816" s="17" t="s">
        <v>67</v>
      </c>
      <c r="K816" s="17" t="s">
        <v>58</v>
      </c>
      <c r="L816" s="18" t="s">
        <v>52</v>
      </c>
      <c r="M816" s="19">
        <v>23.0</v>
      </c>
      <c r="N816" s="19">
        <v>20.0</v>
      </c>
    </row>
    <row r="817">
      <c r="A817" s="12">
        <v>815.0</v>
      </c>
      <c r="B817" s="13" t="s">
        <v>2195</v>
      </c>
      <c r="C817" s="14">
        <v>5.0</v>
      </c>
      <c r="D817" s="15" t="s">
        <v>2201</v>
      </c>
      <c r="E817" s="16" t="s">
        <v>52</v>
      </c>
      <c r="F817" s="13" t="s">
        <v>1597</v>
      </c>
      <c r="G817" s="13" t="s">
        <v>2209</v>
      </c>
      <c r="H817" s="13" t="s">
        <v>2210</v>
      </c>
      <c r="I817" s="13" t="s">
        <v>56</v>
      </c>
      <c r="J817" s="17" t="s">
        <v>67</v>
      </c>
      <c r="K817" s="17" t="s">
        <v>58</v>
      </c>
      <c r="L817" s="18" t="s">
        <v>52</v>
      </c>
      <c r="M817" s="19">
        <v>23.0</v>
      </c>
      <c r="N817" s="19">
        <v>20.0</v>
      </c>
    </row>
    <row r="818">
      <c r="A818" s="12">
        <v>816.0</v>
      </c>
      <c r="B818" s="13" t="s">
        <v>2195</v>
      </c>
      <c r="C818" s="14">
        <v>6.0</v>
      </c>
      <c r="D818" s="15" t="s">
        <v>2201</v>
      </c>
      <c r="E818" s="16" t="s">
        <v>52</v>
      </c>
      <c r="F818" s="13" t="s">
        <v>2212</v>
      </c>
      <c r="G818" s="13" t="s">
        <v>2213</v>
      </c>
      <c r="H818" s="13" t="s">
        <v>2214</v>
      </c>
      <c r="I818" s="13" t="s">
        <v>56</v>
      </c>
      <c r="J818" s="17" t="s">
        <v>67</v>
      </c>
      <c r="K818" s="17" t="s">
        <v>58</v>
      </c>
      <c r="L818" s="18" t="s">
        <v>52</v>
      </c>
      <c r="M818" s="19">
        <v>23.0</v>
      </c>
      <c r="N818" s="19">
        <v>20.0</v>
      </c>
    </row>
    <row r="819">
      <c r="A819" s="12">
        <v>817.0</v>
      </c>
      <c r="B819" s="13" t="s">
        <v>2195</v>
      </c>
      <c r="C819" s="14">
        <v>7.0</v>
      </c>
      <c r="D819" s="15" t="s">
        <v>2201</v>
      </c>
      <c r="E819" s="16" t="s">
        <v>52</v>
      </c>
      <c r="F819" s="13" t="s">
        <v>2215</v>
      </c>
      <c r="G819" s="13" t="s">
        <v>2216</v>
      </c>
      <c r="H819" s="13" t="s">
        <v>2217</v>
      </c>
      <c r="I819" s="13" t="s">
        <v>56</v>
      </c>
      <c r="J819" s="17" t="s">
        <v>67</v>
      </c>
      <c r="K819" s="17" t="s">
        <v>58</v>
      </c>
      <c r="L819" s="18" t="s">
        <v>52</v>
      </c>
      <c r="M819" s="19">
        <v>23.0</v>
      </c>
      <c r="N819" s="19">
        <v>20.0</v>
      </c>
    </row>
    <row r="820">
      <c r="A820" s="12">
        <v>818.0</v>
      </c>
      <c r="B820" s="13" t="s">
        <v>2195</v>
      </c>
      <c r="C820" s="14">
        <v>8.0</v>
      </c>
      <c r="D820" s="15" t="s">
        <v>2196</v>
      </c>
      <c r="E820" s="16" t="s">
        <v>52</v>
      </c>
      <c r="F820" s="13" t="s">
        <v>1379</v>
      </c>
      <c r="G820" s="13" t="s">
        <v>2219</v>
      </c>
      <c r="H820" s="13" t="s">
        <v>2221</v>
      </c>
      <c r="I820" s="13" t="s">
        <v>56</v>
      </c>
      <c r="J820" s="17" t="s">
        <v>67</v>
      </c>
      <c r="K820" s="17" t="s">
        <v>58</v>
      </c>
      <c r="L820" s="18" t="s">
        <v>52</v>
      </c>
      <c r="M820" s="19">
        <v>23.0</v>
      </c>
      <c r="N820" s="19">
        <v>20.0</v>
      </c>
    </row>
    <row r="821">
      <c r="A821" s="12">
        <v>819.0</v>
      </c>
      <c r="B821" s="13" t="s">
        <v>2195</v>
      </c>
      <c r="C821" s="14">
        <v>9.0</v>
      </c>
      <c r="D821" s="15" t="s">
        <v>2196</v>
      </c>
      <c r="E821" s="16" t="s">
        <v>52</v>
      </c>
      <c r="F821" s="13" t="s">
        <v>1168</v>
      </c>
      <c r="G821" s="13" t="s">
        <v>1307</v>
      </c>
      <c r="H821" s="13" t="s">
        <v>2223</v>
      </c>
      <c r="I821" s="13" t="s">
        <v>63</v>
      </c>
      <c r="J821" s="17" t="s">
        <v>67</v>
      </c>
      <c r="K821" s="17" t="s">
        <v>58</v>
      </c>
      <c r="L821" s="18" t="s">
        <v>52</v>
      </c>
      <c r="M821" s="19">
        <v>23.0</v>
      </c>
      <c r="N821" s="19">
        <v>21.0</v>
      </c>
    </row>
    <row r="822">
      <c r="A822" s="12">
        <v>820.0</v>
      </c>
      <c r="B822" s="13" t="s">
        <v>2195</v>
      </c>
      <c r="C822" s="14">
        <v>10.0</v>
      </c>
      <c r="D822" s="15" t="s">
        <v>2201</v>
      </c>
      <c r="E822" s="16" t="s">
        <v>52</v>
      </c>
      <c r="F822" s="13" t="s">
        <v>733</v>
      </c>
      <c r="G822" s="13" t="s">
        <v>2224</v>
      </c>
      <c r="H822" s="13" t="s">
        <v>2225</v>
      </c>
      <c r="I822" s="13" t="s">
        <v>56</v>
      </c>
      <c r="J822" s="17" t="s">
        <v>71</v>
      </c>
      <c r="K822" s="17" t="s">
        <v>58</v>
      </c>
      <c r="L822" s="18" t="s">
        <v>52</v>
      </c>
      <c r="M822" s="19">
        <v>23.0</v>
      </c>
      <c r="N822" s="19">
        <v>30.0</v>
      </c>
    </row>
    <row r="823">
      <c r="A823" s="12">
        <v>821.0</v>
      </c>
      <c r="B823" s="13" t="s">
        <v>2195</v>
      </c>
      <c r="C823" s="14">
        <v>11.0</v>
      </c>
      <c r="D823" s="15" t="s">
        <v>2201</v>
      </c>
      <c r="E823" s="16" t="s">
        <v>52</v>
      </c>
      <c r="F823" s="13" t="s">
        <v>1540</v>
      </c>
      <c r="G823" s="13" t="s">
        <v>2226</v>
      </c>
      <c r="H823" s="13" t="s">
        <v>2227</v>
      </c>
      <c r="I823" s="13" t="s">
        <v>56</v>
      </c>
      <c r="J823" s="17" t="s">
        <v>71</v>
      </c>
      <c r="K823" s="17" t="s">
        <v>58</v>
      </c>
      <c r="L823" s="18" t="s">
        <v>52</v>
      </c>
      <c r="M823" s="19">
        <v>23.0</v>
      </c>
      <c r="N823" s="19">
        <v>30.0</v>
      </c>
    </row>
    <row r="824">
      <c r="A824" s="12">
        <v>822.0</v>
      </c>
      <c r="B824" s="13" t="s">
        <v>2195</v>
      </c>
      <c r="C824" s="14">
        <v>12.0</v>
      </c>
      <c r="D824" s="15" t="s">
        <v>2201</v>
      </c>
      <c r="E824" s="16" t="s">
        <v>52</v>
      </c>
      <c r="F824" s="13" t="s">
        <v>1423</v>
      </c>
      <c r="G824" s="13" t="s">
        <v>2228</v>
      </c>
      <c r="H824" s="13" t="s">
        <v>2229</v>
      </c>
      <c r="I824" s="13" t="s">
        <v>56</v>
      </c>
      <c r="J824" s="17" t="s">
        <v>71</v>
      </c>
      <c r="K824" s="17" t="s">
        <v>58</v>
      </c>
      <c r="L824" s="18" t="s">
        <v>52</v>
      </c>
      <c r="M824" s="19">
        <v>23.0</v>
      </c>
      <c r="N824" s="19">
        <v>30.0</v>
      </c>
    </row>
    <row r="825">
      <c r="A825" s="12">
        <v>823.0</v>
      </c>
      <c r="B825" s="13" t="s">
        <v>2195</v>
      </c>
      <c r="C825" s="14">
        <v>13.0</v>
      </c>
      <c r="D825" s="15" t="s">
        <v>2201</v>
      </c>
      <c r="E825" s="16" t="s">
        <v>52</v>
      </c>
      <c r="F825" s="13" t="s">
        <v>1272</v>
      </c>
      <c r="G825" s="13" t="s">
        <v>2230</v>
      </c>
      <c r="H825" s="13" t="s">
        <v>2207</v>
      </c>
      <c r="I825" s="13" t="s">
        <v>56</v>
      </c>
      <c r="J825" s="17" t="s">
        <v>71</v>
      </c>
      <c r="K825" s="17" t="s">
        <v>58</v>
      </c>
      <c r="L825" s="18" t="s">
        <v>52</v>
      </c>
      <c r="M825" s="19">
        <v>23.0</v>
      </c>
      <c r="N825" s="19">
        <v>30.0</v>
      </c>
    </row>
    <row r="826">
      <c r="A826" s="12">
        <v>824.0</v>
      </c>
      <c r="B826" s="13" t="s">
        <v>2195</v>
      </c>
      <c r="C826" s="14">
        <v>14.0</v>
      </c>
      <c r="D826" s="15" t="s">
        <v>2201</v>
      </c>
      <c r="E826" s="16" t="s">
        <v>52</v>
      </c>
      <c r="F826" s="13" t="s">
        <v>1669</v>
      </c>
      <c r="G826" s="13" t="s">
        <v>2231</v>
      </c>
      <c r="H826" s="13" t="s">
        <v>2232</v>
      </c>
      <c r="I826" s="13" t="s">
        <v>56</v>
      </c>
      <c r="J826" s="17" t="s">
        <v>71</v>
      </c>
      <c r="K826" s="17" t="s">
        <v>58</v>
      </c>
      <c r="L826" s="18" t="s">
        <v>52</v>
      </c>
      <c r="M826" s="19">
        <v>23.0</v>
      </c>
      <c r="N826" s="19">
        <v>30.0</v>
      </c>
    </row>
    <row r="827">
      <c r="A827" s="12">
        <v>825.0</v>
      </c>
      <c r="B827" s="13" t="s">
        <v>2195</v>
      </c>
      <c r="C827" s="14">
        <v>15.0</v>
      </c>
      <c r="D827" s="15" t="s">
        <v>2201</v>
      </c>
      <c r="E827" s="16" t="s">
        <v>52</v>
      </c>
      <c r="F827" s="13" t="s">
        <v>1975</v>
      </c>
      <c r="G827" s="13" t="s">
        <v>2233</v>
      </c>
      <c r="H827" s="13" t="s">
        <v>2234</v>
      </c>
      <c r="I827" s="13" t="s">
        <v>56</v>
      </c>
      <c r="J827" s="17" t="s">
        <v>71</v>
      </c>
      <c r="K827" s="17" t="s">
        <v>58</v>
      </c>
      <c r="L827" s="18" t="s">
        <v>52</v>
      </c>
      <c r="M827" s="19">
        <v>23.0</v>
      </c>
      <c r="N827" s="19">
        <v>30.0</v>
      </c>
    </row>
    <row r="828">
      <c r="A828" s="12">
        <v>826.0</v>
      </c>
      <c r="B828" s="13" t="s">
        <v>2195</v>
      </c>
      <c r="C828" s="14">
        <v>16.0</v>
      </c>
      <c r="D828" s="15" t="s">
        <v>2201</v>
      </c>
      <c r="E828" s="16" t="s">
        <v>52</v>
      </c>
      <c r="F828" s="13" t="s">
        <v>2236</v>
      </c>
      <c r="G828" s="13" t="s">
        <v>2237</v>
      </c>
      <c r="H828" s="13" t="s">
        <v>2238</v>
      </c>
      <c r="I828" s="13" t="s">
        <v>63</v>
      </c>
      <c r="J828" s="17" t="s">
        <v>71</v>
      </c>
      <c r="K828" s="17" t="s">
        <v>58</v>
      </c>
      <c r="L828" s="18" t="s">
        <v>52</v>
      </c>
      <c r="M828" s="19">
        <v>23.0</v>
      </c>
      <c r="N828" s="19">
        <v>31.0</v>
      </c>
    </row>
    <row r="829">
      <c r="A829" s="12">
        <v>827.0</v>
      </c>
      <c r="B829" s="13" t="s">
        <v>2195</v>
      </c>
      <c r="C829" s="14">
        <v>17.0</v>
      </c>
      <c r="D829" s="15" t="s">
        <v>2201</v>
      </c>
      <c r="E829" s="16" t="s">
        <v>52</v>
      </c>
      <c r="F829" s="13" t="s">
        <v>2239</v>
      </c>
      <c r="G829" s="13" t="s">
        <v>2240</v>
      </c>
      <c r="H829" s="13" t="s">
        <v>2241</v>
      </c>
      <c r="I829" s="13" t="s">
        <v>63</v>
      </c>
      <c r="J829" s="17" t="s">
        <v>71</v>
      </c>
      <c r="K829" s="17" t="s">
        <v>58</v>
      </c>
      <c r="L829" s="18" t="s">
        <v>52</v>
      </c>
      <c r="M829" s="19">
        <v>23.0</v>
      </c>
      <c r="N829" s="19">
        <v>31.0</v>
      </c>
    </row>
    <row r="830">
      <c r="A830" s="12">
        <v>828.0</v>
      </c>
      <c r="B830" s="13" t="s">
        <v>2195</v>
      </c>
      <c r="C830" s="14">
        <v>18.0</v>
      </c>
      <c r="D830" s="15" t="s">
        <v>2201</v>
      </c>
      <c r="E830" s="16" t="s">
        <v>52</v>
      </c>
      <c r="F830" s="13" t="s">
        <v>1836</v>
      </c>
      <c r="G830" s="13" t="s">
        <v>2242</v>
      </c>
      <c r="H830" s="13" t="s">
        <v>2243</v>
      </c>
      <c r="I830" s="13" t="s">
        <v>63</v>
      </c>
      <c r="J830" s="17" t="s">
        <v>71</v>
      </c>
      <c r="K830" s="17" t="s">
        <v>58</v>
      </c>
      <c r="L830" s="18" t="s">
        <v>52</v>
      </c>
      <c r="M830" s="19">
        <v>23.0</v>
      </c>
      <c r="N830" s="19">
        <v>31.0</v>
      </c>
    </row>
    <row r="831">
      <c r="A831" s="12">
        <v>829.0</v>
      </c>
      <c r="B831" s="13" t="s">
        <v>2195</v>
      </c>
      <c r="C831" s="14">
        <v>19.0</v>
      </c>
      <c r="D831" s="15" t="s">
        <v>2201</v>
      </c>
      <c r="E831" s="16" t="s">
        <v>52</v>
      </c>
      <c r="F831" s="13" t="s">
        <v>1997</v>
      </c>
      <c r="G831" s="13" t="s">
        <v>2244</v>
      </c>
      <c r="H831" s="13" t="s">
        <v>2245</v>
      </c>
      <c r="I831" s="13" t="s">
        <v>63</v>
      </c>
      <c r="J831" s="17" t="s">
        <v>71</v>
      </c>
      <c r="K831" s="17" t="s">
        <v>58</v>
      </c>
      <c r="L831" s="18" t="s">
        <v>52</v>
      </c>
      <c r="M831" s="19">
        <v>23.0</v>
      </c>
      <c r="N831" s="19">
        <v>31.0</v>
      </c>
    </row>
    <row r="832">
      <c r="A832" s="12">
        <v>830.0</v>
      </c>
      <c r="B832" s="13" t="s">
        <v>2195</v>
      </c>
      <c r="C832" s="14">
        <v>20.0</v>
      </c>
      <c r="D832" s="15" t="s">
        <v>2201</v>
      </c>
      <c r="E832" s="16" t="s">
        <v>52</v>
      </c>
      <c r="F832" s="13" t="s">
        <v>2246</v>
      </c>
      <c r="G832" s="13" t="s">
        <v>2247</v>
      </c>
      <c r="H832" s="13" t="s">
        <v>2248</v>
      </c>
      <c r="I832" s="13" t="s">
        <v>63</v>
      </c>
      <c r="J832" s="17" t="s">
        <v>71</v>
      </c>
      <c r="K832" s="17" t="s">
        <v>58</v>
      </c>
      <c r="L832" s="18" t="s">
        <v>52</v>
      </c>
      <c r="M832" s="19">
        <v>23.0</v>
      </c>
      <c r="N832" s="19">
        <v>31.0</v>
      </c>
    </row>
    <row r="833">
      <c r="A833" s="12">
        <v>831.0</v>
      </c>
      <c r="B833" s="13" t="s">
        <v>2195</v>
      </c>
      <c r="C833" s="14">
        <v>21.0</v>
      </c>
      <c r="D833" s="15" t="s">
        <v>2201</v>
      </c>
      <c r="E833" s="16" t="s">
        <v>52</v>
      </c>
      <c r="F833" s="13" t="s">
        <v>1139</v>
      </c>
      <c r="G833" s="13" t="s">
        <v>2249</v>
      </c>
      <c r="H833" s="13" t="s">
        <v>2250</v>
      </c>
      <c r="I833" s="13" t="s">
        <v>63</v>
      </c>
      <c r="J833" s="17" t="s">
        <v>71</v>
      </c>
      <c r="K833" s="17" t="s">
        <v>58</v>
      </c>
      <c r="L833" s="18" t="s">
        <v>52</v>
      </c>
      <c r="M833" s="19">
        <v>23.0</v>
      </c>
      <c r="N833" s="19">
        <v>31.0</v>
      </c>
    </row>
    <row r="834">
      <c r="A834" s="12">
        <v>832.0</v>
      </c>
      <c r="B834" s="13" t="s">
        <v>2195</v>
      </c>
      <c r="C834" s="14">
        <v>22.0</v>
      </c>
      <c r="D834" s="15" t="s">
        <v>2201</v>
      </c>
      <c r="E834" s="16" t="s">
        <v>52</v>
      </c>
      <c r="F834" s="13" t="s">
        <v>2091</v>
      </c>
      <c r="G834" s="13" t="s">
        <v>2252</v>
      </c>
      <c r="H834" s="13" t="s">
        <v>2253</v>
      </c>
      <c r="I834" s="13" t="s">
        <v>63</v>
      </c>
      <c r="J834" s="17" t="s">
        <v>71</v>
      </c>
      <c r="K834" s="17" t="s">
        <v>58</v>
      </c>
      <c r="L834" s="18" t="s">
        <v>52</v>
      </c>
      <c r="M834" s="19">
        <v>23.0</v>
      </c>
      <c r="N834" s="19">
        <v>31.0</v>
      </c>
    </row>
    <row r="835">
      <c r="A835" s="12">
        <v>833.0</v>
      </c>
      <c r="B835" s="13" t="s">
        <v>2195</v>
      </c>
      <c r="C835" s="14">
        <v>23.0</v>
      </c>
      <c r="D835" s="15" t="s">
        <v>2201</v>
      </c>
      <c r="E835" s="16" t="s">
        <v>52</v>
      </c>
      <c r="F835" s="13" t="s">
        <v>2254</v>
      </c>
      <c r="G835" s="13" t="s">
        <v>2255</v>
      </c>
      <c r="H835" s="13" t="s">
        <v>2250</v>
      </c>
      <c r="I835" s="13" t="s">
        <v>63</v>
      </c>
      <c r="J835" s="17" t="s">
        <v>71</v>
      </c>
      <c r="K835" s="17" t="s">
        <v>58</v>
      </c>
      <c r="L835" s="18" t="s">
        <v>52</v>
      </c>
      <c r="M835" s="19">
        <v>23.0</v>
      </c>
      <c r="N835" s="19">
        <v>31.0</v>
      </c>
    </row>
    <row r="836">
      <c r="A836" s="12">
        <v>834.0</v>
      </c>
      <c r="B836" s="13" t="s">
        <v>2195</v>
      </c>
      <c r="C836" s="14">
        <v>24.0</v>
      </c>
      <c r="D836" s="15" t="s">
        <v>2201</v>
      </c>
      <c r="E836" s="16" t="s">
        <v>52</v>
      </c>
      <c r="F836" s="13" t="s">
        <v>1232</v>
      </c>
      <c r="G836" s="13" t="s">
        <v>2256</v>
      </c>
      <c r="H836" s="13" t="s">
        <v>2257</v>
      </c>
      <c r="I836" s="13" t="s">
        <v>63</v>
      </c>
      <c r="J836" s="17" t="s">
        <v>71</v>
      </c>
      <c r="K836" s="17" t="s">
        <v>58</v>
      </c>
      <c r="L836" s="18" t="s">
        <v>52</v>
      </c>
      <c r="M836" s="19">
        <v>23.0</v>
      </c>
      <c r="N836" s="19">
        <v>31.0</v>
      </c>
    </row>
    <row r="837">
      <c r="A837" s="12">
        <v>835.0</v>
      </c>
      <c r="B837" s="13" t="s">
        <v>2195</v>
      </c>
      <c r="C837" s="14">
        <v>25.0</v>
      </c>
      <c r="D837" s="15" t="s">
        <v>2201</v>
      </c>
      <c r="E837" s="16" t="s">
        <v>52</v>
      </c>
      <c r="F837" s="13" t="s">
        <v>2258</v>
      </c>
      <c r="G837" s="13" t="s">
        <v>61</v>
      </c>
      <c r="H837" s="13" t="s">
        <v>2259</v>
      </c>
      <c r="I837" s="13" t="s">
        <v>63</v>
      </c>
      <c r="J837" s="17" t="s">
        <v>71</v>
      </c>
      <c r="K837" s="17" t="s">
        <v>58</v>
      </c>
      <c r="L837" s="18" t="s">
        <v>52</v>
      </c>
      <c r="M837" s="19">
        <v>23.0</v>
      </c>
      <c r="N837" s="19">
        <v>31.0</v>
      </c>
    </row>
    <row r="838">
      <c r="A838" s="12">
        <v>836.0</v>
      </c>
      <c r="B838" s="13" t="s">
        <v>2195</v>
      </c>
      <c r="C838" s="14">
        <v>26.0</v>
      </c>
      <c r="D838" s="15" t="s">
        <v>2196</v>
      </c>
      <c r="E838" s="16" t="s">
        <v>52</v>
      </c>
      <c r="F838" s="13" t="s">
        <v>1817</v>
      </c>
      <c r="G838" s="13" t="s">
        <v>1818</v>
      </c>
      <c r="H838" s="13" t="s">
        <v>1819</v>
      </c>
      <c r="I838" s="13" t="s">
        <v>63</v>
      </c>
      <c r="J838" s="17" t="s">
        <v>71</v>
      </c>
      <c r="K838" s="17" t="s">
        <v>58</v>
      </c>
      <c r="L838" s="18" t="s">
        <v>52</v>
      </c>
      <c r="M838" s="19">
        <v>23.0</v>
      </c>
      <c r="N838" s="19">
        <v>31.0</v>
      </c>
    </row>
    <row r="839">
      <c r="A839" s="12">
        <v>837.0</v>
      </c>
      <c r="B839" s="13" t="s">
        <v>2195</v>
      </c>
      <c r="C839" s="14">
        <v>27.0</v>
      </c>
      <c r="D839" s="15" t="s">
        <v>2196</v>
      </c>
      <c r="E839" s="16" t="s">
        <v>52</v>
      </c>
      <c r="F839" s="13" t="s">
        <v>1750</v>
      </c>
      <c r="G839" s="13" t="s">
        <v>2260</v>
      </c>
      <c r="H839" s="13" t="s">
        <v>2261</v>
      </c>
      <c r="I839" s="13" t="s">
        <v>63</v>
      </c>
      <c r="J839" s="17" t="s">
        <v>71</v>
      </c>
      <c r="K839" s="17" t="s">
        <v>58</v>
      </c>
      <c r="L839" s="18" t="s">
        <v>52</v>
      </c>
      <c r="M839" s="19">
        <v>23.0</v>
      </c>
      <c r="N839" s="19">
        <v>31.0</v>
      </c>
    </row>
    <row r="840">
      <c r="A840" s="12">
        <v>838.0</v>
      </c>
      <c r="B840" s="13" t="s">
        <v>2195</v>
      </c>
      <c r="C840" s="14">
        <v>28.0</v>
      </c>
      <c r="D840" s="15" t="s">
        <v>2196</v>
      </c>
      <c r="E840" s="16" t="s">
        <v>52</v>
      </c>
      <c r="F840" s="13" t="s">
        <v>2262</v>
      </c>
      <c r="G840" s="13" t="s">
        <v>2263</v>
      </c>
      <c r="H840" s="13" t="s">
        <v>2264</v>
      </c>
      <c r="I840" s="13" t="s">
        <v>63</v>
      </c>
      <c r="J840" s="17" t="s">
        <v>71</v>
      </c>
      <c r="K840" s="17" t="s">
        <v>58</v>
      </c>
      <c r="L840" s="18" t="s">
        <v>52</v>
      </c>
      <c r="M840" s="19">
        <v>23.0</v>
      </c>
      <c r="N840" s="19">
        <v>31.0</v>
      </c>
    </row>
    <row r="841">
      <c r="A841" s="12">
        <v>839.0</v>
      </c>
      <c r="B841" s="13" t="s">
        <v>2195</v>
      </c>
      <c r="C841" s="14">
        <v>29.0</v>
      </c>
      <c r="D841" s="15" t="s">
        <v>2196</v>
      </c>
      <c r="E841" s="16" t="s">
        <v>52</v>
      </c>
      <c r="F841" s="13" t="s">
        <v>1253</v>
      </c>
      <c r="G841" s="13" t="s">
        <v>2265</v>
      </c>
      <c r="H841" s="13" t="s">
        <v>2266</v>
      </c>
      <c r="I841" s="13" t="s">
        <v>63</v>
      </c>
      <c r="J841" s="17" t="s">
        <v>71</v>
      </c>
      <c r="K841" s="17" t="s">
        <v>58</v>
      </c>
      <c r="L841" s="18" t="s">
        <v>52</v>
      </c>
      <c r="M841" s="19">
        <v>23.0</v>
      </c>
      <c r="N841" s="19">
        <v>31.0</v>
      </c>
    </row>
    <row r="842">
      <c r="A842" s="12">
        <v>840.0</v>
      </c>
      <c r="B842" s="13" t="s">
        <v>2195</v>
      </c>
      <c r="C842" s="14">
        <v>30.0</v>
      </c>
      <c r="D842" s="15" t="s">
        <v>2196</v>
      </c>
      <c r="E842" s="16" t="s">
        <v>52</v>
      </c>
      <c r="F842" s="13" t="s">
        <v>1783</v>
      </c>
      <c r="G842" s="13" t="s">
        <v>2267</v>
      </c>
      <c r="H842" s="13" t="s">
        <v>1577</v>
      </c>
      <c r="I842" s="13" t="s">
        <v>63</v>
      </c>
      <c r="J842" s="17" t="s">
        <v>71</v>
      </c>
      <c r="K842" s="17" t="s">
        <v>58</v>
      </c>
      <c r="L842" s="18" t="s">
        <v>52</v>
      </c>
      <c r="M842" s="19">
        <v>23.0</v>
      </c>
      <c r="N842" s="19">
        <v>31.0</v>
      </c>
    </row>
    <row r="843">
      <c r="A843" s="12">
        <v>841.0</v>
      </c>
      <c r="B843" s="13" t="s">
        <v>350</v>
      </c>
      <c r="C843" s="14">
        <v>1.0</v>
      </c>
      <c r="D843" s="15" t="s">
        <v>1441</v>
      </c>
      <c r="E843" s="16" t="s">
        <v>52</v>
      </c>
      <c r="F843" s="13" t="s">
        <v>605</v>
      </c>
      <c r="G843" s="13" t="s">
        <v>1445</v>
      </c>
      <c r="H843" s="13" t="s">
        <v>1446</v>
      </c>
      <c r="I843" s="13" t="s">
        <v>56</v>
      </c>
      <c r="J843" s="17" t="s">
        <v>57</v>
      </c>
      <c r="K843" s="17" t="s">
        <v>58</v>
      </c>
      <c r="L843" s="18" t="s">
        <v>749</v>
      </c>
      <c r="M843" s="19">
        <v>24.0</v>
      </c>
      <c r="N843" s="19">
        <v>10.0</v>
      </c>
    </row>
    <row r="844">
      <c r="A844" s="12">
        <v>842.0</v>
      </c>
      <c r="B844" s="13" t="s">
        <v>350</v>
      </c>
      <c r="C844" s="14">
        <v>2.0</v>
      </c>
      <c r="D844" s="15" t="s">
        <v>1441</v>
      </c>
      <c r="E844" s="16" t="s">
        <v>52</v>
      </c>
      <c r="F844" s="13" t="s">
        <v>570</v>
      </c>
      <c r="G844" s="13" t="s">
        <v>817</v>
      </c>
      <c r="H844" s="13" t="s">
        <v>818</v>
      </c>
      <c r="I844" s="13" t="s">
        <v>56</v>
      </c>
      <c r="J844" s="17" t="s">
        <v>67</v>
      </c>
      <c r="K844" s="17" t="s">
        <v>58</v>
      </c>
      <c r="L844" s="18" t="s">
        <v>52</v>
      </c>
      <c r="M844" s="19">
        <v>24.0</v>
      </c>
      <c r="N844" s="19">
        <v>20.0</v>
      </c>
    </row>
    <row r="845">
      <c r="A845" s="12">
        <v>843.0</v>
      </c>
      <c r="B845" s="13" t="s">
        <v>350</v>
      </c>
      <c r="C845" s="14">
        <v>3.0</v>
      </c>
      <c r="D845" s="15" t="s">
        <v>1441</v>
      </c>
      <c r="E845" s="16" t="s">
        <v>52</v>
      </c>
      <c r="F845" s="13" t="s">
        <v>320</v>
      </c>
      <c r="G845" s="13" t="s">
        <v>776</v>
      </c>
      <c r="H845" s="13" t="s">
        <v>946</v>
      </c>
      <c r="I845" s="13" t="s">
        <v>56</v>
      </c>
      <c r="J845" s="17" t="s">
        <v>67</v>
      </c>
      <c r="K845" s="17" t="s">
        <v>58</v>
      </c>
      <c r="L845" s="18" t="s">
        <v>52</v>
      </c>
      <c r="M845" s="19">
        <v>24.0</v>
      </c>
      <c r="N845" s="19">
        <v>20.0</v>
      </c>
    </row>
    <row r="846">
      <c r="A846" s="12">
        <v>844.0</v>
      </c>
      <c r="B846" s="13" t="s">
        <v>350</v>
      </c>
      <c r="C846" s="14">
        <v>4.0</v>
      </c>
      <c r="D846" s="15" t="s">
        <v>1441</v>
      </c>
      <c r="E846" s="16" t="s">
        <v>52</v>
      </c>
      <c r="F846" s="13" t="s">
        <v>632</v>
      </c>
      <c r="G846" s="13" t="s">
        <v>956</v>
      </c>
      <c r="H846" s="13" t="s">
        <v>1447</v>
      </c>
      <c r="I846" s="13" t="s">
        <v>56</v>
      </c>
      <c r="J846" s="17" t="s">
        <v>67</v>
      </c>
      <c r="K846" s="17" t="s">
        <v>58</v>
      </c>
      <c r="L846" s="18" t="s">
        <v>52</v>
      </c>
      <c r="M846" s="19">
        <v>24.0</v>
      </c>
      <c r="N846" s="19">
        <v>20.0</v>
      </c>
    </row>
    <row r="847">
      <c r="A847" s="12">
        <v>845.0</v>
      </c>
      <c r="B847" s="13" t="s">
        <v>350</v>
      </c>
      <c r="C847" s="14">
        <v>5.0</v>
      </c>
      <c r="D847" s="15" t="s">
        <v>1441</v>
      </c>
      <c r="E847" s="16" t="s">
        <v>52</v>
      </c>
      <c r="F847" s="13" t="s">
        <v>891</v>
      </c>
      <c r="G847" s="13" t="s">
        <v>892</v>
      </c>
      <c r="H847" s="13" t="s">
        <v>893</v>
      </c>
      <c r="I847" s="13" t="s">
        <v>56</v>
      </c>
      <c r="J847" s="17" t="s">
        <v>67</v>
      </c>
      <c r="K847" s="17" t="s">
        <v>58</v>
      </c>
      <c r="L847" s="18" t="s">
        <v>52</v>
      </c>
      <c r="M847" s="19">
        <v>24.0</v>
      </c>
      <c r="N847" s="19">
        <v>20.0</v>
      </c>
    </row>
    <row r="848">
      <c r="A848" s="12">
        <v>846.0</v>
      </c>
      <c r="B848" s="13" t="s">
        <v>350</v>
      </c>
      <c r="C848" s="14">
        <v>6.0</v>
      </c>
      <c r="D848" s="15" t="s">
        <v>2268</v>
      </c>
      <c r="E848" s="16" t="s">
        <v>52</v>
      </c>
      <c r="F848" s="13" t="s">
        <v>475</v>
      </c>
      <c r="G848" s="13" t="s">
        <v>2155</v>
      </c>
      <c r="H848" s="13" t="s">
        <v>2156</v>
      </c>
      <c r="I848" s="13" t="s">
        <v>56</v>
      </c>
      <c r="J848" s="17" t="s">
        <v>67</v>
      </c>
      <c r="K848" s="17" t="s">
        <v>58</v>
      </c>
      <c r="L848" s="18" t="s">
        <v>52</v>
      </c>
      <c r="M848" s="19">
        <v>24.0</v>
      </c>
      <c r="N848" s="19">
        <v>20.0</v>
      </c>
    </row>
    <row r="849">
      <c r="A849" s="12">
        <v>847.0</v>
      </c>
      <c r="B849" s="13" t="s">
        <v>350</v>
      </c>
      <c r="C849" s="14">
        <v>7.0</v>
      </c>
      <c r="D849" s="15" t="s">
        <v>2268</v>
      </c>
      <c r="E849" s="16" t="s">
        <v>52</v>
      </c>
      <c r="F849" s="13" t="s">
        <v>658</v>
      </c>
      <c r="G849" s="13" t="s">
        <v>2269</v>
      </c>
      <c r="H849" s="13" t="s">
        <v>2270</v>
      </c>
      <c r="I849" s="13" t="s">
        <v>56</v>
      </c>
      <c r="J849" s="17" t="s">
        <v>67</v>
      </c>
      <c r="K849" s="17" t="s">
        <v>58</v>
      </c>
      <c r="L849" s="18" t="s">
        <v>52</v>
      </c>
      <c r="M849" s="19">
        <v>24.0</v>
      </c>
      <c r="N849" s="19">
        <v>20.0</v>
      </c>
    </row>
    <row r="850">
      <c r="A850" s="12">
        <v>848.0</v>
      </c>
      <c r="B850" s="13" t="s">
        <v>350</v>
      </c>
      <c r="C850" s="14">
        <v>8.0</v>
      </c>
      <c r="D850" s="15" t="s">
        <v>2268</v>
      </c>
      <c r="E850" s="16" t="s">
        <v>52</v>
      </c>
      <c r="F850" s="13" t="s">
        <v>722</v>
      </c>
      <c r="G850" s="13" t="s">
        <v>896</v>
      </c>
      <c r="H850" s="13" t="s">
        <v>2271</v>
      </c>
      <c r="I850" s="13" t="s">
        <v>56</v>
      </c>
      <c r="J850" s="17" t="s">
        <v>67</v>
      </c>
      <c r="K850" s="17" t="s">
        <v>58</v>
      </c>
      <c r="L850" s="18" t="s">
        <v>52</v>
      </c>
      <c r="M850" s="19">
        <v>24.0</v>
      </c>
      <c r="N850" s="19">
        <v>20.0</v>
      </c>
    </row>
    <row r="851">
      <c r="A851" s="12">
        <v>849.0</v>
      </c>
      <c r="B851" s="13" t="s">
        <v>350</v>
      </c>
      <c r="C851" s="14">
        <v>9.0</v>
      </c>
      <c r="D851" s="15" t="s">
        <v>1441</v>
      </c>
      <c r="E851" s="16" t="s">
        <v>52</v>
      </c>
      <c r="F851" s="13" t="s">
        <v>1463</v>
      </c>
      <c r="G851" s="13" t="s">
        <v>61</v>
      </c>
      <c r="H851" s="13" t="s">
        <v>1464</v>
      </c>
      <c r="I851" s="13" t="s">
        <v>63</v>
      </c>
      <c r="J851" s="17" t="s">
        <v>67</v>
      </c>
      <c r="K851" s="17" t="s">
        <v>58</v>
      </c>
      <c r="L851" s="18" t="s">
        <v>52</v>
      </c>
      <c r="M851" s="19">
        <v>24.0</v>
      </c>
      <c r="N851" s="19">
        <v>21.0</v>
      </c>
    </row>
    <row r="852">
      <c r="A852" s="12">
        <v>850.0</v>
      </c>
      <c r="B852" s="13" t="s">
        <v>350</v>
      </c>
      <c r="C852" s="14">
        <v>10.0</v>
      </c>
      <c r="D852" s="15" t="s">
        <v>1441</v>
      </c>
      <c r="E852" s="16" t="s">
        <v>52</v>
      </c>
      <c r="F852" s="13" t="s">
        <v>557</v>
      </c>
      <c r="G852" s="13" t="s">
        <v>61</v>
      </c>
      <c r="H852" s="13" t="s">
        <v>1443</v>
      </c>
      <c r="I852" s="13" t="s">
        <v>56</v>
      </c>
      <c r="J852" s="17" t="s">
        <v>71</v>
      </c>
      <c r="K852" s="17" t="s">
        <v>58</v>
      </c>
      <c r="L852" s="18" t="s">
        <v>253</v>
      </c>
      <c r="M852" s="19">
        <v>24.0</v>
      </c>
      <c r="N852" s="19">
        <v>30.0</v>
      </c>
    </row>
    <row r="853">
      <c r="A853" s="12">
        <v>851.0</v>
      </c>
      <c r="B853" s="13" t="s">
        <v>350</v>
      </c>
      <c r="C853" s="14">
        <v>11.0</v>
      </c>
      <c r="D853" s="15" t="s">
        <v>1441</v>
      </c>
      <c r="E853" s="16" t="s">
        <v>52</v>
      </c>
      <c r="F853" s="13" t="s">
        <v>375</v>
      </c>
      <c r="G853" s="13" t="s">
        <v>61</v>
      </c>
      <c r="H853" s="13" t="s">
        <v>2275</v>
      </c>
      <c r="I853" s="13" t="s">
        <v>56</v>
      </c>
      <c r="J853" s="17" t="s">
        <v>71</v>
      </c>
      <c r="K853" s="17" t="s">
        <v>58</v>
      </c>
      <c r="L853" s="18" t="s">
        <v>253</v>
      </c>
      <c r="M853" s="19">
        <v>24.0</v>
      </c>
      <c r="N853" s="19">
        <v>30.0</v>
      </c>
    </row>
    <row r="854">
      <c r="A854" s="12">
        <v>852.0</v>
      </c>
      <c r="B854" s="13" t="s">
        <v>350</v>
      </c>
      <c r="C854" s="14">
        <v>12.0</v>
      </c>
      <c r="D854" s="15" t="s">
        <v>1441</v>
      </c>
      <c r="E854" s="16" t="s">
        <v>52</v>
      </c>
      <c r="F854" s="13" t="s">
        <v>222</v>
      </c>
      <c r="G854" s="13" t="s">
        <v>61</v>
      </c>
      <c r="H854" s="13" t="s">
        <v>2276</v>
      </c>
      <c r="I854" s="13" t="s">
        <v>56</v>
      </c>
      <c r="J854" s="17" t="s">
        <v>71</v>
      </c>
      <c r="K854" s="17" t="s">
        <v>58</v>
      </c>
      <c r="L854" s="18" t="s">
        <v>52</v>
      </c>
      <c r="M854" s="19">
        <v>24.0</v>
      </c>
      <c r="N854" s="19">
        <v>30.0</v>
      </c>
    </row>
    <row r="855">
      <c r="A855" s="12">
        <v>853.0</v>
      </c>
      <c r="B855" s="13" t="s">
        <v>350</v>
      </c>
      <c r="C855" s="14">
        <v>13.0</v>
      </c>
      <c r="D855" s="15" t="s">
        <v>1441</v>
      </c>
      <c r="E855" s="16" t="s">
        <v>52</v>
      </c>
      <c r="F855" s="13" t="s">
        <v>278</v>
      </c>
      <c r="G855" s="13" t="s">
        <v>1470</v>
      </c>
      <c r="H855" s="13" t="s">
        <v>1459</v>
      </c>
      <c r="I855" s="13" t="s">
        <v>56</v>
      </c>
      <c r="J855" s="17" t="s">
        <v>71</v>
      </c>
      <c r="K855" s="17" t="s">
        <v>58</v>
      </c>
      <c r="L855" s="18" t="s">
        <v>52</v>
      </c>
      <c r="M855" s="19">
        <v>24.0</v>
      </c>
      <c r="N855" s="19">
        <v>30.0</v>
      </c>
    </row>
    <row r="856">
      <c r="A856" s="12">
        <v>854.0</v>
      </c>
      <c r="B856" s="13" t="s">
        <v>350</v>
      </c>
      <c r="C856" s="14">
        <v>14.0</v>
      </c>
      <c r="D856" s="15" t="s">
        <v>1441</v>
      </c>
      <c r="E856" s="16" t="s">
        <v>52</v>
      </c>
      <c r="F856" s="13" t="s">
        <v>495</v>
      </c>
      <c r="G856" s="13" t="s">
        <v>973</v>
      </c>
      <c r="H856" s="13" t="s">
        <v>1473</v>
      </c>
      <c r="I856" s="13" t="s">
        <v>56</v>
      </c>
      <c r="J856" s="17" t="s">
        <v>71</v>
      </c>
      <c r="K856" s="17" t="s">
        <v>58</v>
      </c>
      <c r="L856" s="18" t="s">
        <v>52</v>
      </c>
      <c r="M856" s="19">
        <v>24.0</v>
      </c>
      <c r="N856" s="19">
        <v>30.0</v>
      </c>
    </row>
    <row r="857">
      <c r="A857" s="12">
        <v>855.0</v>
      </c>
      <c r="B857" s="13" t="s">
        <v>350</v>
      </c>
      <c r="C857" s="14">
        <v>15.0</v>
      </c>
      <c r="D857" s="15" t="s">
        <v>2268</v>
      </c>
      <c r="E857" s="16" t="s">
        <v>52</v>
      </c>
      <c r="F857" s="13" t="s">
        <v>738</v>
      </c>
      <c r="G857" s="13" t="s">
        <v>2279</v>
      </c>
      <c r="H857" s="13" t="s">
        <v>2270</v>
      </c>
      <c r="I857" s="13" t="s">
        <v>56</v>
      </c>
      <c r="J857" s="17" t="s">
        <v>71</v>
      </c>
      <c r="K857" s="17" t="s">
        <v>58</v>
      </c>
      <c r="L857" s="18" t="s">
        <v>52</v>
      </c>
      <c r="M857" s="19">
        <v>24.0</v>
      </c>
      <c r="N857" s="19">
        <v>30.0</v>
      </c>
    </row>
    <row r="858">
      <c r="A858" s="12">
        <v>856.0</v>
      </c>
      <c r="B858" s="13" t="s">
        <v>350</v>
      </c>
      <c r="C858" s="14">
        <v>16.0</v>
      </c>
      <c r="D858" s="15" t="s">
        <v>2268</v>
      </c>
      <c r="E858" s="16" t="s">
        <v>52</v>
      </c>
      <c r="F858" s="13" t="s">
        <v>746</v>
      </c>
      <c r="G858" s="13" t="s">
        <v>61</v>
      </c>
      <c r="H858" s="13" t="s">
        <v>2281</v>
      </c>
      <c r="I858" s="13" t="s">
        <v>56</v>
      </c>
      <c r="J858" s="17" t="s">
        <v>71</v>
      </c>
      <c r="K858" s="17" t="s">
        <v>58</v>
      </c>
      <c r="L858" s="18" t="s">
        <v>253</v>
      </c>
      <c r="M858" s="19">
        <v>24.0</v>
      </c>
      <c r="N858" s="19">
        <v>30.0</v>
      </c>
    </row>
    <row r="859">
      <c r="A859" s="12">
        <v>857.0</v>
      </c>
      <c r="B859" s="13" t="s">
        <v>350</v>
      </c>
      <c r="C859" s="14">
        <v>17.0</v>
      </c>
      <c r="D859" s="15" t="s">
        <v>2268</v>
      </c>
      <c r="E859" s="16" t="s">
        <v>52</v>
      </c>
      <c r="F859" s="13" t="s">
        <v>705</v>
      </c>
      <c r="G859" s="13" t="s">
        <v>61</v>
      </c>
      <c r="H859" s="13" t="s">
        <v>2282</v>
      </c>
      <c r="I859" s="13" t="s">
        <v>56</v>
      </c>
      <c r="J859" s="17" t="s">
        <v>71</v>
      </c>
      <c r="K859" s="17" t="s">
        <v>58</v>
      </c>
      <c r="L859" s="18" t="s">
        <v>52</v>
      </c>
      <c r="M859" s="19">
        <v>24.0</v>
      </c>
      <c r="N859" s="19">
        <v>30.0</v>
      </c>
    </row>
    <row r="860">
      <c r="A860" s="12">
        <v>858.0</v>
      </c>
      <c r="B860" s="13" t="s">
        <v>350</v>
      </c>
      <c r="C860" s="14">
        <v>18.0</v>
      </c>
      <c r="D860" s="15" t="s">
        <v>2268</v>
      </c>
      <c r="E860" s="16" t="s">
        <v>52</v>
      </c>
      <c r="F860" s="13" t="s">
        <v>1480</v>
      </c>
      <c r="G860" s="13" t="s">
        <v>2283</v>
      </c>
      <c r="H860" s="13" t="s">
        <v>2284</v>
      </c>
      <c r="I860" s="13" t="s">
        <v>56</v>
      </c>
      <c r="J860" s="17" t="s">
        <v>71</v>
      </c>
      <c r="K860" s="17" t="s">
        <v>58</v>
      </c>
      <c r="L860" s="18" t="s">
        <v>52</v>
      </c>
      <c r="M860" s="19">
        <v>24.0</v>
      </c>
      <c r="N860" s="19">
        <v>30.0</v>
      </c>
    </row>
    <row r="861">
      <c r="A861" s="12">
        <v>859.0</v>
      </c>
      <c r="B861" s="13" t="s">
        <v>350</v>
      </c>
      <c r="C861" s="14">
        <v>19.0</v>
      </c>
      <c r="D861" s="15" t="s">
        <v>2268</v>
      </c>
      <c r="E861" s="16" t="s">
        <v>52</v>
      </c>
      <c r="F861" s="13" t="s">
        <v>586</v>
      </c>
      <c r="G861" s="13" t="s">
        <v>866</v>
      </c>
      <c r="H861" s="13" t="s">
        <v>2285</v>
      </c>
      <c r="I861" s="13" t="s">
        <v>56</v>
      </c>
      <c r="J861" s="17" t="s">
        <v>71</v>
      </c>
      <c r="K861" s="17" t="s">
        <v>58</v>
      </c>
      <c r="L861" s="18" t="s">
        <v>52</v>
      </c>
      <c r="M861" s="19">
        <v>24.0</v>
      </c>
      <c r="N861" s="19">
        <v>30.0</v>
      </c>
    </row>
    <row r="862">
      <c r="A862" s="12">
        <v>860.0</v>
      </c>
      <c r="B862" s="13" t="s">
        <v>350</v>
      </c>
      <c r="C862" s="14">
        <v>20.0</v>
      </c>
      <c r="D862" s="15" t="s">
        <v>2286</v>
      </c>
      <c r="E862" s="16" t="s">
        <v>52</v>
      </c>
      <c r="F862" s="13" t="s">
        <v>1484</v>
      </c>
      <c r="G862" s="13" t="s">
        <v>1485</v>
      </c>
      <c r="H862" s="13" t="s">
        <v>1486</v>
      </c>
      <c r="I862" s="13" t="s">
        <v>63</v>
      </c>
      <c r="J862" s="17" t="s">
        <v>71</v>
      </c>
      <c r="K862" s="17" t="s">
        <v>58</v>
      </c>
      <c r="L862" s="18" t="s">
        <v>52</v>
      </c>
      <c r="M862" s="19">
        <v>24.0</v>
      </c>
      <c r="N862" s="19">
        <v>31.0</v>
      </c>
    </row>
    <row r="863">
      <c r="A863" s="12">
        <v>861.0</v>
      </c>
      <c r="B863" s="13" t="s">
        <v>350</v>
      </c>
      <c r="C863" s="14">
        <v>21.0</v>
      </c>
      <c r="D863" s="15" t="s">
        <v>1441</v>
      </c>
      <c r="E863" s="16" t="s">
        <v>52</v>
      </c>
      <c r="F863" s="13" t="s">
        <v>734</v>
      </c>
      <c r="G863" s="13" t="s">
        <v>61</v>
      </c>
      <c r="H863" s="13" t="s">
        <v>1038</v>
      </c>
      <c r="I863" s="13" t="s">
        <v>63</v>
      </c>
      <c r="J863" s="17" t="s">
        <v>71</v>
      </c>
      <c r="K863" s="17" t="s">
        <v>58</v>
      </c>
      <c r="L863" s="18" t="s">
        <v>253</v>
      </c>
      <c r="M863" s="19">
        <v>24.0</v>
      </c>
      <c r="N863" s="19">
        <v>31.0</v>
      </c>
    </row>
    <row r="864">
      <c r="A864" s="12">
        <v>862.0</v>
      </c>
      <c r="B864" s="13" t="s">
        <v>350</v>
      </c>
      <c r="C864" s="14">
        <v>22.0</v>
      </c>
      <c r="D864" s="15" t="s">
        <v>1441</v>
      </c>
      <c r="E864" s="16" t="s">
        <v>52</v>
      </c>
      <c r="F864" s="13" t="s">
        <v>1487</v>
      </c>
      <c r="G864" s="13" t="s">
        <v>1488</v>
      </c>
      <c r="H864" s="13" t="s">
        <v>1489</v>
      </c>
      <c r="I864" s="13" t="s">
        <v>63</v>
      </c>
      <c r="J864" s="17" t="s">
        <v>71</v>
      </c>
      <c r="K864" s="17" t="s">
        <v>58</v>
      </c>
      <c r="L864" s="18" t="s">
        <v>52</v>
      </c>
      <c r="M864" s="19">
        <v>24.0</v>
      </c>
      <c r="N864" s="19">
        <v>31.0</v>
      </c>
    </row>
    <row r="865">
      <c r="A865" s="12">
        <v>863.0</v>
      </c>
      <c r="B865" s="13" t="s">
        <v>350</v>
      </c>
      <c r="C865" s="14">
        <v>23.0</v>
      </c>
      <c r="D865" s="15" t="s">
        <v>1441</v>
      </c>
      <c r="E865" s="16" t="s">
        <v>52</v>
      </c>
      <c r="F865" s="13" t="s">
        <v>270</v>
      </c>
      <c r="G865" s="13" t="s">
        <v>61</v>
      </c>
      <c r="H865" s="13" t="s">
        <v>2288</v>
      </c>
      <c r="I865" s="13" t="s">
        <v>63</v>
      </c>
      <c r="J865" s="17" t="s">
        <v>71</v>
      </c>
      <c r="K865" s="17" t="s">
        <v>58</v>
      </c>
      <c r="L865" s="18" t="s">
        <v>52</v>
      </c>
      <c r="M865" s="19">
        <v>24.0</v>
      </c>
      <c r="N865" s="19">
        <v>31.0</v>
      </c>
    </row>
    <row r="866">
      <c r="A866" s="12">
        <v>864.0</v>
      </c>
      <c r="B866" s="13" t="s">
        <v>350</v>
      </c>
      <c r="C866" s="14">
        <v>24.0</v>
      </c>
      <c r="D866" s="15" t="s">
        <v>1441</v>
      </c>
      <c r="E866" s="16" t="s">
        <v>52</v>
      </c>
      <c r="F866" s="13" t="s">
        <v>341</v>
      </c>
      <c r="G866" s="13" t="s">
        <v>1490</v>
      </c>
      <c r="H866" s="13" t="s">
        <v>1491</v>
      </c>
      <c r="I866" s="13" t="s">
        <v>63</v>
      </c>
      <c r="J866" s="17" t="s">
        <v>71</v>
      </c>
      <c r="K866" s="17" t="s">
        <v>58</v>
      </c>
      <c r="L866" s="18" t="s">
        <v>52</v>
      </c>
      <c r="M866" s="19">
        <v>24.0</v>
      </c>
      <c r="N866" s="19">
        <v>31.0</v>
      </c>
    </row>
    <row r="867">
      <c r="A867" s="12">
        <v>865.0</v>
      </c>
      <c r="B867" s="13" t="s">
        <v>350</v>
      </c>
      <c r="C867" s="14">
        <v>25.0</v>
      </c>
      <c r="D867" s="15" t="s">
        <v>1441</v>
      </c>
      <c r="E867" s="16" t="s">
        <v>52</v>
      </c>
      <c r="F867" s="13" t="s">
        <v>489</v>
      </c>
      <c r="G867" s="13" t="s">
        <v>1041</v>
      </c>
      <c r="H867" s="13" t="s">
        <v>1042</v>
      </c>
      <c r="I867" s="13" t="s">
        <v>63</v>
      </c>
      <c r="J867" s="17" t="s">
        <v>71</v>
      </c>
      <c r="K867" s="17" t="s">
        <v>58</v>
      </c>
      <c r="L867" s="18" t="s">
        <v>52</v>
      </c>
      <c r="M867" s="19">
        <v>24.0</v>
      </c>
      <c r="N867" s="19">
        <v>31.0</v>
      </c>
    </row>
    <row r="868">
      <c r="A868" s="12">
        <v>866.0</v>
      </c>
      <c r="B868" s="13" t="s">
        <v>350</v>
      </c>
      <c r="C868" s="14">
        <v>26.0</v>
      </c>
      <c r="D868" s="15" t="s">
        <v>1441</v>
      </c>
      <c r="E868" s="16" t="s">
        <v>52</v>
      </c>
      <c r="F868" s="13" t="s">
        <v>836</v>
      </c>
      <c r="G868" s="13" t="s">
        <v>61</v>
      </c>
      <c r="H868" s="13" t="s">
        <v>1479</v>
      </c>
      <c r="I868" s="13" t="s">
        <v>63</v>
      </c>
      <c r="J868" s="17" t="s">
        <v>71</v>
      </c>
      <c r="K868" s="17" t="s">
        <v>58</v>
      </c>
      <c r="L868" s="18" t="s">
        <v>52</v>
      </c>
      <c r="M868" s="19">
        <v>24.0</v>
      </c>
      <c r="N868" s="19">
        <v>31.0</v>
      </c>
    </row>
    <row r="869">
      <c r="A869" s="12">
        <v>867.0</v>
      </c>
      <c r="B869" s="13" t="s">
        <v>350</v>
      </c>
      <c r="C869" s="14">
        <v>27.0</v>
      </c>
      <c r="D869" s="15" t="s">
        <v>1441</v>
      </c>
      <c r="E869" s="16" t="s">
        <v>52</v>
      </c>
      <c r="F869" s="13" t="s">
        <v>593</v>
      </c>
      <c r="G869" s="13" t="s">
        <v>1492</v>
      </c>
      <c r="H869" s="13" t="s">
        <v>1493</v>
      </c>
      <c r="I869" s="13" t="s">
        <v>63</v>
      </c>
      <c r="J869" s="17" t="s">
        <v>71</v>
      </c>
      <c r="K869" s="17" t="s">
        <v>58</v>
      </c>
      <c r="L869" s="18" t="s">
        <v>52</v>
      </c>
      <c r="M869" s="19">
        <v>24.0</v>
      </c>
      <c r="N869" s="19">
        <v>31.0</v>
      </c>
    </row>
    <row r="870">
      <c r="A870" s="12">
        <v>868.0</v>
      </c>
      <c r="B870" s="13" t="s">
        <v>350</v>
      </c>
      <c r="C870" s="14">
        <v>28.0</v>
      </c>
      <c r="D870" s="15" t="s">
        <v>1441</v>
      </c>
      <c r="E870" s="16" t="s">
        <v>52</v>
      </c>
      <c r="F870" s="13" t="s">
        <v>501</v>
      </c>
      <c r="G870" s="13" t="s">
        <v>798</v>
      </c>
      <c r="H870" s="13" t="s">
        <v>1497</v>
      </c>
      <c r="I870" s="13" t="s">
        <v>63</v>
      </c>
      <c r="J870" s="17" t="s">
        <v>71</v>
      </c>
      <c r="K870" s="17" t="s">
        <v>58</v>
      </c>
      <c r="L870" s="18" t="s">
        <v>52</v>
      </c>
      <c r="M870" s="19">
        <v>24.0</v>
      </c>
      <c r="N870" s="19">
        <v>31.0</v>
      </c>
    </row>
    <row r="871">
      <c r="A871" s="12">
        <v>869.0</v>
      </c>
      <c r="B871" s="13" t="s">
        <v>350</v>
      </c>
      <c r="C871" s="14">
        <v>29.0</v>
      </c>
      <c r="D871" s="15" t="s">
        <v>2268</v>
      </c>
      <c r="E871" s="16" t="s">
        <v>52</v>
      </c>
      <c r="F871" s="13" t="s">
        <v>265</v>
      </c>
      <c r="G871" s="13" t="s">
        <v>2291</v>
      </c>
      <c r="H871" s="13" t="s">
        <v>2292</v>
      </c>
      <c r="I871" s="13" t="s">
        <v>63</v>
      </c>
      <c r="J871" s="17" t="s">
        <v>71</v>
      </c>
      <c r="K871" s="17" t="s">
        <v>58</v>
      </c>
      <c r="L871" s="18" t="s">
        <v>52</v>
      </c>
      <c r="M871" s="19">
        <v>24.0</v>
      </c>
      <c r="N871" s="19">
        <v>31.0</v>
      </c>
    </row>
    <row r="872">
      <c r="A872" s="12">
        <v>870.0</v>
      </c>
      <c r="B872" s="13" t="s">
        <v>350</v>
      </c>
      <c r="C872" s="14">
        <v>30.0</v>
      </c>
      <c r="D872" s="15" t="s">
        <v>2268</v>
      </c>
      <c r="E872" s="16" t="s">
        <v>52</v>
      </c>
      <c r="F872" s="13" t="s">
        <v>367</v>
      </c>
      <c r="G872" s="13" t="s">
        <v>986</v>
      </c>
      <c r="H872" s="13" t="s">
        <v>987</v>
      </c>
      <c r="I872" s="13" t="s">
        <v>63</v>
      </c>
      <c r="J872" s="17" t="s">
        <v>71</v>
      </c>
      <c r="K872" s="17" t="s">
        <v>58</v>
      </c>
      <c r="L872" s="18" t="s">
        <v>52</v>
      </c>
      <c r="M872" s="19">
        <v>24.0</v>
      </c>
      <c r="N872" s="19">
        <v>31.0</v>
      </c>
    </row>
    <row r="873">
      <c r="A873" s="12">
        <v>871.0</v>
      </c>
      <c r="B873" s="13" t="s">
        <v>1966</v>
      </c>
      <c r="C873" s="14">
        <v>1.0</v>
      </c>
      <c r="D873" s="15" t="s">
        <v>2293</v>
      </c>
      <c r="E873" s="16" t="s">
        <v>52</v>
      </c>
      <c r="F873" s="13" t="s">
        <v>1993</v>
      </c>
      <c r="G873" s="13" t="s">
        <v>2294</v>
      </c>
      <c r="H873" s="13" t="s">
        <v>2295</v>
      </c>
      <c r="I873" s="13" t="s">
        <v>56</v>
      </c>
      <c r="J873" s="17" t="s">
        <v>57</v>
      </c>
      <c r="K873" s="17" t="s">
        <v>58</v>
      </c>
      <c r="L873" s="18" t="s">
        <v>52</v>
      </c>
      <c r="M873" s="19">
        <v>25.0</v>
      </c>
      <c r="N873" s="19">
        <v>10.0</v>
      </c>
    </row>
    <row r="874">
      <c r="A874" s="12">
        <v>872.0</v>
      </c>
      <c r="B874" s="13" t="s">
        <v>1966</v>
      </c>
      <c r="C874" s="14">
        <v>2.0</v>
      </c>
      <c r="D874" s="15" t="s">
        <v>2296</v>
      </c>
      <c r="E874" s="16" t="s">
        <v>52</v>
      </c>
      <c r="F874" s="13" t="s">
        <v>658</v>
      </c>
      <c r="G874" s="13" t="s">
        <v>61</v>
      </c>
      <c r="H874" s="13" t="s">
        <v>2297</v>
      </c>
      <c r="I874" s="13" t="s">
        <v>56</v>
      </c>
      <c r="J874" s="17" t="s">
        <v>67</v>
      </c>
      <c r="K874" s="17" t="s">
        <v>58</v>
      </c>
      <c r="L874" s="18" t="s">
        <v>52</v>
      </c>
      <c r="M874" s="19">
        <v>25.0</v>
      </c>
      <c r="N874" s="19">
        <v>20.0</v>
      </c>
    </row>
    <row r="875">
      <c r="A875" s="12">
        <v>873.0</v>
      </c>
      <c r="B875" s="13" t="s">
        <v>1966</v>
      </c>
      <c r="C875" s="14">
        <v>3.0</v>
      </c>
      <c r="D875" s="15" t="s">
        <v>2296</v>
      </c>
      <c r="E875" s="16" t="s">
        <v>52</v>
      </c>
      <c r="F875" s="13" t="s">
        <v>1405</v>
      </c>
      <c r="G875" s="13" t="s">
        <v>2298</v>
      </c>
      <c r="H875" s="13" t="s">
        <v>2299</v>
      </c>
      <c r="I875" s="13" t="s">
        <v>56</v>
      </c>
      <c r="J875" s="17" t="s">
        <v>67</v>
      </c>
      <c r="K875" s="17" t="s">
        <v>58</v>
      </c>
      <c r="L875" s="18" t="s">
        <v>52</v>
      </c>
      <c r="M875" s="19">
        <v>25.0</v>
      </c>
      <c r="N875" s="19">
        <v>20.0</v>
      </c>
    </row>
    <row r="876">
      <c r="A876" s="12">
        <v>874.0</v>
      </c>
      <c r="B876" s="13" t="s">
        <v>1966</v>
      </c>
      <c r="C876" s="14">
        <v>4.0</v>
      </c>
      <c r="D876" s="15" t="s">
        <v>2293</v>
      </c>
      <c r="E876" s="16" t="s">
        <v>52</v>
      </c>
      <c r="F876" s="13" t="s">
        <v>2300</v>
      </c>
      <c r="G876" s="13" t="s">
        <v>2301</v>
      </c>
      <c r="H876" s="13" t="s">
        <v>2302</v>
      </c>
      <c r="I876" s="13" t="s">
        <v>56</v>
      </c>
      <c r="J876" s="17" t="s">
        <v>67</v>
      </c>
      <c r="K876" s="17" t="s">
        <v>58</v>
      </c>
      <c r="L876" s="18" t="s">
        <v>52</v>
      </c>
      <c r="M876" s="19">
        <v>25.0</v>
      </c>
      <c r="N876" s="19">
        <v>20.0</v>
      </c>
    </row>
    <row r="877">
      <c r="A877" s="12">
        <v>875.0</v>
      </c>
      <c r="B877" s="13" t="s">
        <v>1966</v>
      </c>
      <c r="C877" s="14">
        <v>5.0</v>
      </c>
      <c r="D877" s="15" t="s">
        <v>2293</v>
      </c>
      <c r="E877" s="16" t="s">
        <v>52</v>
      </c>
      <c r="F877" s="13" t="s">
        <v>2083</v>
      </c>
      <c r="G877" s="13" t="s">
        <v>2303</v>
      </c>
      <c r="H877" s="13" t="s">
        <v>2304</v>
      </c>
      <c r="I877" s="13" t="s">
        <v>56</v>
      </c>
      <c r="J877" s="17" t="s">
        <v>67</v>
      </c>
      <c r="K877" s="17" t="s">
        <v>58</v>
      </c>
      <c r="L877" s="18" t="s">
        <v>52</v>
      </c>
      <c r="M877" s="19">
        <v>25.0</v>
      </c>
      <c r="N877" s="19">
        <v>20.0</v>
      </c>
    </row>
    <row r="878">
      <c r="A878" s="12">
        <v>876.0</v>
      </c>
      <c r="B878" s="13" t="s">
        <v>1966</v>
      </c>
      <c r="C878" s="14">
        <v>6.0</v>
      </c>
      <c r="D878" s="15" t="s">
        <v>2293</v>
      </c>
      <c r="E878" s="16" t="s">
        <v>52</v>
      </c>
      <c r="F878" s="13" t="s">
        <v>1975</v>
      </c>
      <c r="G878" s="13" t="s">
        <v>1976</v>
      </c>
      <c r="H878" s="13" t="s">
        <v>2305</v>
      </c>
      <c r="I878" s="13" t="s">
        <v>56</v>
      </c>
      <c r="J878" s="17" t="s">
        <v>67</v>
      </c>
      <c r="K878" s="17" t="s">
        <v>58</v>
      </c>
      <c r="L878" s="18" t="s">
        <v>52</v>
      </c>
      <c r="M878" s="19">
        <v>25.0</v>
      </c>
      <c r="N878" s="19">
        <v>20.0</v>
      </c>
    </row>
    <row r="879">
      <c r="A879" s="12">
        <v>877.0</v>
      </c>
      <c r="B879" s="13" t="s">
        <v>1966</v>
      </c>
      <c r="C879" s="14">
        <v>7.0</v>
      </c>
      <c r="D879" s="15" t="s">
        <v>2293</v>
      </c>
      <c r="E879" s="16" t="s">
        <v>52</v>
      </c>
      <c r="F879" s="13" t="s">
        <v>1522</v>
      </c>
      <c r="G879" s="13" t="s">
        <v>2306</v>
      </c>
      <c r="H879" s="13" t="s">
        <v>2307</v>
      </c>
      <c r="I879" s="13" t="s">
        <v>56</v>
      </c>
      <c r="J879" s="17" t="s">
        <v>67</v>
      </c>
      <c r="K879" s="17" t="s">
        <v>58</v>
      </c>
      <c r="L879" s="18" t="s">
        <v>52</v>
      </c>
      <c r="M879" s="19">
        <v>25.0</v>
      </c>
      <c r="N879" s="19">
        <v>20.0</v>
      </c>
    </row>
    <row r="880">
      <c r="A880" s="12">
        <v>878.0</v>
      </c>
      <c r="B880" s="13" t="s">
        <v>1966</v>
      </c>
      <c r="C880" s="14">
        <v>8.0</v>
      </c>
      <c r="D880" s="15" t="s">
        <v>2308</v>
      </c>
      <c r="E880" s="16" t="s">
        <v>52</v>
      </c>
      <c r="F880" s="13" t="s">
        <v>2309</v>
      </c>
      <c r="G880" s="13" t="s">
        <v>2310</v>
      </c>
      <c r="H880" s="13" t="s">
        <v>2311</v>
      </c>
      <c r="I880" s="13" t="s">
        <v>63</v>
      </c>
      <c r="J880" s="17" t="s">
        <v>71</v>
      </c>
      <c r="K880" s="17" t="s">
        <v>58</v>
      </c>
      <c r="L880" s="18" t="s">
        <v>52</v>
      </c>
      <c r="M880" s="19">
        <v>25.0</v>
      </c>
      <c r="N880" s="19">
        <v>31.0</v>
      </c>
    </row>
    <row r="881">
      <c r="A881" s="12">
        <v>879.0</v>
      </c>
      <c r="B881" s="13" t="s">
        <v>1966</v>
      </c>
      <c r="C881" s="14">
        <v>9.0</v>
      </c>
      <c r="D881" s="15" t="s">
        <v>2308</v>
      </c>
      <c r="E881" s="16" t="s">
        <v>52</v>
      </c>
      <c r="F881" s="13" t="s">
        <v>2236</v>
      </c>
      <c r="G881" s="13" t="s">
        <v>2312</v>
      </c>
      <c r="H881" s="13" t="s">
        <v>2313</v>
      </c>
      <c r="I881" s="13" t="s">
        <v>63</v>
      </c>
      <c r="J881" s="17" t="s">
        <v>71</v>
      </c>
      <c r="K881" s="17" t="s">
        <v>58</v>
      </c>
      <c r="L881" s="18" t="s">
        <v>52</v>
      </c>
      <c r="M881" s="19">
        <v>25.0</v>
      </c>
      <c r="N881" s="19">
        <v>31.0</v>
      </c>
    </row>
    <row r="882">
      <c r="A882" s="12">
        <v>880.0</v>
      </c>
      <c r="B882" s="13" t="s">
        <v>1966</v>
      </c>
      <c r="C882" s="14">
        <v>10.0</v>
      </c>
      <c r="D882" s="15" t="s">
        <v>2308</v>
      </c>
      <c r="E882" s="16" t="s">
        <v>52</v>
      </c>
      <c r="F882" s="13" t="s">
        <v>451</v>
      </c>
      <c r="G882" s="13" t="s">
        <v>2315</v>
      </c>
      <c r="H882" s="13" t="s">
        <v>2316</v>
      </c>
      <c r="I882" s="13" t="s">
        <v>63</v>
      </c>
      <c r="J882" s="17" t="s">
        <v>71</v>
      </c>
      <c r="K882" s="17" t="s">
        <v>58</v>
      </c>
      <c r="L882" s="18" t="s">
        <v>52</v>
      </c>
      <c r="M882" s="19">
        <v>25.0</v>
      </c>
      <c r="N882" s="19">
        <v>31.0</v>
      </c>
    </row>
    <row r="883">
      <c r="A883" s="12">
        <v>881.0</v>
      </c>
      <c r="B883" s="13" t="s">
        <v>1966</v>
      </c>
      <c r="C883" s="14">
        <v>11.0</v>
      </c>
      <c r="D883" s="15" t="s">
        <v>2308</v>
      </c>
      <c r="E883" s="16" t="s">
        <v>52</v>
      </c>
      <c r="F883" s="13" t="s">
        <v>1428</v>
      </c>
      <c r="G883" s="13" t="s">
        <v>2317</v>
      </c>
      <c r="H883" s="13" t="s">
        <v>2318</v>
      </c>
      <c r="I883" s="13" t="s">
        <v>63</v>
      </c>
      <c r="J883" s="17" t="s">
        <v>71</v>
      </c>
      <c r="K883" s="17" t="s">
        <v>58</v>
      </c>
      <c r="L883" s="18" t="s">
        <v>52</v>
      </c>
      <c r="M883" s="19">
        <v>25.0</v>
      </c>
      <c r="N883" s="19">
        <v>31.0</v>
      </c>
    </row>
    <row r="884">
      <c r="A884" s="12">
        <v>882.0</v>
      </c>
      <c r="B884" s="13" t="s">
        <v>1966</v>
      </c>
      <c r="C884" s="14">
        <v>12.0</v>
      </c>
      <c r="D884" s="15" t="s">
        <v>2308</v>
      </c>
      <c r="E884" s="16" t="s">
        <v>52</v>
      </c>
      <c r="F884" s="13" t="s">
        <v>2319</v>
      </c>
      <c r="G884" s="13" t="s">
        <v>2320</v>
      </c>
      <c r="H884" s="13" t="s">
        <v>2321</v>
      </c>
      <c r="I884" s="13" t="s">
        <v>63</v>
      </c>
      <c r="J884" s="17" t="s">
        <v>71</v>
      </c>
      <c r="K884" s="17" t="s">
        <v>58</v>
      </c>
      <c r="L884" s="18" t="s">
        <v>52</v>
      </c>
      <c r="M884" s="19">
        <v>25.0</v>
      </c>
      <c r="N884" s="19">
        <v>31.0</v>
      </c>
    </row>
    <row r="885">
      <c r="A885" s="12">
        <v>883.0</v>
      </c>
      <c r="B885" s="13" t="s">
        <v>1966</v>
      </c>
      <c r="C885" s="14">
        <v>13.0</v>
      </c>
      <c r="D885" s="15" t="s">
        <v>2308</v>
      </c>
      <c r="E885" s="16" t="s">
        <v>52</v>
      </c>
      <c r="F885" s="13" t="s">
        <v>2322</v>
      </c>
      <c r="G885" s="13" t="s">
        <v>2323</v>
      </c>
      <c r="H885" s="13" t="s">
        <v>2324</v>
      </c>
      <c r="I885" s="13" t="s">
        <v>63</v>
      </c>
      <c r="J885" s="17" t="s">
        <v>71</v>
      </c>
      <c r="K885" s="17" t="s">
        <v>58</v>
      </c>
      <c r="L885" s="18" t="s">
        <v>52</v>
      </c>
      <c r="M885" s="19">
        <v>25.0</v>
      </c>
      <c r="N885" s="19">
        <v>31.0</v>
      </c>
    </row>
    <row r="886">
      <c r="A886" s="12">
        <v>884.0</v>
      </c>
      <c r="B886" s="13" t="s">
        <v>1966</v>
      </c>
      <c r="C886" s="14">
        <v>14.0</v>
      </c>
      <c r="D886" s="15" t="s">
        <v>2308</v>
      </c>
      <c r="E886" s="16" t="s">
        <v>52</v>
      </c>
      <c r="F886" s="13" t="s">
        <v>737</v>
      </c>
      <c r="G886" s="13" t="s">
        <v>2326</v>
      </c>
      <c r="H886" s="13" t="s">
        <v>2327</v>
      </c>
      <c r="I886" s="13" t="s">
        <v>63</v>
      </c>
      <c r="J886" s="17" t="s">
        <v>71</v>
      </c>
      <c r="K886" s="17" t="s">
        <v>58</v>
      </c>
      <c r="L886" s="18" t="s">
        <v>52</v>
      </c>
      <c r="M886" s="19">
        <v>25.0</v>
      </c>
      <c r="N886" s="19">
        <v>31.0</v>
      </c>
    </row>
    <row r="887">
      <c r="A887" s="12">
        <v>885.0</v>
      </c>
      <c r="B887" s="13" t="s">
        <v>1966</v>
      </c>
      <c r="C887" s="14">
        <v>15.0</v>
      </c>
      <c r="D887" s="15" t="s">
        <v>2308</v>
      </c>
      <c r="E887" s="16" t="s">
        <v>52</v>
      </c>
      <c r="F887" s="13" t="s">
        <v>2328</v>
      </c>
      <c r="G887" s="13" t="s">
        <v>2329</v>
      </c>
      <c r="H887" s="13" t="s">
        <v>2330</v>
      </c>
      <c r="I887" s="13" t="s">
        <v>63</v>
      </c>
      <c r="J887" s="17" t="s">
        <v>71</v>
      </c>
      <c r="K887" s="17" t="s">
        <v>58</v>
      </c>
      <c r="L887" s="18" t="s">
        <v>52</v>
      </c>
      <c r="M887" s="19">
        <v>25.0</v>
      </c>
      <c r="N887" s="19">
        <v>31.0</v>
      </c>
    </row>
    <row r="888">
      <c r="A888" s="12">
        <v>886.0</v>
      </c>
      <c r="B888" s="13" t="s">
        <v>1966</v>
      </c>
      <c r="C888" s="14">
        <v>16.0</v>
      </c>
      <c r="D888" s="15" t="s">
        <v>2308</v>
      </c>
      <c r="E888" s="16" t="s">
        <v>52</v>
      </c>
      <c r="F888" s="13" t="s">
        <v>2332</v>
      </c>
      <c r="G888" s="13" t="s">
        <v>2333</v>
      </c>
      <c r="H888" s="13" t="s">
        <v>2334</v>
      </c>
      <c r="I888" s="13" t="s">
        <v>63</v>
      </c>
      <c r="J888" s="17" t="s">
        <v>71</v>
      </c>
      <c r="K888" s="17" t="s">
        <v>58</v>
      </c>
      <c r="L888" s="18" t="s">
        <v>52</v>
      </c>
      <c r="M888" s="19">
        <v>25.0</v>
      </c>
      <c r="N888" s="19">
        <v>31.0</v>
      </c>
    </row>
    <row r="889">
      <c r="A889" s="12">
        <v>887.0</v>
      </c>
      <c r="B889" s="13" t="s">
        <v>1966</v>
      </c>
      <c r="C889" s="14">
        <v>17.0</v>
      </c>
      <c r="D889" s="15" t="s">
        <v>2308</v>
      </c>
      <c r="E889" s="16" t="s">
        <v>52</v>
      </c>
      <c r="F889" s="13" t="s">
        <v>1440</v>
      </c>
      <c r="G889" s="13" t="s">
        <v>1776</v>
      </c>
      <c r="H889" s="13" t="s">
        <v>2336</v>
      </c>
      <c r="I889" s="13" t="s">
        <v>63</v>
      </c>
      <c r="J889" s="17" t="s">
        <v>71</v>
      </c>
      <c r="K889" s="17" t="s">
        <v>58</v>
      </c>
      <c r="L889" s="18" t="s">
        <v>52</v>
      </c>
      <c r="M889" s="19">
        <v>25.0</v>
      </c>
      <c r="N889" s="19">
        <v>31.0</v>
      </c>
    </row>
    <row r="890">
      <c r="A890" s="12">
        <v>888.0</v>
      </c>
      <c r="B890" s="13" t="s">
        <v>1966</v>
      </c>
      <c r="C890" s="14">
        <v>18.0</v>
      </c>
      <c r="D890" s="15" t="s">
        <v>2296</v>
      </c>
      <c r="E890" s="16" t="s">
        <v>52</v>
      </c>
      <c r="F890" s="13" t="s">
        <v>1420</v>
      </c>
      <c r="G890" s="13" t="s">
        <v>2337</v>
      </c>
      <c r="H890" s="13" t="s">
        <v>2338</v>
      </c>
      <c r="I890" s="13" t="s">
        <v>63</v>
      </c>
      <c r="J890" s="17" t="s">
        <v>71</v>
      </c>
      <c r="K890" s="17" t="s">
        <v>58</v>
      </c>
      <c r="L890" s="18" t="s">
        <v>52</v>
      </c>
      <c r="M890" s="19">
        <v>25.0</v>
      </c>
      <c r="N890" s="19">
        <v>31.0</v>
      </c>
    </row>
    <row r="891">
      <c r="A891" s="12">
        <v>889.0</v>
      </c>
      <c r="B891" s="13" t="s">
        <v>1966</v>
      </c>
      <c r="C891" s="14">
        <v>19.0</v>
      </c>
      <c r="D891" s="15" t="s">
        <v>2296</v>
      </c>
      <c r="E891" s="16" t="s">
        <v>52</v>
      </c>
      <c r="F891" s="13" t="s">
        <v>2340</v>
      </c>
      <c r="G891" s="13" t="s">
        <v>2342</v>
      </c>
      <c r="H891" s="13" t="s">
        <v>2343</v>
      </c>
      <c r="I891" s="13" t="s">
        <v>63</v>
      </c>
      <c r="J891" s="17" t="s">
        <v>71</v>
      </c>
      <c r="K891" s="17" t="s">
        <v>58</v>
      </c>
      <c r="L891" s="18" t="s">
        <v>52</v>
      </c>
      <c r="M891" s="19">
        <v>25.0</v>
      </c>
      <c r="N891" s="19">
        <v>31.0</v>
      </c>
    </row>
    <row r="892">
      <c r="A892" s="12">
        <v>890.0</v>
      </c>
      <c r="B892" s="13" t="s">
        <v>1966</v>
      </c>
      <c r="C892" s="14">
        <v>20.0</v>
      </c>
      <c r="D892" s="15" t="s">
        <v>2296</v>
      </c>
      <c r="E892" s="16" t="s">
        <v>52</v>
      </c>
      <c r="F892" s="13" t="s">
        <v>2344</v>
      </c>
      <c r="G892" s="13" t="s">
        <v>2345</v>
      </c>
      <c r="H892" s="13" t="s">
        <v>2346</v>
      </c>
      <c r="I892" s="13" t="s">
        <v>63</v>
      </c>
      <c r="J892" s="17" t="s">
        <v>71</v>
      </c>
      <c r="K892" s="17" t="s">
        <v>58</v>
      </c>
      <c r="L892" s="18" t="s">
        <v>52</v>
      </c>
      <c r="M892" s="19">
        <v>25.0</v>
      </c>
      <c r="N892" s="19">
        <v>31.0</v>
      </c>
    </row>
    <row r="893">
      <c r="A893" s="12">
        <v>891.0</v>
      </c>
      <c r="B893" s="13" t="s">
        <v>1966</v>
      </c>
      <c r="C893" s="14">
        <v>21.0</v>
      </c>
      <c r="D893" s="15" t="s">
        <v>2296</v>
      </c>
      <c r="E893" s="16" t="s">
        <v>52</v>
      </c>
      <c r="F893" s="13" t="s">
        <v>2347</v>
      </c>
      <c r="G893" s="13" t="s">
        <v>2348</v>
      </c>
      <c r="H893" s="13" t="s">
        <v>2349</v>
      </c>
      <c r="I893" s="13" t="s">
        <v>63</v>
      </c>
      <c r="J893" s="17" t="s">
        <v>71</v>
      </c>
      <c r="K893" s="17" t="s">
        <v>58</v>
      </c>
      <c r="L893" s="18" t="s">
        <v>52</v>
      </c>
      <c r="M893" s="19">
        <v>25.0</v>
      </c>
      <c r="N893" s="19">
        <v>31.0</v>
      </c>
    </row>
    <row r="894">
      <c r="A894" s="12">
        <v>892.0</v>
      </c>
      <c r="B894" s="13" t="s">
        <v>1966</v>
      </c>
      <c r="C894" s="14">
        <v>22.0</v>
      </c>
      <c r="D894" s="15" t="s">
        <v>2296</v>
      </c>
      <c r="E894" s="16" t="s">
        <v>52</v>
      </c>
      <c r="F894" s="13" t="s">
        <v>2351</v>
      </c>
      <c r="G894" s="13" t="s">
        <v>2352</v>
      </c>
      <c r="H894" s="13" t="s">
        <v>2353</v>
      </c>
      <c r="I894" s="13" t="s">
        <v>63</v>
      </c>
      <c r="J894" s="17" t="s">
        <v>71</v>
      </c>
      <c r="K894" s="17" t="s">
        <v>58</v>
      </c>
      <c r="L894" s="18" t="s">
        <v>52</v>
      </c>
      <c r="M894" s="19">
        <v>25.0</v>
      </c>
      <c r="N894" s="19">
        <v>31.0</v>
      </c>
    </row>
    <row r="895">
      <c r="A895" s="12">
        <v>893.0</v>
      </c>
      <c r="B895" s="13" t="s">
        <v>1966</v>
      </c>
      <c r="C895" s="14">
        <v>23.0</v>
      </c>
      <c r="D895" s="15" t="s">
        <v>2293</v>
      </c>
      <c r="E895" s="16" t="s">
        <v>52</v>
      </c>
      <c r="F895" s="13" t="s">
        <v>2215</v>
      </c>
      <c r="G895" s="13" t="s">
        <v>2355</v>
      </c>
      <c r="H895" s="13" t="s">
        <v>2356</v>
      </c>
      <c r="I895" s="13" t="s">
        <v>63</v>
      </c>
      <c r="J895" s="17" t="s">
        <v>71</v>
      </c>
      <c r="K895" s="17" t="s">
        <v>58</v>
      </c>
      <c r="L895" s="18" t="s">
        <v>52</v>
      </c>
      <c r="M895" s="19">
        <v>25.0</v>
      </c>
      <c r="N895" s="19">
        <v>31.0</v>
      </c>
    </row>
    <row r="896">
      <c r="A896" s="12">
        <v>894.0</v>
      </c>
      <c r="B896" s="13" t="s">
        <v>1966</v>
      </c>
      <c r="C896" s="14">
        <v>24.0</v>
      </c>
      <c r="D896" s="15" t="s">
        <v>2293</v>
      </c>
      <c r="E896" s="16" t="s">
        <v>52</v>
      </c>
      <c r="F896" s="13" t="s">
        <v>1430</v>
      </c>
      <c r="G896" s="13" t="s">
        <v>2357</v>
      </c>
      <c r="H896" s="13" t="s">
        <v>2358</v>
      </c>
      <c r="I896" s="13" t="s">
        <v>63</v>
      </c>
      <c r="J896" s="17" t="s">
        <v>71</v>
      </c>
      <c r="K896" s="17" t="s">
        <v>58</v>
      </c>
      <c r="L896" s="18" t="s">
        <v>52</v>
      </c>
      <c r="M896" s="19">
        <v>25.0</v>
      </c>
      <c r="N896" s="19">
        <v>31.0</v>
      </c>
    </row>
    <row r="897">
      <c r="A897" s="12">
        <v>895.0</v>
      </c>
      <c r="B897" s="13" t="s">
        <v>1966</v>
      </c>
      <c r="C897" s="14">
        <v>25.0</v>
      </c>
      <c r="D897" s="15" t="s">
        <v>2293</v>
      </c>
      <c r="E897" s="16" t="s">
        <v>52</v>
      </c>
      <c r="F897" s="13" t="s">
        <v>2359</v>
      </c>
      <c r="G897" s="13" t="s">
        <v>2360</v>
      </c>
      <c r="H897" s="13" t="s">
        <v>2361</v>
      </c>
      <c r="I897" s="13" t="s">
        <v>63</v>
      </c>
      <c r="J897" s="17" t="s">
        <v>71</v>
      </c>
      <c r="K897" s="17" t="s">
        <v>58</v>
      </c>
      <c r="L897" s="18" t="s">
        <v>52</v>
      </c>
      <c r="M897" s="19">
        <v>25.0</v>
      </c>
      <c r="N897" s="19">
        <v>31.0</v>
      </c>
    </row>
    <row r="898">
      <c r="A898" s="12">
        <v>896.0</v>
      </c>
      <c r="B898" s="13" t="s">
        <v>1966</v>
      </c>
      <c r="C898" s="14">
        <v>26.0</v>
      </c>
      <c r="D898" s="15" t="s">
        <v>2293</v>
      </c>
      <c r="E898" s="16" t="s">
        <v>52</v>
      </c>
      <c r="F898" s="13" t="s">
        <v>2362</v>
      </c>
      <c r="G898" s="13" t="s">
        <v>2363</v>
      </c>
      <c r="H898" s="13" t="s">
        <v>2364</v>
      </c>
      <c r="I898" s="13" t="s">
        <v>63</v>
      </c>
      <c r="J898" s="17" t="s">
        <v>71</v>
      </c>
      <c r="K898" s="17" t="s">
        <v>58</v>
      </c>
      <c r="L898" s="18" t="s">
        <v>52</v>
      </c>
      <c r="M898" s="19">
        <v>25.0</v>
      </c>
      <c r="N898" s="19">
        <v>31.0</v>
      </c>
    </row>
    <row r="899">
      <c r="A899" s="12">
        <v>897.0</v>
      </c>
      <c r="B899" s="13" t="s">
        <v>1966</v>
      </c>
      <c r="C899" s="14">
        <v>27.0</v>
      </c>
      <c r="D899" s="15" t="s">
        <v>2293</v>
      </c>
      <c r="E899" s="16" t="s">
        <v>52</v>
      </c>
      <c r="F899" s="13" t="s">
        <v>1538</v>
      </c>
      <c r="G899" s="13" t="s">
        <v>61</v>
      </c>
      <c r="H899" s="13" t="s">
        <v>1539</v>
      </c>
      <c r="I899" s="13" t="s">
        <v>63</v>
      </c>
      <c r="J899" s="17" t="s">
        <v>71</v>
      </c>
      <c r="K899" s="17" t="s">
        <v>58</v>
      </c>
      <c r="L899" s="18" t="s">
        <v>52</v>
      </c>
      <c r="M899" s="19">
        <v>25.0</v>
      </c>
      <c r="N899" s="19">
        <v>31.0</v>
      </c>
    </row>
    <row r="900">
      <c r="A900" s="12">
        <v>898.0</v>
      </c>
      <c r="B900" s="13" t="s">
        <v>1966</v>
      </c>
      <c r="C900" s="14">
        <v>28.0</v>
      </c>
      <c r="D900" s="15" t="s">
        <v>2293</v>
      </c>
      <c r="E900" s="16" t="s">
        <v>52</v>
      </c>
      <c r="F900" s="13" t="s">
        <v>1833</v>
      </c>
      <c r="G900" s="13" t="s">
        <v>2365</v>
      </c>
      <c r="H900" s="13" t="s">
        <v>2366</v>
      </c>
      <c r="I900" s="13" t="s">
        <v>63</v>
      </c>
      <c r="J900" s="17" t="s">
        <v>71</v>
      </c>
      <c r="K900" s="17" t="s">
        <v>58</v>
      </c>
      <c r="L900" s="18" t="s">
        <v>52</v>
      </c>
      <c r="M900" s="19">
        <v>25.0</v>
      </c>
      <c r="N900" s="19">
        <v>31.0</v>
      </c>
    </row>
    <row r="901">
      <c r="A901" s="12">
        <v>899.0</v>
      </c>
      <c r="B901" s="13" t="s">
        <v>1966</v>
      </c>
      <c r="C901" s="14">
        <v>29.0</v>
      </c>
      <c r="D901" s="15" t="s">
        <v>2293</v>
      </c>
      <c r="E901" s="16" t="s">
        <v>52</v>
      </c>
      <c r="F901" s="13" t="s">
        <v>1297</v>
      </c>
      <c r="G901" s="13" t="s">
        <v>2367</v>
      </c>
      <c r="H901" s="13" t="s">
        <v>2368</v>
      </c>
      <c r="I901" s="13" t="s">
        <v>63</v>
      </c>
      <c r="J901" s="17" t="s">
        <v>71</v>
      </c>
      <c r="K901" s="17" t="s">
        <v>58</v>
      </c>
      <c r="L901" s="18" t="s">
        <v>52</v>
      </c>
      <c r="M901" s="19">
        <v>25.0</v>
      </c>
      <c r="N901" s="19">
        <v>31.0</v>
      </c>
    </row>
    <row r="902">
      <c r="A902" s="12">
        <v>900.0</v>
      </c>
      <c r="B902" s="13" t="s">
        <v>1966</v>
      </c>
      <c r="C902" s="14">
        <v>30.0</v>
      </c>
      <c r="D902" s="15" t="s">
        <v>2293</v>
      </c>
      <c r="E902" s="16" t="s">
        <v>52</v>
      </c>
      <c r="F902" s="13" t="s">
        <v>1960</v>
      </c>
      <c r="G902" s="13" t="s">
        <v>2369</v>
      </c>
      <c r="H902" s="13" t="s">
        <v>2370</v>
      </c>
      <c r="I902" s="13" t="s">
        <v>63</v>
      </c>
      <c r="J902" s="17" t="s">
        <v>71</v>
      </c>
      <c r="K902" s="17" t="s">
        <v>58</v>
      </c>
      <c r="L902" s="18" t="s">
        <v>52</v>
      </c>
      <c r="M902" s="19">
        <v>25.0</v>
      </c>
      <c r="N902" s="19">
        <v>31.0</v>
      </c>
    </row>
    <row r="903">
      <c r="A903" s="12">
        <v>901.0</v>
      </c>
      <c r="B903" s="13" t="s">
        <v>1905</v>
      </c>
      <c r="C903" s="14">
        <v>1.0</v>
      </c>
      <c r="D903" s="15" t="s">
        <v>2371</v>
      </c>
      <c r="E903" s="16" t="s">
        <v>52</v>
      </c>
      <c r="F903" s="13" t="s">
        <v>2372</v>
      </c>
      <c r="G903" s="13" t="s">
        <v>2373</v>
      </c>
      <c r="H903" s="13" t="s">
        <v>2374</v>
      </c>
      <c r="I903" s="13" t="s">
        <v>63</v>
      </c>
      <c r="J903" s="17" t="s">
        <v>57</v>
      </c>
      <c r="K903" s="17" t="s">
        <v>58</v>
      </c>
      <c r="L903" s="18" t="s">
        <v>52</v>
      </c>
      <c r="M903" s="19">
        <v>26.0</v>
      </c>
      <c r="N903" s="19">
        <v>11.0</v>
      </c>
    </row>
    <row r="904">
      <c r="A904" s="12">
        <v>902.0</v>
      </c>
      <c r="B904" s="13" t="s">
        <v>1905</v>
      </c>
      <c r="C904" s="14">
        <v>2.0</v>
      </c>
      <c r="D904" s="15" t="s">
        <v>2375</v>
      </c>
      <c r="E904" s="16" t="s">
        <v>52</v>
      </c>
      <c r="F904" s="13" t="s">
        <v>1612</v>
      </c>
      <c r="G904" s="13" t="s">
        <v>1613</v>
      </c>
      <c r="H904" s="13" t="s">
        <v>1796</v>
      </c>
      <c r="I904" s="13" t="s">
        <v>63</v>
      </c>
      <c r="J904" s="17" t="s">
        <v>57</v>
      </c>
      <c r="K904" s="17" t="s">
        <v>58</v>
      </c>
      <c r="L904" s="18" t="s">
        <v>52</v>
      </c>
      <c r="M904" s="19">
        <v>26.0</v>
      </c>
      <c r="N904" s="19">
        <v>11.0</v>
      </c>
    </row>
    <row r="905">
      <c r="A905" s="12">
        <v>903.0</v>
      </c>
      <c r="B905" s="13" t="s">
        <v>1905</v>
      </c>
      <c r="C905" s="14">
        <v>3.0</v>
      </c>
      <c r="D905" s="15" t="s">
        <v>2375</v>
      </c>
      <c r="E905" s="16" t="s">
        <v>52</v>
      </c>
      <c r="F905" s="13" t="s">
        <v>1379</v>
      </c>
      <c r="G905" s="13" t="s">
        <v>2376</v>
      </c>
      <c r="H905" s="13" t="s">
        <v>2377</v>
      </c>
      <c r="I905" s="13" t="s">
        <v>63</v>
      </c>
      <c r="J905" s="17" t="s">
        <v>57</v>
      </c>
      <c r="K905" s="17" t="s">
        <v>58</v>
      </c>
      <c r="L905" s="18" t="s">
        <v>52</v>
      </c>
      <c r="M905" s="19">
        <v>26.0</v>
      </c>
      <c r="N905" s="19">
        <v>11.0</v>
      </c>
    </row>
    <row r="906">
      <c r="A906" s="12">
        <v>904.0</v>
      </c>
      <c r="B906" s="13" t="s">
        <v>1905</v>
      </c>
      <c r="C906" s="14">
        <v>4.0</v>
      </c>
      <c r="D906" s="15" t="s">
        <v>2375</v>
      </c>
      <c r="E906" s="16" t="s">
        <v>52</v>
      </c>
      <c r="F906" s="13" t="s">
        <v>1894</v>
      </c>
      <c r="G906" s="13" t="s">
        <v>2378</v>
      </c>
      <c r="H906" s="13" t="s">
        <v>2379</v>
      </c>
      <c r="I906" s="13" t="s">
        <v>63</v>
      </c>
      <c r="J906" s="17" t="s">
        <v>67</v>
      </c>
      <c r="K906" s="17" t="s">
        <v>58</v>
      </c>
      <c r="L906" s="18" t="s">
        <v>52</v>
      </c>
      <c r="M906" s="19">
        <v>26.0</v>
      </c>
      <c r="N906" s="19">
        <v>21.0</v>
      </c>
    </row>
    <row r="907">
      <c r="A907" s="12">
        <v>905.0</v>
      </c>
      <c r="B907" s="13" t="s">
        <v>1905</v>
      </c>
      <c r="C907" s="14">
        <v>5.0</v>
      </c>
      <c r="D907" s="15" t="s">
        <v>2371</v>
      </c>
      <c r="E907" s="16" t="s">
        <v>52</v>
      </c>
      <c r="F907" s="13" t="s">
        <v>734</v>
      </c>
      <c r="G907" s="13" t="s">
        <v>61</v>
      </c>
      <c r="H907" s="13" t="s">
        <v>2380</v>
      </c>
      <c r="I907" s="13" t="s">
        <v>63</v>
      </c>
      <c r="J907" s="17" t="s">
        <v>71</v>
      </c>
      <c r="K907" s="17" t="s">
        <v>58</v>
      </c>
      <c r="L907" s="18" t="s">
        <v>253</v>
      </c>
      <c r="M907" s="19">
        <v>26.0</v>
      </c>
      <c r="N907" s="19">
        <v>31.0</v>
      </c>
    </row>
    <row r="908">
      <c r="A908" s="12">
        <v>906.0</v>
      </c>
      <c r="B908" s="13" t="s">
        <v>1905</v>
      </c>
      <c r="C908" s="14">
        <v>6.0</v>
      </c>
      <c r="D908" s="15" t="s">
        <v>2371</v>
      </c>
      <c r="E908" s="16" t="s">
        <v>52</v>
      </c>
      <c r="F908" s="13" t="s">
        <v>2381</v>
      </c>
      <c r="G908" s="13" t="s">
        <v>2382</v>
      </c>
      <c r="H908" s="13" t="s">
        <v>2383</v>
      </c>
      <c r="I908" s="13" t="s">
        <v>63</v>
      </c>
      <c r="J908" s="17" t="s">
        <v>71</v>
      </c>
      <c r="K908" s="17" t="s">
        <v>58</v>
      </c>
      <c r="L908" s="18" t="s">
        <v>52</v>
      </c>
      <c r="M908" s="19">
        <v>26.0</v>
      </c>
      <c r="N908" s="19">
        <v>31.0</v>
      </c>
    </row>
    <row r="909">
      <c r="A909" s="12">
        <v>907.0</v>
      </c>
      <c r="B909" s="13" t="s">
        <v>1905</v>
      </c>
      <c r="C909" s="14">
        <v>7.0</v>
      </c>
      <c r="D909" s="15" t="s">
        <v>2371</v>
      </c>
      <c r="E909" s="16" t="s">
        <v>52</v>
      </c>
      <c r="F909" s="13" t="s">
        <v>2385</v>
      </c>
      <c r="G909" s="13" t="s">
        <v>2386</v>
      </c>
      <c r="H909" s="13" t="s">
        <v>2387</v>
      </c>
      <c r="I909" s="13" t="s">
        <v>63</v>
      </c>
      <c r="J909" s="17" t="s">
        <v>71</v>
      </c>
      <c r="K909" s="17" t="s">
        <v>58</v>
      </c>
      <c r="L909" s="18" t="s">
        <v>52</v>
      </c>
      <c r="M909" s="19">
        <v>26.0</v>
      </c>
      <c r="N909" s="19">
        <v>31.0</v>
      </c>
    </row>
    <row r="910">
      <c r="A910" s="12">
        <v>908.0</v>
      </c>
      <c r="B910" s="13" t="s">
        <v>1905</v>
      </c>
      <c r="C910" s="14">
        <v>8.0</v>
      </c>
      <c r="D910" s="15" t="s">
        <v>2371</v>
      </c>
      <c r="E910" s="16" t="s">
        <v>52</v>
      </c>
      <c r="F910" s="13" t="s">
        <v>2246</v>
      </c>
      <c r="G910" s="13" t="s">
        <v>2388</v>
      </c>
      <c r="H910" s="13" t="s">
        <v>2389</v>
      </c>
      <c r="I910" s="13" t="s">
        <v>63</v>
      </c>
      <c r="J910" s="17" t="s">
        <v>71</v>
      </c>
      <c r="K910" s="17" t="s">
        <v>58</v>
      </c>
      <c r="L910" s="18" t="s">
        <v>52</v>
      </c>
      <c r="M910" s="19">
        <v>26.0</v>
      </c>
      <c r="N910" s="19">
        <v>31.0</v>
      </c>
    </row>
    <row r="911">
      <c r="A911" s="12">
        <v>909.0</v>
      </c>
      <c r="B911" s="13" t="s">
        <v>1905</v>
      </c>
      <c r="C911" s="14">
        <v>9.0</v>
      </c>
      <c r="D911" s="15" t="s">
        <v>2371</v>
      </c>
      <c r="E911" s="16" t="s">
        <v>52</v>
      </c>
      <c r="F911" s="13" t="s">
        <v>1293</v>
      </c>
      <c r="G911" s="13" t="s">
        <v>61</v>
      </c>
      <c r="H911" s="13" t="s">
        <v>2390</v>
      </c>
      <c r="I911" s="13" t="s">
        <v>63</v>
      </c>
      <c r="J911" s="17" t="s">
        <v>71</v>
      </c>
      <c r="K911" s="17" t="s">
        <v>58</v>
      </c>
      <c r="L911" s="18" t="s">
        <v>52</v>
      </c>
      <c r="M911" s="19">
        <v>26.0</v>
      </c>
      <c r="N911" s="19">
        <v>31.0</v>
      </c>
    </row>
    <row r="912">
      <c r="A912" s="12">
        <v>910.0</v>
      </c>
      <c r="B912" s="13" t="s">
        <v>1905</v>
      </c>
      <c r="C912" s="14">
        <v>10.0</v>
      </c>
      <c r="D912" s="15" t="s">
        <v>2371</v>
      </c>
      <c r="E912" s="16" t="s">
        <v>52</v>
      </c>
      <c r="F912" s="13" t="s">
        <v>1584</v>
      </c>
      <c r="G912" s="13" t="s">
        <v>2391</v>
      </c>
      <c r="H912" s="13" t="s">
        <v>2392</v>
      </c>
      <c r="I912" s="13" t="s">
        <v>63</v>
      </c>
      <c r="J912" s="17" t="s">
        <v>71</v>
      </c>
      <c r="K912" s="17" t="s">
        <v>58</v>
      </c>
      <c r="L912" s="18" t="s">
        <v>52</v>
      </c>
      <c r="M912" s="19">
        <v>26.0</v>
      </c>
      <c r="N912" s="19">
        <v>31.0</v>
      </c>
    </row>
    <row r="913">
      <c r="A913" s="12">
        <v>911.0</v>
      </c>
      <c r="B913" s="13" t="s">
        <v>1905</v>
      </c>
      <c r="C913" s="14">
        <v>11.0</v>
      </c>
      <c r="D913" s="15" t="s">
        <v>2375</v>
      </c>
      <c r="E913" s="16" t="s">
        <v>52</v>
      </c>
      <c r="F913" s="13" t="s">
        <v>1437</v>
      </c>
      <c r="G913" s="13" t="s">
        <v>1579</v>
      </c>
      <c r="H913" s="13" t="s">
        <v>1900</v>
      </c>
      <c r="I913" s="13" t="s">
        <v>63</v>
      </c>
      <c r="J913" s="17" t="s">
        <v>71</v>
      </c>
      <c r="K913" s="17" t="s">
        <v>58</v>
      </c>
      <c r="L913" s="18" t="s">
        <v>52</v>
      </c>
      <c r="M913" s="19">
        <v>26.0</v>
      </c>
      <c r="N913" s="19">
        <v>31.0</v>
      </c>
    </row>
    <row r="914">
      <c r="A914" s="12">
        <v>912.0</v>
      </c>
      <c r="B914" s="13" t="s">
        <v>1905</v>
      </c>
      <c r="C914" s="14">
        <v>12.0</v>
      </c>
      <c r="D914" s="15" t="s">
        <v>2375</v>
      </c>
      <c r="E914" s="16" t="s">
        <v>52</v>
      </c>
      <c r="F914" s="13" t="s">
        <v>1597</v>
      </c>
      <c r="G914" s="13" t="s">
        <v>2209</v>
      </c>
      <c r="H914" s="13" t="s">
        <v>2379</v>
      </c>
      <c r="I914" s="13" t="s">
        <v>63</v>
      </c>
      <c r="J914" s="17" t="s">
        <v>71</v>
      </c>
      <c r="K914" s="17" t="s">
        <v>58</v>
      </c>
      <c r="L914" s="18" t="s">
        <v>52</v>
      </c>
      <c r="M914" s="19">
        <v>26.0</v>
      </c>
      <c r="N914" s="19">
        <v>31.0</v>
      </c>
    </row>
    <row r="915">
      <c r="A915" s="12">
        <v>913.0</v>
      </c>
      <c r="B915" s="13" t="s">
        <v>1905</v>
      </c>
      <c r="C915" s="14">
        <v>13.0</v>
      </c>
      <c r="D915" s="15" t="s">
        <v>2375</v>
      </c>
      <c r="E915" s="16" t="s">
        <v>52</v>
      </c>
      <c r="F915" s="13" t="s">
        <v>2395</v>
      </c>
      <c r="G915" s="13" t="s">
        <v>2396</v>
      </c>
      <c r="H915" s="13" t="s">
        <v>2397</v>
      </c>
      <c r="I915" s="13" t="s">
        <v>63</v>
      </c>
      <c r="J915" s="17" t="s">
        <v>71</v>
      </c>
      <c r="K915" s="17" t="s">
        <v>58</v>
      </c>
      <c r="L915" s="18" t="s">
        <v>52</v>
      </c>
      <c r="M915" s="19">
        <v>26.0</v>
      </c>
      <c r="N915" s="19">
        <v>31.0</v>
      </c>
    </row>
    <row r="916">
      <c r="A916" s="12">
        <v>914.0</v>
      </c>
      <c r="B916" s="13" t="s">
        <v>1905</v>
      </c>
      <c r="C916" s="14">
        <v>14.0</v>
      </c>
      <c r="D916" s="15" t="s">
        <v>2375</v>
      </c>
      <c r="E916" s="16" t="s">
        <v>52</v>
      </c>
      <c r="F916" s="13" t="s">
        <v>2398</v>
      </c>
      <c r="G916" s="13" t="s">
        <v>61</v>
      </c>
      <c r="H916" s="13" t="s">
        <v>2399</v>
      </c>
      <c r="I916" s="13" t="s">
        <v>63</v>
      </c>
      <c r="J916" s="17" t="s">
        <v>71</v>
      </c>
      <c r="K916" s="17" t="s">
        <v>58</v>
      </c>
      <c r="L916" s="18" t="s">
        <v>52</v>
      </c>
      <c r="M916" s="19">
        <v>26.0</v>
      </c>
      <c r="N916" s="19">
        <v>31.0</v>
      </c>
    </row>
    <row r="917">
      <c r="A917" s="12">
        <v>915.0</v>
      </c>
      <c r="B917" s="13" t="s">
        <v>1905</v>
      </c>
      <c r="C917" s="14">
        <v>15.0</v>
      </c>
      <c r="D917" s="15" t="s">
        <v>2371</v>
      </c>
      <c r="E917" s="16" t="s">
        <v>52</v>
      </c>
      <c r="F917" s="13" t="s">
        <v>1272</v>
      </c>
      <c r="G917" s="13" t="s">
        <v>415</v>
      </c>
      <c r="H917" s="13" t="s">
        <v>415</v>
      </c>
      <c r="I917" s="13" t="s">
        <v>416</v>
      </c>
      <c r="J917" s="17" t="s">
        <v>418</v>
      </c>
      <c r="K917" s="17" t="s">
        <v>420</v>
      </c>
      <c r="L917" s="18" t="s">
        <v>52</v>
      </c>
      <c r="M917" s="19">
        <v>26.0</v>
      </c>
      <c r="N917" s="19">
        <v>41.0</v>
      </c>
    </row>
    <row r="918">
      <c r="A918" s="12">
        <v>916.0</v>
      </c>
      <c r="B918" s="13" t="s">
        <v>1905</v>
      </c>
      <c r="C918" s="14">
        <v>16.0</v>
      </c>
      <c r="D918" s="15" t="s">
        <v>2371</v>
      </c>
      <c r="E918" s="16" t="s">
        <v>52</v>
      </c>
      <c r="F918" s="13" t="s">
        <v>1764</v>
      </c>
      <c r="G918" s="13" t="s">
        <v>415</v>
      </c>
      <c r="H918" s="13" t="s">
        <v>415</v>
      </c>
      <c r="I918" s="13" t="s">
        <v>416</v>
      </c>
      <c r="J918" s="17" t="s">
        <v>418</v>
      </c>
      <c r="K918" s="17" t="s">
        <v>420</v>
      </c>
      <c r="L918" s="18" t="s">
        <v>52</v>
      </c>
      <c r="M918" s="19">
        <v>26.0</v>
      </c>
      <c r="N918" s="19">
        <v>41.0</v>
      </c>
    </row>
    <row r="919">
      <c r="A919" s="12">
        <v>917.0</v>
      </c>
      <c r="B919" s="13" t="s">
        <v>1905</v>
      </c>
      <c r="C919" s="14">
        <v>17.0</v>
      </c>
      <c r="D919" s="15" t="s">
        <v>2371</v>
      </c>
      <c r="E919" s="16" t="s">
        <v>52</v>
      </c>
      <c r="F919" s="13" t="s">
        <v>1520</v>
      </c>
      <c r="G919" s="13" t="s">
        <v>415</v>
      </c>
      <c r="H919" s="13" t="s">
        <v>415</v>
      </c>
      <c r="I919" s="13" t="s">
        <v>416</v>
      </c>
      <c r="J919" s="17" t="s">
        <v>418</v>
      </c>
      <c r="K919" s="17" t="s">
        <v>420</v>
      </c>
      <c r="L919" s="18" t="s">
        <v>52</v>
      </c>
      <c r="M919" s="19">
        <v>26.0</v>
      </c>
      <c r="N919" s="19">
        <v>41.0</v>
      </c>
    </row>
    <row r="920">
      <c r="A920" s="12">
        <v>918.0</v>
      </c>
      <c r="B920" s="13" t="s">
        <v>1905</v>
      </c>
      <c r="C920" s="14">
        <v>18.0</v>
      </c>
      <c r="D920" s="15" t="s">
        <v>2371</v>
      </c>
      <c r="E920" s="16" t="s">
        <v>52</v>
      </c>
      <c r="F920" s="13" t="s">
        <v>1232</v>
      </c>
      <c r="G920" s="13" t="s">
        <v>415</v>
      </c>
      <c r="H920" s="13" t="s">
        <v>415</v>
      </c>
      <c r="I920" s="13" t="s">
        <v>416</v>
      </c>
      <c r="J920" s="17" t="s">
        <v>418</v>
      </c>
      <c r="K920" s="17" t="s">
        <v>420</v>
      </c>
      <c r="L920" s="18" t="s">
        <v>52</v>
      </c>
      <c r="M920" s="19">
        <v>26.0</v>
      </c>
      <c r="N920" s="19">
        <v>41.0</v>
      </c>
    </row>
    <row r="921">
      <c r="A921" s="12">
        <v>919.0</v>
      </c>
      <c r="B921" s="13" t="s">
        <v>1905</v>
      </c>
      <c r="C921" s="14">
        <v>19.0</v>
      </c>
      <c r="D921" s="15" t="s">
        <v>2375</v>
      </c>
      <c r="E921" s="16" t="s">
        <v>52</v>
      </c>
      <c r="F921" s="13" t="s">
        <v>1563</v>
      </c>
      <c r="G921" s="13" t="s">
        <v>415</v>
      </c>
      <c r="H921" s="13" t="s">
        <v>415</v>
      </c>
      <c r="I921" s="13" t="s">
        <v>416</v>
      </c>
      <c r="J921" s="17" t="s">
        <v>418</v>
      </c>
      <c r="K921" s="17" t="s">
        <v>420</v>
      </c>
      <c r="L921" s="18" t="s">
        <v>52</v>
      </c>
      <c r="M921" s="19">
        <v>26.0</v>
      </c>
      <c r="N921" s="19">
        <v>41.0</v>
      </c>
    </row>
    <row r="922">
      <c r="A922" s="12">
        <v>920.0</v>
      </c>
      <c r="B922" s="13" t="s">
        <v>1905</v>
      </c>
      <c r="C922" s="14">
        <v>20.0</v>
      </c>
      <c r="D922" s="15" t="s">
        <v>2375</v>
      </c>
      <c r="E922" s="16" t="s">
        <v>52</v>
      </c>
      <c r="F922" s="13" t="s">
        <v>1750</v>
      </c>
      <c r="G922" s="13" t="s">
        <v>415</v>
      </c>
      <c r="H922" s="13" t="s">
        <v>415</v>
      </c>
      <c r="I922" s="13" t="s">
        <v>416</v>
      </c>
      <c r="J922" s="17" t="s">
        <v>418</v>
      </c>
      <c r="K922" s="17" t="s">
        <v>420</v>
      </c>
      <c r="L922" s="18" t="s">
        <v>52</v>
      </c>
      <c r="M922" s="19">
        <v>26.0</v>
      </c>
      <c r="N922" s="19">
        <v>41.0</v>
      </c>
    </row>
    <row r="923">
      <c r="A923" s="12">
        <v>921.0</v>
      </c>
      <c r="B923" s="13" t="s">
        <v>1905</v>
      </c>
      <c r="C923" s="14">
        <v>21.0</v>
      </c>
      <c r="D923" s="15" t="s">
        <v>2375</v>
      </c>
      <c r="E923" s="16" t="s">
        <v>52</v>
      </c>
      <c r="F923" s="13" t="s">
        <v>1297</v>
      </c>
      <c r="G923" s="13" t="s">
        <v>415</v>
      </c>
      <c r="H923" s="13" t="s">
        <v>415</v>
      </c>
      <c r="I923" s="13" t="s">
        <v>416</v>
      </c>
      <c r="J923" s="17" t="s">
        <v>418</v>
      </c>
      <c r="K923" s="17" t="s">
        <v>420</v>
      </c>
      <c r="L923" s="18" t="s">
        <v>52</v>
      </c>
      <c r="M923" s="19">
        <v>26.0</v>
      </c>
      <c r="N923" s="19">
        <v>41.0</v>
      </c>
    </row>
    <row r="924">
      <c r="A924" s="12">
        <v>922.0</v>
      </c>
      <c r="B924" s="13" t="s">
        <v>1905</v>
      </c>
      <c r="C924" s="14">
        <v>22.0</v>
      </c>
      <c r="D924" s="15" t="s">
        <v>2375</v>
      </c>
      <c r="E924" s="16" t="s">
        <v>52</v>
      </c>
      <c r="F924" s="13" t="s">
        <v>1522</v>
      </c>
      <c r="G924" s="13" t="s">
        <v>415</v>
      </c>
      <c r="H924" s="13" t="s">
        <v>415</v>
      </c>
      <c r="I924" s="13" t="s">
        <v>416</v>
      </c>
      <c r="J924" s="17" t="s">
        <v>418</v>
      </c>
      <c r="K924" s="17" t="s">
        <v>420</v>
      </c>
      <c r="L924" s="18" t="s">
        <v>52</v>
      </c>
      <c r="M924" s="19">
        <v>26.0</v>
      </c>
      <c r="N924" s="19">
        <v>41.0</v>
      </c>
    </row>
    <row r="925">
      <c r="A925" s="12">
        <v>923.0</v>
      </c>
      <c r="B925" s="13" t="s">
        <v>1905</v>
      </c>
      <c r="C925" s="14">
        <v>23.0</v>
      </c>
      <c r="D925" s="15" t="s">
        <v>2375</v>
      </c>
      <c r="E925" s="16" t="s">
        <v>52</v>
      </c>
      <c r="F925" s="13" t="s">
        <v>2236</v>
      </c>
      <c r="G925" s="13" t="s">
        <v>415</v>
      </c>
      <c r="H925" s="13" t="s">
        <v>415</v>
      </c>
      <c r="I925" s="13" t="s">
        <v>416</v>
      </c>
      <c r="J925" s="17" t="s">
        <v>418</v>
      </c>
      <c r="K925" s="17" t="s">
        <v>420</v>
      </c>
      <c r="L925" s="18" t="s">
        <v>52</v>
      </c>
      <c r="M925" s="19">
        <v>26.0</v>
      </c>
      <c r="N925" s="19">
        <v>41.0</v>
      </c>
    </row>
    <row r="926">
      <c r="A926" s="12">
        <v>924.0</v>
      </c>
      <c r="B926" s="13" t="s">
        <v>1905</v>
      </c>
      <c r="C926" s="14">
        <v>24.0</v>
      </c>
      <c r="D926" s="15" t="s">
        <v>2403</v>
      </c>
      <c r="E926" s="16" t="s">
        <v>52</v>
      </c>
      <c r="F926" s="13" t="s">
        <v>1574</v>
      </c>
      <c r="G926" s="13" t="s">
        <v>415</v>
      </c>
      <c r="H926" s="13" t="s">
        <v>415</v>
      </c>
      <c r="I926" s="13" t="s">
        <v>416</v>
      </c>
      <c r="J926" s="17" t="s">
        <v>418</v>
      </c>
      <c r="K926" s="17" t="s">
        <v>420</v>
      </c>
      <c r="L926" s="18" t="s">
        <v>52</v>
      </c>
      <c r="M926" s="19">
        <v>26.0</v>
      </c>
      <c r="N926" s="19">
        <v>41.0</v>
      </c>
    </row>
    <row r="927">
      <c r="A927" s="12">
        <v>925.0</v>
      </c>
      <c r="B927" s="13" t="s">
        <v>1905</v>
      </c>
      <c r="C927" s="14">
        <v>25.0</v>
      </c>
      <c r="D927" s="15" t="s">
        <v>2403</v>
      </c>
      <c r="E927" s="16" t="s">
        <v>52</v>
      </c>
      <c r="F927" s="13" t="s">
        <v>1800</v>
      </c>
      <c r="G927" s="13" t="s">
        <v>415</v>
      </c>
      <c r="H927" s="13" t="s">
        <v>415</v>
      </c>
      <c r="I927" s="13" t="s">
        <v>416</v>
      </c>
      <c r="J927" s="17" t="s">
        <v>418</v>
      </c>
      <c r="K927" s="17" t="s">
        <v>420</v>
      </c>
      <c r="L927" s="18" t="s">
        <v>52</v>
      </c>
      <c r="M927" s="19">
        <v>26.0</v>
      </c>
      <c r="N927" s="19">
        <v>41.0</v>
      </c>
    </row>
    <row r="928">
      <c r="A928" s="12">
        <v>926.0</v>
      </c>
      <c r="B928" s="13" t="s">
        <v>1905</v>
      </c>
      <c r="C928" s="14">
        <v>26.0</v>
      </c>
      <c r="D928" s="15" t="s">
        <v>2403</v>
      </c>
      <c r="E928" s="16" t="s">
        <v>52</v>
      </c>
      <c r="F928" s="13" t="s">
        <v>1262</v>
      </c>
      <c r="G928" s="13" t="s">
        <v>415</v>
      </c>
      <c r="H928" s="13" t="s">
        <v>415</v>
      </c>
      <c r="I928" s="13" t="s">
        <v>416</v>
      </c>
      <c r="J928" s="17" t="s">
        <v>418</v>
      </c>
      <c r="K928" s="17" t="s">
        <v>420</v>
      </c>
      <c r="L928" s="18" t="s">
        <v>52</v>
      </c>
      <c r="M928" s="19">
        <v>26.0</v>
      </c>
      <c r="N928" s="19">
        <v>41.0</v>
      </c>
    </row>
    <row r="929">
      <c r="A929" s="12">
        <v>927.0</v>
      </c>
      <c r="B929" s="13" t="s">
        <v>1905</v>
      </c>
      <c r="C929" s="14">
        <v>27.0</v>
      </c>
      <c r="D929" s="15" t="s">
        <v>2403</v>
      </c>
      <c r="E929" s="16" t="s">
        <v>52</v>
      </c>
      <c r="F929" s="13" t="s">
        <v>2404</v>
      </c>
      <c r="G929" s="13" t="s">
        <v>415</v>
      </c>
      <c r="H929" s="13" t="s">
        <v>415</v>
      </c>
      <c r="I929" s="13" t="s">
        <v>416</v>
      </c>
      <c r="J929" s="17" t="s">
        <v>418</v>
      </c>
      <c r="K929" s="17" t="s">
        <v>420</v>
      </c>
      <c r="L929" s="18" t="s">
        <v>52</v>
      </c>
      <c r="M929" s="19">
        <v>26.0</v>
      </c>
      <c r="N929" s="19">
        <v>41.0</v>
      </c>
    </row>
    <row r="930">
      <c r="A930" s="12">
        <v>928.0</v>
      </c>
      <c r="B930" s="13" t="s">
        <v>1905</v>
      </c>
      <c r="C930" s="14">
        <v>28.0</v>
      </c>
      <c r="D930" s="15" t="s">
        <v>2403</v>
      </c>
      <c r="E930" s="16" t="s">
        <v>52</v>
      </c>
      <c r="F930" s="13" t="s">
        <v>1557</v>
      </c>
      <c r="G930" s="13" t="s">
        <v>415</v>
      </c>
      <c r="H930" s="13" t="s">
        <v>415</v>
      </c>
      <c r="I930" s="13" t="s">
        <v>416</v>
      </c>
      <c r="J930" s="17" t="s">
        <v>418</v>
      </c>
      <c r="K930" s="17" t="s">
        <v>420</v>
      </c>
      <c r="L930" s="18" t="s">
        <v>52</v>
      </c>
      <c r="M930" s="19">
        <v>26.0</v>
      </c>
      <c r="N930" s="19">
        <v>41.0</v>
      </c>
    </row>
    <row r="931">
      <c r="A931" s="12">
        <v>929.0</v>
      </c>
      <c r="B931" s="13" t="s">
        <v>1905</v>
      </c>
      <c r="C931" s="14">
        <v>29.0</v>
      </c>
      <c r="D931" s="15" t="s">
        <v>2403</v>
      </c>
      <c r="E931" s="16" t="s">
        <v>52</v>
      </c>
      <c r="F931" s="13" t="s">
        <v>2134</v>
      </c>
      <c r="G931" s="13" t="s">
        <v>415</v>
      </c>
      <c r="H931" s="13" t="s">
        <v>415</v>
      </c>
      <c r="I931" s="13" t="s">
        <v>416</v>
      </c>
      <c r="J931" s="17" t="s">
        <v>418</v>
      </c>
      <c r="K931" s="17" t="s">
        <v>420</v>
      </c>
      <c r="L931" s="18" t="s">
        <v>52</v>
      </c>
      <c r="M931" s="19">
        <v>26.0</v>
      </c>
      <c r="N931" s="19">
        <v>41.0</v>
      </c>
    </row>
    <row r="932">
      <c r="A932" s="12">
        <v>930.0</v>
      </c>
      <c r="B932" s="13" t="s">
        <v>1905</v>
      </c>
      <c r="C932" s="14">
        <v>30.0</v>
      </c>
      <c r="D932" s="15" t="s">
        <v>2403</v>
      </c>
      <c r="E932" s="16" t="s">
        <v>52</v>
      </c>
      <c r="F932" s="13" t="s">
        <v>1420</v>
      </c>
      <c r="G932" s="13" t="s">
        <v>415</v>
      </c>
      <c r="H932" s="13" t="s">
        <v>415</v>
      </c>
      <c r="I932" s="13" t="s">
        <v>416</v>
      </c>
      <c r="J932" s="17" t="s">
        <v>418</v>
      </c>
      <c r="K932" s="17" t="s">
        <v>420</v>
      </c>
      <c r="L932" s="18" t="s">
        <v>52</v>
      </c>
      <c r="M932" s="19">
        <v>26.0</v>
      </c>
      <c r="N932" s="19">
        <v>41.0</v>
      </c>
    </row>
    <row r="933">
      <c r="A933" s="12">
        <v>931.0</v>
      </c>
      <c r="B933" s="13" t="s">
        <v>433</v>
      </c>
      <c r="C933" s="14">
        <v>1.0</v>
      </c>
      <c r="D933" s="15" t="s">
        <v>2408</v>
      </c>
      <c r="E933" s="16" t="s">
        <v>52</v>
      </c>
      <c r="F933" s="13" t="s">
        <v>2409</v>
      </c>
      <c r="G933" s="13" t="s">
        <v>2410</v>
      </c>
      <c r="H933" s="13" t="s">
        <v>2411</v>
      </c>
      <c r="I933" s="13" t="s">
        <v>56</v>
      </c>
      <c r="J933" s="17" t="s">
        <v>57</v>
      </c>
      <c r="K933" s="17" t="s">
        <v>58</v>
      </c>
      <c r="L933" s="18" t="s">
        <v>52</v>
      </c>
      <c r="M933" s="19">
        <v>27.0</v>
      </c>
      <c r="N933" s="19">
        <v>10.0</v>
      </c>
    </row>
    <row r="934">
      <c r="A934" s="12">
        <v>932.0</v>
      </c>
      <c r="B934" s="13" t="s">
        <v>433</v>
      </c>
      <c r="C934" s="14">
        <v>2.0</v>
      </c>
      <c r="D934" s="15" t="s">
        <v>2413</v>
      </c>
      <c r="E934" s="16" t="s">
        <v>52</v>
      </c>
      <c r="F934" s="13" t="s">
        <v>2414</v>
      </c>
      <c r="G934" s="13" t="s">
        <v>2415</v>
      </c>
      <c r="H934" s="13" t="s">
        <v>2416</v>
      </c>
      <c r="I934" s="13" t="s">
        <v>56</v>
      </c>
      <c r="J934" s="17" t="s">
        <v>57</v>
      </c>
      <c r="K934" s="17" t="s">
        <v>58</v>
      </c>
      <c r="L934" s="18" t="s">
        <v>52</v>
      </c>
      <c r="M934" s="19">
        <v>27.0</v>
      </c>
      <c r="N934" s="19">
        <v>10.0</v>
      </c>
    </row>
    <row r="935">
      <c r="A935" s="12">
        <v>933.0</v>
      </c>
      <c r="B935" s="13" t="s">
        <v>433</v>
      </c>
      <c r="C935" s="14">
        <v>3.0</v>
      </c>
      <c r="D935" s="15" t="s">
        <v>2408</v>
      </c>
      <c r="E935" s="16" t="s">
        <v>52</v>
      </c>
      <c r="F935" s="13" t="s">
        <v>2417</v>
      </c>
      <c r="G935" s="13" t="s">
        <v>2418</v>
      </c>
      <c r="H935" s="13" t="s">
        <v>2419</v>
      </c>
      <c r="I935" s="13" t="s">
        <v>56</v>
      </c>
      <c r="J935" s="17" t="s">
        <v>67</v>
      </c>
      <c r="K935" s="17" t="s">
        <v>58</v>
      </c>
      <c r="L935" s="18" t="s">
        <v>52</v>
      </c>
      <c r="M935" s="19">
        <v>27.0</v>
      </c>
      <c r="N935" s="19">
        <v>20.0</v>
      </c>
    </row>
    <row r="936">
      <c r="A936" s="12">
        <v>934.0</v>
      </c>
      <c r="B936" s="13" t="s">
        <v>433</v>
      </c>
      <c r="C936" s="14">
        <v>4.0</v>
      </c>
      <c r="D936" s="15" t="s">
        <v>2408</v>
      </c>
      <c r="E936" s="16" t="s">
        <v>52</v>
      </c>
      <c r="F936" s="13" t="s">
        <v>2344</v>
      </c>
      <c r="G936" s="13" t="s">
        <v>2420</v>
      </c>
      <c r="H936" s="13" t="s">
        <v>2421</v>
      </c>
      <c r="I936" s="13" t="s">
        <v>56</v>
      </c>
      <c r="J936" s="17" t="s">
        <v>67</v>
      </c>
      <c r="K936" s="17" t="s">
        <v>58</v>
      </c>
      <c r="L936" s="18" t="s">
        <v>52</v>
      </c>
      <c r="M936" s="19">
        <v>27.0</v>
      </c>
      <c r="N936" s="19">
        <v>20.0</v>
      </c>
    </row>
    <row r="937">
      <c r="A937" s="12">
        <v>935.0</v>
      </c>
      <c r="B937" s="13" t="s">
        <v>433</v>
      </c>
      <c r="C937" s="14">
        <v>5.0</v>
      </c>
      <c r="D937" s="15" t="s">
        <v>2408</v>
      </c>
      <c r="E937" s="16" t="s">
        <v>52</v>
      </c>
      <c r="F937" s="13" t="s">
        <v>2019</v>
      </c>
      <c r="G937" s="13" t="s">
        <v>2020</v>
      </c>
      <c r="H937" s="13" t="s">
        <v>2422</v>
      </c>
      <c r="I937" s="13" t="s">
        <v>56</v>
      </c>
      <c r="J937" s="17" t="s">
        <v>67</v>
      </c>
      <c r="K937" s="17" t="s">
        <v>58</v>
      </c>
      <c r="L937" s="18" t="s">
        <v>52</v>
      </c>
      <c r="M937" s="19">
        <v>27.0</v>
      </c>
      <c r="N937" s="19">
        <v>20.0</v>
      </c>
    </row>
    <row r="938">
      <c r="A938" s="12">
        <v>936.0</v>
      </c>
      <c r="B938" s="13" t="s">
        <v>433</v>
      </c>
      <c r="C938" s="14">
        <v>6.0</v>
      </c>
      <c r="D938" s="15" t="s">
        <v>2408</v>
      </c>
      <c r="E938" s="16" t="s">
        <v>52</v>
      </c>
      <c r="F938" s="13" t="s">
        <v>2424</v>
      </c>
      <c r="G938" s="13" t="s">
        <v>2425</v>
      </c>
      <c r="H938" s="13" t="s">
        <v>2426</v>
      </c>
      <c r="I938" s="13" t="s">
        <v>56</v>
      </c>
      <c r="J938" s="17" t="s">
        <v>67</v>
      </c>
      <c r="K938" s="17" t="s">
        <v>58</v>
      </c>
      <c r="L938" s="18" t="s">
        <v>52</v>
      </c>
      <c r="M938" s="19">
        <v>27.0</v>
      </c>
      <c r="N938" s="19">
        <v>20.0</v>
      </c>
    </row>
    <row r="939">
      <c r="A939" s="12">
        <v>937.0</v>
      </c>
      <c r="B939" s="13" t="s">
        <v>433</v>
      </c>
      <c r="C939" s="14">
        <v>7.0</v>
      </c>
      <c r="D939" s="15" t="s">
        <v>2413</v>
      </c>
      <c r="E939" s="16" t="s">
        <v>52</v>
      </c>
      <c r="F939" s="13" t="s">
        <v>2427</v>
      </c>
      <c r="G939" s="13" t="s">
        <v>2428</v>
      </c>
      <c r="H939" s="13" t="s">
        <v>2429</v>
      </c>
      <c r="I939" s="13" t="s">
        <v>56</v>
      </c>
      <c r="J939" s="17" t="s">
        <v>67</v>
      </c>
      <c r="K939" s="17" t="s">
        <v>58</v>
      </c>
      <c r="L939" s="18" t="s">
        <v>52</v>
      </c>
      <c r="M939" s="19">
        <v>27.0</v>
      </c>
      <c r="N939" s="19">
        <v>20.0</v>
      </c>
    </row>
    <row r="940">
      <c r="A940" s="12">
        <v>938.0</v>
      </c>
      <c r="B940" s="13" t="s">
        <v>433</v>
      </c>
      <c r="C940" s="14">
        <v>8.0</v>
      </c>
      <c r="D940" s="15" t="s">
        <v>2431</v>
      </c>
      <c r="E940" s="16" t="s">
        <v>52</v>
      </c>
      <c r="F940" s="13" t="s">
        <v>2432</v>
      </c>
      <c r="G940" s="13" t="s">
        <v>2433</v>
      </c>
      <c r="H940" s="13" t="s">
        <v>2434</v>
      </c>
      <c r="I940" s="13" t="s">
        <v>56</v>
      </c>
      <c r="J940" s="17" t="s">
        <v>67</v>
      </c>
      <c r="K940" s="17" t="s">
        <v>58</v>
      </c>
      <c r="L940" s="18" t="s">
        <v>52</v>
      </c>
      <c r="M940" s="19">
        <v>27.0</v>
      </c>
      <c r="N940" s="19">
        <v>20.0</v>
      </c>
    </row>
    <row r="941">
      <c r="A941" s="12">
        <v>939.0</v>
      </c>
      <c r="B941" s="13" t="s">
        <v>433</v>
      </c>
      <c r="C941" s="14">
        <v>9.0</v>
      </c>
      <c r="D941" s="15" t="s">
        <v>2431</v>
      </c>
      <c r="E941" s="16" t="s">
        <v>52</v>
      </c>
      <c r="F941" s="13" t="s">
        <v>2435</v>
      </c>
      <c r="G941" s="13" t="s">
        <v>2436</v>
      </c>
      <c r="H941" s="13" t="s">
        <v>2437</v>
      </c>
      <c r="I941" s="13" t="s">
        <v>56</v>
      </c>
      <c r="J941" s="17" t="s">
        <v>67</v>
      </c>
      <c r="K941" s="17" t="s">
        <v>58</v>
      </c>
      <c r="L941" s="18" t="s">
        <v>52</v>
      </c>
      <c r="M941" s="19">
        <v>27.0</v>
      </c>
      <c r="N941" s="19">
        <v>20.0</v>
      </c>
    </row>
    <row r="942">
      <c r="A942" s="12">
        <v>940.0</v>
      </c>
      <c r="B942" s="13" t="s">
        <v>433</v>
      </c>
      <c r="C942" s="14">
        <v>10.0</v>
      </c>
      <c r="D942" s="15" t="s">
        <v>2431</v>
      </c>
      <c r="E942" s="16" t="s">
        <v>52</v>
      </c>
      <c r="F942" s="13" t="s">
        <v>2438</v>
      </c>
      <c r="G942" s="13" t="s">
        <v>2439</v>
      </c>
      <c r="H942" s="13" t="s">
        <v>2440</v>
      </c>
      <c r="I942" s="13" t="s">
        <v>56</v>
      </c>
      <c r="J942" s="17" t="s">
        <v>71</v>
      </c>
      <c r="K942" s="17" t="s">
        <v>58</v>
      </c>
      <c r="L942" s="18" t="s">
        <v>52</v>
      </c>
      <c r="M942" s="19">
        <v>27.0</v>
      </c>
      <c r="N942" s="19">
        <v>30.0</v>
      </c>
    </row>
    <row r="943">
      <c r="A943" s="12">
        <v>941.0</v>
      </c>
      <c r="B943" s="13" t="s">
        <v>433</v>
      </c>
      <c r="C943" s="14">
        <v>11.0</v>
      </c>
      <c r="D943" s="15" t="s">
        <v>2413</v>
      </c>
      <c r="E943" s="16" t="s">
        <v>52</v>
      </c>
      <c r="F943" s="13" t="s">
        <v>2441</v>
      </c>
      <c r="G943" s="13" t="s">
        <v>2442</v>
      </c>
      <c r="H943" s="13" t="s">
        <v>2443</v>
      </c>
      <c r="I943" s="13" t="s">
        <v>63</v>
      </c>
      <c r="J943" s="17" t="s">
        <v>71</v>
      </c>
      <c r="K943" s="17" t="s">
        <v>58</v>
      </c>
      <c r="L943" s="18" t="s">
        <v>52</v>
      </c>
      <c r="M943" s="19">
        <v>27.0</v>
      </c>
      <c r="N943" s="19">
        <v>31.0</v>
      </c>
    </row>
    <row r="944">
      <c r="A944" s="12">
        <v>942.0</v>
      </c>
      <c r="B944" s="13" t="s">
        <v>433</v>
      </c>
      <c r="C944" s="14">
        <v>12.0</v>
      </c>
      <c r="D944" s="15" t="s">
        <v>2413</v>
      </c>
      <c r="E944" s="16" t="s">
        <v>52</v>
      </c>
      <c r="F944" s="13" t="s">
        <v>2445</v>
      </c>
      <c r="G944" s="13" t="s">
        <v>61</v>
      </c>
      <c r="H944" s="13" t="s">
        <v>2446</v>
      </c>
      <c r="I944" s="13" t="s">
        <v>63</v>
      </c>
      <c r="J944" s="17" t="s">
        <v>71</v>
      </c>
      <c r="K944" s="17" t="s">
        <v>58</v>
      </c>
      <c r="L944" s="18" t="s">
        <v>52</v>
      </c>
      <c r="M944" s="19">
        <v>27.0</v>
      </c>
      <c r="N944" s="19">
        <v>31.0</v>
      </c>
    </row>
    <row r="945">
      <c r="A945" s="12">
        <v>943.0</v>
      </c>
      <c r="B945" s="13" t="s">
        <v>433</v>
      </c>
      <c r="C945" s="14">
        <v>13.0</v>
      </c>
      <c r="D945" s="15" t="s">
        <v>2413</v>
      </c>
      <c r="E945" s="16" t="s">
        <v>52</v>
      </c>
      <c r="F945" s="13" t="s">
        <v>2447</v>
      </c>
      <c r="G945" s="13" t="s">
        <v>2448</v>
      </c>
      <c r="H945" s="13" t="s">
        <v>2449</v>
      </c>
      <c r="I945" s="13" t="s">
        <v>63</v>
      </c>
      <c r="J945" s="17" t="s">
        <v>71</v>
      </c>
      <c r="K945" s="17" t="s">
        <v>58</v>
      </c>
      <c r="L945" s="18" t="s">
        <v>52</v>
      </c>
      <c r="M945" s="19">
        <v>27.0</v>
      </c>
      <c r="N945" s="19">
        <v>31.0</v>
      </c>
    </row>
    <row r="946">
      <c r="A946" s="12">
        <v>944.0</v>
      </c>
      <c r="B946" s="13" t="s">
        <v>433</v>
      </c>
      <c r="C946" s="14">
        <v>14.0</v>
      </c>
      <c r="D946" s="15" t="s">
        <v>2413</v>
      </c>
      <c r="E946" s="16" t="s">
        <v>52</v>
      </c>
      <c r="F946" s="13" t="s">
        <v>2450</v>
      </c>
      <c r="G946" s="13" t="s">
        <v>2451</v>
      </c>
      <c r="H946" s="13" t="s">
        <v>2443</v>
      </c>
      <c r="I946" s="13" t="s">
        <v>63</v>
      </c>
      <c r="J946" s="17" t="s">
        <v>71</v>
      </c>
      <c r="K946" s="17" t="s">
        <v>58</v>
      </c>
      <c r="L946" s="18" t="s">
        <v>52</v>
      </c>
      <c r="M946" s="19">
        <v>27.0</v>
      </c>
      <c r="N946" s="19">
        <v>31.0</v>
      </c>
    </row>
    <row r="947">
      <c r="A947" s="12">
        <v>945.0</v>
      </c>
      <c r="B947" s="13" t="s">
        <v>433</v>
      </c>
      <c r="C947" s="14">
        <v>15.0</v>
      </c>
      <c r="D947" s="15" t="s">
        <v>2413</v>
      </c>
      <c r="E947" s="16" t="s">
        <v>52</v>
      </c>
      <c r="F947" s="13" t="s">
        <v>2452</v>
      </c>
      <c r="G947" s="13" t="s">
        <v>2453</v>
      </c>
      <c r="H947" s="13" t="s">
        <v>2454</v>
      </c>
      <c r="I947" s="13" t="s">
        <v>63</v>
      </c>
      <c r="J947" s="17" t="s">
        <v>71</v>
      </c>
      <c r="K947" s="17" t="s">
        <v>58</v>
      </c>
      <c r="L947" s="18" t="s">
        <v>52</v>
      </c>
      <c r="M947" s="19">
        <v>27.0</v>
      </c>
      <c r="N947" s="19">
        <v>31.0</v>
      </c>
    </row>
    <row r="948">
      <c r="A948" s="12">
        <v>946.0</v>
      </c>
      <c r="B948" s="13" t="s">
        <v>433</v>
      </c>
      <c r="C948" s="14">
        <v>16.0</v>
      </c>
      <c r="D948" s="15" t="s">
        <v>2413</v>
      </c>
      <c r="E948" s="16" t="s">
        <v>52</v>
      </c>
      <c r="F948" s="13" t="s">
        <v>2455</v>
      </c>
      <c r="G948" s="13" t="s">
        <v>2456</v>
      </c>
      <c r="H948" s="13" t="s">
        <v>2457</v>
      </c>
      <c r="I948" s="13" t="s">
        <v>63</v>
      </c>
      <c r="J948" s="17" t="s">
        <v>71</v>
      </c>
      <c r="K948" s="17" t="s">
        <v>58</v>
      </c>
      <c r="L948" s="18" t="s">
        <v>52</v>
      </c>
      <c r="M948" s="19">
        <v>27.0</v>
      </c>
      <c r="N948" s="19">
        <v>31.0</v>
      </c>
    </row>
    <row r="949">
      <c r="A949" s="12">
        <v>947.0</v>
      </c>
      <c r="B949" s="13" t="s">
        <v>433</v>
      </c>
      <c r="C949" s="14">
        <v>17.0</v>
      </c>
      <c r="D949" s="15" t="s">
        <v>2431</v>
      </c>
      <c r="E949" s="16" t="s">
        <v>52</v>
      </c>
      <c r="F949" s="13" t="s">
        <v>2458</v>
      </c>
      <c r="G949" s="13" t="s">
        <v>2459</v>
      </c>
      <c r="H949" s="13" t="s">
        <v>2460</v>
      </c>
      <c r="I949" s="13" t="s">
        <v>63</v>
      </c>
      <c r="J949" s="17" t="s">
        <v>71</v>
      </c>
      <c r="K949" s="17" t="s">
        <v>58</v>
      </c>
      <c r="L949" s="18" t="s">
        <v>52</v>
      </c>
      <c r="M949" s="19">
        <v>27.0</v>
      </c>
      <c r="N949" s="19">
        <v>31.0</v>
      </c>
    </row>
    <row r="950">
      <c r="A950" s="12">
        <v>948.0</v>
      </c>
      <c r="B950" s="13" t="s">
        <v>433</v>
      </c>
      <c r="C950" s="14">
        <v>18.0</v>
      </c>
      <c r="D950" s="15" t="s">
        <v>2431</v>
      </c>
      <c r="E950" s="16" t="s">
        <v>52</v>
      </c>
      <c r="F950" s="13" t="s">
        <v>2461</v>
      </c>
      <c r="G950" s="13" t="s">
        <v>2462</v>
      </c>
      <c r="H950" s="13" t="s">
        <v>2463</v>
      </c>
      <c r="I950" s="13" t="s">
        <v>63</v>
      </c>
      <c r="J950" s="17" t="s">
        <v>71</v>
      </c>
      <c r="K950" s="17" t="s">
        <v>58</v>
      </c>
      <c r="L950" s="18" t="s">
        <v>52</v>
      </c>
      <c r="M950" s="19">
        <v>27.0</v>
      </c>
      <c r="N950" s="19">
        <v>31.0</v>
      </c>
    </row>
    <row r="951">
      <c r="A951" s="12">
        <v>949.0</v>
      </c>
      <c r="B951" s="13" t="s">
        <v>433</v>
      </c>
      <c r="C951" s="14">
        <v>19.0</v>
      </c>
      <c r="D951" s="15" t="s">
        <v>2431</v>
      </c>
      <c r="E951" s="16" t="s">
        <v>52</v>
      </c>
      <c r="F951" s="13" t="s">
        <v>2016</v>
      </c>
      <c r="G951" s="13" t="s">
        <v>2464</v>
      </c>
      <c r="H951" s="13" t="s">
        <v>2465</v>
      </c>
      <c r="I951" s="13" t="s">
        <v>63</v>
      </c>
      <c r="J951" s="17" t="s">
        <v>71</v>
      </c>
      <c r="K951" s="17" t="s">
        <v>58</v>
      </c>
      <c r="L951" s="18" t="s">
        <v>52</v>
      </c>
      <c r="M951" s="19">
        <v>27.0</v>
      </c>
      <c r="N951" s="19">
        <v>31.0</v>
      </c>
    </row>
    <row r="952">
      <c r="A952" s="12">
        <v>950.0</v>
      </c>
      <c r="B952" s="13" t="s">
        <v>433</v>
      </c>
      <c r="C952" s="14">
        <v>20.0</v>
      </c>
      <c r="D952" s="15" t="s">
        <v>2431</v>
      </c>
      <c r="E952" s="16" t="s">
        <v>52</v>
      </c>
      <c r="F952" s="13" t="s">
        <v>2466</v>
      </c>
      <c r="G952" s="13" t="s">
        <v>2467</v>
      </c>
      <c r="H952" s="13" t="s">
        <v>2468</v>
      </c>
      <c r="I952" s="13" t="s">
        <v>63</v>
      </c>
      <c r="J952" s="17" t="s">
        <v>71</v>
      </c>
      <c r="K952" s="17" t="s">
        <v>58</v>
      </c>
      <c r="L952" s="18" t="s">
        <v>52</v>
      </c>
      <c r="M952" s="19">
        <v>27.0</v>
      </c>
      <c r="N952" s="19">
        <v>31.0</v>
      </c>
    </row>
    <row r="953">
      <c r="A953" s="12">
        <v>951.0</v>
      </c>
      <c r="B953" s="13" t="s">
        <v>433</v>
      </c>
      <c r="C953" s="14">
        <v>21.0</v>
      </c>
      <c r="D953" s="15" t="s">
        <v>2431</v>
      </c>
      <c r="E953" s="16" t="s">
        <v>52</v>
      </c>
      <c r="F953" s="13" t="s">
        <v>2469</v>
      </c>
      <c r="G953" s="13" t="s">
        <v>2470</v>
      </c>
      <c r="H953" s="13" t="s">
        <v>2471</v>
      </c>
      <c r="I953" s="13" t="s">
        <v>63</v>
      </c>
      <c r="J953" s="17" t="s">
        <v>71</v>
      </c>
      <c r="K953" s="17" t="s">
        <v>58</v>
      </c>
      <c r="L953" s="18" t="s">
        <v>52</v>
      </c>
      <c r="M953" s="19">
        <v>27.0</v>
      </c>
      <c r="N953" s="19">
        <v>31.0</v>
      </c>
    </row>
    <row r="954">
      <c r="A954" s="12">
        <v>952.0</v>
      </c>
      <c r="B954" s="13" t="s">
        <v>433</v>
      </c>
      <c r="C954" s="14">
        <v>22.0</v>
      </c>
      <c r="D954" s="15" t="s">
        <v>2431</v>
      </c>
      <c r="E954" s="16" t="s">
        <v>52</v>
      </c>
      <c r="F954" s="13" t="s">
        <v>2472</v>
      </c>
      <c r="G954" s="13" t="s">
        <v>2473</v>
      </c>
      <c r="H954" s="13" t="s">
        <v>2474</v>
      </c>
      <c r="I954" s="13" t="s">
        <v>63</v>
      </c>
      <c r="J954" s="17" t="s">
        <v>71</v>
      </c>
      <c r="K954" s="17" t="s">
        <v>58</v>
      </c>
      <c r="L954" s="18" t="s">
        <v>52</v>
      </c>
      <c r="M954" s="19">
        <v>27.0</v>
      </c>
      <c r="N954" s="19">
        <v>31.0</v>
      </c>
    </row>
    <row r="955">
      <c r="A955" s="12">
        <v>953.0</v>
      </c>
      <c r="B955" s="13" t="s">
        <v>433</v>
      </c>
      <c r="C955" s="14">
        <v>23.0</v>
      </c>
      <c r="D955" s="15" t="s">
        <v>2408</v>
      </c>
      <c r="E955" s="16" t="s">
        <v>52</v>
      </c>
      <c r="F955" s="13" t="s">
        <v>2475</v>
      </c>
      <c r="G955" s="13" t="s">
        <v>415</v>
      </c>
      <c r="H955" s="13" t="s">
        <v>415</v>
      </c>
      <c r="I955" s="13" t="s">
        <v>416</v>
      </c>
      <c r="J955" s="17" t="s">
        <v>418</v>
      </c>
      <c r="K955" s="17" t="s">
        <v>420</v>
      </c>
      <c r="L955" s="18" t="s">
        <v>52</v>
      </c>
      <c r="M955" s="19">
        <v>27.0</v>
      </c>
      <c r="N955" s="19">
        <v>41.0</v>
      </c>
    </row>
    <row r="956">
      <c r="A956" s="12">
        <v>954.0</v>
      </c>
      <c r="B956" s="13" t="s">
        <v>433</v>
      </c>
      <c r="C956" s="14">
        <v>24.0</v>
      </c>
      <c r="D956" s="15" t="s">
        <v>2408</v>
      </c>
      <c r="E956" s="16" t="s">
        <v>52</v>
      </c>
      <c r="F956" s="13" t="s">
        <v>2476</v>
      </c>
      <c r="G956" s="13" t="s">
        <v>415</v>
      </c>
      <c r="H956" s="13" t="s">
        <v>415</v>
      </c>
      <c r="I956" s="13" t="s">
        <v>416</v>
      </c>
      <c r="J956" s="17" t="s">
        <v>418</v>
      </c>
      <c r="K956" s="17" t="s">
        <v>420</v>
      </c>
      <c r="L956" s="18" t="s">
        <v>52</v>
      </c>
      <c r="M956" s="19">
        <v>27.0</v>
      </c>
      <c r="N956" s="19">
        <v>41.0</v>
      </c>
    </row>
    <row r="957">
      <c r="A957" s="12">
        <v>955.0</v>
      </c>
      <c r="B957" s="13" t="s">
        <v>433</v>
      </c>
      <c r="C957" s="14">
        <v>25.0</v>
      </c>
      <c r="D957" s="15" t="s">
        <v>2413</v>
      </c>
      <c r="E957" s="16" t="s">
        <v>52</v>
      </c>
      <c r="F957" s="13" t="s">
        <v>2477</v>
      </c>
      <c r="G957" s="13" t="s">
        <v>415</v>
      </c>
      <c r="H957" s="13" t="s">
        <v>415</v>
      </c>
      <c r="I957" s="13" t="s">
        <v>416</v>
      </c>
      <c r="J957" s="17" t="s">
        <v>418</v>
      </c>
      <c r="K957" s="17" t="s">
        <v>420</v>
      </c>
      <c r="L957" s="18" t="s">
        <v>52</v>
      </c>
      <c r="M957" s="19">
        <v>27.0</v>
      </c>
      <c r="N957" s="19">
        <v>41.0</v>
      </c>
    </row>
    <row r="958">
      <c r="A958" s="12">
        <v>956.0</v>
      </c>
      <c r="B958" s="13" t="s">
        <v>433</v>
      </c>
      <c r="C958" s="14">
        <v>26.0</v>
      </c>
      <c r="D958" s="15" t="s">
        <v>2413</v>
      </c>
      <c r="E958" s="16" t="s">
        <v>52</v>
      </c>
      <c r="F958" s="13" t="s">
        <v>2478</v>
      </c>
      <c r="G958" s="13" t="s">
        <v>415</v>
      </c>
      <c r="H958" s="13" t="s">
        <v>415</v>
      </c>
      <c r="I958" s="13" t="s">
        <v>416</v>
      </c>
      <c r="J958" s="17" t="s">
        <v>418</v>
      </c>
      <c r="K958" s="17" t="s">
        <v>420</v>
      </c>
      <c r="L958" s="18" t="s">
        <v>52</v>
      </c>
      <c r="M958" s="19">
        <v>27.0</v>
      </c>
      <c r="N958" s="19">
        <v>41.0</v>
      </c>
    </row>
    <row r="959">
      <c r="A959" s="12">
        <v>957.0</v>
      </c>
      <c r="B959" s="13" t="s">
        <v>433</v>
      </c>
      <c r="C959" s="14">
        <v>27.0</v>
      </c>
      <c r="D959" s="15" t="s">
        <v>2413</v>
      </c>
      <c r="E959" s="16" t="s">
        <v>52</v>
      </c>
      <c r="F959" s="13" t="s">
        <v>1253</v>
      </c>
      <c r="G959" s="13" t="s">
        <v>415</v>
      </c>
      <c r="H959" s="13" t="s">
        <v>415</v>
      </c>
      <c r="I959" s="13" t="s">
        <v>416</v>
      </c>
      <c r="J959" s="17" t="s">
        <v>418</v>
      </c>
      <c r="K959" s="17" t="s">
        <v>420</v>
      </c>
      <c r="L959" s="18" t="s">
        <v>52</v>
      </c>
      <c r="M959" s="19">
        <v>27.0</v>
      </c>
      <c r="N959" s="19">
        <v>41.0</v>
      </c>
    </row>
    <row r="960">
      <c r="A960" s="12">
        <v>958.0</v>
      </c>
      <c r="B960" s="13" t="s">
        <v>433</v>
      </c>
      <c r="C960" s="14">
        <v>28.0</v>
      </c>
      <c r="D960" s="15" t="s">
        <v>2431</v>
      </c>
      <c r="E960" s="16" t="s">
        <v>52</v>
      </c>
      <c r="F960" s="13" t="s">
        <v>2042</v>
      </c>
      <c r="G960" s="13" t="s">
        <v>415</v>
      </c>
      <c r="H960" s="13" t="s">
        <v>415</v>
      </c>
      <c r="I960" s="13" t="s">
        <v>416</v>
      </c>
      <c r="J960" s="17" t="s">
        <v>418</v>
      </c>
      <c r="K960" s="17" t="s">
        <v>420</v>
      </c>
      <c r="L960" s="18" t="s">
        <v>52</v>
      </c>
      <c r="M960" s="19">
        <v>27.0</v>
      </c>
      <c r="N960" s="19">
        <v>41.0</v>
      </c>
    </row>
    <row r="961">
      <c r="A961" s="12">
        <v>959.0</v>
      </c>
      <c r="B961" s="13" t="s">
        <v>433</v>
      </c>
      <c r="C961" s="14">
        <v>29.0</v>
      </c>
      <c r="D961" s="15" t="s">
        <v>2431</v>
      </c>
      <c r="E961" s="16" t="s">
        <v>52</v>
      </c>
      <c r="F961" s="13" t="s">
        <v>2479</v>
      </c>
      <c r="G961" s="13" t="s">
        <v>415</v>
      </c>
      <c r="H961" s="13" t="s">
        <v>415</v>
      </c>
      <c r="I961" s="13" t="s">
        <v>416</v>
      </c>
      <c r="J961" s="17" t="s">
        <v>418</v>
      </c>
      <c r="K961" s="17" t="s">
        <v>420</v>
      </c>
      <c r="L961" s="18" t="s">
        <v>52</v>
      </c>
      <c r="M961" s="19">
        <v>27.0</v>
      </c>
      <c r="N961" s="19">
        <v>41.0</v>
      </c>
    </row>
    <row r="962">
      <c r="A962" s="12">
        <v>960.0</v>
      </c>
      <c r="B962" s="13" t="s">
        <v>433</v>
      </c>
      <c r="C962" s="14">
        <v>30.0</v>
      </c>
      <c r="D962" s="15" t="s">
        <v>2431</v>
      </c>
      <c r="E962" s="16" t="s">
        <v>52</v>
      </c>
      <c r="F962" s="13" t="s">
        <v>2481</v>
      </c>
      <c r="G962" s="13" t="s">
        <v>415</v>
      </c>
      <c r="H962" s="13" t="s">
        <v>415</v>
      </c>
      <c r="I962" s="13" t="s">
        <v>416</v>
      </c>
      <c r="J962" s="17" t="s">
        <v>418</v>
      </c>
      <c r="K962" s="17" t="s">
        <v>420</v>
      </c>
      <c r="L962" s="18" t="s">
        <v>52</v>
      </c>
      <c r="M962" s="19">
        <v>27.0</v>
      </c>
      <c r="N962" s="19">
        <v>41.0</v>
      </c>
    </row>
    <row r="963">
      <c r="A963" s="12">
        <v>961.0</v>
      </c>
      <c r="B963" s="13" t="s">
        <v>2091</v>
      </c>
      <c r="C963" s="14">
        <v>1.0</v>
      </c>
      <c r="D963" s="15" t="s">
        <v>2483</v>
      </c>
      <c r="E963" s="16" t="s">
        <v>221</v>
      </c>
      <c r="F963" s="13" t="s">
        <v>2484</v>
      </c>
      <c r="G963" s="13" t="s">
        <v>61</v>
      </c>
      <c r="H963" s="13" t="s">
        <v>2485</v>
      </c>
      <c r="I963" s="13" t="s">
        <v>56</v>
      </c>
      <c r="J963" s="17" t="s">
        <v>57</v>
      </c>
      <c r="K963" s="17" t="s">
        <v>58</v>
      </c>
      <c r="L963" s="18" t="s">
        <v>52</v>
      </c>
      <c r="M963" s="19">
        <v>28.0</v>
      </c>
      <c r="N963" s="19">
        <v>10.0</v>
      </c>
    </row>
    <row r="964">
      <c r="A964" s="12">
        <v>962.0</v>
      </c>
      <c r="B964" s="13" t="s">
        <v>2091</v>
      </c>
      <c r="C964" s="14">
        <v>2.0</v>
      </c>
      <c r="D964" s="15" t="s">
        <v>2487</v>
      </c>
      <c r="E964" s="16" t="s">
        <v>221</v>
      </c>
      <c r="F964" s="13" t="s">
        <v>2488</v>
      </c>
      <c r="G964" s="13" t="s">
        <v>2489</v>
      </c>
      <c r="H964" s="13" t="s">
        <v>2490</v>
      </c>
      <c r="I964" s="13" t="s">
        <v>56</v>
      </c>
      <c r="J964" s="17" t="s">
        <v>57</v>
      </c>
      <c r="K964" s="17" t="s">
        <v>58</v>
      </c>
      <c r="L964" s="18" t="s">
        <v>52</v>
      </c>
      <c r="M964" s="19">
        <v>28.0</v>
      </c>
      <c r="N964" s="19">
        <v>10.0</v>
      </c>
    </row>
    <row r="965">
      <c r="A965" s="12">
        <v>963.0</v>
      </c>
      <c r="B965" s="13" t="s">
        <v>2091</v>
      </c>
      <c r="C965" s="14">
        <v>3.0</v>
      </c>
      <c r="D965" s="15" t="s">
        <v>2491</v>
      </c>
      <c r="E965" s="16" t="s">
        <v>221</v>
      </c>
      <c r="F965" s="13" t="s">
        <v>2492</v>
      </c>
      <c r="G965" s="13" t="s">
        <v>2493</v>
      </c>
      <c r="H965" s="13" t="s">
        <v>2495</v>
      </c>
      <c r="I965" s="13" t="s">
        <v>56</v>
      </c>
      <c r="J965" s="17" t="s">
        <v>57</v>
      </c>
      <c r="K965" s="17" t="s">
        <v>58</v>
      </c>
      <c r="L965" s="18" t="s">
        <v>52</v>
      </c>
      <c r="M965" s="19">
        <v>28.0</v>
      </c>
      <c r="N965" s="19">
        <v>10.0</v>
      </c>
    </row>
    <row r="966">
      <c r="A966" s="12">
        <v>964.0</v>
      </c>
      <c r="B966" s="13" t="s">
        <v>2091</v>
      </c>
      <c r="C966" s="14">
        <v>4.0</v>
      </c>
      <c r="D966" s="15" t="s">
        <v>2483</v>
      </c>
      <c r="E966" s="16" t="s">
        <v>221</v>
      </c>
      <c r="F966" s="13" t="s">
        <v>2497</v>
      </c>
      <c r="G966" s="13" t="s">
        <v>2498</v>
      </c>
      <c r="H966" s="13" t="s">
        <v>2500</v>
      </c>
      <c r="I966" s="13" t="s">
        <v>63</v>
      </c>
      <c r="J966" s="17" t="s">
        <v>67</v>
      </c>
      <c r="K966" s="17" t="s">
        <v>58</v>
      </c>
      <c r="L966" s="18" t="s">
        <v>52</v>
      </c>
      <c r="M966" s="19">
        <v>28.0</v>
      </c>
      <c r="N966" s="19">
        <v>21.0</v>
      </c>
    </row>
    <row r="967">
      <c r="A967" s="12">
        <v>965.0</v>
      </c>
      <c r="B967" s="13" t="s">
        <v>2091</v>
      </c>
      <c r="C967" s="14">
        <v>5.0</v>
      </c>
      <c r="D967" s="15" t="s">
        <v>2491</v>
      </c>
      <c r="E967" s="16" t="s">
        <v>221</v>
      </c>
      <c r="F967" s="13" t="s">
        <v>2502</v>
      </c>
      <c r="G967" s="13" t="s">
        <v>2503</v>
      </c>
      <c r="H967" s="13" t="s">
        <v>2504</v>
      </c>
      <c r="I967" s="13" t="s">
        <v>63</v>
      </c>
      <c r="J967" s="17" t="s">
        <v>67</v>
      </c>
      <c r="K967" s="17" t="s">
        <v>58</v>
      </c>
      <c r="L967" s="18" t="s">
        <v>52</v>
      </c>
      <c r="M967" s="19">
        <v>28.0</v>
      </c>
      <c r="N967" s="19">
        <v>21.0</v>
      </c>
    </row>
    <row r="968">
      <c r="A968" s="12">
        <v>966.0</v>
      </c>
      <c r="B968" s="13" t="s">
        <v>2091</v>
      </c>
      <c r="C968" s="14">
        <v>6.0</v>
      </c>
      <c r="D968" s="15" t="s">
        <v>2483</v>
      </c>
      <c r="E968" s="16" t="s">
        <v>221</v>
      </c>
      <c r="F968" s="13" t="s">
        <v>2505</v>
      </c>
      <c r="G968" s="13" t="s">
        <v>2506</v>
      </c>
      <c r="H968" s="13" t="s">
        <v>2507</v>
      </c>
      <c r="I968" s="13" t="s">
        <v>56</v>
      </c>
      <c r="J968" s="17" t="s">
        <v>71</v>
      </c>
      <c r="K968" s="17" t="s">
        <v>58</v>
      </c>
      <c r="L968" s="18" t="s">
        <v>52</v>
      </c>
      <c r="M968" s="19">
        <v>28.0</v>
      </c>
      <c r="N968" s="19">
        <v>30.0</v>
      </c>
    </row>
    <row r="969">
      <c r="A969" s="12">
        <v>967.0</v>
      </c>
      <c r="B969" s="13" t="s">
        <v>2091</v>
      </c>
      <c r="C969" s="14">
        <v>7.0</v>
      </c>
      <c r="D969" s="15" t="s">
        <v>2487</v>
      </c>
      <c r="E969" s="16" t="s">
        <v>221</v>
      </c>
      <c r="F969" s="13" t="s">
        <v>2508</v>
      </c>
      <c r="G969" s="13" t="s">
        <v>2509</v>
      </c>
      <c r="H969" s="13" t="s">
        <v>2510</v>
      </c>
      <c r="I969" s="13" t="s">
        <v>56</v>
      </c>
      <c r="J969" s="17" t="s">
        <v>71</v>
      </c>
      <c r="K969" s="17" t="s">
        <v>58</v>
      </c>
      <c r="L969" s="18" t="s">
        <v>52</v>
      </c>
      <c r="M969" s="19">
        <v>28.0</v>
      </c>
      <c r="N969" s="19">
        <v>30.0</v>
      </c>
    </row>
    <row r="970">
      <c r="A970" s="12">
        <v>968.0</v>
      </c>
      <c r="B970" s="13" t="s">
        <v>2091</v>
      </c>
      <c r="C970" s="14">
        <v>8.0</v>
      </c>
      <c r="D970" s="15" t="s">
        <v>2487</v>
      </c>
      <c r="E970" s="16" t="s">
        <v>221</v>
      </c>
      <c r="F970" s="13" t="s">
        <v>2511</v>
      </c>
      <c r="G970" s="13" t="s">
        <v>2512</v>
      </c>
      <c r="H970" s="13" t="s">
        <v>2510</v>
      </c>
      <c r="I970" s="13" t="s">
        <v>56</v>
      </c>
      <c r="J970" s="17" t="s">
        <v>71</v>
      </c>
      <c r="K970" s="17" t="s">
        <v>58</v>
      </c>
      <c r="L970" s="18" t="s">
        <v>52</v>
      </c>
      <c r="M970" s="19">
        <v>28.0</v>
      </c>
      <c r="N970" s="19">
        <v>30.0</v>
      </c>
    </row>
    <row r="971">
      <c r="A971" s="12">
        <v>969.0</v>
      </c>
      <c r="B971" s="13" t="s">
        <v>2091</v>
      </c>
      <c r="C971" s="14">
        <v>9.0</v>
      </c>
      <c r="D971" s="15" t="s">
        <v>2487</v>
      </c>
      <c r="E971" s="16" t="s">
        <v>221</v>
      </c>
      <c r="F971" s="13" t="s">
        <v>2513</v>
      </c>
      <c r="G971" s="13" t="s">
        <v>2514</v>
      </c>
      <c r="H971" s="13" t="s">
        <v>2510</v>
      </c>
      <c r="I971" s="13" t="s">
        <v>56</v>
      </c>
      <c r="J971" s="17" t="s">
        <v>71</v>
      </c>
      <c r="K971" s="17" t="s">
        <v>58</v>
      </c>
      <c r="L971" s="18" t="s">
        <v>52</v>
      </c>
      <c r="M971" s="19">
        <v>28.0</v>
      </c>
      <c r="N971" s="19">
        <v>30.0</v>
      </c>
    </row>
    <row r="972">
      <c r="A972" s="12">
        <v>970.0</v>
      </c>
      <c r="B972" s="13" t="s">
        <v>2091</v>
      </c>
      <c r="C972" s="14">
        <v>10.0</v>
      </c>
      <c r="D972" s="15" t="s">
        <v>2491</v>
      </c>
      <c r="E972" s="16" t="s">
        <v>221</v>
      </c>
      <c r="F972" s="13" t="s">
        <v>2515</v>
      </c>
      <c r="G972" s="13" t="s">
        <v>2516</v>
      </c>
      <c r="H972" s="13" t="s">
        <v>2495</v>
      </c>
      <c r="I972" s="13" t="s">
        <v>56</v>
      </c>
      <c r="J972" s="17" t="s">
        <v>71</v>
      </c>
      <c r="K972" s="17" t="s">
        <v>58</v>
      </c>
      <c r="L972" s="18" t="s">
        <v>52</v>
      </c>
      <c r="M972" s="19">
        <v>28.0</v>
      </c>
      <c r="N972" s="19">
        <v>30.0</v>
      </c>
    </row>
    <row r="973">
      <c r="A973" s="12">
        <v>971.0</v>
      </c>
      <c r="B973" s="13" t="s">
        <v>2091</v>
      </c>
      <c r="C973" s="14">
        <v>11.0</v>
      </c>
      <c r="D973" s="15" t="s">
        <v>2483</v>
      </c>
      <c r="E973" s="16" t="s">
        <v>221</v>
      </c>
      <c r="F973" s="13" t="s">
        <v>2517</v>
      </c>
      <c r="G973" s="13" t="s">
        <v>2518</v>
      </c>
      <c r="H973" s="13" t="s">
        <v>2519</v>
      </c>
      <c r="I973" s="13" t="s">
        <v>63</v>
      </c>
      <c r="J973" s="17" t="s">
        <v>71</v>
      </c>
      <c r="K973" s="17" t="s">
        <v>58</v>
      </c>
      <c r="L973" s="18" t="s">
        <v>52</v>
      </c>
      <c r="M973" s="19">
        <v>28.0</v>
      </c>
      <c r="N973" s="19">
        <v>31.0</v>
      </c>
    </row>
    <row r="974">
      <c r="A974" s="12">
        <v>972.0</v>
      </c>
      <c r="B974" s="13" t="s">
        <v>2091</v>
      </c>
      <c r="C974" s="14">
        <v>12.0</v>
      </c>
      <c r="D974" s="15" t="s">
        <v>2483</v>
      </c>
      <c r="E974" s="16" t="s">
        <v>221</v>
      </c>
      <c r="F974" s="13" t="s">
        <v>2520</v>
      </c>
      <c r="G974" s="13" t="s">
        <v>2521</v>
      </c>
      <c r="H974" s="13" t="s">
        <v>2522</v>
      </c>
      <c r="I974" s="13" t="s">
        <v>63</v>
      </c>
      <c r="J974" s="17" t="s">
        <v>71</v>
      </c>
      <c r="K974" s="17" t="s">
        <v>58</v>
      </c>
      <c r="L974" s="18" t="s">
        <v>52</v>
      </c>
      <c r="M974" s="19">
        <v>28.0</v>
      </c>
      <c r="N974" s="19">
        <v>31.0</v>
      </c>
    </row>
    <row r="975">
      <c r="A975" s="12">
        <v>973.0</v>
      </c>
      <c r="B975" s="13" t="s">
        <v>2091</v>
      </c>
      <c r="C975" s="14">
        <v>13.0</v>
      </c>
      <c r="D975" s="15" t="s">
        <v>2483</v>
      </c>
      <c r="E975" s="16" t="s">
        <v>221</v>
      </c>
      <c r="F975" s="13" t="s">
        <v>2523</v>
      </c>
      <c r="G975" s="13" t="s">
        <v>2524</v>
      </c>
      <c r="H975" s="13" t="s">
        <v>2525</v>
      </c>
      <c r="I975" s="13" t="s">
        <v>63</v>
      </c>
      <c r="J975" s="17" t="s">
        <v>71</v>
      </c>
      <c r="K975" s="17" t="s">
        <v>58</v>
      </c>
      <c r="L975" s="18" t="s">
        <v>52</v>
      </c>
      <c r="M975" s="19">
        <v>28.0</v>
      </c>
      <c r="N975" s="19">
        <v>31.0</v>
      </c>
    </row>
    <row r="976">
      <c r="A976" s="12">
        <v>974.0</v>
      </c>
      <c r="B976" s="13" t="s">
        <v>2091</v>
      </c>
      <c r="C976" s="14">
        <v>14.0</v>
      </c>
      <c r="D976" s="15" t="s">
        <v>2483</v>
      </c>
      <c r="E976" s="16" t="s">
        <v>221</v>
      </c>
      <c r="F976" s="13" t="s">
        <v>2395</v>
      </c>
      <c r="G976" s="13" t="s">
        <v>2526</v>
      </c>
      <c r="H976" s="13" t="s">
        <v>2527</v>
      </c>
      <c r="I976" s="13" t="s">
        <v>63</v>
      </c>
      <c r="J976" s="17" t="s">
        <v>71</v>
      </c>
      <c r="K976" s="17" t="s">
        <v>58</v>
      </c>
      <c r="L976" s="18" t="s">
        <v>52</v>
      </c>
      <c r="M976" s="19">
        <v>28.0</v>
      </c>
      <c r="N976" s="19">
        <v>31.0</v>
      </c>
    </row>
    <row r="977">
      <c r="A977" s="12">
        <v>975.0</v>
      </c>
      <c r="B977" s="13" t="s">
        <v>2091</v>
      </c>
      <c r="C977" s="14">
        <v>15.0</v>
      </c>
      <c r="D977" s="15" t="s">
        <v>2483</v>
      </c>
      <c r="E977" s="16" t="s">
        <v>221</v>
      </c>
      <c r="F977" s="13" t="s">
        <v>2046</v>
      </c>
      <c r="G977" s="13" t="s">
        <v>2047</v>
      </c>
      <c r="H977" s="13" t="s">
        <v>2528</v>
      </c>
      <c r="I977" s="13" t="s">
        <v>63</v>
      </c>
      <c r="J977" s="17" t="s">
        <v>71</v>
      </c>
      <c r="K977" s="17" t="s">
        <v>58</v>
      </c>
      <c r="L977" s="18" t="s">
        <v>52</v>
      </c>
      <c r="M977" s="19">
        <v>28.0</v>
      </c>
      <c r="N977" s="19">
        <v>31.0</v>
      </c>
    </row>
    <row r="978">
      <c r="A978" s="12">
        <v>976.0</v>
      </c>
      <c r="B978" s="13" t="s">
        <v>2091</v>
      </c>
      <c r="C978" s="14">
        <v>16.0</v>
      </c>
      <c r="D978" s="15" t="s">
        <v>2483</v>
      </c>
      <c r="E978" s="16" t="s">
        <v>221</v>
      </c>
      <c r="F978" s="13" t="s">
        <v>2529</v>
      </c>
      <c r="G978" s="13" t="s">
        <v>2530</v>
      </c>
      <c r="H978" s="13" t="s">
        <v>2531</v>
      </c>
      <c r="I978" s="13" t="s">
        <v>63</v>
      </c>
      <c r="J978" s="17" t="s">
        <v>71</v>
      </c>
      <c r="K978" s="17" t="s">
        <v>58</v>
      </c>
      <c r="L978" s="18" t="s">
        <v>52</v>
      </c>
      <c r="M978" s="19">
        <v>28.0</v>
      </c>
      <c r="N978" s="19">
        <v>31.0</v>
      </c>
    </row>
    <row r="979">
      <c r="A979" s="12">
        <v>977.0</v>
      </c>
      <c r="B979" s="13" t="s">
        <v>2091</v>
      </c>
      <c r="C979" s="14">
        <v>17.0</v>
      </c>
      <c r="D979" s="15" t="s">
        <v>2483</v>
      </c>
      <c r="E979" s="16" t="s">
        <v>221</v>
      </c>
      <c r="F979" s="13" t="s">
        <v>2532</v>
      </c>
      <c r="G979" s="13" t="s">
        <v>2533</v>
      </c>
      <c r="H979" s="13" t="s">
        <v>2534</v>
      </c>
      <c r="I979" s="13" t="s">
        <v>63</v>
      </c>
      <c r="J979" s="17" t="s">
        <v>71</v>
      </c>
      <c r="K979" s="17" t="s">
        <v>58</v>
      </c>
      <c r="L979" s="18" t="s">
        <v>52</v>
      </c>
      <c r="M979" s="19">
        <v>28.0</v>
      </c>
      <c r="N979" s="19">
        <v>31.0</v>
      </c>
    </row>
    <row r="980">
      <c r="A980" s="12">
        <v>978.0</v>
      </c>
      <c r="B980" s="13" t="s">
        <v>2091</v>
      </c>
      <c r="C980" s="14">
        <v>18.0</v>
      </c>
      <c r="D980" s="15" t="s">
        <v>2483</v>
      </c>
      <c r="E980" s="16" t="s">
        <v>221</v>
      </c>
      <c r="F980" s="13" t="s">
        <v>2535</v>
      </c>
      <c r="G980" s="13" t="s">
        <v>2536</v>
      </c>
      <c r="H980" s="13" t="s">
        <v>2537</v>
      </c>
      <c r="I980" s="13" t="s">
        <v>63</v>
      </c>
      <c r="J980" s="17" t="s">
        <v>71</v>
      </c>
      <c r="K980" s="17" t="s">
        <v>58</v>
      </c>
      <c r="L980" s="18" t="s">
        <v>52</v>
      </c>
      <c r="M980" s="19">
        <v>28.0</v>
      </c>
      <c r="N980" s="19">
        <v>31.0</v>
      </c>
    </row>
    <row r="981">
      <c r="A981" s="12">
        <v>979.0</v>
      </c>
      <c r="B981" s="13" t="s">
        <v>2091</v>
      </c>
      <c r="C981" s="14">
        <v>19.0</v>
      </c>
      <c r="D981" s="15" t="s">
        <v>2483</v>
      </c>
      <c r="E981" s="16" t="s">
        <v>221</v>
      </c>
      <c r="F981" s="13" t="s">
        <v>2539</v>
      </c>
      <c r="G981" s="13" t="s">
        <v>2540</v>
      </c>
      <c r="H981" s="13" t="s">
        <v>2541</v>
      </c>
      <c r="I981" s="13" t="s">
        <v>63</v>
      </c>
      <c r="J981" s="17" t="s">
        <v>71</v>
      </c>
      <c r="K981" s="17" t="s">
        <v>58</v>
      </c>
      <c r="L981" s="18" t="s">
        <v>52</v>
      </c>
      <c r="M981" s="19">
        <v>28.0</v>
      </c>
      <c r="N981" s="19">
        <v>31.0</v>
      </c>
    </row>
    <row r="982">
      <c r="A982" s="12">
        <v>980.0</v>
      </c>
      <c r="B982" s="13" t="s">
        <v>2091</v>
      </c>
      <c r="C982" s="14">
        <v>20.0</v>
      </c>
      <c r="D982" s="15" t="s">
        <v>2483</v>
      </c>
      <c r="E982" s="16" t="s">
        <v>221</v>
      </c>
      <c r="F982" s="13" t="s">
        <v>2542</v>
      </c>
      <c r="G982" s="13" t="s">
        <v>2543</v>
      </c>
      <c r="H982" s="13" t="s">
        <v>2544</v>
      </c>
      <c r="I982" s="13" t="s">
        <v>63</v>
      </c>
      <c r="J982" s="17" t="s">
        <v>71</v>
      </c>
      <c r="K982" s="17" t="s">
        <v>58</v>
      </c>
      <c r="L982" s="18" t="s">
        <v>52</v>
      </c>
      <c r="M982" s="19">
        <v>28.0</v>
      </c>
      <c r="N982" s="19">
        <v>31.0</v>
      </c>
    </row>
    <row r="983">
      <c r="A983" s="12">
        <v>981.0</v>
      </c>
      <c r="B983" s="13" t="s">
        <v>2091</v>
      </c>
      <c r="C983" s="14">
        <v>21.0</v>
      </c>
      <c r="D983" s="15" t="s">
        <v>2483</v>
      </c>
      <c r="E983" s="16" t="s">
        <v>221</v>
      </c>
      <c r="F983" s="13" t="s">
        <v>2545</v>
      </c>
      <c r="G983" s="13" t="s">
        <v>2546</v>
      </c>
      <c r="H983" s="13" t="s">
        <v>2547</v>
      </c>
      <c r="I983" s="13" t="s">
        <v>63</v>
      </c>
      <c r="J983" s="17" t="s">
        <v>71</v>
      </c>
      <c r="K983" s="17" t="s">
        <v>58</v>
      </c>
      <c r="L983" s="18" t="s">
        <v>52</v>
      </c>
      <c r="M983" s="19">
        <v>28.0</v>
      </c>
      <c r="N983" s="19">
        <v>31.0</v>
      </c>
    </row>
    <row r="984">
      <c r="A984" s="12">
        <v>982.0</v>
      </c>
      <c r="B984" s="13" t="s">
        <v>2091</v>
      </c>
      <c r="C984" s="14">
        <v>22.0</v>
      </c>
      <c r="D984" s="15" t="s">
        <v>2483</v>
      </c>
      <c r="E984" s="16" t="s">
        <v>221</v>
      </c>
      <c r="F984" s="13" t="s">
        <v>2548</v>
      </c>
      <c r="G984" s="13" t="s">
        <v>2549</v>
      </c>
      <c r="H984" s="13" t="s">
        <v>2550</v>
      </c>
      <c r="I984" s="13" t="s">
        <v>63</v>
      </c>
      <c r="J984" s="17" t="s">
        <v>71</v>
      </c>
      <c r="K984" s="17" t="s">
        <v>58</v>
      </c>
      <c r="L984" s="18" t="s">
        <v>52</v>
      </c>
      <c r="M984" s="19">
        <v>28.0</v>
      </c>
      <c r="N984" s="19">
        <v>31.0</v>
      </c>
    </row>
    <row r="985">
      <c r="A985" s="12">
        <v>983.0</v>
      </c>
      <c r="B985" s="13" t="s">
        <v>2091</v>
      </c>
      <c r="C985" s="14">
        <v>23.0</v>
      </c>
      <c r="D985" s="15" t="s">
        <v>2483</v>
      </c>
      <c r="E985" s="16" t="s">
        <v>221</v>
      </c>
      <c r="F985" s="13" t="s">
        <v>2551</v>
      </c>
      <c r="G985" s="13" t="s">
        <v>2553</v>
      </c>
      <c r="H985" s="13" t="s">
        <v>2554</v>
      </c>
      <c r="I985" s="13" t="s">
        <v>63</v>
      </c>
      <c r="J985" s="17" t="s">
        <v>71</v>
      </c>
      <c r="K985" s="17" t="s">
        <v>58</v>
      </c>
      <c r="L985" s="18" t="s">
        <v>52</v>
      </c>
      <c r="M985" s="19">
        <v>28.0</v>
      </c>
      <c r="N985" s="19">
        <v>31.0</v>
      </c>
    </row>
    <row r="986">
      <c r="A986" s="12">
        <v>984.0</v>
      </c>
      <c r="B986" s="13" t="s">
        <v>2091</v>
      </c>
      <c r="C986" s="14">
        <v>24.0</v>
      </c>
      <c r="D986" s="15" t="s">
        <v>2483</v>
      </c>
      <c r="E986" s="16" t="s">
        <v>221</v>
      </c>
      <c r="F986" s="13" t="s">
        <v>1156</v>
      </c>
      <c r="G986" s="13" t="s">
        <v>1157</v>
      </c>
      <c r="H986" s="13" t="s">
        <v>1158</v>
      </c>
      <c r="I986" s="13" t="s">
        <v>63</v>
      </c>
      <c r="J986" s="17" t="s">
        <v>71</v>
      </c>
      <c r="K986" s="17" t="s">
        <v>58</v>
      </c>
      <c r="L986" s="18" t="s">
        <v>52</v>
      </c>
      <c r="M986" s="19">
        <v>28.0</v>
      </c>
      <c r="N986" s="19">
        <v>31.0</v>
      </c>
    </row>
    <row r="987">
      <c r="A987" s="12">
        <v>985.0</v>
      </c>
      <c r="B987" s="13" t="s">
        <v>2091</v>
      </c>
      <c r="C987" s="14">
        <v>25.0</v>
      </c>
      <c r="D987" s="15" t="s">
        <v>2483</v>
      </c>
      <c r="E987" s="16" t="s">
        <v>221</v>
      </c>
      <c r="F987" s="13" t="s">
        <v>81</v>
      </c>
      <c r="G987" s="13" t="s">
        <v>2555</v>
      </c>
      <c r="H987" s="13" t="s">
        <v>2556</v>
      </c>
      <c r="I987" s="13" t="s">
        <v>63</v>
      </c>
      <c r="J987" s="17" t="s">
        <v>71</v>
      </c>
      <c r="K987" s="17" t="s">
        <v>58</v>
      </c>
      <c r="L987" s="18" t="s">
        <v>52</v>
      </c>
      <c r="M987" s="19">
        <v>28.0</v>
      </c>
      <c r="N987" s="19">
        <v>31.0</v>
      </c>
    </row>
    <row r="988">
      <c r="A988" s="12">
        <v>986.0</v>
      </c>
      <c r="B988" s="13" t="s">
        <v>2091</v>
      </c>
      <c r="C988" s="14">
        <v>26.0</v>
      </c>
      <c r="D988" s="15" t="s">
        <v>2483</v>
      </c>
      <c r="E988" s="16" t="s">
        <v>221</v>
      </c>
      <c r="F988" s="13" t="s">
        <v>2557</v>
      </c>
      <c r="G988" s="13" t="s">
        <v>2558</v>
      </c>
      <c r="H988" s="13" t="s">
        <v>2559</v>
      </c>
      <c r="I988" s="13" t="s">
        <v>63</v>
      </c>
      <c r="J988" s="17" t="s">
        <v>71</v>
      </c>
      <c r="K988" s="17" t="s">
        <v>58</v>
      </c>
      <c r="L988" s="18" t="s">
        <v>52</v>
      </c>
      <c r="M988" s="19">
        <v>28.0</v>
      </c>
      <c r="N988" s="19">
        <v>31.0</v>
      </c>
    </row>
    <row r="989">
      <c r="A989" s="12">
        <v>987.0</v>
      </c>
      <c r="B989" s="13" t="s">
        <v>2091</v>
      </c>
      <c r="C989" s="14">
        <v>27.0</v>
      </c>
      <c r="D989" s="15" t="s">
        <v>2487</v>
      </c>
      <c r="E989" s="16" t="s">
        <v>221</v>
      </c>
      <c r="F989" s="13" t="s">
        <v>2019</v>
      </c>
      <c r="G989" s="13" t="s">
        <v>2560</v>
      </c>
      <c r="H989" s="13" t="s">
        <v>2561</v>
      </c>
      <c r="I989" s="13" t="s">
        <v>63</v>
      </c>
      <c r="J989" s="17" t="s">
        <v>71</v>
      </c>
      <c r="K989" s="17" t="s">
        <v>58</v>
      </c>
      <c r="L989" s="18" t="s">
        <v>52</v>
      </c>
      <c r="M989" s="19">
        <v>28.0</v>
      </c>
      <c r="N989" s="19">
        <v>31.0</v>
      </c>
    </row>
    <row r="990">
      <c r="A990" s="12">
        <v>988.0</v>
      </c>
      <c r="B990" s="13" t="s">
        <v>2091</v>
      </c>
      <c r="C990" s="14">
        <v>28.0</v>
      </c>
      <c r="D990" s="15" t="s">
        <v>2487</v>
      </c>
      <c r="E990" s="16" t="s">
        <v>221</v>
      </c>
      <c r="F990" s="13" t="s">
        <v>1162</v>
      </c>
      <c r="G990" s="13" t="s">
        <v>2562</v>
      </c>
      <c r="H990" s="13" t="s">
        <v>2563</v>
      </c>
      <c r="I990" s="13" t="s">
        <v>63</v>
      </c>
      <c r="J990" s="17" t="s">
        <v>71</v>
      </c>
      <c r="K990" s="17" t="s">
        <v>58</v>
      </c>
      <c r="L990" s="18" t="s">
        <v>52</v>
      </c>
      <c r="M990" s="19">
        <v>28.0</v>
      </c>
      <c r="N990" s="19">
        <v>31.0</v>
      </c>
    </row>
    <row r="991">
      <c r="A991" s="12">
        <v>989.0</v>
      </c>
      <c r="B991" s="13" t="s">
        <v>2091</v>
      </c>
      <c r="C991" s="14">
        <v>29.0</v>
      </c>
      <c r="D991" s="15" t="s">
        <v>2487</v>
      </c>
      <c r="E991" s="16" t="s">
        <v>221</v>
      </c>
      <c r="F991" s="13" t="s">
        <v>2564</v>
      </c>
      <c r="G991" s="13" t="s">
        <v>2565</v>
      </c>
      <c r="H991" s="13" t="s">
        <v>2566</v>
      </c>
      <c r="I991" s="13" t="s">
        <v>63</v>
      </c>
      <c r="J991" s="17" t="s">
        <v>71</v>
      </c>
      <c r="K991" s="17" t="s">
        <v>58</v>
      </c>
      <c r="L991" s="18" t="s">
        <v>52</v>
      </c>
      <c r="M991" s="19">
        <v>28.0</v>
      </c>
      <c r="N991" s="19">
        <v>31.0</v>
      </c>
    </row>
    <row r="992">
      <c r="A992" s="12">
        <v>990.0</v>
      </c>
      <c r="B992" s="13" t="s">
        <v>2091</v>
      </c>
      <c r="C992" s="14">
        <v>30.0</v>
      </c>
      <c r="D992" s="15" t="s">
        <v>2487</v>
      </c>
      <c r="E992" s="16" t="s">
        <v>221</v>
      </c>
      <c r="F992" s="13" t="s">
        <v>2567</v>
      </c>
      <c r="G992" s="13" t="s">
        <v>2568</v>
      </c>
      <c r="H992" s="13" t="s">
        <v>2569</v>
      </c>
      <c r="I992" s="13" t="s">
        <v>63</v>
      </c>
      <c r="J992" s="17" t="s">
        <v>71</v>
      </c>
      <c r="K992" s="17" t="s">
        <v>58</v>
      </c>
      <c r="L992" s="18" t="s">
        <v>52</v>
      </c>
      <c r="M992" s="19">
        <v>28.0</v>
      </c>
      <c r="N992" s="19">
        <v>31.0</v>
      </c>
    </row>
    <row r="993">
      <c r="A993" s="12">
        <v>991.0</v>
      </c>
      <c r="B993" s="13" t="s">
        <v>2091</v>
      </c>
      <c r="C993" s="14">
        <v>31.0</v>
      </c>
      <c r="D993" s="15" t="s">
        <v>2487</v>
      </c>
      <c r="E993" s="16" t="s">
        <v>221</v>
      </c>
      <c r="F993" s="13" t="s">
        <v>2570</v>
      </c>
      <c r="G993" s="13" t="s">
        <v>2571</v>
      </c>
      <c r="H993" s="13" t="s">
        <v>2572</v>
      </c>
      <c r="I993" s="13" t="s">
        <v>63</v>
      </c>
      <c r="J993" s="17" t="s">
        <v>71</v>
      </c>
      <c r="K993" s="17" t="s">
        <v>58</v>
      </c>
      <c r="L993" s="18" t="s">
        <v>52</v>
      </c>
      <c r="M993" s="19">
        <v>28.0</v>
      </c>
      <c r="N993" s="19">
        <v>31.0</v>
      </c>
    </row>
    <row r="994">
      <c r="A994" s="12">
        <v>992.0</v>
      </c>
      <c r="B994" s="13" t="s">
        <v>2091</v>
      </c>
      <c r="C994" s="14">
        <v>32.0</v>
      </c>
      <c r="D994" s="15" t="s">
        <v>2487</v>
      </c>
      <c r="E994" s="16" t="s">
        <v>221</v>
      </c>
      <c r="F994" s="13" t="s">
        <v>2573</v>
      </c>
      <c r="G994" s="13" t="s">
        <v>2574</v>
      </c>
      <c r="H994" s="13" t="s">
        <v>2575</v>
      </c>
      <c r="I994" s="13" t="s">
        <v>63</v>
      </c>
      <c r="J994" s="17" t="s">
        <v>71</v>
      </c>
      <c r="K994" s="17" t="s">
        <v>58</v>
      </c>
      <c r="L994" s="18" t="s">
        <v>52</v>
      </c>
      <c r="M994" s="19">
        <v>28.0</v>
      </c>
      <c r="N994" s="19">
        <v>31.0</v>
      </c>
    </row>
    <row r="995">
      <c r="A995" s="12">
        <v>993.0</v>
      </c>
      <c r="B995" s="13" t="s">
        <v>2091</v>
      </c>
      <c r="C995" s="14">
        <v>33.0</v>
      </c>
      <c r="D995" s="15" t="s">
        <v>2487</v>
      </c>
      <c r="E995" s="16" t="s">
        <v>221</v>
      </c>
      <c r="F995" s="13" t="s">
        <v>1839</v>
      </c>
      <c r="G995" s="13" t="s">
        <v>2576</v>
      </c>
      <c r="H995" s="13" t="s">
        <v>2577</v>
      </c>
      <c r="I995" s="13" t="s">
        <v>63</v>
      </c>
      <c r="J995" s="17" t="s">
        <v>71</v>
      </c>
      <c r="K995" s="17" t="s">
        <v>58</v>
      </c>
      <c r="L995" s="18" t="s">
        <v>52</v>
      </c>
      <c r="M995" s="19">
        <v>28.0</v>
      </c>
      <c r="N995" s="19">
        <v>31.0</v>
      </c>
    </row>
    <row r="996">
      <c r="A996" s="12">
        <v>994.0</v>
      </c>
      <c r="B996" s="13" t="s">
        <v>2091</v>
      </c>
      <c r="C996" s="14">
        <v>34.0</v>
      </c>
      <c r="D996" s="15" t="s">
        <v>2487</v>
      </c>
      <c r="E996" s="16" t="s">
        <v>221</v>
      </c>
      <c r="F996" s="13" t="s">
        <v>2013</v>
      </c>
      <c r="G996" s="13" t="s">
        <v>2580</v>
      </c>
      <c r="H996" s="13" t="s">
        <v>2581</v>
      </c>
      <c r="I996" s="13" t="s">
        <v>63</v>
      </c>
      <c r="J996" s="17" t="s">
        <v>71</v>
      </c>
      <c r="K996" s="17" t="s">
        <v>58</v>
      </c>
      <c r="L996" s="18" t="s">
        <v>52</v>
      </c>
      <c r="M996" s="19">
        <v>28.0</v>
      </c>
      <c r="N996" s="19">
        <v>31.0</v>
      </c>
    </row>
    <row r="997">
      <c r="A997" s="12">
        <v>995.0</v>
      </c>
      <c r="B997" s="13" t="s">
        <v>2091</v>
      </c>
      <c r="C997" s="14">
        <v>35.0</v>
      </c>
      <c r="D997" s="15" t="s">
        <v>2487</v>
      </c>
      <c r="E997" s="16" t="s">
        <v>221</v>
      </c>
      <c r="F997" s="13" t="s">
        <v>1946</v>
      </c>
      <c r="G997" s="13" t="s">
        <v>2582</v>
      </c>
      <c r="H997" s="13" t="s">
        <v>2583</v>
      </c>
      <c r="I997" s="13" t="s">
        <v>63</v>
      </c>
      <c r="J997" s="17" t="s">
        <v>71</v>
      </c>
      <c r="K997" s="17" t="s">
        <v>58</v>
      </c>
      <c r="L997" s="18" t="s">
        <v>52</v>
      </c>
      <c r="M997" s="19">
        <v>28.0</v>
      </c>
      <c r="N997" s="19">
        <v>31.0</v>
      </c>
    </row>
    <row r="998">
      <c r="A998" s="12">
        <v>996.0</v>
      </c>
      <c r="B998" s="13" t="s">
        <v>2091</v>
      </c>
      <c r="C998" s="14">
        <v>36.0</v>
      </c>
      <c r="D998" s="15" t="s">
        <v>2487</v>
      </c>
      <c r="E998" s="16" t="s">
        <v>221</v>
      </c>
      <c r="F998" s="13" t="s">
        <v>2585</v>
      </c>
      <c r="G998" s="13" t="s">
        <v>2586</v>
      </c>
      <c r="H998" s="13" t="s">
        <v>2587</v>
      </c>
      <c r="I998" s="13" t="s">
        <v>63</v>
      </c>
      <c r="J998" s="17" t="s">
        <v>71</v>
      </c>
      <c r="K998" s="17" t="s">
        <v>58</v>
      </c>
      <c r="L998" s="18" t="s">
        <v>52</v>
      </c>
      <c r="M998" s="19">
        <v>28.0</v>
      </c>
      <c r="N998" s="19">
        <v>31.0</v>
      </c>
    </row>
    <row r="999">
      <c r="A999" s="12">
        <v>997.0</v>
      </c>
      <c r="B999" s="13" t="s">
        <v>2091</v>
      </c>
      <c r="C999" s="14">
        <v>37.0</v>
      </c>
      <c r="D999" s="15" t="s">
        <v>2487</v>
      </c>
      <c r="E999" s="16" t="s">
        <v>221</v>
      </c>
      <c r="F999" s="13" t="s">
        <v>124</v>
      </c>
      <c r="G999" s="13" t="s">
        <v>2589</v>
      </c>
      <c r="H999" s="13" t="s">
        <v>2590</v>
      </c>
      <c r="I999" s="13" t="s">
        <v>63</v>
      </c>
      <c r="J999" s="17" t="s">
        <v>71</v>
      </c>
      <c r="K999" s="17" t="s">
        <v>58</v>
      </c>
      <c r="L999" s="18" t="s">
        <v>52</v>
      </c>
      <c r="M999" s="19">
        <v>28.0</v>
      </c>
      <c r="N999" s="19">
        <v>31.0</v>
      </c>
    </row>
    <row r="1000">
      <c r="A1000" s="12">
        <v>998.0</v>
      </c>
      <c r="B1000" s="13" t="s">
        <v>2091</v>
      </c>
      <c r="C1000" s="14">
        <v>38.0</v>
      </c>
      <c r="D1000" s="15" t="s">
        <v>2487</v>
      </c>
      <c r="E1000" s="16" t="s">
        <v>221</v>
      </c>
      <c r="F1000" s="13" t="s">
        <v>2591</v>
      </c>
      <c r="G1000" s="13" t="s">
        <v>2592</v>
      </c>
      <c r="H1000" s="13" t="s">
        <v>2594</v>
      </c>
      <c r="I1000" s="13" t="s">
        <v>63</v>
      </c>
      <c r="J1000" s="17" t="s">
        <v>71</v>
      </c>
      <c r="K1000" s="17" t="s">
        <v>58</v>
      </c>
      <c r="L1000" s="18" t="s">
        <v>52</v>
      </c>
      <c r="M1000" s="19">
        <v>28.0</v>
      </c>
      <c r="N1000" s="19">
        <v>31.0</v>
      </c>
    </row>
    <row r="1001">
      <c r="A1001" s="12">
        <v>999.0</v>
      </c>
      <c r="B1001" s="13" t="s">
        <v>2091</v>
      </c>
      <c r="C1001" s="14">
        <v>39.0</v>
      </c>
      <c r="D1001" s="15" t="s">
        <v>2487</v>
      </c>
      <c r="E1001" s="16" t="s">
        <v>221</v>
      </c>
      <c r="F1001" s="13" t="s">
        <v>2595</v>
      </c>
      <c r="G1001" s="13" t="s">
        <v>2596</v>
      </c>
      <c r="H1001" s="13" t="s">
        <v>2597</v>
      </c>
      <c r="I1001" s="13" t="s">
        <v>63</v>
      </c>
      <c r="J1001" s="17" t="s">
        <v>71</v>
      </c>
      <c r="K1001" s="17" t="s">
        <v>58</v>
      </c>
      <c r="L1001" s="18" t="s">
        <v>52</v>
      </c>
      <c r="M1001" s="19">
        <v>28.0</v>
      </c>
      <c r="N1001" s="19">
        <v>31.0</v>
      </c>
    </row>
    <row r="1002">
      <c r="A1002" s="12">
        <v>1000.0</v>
      </c>
      <c r="B1002" s="13" t="s">
        <v>2091</v>
      </c>
      <c r="C1002" s="14">
        <v>40.0</v>
      </c>
      <c r="D1002" s="15" t="s">
        <v>2487</v>
      </c>
      <c r="E1002" s="16" t="s">
        <v>221</v>
      </c>
      <c r="F1002" s="13" t="s">
        <v>1168</v>
      </c>
      <c r="G1002" s="13" t="s">
        <v>2598</v>
      </c>
      <c r="H1002" s="13" t="s">
        <v>2600</v>
      </c>
      <c r="I1002" s="13" t="s">
        <v>63</v>
      </c>
      <c r="J1002" s="17" t="s">
        <v>71</v>
      </c>
      <c r="K1002" s="17" t="s">
        <v>58</v>
      </c>
      <c r="L1002" s="18" t="s">
        <v>52</v>
      </c>
      <c r="M1002" s="19">
        <v>28.0</v>
      </c>
      <c r="N1002" s="19">
        <v>31.0</v>
      </c>
    </row>
    <row r="1003">
      <c r="A1003" s="12">
        <v>1001.0</v>
      </c>
      <c r="B1003" s="13" t="s">
        <v>2091</v>
      </c>
      <c r="C1003" s="14">
        <v>41.0</v>
      </c>
      <c r="D1003" s="15" t="s">
        <v>2487</v>
      </c>
      <c r="E1003" s="16" t="s">
        <v>221</v>
      </c>
      <c r="F1003" s="13" t="s">
        <v>2601</v>
      </c>
      <c r="G1003" s="13" t="s">
        <v>2602</v>
      </c>
      <c r="H1003" s="13" t="s">
        <v>2603</v>
      </c>
      <c r="I1003" s="13" t="s">
        <v>63</v>
      </c>
      <c r="J1003" s="17" t="s">
        <v>71</v>
      </c>
      <c r="K1003" s="17" t="s">
        <v>58</v>
      </c>
      <c r="L1003" s="18" t="s">
        <v>52</v>
      </c>
      <c r="M1003" s="19">
        <v>28.0</v>
      </c>
      <c r="N1003" s="19">
        <v>31.0</v>
      </c>
    </row>
    <row r="1004">
      <c r="A1004" s="12">
        <v>1002.0</v>
      </c>
      <c r="B1004" s="13" t="s">
        <v>2091</v>
      </c>
      <c r="C1004" s="14">
        <v>42.0</v>
      </c>
      <c r="D1004" s="15" t="s">
        <v>2487</v>
      </c>
      <c r="E1004" s="16" t="s">
        <v>221</v>
      </c>
      <c r="F1004" s="13" t="s">
        <v>2605</v>
      </c>
      <c r="G1004" s="13" t="s">
        <v>2607</v>
      </c>
      <c r="H1004" s="13" t="s">
        <v>2608</v>
      </c>
      <c r="I1004" s="13" t="s">
        <v>63</v>
      </c>
      <c r="J1004" s="17" t="s">
        <v>71</v>
      </c>
      <c r="K1004" s="17" t="s">
        <v>58</v>
      </c>
      <c r="L1004" s="18" t="s">
        <v>52</v>
      </c>
      <c r="M1004" s="19">
        <v>28.0</v>
      </c>
      <c r="N1004" s="19">
        <v>31.0</v>
      </c>
    </row>
    <row r="1005">
      <c r="A1005" s="12">
        <v>1003.0</v>
      </c>
      <c r="B1005" s="13" t="s">
        <v>2091</v>
      </c>
      <c r="C1005" s="14">
        <v>43.0</v>
      </c>
      <c r="D1005" s="15" t="s">
        <v>2487</v>
      </c>
      <c r="E1005" s="16" t="s">
        <v>221</v>
      </c>
      <c r="F1005" s="13" t="s">
        <v>2016</v>
      </c>
      <c r="G1005" s="13" t="s">
        <v>2609</v>
      </c>
      <c r="H1005" s="13" t="s">
        <v>2610</v>
      </c>
      <c r="I1005" s="13" t="s">
        <v>63</v>
      </c>
      <c r="J1005" s="17" t="s">
        <v>71</v>
      </c>
      <c r="K1005" s="17" t="s">
        <v>58</v>
      </c>
      <c r="L1005" s="18" t="s">
        <v>52</v>
      </c>
      <c r="M1005" s="19">
        <v>28.0</v>
      </c>
      <c r="N1005" s="19">
        <v>31.0</v>
      </c>
    </row>
    <row r="1006">
      <c r="A1006" s="12">
        <v>1004.0</v>
      </c>
      <c r="B1006" s="13" t="s">
        <v>2091</v>
      </c>
      <c r="C1006" s="14">
        <v>44.0</v>
      </c>
      <c r="D1006" s="15" t="s">
        <v>2487</v>
      </c>
      <c r="E1006" s="16" t="s">
        <v>221</v>
      </c>
      <c r="F1006" s="13" t="s">
        <v>1997</v>
      </c>
      <c r="G1006" s="13" t="s">
        <v>2611</v>
      </c>
      <c r="H1006" s="13" t="s">
        <v>2612</v>
      </c>
      <c r="I1006" s="13" t="s">
        <v>63</v>
      </c>
      <c r="J1006" s="17" t="s">
        <v>71</v>
      </c>
      <c r="K1006" s="17" t="s">
        <v>58</v>
      </c>
      <c r="L1006" s="18" t="s">
        <v>52</v>
      </c>
      <c r="M1006" s="19">
        <v>28.0</v>
      </c>
      <c r="N1006" s="19">
        <v>31.0</v>
      </c>
    </row>
    <row r="1007">
      <c r="A1007" s="12">
        <v>1005.0</v>
      </c>
      <c r="B1007" s="13" t="s">
        <v>2091</v>
      </c>
      <c r="C1007" s="14">
        <v>45.0</v>
      </c>
      <c r="D1007" s="15" t="s">
        <v>2487</v>
      </c>
      <c r="E1007" s="16" t="s">
        <v>221</v>
      </c>
      <c r="F1007" s="13" t="s">
        <v>2614</v>
      </c>
      <c r="G1007" s="13" t="s">
        <v>2615</v>
      </c>
      <c r="H1007" s="13" t="s">
        <v>2616</v>
      </c>
      <c r="I1007" s="13" t="s">
        <v>63</v>
      </c>
      <c r="J1007" s="17" t="s">
        <v>71</v>
      </c>
      <c r="K1007" s="17" t="s">
        <v>58</v>
      </c>
      <c r="L1007" s="18" t="s">
        <v>52</v>
      </c>
      <c r="M1007" s="19">
        <v>28.0</v>
      </c>
      <c r="N1007" s="19">
        <v>31.0</v>
      </c>
    </row>
    <row r="1008">
      <c r="A1008" s="12">
        <v>1006.0</v>
      </c>
      <c r="B1008" s="13" t="s">
        <v>2091</v>
      </c>
      <c r="C1008" s="14">
        <v>46.0</v>
      </c>
      <c r="D1008" s="15" t="s">
        <v>2487</v>
      </c>
      <c r="E1008" s="16" t="s">
        <v>221</v>
      </c>
      <c r="F1008" s="13" t="s">
        <v>2618</v>
      </c>
      <c r="G1008" s="13" t="s">
        <v>2619</v>
      </c>
      <c r="H1008" s="13" t="s">
        <v>2620</v>
      </c>
      <c r="I1008" s="13" t="s">
        <v>63</v>
      </c>
      <c r="J1008" s="17" t="s">
        <v>71</v>
      </c>
      <c r="K1008" s="17" t="s">
        <v>58</v>
      </c>
      <c r="L1008" s="18" t="s">
        <v>52</v>
      </c>
      <c r="M1008" s="19">
        <v>28.0</v>
      </c>
      <c r="N1008" s="19">
        <v>31.0</v>
      </c>
    </row>
    <row r="1009">
      <c r="A1009" s="12">
        <v>1007.0</v>
      </c>
      <c r="B1009" s="13" t="s">
        <v>2091</v>
      </c>
      <c r="C1009" s="14">
        <v>47.0</v>
      </c>
      <c r="D1009" s="15" t="s">
        <v>2487</v>
      </c>
      <c r="E1009" s="16" t="s">
        <v>221</v>
      </c>
      <c r="F1009" s="13" t="s">
        <v>1975</v>
      </c>
      <c r="G1009" s="13" t="s">
        <v>1976</v>
      </c>
      <c r="H1009" s="13" t="s">
        <v>2622</v>
      </c>
      <c r="I1009" s="13" t="s">
        <v>63</v>
      </c>
      <c r="J1009" s="17" t="s">
        <v>71</v>
      </c>
      <c r="K1009" s="17" t="s">
        <v>58</v>
      </c>
      <c r="L1009" s="18" t="s">
        <v>52</v>
      </c>
      <c r="M1009" s="19">
        <v>28.0</v>
      </c>
      <c r="N1009" s="19">
        <v>31.0</v>
      </c>
    </row>
    <row r="1010">
      <c r="A1010" s="12">
        <v>1008.0</v>
      </c>
      <c r="B1010" s="13" t="s">
        <v>2091</v>
      </c>
      <c r="C1010" s="14">
        <v>48.0</v>
      </c>
      <c r="D1010" s="15" t="s">
        <v>2487</v>
      </c>
      <c r="E1010" s="16" t="s">
        <v>221</v>
      </c>
      <c r="F1010" s="13" t="s">
        <v>836</v>
      </c>
      <c r="G1010" s="13" t="s">
        <v>2175</v>
      </c>
      <c r="H1010" s="13" t="s">
        <v>2177</v>
      </c>
      <c r="I1010" s="13" t="s">
        <v>63</v>
      </c>
      <c r="J1010" s="17" t="s">
        <v>71</v>
      </c>
      <c r="K1010" s="17" t="s">
        <v>58</v>
      </c>
      <c r="L1010" s="18" t="s">
        <v>52</v>
      </c>
      <c r="M1010" s="19">
        <v>28.0</v>
      </c>
      <c r="N1010" s="19">
        <v>31.0</v>
      </c>
    </row>
    <row r="1011">
      <c r="A1011" s="12">
        <v>1009.0</v>
      </c>
      <c r="B1011" s="13" t="s">
        <v>2091</v>
      </c>
      <c r="C1011" s="14">
        <v>49.0</v>
      </c>
      <c r="D1011" s="15" t="s">
        <v>2487</v>
      </c>
      <c r="E1011" s="16" t="s">
        <v>221</v>
      </c>
      <c r="F1011" s="13" t="s">
        <v>2466</v>
      </c>
      <c r="G1011" s="13" t="s">
        <v>2623</v>
      </c>
      <c r="H1011" s="13" t="s">
        <v>2624</v>
      </c>
      <c r="I1011" s="13" t="s">
        <v>63</v>
      </c>
      <c r="J1011" s="17" t="s">
        <v>71</v>
      </c>
      <c r="K1011" s="17" t="s">
        <v>58</v>
      </c>
      <c r="L1011" s="18" t="s">
        <v>52</v>
      </c>
      <c r="M1011" s="19">
        <v>28.0</v>
      </c>
      <c r="N1011" s="19">
        <v>31.0</v>
      </c>
    </row>
    <row r="1012">
      <c r="A1012" s="12">
        <v>1010.0</v>
      </c>
      <c r="B1012" s="13" t="s">
        <v>2091</v>
      </c>
      <c r="C1012" s="14">
        <v>50.0</v>
      </c>
      <c r="D1012" s="15" t="s">
        <v>2487</v>
      </c>
      <c r="E1012" s="16" t="s">
        <v>221</v>
      </c>
      <c r="F1012" s="13" t="s">
        <v>2625</v>
      </c>
      <c r="G1012" s="13" t="s">
        <v>2626</v>
      </c>
      <c r="H1012" s="13" t="s">
        <v>2627</v>
      </c>
      <c r="I1012" s="13" t="s">
        <v>63</v>
      </c>
      <c r="J1012" s="17" t="s">
        <v>71</v>
      </c>
      <c r="K1012" s="17" t="s">
        <v>58</v>
      </c>
      <c r="L1012" s="18" t="s">
        <v>52</v>
      </c>
      <c r="M1012" s="19">
        <v>28.0</v>
      </c>
      <c r="N1012" s="19">
        <v>31.0</v>
      </c>
    </row>
    <row r="1013">
      <c r="A1013" s="12">
        <v>1011.0</v>
      </c>
      <c r="B1013" s="13" t="s">
        <v>2091</v>
      </c>
      <c r="C1013" s="14">
        <v>51.0</v>
      </c>
      <c r="D1013" s="15" t="s">
        <v>2487</v>
      </c>
      <c r="E1013" s="16" t="s">
        <v>221</v>
      </c>
      <c r="F1013" s="13" t="s">
        <v>2628</v>
      </c>
      <c r="G1013" s="13" t="s">
        <v>2629</v>
      </c>
      <c r="H1013" s="13" t="s">
        <v>2630</v>
      </c>
      <c r="I1013" s="13" t="s">
        <v>63</v>
      </c>
      <c r="J1013" s="17" t="s">
        <v>71</v>
      </c>
      <c r="K1013" s="17" t="s">
        <v>58</v>
      </c>
      <c r="L1013" s="18" t="s">
        <v>52</v>
      </c>
      <c r="M1013" s="19">
        <v>28.0</v>
      </c>
      <c r="N1013" s="19">
        <v>31.0</v>
      </c>
    </row>
    <row r="1014">
      <c r="A1014" s="12">
        <v>1012.0</v>
      </c>
      <c r="B1014" s="13" t="s">
        <v>2091</v>
      </c>
      <c r="C1014" s="14">
        <v>52.0</v>
      </c>
      <c r="D1014" s="15" t="s">
        <v>2487</v>
      </c>
      <c r="E1014" s="16" t="s">
        <v>221</v>
      </c>
      <c r="F1014" s="13" t="s">
        <v>2631</v>
      </c>
      <c r="G1014" s="13" t="s">
        <v>2632</v>
      </c>
      <c r="H1014" s="13" t="s">
        <v>2633</v>
      </c>
      <c r="I1014" s="13" t="s">
        <v>63</v>
      </c>
      <c r="J1014" s="17" t="s">
        <v>71</v>
      </c>
      <c r="K1014" s="17" t="s">
        <v>58</v>
      </c>
      <c r="L1014" s="18" t="s">
        <v>52</v>
      </c>
      <c r="M1014" s="19">
        <v>28.0</v>
      </c>
      <c r="N1014" s="19">
        <v>31.0</v>
      </c>
    </row>
    <row r="1015">
      <c r="A1015" s="12">
        <v>1013.0</v>
      </c>
      <c r="B1015" s="13" t="s">
        <v>2091</v>
      </c>
      <c r="C1015" s="14">
        <v>53.0</v>
      </c>
      <c r="D1015" s="15" t="s">
        <v>2487</v>
      </c>
      <c r="E1015" s="16" t="s">
        <v>221</v>
      </c>
      <c r="F1015" s="13" t="s">
        <v>2634</v>
      </c>
      <c r="G1015" s="13" t="s">
        <v>2635</v>
      </c>
      <c r="H1015" s="13" t="s">
        <v>2636</v>
      </c>
      <c r="I1015" s="13" t="s">
        <v>63</v>
      </c>
      <c r="J1015" s="17" t="s">
        <v>71</v>
      </c>
      <c r="K1015" s="17" t="s">
        <v>58</v>
      </c>
      <c r="L1015" s="18" t="s">
        <v>52</v>
      </c>
      <c r="M1015" s="19">
        <v>28.0</v>
      </c>
      <c r="N1015" s="19">
        <v>31.0</v>
      </c>
    </row>
    <row r="1016">
      <c r="A1016" s="12">
        <v>1014.0</v>
      </c>
      <c r="B1016" s="13" t="s">
        <v>2091</v>
      </c>
      <c r="C1016" s="14">
        <v>54.0</v>
      </c>
      <c r="D1016" s="15" t="s">
        <v>2487</v>
      </c>
      <c r="E1016" s="16" t="s">
        <v>221</v>
      </c>
      <c r="F1016" s="13" t="s">
        <v>1719</v>
      </c>
      <c r="G1016" s="13" t="s">
        <v>2637</v>
      </c>
      <c r="H1016" s="13" t="s">
        <v>2638</v>
      </c>
      <c r="I1016" s="13" t="s">
        <v>63</v>
      </c>
      <c r="J1016" s="17" t="s">
        <v>71</v>
      </c>
      <c r="K1016" s="17" t="s">
        <v>58</v>
      </c>
      <c r="L1016" s="18" t="s">
        <v>52</v>
      </c>
      <c r="M1016" s="19">
        <v>28.0</v>
      </c>
      <c r="N1016" s="19">
        <v>31.0</v>
      </c>
    </row>
    <row r="1017">
      <c r="A1017" s="12">
        <v>1015.0</v>
      </c>
      <c r="B1017" s="13" t="s">
        <v>2091</v>
      </c>
      <c r="C1017" s="14">
        <v>55.0</v>
      </c>
      <c r="D1017" s="15" t="s">
        <v>2487</v>
      </c>
      <c r="E1017" s="16" t="s">
        <v>221</v>
      </c>
      <c r="F1017" s="13" t="s">
        <v>1171</v>
      </c>
      <c r="G1017" s="13" t="s">
        <v>1172</v>
      </c>
      <c r="H1017" s="13" t="s">
        <v>2639</v>
      </c>
      <c r="I1017" s="13" t="s">
        <v>63</v>
      </c>
      <c r="J1017" s="17" t="s">
        <v>71</v>
      </c>
      <c r="K1017" s="17" t="s">
        <v>58</v>
      </c>
      <c r="L1017" s="18" t="s">
        <v>52</v>
      </c>
      <c r="M1017" s="19">
        <v>28.0</v>
      </c>
      <c r="N1017" s="19">
        <v>31.0</v>
      </c>
    </row>
    <row r="1018">
      <c r="A1018" s="12">
        <v>1016.0</v>
      </c>
      <c r="B1018" s="13" t="s">
        <v>2091</v>
      </c>
      <c r="C1018" s="14">
        <v>56.0</v>
      </c>
      <c r="D1018" s="15" t="s">
        <v>2487</v>
      </c>
      <c r="E1018" s="16" t="s">
        <v>221</v>
      </c>
      <c r="F1018" s="13" t="s">
        <v>1643</v>
      </c>
      <c r="G1018" s="13" t="s">
        <v>2640</v>
      </c>
      <c r="H1018" s="13" t="s">
        <v>2641</v>
      </c>
      <c r="I1018" s="13" t="s">
        <v>63</v>
      </c>
      <c r="J1018" s="17" t="s">
        <v>71</v>
      </c>
      <c r="K1018" s="17" t="s">
        <v>58</v>
      </c>
      <c r="L1018" s="18" t="s">
        <v>52</v>
      </c>
      <c r="M1018" s="19">
        <v>28.0</v>
      </c>
      <c r="N1018" s="19">
        <v>31.0</v>
      </c>
    </row>
    <row r="1019">
      <c r="A1019" s="12">
        <v>1017.0</v>
      </c>
      <c r="B1019" s="13" t="s">
        <v>2091</v>
      </c>
      <c r="C1019" s="14">
        <v>57.0</v>
      </c>
      <c r="D1019" s="15" t="s">
        <v>2487</v>
      </c>
      <c r="E1019" s="16" t="s">
        <v>221</v>
      </c>
      <c r="F1019" s="13" t="s">
        <v>2643</v>
      </c>
      <c r="G1019" s="13" t="s">
        <v>2644</v>
      </c>
      <c r="H1019" s="13" t="s">
        <v>2646</v>
      </c>
      <c r="I1019" s="13" t="s">
        <v>63</v>
      </c>
      <c r="J1019" s="17" t="s">
        <v>71</v>
      </c>
      <c r="K1019" s="17" t="s">
        <v>58</v>
      </c>
      <c r="L1019" s="18" t="s">
        <v>52</v>
      </c>
      <c r="M1019" s="19">
        <v>28.0</v>
      </c>
      <c r="N1019" s="19">
        <v>31.0</v>
      </c>
    </row>
    <row r="1020">
      <c r="A1020" s="12">
        <v>1018.0</v>
      </c>
      <c r="B1020" s="13" t="s">
        <v>2091</v>
      </c>
      <c r="C1020" s="14">
        <v>58.0</v>
      </c>
      <c r="D1020" s="15" t="s">
        <v>2487</v>
      </c>
      <c r="E1020" s="16" t="s">
        <v>221</v>
      </c>
      <c r="F1020" s="13" t="s">
        <v>150</v>
      </c>
      <c r="G1020" s="13" t="s">
        <v>2647</v>
      </c>
      <c r="H1020" s="13" t="s">
        <v>2648</v>
      </c>
      <c r="I1020" s="13" t="s">
        <v>63</v>
      </c>
      <c r="J1020" s="17" t="s">
        <v>71</v>
      </c>
      <c r="K1020" s="17" t="s">
        <v>58</v>
      </c>
      <c r="L1020" s="18" t="s">
        <v>52</v>
      </c>
      <c r="M1020" s="19">
        <v>28.0</v>
      </c>
      <c r="N1020" s="19">
        <v>31.0</v>
      </c>
    </row>
    <row r="1021">
      <c r="A1021" s="12">
        <v>1019.0</v>
      </c>
      <c r="B1021" s="13" t="s">
        <v>2091</v>
      </c>
      <c r="C1021" s="14">
        <v>59.0</v>
      </c>
      <c r="D1021" s="15" t="s">
        <v>2487</v>
      </c>
      <c r="E1021" s="16" t="s">
        <v>221</v>
      </c>
      <c r="F1021" s="13" t="s">
        <v>1860</v>
      </c>
      <c r="G1021" s="13" t="s">
        <v>2649</v>
      </c>
      <c r="H1021" s="13" t="s">
        <v>2650</v>
      </c>
      <c r="I1021" s="13" t="s">
        <v>63</v>
      </c>
      <c r="J1021" s="17" t="s">
        <v>71</v>
      </c>
      <c r="K1021" s="17" t="s">
        <v>58</v>
      </c>
      <c r="L1021" s="18" t="s">
        <v>52</v>
      </c>
      <c r="M1021" s="19">
        <v>28.0</v>
      </c>
      <c r="N1021" s="19">
        <v>31.0</v>
      </c>
    </row>
    <row r="1022">
      <c r="A1022" s="12">
        <v>1020.0</v>
      </c>
      <c r="B1022" s="13" t="s">
        <v>2091</v>
      </c>
      <c r="C1022" s="14">
        <v>60.0</v>
      </c>
      <c r="D1022" s="15" t="s">
        <v>2487</v>
      </c>
      <c r="E1022" s="16" t="s">
        <v>221</v>
      </c>
      <c r="F1022" s="13" t="s">
        <v>1735</v>
      </c>
      <c r="G1022" s="13" t="s">
        <v>2651</v>
      </c>
      <c r="H1022" s="13" t="s">
        <v>2652</v>
      </c>
      <c r="I1022" s="13" t="s">
        <v>63</v>
      </c>
      <c r="J1022" s="17" t="s">
        <v>71</v>
      </c>
      <c r="K1022" s="17" t="s">
        <v>58</v>
      </c>
      <c r="L1022" s="18" t="s">
        <v>52</v>
      </c>
      <c r="M1022" s="19">
        <v>28.0</v>
      </c>
      <c r="N1022" s="19">
        <v>31.0</v>
      </c>
    </row>
    <row r="1023">
      <c r="A1023" s="12">
        <v>1021.0</v>
      </c>
      <c r="B1023" s="13" t="s">
        <v>2091</v>
      </c>
      <c r="C1023" s="14">
        <v>61.0</v>
      </c>
      <c r="D1023" s="15" t="s">
        <v>2487</v>
      </c>
      <c r="E1023" s="16" t="s">
        <v>221</v>
      </c>
      <c r="F1023" s="13" t="s">
        <v>423</v>
      </c>
      <c r="G1023" s="13" t="s">
        <v>2653</v>
      </c>
      <c r="H1023" s="13" t="s">
        <v>2654</v>
      </c>
      <c r="I1023" s="13" t="s">
        <v>63</v>
      </c>
      <c r="J1023" s="17" t="s">
        <v>71</v>
      </c>
      <c r="K1023" s="17" t="s">
        <v>58</v>
      </c>
      <c r="L1023" s="18" t="s">
        <v>52</v>
      </c>
      <c r="M1023" s="19">
        <v>28.0</v>
      </c>
      <c r="N1023" s="19">
        <v>31.0</v>
      </c>
    </row>
    <row r="1024">
      <c r="A1024" s="12">
        <v>1022.0</v>
      </c>
      <c r="B1024" s="13" t="s">
        <v>2091</v>
      </c>
      <c r="C1024" s="14">
        <v>62.0</v>
      </c>
      <c r="D1024" s="15" t="s">
        <v>2487</v>
      </c>
      <c r="E1024" s="16" t="s">
        <v>221</v>
      </c>
      <c r="F1024" s="13" t="s">
        <v>1693</v>
      </c>
      <c r="G1024" s="13" t="s">
        <v>2655</v>
      </c>
      <c r="H1024" s="13" t="s">
        <v>2656</v>
      </c>
      <c r="I1024" s="13" t="s">
        <v>63</v>
      </c>
      <c r="J1024" s="17" t="s">
        <v>71</v>
      </c>
      <c r="K1024" s="17" t="s">
        <v>58</v>
      </c>
      <c r="L1024" s="18" t="s">
        <v>52</v>
      </c>
      <c r="M1024" s="19">
        <v>28.0</v>
      </c>
      <c r="N1024" s="19">
        <v>31.0</v>
      </c>
    </row>
    <row r="1025">
      <c r="A1025" s="12">
        <v>1023.0</v>
      </c>
      <c r="B1025" s="13" t="s">
        <v>2091</v>
      </c>
      <c r="C1025" s="14">
        <v>63.0</v>
      </c>
      <c r="D1025" s="15" t="s">
        <v>2487</v>
      </c>
      <c r="E1025" s="16" t="s">
        <v>221</v>
      </c>
      <c r="F1025" s="13" t="s">
        <v>2657</v>
      </c>
      <c r="G1025" s="13" t="s">
        <v>2658</v>
      </c>
      <c r="H1025" s="13" t="s">
        <v>2659</v>
      </c>
      <c r="I1025" s="13" t="s">
        <v>63</v>
      </c>
      <c r="J1025" s="17" t="s">
        <v>71</v>
      </c>
      <c r="K1025" s="17" t="s">
        <v>58</v>
      </c>
      <c r="L1025" s="18" t="s">
        <v>52</v>
      </c>
      <c r="M1025" s="19">
        <v>28.0</v>
      </c>
      <c r="N1025" s="19">
        <v>31.0</v>
      </c>
    </row>
    <row r="1026">
      <c r="A1026" s="12">
        <v>1024.0</v>
      </c>
      <c r="B1026" s="13" t="s">
        <v>2091</v>
      </c>
      <c r="C1026" s="14">
        <v>64.0</v>
      </c>
      <c r="D1026" s="15" t="s">
        <v>2487</v>
      </c>
      <c r="E1026" s="16" t="s">
        <v>221</v>
      </c>
      <c r="F1026" s="13" t="s">
        <v>1309</v>
      </c>
      <c r="G1026" s="13" t="s">
        <v>2660</v>
      </c>
      <c r="H1026" s="13" t="s">
        <v>2661</v>
      </c>
      <c r="I1026" s="13" t="s">
        <v>63</v>
      </c>
      <c r="J1026" s="17" t="s">
        <v>71</v>
      </c>
      <c r="K1026" s="17" t="s">
        <v>58</v>
      </c>
      <c r="L1026" s="18" t="s">
        <v>52</v>
      </c>
      <c r="M1026" s="19">
        <v>28.0</v>
      </c>
      <c r="N1026" s="19">
        <v>31.0</v>
      </c>
    </row>
    <row r="1027">
      <c r="A1027" s="12">
        <v>1025.0</v>
      </c>
      <c r="B1027" s="13" t="s">
        <v>2091</v>
      </c>
      <c r="C1027" s="14">
        <v>65.0</v>
      </c>
      <c r="D1027" s="15" t="s">
        <v>2487</v>
      </c>
      <c r="E1027" s="16" t="s">
        <v>221</v>
      </c>
      <c r="F1027" s="13" t="s">
        <v>716</v>
      </c>
      <c r="G1027" s="13" t="s">
        <v>1003</v>
      </c>
      <c r="H1027" s="13" t="s">
        <v>2662</v>
      </c>
      <c r="I1027" s="13" t="s">
        <v>63</v>
      </c>
      <c r="J1027" s="17" t="s">
        <v>71</v>
      </c>
      <c r="K1027" s="17" t="s">
        <v>58</v>
      </c>
      <c r="L1027" s="18" t="s">
        <v>52</v>
      </c>
      <c r="M1027" s="19">
        <v>28.0</v>
      </c>
      <c r="N1027" s="19">
        <v>31.0</v>
      </c>
    </row>
    <row r="1028">
      <c r="A1028" s="12">
        <v>1026.0</v>
      </c>
      <c r="B1028" s="13" t="s">
        <v>2091</v>
      </c>
      <c r="C1028" s="14">
        <v>66.0</v>
      </c>
      <c r="D1028" s="15" t="s">
        <v>2487</v>
      </c>
      <c r="E1028" s="16" t="s">
        <v>221</v>
      </c>
      <c r="F1028" s="13" t="s">
        <v>2663</v>
      </c>
      <c r="G1028" s="13" t="s">
        <v>2664</v>
      </c>
      <c r="H1028" s="13" t="s">
        <v>2665</v>
      </c>
      <c r="I1028" s="13" t="s">
        <v>63</v>
      </c>
      <c r="J1028" s="17" t="s">
        <v>71</v>
      </c>
      <c r="K1028" s="17" t="s">
        <v>58</v>
      </c>
      <c r="L1028" s="18" t="s">
        <v>52</v>
      </c>
      <c r="M1028" s="19">
        <v>28.0</v>
      </c>
      <c r="N1028" s="19">
        <v>31.0</v>
      </c>
    </row>
    <row r="1029">
      <c r="A1029" s="12">
        <v>1027.0</v>
      </c>
      <c r="B1029" s="13" t="s">
        <v>2091</v>
      </c>
      <c r="C1029" s="14">
        <v>67.0</v>
      </c>
      <c r="D1029" s="15" t="s">
        <v>2487</v>
      </c>
      <c r="E1029" s="16" t="s">
        <v>221</v>
      </c>
      <c r="F1029" s="13" t="s">
        <v>2666</v>
      </c>
      <c r="G1029" s="13" t="s">
        <v>2667</v>
      </c>
      <c r="H1029" s="13" t="s">
        <v>2668</v>
      </c>
      <c r="I1029" s="13" t="s">
        <v>63</v>
      </c>
      <c r="J1029" s="17" t="s">
        <v>71</v>
      </c>
      <c r="K1029" s="17" t="s">
        <v>58</v>
      </c>
      <c r="L1029" s="18" t="s">
        <v>52</v>
      </c>
      <c r="M1029" s="19">
        <v>28.0</v>
      </c>
      <c r="N1029" s="19">
        <v>31.0</v>
      </c>
    </row>
    <row r="1030">
      <c r="A1030" s="12">
        <v>1028.0</v>
      </c>
      <c r="B1030" s="13" t="s">
        <v>2091</v>
      </c>
      <c r="C1030" s="14">
        <v>68.0</v>
      </c>
      <c r="D1030" s="15" t="s">
        <v>2487</v>
      </c>
      <c r="E1030" s="16" t="s">
        <v>221</v>
      </c>
      <c r="F1030" s="13" t="s">
        <v>1139</v>
      </c>
      <c r="G1030" s="13" t="s">
        <v>2249</v>
      </c>
      <c r="H1030" s="13" t="s">
        <v>2669</v>
      </c>
      <c r="I1030" s="13" t="s">
        <v>63</v>
      </c>
      <c r="J1030" s="17" t="s">
        <v>71</v>
      </c>
      <c r="K1030" s="17" t="s">
        <v>58</v>
      </c>
      <c r="L1030" s="18" t="s">
        <v>52</v>
      </c>
      <c r="M1030" s="19">
        <v>28.0</v>
      </c>
      <c r="N1030" s="19">
        <v>31.0</v>
      </c>
    </row>
    <row r="1031">
      <c r="A1031" s="12">
        <v>1029.0</v>
      </c>
      <c r="B1031" s="13" t="s">
        <v>2091</v>
      </c>
      <c r="C1031" s="14">
        <v>69.0</v>
      </c>
      <c r="D1031" s="15" t="s">
        <v>2487</v>
      </c>
      <c r="E1031" s="16" t="s">
        <v>221</v>
      </c>
      <c r="F1031" s="13" t="s">
        <v>2359</v>
      </c>
      <c r="G1031" s="13" t="s">
        <v>2671</v>
      </c>
      <c r="H1031" s="13" t="s">
        <v>2672</v>
      </c>
      <c r="I1031" s="13" t="s">
        <v>63</v>
      </c>
      <c r="J1031" s="17" t="s">
        <v>71</v>
      </c>
      <c r="K1031" s="17" t="s">
        <v>58</v>
      </c>
      <c r="L1031" s="18" t="s">
        <v>52</v>
      </c>
      <c r="M1031" s="19">
        <v>28.0</v>
      </c>
      <c r="N1031" s="19">
        <v>31.0</v>
      </c>
    </row>
    <row r="1032">
      <c r="A1032" s="12">
        <v>1030.0</v>
      </c>
      <c r="B1032" s="13" t="s">
        <v>2091</v>
      </c>
      <c r="C1032" s="14">
        <v>70.0</v>
      </c>
      <c r="D1032" s="15" t="s">
        <v>2487</v>
      </c>
      <c r="E1032" s="16" t="s">
        <v>221</v>
      </c>
      <c r="F1032" s="13" t="s">
        <v>2452</v>
      </c>
      <c r="G1032" s="13" t="s">
        <v>2674</v>
      </c>
      <c r="H1032" s="13" t="s">
        <v>2675</v>
      </c>
      <c r="I1032" s="13" t="s">
        <v>63</v>
      </c>
      <c r="J1032" s="17" t="s">
        <v>71</v>
      </c>
      <c r="K1032" s="17" t="s">
        <v>58</v>
      </c>
      <c r="L1032" s="18" t="s">
        <v>52</v>
      </c>
      <c r="M1032" s="19">
        <v>28.0</v>
      </c>
      <c r="N1032" s="19">
        <v>31.0</v>
      </c>
    </row>
    <row r="1033">
      <c r="A1033" s="12">
        <v>1031.0</v>
      </c>
      <c r="B1033" s="13" t="s">
        <v>2091</v>
      </c>
      <c r="C1033" s="14">
        <v>71.0</v>
      </c>
      <c r="D1033" s="15" t="s">
        <v>2487</v>
      </c>
      <c r="E1033" s="16" t="s">
        <v>221</v>
      </c>
      <c r="F1033" s="13" t="s">
        <v>1338</v>
      </c>
      <c r="G1033" s="13" t="s">
        <v>2677</v>
      </c>
      <c r="H1033" s="13" t="s">
        <v>2678</v>
      </c>
      <c r="I1033" s="13" t="s">
        <v>63</v>
      </c>
      <c r="J1033" s="17" t="s">
        <v>71</v>
      </c>
      <c r="K1033" s="17" t="s">
        <v>58</v>
      </c>
      <c r="L1033" s="18" t="s">
        <v>52</v>
      </c>
      <c r="M1033" s="19">
        <v>28.0</v>
      </c>
      <c r="N1033" s="19">
        <v>31.0</v>
      </c>
    </row>
    <row r="1034">
      <c r="A1034" s="12">
        <v>1032.0</v>
      </c>
      <c r="B1034" s="13" t="s">
        <v>2091</v>
      </c>
      <c r="C1034" s="14">
        <v>72.0</v>
      </c>
      <c r="D1034" s="15" t="s">
        <v>2487</v>
      </c>
      <c r="E1034" s="16" t="s">
        <v>221</v>
      </c>
      <c r="F1034" s="13" t="s">
        <v>2680</v>
      </c>
      <c r="G1034" s="13" t="s">
        <v>2681</v>
      </c>
      <c r="H1034" s="13" t="s">
        <v>2682</v>
      </c>
      <c r="I1034" s="13" t="s">
        <v>63</v>
      </c>
      <c r="J1034" s="17" t="s">
        <v>71</v>
      </c>
      <c r="K1034" s="17" t="s">
        <v>58</v>
      </c>
      <c r="L1034" s="18" t="s">
        <v>52</v>
      </c>
      <c r="M1034" s="19">
        <v>28.0</v>
      </c>
      <c r="N1034" s="19">
        <v>31.0</v>
      </c>
    </row>
    <row r="1035">
      <c r="A1035" s="12">
        <v>1033.0</v>
      </c>
      <c r="B1035" s="13" t="s">
        <v>2091</v>
      </c>
      <c r="C1035" s="14">
        <v>73.0</v>
      </c>
      <c r="D1035" s="15" t="s">
        <v>2487</v>
      </c>
      <c r="E1035" s="16" t="s">
        <v>221</v>
      </c>
      <c r="F1035" s="13" t="s">
        <v>2322</v>
      </c>
      <c r="G1035" s="13" t="s">
        <v>2684</v>
      </c>
      <c r="H1035" s="13" t="s">
        <v>2685</v>
      </c>
      <c r="I1035" s="13" t="s">
        <v>63</v>
      </c>
      <c r="J1035" s="17" t="s">
        <v>71</v>
      </c>
      <c r="K1035" s="17" t="s">
        <v>58</v>
      </c>
      <c r="L1035" s="18" t="s">
        <v>52</v>
      </c>
      <c r="M1035" s="19">
        <v>28.0</v>
      </c>
      <c r="N1035" s="19">
        <v>31.0</v>
      </c>
    </row>
    <row r="1036">
      <c r="A1036" s="12">
        <v>1034.0</v>
      </c>
      <c r="B1036" s="13" t="s">
        <v>2091</v>
      </c>
      <c r="C1036" s="14">
        <v>74.0</v>
      </c>
      <c r="D1036" s="15" t="s">
        <v>2487</v>
      </c>
      <c r="E1036" s="16" t="s">
        <v>221</v>
      </c>
      <c r="F1036" s="13" t="s">
        <v>2686</v>
      </c>
      <c r="G1036" s="13" t="s">
        <v>2687</v>
      </c>
      <c r="H1036" s="13" t="s">
        <v>2688</v>
      </c>
      <c r="I1036" s="13" t="s">
        <v>63</v>
      </c>
      <c r="J1036" s="17" t="s">
        <v>71</v>
      </c>
      <c r="K1036" s="17" t="s">
        <v>58</v>
      </c>
      <c r="L1036" s="18" t="s">
        <v>52</v>
      </c>
      <c r="M1036" s="19">
        <v>28.0</v>
      </c>
      <c r="N1036" s="19">
        <v>31.0</v>
      </c>
    </row>
    <row r="1037">
      <c r="A1037" s="12">
        <v>1035.0</v>
      </c>
      <c r="B1037" s="13" t="s">
        <v>2091</v>
      </c>
      <c r="C1037" s="14">
        <v>75.0</v>
      </c>
      <c r="D1037" s="15" t="s">
        <v>2487</v>
      </c>
      <c r="E1037" s="16" t="s">
        <v>221</v>
      </c>
      <c r="F1037" s="13" t="s">
        <v>2690</v>
      </c>
      <c r="G1037" s="13" t="s">
        <v>2691</v>
      </c>
      <c r="H1037" s="13" t="s">
        <v>2692</v>
      </c>
      <c r="I1037" s="13" t="s">
        <v>63</v>
      </c>
      <c r="J1037" s="17" t="s">
        <v>71</v>
      </c>
      <c r="K1037" s="17" t="s">
        <v>58</v>
      </c>
      <c r="L1037" s="18" t="s">
        <v>52</v>
      </c>
      <c r="M1037" s="19">
        <v>28.0</v>
      </c>
      <c r="N1037" s="19">
        <v>31.0</v>
      </c>
    </row>
    <row r="1038">
      <c r="A1038" s="12">
        <v>1036.0</v>
      </c>
      <c r="B1038" s="13" t="s">
        <v>2091</v>
      </c>
      <c r="C1038" s="14">
        <v>76.0</v>
      </c>
      <c r="D1038" s="15" t="s">
        <v>2487</v>
      </c>
      <c r="E1038" s="16" t="s">
        <v>221</v>
      </c>
      <c r="F1038" s="13" t="s">
        <v>2693</v>
      </c>
      <c r="G1038" s="13" t="s">
        <v>2694</v>
      </c>
      <c r="H1038" s="13" t="s">
        <v>2695</v>
      </c>
      <c r="I1038" s="13" t="s">
        <v>63</v>
      </c>
      <c r="J1038" s="17" t="s">
        <v>71</v>
      </c>
      <c r="K1038" s="17" t="s">
        <v>58</v>
      </c>
      <c r="L1038" s="18" t="s">
        <v>52</v>
      </c>
      <c r="M1038" s="19">
        <v>28.0</v>
      </c>
      <c r="N1038" s="19">
        <v>31.0</v>
      </c>
    </row>
    <row r="1039">
      <c r="A1039" s="12">
        <v>1037.0</v>
      </c>
      <c r="B1039" s="13" t="s">
        <v>2091</v>
      </c>
      <c r="C1039" s="14">
        <v>77.0</v>
      </c>
      <c r="D1039" s="15" t="s">
        <v>2487</v>
      </c>
      <c r="E1039" s="16" t="s">
        <v>221</v>
      </c>
      <c r="F1039" s="13" t="s">
        <v>1843</v>
      </c>
      <c r="G1039" s="13" t="s">
        <v>2696</v>
      </c>
      <c r="H1039" s="13" t="s">
        <v>2697</v>
      </c>
      <c r="I1039" s="13" t="s">
        <v>63</v>
      </c>
      <c r="J1039" s="17" t="s">
        <v>71</v>
      </c>
      <c r="K1039" s="17" t="s">
        <v>58</v>
      </c>
      <c r="L1039" s="18" t="s">
        <v>52</v>
      </c>
      <c r="M1039" s="19">
        <v>28.0</v>
      </c>
      <c r="N1039" s="19">
        <v>31.0</v>
      </c>
    </row>
    <row r="1040">
      <c r="A1040" s="12">
        <v>1038.0</v>
      </c>
      <c r="B1040" s="13" t="s">
        <v>2091</v>
      </c>
      <c r="C1040" s="14">
        <v>78.0</v>
      </c>
      <c r="D1040" s="15" t="s">
        <v>2487</v>
      </c>
      <c r="E1040" s="16" t="s">
        <v>221</v>
      </c>
      <c r="F1040" s="13" t="s">
        <v>2698</v>
      </c>
      <c r="G1040" s="13" t="s">
        <v>2699</v>
      </c>
      <c r="H1040" s="13" t="s">
        <v>2700</v>
      </c>
      <c r="I1040" s="13" t="s">
        <v>63</v>
      </c>
      <c r="J1040" s="17" t="s">
        <v>71</v>
      </c>
      <c r="K1040" s="17" t="s">
        <v>58</v>
      </c>
      <c r="L1040" s="18" t="s">
        <v>52</v>
      </c>
      <c r="M1040" s="19">
        <v>28.0</v>
      </c>
      <c r="N1040" s="19">
        <v>31.0</v>
      </c>
    </row>
    <row r="1041">
      <c r="A1041" s="12">
        <v>1039.0</v>
      </c>
      <c r="B1041" s="13" t="s">
        <v>2091</v>
      </c>
      <c r="C1041" s="14">
        <v>79.0</v>
      </c>
      <c r="D1041" s="15" t="s">
        <v>2487</v>
      </c>
      <c r="E1041" s="16" t="s">
        <v>221</v>
      </c>
      <c r="F1041" s="13" t="s">
        <v>2362</v>
      </c>
      <c r="G1041" s="13" t="s">
        <v>2702</v>
      </c>
      <c r="H1041" s="13" t="s">
        <v>2703</v>
      </c>
      <c r="I1041" s="13" t="s">
        <v>63</v>
      </c>
      <c r="J1041" s="17" t="s">
        <v>71</v>
      </c>
      <c r="K1041" s="17" t="s">
        <v>58</v>
      </c>
      <c r="L1041" s="18" t="s">
        <v>52</v>
      </c>
      <c r="M1041" s="19">
        <v>28.0</v>
      </c>
      <c r="N1041" s="19">
        <v>31.0</v>
      </c>
    </row>
    <row r="1042">
      <c r="A1042" s="12">
        <v>1040.0</v>
      </c>
      <c r="B1042" s="13" t="s">
        <v>2091</v>
      </c>
      <c r="C1042" s="14">
        <v>80.0</v>
      </c>
      <c r="D1042" s="15" t="s">
        <v>2487</v>
      </c>
      <c r="E1042" s="16" t="s">
        <v>221</v>
      </c>
      <c r="F1042" s="13" t="s">
        <v>1174</v>
      </c>
      <c r="G1042" s="13" t="s">
        <v>2704</v>
      </c>
      <c r="H1042" s="13" t="s">
        <v>2705</v>
      </c>
      <c r="I1042" s="13" t="s">
        <v>63</v>
      </c>
      <c r="J1042" s="17" t="s">
        <v>71</v>
      </c>
      <c r="K1042" s="17" t="s">
        <v>58</v>
      </c>
      <c r="L1042" s="18" t="s">
        <v>52</v>
      </c>
      <c r="M1042" s="19">
        <v>28.0</v>
      </c>
      <c r="N1042" s="19">
        <v>31.0</v>
      </c>
    </row>
    <row r="1043">
      <c r="A1043" s="12">
        <v>1041.0</v>
      </c>
      <c r="B1043" s="13" t="s">
        <v>2091</v>
      </c>
      <c r="C1043" s="14">
        <v>81.0</v>
      </c>
      <c r="D1043" s="15" t="s">
        <v>2487</v>
      </c>
      <c r="E1043" s="16" t="s">
        <v>221</v>
      </c>
      <c r="F1043" s="13" t="s">
        <v>740</v>
      </c>
      <c r="G1043" s="13" t="s">
        <v>2706</v>
      </c>
      <c r="H1043" s="13" t="s">
        <v>2707</v>
      </c>
      <c r="I1043" s="13" t="s">
        <v>63</v>
      </c>
      <c r="J1043" s="17" t="s">
        <v>71</v>
      </c>
      <c r="K1043" s="17" t="s">
        <v>58</v>
      </c>
      <c r="L1043" s="18" t="s">
        <v>52</v>
      </c>
      <c r="M1043" s="19">
        <v>28.0</v>
      </c>
      <c r="N1043" s="19">
        <v>31.0</v>
      </c>
    </row>
    <row r="1044">
      <c r="A1044" s="12">
        <v>1042.0</v>
      </c>
      <c r="B1044" s="13" t="s">
        <v>2091</v>
      </c>
      <c r="C1044" s="14">
        <v>82.0</v>
      </c>
      <c r="D1044" s="15" t="s">
        <v>2487</v>
      </c>
      <c r="E1044" s="16" t="s">
        <v>221</v>
      </c>
      <c r="F1044" s="13" t="s">
        <v>1284</v>
      </c>
      <c r="G1044" s="13" t="s">
        <v>1282</v>
      </c>
      <c r="H1044" s="13" t="s">
        <v>2708</v>
      </c>
      <c r="I1044" s="13" t="s">
        <v>63</v>
      </c>
      <c r="J1044" s="17" t="s">
        <v>71</v>
      </c>
      <c r="K1044" s="17" t="s">
        <v>58</v>
      </c>
      <c r="L1044" s="18" t="s">
        <v>52</v>
      </c>
      <c r="M1044" s="19">
        <v>28.0</v>
      </c>
      <c r="N1044" s="19">
        <v>31.0</v>
      </c>
    </row>
    <row r="1045">
      <c r="A1045" s="12">
        <v>1043.0</v>
      </c>
      <c r="B1045" s="13" t="s">
        <v>2091</v>
      </c>
      <c r="C1045" s="14">
        <v>83.0</v>
      </c>
      <c r="D1045" s="15" t="s">
        <v>2487</v>
      </c>
      <c r="E1045" s="16" t="s">
        <v>221</v>
      </c>
      <c r="F1045" s="13" t="s">
        <v>1741</v>
      </c>
      <c r="G1045" s="13" t="s">
        <v>2709</v>
      </c>
      <c r="H1045" s="13" t="s">
        <v>2710</v>
      </c>
      <c r="I1045" s="13" t="s">
        <v>63</v>
      </c>
      <c r="J1045" s="17" t="s">
        <v>71</v>
      </c>
      <c r="K1045" s="17" t="s">
        <v>58</v>
      </c>
      <c r="L1045" s="18" t="s">
        <v>52</v>
      </c>
      <c r="M1045" s="19">
        <v>28.0</v>
      </c>
      <c r="N1045" s="19">
        <v>31.0</v>
      </c>
    </row>
    <row r="1046">
      <c r="A1046" s="12">
        <v>1044.0</v>
      </c>
      <c r="B1046" s="13" t="s">
        <v>2091</v>
      </c>
      <c r="C1046" s="14">
        <v>84.0</v>
      </c>
      <c r="D1046" s="15" t="s">
        <v>2487</v>
      </c>
      <c r="E1046" s="16" t="s">
        <v>221</v>
      </c>
      <c r="F1046" s="13" t="s">
        <v>724</v>
      </c>
      <c r="G1046" s="13" t="s">
        <v>2711</v>
      </c>
      <c r="H1046" s="13" t="s">
        <v>2712</v>
      </c>
      <c r="I1046" s="13" t="s">
        <v>63</v>
      </c>
      <c r="J1046" s="17" t="s">
        <v>71</v>
      </c>
      <c r="K1046" s="17" t="s">
        <v>58</v>
      </c>
      <c r="L1046" s="18" t="s">
        <v>52</v>
      </c>
      <c r="M1046" s="19">
        <v>28.0</v>
      </c>
      <c r="N1046" s="19">
        <v>31.0</v>
      </c>
    </row>
    <row r="1047">
      <c r="A1047" s="12">
        <v>1045.0</v>
      </c>
      <c r="B1047" s="13" t="s">
        <v>2091</v>
      </c>
      <c r="C1047" s="14">
        <v>85.0</v>
      </c>
      <c r="D1047" s="15" t="s">
        <v>2487</v>
      </c>
      <c r="E1047" s="16" t="s">
        <v>221</v>
      </c>
      <c r="F1047" s="13" t="s">
        <v>2713</v>
      </c>
      <c r="G1047" s="13" t="s">
        <v>2714</v>
      </c>
      <c r="H1047" s="13" t="s">
        <v>2715</v>
      </c>
      <c r="I1047" s="13" t="s">
        <v>63</v>
      </c>
      <c r="J1047" s="17" t="s">
        <v>71</v>
      </c>
      <c r="K1047" s="17" t="s">
        <v>58</v>
      </c>
      <c r="L1047" s="18" t="s">
        <v>52</v>
      </c>
      <c r="M1047" s="19">
        <v>28.0</v>
      </c>
      <c r="N1047" s="19">
        <v>31.0</v>
      </c>
    </row>
    <row r="1048">
      <c r="A1048" s="12">
        <v>1046.0</v>
      </c>
      <c r="B1048" s="13" t="s">
        <v>2091</v>
      </c>
      <c r="C1048" s="14">
        <v>86.0</v>
      </c>
      <c r="D1048" s="15" t="s">
        <v>2487</v>
      </c>
      <c r="E1048" s="16" t="s">
        <v>221</v>
      </c>
      <c r="F1048" s="13" t="s">
        <v>1119</v>
      </c>
      <c r="G1048" s="13" t="s">
        <v>2717</v>
      </c>
      <c r="H1048" s="13" t="s">
        <v>2718</v>
      </c>
      <c r="I1048" s="13" t="s">
        <v>63</v>
      </c>
      <c r="J1048" s="17" t="s">
        <v>71</v>
      </c>
      <c r="K1048" s="17" t="s">
        <v>58</v>
      </c>
      <c r="L1048" s="18" t="s">
        <v>52</v>
      </c>
      <c r="M1048" s="19">
        <v>28.0</v>
      </c>
      <c r="N1048" s="19">
        <v>31.0</v>
      </c>
    </row>
    <row r="1049">
      <c r="A1049" s="12">
        <v>1047.0</v>
      </c>
      <c r="B1049" s="13" t="s">
        <v>2091</v>
      </c>
      <c r="C1049" s="14">
        <v>87.0</v>
      </c>
      <c r="D1049" s="15" t="s">
        <v>2487</v>
      </c>
      <c r="E1049" s="16" t="s">
        <v>221</v>
      </c>
      <c r="F1049" s="13" t="s">
        <v>2381</v>
      </c>
      <c r="G1049" s="13" t="s">
        <v>2382</v>
      </c>
      <c r="H1049" s="13" t="s">
        <v>2719</v>
      </c>
      <c r="I1049" s="13" t="s">
        <v>63</v>
      </c>
      <c r="J1049" s="17" t="s">
        <v>71</v>
      </c>
      <c r="K1049" s="17" t="s">
        <v>58</v>
      </c>
      <c r="L1049" s="18" t="s">
        <v>52</v>
      </c>
      <c r="M1049" s="19">
        <v>28.0</v>
      </c>
      <c r="N1049" s="19">
        <v>31.0</v>
      </c>
    </row>
    <row r="1050">
      <c r="A1050" s="12">
        <v>1048.0</v>
      </c>
      <c r="B1050" s="13" t="s">
        <v>2091</v>
      </c>
      <c r="C1050" s="14">
        <v>88.0</v>
      </c>
      <c r="D1050" s="15" t="s">
        <v>2487</v>
      </c>
      <c r="E1050" s="16" t="s">
        <v>221</v>
      </c>
      <c r="F1050" s="13" t="s">
        <v>2720</v>
      </c>
      <c r="G1050" s="13" t="s">
        <v>2721</v>
      </c>
      <c r="H1050" s="13" t="s">
        <v>2722</v>
      </c>
      <c r="I1050" s="13" t="s">
        <v>63</v>
      </c>
      <c r="J1050" s="17" t="s">
        <v>71</v>
      </c>
      <c r="K1050" s="17" t="s">
        <v>58</v>
      </c>
      <c r="L1050" s="18" t="s">
        <v>52</v>
      </c>
      <c r="M1050" s="19">
        <v>28.0</v>
      </c>
      <c r="N1050" s="19">
        <v>31.0</v>
      </c>
    </row>
    <row r="1051">
      <c r="A1051" s="12">
        <v>1049.0</v>
      </c>
      <c r="B1051" s="13" t="s">
        <v>2091</v>
      </c>
      <c r="C1051" s="14">
        <v>89.0</v>
      </c>
      <c r="D1051" s="15" t="s">
        <v>2487</v>
      </c>
      <c r="E1051" s="16" t="s">
        <v>221</v>
      </c>
      <c r="F1051" s="13" t="s">
        <v>1405</v>
      </c>
      <c r="G1051" s="13" t="s">
        <v>1406</v>
      </c>
      <c r="H1051" s="13" t="s">
        <v>2723</v>
      </c>
      <c r="I1051" s="13" t="s">
        <v>63</v>
      </c>
      <c r="J1051" s="17" t="s">
        <v>71</v>
      </c>
      <c r="K1051" s="17" t="s">
        <v>58</v>
      </c>
      <c r="L1051" s="18" t="s">
        <v>52</v>
      </c>
      <c r="M1051" s="19">
        <v>28.0</v>
      </c>
      <c r="N1051" s="19">
        <v>31.0</v>
      </c>
    </row>
    <row r="1052">
      <c r="A1052" s="12">
        <v>1050.0</v>
      </c>
      <c r="B1052" s="13" t="s">
        <v>2091</v>
      </c>
      <c r="C1052" s="14">
        <v>90.0</v>
      </c>
      <c r="D1052" s="15" t="s">
        <v>2487</v>
      </c>
      <c r="E1052" s="16" t="s">
        <v>221</v>
      </c>
      <c r="F1052" s="13" t="s">
        <v>1303</v>
      </c>
      <c r="G1052" s="13" t="s">
        <v>1304</v>
      </c>
      <c r="H1052" s="13" t="s">
        <v>2724</v>
      </c>
      <c r="I1052" s="13" t="s">
        <v>63</v>
      </c>
      <c r="J1052" s="17" t="s">
        <v>71</v>
      </c>
      <c r="K1052" s="17" t="s">
        <v>58</v>
      </c>
      <c r="L1052" s="18" t="s">
        <v>52</v>
      </c>
      <c r="M1052" s="19">
        <v>28.0</v>
      </c>
      <c r="N1052" s="19">
        <v>31.0</v>
      </c>
    </row>
    <row r="1053">
      <c r="A1053" s="12">
        <v>1051.0</v>
      </c>
      <c r="B1053" s="13" t="s">
        <v>2091</v>
      </c>
      <c r="C1053" s="14">
        <v>91.0</v>
      </c>
      <c r="D1053" s="15" t="s">
        <v>2487</v>
      </c>
      <c r="E1053" s="16" t="s">
        <v>221</v>
      </c>
      <c r="F1053" s="13" t="s">
        <v>174</v>
      </c>
      <c r="G1053" s="13" t="s">
        <v>2725</v>
      </c>
      <c r="H1053" s="13" t="s">
        <v>2726</v>
      </c>
      <c r="I1053" s="13" t="s">
        <v>63</v>
      </c>
      <c r="J1053" s="17" t="s">
        <v>71</v>
      </c>
      <c r="K1053" s="17" t="s">
        <v>58</v>
      </c>
      <c r="L1053" s="18" t="s">
        <v>52</v>
      </c>
      <c r="M1053" s="19">
        <v>28.0</v>
      </c>
      <c r="N1053" s="19">
        <v>31.0</v>
      </c>
    </row>
    <row r="1054">
      <c r="A1054" s="12">
        <v>1052.0</v>
      </c>
      <c r="B1054" s="13" t="s">
        <v>2091</v>
      </c>
      <c r="C1054" s="14">
        <v>92.0</v>
      </c>
      <c r="D1054" s="15" t="s">
        <v>2487</v>
      </c>
      <c r="E1054" s="16" t="s">
        <v>221</v>
      </c>
      <c r="F1054" s="13" t="s">
        <v>2727</v>
      </c>
      <c r="G1054" s="13" t="s">
        <v>2728</v>
      </c>
      <c r="H1054" s="13" t="s">
        <v>2729</v>
      </c>
      <c r="I1054" s="13" t="s">
        <v>63</v>
      </c>
      <c r="J1054" s="17" t="s">
        <v>71</v>
      </c>
      <c r="K1054" s="17" t="s">
        <v>58</v>
      </c>
      <c r="L1054" s="18" t="s">
        <v>52</v>
      </c>
      <c r="M1054" s="19">
        <v>28.0</v>
      </c>
      <c r="N1054" s="19">
        <v>31.0</v>
      </c>
    </row>
    <row r="1055">
      <c r="A1055" s="12">
        <v>1053.0</v>
      </c>
      <c r="B1055" s="13" t="s">
        <v>2091</v>
      </c>
      <c r="C1055" s="14">
        <v>93.0</v>
      </c>
      <c r="D1055" s="15" t="s">
        <v>2487</v>
      </c>
      <c r="E1055" s="16" t="s">
        <v>221</v>
      </c>
      <c r="F1055" s="13" t="s">
        <v>1750</v>
      </c>
      <c r="G1055" s="13" t="s">
        <v>2260</v>
      </c>
      <c r="H1055" s="13" t="s">
        <v>2730</v>
      </c>
      <c r="I1055" s="13" t="s">
        <v>63</v>
      </c>
      <c r="J1055" s="17" t="s">
        <v>71</v>
      </c>
      <c r="K1055" s="17" t="s">
        <v>58</v>
      </c>
      <c r="L1055" s="18" t="s">
        <v>52</v>
      </c>
      <c r="M1055" s="19">
        <v>28.0</v>
      </c>
      <c r="N1055" s="19">
        <v>31.0</v>
      </c>
    </row>
    <row r="1056">
      <c r="A1056" s="12">
        <v>1054.0</v>
      </c>
      <c r="B1056" s="13" t="s">
        <v>2091</v>
      </c>
      <c r="C1056" s="14">
        <v>94.0</v>
      </c>
      <c r="D1056" s="15" t="s">
        <v>2487</v>
      </c>
      <c r="E1056" s="16" t="s">
        <v>221</v>
      </c>
      <c r="F1056" s="13" t="s">
        <v>1322</v>
      </c>
      <c r="G1056" s="13" t="s">
        <v>2731</v>
      </c>
      <c r="H1056" s="13" t="s">
        <v>2732</v>
      </c>
      <c r="I1056" s="13" t="s">
        <v>63</v>
      </c>
      <c r="J1056" s="17" t="s">
        <v>71</v>
      </c>
      <c r="K1056" s="17" t="s">
        <v>58</v>
      </c>
      <c r="L1056" s="18" t="s">
        <v>52</v>
      </c>
      <c r="M1056" s="19">
        <v>28.0</v>
      </c>
      <c r="N1056" s="19">
        <v>31.0</v>
      </c>
    </row>
    <row r="1057">
      <c r="A1057" s="12">
        <v>1055.0</v>
      </c>
      <c r="B1057" s="13" t="s">
        <v>2091</v>
      </c>
      <c r="C1057" s="14">
        <v>95.0</v>
      </c>
      <c r="D1057" s="15" t="s">
        <v>2487</v>
      </c>
      <c r="E1057" s="16" t="s">
        <v>221</v>
      </c>
      <c r="F1057" s="13" t="s">
        <v>2095</v>
      </c>
      <c r="G1057" s="13" t="s">
        <v>2733</v>
      </c>
      <c r="H1057" s="13" t="s">
        <v>2734</v>
      </c>
      <c r="I1057" s="13" t="s">
        <v>63</v>
      </c>
      <c r="J1057" s="17" t="s">
        <v>71</v>
      </c>
      <c r="K1057" s="17" t="s">
        <v>58</v>
      </c>
      <c r="L1057" s="18" t="s">
        <v>52</v>
      </c>
      <c r="M1057" s="19">
        <v>28.0</v>
      </c>
      <c r="N1057" s="19">
        <v>31.0</v>
      </c>
    </row>
    <row r="1058">
      <c r="A1058" s="12">
        <v>1056.0</v>
      </c>
      <c r="B1058" s="13" t="s">
        <v>2091</v>
      </c>
      <c r="C1058" s="14">
        <v>96.0</v>
      </c>
      <c r="D1058" s="15" t="s">
        <v>2487</v>
      </c>
      <c r="E1058" s="16" t="s">
        <v>221</v>
      </c>
      <c r="F1058" s="13" t="s">
        <v>2735</v>
      </c>
      <c r="G1058" s="13" t="s">
        <v>2737</v>
      </c>
      <c r="H1058" s="13" t="s">
        <v>2738</v>
      </c>
      <c r="I1058" s="13" t="s">
        <v>63</v>
      </c>
      <c r="J1058" s="17" t="s">
        <v>71</v>
      </c>
      <c r="K1058" s="17" t="s">
        <v>58</v>
      </c>
      <c r="L1058" s="18" t="s">
        <v>52</v>
      </c>
      <c r="M1058" s="19">
        <v>28.0</v>
      </c>
      <c r="N1058" s="19">
        <v>31.0</v>
      </c>
    </row>
    <row r="1059">
      <c r="A1059" s="12">
        <v>1057.0</v>
      </c>
      <c r="B1059" s="13" t="s">
        <v>2091</v>
      </c>
      <c r="C1059" s="14">
        <v>97.0</v>
      </c>
      <c r="D1059" s="15" t="s">
        <v>2487</v>
      </c>
      <c r="E1059" s="16" t="s">
        <v>221</v>
      </c>
      <c r="F1059" s="13" t="s">
        <v>1871</v>
      </c>
      <c r="G1059" s="13" t="s">
        <v>2739</v>
      </c>
      <c r="H1059" s="13" t="s">
        <v>2740</v>
      </c>
      <c r="I1059" s="13" t="s">
        <v>63</v>
      </c>
      <c r="J1059" s="17" t="s">
        <v>71</v>
      </c>
      <c r="K1059" s="17" t="s">
        <v>58</v>
      </c>
      <c r="L1059" s="18" t="s">
        <v>52</v>
      </c>
      <c r="M1059" s="19">
        <v>28.0</v>
      </c>
      <c r="N1059" s="19">
        <v>31.0</v>
      </c>
    </row>
    <row r="1060">
      <c r="A1060" s="12">
        <v>1058.0</v>
      </c>
      <c r="B1060" s="13" t="s">
        <v>2091</v>
      </c>
      <c r="C1060" s="14">
        <v>98.0</v>
      </c>
      <c r="D1060" s="15" t="s">
        <v>2487</v>
      </c>
      <c r="E1060" s="16" t="s">
        <v>221</v>
      </c>
      <c r="F1060" s="13" t="s">
        <v>2741</v>
      </c>
      <c r="G1060" s="13" t="s">
        <v>2742</v>
      </c>
      <c r="H1060" s="13" t="s">
        <v>2743</v>
      </c>
      <c r="I1060" s="13" t="s">
        <v>63</v>
      </c>
      <c r="J1060" s="17" t="s">
        <v>71</v>
      </c>
      <c r="K1060" s="17" t="s">
        <v>58</v>
      </c>
      <c r="L1060" s="18" t="s">
        <v>52</v>
      </c>
      <c r="M1060" s="19">
        <v>28.0</v>
      </c>
      <c r="N1060" s="19">
        <v>31.0</v>
      </c>
    </row>
    <row r="1061">
      <c r="A1061" s="12">
        <v>1059.0</v>
      </c>
      <c r="B1061" s="13" t="s">
        <v>2091</v>
      </c>
      <c r="C1061" s="14">
        <v>99.0</v>
      </c>
      <c r="D1061" s="15" t="s">
        <v>2487</v>
      </c>
      <c r="E1061" s="16" t="s">
        <v>221</v>
      </c>
      <c r="F1061" s="13" t="s">
        <v>1342</v>
      </c>
      <c r="G1061" s="13" t="s">
        <v>2744</v>
      </c>
      <c r="H1061" s="13" t="s">
        <v>2745</v>
      </c>
      <c r="I1061" s="13" t="s">
        <v>63</v>
      </c>
      <c r="J1061" s="17" t="s">
        <v>71</v>
      </c>
      <c r="K1061" s="17" t="s">
        <v>58</v>
      </c>
      <c r="L1061" s="18" t="s">
        <v>52</v>
      </c>
      <c r="M1061" s="19">
        <v>28.0</v>
      </c>
      <c r="N1061" s="19">
        <v>31.0</v>
      </c>
    </row>
    <row r="1062">
      <c r="A1062" s="12">
        <v>1060.0</v>
      </c>
      <c r="B1062" s="13" t="s">
        <v>2091</v>
      </c>
      <c r="C1062" s="14">
        <v>100.0</v>
      </c>
      <c r="D1062" s="15" t="s">
        <v>2487</v>
      </c>
      <c r="E1062" s="16" t="s">
        <v>221</v>
      </c>
      <c r="F1062" s="13" t="s">
        <v>451</v>
      </c>
      <c r="G1062" s="13" t="s">
        <v>2315</v>
      </c>
      <c r="H1062" s="13" t="s">
        <v>2746</v>
      </c>
      <c r="I1062" s="13" t="s">
        <v>63</v>
      </c>
      <c r="J1062" s="17" t="s">
        <v>71</v>
      </c>
      <c r="K1062" s="17" t="s">
        <v>58</v>
      </c>
      <c r="L1062" s="18" t="s">
        <v>52</v>
      </c>
      <c r="M1062" s="19">
        <v>28.0</v>
      </c>
      <c r="N1062" s="19">
        <v>31.0</v>
      </c>
    </row>
    <row r="1063">
      <c r="A1063" s="12">
        <v>1061.0</v>
      </c>
      <c r="B1063" s="13" t="s">
        <v>2091</v>
      </c>
      <c r="C1063" s="14">
        <v>101.0</v>
      </c>
      <c r="D1063" s="15" t="s">
        <v>2487</v>
      </c>
      <c r="E1063" s="16" t="s">
        <v>221</v>
      </c>
      <c r="F1063" s="13" t="s">
        <v>2747</v>
      </c>
      <c r="G1063" s="13" t="s">
        <v>2748</v>
      </c>
      <c r="H1063" s="13" t="s">
        <v>2749</v>
      </c>
      <c r="I1063" s="13" t="s">
        <v>63</v>
      </c>
      <c r="J1063" s="17" t="s">
        <v>71</v>
      </c>
      <c r="K1063" s="17" t="s">
        <v>58</v>
      </c>
      <c r="L1063" s="18" t="s">
        <v>52</v>
      </c>
      <c r="M1063" s="19">
        <v>28.0</v>
      </c>
      <c r="N1063" s="19">
        <v>31.0</v>
      </c>
    </row>
    <row r="1064">
      <c r="A1064" s="12">
        <v>1062.0</v>
      </c>
      <c r="B1064" s="13" t="s">
        <v>2091</v>
      </c>
      <c r="C1064" s="14">
        <v>102.0</v>
      </c>
      <c r="D1064" s="15" t="s">
        <v>2487</v>
      </c>
      <c r="E1064" s="16" t="s">
        <v>221</v>
      </c>
      <c r="F1064" s="13" t="s">
        <v>2750</v>
      </c>
      <c r="G1064" s="13" t="s">
        <v>2751</v>
      </c>
      <c r="H1064" s="13" t="s">
        <v>2752</v>
      </c>
      <c r="I1064" s="13" t="s">
        <v>63</v>
      </c>
      <c r="J1064" s="17" t="s">
        <v>71</v>
      </c>
      <c r="K1064" s="17" t="s">
        <v>58</v>
      </c>
      <c r="L1064" s="18" t="s">
        <v>52</v>
      </c>
      <c r="M1064" s="19">
        <v>28.0</v>
      </c>
      <c r="N1064" s="19">
        <v>31.0</v>
      </c>
    </row>
    <row r="1065">
      <c r="A1065" s="12">
        <v>1063.0</v>
      </c>
      <c r="B1065" s="13" t="s">
        <v>2091</v>
      </c>
      <c r="C1065" s="14">
        <v>103.0</v>
      </c>
      <c r="D1065" s="15" t="s">
        <v>2487</v>
      </c>
      <c r="E1065" s="16" t="s">
        <v>221</v>
      </c>
      <c r="F1065" s="13" t="s">
        <v>2753</v>
      </c>
      <c r="G1065" s="13" t="s">
        <v>2754</v>
      </c>
      <c r="H1065" s="13" t="s">
        <v>2755</v>
      </c>
      <c r="I1065" s="13" t="s">
        <v>63</v>
      </c>
      <c r="J1065" s="17" t="s">
        <v>71</v>
      </c>
      <c r="K1065" s="17" t="s">
        <v>58</v>
      </c>
      <c r="L1065" s="18" t="s">
        <v>52</v>
      </c>
      <c r="M1065" s="19">
        <v>28.0</v>
      </c>
      <c r="N1065" s="19">
        <v>31.0</v>
      </c>
    </row>
    <row r="1066">
      <c r="A1066" s="12">
        <v>1064.0</v>
      </c>
      <c r="B1066" s="13" t="s">
        <v>2091</v>
      </c>
      <c r="C1066" s="14">
        <v>104.0</v>
      </c>
      <c r="D1066" s="15" t="s">
        <v>2487</v>
      </c>
      <c r="E1066" s="16" t="s">
        <v>221</v>
      </c>
      <c r="F1066" s="13" t="s">
        <v>2756</v>
      </c>
      <c r="G1066" s="13" t="s">
        <v>61</v>
      </c>
      <c r="H1066" s="13" t="s">
        <v>2757</v>
      </c>
      <c r="I1066" s="13" t="s">
        <v>63</v>
      </c>
      <c r="J1066" s="17" t="s">
        <v>71</v>
      </c>
      <c r="K1066" s="17" t="s">
        <v>58</v>
      </c>
      <c r="L1066" s="18" t="s">
        <v>52</v>
      </c>
      <c r="M1066" s="19">
        <v>28.0</v>
      </c>
      <c r="N1066" s="19">
        <v>31.0</v>
      </c>
    </row>
    <row r="1067">
      <c r="A1067" s="12">
        <v>1065.0</v>
      </c>
      <c r="B1067" s="13" t="s">
        <v>2091</v>
      </c>
      <c r="C1067" s="14">
        <v>105.0</v>
      </c>
      <c r="D1067" s="15" t="s">
        <v>2487</v>
      </c>
      <c r="E1067" s="16" t="s">
        <v>221</v>
      </c>
      <c r="F1067" s="13" t="s">
        <v>2759</v>
      </c>
      <c r="G1067" s="13" t="s">
        <v>2760</v>
      </c>
      <c r="H1067" s="13" t="s">
        <v>2761</v>
      </c>
      <c r="I1067" s="13" t="s">
        <v>63</v>
      </c>
      <c r="J1067" s="17" t="s">
        <v>71</v>
      </c>
      <c r="K1067" s="17" t="s">
        <v>58</v>
      </c>
      <c r="L1067" s="18" t="s">
        <v>52</v>
      </c>
      <c r="M1067" s="19">
        <v>28.0</v>
      </c>
      <c r="N1067" s="19">
        <v>31.0</v>
      </c>
    </row>
    <row r="1068">
      <c r="A1068" s="12">
        <v>1066.0</v>
      </c>
      <c r="B1068" s="13" t="s">
        <v>2091</v>
      </c>
      <c r="C1068" s="14">
        <v>106.0</v>
      </c>
      <c r="D1068" s="15" t="s">
        <v>2487</v>
      </c>
      <c r="E1068" s="16" t="s">
        <v>221</v>
      </c>
      <c r="F1068" s="13" t="s">
        <v>91</v>
      </c>
      <c r="G1068" s="13" t="s">
        <v>2763</v>
      </c>
      <c r="H1068" s="13" t="s">
        <v>2764</v>
      </c>
      <c r="I1068" s="13" t="s">
        <v>63</v>
      </c>
      <c r="J1068" s="17" t="s">
        <v>71</v>
      </c>
      <c r="K1068" s="17" t="s">
        <v>58</v>
      </c>
      <c r="L1068" s="18" t="s">
        <v>52</v>
      </c>
      <c r="M1068" s="19">
        <v>28.0</v>
      </c>
      <c r="N1068" s="19">
        <v>31.0</v>
      </c>
    </row>
    <row r="1069">
      <c r="A1069" s="12">
        <v>1067.0</v>
      </c>
      <c r="B1069" s="13" t="s">
        <v>2091</v>
      </c>
      <c r="C1069" s="14">
        <v>107.0</v>
      </c>
      <c r="D1069" s="15" t="s">
        <v>2487</v>
      </c>
      <c r="E1069" s="16" t="s">
        <v>221</v>
      </c>
      <c r="F1069" s="13" t="s">
        <v>2765</v>
      </c>
      <c r="G1069" s="13" t="s">
        <v>2766</v>
      </c>
      <c r="H1069" s="13" t="s">
        <v>2678</v>
      </c>
      <c r="I1069" s="13" t="s">
        <v>63</v>
      </c>
      <c r="J1069" s="17" t="s">
        <v>71</v>
      </c>
      <c r="K1069" s="17" t="s">
        <v>58</v>
      </c>
      <c r="L1069" s="18" t="s">
        <v>52</v>
      </c>
      <c r="M1069" s="19">
        <v>28.0</v>
      </c>
      <c r="N1069" s="19">
        <v>31.0</v>
      </c>
    </row>
    <row r="1070">
      <c r="A1070" s="12">
        <v>1068.0</v>
      </c>
      <c r="B1070" s="13" t="s">
        <v>2091</v>
      </c>
      <c r="C1070" s="14">
        <v>108.0</v>
      </c>
      <c r="D1070" s="15" t="s">
        <v>2487</v>
      </c>
      <c r="E1070" s="16" t="s">
        <v>221</v>
      </c>
      <c r="F1070" s="13" t="s">
        <v>2347</v>
      </c>
      <c r="G1070" s="13" t="s">
        <v>2348</v>
      </c>
      <c r="H1070" s="13" t="s">
        <v>2767</v>
      </c>
      <c r="I1070" s="13" t="s">
        <v>63</v>
      </c>
      <c r="J1070" s="17" t="s">
        <v>71</v>
      </c>
      <c r="K1070" s="17" t="s">
        <v>58</v>
      </c>
      <c r="L1070" s="18" t="s">
        <v>52</v>
      </c>
      <c r="M1070" s="19">
        <v>28.0</v>
      </c>
      <c r="N1070" s="19">
        <v>31.0</v>
      </c>
    </row>
    <row r="1071">
      <c r="A1071" s="12">
        <v>1069.0</v>
      </c>
      <c r="B1071" s="13" t="s">
        <v>2091</v>
      </c>
      <c r="C1071" s="14">
        <v>109.0</v>
      </c>
      <c r="D1071" s="15" t="s">
        <v>2487</v>
      </c>
      <c r="E1071" s="16" t="s">
        <v>221</v>
      </c>
      <c r="F1071" s="13" t="s">
        <v>2769</v>
      </c>
      <c r="G1071" s="13" t="s">
        <v>2770</v>
      </c>
      <c r="H1071" s="13" t="s">
        <v>2771</v>
      </c>
      <c r="I1071" s="13" t="s">
        <v>63</v>
      </c>
      <c r="J1071" s="17" t="s">
        <v>71</v>
      </c>
      <c r="K1071" s="17" t="s">
        <v>58</v>
      </c>
      <c r="L1071" s="18" t="s">
        <v>52</v>
      </c>
      <c r="M1071" s="19">
        <v>28.0</v>
      </c>
      <c r="N1071" s="19">
        <v>31.0</v>
      </c>
    </row>
    <row r="1072">
      <c r="A1072" s="12">
        <v>1070.0</v>
      </c>
      <c r="B1072" s="13" t="s">
        <v>2091</v>
      </c>
      <c r="C1072" s="14">
        <v>110.0</v>
      </c>
      <c r="D1072" s="15" t="s">
        <v>2487</v>
      </c>
      <c r="E1072" s="16" t="s">
        <v>221</v>
      </c>
      <c r="F1072" s="13" t="s">
        <v>2773</v>
      </c>
      <c r="G1072" s="13" t="s">
        <v>2774</v>
      </c>
      <c r="H1072" s="13" t="s">
        <v>2775</v>
      </c>
      <c r="I1072" s="13" t="s">
        <v>63</v>
      </c>
      <c r="J1072" s="17" t="s">
        <v>71</v>
      </c>
      <c r="K1072" s="17" t="s">
        <v>58</v>
      </c>
      <c r="L1072" s="18" t="s">
        <v>52</v>
      </c>
      <c r="M1072" s="19">
        <v>28.0</v>
      </c>
      <c r="N1072" s="19">
        <v>31.0</v>
      </c>
    </row>
    <row r="1073">
      <c r="A1073" s="12">
        <v>1071.0</v>
      </c>
      <c r="B1073" s="13" t="s">
        <v>2091</v>
      </c>
      <c r="C1073" s="14">
        <v>111.0</v>
      </c>
      <c r="D1073" s="15" t="s">
        <v>2487</v>
      </c>
      <c r="E1073" s="16" t="s">
        <v>221</v>
      </c>
      <c r="F1073" s="13" t="s">
        <v>1563</v>
      </c>
      <c r="G1073" s="13" t="s">
        <v>2777</v>
      </c>
      <c r="H1073" s="13" t="s">
        <v>2778</v>
      </c>
      <c r="I1073" s="13" t="s">
        <v>63</v>
      </c>
      <c r="J1073" s="17" t="s">
        <v>71</v>
      </c>
      <c r="K1073" s="17" t="s">
        <v>58</v>
      </c>
      <c r="L1073" s="18" t="s">
        <v>52</v>
      </c>
      <c r="M1073" s="19">
        <v>28.0</v>
      </c>
      <c r="N1073" s="19">
        <v>31.0</v>
      </c>
    </row>
    <row r="1074">
      <c r="A1074" s="12">
        <v>1072.0</v>
      </c>
      <c r="B1074" s="13" t="s">
        <v>2091</v>
      </c>
      <c r="C1074" s="14">
        <v>112.0</v>
      </c>
      <c r="D1074" s="15" t="s">
        <v>2487</v>
      </c>
      <c r="E1074" s="16" t="s">
        <v>221</v>
      </c>
      <c r="F1074" s="13" t="s">
        <v>1597</v>
      </c>
      <c r="G1074" s="13" t="s">
        <v>2780</v>
      </c>
      <c r="H1074" s="13" t="s">
        <v>2781</v>
      </c>
      <c r="I1074" s="13" t="s">
        <v>63</v>
      </c>
      <c r="J1074" s="17" t="s">
        <v>71</v>
      </c>
      <c r="K1074" s="17" t="s">
        <v>58</v>
      </c>
      <c r="L1074" s="18" t="s">
        <v>52</v>
      </c>
      <c r="M1074" s="19">
        <v>28.0</v>
      </c>
      <c r="N1074" s="19">
        <v>31.0</v>
      </c>
    </row>
    <row r="1075">
      <c r="A1075" s="12">
        <v>1073.0</v>
      </c>
      <c r="B1075" s="13" t="s">
        <v>2091</v>
      </c>
      <c r="C1075" s="14">
        <v>113.0</v>
      </c>
      <c r="D1075" s="15" t="s">
        <v>2487</v>
      </c>
      <c r="E1075" s="16" t="s">
        <v>221</v>
      </c>
      <c r="F1075" s="13" t="s">
        <v>2782</v>
      </c>
      <c r="G1075" s="13" t="s">
        <v>2783</v>
      </c>
      <c r="H1075" s="13" t="s">
        <v>2784</v>
      </c>
      <c r="I1075" s="13" t="s">
        <v>63</v>
      </c>
      <c r="J1075" s="17" t="s">
        <v>71</v>
      </c>
      <c r="K1075" s="17" t="s">
        <v>58</v>
      </c>
      <c r="L1075" s="18" t="s">
        <v>52</v>
      </c>
      <c r="M1075" s="19">
        <v>28.0</v>
      </c>
      <c r="N1075" s="19">
        <v>31.0</v>
      </c>
    </row>
    <row r="1076">
      <c r="A1076" s="12">
        <v>1074.0</v>
      </c>
      <c r="B1076" s="13" t="s">
        <v>2091</v>
      </c>
      <c r="C1076" s="14">
        <v>114.0</v>
      </c>
      <c r="D1076" s="15" t="s">
        <v>2487</v>
      </c>
      <c r="E1076" s="16" t="s">
        <v>221</v>
      </c>
      <c r="F1076" s="13" t="s">
        <v>1430</v>
      </c>
      <c r="G1076" s="13" t="s">
        <v>2785</v>
      </c>
      <c r="H1076" s="13" t="s">
        <v>2786</v>
      </c>
      <c r="I1076" s="13" t="s">
        <v>63</v>
      </c>
      <c r="J1076" s="17" t="s">
        <v>71</v>
      </c>
      <c r="K1076" s="17" t="s">
        <v>58</v>
      </c>
      <c r="L1076" s="18" t="s">
        <v>52</v>
      </c>
      <c r="M1076" s="19">
        <v>28.0</v>
      </c>
      <c r="N1076" s="19">
        <v>31.0</v>
      </c>
    </row>
    <row r="1077">
      <c r="A1077" s="12">
        <v>1075.0</v>
      </c>
      <c r="B1077" s="13" t="s">
        <v>2091</v>
      </c>
      <c r="C1077" s="14">
        <v>115.0</v>
      </c>
      <c r="D1077" s="15" t="s">
        <v>2487</v>
      </c>
      <c r="E1077" s="16" t="s">
        <v>221</v>
      </c>
      <c r="F1077" s="13" t="s">
        <v>2787</v>
      </c>
      <c r="G1077" s="13" t="s">
        <v>2788</v>
      </c>
      <c r="H1077" s="13" t="s">
        <v>2789</v>
      </c>
      <c r="I1077" s="13" t="s">
        <v>63</v>
      </c>
      <c r="J1077" s="17" t="s">
        <v>71</v>
      </c>
      <c r="K1077" s="17" t="s">
        <v>58</v>
      </c>
      <c r="L1077" s="18" t="s">
        <v>52</v>
      </c>
      <c r="M1077" s="19">
        <v>28.0</v>
      </c>
      <c r="N1077" s="19">
        <v>31.0</v>
      </c>
    </row>
    <row r="1078">
      <c r="A1078" s="12">
        <v>1076.0</v>
      </c>
      <c r="B1078" s="13" t="s">
        <v>2091</v>
      </c>
      <c r="C1078" s="14">
        <v>116.0</v>
      </c>
      <c r="D1078" s="15" t="s">
        <v>2487</v>
      </c>
      <c r="E1078" s="16" t="s">
        <v>221</v>
      </c>
      <c r="F1078" s="13" t="s">
        <v>1624</v>
      </c>
      <c r="G1078" s="13" t="s">
        <v>2791</v>
      </c>
      <c r="H1078" s="13" t="s">
        <v>2792</v>
      </c>
      <c r="I1078" s="13" t="s">
        <v>63</v>
      </c>
      <c r="J1078" s="17" t="s">
        <v>71</v>
      </c>
      <c r="K1078" s="17" t="s">
        <v>58</v>
      </c>
      <c r="L1078" s="18" t="s">
        <v>52</v>
      </c>
      <c r="M1078" s="19">
        <v>28.0</v>
      </c>
      <c r="N1078" s="19">
        <v>31.0</v>
      </c>
    </row>
    <row r="1079">
      <c r="A1079" s="12">
        <v>1077.0</v>
      </c>
      <c r="B1079" s="13" t="s">
        <v>2091</v>
      </c>
      <c r="C1079" s="14">
        <v>117.0</v>
      </c>
      <c r="D1079" s="15" t="s">
        <v>2487</v>
      </c>
      <c r="E1079" s="16" t="s">
        <v>221</v>
      </c>
      <c r="F1079" s="13" t="s">
        <v>2793</v>
      </c>
      <c r="G1079" s="13" t="s">
        <v>2794</v>
      </c>
      <c r="H1079" s="13" t="s">
        <v>2795</v>
      </c>
      <c r="I1079" s="13" t="s">
        <v>63</v>
      </c>
      <c r="J1079" s="17" t="s">
        <v>71</v>
      </c>
      <c r="K1079" s="17" t="s">
        <v>58</v>
      </c>
      <c r="L1079" s="18" t="s">
        <v>52</v>
      </c>
      <c r="M1079" s="19">
        <v>28.0</v>
      </c>
      <c r="N1079" s="19">
        <v>31.0</v>
      </c>
    </row>
    <row r="1080">
      <c r="A1080" s="12">
        <v>1078.0</v>
      </c>
      <c r="B1080" s="13" t="s">
        <v>2091</v>
      </c>
      <c r="C1080" s="14">
        <v>118.0</v>
      </c>
      <c r="D1080" s="15" t="s">
        <v>2487</v>
      </c>
      <c r="E1080" s="16" t="s">
        <v>221</v>
      </c>
      <c r="F1080" s="13" t="s">
        <v>2796</v>
      </c>
      <c r="G1080" s="13" t="s">
        <v>2797</v>
      </c>
      <c r="H1080" s="13" t="s">
        <v>2798</v>
      </c>
      <c r="I1080" s="13" t="s">
        <v>63</v>
      </c>
      <c r="J1080" s="17" t="s">
        <v>71</v>
      </c>
      <c r="K1080" s="17" t="s">
        <v>58</v>
      </c>
      <c r="L1080" s="18" t="s">
        <v>52</v>
      </c>
      <c r="M1080" s="19">
        <v>28.0</v>
      </c>
      <c r="N1080" s="19">
        <v>31.0</v>
      </c>
    </row>
    <row r="1081">
      <c r="A1081" s="12">
        <v>1079.0</v>
      </c>
      <c r="B1081" s="13" t="s">
        <v>2091</v>
      </c>
      <c r="C1081" s="14">
        <v>119.0</v>
      </c>
      <c r="D1081" s="15" t="s">
        <v>2487</v>
      </c>
      <c r="E1081" s="16" t="s">
        <v>221</v>
      </c>
      <c r="F1081" s="13" t="s">
        <v>1972</v>
      </c>
      <c r="G1081" s="13" t="s">
        <v>2799</v>
      </c>
      <c r="H1081" s="13" t="s">
        <v>2800</v>
      </c>
      <c r="I1081" s="13" t="s">
        <v>63</v>
      </c>
      <c r="J1081" s="17" t="s">
        <v>71</v>
      </c>
      <c r="K1081" s="17" t="s">
        <v>58</v>
      </c>
      <c r="L1081" s="18" t="s">
        <v>52</v>
      </c>
      <c r="M1081" s="19">
        <v>28.0</v>
      </c>
      <c r="N1081" s="19">
        <v>31.0</v>
      </c>
    </row>
    <row r="1082">
      <c r="A1082" s="12">
        <v>1080.0</v>
      </c>
      <c r="B1082" s="13" t="s">
        <v>2091</v>
      </c>
      <c r="C1082" s="14">
        <v>120.0</v>
      </c>
      <c r="D1082" s="15" t="s">
        <v>2487</v>
      </c>
      <c r="E1082" s="16" t="s">
        <v>221</v>
      </c>
      <c r="F1082" s="13" t="s">
        <v>2801</v>
      </c>
      <c r="G1082" s="13" t="s">
        <v>2802</v>
      </c>
      <c r="H1082" s="13" t="s">
        <v>2803</v>
      </c>
      <c r="I1082" s="13" t="s">
        <v>63</v>
      </c>
      <c r="J1082" s="17" t="s">
        <v>71</v>
      </c>
      <c r="K1082" s="17" t="s">
        <v>58</v>
      </c>
      <c r="L1082" s="18" t="s">
        <v>52</v>
      </c>
      <c r="M1082" s="19">
        <v>28.0</v>
      </c>
      <c r="N1082" s="19">
        <v>31.0</v>
      </c>
    </row>
    <row r="1083">
      <c r="A1083" s="12">
        <v>1081.0</v>
      </c>
      <c r="B1083" s="13" t="s">
        <v>2091</v>
      </c>
      <c r="C1083" s="14">
        <v>121.0</v>
      </c>
      <c r="D1083" s="15" t="s">
        <v>2487</v>
      </c>
      <c r="E1083" s="16" t="s">
        <v>221</v>
      </c>
      <c r="F1083" s="13" t="s">
        <v>2804</v>
      </c>
      <c r="G1083" s="13" t="s">
        <v>2805</v>
      </c>
      <c r="H1083" s="13" t="s">
        <v>2806</v>
      </c>
      <c r="I1083" s="13" t="s">
        <v>63</v>
      </c>
      <c r="J1083" s="17" t="s">
        <v>71</v>
      </c>
      <c r="K1083" s="17" t="s">
        <v>58</v>
      </c>
      <c r="L1083" s="18" t="s">
        <v>52</v>
      </c>
      <c r="M1083" s="19">
        <v>28.0</v>
      </c>
      <c r="N1083" s="19">
        <v>31.0</v>
      </c>
    </row>
    <row r="1084">
      <c r="A1084" s="12">
        <v>1082.0</v>
      </c>
      <c r="B1084" s="13" t="s">
        <v>2091</v>
      </c>
      <c r="C1084" s="14">
        <v>122.0</v>
      </c>
      <c r="D1084" s="15" t="s">
        <v>2487</v>
      </c>
      <c r="E1084" s="16" t="s">
        <v>221</v>
      </c>
      <c r="F1084" s="13" t="s">
        <v>632</v>
      </c>
      <c r="G1084" s="13" t="s">
        <v>2807</v>
      </c>
      <c r="H1084" s="13" t="s">
        <v>2809</v>
      </c>
      <c r="I1084" s="13" t="s">
        <v>63</v>
      </c>
      <c r="J1084" s="17" t="s">
        <v>71</v>
      </c>
      <c r="K1084" s="17" t="s">
        <v>58</v>
      </c>
      <c r="L1084" s="18" t="s">
        <v>52</v>
      </c>
      <c r="M1084" s="19">
        <v>28.0</v>
      </c>
      <c r="N1084" s="19">
        <v>31.0</v>
      </c>
    </row>
    <row r="1085">
      <c r="A1085" s="12">
        <v>1083.0</v>
      </c>
      <c r="B1085" s="13" t="s">
        <v>2091</v>
      </c>
      <c r="C1085" s="14">
        <v>123.0</v>
      </c>
      <c r="D1085" s="15" t="s">
        <v>2487</v>
      </c>
      <c r="E1085" s="16" t="s">
        <v>221</v>
      </c>
      <c r="F1085" s="13" t="s">
        <v>2810</v>
      </c>
      <c r="G1085" s="13" t="s">
        <v>2811</v>
      </c>
      <c r="H1085" s="13" t="s">
        <v>2812</v>
      </c>
      <c r="I1085" s="13" t="s">
        <v>63</v>
      </c>
      <c r="J1085" s="17" t="s">
        <v>71</v>
      </c>
      <c r="K1085" s="17" t="s">
        <v>58</v>
      </c>
      <c r="L1085" s="18" t="s">
        <v>52</v>
      </c>
      <c r="M1085" s="19">
        <v>28.0</v>
      </c>
      <c r="N1085" s="19">
        <v>31.0</v>
      </c>
    </row>
    <row r="1086">
      <c r="A1086" s="12">
        <v>1084.0</v>
      </c>
      <c r="B1086" s="13" t="s">
        <v>2091</v>
      </c>
      <c r="C1086" s="14">
        <v>124.0</v>
      </c>
      <c r="D1086" s="15" t="s">
        <v>2487</v>
      </c>
      <c r="E1086" s="16" t="s">
        <v>221</v>
      </c>
      <c r="F1086" s="13" t="s">
        <v>1894</v>
      </c>
      <c r="G1086" s="13" t="s">
        <v>2813</v>
      </c>
      <c r="H1086" s="13" t="s">
        <v>2814</v>
      </c>
      <c r="I1086" s="13" t="s">
        <v>63</v>
      </c>
      <c r="J1086" s="17" t="s">
        <v>71</v>
      </c>
      <c r="K1086" s="17" t="s">
        <v>58</v>
      </c>
      <c r="L1086" s="18" t="s">
        <v>52</v>
      </c>
      <c r="M1086" s="19">
        <v>28.0</v>
      </c>
      <c r="N1086" s="19">
        <v>31.0</v>
      </c>
    </row>
    <row r="1087">
      <c r="A1087" s="12">
        <v>1085.0</v>
      </c>
      <c r="B1087" s="13" t="s">
        <v>2091</v>
      </c>
      <c r="C1087" s="14">
        <v>125.0</v>
      </c>
      <c r="D1087" s="15" t="s">
        <v>2487</v>
      </c>
      <c r="E1087" s="16" t="s">
        <v>221</v>
      </c>
      <c r="F1087" s="13" t="s">
        <v>2816</v>
      </c>
      <c r="G1087" s="13" t="s">
        <v>2817</v>
      </c>
      <c r="H1087" s="13" t="s">
        <v>2818</v>
      </c>
      <c r="I1087" s="13" t="s">
        <v>63</v>
      </c>
      <c r="J1087" s="17" t="s">
        <v>71</v>
      </c>
      <c r="K1087" s="17" t="s">
        <v>58</v>
      </c>
      <c r="L1087" s="18" t="s">
        <v>52</v>
      </c>
      <c r="M1087" s="19">
        <v>28.0</v>
      </c>
      <c r="N1087" s="19">
        <v>31.0</v>
      </c>
    </row>
    <row r="1088">
      <c r="A1088" s="12">
        <v>1086.0</v>
      </c>
      <c r="B1088" s="13" t="s">
        <v>2091</v>
      </c>
      <c r="C1088" s="14">
        <v>126.0</v>
      </c>
      <c r="D1088" s="15" t="s">
        <v>2487</v>
      </c>
      <c r="E1088" s="16" t="s">
        <v>221</v>
      </c>
      <c r="F1088" s="13" t="s">
        <v>1348</v>
      </c>
      <c r="G1088" s="13" t="s">
        <v>2819</v>
      </c>
      <c r="H1088" s="13" t="s">
        <v>2820</v>
      </c>
      <c r="I1088" s="13" t="s">
        <v>63</v>
      </c>
      <c r="J1088" s="17" t="s">
        <v>71</v>
      </c>
      <c r="K1088" s="17" t="s">
        <v>58</v>
      </c>
      <c r="L1088" s="18" t="s">
        <v>52</v>
      </c>
      <c r="M1088" s="19">
        <v>28.0</v>
      </c>
      <c r="N1088" s="19">
        <v>31.0</v>
      </c>
    </row>
    <row r="1089">
      <c r="A1089" s="12">
        <v>1087.0</v>
      </c>
      <c r="B1089" s="13" t="s">
        <v>2091</v>
      </c>
      <c r="C1089" s="14">
        <v>127.0</v>
      </c>
      <c r="D1089" s="15" t="s">
        <v>2487</v>
      </c>
      <c r="E1089" s="16" t="s">
        <v>221</v>
      </c>
      <c r="F1089" s="13" t="s">
        <v>2328</v>
      </c>
      <c r="G1089" s="13" t="s">
        <v>2329</v>
      </c>
      <c r="H1089" s="13" t="s">
        <v>2821</v>
      </c>
      <c r="I1089" s="13" t="s">
        <v>63</v>
      </c>
      <c r="J1089" s="17" t="s">
        <v>71</v>
      </c>
      <c r="K1089" s="17" t="s">
        <v>58</v>
      </c>
      <c r="L1089" s="18" t="s">
        <v>52</v>
      </c>
      <c r="M1089" s="19">
        <v>28.0</v>
      </c>
      <c r="N1089" s="19">
        <v>31.0</v>
      </c>
    </row>
    <row r="1090">
      <c r="A1090" s="12">
        <v>1088.0</v>
      </c>
      <c r="B1090" s="13" t="s">
        <v>2091</v>
      </c>
      <c r="C1090" s="14">
        <v>128.0</v>
      </c>
      <c r="D1090" s="15" t="s">
        <v>2487</v>
      </c>
      <c r="E1090" s="16" t="s">
        <v>221</v>
      </c>
      <c r="F1090" s="13" t="s">
        <v>2822</v>
      </c>
      <c r="G1090" s="13" t="s">
        <v>2823</v>
      </c>
      <c r="H1090" s="13" t="s">
        <v>2824</v>
      </c>
      <c r="I1090" s="13" t="s">
        <v>63</v>
      </c>
      <c r="J1090" s="17" t="s">
        <v>71</v>
      </c>
      <c r="K1090" s="17" t="s">
        <v>58</v>
      </c>
      <c r="L1090" s="18" t="s">
        <v>52</v>
      </c>
      <c r="M1090" s="19">
        <v>28.0</v>
      </c>
      <c r="N1090" s="19">
        <v>31.0</v>
      </c>
    </row>
    <row r="1091">
      <c r="A1091" s="12">
        <v>1089.0</v>
      </c>
      <c r="B1091" s="13" t="s">
        <v>2091</v>
      </c>
      <c r="C1091" s="14">
        <v>129.0</v>
      </c>
      <c r="D1091" s="15" t="s">
        <v>2487</v>
      </c>
      <c r="E1091" s="16" t="s">
        <v>221</v>
      </c>
      <c r="F1091" s="13" t="s">
        <v>535</v>
      </c>
      <c r="G1091" s="13" t="s">
        <v>784</v>
      </c>
      <c r="H1091" s="13" t="s">
        <v>2825</v>
      </c>
      <c r="I1091" s="13" t="s">
        <v>63</v>
      </c>
      <c r="J1091" s="17" t="s">
        <v>71</v>
      </c>
      <c r="K1091" s="17" t="s">
        <v>58</v>
      </c>
      <c r="L1091" s="18" t="s">
        <v>52</v>
      </c>
      <c r="M1091" s="19">
        <v>28.0</v>
      </c>
      <c r="N1091" s="19">
        <v>31.0</v>
      </c>
    </row>
    <row r="1092">
      <c r="A1092" s="12">
        <v>1090.0</v>
      </c>
      <c r="B1092" s="13" t="s">
        <v>2091</v>
      </c>
      <c r="C1092" s="14">
        <v>130.0</v>
      </c>
      <c r="D1092" s="15" t="s">
        <v>2487</v>
      </c>
      <c r="E1092" s="16" t="s">
        <v>221</v>
      </c>
      <c r="F1092" s="13" t="s">
        <v>1288</v>
      </c>
      <c r="G1092" s="13" t="s">
        <v>1907</v>
      </c>
      <c r="H1092" s="13" t="s">
        <v>2826</v>
      </c>
      <c r="I1092" s="13" t="s">
        <v>63</v>
      </c>
      <c r="J1092" s="17" t="s">
        <v>71</v>
      </c>
      <c r="K1092" s="17" t="s">
        <v>58</v>
      </c>
      <c r="L1092" s="18" t="s">
        <v>52</v>
      </c>
      <c r="M1092" s="19">
        <v>28.0</v>
      </c>
      <c r="N1092" s="19">
        <v>31.0</v>
      </c>
    </row>
    <row r="1093">
      <c r="A1093" s="12">
        <v>1091.0</v>
      </c>
      <c r="B1093" s="13" t="s">
        <v>2091</v>
      </c>
      <c r="C1093" s="14">
        <v>131.0</v>
      </c>
      <c r="D1093" s="15" t="s">
        <v>2487</v>
      </c>
      <c r="E1093" s="16" t="s">
        <v>221</v>
      </c>
      <c r="F1093" s="13" t="s">
        <v>2828</v>
      </c>
      <c r="G1093" s="13" t="s">
        <v>2829</v>
      </c>
      <c r="H1093" s="13" t="s">
        <v>2830</v>
      </c>
      <c r="I1093" s="13" t="s">
        <v>63</v>
      </c>
      <c r="J1093" s="17" t="s">
        <v>71</v>
      </c>
      <c r="K1093" s="17" t="s">
        <v>58</v>
      </c>
      <c r="L1093" s="18" t="s">
        <v>52</v>
      </c>
      <c r="M1093" s="19">
        <v>28.0</v>
      </c>
      <c r="N1093" s="19">
        <v>31.0</v>
      </c>
    </row>
    <row r="1094">
      <c r="A1094" s="12">
        <v>1092.0</v>
      </c>
      <c r="B1094" s="13" t="s">
        <v>2091</v>
      </c>
      <c r="C1094" s="14">
        <v>132.0</v>
      </c>
      <c r="D1094" s="15" t="s">
        <v>2487</v>
      </c>
      <c r="E1094" s="16" t="s">
        <v>221</v>
      </c>
      <c r="F1094" s="13" t="s">
        <v>1781</v>
      </c>
      <c r="G1094" s="13" t="s">
        <v>2831</v>
      </c>
      <c r="H1094" s="13" t="s">
        <v>2832</v>
      </c>
      <c r="I1094" s="13" t="s">
        <v>63</v>
      </c>
      <c r="J1094" s="17" t="s">
        <v>71</v>
      </c>
      <c r="K1094" s="17" t="s">
        <v>58</v>
      </c>
      <c r="L1094" s="18" t="s">
        <v>52</v>
      </c>
      <c r="M1094" s="19">
        <v>28.0</v>
      </c>
      <c r="N1094" s="19">
        <v>31.0</v>
      </c>
    </row>
    <row r="1095">
      <c r="A1095" s="12">
        <v>1093.0</v>
      </c>
      <c r="B1095" s="13" t="s">
        <v>2091</v>
      </c>
      <c r="C1095" s="14">
        <v>133.0</v>
      </c>
      <c r="D1095" s="15" t="s">
        <v>2487</v>
      </c>
      <c r="E1095" s="16" t="s">
        <v>221</v>
      </c>
      <c r="F1095" s="13" t="s">
        <v>2833</v>
      </c>
      <c r="G1095" s="13" t="s">
        <v>2834</v>
      </c>
      <c r="H1095" s="13" t="s">
        <v>2835</v>
      </c>
      <c r="I1095" s="13" t="s">
        <v>63</v>
      </c>
      <c r="J1095" s="17" t="s">
        <v>71</v>
      </c>
      <c r="K1095" s="17" t="s">
        <v>58</v>
      </c>
      <c r="L1095" s="18" t="s">
        <v>52</v>
      </c>
      <c r="M1095" s="19">
        <v>28.0</v>
      </c>
      <c r="N1095" s="19">
        <v>31.0</v>
      </c>
    </row>
    <row r="1096">
      <c r="A1096" s="12">
        <v>1094.0</v>
      </c>
      <c r="B1096" s="13" t="s">
        <v>2091</v>
      </c>
      <c r="C1096" s="14">
        <v>134.0</v>
      </c>
      <c r="D1096" s="15" t="s">
        <v>2487</v>
      </c>
      <c r="E1096" s="16" t="s">
        <v>221</v>
      </c>
      <c r="F1096" s="13" t="s">
        <v>2008</v>
      </c>
      <c r="G1096" s="13" t="s">
        <v>61</v>
      </c>
      <c r="H1096" s="13" t="s">
        <v>2836</v>
      </c>
      <c r="I1096" s="13" t="s">
        <v>63</v>
      </c>
      <c r="J1096" s="17" t="s">
        <v>71</v>
      </c>
      <c r="K1096" s="17" t="s">
        <v>58</v>
      </c>
      <c r="L1096" s="18" t="s">
        <v>52</v>
      </c>
      <c r="M1096" s="19">
        <v>28.0</v>
      </c>
      <c r="N1096" s="19">
        <v>31.0</v>
      </c>
    </row>
    <row r="1097">
      <c r="A1097" s="12">
        <v>1095.0</v>
      </c>
      <c r="B1097" s="13" t="s">
        <v>2091</v>
      </c>
      <c r="C1097" s="14">
        <v>135.0</v>
      </c>
      <c r="D1097" s="15" t="s">
        <v>2487</v>
      </c>
      <c r="E1097" s="16" t="s">
        <v>221</v>
      </c>
      <c r="F1097" s="13" t="s">
        <v>1225</v>
      </c>
      <c r="G1097" s="13" t="s">
        <v>2837</v>
      </c>
      <c r="H1097" s="13" t="s">
        <v>2838</v>
      </c>
      <c r="I1097" s="13" t="s">
        <v>63</v>
      </c>
      <c r="J1097" s="17" t="s">
        <v>71</v>
      </c>
      <c r="K1097" s="17" t="s">
        <v>58</v>
      </c>
      <c r="L1097" s="18" t="s">
        <v>52</v>
      </c>
      <c r="M1097" s="19">
        <v>28.0</v>
      </c>
      <c r="N1097" s="19">
        <v>31.0</v>
      </c>
    </row>
    <row r="1098">
      <c r="A1098" s="12">
        <v>1096.0</v>
      </c>
      <c r="B1098" s="13" t="s">
        <v>2091</v>
      </c>
      <c r="C1098" s="14">
        <v>136.0</v>
      </c>
      <c r="D1098" s="15" t="s">
        <v>2487</v>
      </c>
      <c r="E1098" s="16" t="s">
        <v>221</v>
      </c>
      <c r="F1098" s="13" t="s">
        <v>2839</v>
      </c>
      <c r="G1098" s="13" t="s">
        <v>2840</v>
      </c>
      <c r="H1098" s="13" t="s">
        <v>2841</v>
      </c>
      <c r="I1098" s="13" t="s">
        <v>63</v>
      </c>
      <c r="J1098" s="17" t="s">
        <v>71</v>
      </c>
      <c r="K1098" s="17" t="s">
        <v>58</v>
      </c>
      <c r="L1098" s="18" t="s">
        <v>52</v>
      </c>
      <c r="M1098" s="19">
        <v>28.0</v>
      </c>
      <c r="N1098" s="19">
        <v>31.0</v>
      </c>
    </row>
    <row r="1099">
      <c r="A1099" s="12">
        <v>1097.0</v>
      </c>
      <c r="B1099" s="13" t="s">
        <v>2091</v>
      </c>
      <c r="C1099" s="14">
        <v>137.0</v>
      </c>
      <c r="D1099" s="15" t="s">
        <v>2487</v>
      </c>
      <c r="E1099" s="16" t="s">
        <v>221</v>
      </c>
      <c r="F1099" s="13" t="s">
        <v>2842</v>
      </c>
      <c r="G1099" s="13" t="s">
        <v>2843</v>
      </c>
      <c r="H1099" s="13" t="s">
        <v>2844</v>
      </c>
      <c r="I1099" s="13" t="s">
        <v>63</v>
      </c>
      <c r="J1099" s="17" t="s">
        <v>71</v>
      </c>
      <c r="K1099" s="17" t="s">
        <v>58</v>
      </c>
      <c r="L1099" s="18" t="s">
        <v>52</v>
      </c>
      <c r="M1099" s="19">
        <v>28.0</v>
      </c>
      <c r="N1099" s="19">
        <v>31.0</v>
      </c>
    </row>
    <row r="1100">
      <c r="A1100" s="12">
        <v>1098.0</v>
      </c>
      <c r="B1100" s="13" t="s">
        <v>2091</v>
      </c>
      <c r="C1100" s="14">
        <v>138.0</v>
      </c>
      <c r="D1100" s="15" t="s">
        <v>2487</v>
      </c>
      <c r="E1100" s="16" t="s">
        <v>221</v>
      </c>
      <c r="F1100" s="13" t="s">
        <v>845</v>
      </c>
      <c r="G1100" s="13" t="s">
        <v>2846</v>
      </c>
      <c r="H1100" s="13" t="s">
        <v>2847</v>
      </c>
      <c r="I1100" s="13" t="s">
        <v>63</v>
      </c>
      <c r="J1100" s="17" t="s">
        <v>71</v>
      </c>
      <c r="K1100" s="17" t="s">
        <v>58</v>
      </c>
      <c r="L1100" s="18" t="s">
        <v>52</v>
      </c>
      <c r="M1100" s="19">
        <v>28.0</v>
      </c>
      <c r="N1100" s="19">
        <v>31.0</v>
      </c>
    </row>
    <row r="1101">
      <c r="A1101" s="12">
        <v>1099.0</v>
      </c>
      <c r="B1101" s="13" t="s">
        <v>2091</v>
      </c>
      <c r="C1101" s="14">
        <v>139.0</v>
      </c>
      <c r="D1101" s="15" t="s">
        <v>2487</v>
      </c>
      <c r="E1101" s="16" t="s">
        <v>221</v>
      </c>
      <c r="F1101" s="13" t="s">
        <v>582</v>
      </c>
      <c r="G1101" s="13" t="s">
        <v>2849</v>
      </c>
      <c r="H1101" s="13" t="s">
        <v>2850</v>
      </c>
      <c r="I1101" s="13" t="s">
        <v>63</v>
      </c>
      <c r="J1101" s="17" t="s">
        <v>71</v>
      </c>
      <c r="K1101" s="17" t="s">
        <v>58</v>
      </c>
      <c r="L1101" s="18" t="s">
        <v>52</v>
      </c>
      <c r="M1101" s="19">
        <v>28.0</v>
      </c>
      <c r="N1101" s="19">
        <v>31.0</v>
      </c>
    </row>
    <row r="1102">
      <c r="A1102" s="12">
        <v>1100.0</v>
      </c>
      <c r="B1102" s="13" t="s">
        <v>2091</v>
      </c>
      <c r="C1102" s="14">
        <v>140.0</v>
      </c>
      <c r="D1102" s="15" t="s">
        <v>2487</v>
      </c>
      <c r="E1102" s="16" t="s">
        <v>221</v>
      </c>
      <c r="F1102" s="13" t="s">
        <v>2851</v>
      </c>
      <c r="G1102" s="13" t="s">
        <v>2852</v>
      </c>
      <c r="H1102" s="13" t="s">
        <v>2853</v>
      </c>
      <c r="I1102" s="13" t="s">
        <v>63</v>
      </c>
      <c r="J1102" s="17" t="s">
        <v>71</v>
      </c>
      <c r="K1102" s="17" t="s">
        <v>58</v>
      </c>
      <c r="L1102" s="18" t="s">
        <v>52</v>
      </c>
      <c r="M1102" s="19">
        <v>28.0</v>
      </c>
      <c r="N1102" s="19">
        <v>31.0</v>
      </c>
    </row>
    <row r="1103">
      <c r="A1103" s="12">
        <v>1101.0</v>
      </c>
      <c r="B1103" s="13" t="s">
        <v>2091</v>
      </c>
      <c r="C1103" s="14">
        <v>141.0</v>
      </c>
      <c r="D1103" s="15" t="s">
        <v>2487</v>
      </c>
      <c r="E1103" s="16" t="s">
        <v>221</v>
      </c>
      <c r="F1103" s="13" t="s">
        <v>1240</v>
      </c>
      <c r="G1103" s="13" t="s">
        <v>2854</v>
      </c>
      <c r="H1103" s="13" t="s">
        <v>2855</v>
      </c>
      <c r="I1103" s="13" t="s">
        <v>63</v>
      </c>
      <c r="J1103" s="17" t="s">
        <v>71</v>
      </c>
      <c r="K1103" s="17" t="s">
        <v>58</v>
      </c>
      <c r="L1103" s="18" t="s">
        <v>52</v>
      </c>
      <c r="M1103" s="19">
        <v>28.0</v>
      </c>
      <c r="N1103" s="19">
        <v>31.0</v>
      </c>
    </row>
    <row r="1104">
      <c r="A1104" s="12">
        <v>1102.0</v>
      </c>
      <c r="B1104" s="13" t="s">
        <v>2091</v>
      </c>
      <c r="C1104" s="14">
        <v>142.0</v>
      </c>
      <c r="D1104" s="15" t="s">
        <v>2487</v>
      </c>
      <c r="E1104" s="16" t="s">
        <v>221</v>
      </c>
      <c r="F1104" s="13" t="s">
        <v>2856</v>
      </c>
      <c r="G1104" s="13" t="s">
        <v>2857</v>
      </c>
      <c r="H1104" s="13" t="s">
        <v>2858</v>
      </c>
      <c r="I1104" s="13" t="s">
        <v>63</v>
      </c>
      <c r="J1104" s="17" t="s">
        <v>71</v>
      </c>
      <c r="K1104" s="17" t="s">
        <v>58</v>
      </c>
      <c r="L1104" s="18" t="s">
        <v>52</v>
      </c>
      <c r="M1104" s="19">
        <v>28.0</v>
      </c>
      <c r="N1104" s="19">
        <v>31.0</v>
      </c>
    </row>
    <row r="1105">
      <c r="A1105" s="12">
        <v>1103.0</v>
      </c>
      <c r="B1105" s="13" t="s">
        <v>2091</v>
      </c>
      <c r="C1105" s="14">
        <v>143.0</v>
      </c>
      <c r="D1105" s="15" t="s">
        <v>2487</v>
      </c>
      <c r="E1105" s="16" t="s">
        <v>221</v>
      </c>
      <c r="F1105" s="13" t="s">
        <v>2479</v>
      </c>
      <c r="G1105" s="13" t="s">
        <v>2859</v>
      </c>
      <c r="H1105" s="13" t="s">
        <v>2860</v>
      </c>
      <c r="I1105" s="13" t="s">
        <v>63</v>
      </c>
      <c r="J1105" s="17" t="s">
        <v>71</v>
      </c>
      <c r="K1105" s="17" t="s">
        <v>58</v>
      </c>
      <c r="L1105" s="18" t="s">
        <v>52</v>
      </c>
      <c r="M1105" s="19">
        <v>28.0</v>
      </c>
      <c r="N1105" s="19">
        <v>31.0</v>
      </c>
    </row>
    <row r="1106">
      <c r="A1106" s="12">
        <v>1104.0</v>
      </c>
      <c r="B1106" s="13" t="s">
        <v>2091</v>
      </c>
      <c r="C1106" s="14">
        <v>144.0</v>
      </c>
      <c r="D1106" s="15" t="s">
        <v>2487</v>
      </c>
      <c r="E1106" s="16" t="s">
        <v>221</v>
      </c>
      <c r="F1106" s="13" t="s">
        <v>1631</v>
      </c>
      <c r="G1106" s="13" t="s">
        <v>2861</v>
      </c>
      <c r="H1106" s="13" t="s">
        <v>2862</v>
      </c>
      <c r="I1106" s="13" t="s">
        <v>63</v>
      </c>
      <c r="J1106" s="17" t="s">
        <v>71</v>
      </c>
      <c r="K1106" s="17" t="s">
        <v>58</v>
      </c>
      <c r="L1106" s="18" t="s">
        <v>52</v>
      </c>
      <c r="M1106" s="19">
        <v>28.0</v>
      </c>
      <c r="N1106" s="19">
        <v>31.0</v>
      </c>
    </row>
    <row r="1107">
      <c r="A1107" s="12">
        <v>1105.0</v>
      </c>
      <c r="B1107" s="13" t="s">
        <v>2091</v>
      </c>
      <c r="C1107" s="14">
        <v>145.0</v>
      </c>
      <c r="D1107" s="15" t="s">
        <v>2487</v>
      </c>
      <c r="E1107" s="16" t="s">
        <v>221</v>
      </c>
      <c r="F1107" s="13" t="s">
        <v>2000</v>
      </c>
      <c r="G1107" s="13" t="s">
        <v>2001</v>
      </c>
      <c r="H1107" s="13" t="s">
        <v>2002</v>
      </c>
      <c r="I1107" s="13" t="s">
        <v>63</v>
      </c>
      <c r="J1107" s="17" t="s">
        <v>71</v>
      </c>
      <c r="K1107" s="17" t="s">
        <v>58</v>
      </c>
      <c r="L1107" s="18" t="s">
        <v>52</v>
      </c>
      <c r="M1107" s="19">
        <v>28.0</v>
      </c>
      <c r="N1107" s="19">
        <v>31.0</v>
      </c>
    </row>
    <row r="1108">
      <c r="A1108" s="12">
        <v>1106.0</v>
      </c>
      <c r="B1108" s="13" t="s">
        <v>2091</v>
      </c>
      <c r="C1108" s="14">
        <v>146.0</v>
      </c>
      <c r="D1108" s="15" t="s">
        <v>2487</v>
      </c>
      <c r="E1108" s="16" t="s">
        <v>221</v>
      </c>
      <c r="F1108" s="13" t="s">
        <v>2385</v>
      </c>
      <c r="G1108" s="13" t="s">
        <v>2866</v>
      </c>
      <c r="H1108" s="13" t="s">
        <v>2867</v>
      </c>
      <c r="I1108" s="13" t="s">
        <v>63</v>
      </c>
      <c r="J1108" s="17" t="s">
        <v>71</v>
      </c>
      <c r="K1108" s="17" t="s">
        <v>58</v>
      </c>
      <c r="L1108" s="18" t="s">
        <v>52</v>
      </c>
      <c r="M1108" s="19">
        <v>28.0</v>
      </c>
      <c r="N1108" s="19">
        <v>31.0</v>
      </c>
    </row>
    <row r="1109">
      <c r="A1109" s="12">
        <v>1107.0</v>
      </c>
      <c r="B1109" s="13" t="s">
        <v>2091</v>
      </c>
      <c r="C1109" s="14">
        <v>147.0</v>
      </c>
      <c r="D1109" s="15" t="s">
        <v>2487</v>
      </c>
      <c r="E1109" s="16" t="s">
        <v>221</v>
      </c>
      <c r="F1109" s="13" t="s">
        <v>1969</v>
      </c>
      <c r="G1109" s="13" t="s">
        <v>61</v>
      </c>
      <c r="H1109" s="13" t="s">
        <v>2869</v>
      </c>
      <c r="I1109" s="13" t="s">
        <v>63</v>
      </c>
      <c r="J1109" s="17" t="s">
        <v>71</v>
      </c>
      <c r="K1109" s="17" t="s">
        <v>58</v>
      </c>
      <c r="L1109" s="18" t="s">
        <v>52</v>
      </c>
      <c r="M1109" s="19">
        <v>28.0</v>
      </c>
      <c r="N1109" s="19">
        <v>31.0</v>
      </c>
    </row>
    <row r="1110">
      <c r="A1110" s="12">
        <v>1108.0</v>
      </c>
      <c r="B1110" s="13" t="s">
        <v>2091</v>
      </c>
      <c r="C1110" s="14">
        <v>148.0</v>
      </c>
      <c r="D1110" s="15" t="s">
        <v>2487</v>
      </c>
      <c r="E1110" s="16" t="s">
        <v>221</v>
      </c>
      <c r="F1110" s="13" t="s">
        <v>2870</v>
      </c>
      <c r="G1110" s="13" t="s">
        <v>2871</v>
      </c>
      <c r="H1110" s="13" t="s">
        <v>2872</v>
      </c>
      <c r="I1110" s="13" t="s">
        <v>63</v>
      </c>
      <c r="J1110" s="17" t="s">
        <v>71</v>
      </c>
      <c r="K1110" s="17" t="s">
        <v>58</v>
      </c>
      <c r="L1110" s="18" t="s">
        <v>52</v>
      </c>
      <c r="M1110" s="19">
        <v>28.0</v>
      </c>
      <c r="N1110" s="19">
        <v>31.0</v>
      </c>
    </row>
    <row r="1111">
      <c r="A1111" s="12">
        <v>1109.0</v>
      </c>
      <c r="B1111" s="13" t="s">
        <v>2091</v>
      </c>
      <c r="C1111" s="14">
        <v>149.0</v>
      </c>
      <c r="D1111" s="15" t="s">
        <v>2487</v>
      </c>
      <c r="E1111" s="16" t="s">
        <v>221</v>
      </c>
      <c r="F1111" s="13" t="s">
        <v>1530</v>
      </c>
      <c r="G1111" s="13" t="s">
        <v>1531</v>
      </c>
      <c r="H1111" s="13" t="s">
        <v>2873</v>
      </c>
      <c r="I1111" s="13" t="s">
        <v>63</v>
      </c>
      <c r="J1111" s="17" t="s">
        <v>71</v>
      </c>
      <c r="K1111" s="17" t="s">
        <v>58</v>
      </c>
      <c r="L1111" s="18" t="s">
        <v>52</v>
      </c>
      <c r="M1111" s="19">
        <v>28.0</v>
      </c>
      <c r="N1111" s="19">
        <v>31.0</v>
      </c>
    </row>
    <row r="1112">
      <c r="A1112" s="12">
        <v>1110.0</v>
      </c>
      <c r="B1112" s="13" t="s">
        <v>2091</v>
      </c>
      <c r="C1112" s="14">
        <v>150.0</v>
      </c>
      <c r="D1112" s="15" t="s">
        <v>2487</v>
      </c>
      <c r="E1112" s="16" t="s">
        <v>221</v>
      </c>
      <c r="F1112" s="13" t="s">
        <v>2874</v>
      </c>
      <c r="G1112" s="13" t="s">
        <v>2875</v>
      </c>
      <c r="H1112" s="13" t="s">
        <v>2876</v>
      </c>
      <c r="I1112" s="13" t="s">
        <v>63</v>
      </c>
      <c r="J1112" s="17" t="s">
        <v>71</v>
      </c>
      <c r="K1112" s="17" t="s">
        <v>58</v>
      </c>
      <c r="L1112" s="18" t="s">
        <v>52</v>
      </c>
      <c r="M1112" s="19">
        <v>28.0</v>
      </c>
      <c r="N1112" s="19">
        <v>31.0</v>
      </c>
    </row>
    <row r="1113">
      <c r="A1113" s="12">
        <v>1111.0</v>
      </c>
      <c r="B1113" s="13" t="s">
        <v>2091</v>
      </c>
      <c r="C1113" s="14">
        <v>151.0</v>
      </c>
      <c r="D1113" s="15" t="s">
        <v>2491</v>
      </c>
      <c r="E1113" s="16" t="s">
        <v>221</v>
      </c>
      <c r="F1113" s="13" t="s">
        <v>2878</v>
      </c>
      <c r="G1113" s="13" t="s">
        <v>2879</v>
      </c>
      <c r="H1113" s="13" t="s">
        <v>2880</v>
      </c>
      <c r="I1113" s="13" t="s">
        <v>63</v>
      </c>
      <c r="J1113" s="17" t="s">
        <v>71</v>
      </c>
      <c r="K1113" s="17" t="s">
        <v>58</v>
      </c>
      <c r="L1113" s="18" t="s">
        <v>52</v>
      </c>
      <c r="M1113" s="19">
        <v>28.0</v>
      </c>
      <c r="N1113" s="19">
        <v>31.0</v>
      </c>
    </row>
    <row r="1114">
      <c r="A1114" s="12">
        <v>1112.0</v>
      </c>
      <c r="B1114" s="13" t="s">
        <v>2091</v>
      </c>
      <c r="C1114" s="14">
        <v>152.0</v>
      </c>
      <c r="D1114" s="15" t="s">
        <v>2491</v>
      </c>
      <c r="E1114" s="16" t="s">
        <v>221</v>
      </c>
      <c r="F1114" s="13" t="s">
        <v>413</v>
      </c>
      <c r="G1114" s="13" t="s">
        <v>2881</v>
      </c>
      <c r="H1114" s="13" t="s">
        <v>2882</v>
      </c>
      <c r="I1114" s="13" t="s">
        <v>63</v>
      </c>
      <c r="J1114" s="17" t="s">
        <v>71</v>
      </c>
      <c r="K1114" s="17" t="s">
        <v>58</v>
      </c>
      <c r="L1114" s="18" t="s">
        <v>52</v>
      </c>
      <c r="M1114" s="19">
        <v>28.0</v>
      </c>
      <c r="N1114" s="19">
        <v>31.0</v>
      </c>
    </row>
    <row r="1115">
      <c r="A1115" s="12">
        <v>1113.0</v>
      </c>
      <c r="B1115" s="13" t="s">
        <v>2091</v>
      </c>
      <c r="C1115" s="14">
        <v>153.0</v>
      </c>
      <c r="D1115" s="15" t="s">
        <v>2491</v>
      </c>
      <c r="E1115" s="16" t="s">
        <v>221</v>
      </c>
      <c r="F1115" s="13" t="s">
        <v>2883</v>
      </c>
      <c r="G1115" s="13" t="s">
        <v>2884</v>
      </c>
      <c r="H1115" s="13" t="s">
        <v>2885</v>
      </c>
      <c r="I1115" s="13" t="s">
        <v>63</v>
      </c>
      <c r="J1115" s="17" t="s">
        <v>71</v>
      </c>
      <c r="K1115" s="17" t="s">
        <v>58</v>
      </c>
      <c r="L1115" s="18" t="s">
        <v>52</v>
      </c>
      <c r="M1115" s="19">
        <v>28.0</v>
      </c>
      <c r="N1115" s="19">
        <v>31.0</v>
      </c>
    </row>
    <row r="1116">
      <c r="A1116" s="12">
        <v>1114.0</v>
      </c>
      <c r="B1116" s="13" t="s">
        <v>2091</v>
      </c>
      <c r="C1116" s="14">
        <v>154.0</v>
      </c>
      <c r="D1116" s="15" t="s">
        <v>2491</v>
      </c>
      <c r="E1116" s="16" t="s">
        <v>221</v>
      </c>
      <c r="F1116" s="13" t="s">
        <v>2065</v>
      </c>
      <c r="G1116" s="13" t="s">
        <v>2887</v>
      </c>
      <c r="H1116" s="13" t="s">
        <v>2888</v>
      </c>
      <c r="I1116" s="13" t="s">
        <v>63</v>
      </c>
      <c r="J1116" s="17" t="s">
        <v>71</v>
      </c>
      <c r="K1116" s="17" t="s">
        <v>58</v>
      </c>
      <c r="L1116" s="18" t="s">
        <v>52</v>
      </c>
      <c r="M1116" s="19">
        <v>28.0</v>
      </c>
      <c r="N1116" s="19">
        <v>31.0</v>
      </c>
    </row>
    <row r="1117">
      <c r="A1117" s="12">
        <v>1115.0</v>
      </c>
      <c r="B1117" s="13" t="s">
        <v>2091</v>
      </c>
      <c r="C1117" s="14">
        <v>155.0</v>
      </c>
      <c r="D1117" s="15" t="s">
        <v>2491</v>
      </c>
      <c r="E1117" s="16" t="s">
        <v>221</v>
      </c>
      <c r="F1117" s="13" t="s">
        <v>2889</v>
      </c>
      <c r="G1117" s="13" t="s">
        <v>2890</v>
      </c>
      <c r="H1117" s="13" t="s">
        <v>2891</v>
      </c>
      <c r="I1117" s="13" t="s">
        <v>63</v>
      </c>
      <c r="J1117" s="17" t="s">
        <v>71</v>
      </c>
      <c r="K1117" s="17" t="s">
        <v>58</v>
      </c>
      <c r="L1117" s="18" t="s">
        <v>52</v>
      </c>
      <c r="M1117" s="19">
        <v>28.0</v>
      </c>
      <c r="N1117" s="19">
        <v>31.0</v>
      </c>
    </row>
    <row r="1118">
      <c r="A1118" s="12">
        <v>1116.0</v>
      </c>
      <c r="B1118" s="13" t="s">
        <v>2091</v>
      </c>
      <c r="C1118" s="14">
        <v>156.0</v>
      </c>
      <c r="D1118" s="15" t="s">
        <v>2491</v>
      </c>
      <c r="E1118" s="16" t="s">
        <v>221</v>
      </c>
      <c r="F1118" s="13" t="s">
        <v>1275</v>
      </c>
      <c r="G1118" s="13" t="s">
        <v>2893</v>
      </c>
      <c r="H1118" s="13" t="s">
        <v>2894</v>
      </c>
      <c r="I1118" s="13" t="s">
        <v>63</v>
      </c>
      <c r="J1118" s="17" t="s">
        <v>71</v>
      </c>
      <c r="K1118" s="17" t="s">
        <v>58</v>
      </c>
      <c r="L1118" s="18" t="s">
        <v>52</v>
      </c>
      <c r="M1118" s="19">
        <v>28.0</v>
      </c>
      <c r="N1118" s="19">
        <v>31.0</v>
      </c>
    </row>
    <row r="1119">
      <c r="A1119" s="12">
        <v>1117.0</v>
      </c>
      <c r="B1119" s="13" t="s">
        <v>2091</v>
      </c>
      <c r="C1119" s="14">
        <v>157.0</v>
      </c>
      <c r="D1119" s="15" t="s">
        <v>2491</v>
      </c>
      <c r="E1119" s="16" t="s">
        <v>221</v>
      </c>
      <c r="F1119" s="13" t="s">
        <v>2895</v>
      </c>
      <c r="G1119" s="13" t="s">
        <v>2896</v>
      </c>
      <c r="H1119" s="13" t="s">
        <v>2897</v>
      </c>
      <c r="I1119" s="13" t="s">
        <v>63</v>
      </c>
      <c r="J1119" s="17" t="s">
        <v>71</v>
      </c>
      <c r="K1119" s="17" t="s">
        <v>58</v>
      </c>
      <c r="L1119" s="18" t="s">
        <v>52</v>
      </c>
      <c r="M1119" s="19">
        <v>28.0</v>
      </c>
      <c r="N1119" s="19">
        <v>31.0</v>
      </c>
    </row>
    <row r="1120">
      <c r="A1120" s="12">
        <v>1118.0</v>
      </c>
      <c r="B1120" s="13" t="s">
        <v>2091</v>
      </c>
      <c r="C1120" s="14">
        <v>158.0</v>
      </c>
      <c r="D1120" s="15" t="s">
        <v>2491</v>
      </c>
      <c r="E1120" s="16" t="s">
        <v>221</v>
      </c>
      <c r="F1120" s="13" t="s">
        <v>2898</v>
      </c>
      <c r="G1120" s="13" t="s">
        <v>2899</v>
      </c>
      <c r="H1120" s="13" t="s">
        <v>2900</v>
      </c>
      <c r="I1120" s="13" t="s">
        <v>63</v>
      </c>
      <c r="J1120" s="17" t="s">
        <v>71</v>
      </c>
      <c r="K1120" s="17" t="s">
        <v>58</v>
      </c>
      <c r="L1120" s="18" t="s">
        <v>52</v>
      </c>
      <c r="M1120" s="19">
        <v>28.0</v>
      </c>
      <c r="N1120" s="19">
        <v>31.0</v>
      </c>
    </row>
    <row r="1121">
      <c r="A1121" s="12">
        <v>1119.0</v>
      </c>
      <c r="B1121" s="13" t="s">
        <v>2091</v>
      </c>
      <c r="C1121" s="14">
        <v>159.0</v>
      </c>
      <c r="D1121" s="15" t="s">
        <v>2491</v>
      </c>
      <c r="E1121" s="16" t="s">
        <v>221</v>
      </c>
      <c r="F1121" s="13" t="s">
        <v>557</v>
      </c>
      <c r="G1121" s="13" t="s">
        <v>1043</v>
      </c>
      <c r="H1121" s="13" t="s">
        <v>2901</v>
      </c>
      <c r="I1121" s="13" t="s">
        <v>63</v>
      </c>
      <c r="J1121" s="17" t="s">
        <v>71</v>
      </c>
      <c r="K1121" s="17" t="s">
        <v>58</v>
      </c>
      <c r="L1121" s="18" t="s">
        <v>52</v>
      </c>
      <c r="M1121" s="19">
        <v>28.0</v>
      </c>
      <c r="N1121" s="19">
        <v>31.0</v>
      </c>
    </row>
    <row r="1122">
      <c r="A1122" s="12">
        <v>1120.0</v>
      </c>
      <c r="B1122" s="13" t="s">
        <v>2091</v>
      </c>
      <c r="C1122" s="14">
        <v>160.0</v>
      </c>
      <c r="D1122" s="15" t="s">
        <v>2491</v>
      </c>
      <c r="E1122" s="16" t="s">
        <v>221</v>
      </c>
      <c r="F1122" s="13" t="s">
        <v>2902</v>
      </c>
      <c r="G1122" s="13" t="s">
        <v>2903</v>
      </c>
      <c r="H1122" s="13" t="s">
        <v>2904</v>
      </c>
      <c r="I1122" s="13" t="s">
        <v>63</v>
      </c>
      <c r="J1122" s="17" t="s">
        <v>71</v>
      </c>
      <c r="K1122" s="17" t="s">
        <v>58</v>
      </c>
      <c r="L1122" s="18" t="s">
        <v>52</v>
      </c>
      <c r="M1122" s="19">
        <v>28.0</v>
      </c>
      <c r="N1122" s="19">
        <v>31.0</v>
      </c>
    </row>
    <row r="1123">
      <c r="A1123" s="12">
        <v>1121.0</v>
      </c>
      <c r="B1123" s="13" t="s">
        <v>2091</v>
      </c>
      <c r="C1123" s="14">
        <v>161.0</v>
      </c>
      <c r="D1123" s="15" t="s">
        <v>2491</v>
      </c>
      <c r="E1123" s="16" t="s">
        <v>221</v>
      </c>
      <c r="F1123" s="13" t="s">
        <v>2212</v>
      </c>
      <c r="G1123" s="13" t="s">
        <v>2905</v>
      </c>
      <c r="H1123" s="13" t="s">
        <v>2906</v>
      </c>
      <c r="I1123" s="13" t="s">
        <v>63</v>
      </c>
      <c r="J1123" s="17" t="s">
        <v>71</v>
      </c>
      <c r="K1123" s="17" t="s">
        <v>58</v>
      </c>
      <c r="L1123" s="18" t="s">
        <v>52</v>
      </c>
      <c r="M1123" s="19">
        <v>28.0</v>
      </c>
      <c r="N1123" s="19">
        <v>31.0</v>
      </c>
    </row>
    <row r="1124">
      <c r="A1124" s="12">
        <v>1122.0</v>
      </c>
      <c r="B1124" s="13" t="s">
        <v>2091</v>
      </c>
      <c r="C1124" s="14">
        <v>162.0</v>
      </c>
      <c r="D1124" s="15" t="s">
        <v>2491</v>
      </c>
      <c r="E1124" s="16" t="s">
        <v>221</v>
      </c>
      <c r="F1124" s="13" t="s">
        <v>2215</v>
      </c>
      <c r="G1124" s="13" t="s">
        <v>2907</v>
      </c>
      <c r="H1124" s="13" t="s">
        <v>2908</v>
      </c>
      <c r="I1124" s="13" t="s">
        <v>63</v>
      </c>
      <c r="J1124" s="17" t="s">
        <v>71</v>
      </c>
      <c r="K1124" s="17" t="s">
        <v>58</v>
      </c>
      <c r="L1124" s="18" t="s">
        <v>52</v>
      </c>
      <c r="M1124" s="19">
        <v>28.0</v>
      </c>
      <c r="N1124" s="19">
        <v>31.0</v>
      </c>
    </row>
    <row r="1125">
      <c r="A1125" s="12">
        <v>1123.0</v>
      </c>
      <c r="B1125" s="13" t="s">
        <v>2091</v>
      </c>
      <c r="C1125" s="14">
        <v>163.0</v>
      </c>
      <c r="D1125" s="15" t="s">
        <v>2491</v>
      </c>
      <c r="E1125" s="16" t="s">
        <v>221</v>
      </c>
      <c r="F1125" s="13" t="s">
        <v>741</v>
      </c>
      <c r="G1125" s="13" t="s">
        <v>2909</v>
      </c>
      <c r="H1125" s="13" t="s">
        <v>2910</v>
      </c>
      <c r="I1125" s="13" t="s">
        <v>63</v>
      </c>
      <c r="J1125" s="17" t="s">
        <v>71</v>
      </c>
      <c r="K1125" s="17" t="s">
        <v>58</v>
      </c>
      <c r="L1125" s="18" t="s">
        <v>52</v>
      </c>
      <c r="M1125" s="19">
        <v>28.0</v>
      </c>
      <c r="N1125" s="19">
        <v>31.0</v>
      </c>
    </row>
    <row r="1126">
      <c r="A1126" s="12">
        <v>1124.0</v>
      </c>
      <c r="B1126" s="13" t="s">
        <v>2091</v>
      </c>
      <c r="C1126" s="14">
        <v>164.0</v>
      </c>
      <c r="D1126" s="15" t="s">
        <v>2491</v>
      </c>
      <c r="E1126" s="16" t="s">
        <v>221</v>
      </c>
      <c r="F1126" s="13" t="s">
        <v>274</v>
      </c>
      <c r="G1126" s="13" t="s">
        <v>61</v>
      </c>
      <c r="H1126" s="13" t="s">
        <v>275</v>
      </c>
      <c r="I1126" s="13" t="s">
        <v>63</v>
      </c>
      <c r="J1126" s="17" t="s">
        <v>71</v>
      </c>
      <c r="K1126" s="17" t="s">
        <v>58</v>
      </c>
      <c r="L1126" s="18" t="s">
        <v>52</v>
      </c>
      <c r="M1126" s="19">
        <v>28.0</v>
      </c>
      <c r="N1126" s="19">
        <v>31.0</v>
      </c>
    </row>
    <row r="1127">
      <c r="A1127" s="12">
        <v>1125.0</v>
      </c>
      <c r="B1127" s="13" t="s">
        <v>2091</v>
      </c>
      <c r="C1127" s="14">
        <v>165.0</v>
      </c>
      <c r="D1127" s="15" t="s">
        <v>2491</v>
      </c>
      <c r="E1127" s="16" t="s">
        <v>221</v>
      </c>
      <c r="F1127" s="13" t="s">
        <v>2911</v>
      </c>
      <c r="G1127" s="13" t="s">
        <v>2912</v>
      </c>
      <c r="H1127" s="13" t="s">
        <v>2913</v>
      </c>
      <c r="I1127" s="13" t="s">
        <v>63</v>
      </c>
      <c r="J1127" s="17" t="s">
        <v>71</v>
      </c>
      <c r="K1127" s="17" t="s">
        <v>58</v>
      </c>
      <c r="L1127" s="18" t="s">
        <v>52</v>
      </c>
      <c r="M1127" s="19">
        <v>28.0</v>
      </c>
      <c r="N1127" s="19">
        <v>31.0</v>
      </c>
    </row>
    <row r="1128">
      <c r="A1128" s="12">
        <v>1126.0</v>
      </c>
      <c r="B1128" s="13" t="s">
        <v>2091</v>
      </c>
      <c r="C1128" s="14">
        <v>166.0</v>
      </c>
      <c r="D1128" s="15" t="s">
        <v>2491</v>
      </c>
      <c r="E1128" s="16" t="s">
        <v>221</v>
      </c>
      <c r="F1128" s="13" t="s">
        <v>1522</v>
      </c>
      <c r="G1128" s="13" t="s">
        <v>1523</v>
      </c>
      <c r="H1128" s="13" t="s">
        <v>1524</v>
      </c>
      <c r="I1128" s="13" t="s">
        <v>63</v>
      </c>
      <c r="J1128" s="17" t="s">
        <v>71</v>
      </c>
      <c r="K1128" s="17" t="s">
        <v>58</v>
      </c>
      <c r="L1128" s="18" t="s">
        <v>52</v>
      </c>
      <c r="M1128" s="19">
        <v>28.0</v>
      </c>
      <c r="N1128" s="19">
        <v>31.0</v>
      </c>
    </row>
    <row r="1129">
      <c r="A1129" s="12">
        <v>1127.0</v>
      </c>
      <c r="B1129" s="13" t="s">
        <v>2091</v>
      </c>
      <c r="C1129" s="14">
        <v>167.0</v>
      </c>
      <c r="D1129" s="15" t="s">
        <v>2491</v>
      </c>
      <c r="E1129" s="16" t="s">
        <v>221</v>
      </c>
      <c r="F1129" s="13" t="s">
        <v>375</v>
      </c>
      <c r="G1129" s="13" t="s">
        <v>1051</v>
      </c>
      <c r="H1129" s="13" t="s">
        <v>2174</v>
      </c>
      <c r="I1129" s="13" t="s">
        <v>63</v>
      </c>
      <c r="J1129" s="17" t="s">
        <v>71</v>
      </c>
      <c r="K1129" s="17" t="s">
        <v>58</v>
      </c>
      <c r="L1129" s="18" t="s">
        <v>52</v>
      </c>
      <c r="M1129" s="19">
        <v>28.0</v>
      </c>
      <c r="N1129" s="19">
        <v>31.0</v>
      </c>
    </row>
    <row r="1130">
      <c r="A1130" s="12">
        <v>1128.0</v>
      </c>
      <c r="B1130" s="13" t="s">
        <v>2091</v>
      </c>
      <c r="C1130" s="14">
        <v>168.0</v>
      </c>
      <c r="D1130" s="15" t="s">
        <v>2491</v>
      </c>
      <c r="E1130" s="16" t="s">
        <v>221</v>
      </c>
      <c r="F1130" s="13" t="s">
        <v>2914</v>
      </c>
      <c r="G1130" s="13" t="s">
        <v>61</v>
      </c>
      <c r="H1130" s="13" t="s">
        <v>2915</v>
      </c>
      <c r="I1130" s="13" t="s">
        <v>63</v>
      </c>
      <c r="J1130" s="17" t="s">
        <v>71</v>
      </c>
      <c r="K1130" s="17" t="s">
        <v>58</v>
      </c>
      <c r="L1130" s="18" t="s">
        <v>52</v>
      </c>
      <c r="M1130" s="19">
        <v>28.0</v>
      </c>
      <c r="N1130" s="19">
        <v>31.0</v>
      </c>
    </row>
    <row r="1131">
      <c r="A1131" s="12">
        <v>1129.0</v>
      </c>
      <c r="B1131" s="13" t="s">
        <v>2091</v>
      </c>
      <c r="C1131" s="14">
        <v>169.0</v>
      </c>
      <c r="D1131" s="15" t="s">
        <v>2491</v>
      </c>
      <c r="E1131" s="16" t="s">
        <v>221</v>
      </c>
      <c r="F1131" s="13" t="s">
        <v>1520</v>
      </c>
      <c r="G1131" s="13" t="s">
        <v>61</v>
      </c>
      <c r="H1131" s="13" t="s">
        <v>2916</v>
      </c>
      <c r="I1131" s="13" t="s">
        <v>63</v>
      </c>
      <c r="J1131" s="17" t="s">
        <v>71</v>
      </c>
      <c r="K1131" s="17" t="s">
        <v>58</v>
      </c>
      <c r="L1131" s="18" t="s">
        <v>52</v>
      </c>
      <c r="M1131" s="19">
        <v>28.0</v>
      </c>
      <c r="N1131" s="19">
        <v>31.0</v>
      </c>
    </row>
    <row r="1132">
      <c r="A1132" s="12">
        <v>1130.0</v>
      </c>
      <c r="B1132" s="13" t="s">
        <v>2091</v>
      </c>
      <c r="C1132" s="14">
        <v>170.0</v>
      </c>
      <c r="D1132" s="15" t="s">
        <v>2491</v>
      </c>
      <c r="E1132" s="16" t="s">
        <v>221</v>
      </c>
      <c r="F1132" s="13" t="s">
        <v>218</v>
      </c>
      <c r="G1132" s="13" t="s">
        <v>2185</v>
      </c>
      <c r="H1132" s="13" t="s">
        <v>2186</v>
      </c>
      <c r="I1132" s="13" t="s">
        <v>63</v>
      </c>
      <c r="J1132" s="17" t="s">
        <v>71</v>
      </c>
      <c r="K1132" s="17" t="s">
        <v>58</v>
      </c>
      <c r="L1132" s="18" t="s">
        <v>52</v>
      </c>
      <c r="M1132" s="19">
        <v>28.0</v>
      </c>
      <c r="N1132" s="19">
        <v>31.0</v>
      </c>
    </row>
    <row r="1133">
      <c r="A1133" s="12">
        <v>1131.0</v>
      </c>
      <c r="B1133" s="13" t="s">
        <v>2091</v>
      </c>
      <c r="C1133" s="14">
        <v>171.0</v>
      </c>
      <c r="D1133" s="15" t="s">
        <v>2491</v>
      </c>
      <c r="E1133" s="16" t="s">
        <v>221</v>
      </c>
      <c r="F1133" s="13" t="s">
        <v>1783</v>
      </c>
      <c r="G1133" s="13" t="s">
        <v>2917</v>
      </c>
      <c r="H1133" s="13" t="s">
        <v>2918</v>
      </c>
      <c r="I1133" s="13" t="s">
        <v>63</v>
      </c>
      <c r="J1133" s="17" t="s">
        <v>71</v>
      </c>
      <c r="K1133" s="17" t="s">
        <v>58</v>
      </c>
      <c r="L1133" s="18" t="s">
        <v>52</v>
      </c>
      <c r="M1133" s="19">
        <v>28.0</v>
      </c>
      <c r="N1133" s="19">
        <v>31.0</v>
      </c>
    </row>
    <row r="1134">
      <c r="A1134" s="12">
        <v>1132.0</v>
      </c>
      <c r="B1134" s="13" t="s">
        <v>2091</v>
      </c>
      <c r="C1134" s="14">
        <v>172.0</v>
      </c>
      <c r="D1134" s="15" t="s">
        <v>2491</v>
      </c>
      <c r="E1134" s="16" t="s">
        <v>221</v>
      </c>
      <c r="F1134" s="13" t="s">
        <v>2919</v>
      </c>
      <c r="G1134" s="13" t="s">
        <v>61</v>
      </c>
      <c r="H1134" s="13" t="s">
        <v>2920</v>
      </c>
      <c r="I1134" s="13" t="s">
        <v>63</v>
      </c>
      <c r="J1134" s="17" t="s">
        <v>71</v>
      </c>
      <c r="K1134" s="17" t="s">
        <v>58</v>
      </c>
      <c r="L1134" s="18" t="s">
        <v>52</v>
      </c>
      <c r="M1134" s="19">
        <v>28.0</v>
      </c>
      <c r="N1134" s="19">
        <v>31.0</v>
      </c>
    </row>
    <row r="1135">
      <c r="A1135" s="12">
        <v>1133.0</v>
      </c>
      <c r="B1135" s="13" t="s">
        <v>2091</v>
      </c>
      <c r="C1135" s="14">
        <v>173.0</v>
      </c>
      <c r="D1135" s="15" t="s">
        <v>2491</v>
      </c>
      <c r="E1135" s="16" t="s">
        <v>221</v>
      </c>
      <c r="F1135" s="13" t="s">
        <v>2921</v>
      </c>
      <c r="G1135" s="13" t="s">
        <v>2922</v>
      </c>
      <c r="H1135" s="13" t="s">
        <v>2923</v>
      </c>
      <c r="I1135" s="13" t="s">
        <v>63</v>
      </c>
      <c r="J1135" s="17" t="s">
        <v>71</v>
      </c>
      <c r="K1135" s="17" t="s">
        <v>58</v>
      </c>
      <c r="L1135" s="18" t="s">
        <v>52</v>
      </c>
      <c r="M1135" s="19">
        <v>28.0</v>
      </c>
      <c r="N1135" s="19">
        <v>31.0</v>
      </c>
    </row>
    <row r="1136">
      <c r="A1136" s="12">
        <v>1134.0</v>
      </c>
      <c r="B1136" s="13" t="s">
        <v>2091</v>
      </c>
      <c r="C1136" s="14">
        <v>174.0</v>
      </c>
      <c r="D1136" s="15" t="s">
        <v>2491</v>
      </c>
      <c r="E1136" s="16" t="s">
        <v>221</v>
      </c>
      <c r="F1136" s="13" t="s">
        <v>302</v>
      </c>
      <c r="G1136" s="13" t="s">
        <v>61</v>
      </c>
      <c r="H1136" s="13" t="s">
        <v>303</v>
      </c>
      <c r="I1136" s="13" t="s">
        <v>63</v>
      </c>
      <c r="J1136" s="17" t="s">
        <v>71</v>
      </c>
      <c r="K1136" s="17" t="s">
        <v>58</v>
      </c>
      <c r="L1136" s="18" t="s">
        <v>52</v>
      </c>
      <c r="M1136" s="19">
        <v>28.0</v>
      </c>
      <c r="N1136" s="19">
        <v>31.0</v>
      </c>
    </row>
    <row r="1137">
      <c r="A1137" s="12">
        <v>1135.0</v>
      </c>
      <c r="B1137" s="13" t="s">
        <v>2091</v>
      </c>
      <c r="C1137" s="14">
        <v>175.0</v>
      </c>
      <c r="D1137" s="15" t="s">
        <v>2491</v>
      </c>
      <c r="E1137" s="16" t="s">
        <v>221</v>
      </c>
      <c r="F1137" s="13" t="s">
        <v>2924</v>
      </c>
      <c r="G1137" s="13" t="s">
        <v>2925</v>
      </c>
      <c r="H1137" s="13" t="s">
        <v>2926</v>
      </c>
      <c r="I1137" s="13" t="s">
        <v>63</v>
      </c>
      <c r="J1137" s="17" t="s">
        <v>71</v>
      </c>
      <c r="K1137" s="17" t="s">
        <v>58</v>
      </c>
      <c r="L1137" s="18" t="s">
        <v>52</v>
      </c>
      <c r="M1137" s="19">
        <v>28.0</v>
      </c>
      <c r="N1137" s="19">
        <v>31.0</v>
      </c>
    </row>
    <row r="1138">
      <c r="A1138" s="12">
        <v>1136.0</v>
      </c>
      <c r="B1138" s="13" t="s">
        <v>2091</v>
      </c>
      <c r="C1138" s="14">
        <v>176.0</v>
      </c>
      <c r="D1138" s="15" t="s">
        <v>2491</v>
      </c>
      <c r="E1138" s="16" t="s">
        <v>221</v>
      </c>
      <c r="F1138" s="13" t="s">
        <v>2928</v>
      </c>
      <c r="G1138" s="13" t="s">
        <v>2929</v>
      </c>
      <c r="H1138" s="13" t="s">
        <v>2930</v>
      </c>
      <c r="I1138" s="13" t="s">
        <v>63</v>
      </c>
      <c r="J1138" s="17" t="s">
        <v>71</v>
      </c>
      <c r="K1138" s="17" t="s">
        <v>58</v>
      </c>
      <c r="L1138" s="18" t="s">
        <v>52</v>
      </c>
      <c r="M1138" s="19">
        <v>28.0</v>
      </c>
      <c r="N1138" s="19">
        <v>31.0</v>
      </c>
    </row>
    <row r="1139">
      <c r="A1139" s="12">
        <v>1137.0</v>
      </c>
      <c r="B1139" s="13" t="s">
        <v>2091</v>
      </c>
      <c r="C1139" s="14">
        <v>177.0</v>
      </c>
      <c r="D1139" s="15" t="s">
        <v>2491</v>
      </c>
      <c r="E1139" s="16" t="s">
        <v>221</v>
      </c>
      <c r="F1139" s="13" t="s">
        <v>1285</v>
      </c>
      <c r="G1139" s="13" t="s">
        <v>2931</v>
      </c>
      <c r="H1139" s="13" t="s">
        <v>2932</v>
      </c>
      <c r="I1139" s="13" t="s">
        <v>63</v>
      </c>
      <c r="J1139" s="17" t="s">
        <v>71</v>
      </c>
      <c r="K1139" s="17" t="s">
        <v>58</v>
      </c>
      <c r="L1139" s="18" t="s">
        <v>52</v>
      </c>
      <c r="M1139" s="19">
        <v>28.0</v>
      </c>
      <c r="N1139" s="19">
        <v>31.0</v>
      </c>
    </row>
    <row r="1140">
      <c r="A1140" s="12">
        <v>1138.0</v>
      </c>
      <c r="B1140" s="13" t="s">
        <v>2091</v>
      </c>
      <c r="C1140" s="14">
        <v>178.0</v>
      </c>
      <c r="D1140" s="15" t="s">
        <v>2491</v>
      </c>
      <c r="E1140" s="16" t="s">
        <v>221</v>
      </c>
      <c r="F1140" s="13" t="s">
        <v>2195</v>
      </c>
      <c r="G1140" s="13" t="s">
        <v>2934</v>
      </c>
      <c r="H1140" s="13" t="s">
        <v>2935</v>
      </c>
      <c r="I1140" s="13" t="s">
        <v>63</v>
      </c>
      <c r="J1140" s="17" t="s">
        <v>71</v>
      </c>
      <c r="K1140" s="17" t="s">
        <v>58</v>
      </c>
      <c r="L1140" s="18" t="s">
        <v>52</v>
      </c>
      <c r="M1140" s="19">
        <v>28.0</v>
      </c>
      <c r="N1140" s="19">
        <v>31.0</v>
      </c>
    </row>
    <row r="1141">
      <c r="A1141" s="12">
        <v>1139.0</v>
      </c>
      <c r="B1141" s="13" t="s">
        <v>2091</v>
      </c>
      <c r="C1141" s="14">
        <v>179.0</v>
      </c>
      <c r="D1141" s="15" t="s">
        <v>2491</v>
      </c>
      <c r="E1141" s="16" t="s">
        <v>221</v>
      </c>
      <c r="F1141" s="13" t="s">
        <v>2239</v>
      </c>
      <c r="G1141" s="13" t="s">
        <v>2936</v>
      </c>
      <c r="H1141" s="13" t="s">
        <v>2937</v>
      </c>
      <c r="I1141" s="13" t="s">
        <v>63</v>
      </c>
      <c r="J1141" s="17" t="s">
        <v>71</v>
      </c>
      <c r="K1141" s="17" t="s">
        <v>58</v>
      </c>
      <c r="L1141" s="18" t="s">
        <v>52</v>
      </c>
      <c r="M1141" s="19">
        <v>28.0</v>
      </c>
      <c r="N1141" s="19">
        <v>31.0</v>
      </c>
    </row>
    <row r="1142">
      <c r="A1142" s="12">
        <v>1140.0</v>
      </c>
      <c r="B1142" s="13" t="s">
        <v>2091</v>
      </c>
      <c r="C1142" s="14">
        <v>180.0</v>
      </c>
      <c r="D1142" s="15" t="s">
        <v>2491</v>
      </c>
      <c r="E1142" s="16" t="s">
        <v>221</v>
      </c>
      <c r="F1142" s="13" t="s">
        <v>1424</v>
      </c>
      <c r="G1142" s="13" t="s">
        <v>2939</v>
      </c>
      <c r="H1142" s="13" t="s">
        <v>2900</v>
      </c>
      <c r="I1142" s="13" t="s">
        <v>63</v>
      </c>
      <c r="J1142" s="17" t="s">
        <v>71</v>
      </c>
      <c r="K1142" s="17" t="s">
        <v>58</v>
      </c>
      <c r="L1142" s="18" t="s">
        <v>52</v>
      </c>
      <c r="M1142" s="19">
        <v>28.0</v>
      </c>
      <c r="N1142" s="19">
        <v>31.0</v>
      </c>
    </row>
    <row r="1143">
      <c r="A1143" s="12">
        <v>1141.0</v>
      </c>
      <c r="B1143" s="13" t="s">
        <v>2091</v>
      </c>
      <c r="C1143" s="14">
        <v>181.0</v>
      </c>
      <c r="D1143" s="15" t="s">
        <v>2491</v>
      </c>
      <c r="E1143" s="16" t="s">
        <v>221</v>
      </c>
      <c r="F1143" s="13" t="s">
        <v>2940</v>
      </c>
      <c r="G1143" s="13" t="s">
        <v>2941</v>
      </c>
      <c r="H1143" s="13" t="s">
        <v>2942</v>
      </c>
      <c r="I1143" s="13" t="s">
        <v>63</v>
      </c>
      <c r="J1143" s="17" t="s">
        <v>71</v>
      </c>
      <c r="K1143" s="17" t="s">
        <v>58</v>
      </c>
      <c r="L1143" s="18" t="s">
        <v>52</v>
      </c>
      <c r="M1143" s="19">
        <v>28.0</v>
      </c>
      <c r="N1143" s="19">
        <v>31.0</v>
      </c>
    </row>
    <row r="1144">
      <c r="A1144" s="12">
        <v>1142.0</v>
      </c>
      <c r="B1144" s="13" t="s">
        <v>2091</v>
      </c>
      <c r="C1144" s="14">
        <v>182.0</v>
      </c>
      <c r="D1144" s="15" t="s">
        <v>2491</v>
      </c>
      <c r="E1144" s="16" t="s">
        <v>221</v>
      </c>
      <c r="F1144" s="13" t="s">
        <v>2943</v>
      </c>
      <c r="G1144" s="13" t="s">
        <v>2944</v>
      </c>
      <c r="H1144" s="13" t="s">
        <v>2945</v>
      </c>
      <c r="I1144" s="13" t="s">
        <v>63</v>
      </c>
      <c r="J1144" s="17" t="s">
        <v>71</v>
      </c>
      <c r="K1144" s="17" t="s">
        <v>58</v>
      </c>
      <c r="L1144" s="18" t="s">
        <v>52</v>
      </c>
      <c r="M1144" s="19">
        <v>28.0</v>
      </c>
      <c r="N1144" s="19">
        <v>31.0</v>
      </c>
    </row>
    <row r="1145">
      <c r="A1145" s="12">
        <v>1143.0</v>
      </c>
      <c r="B1145" s="13" t="s">
        <v>2091</v>
      </c>
      <c r="C1145" s="14">
        <v>183.0</v>
      </c>
      <c r="D1145" s="15" t="s">
        <v>2491</v>
      </c>
      <c r="E1145" s="16" t="s">
        <v>221</v>
      </c>
      <c r="F1145" s="13" t="s">
        <v>64</v>
      </c>
      <c r="G1145" s="13" t="s">
        <v>65</v>
      </c>
      <c r="H1145" s="13" t="s">
        <v>2946</v>
      </c>
      <c r="I1145" s="13" t="s">
        <v>63</v>
      </c>
      <c r="J1145" s="17" t="s">
        <v>71</v>
      </c>
      <c r="K1145" s="17" t="s">
        <v>58</v>
      </c>
      <c r="L1145" s="18" t="s">
        <v>52</v>
      </c>
      <c r="M1145" s="19">
        <v>28.0</v>
      </c>
      <c r="N1145" s="19">
        <v>31.0</v>
      </c>
    </row>
    <row r="1146">
      <c r="A1146" s="12">
        <v>1144.0</v>
      </c>
      <c r="B1146" s="13" t="s">
        <v>2091</v>
      </c>
      <c r="C1146" s="14">
        <v>184.0</v>
      </c>
      <c r="D1146" s="15" t="s">
        <v>2491</v>
      </c>
      <c r="E1146" s="16" t="s">
        <v>221</v>
      </c>
      <c r="F1146" s="13" t="s">
        <v>731</v>
      </c>
      <c r="G1146" s="13" t="s">
        <v>2190</v>
      </c>
      <c r="H1146" s="13" t="s">
        <v>2191</v>
      </c>
      <c r="I1146" s="13" t="s">
        <v>63</v>
      </c>
      <c r="J1146" s="17" t="s">
        <v>71</v>
      </c>
      <c r="K1146" s="17" t="s">
        <v>58</v>
      </c>
      <c r="L1146" s="18" t="s">
        <v>52</v>
      </c>
      <c r="M1146" s="19">
        <v>28.0</v>
      </c>
      <c r="N1146" s="19">
        <v>31.0</v>
      </c>
    </row>
    <row r="1147">
      <c r="A1147" s="12">
        <v>1145.0</v>
      </c>
      <c r="B1147" s="13" t="s">
        <v>2091</v>
      </c>
      <c r="C1147" s="14">
        <v>185.0</v>
      </c>
      <c r="D1147" s="15" t="s">
        <v>2491</v>
      </c>
      <c r="E1147" s="16" t="s">
        <v>221</v>
      </c>
      <c r="F1147" s="13" t="s">
        <v>2947</v>
      </c>
      <c r="G1147" s="13" t="s">
        <v>61</v>
      </c>
      <c r="H1147" s="13" t="s">
        <v>2948</v>
      </c>
      <c r="I1147" s="13" t="s">
        <v>63</v>
      </c>
      <c r="J1147" s="17" t="s">
        <v>71</v>
      </c>
      <c r="K1147" s="17" t="s">
        <v>58</v>
      </c>
      <c r="L1147" s="18" t="s">
        <v>52</v>
      </c>
      <c r="M1147" s="19">
        <v>28.0</v>
      </c>
      <c r="N1147" s="19">
        <v>31.0</v>
      </c>
    </row>
    <row r="1148">
      <c r="A1148" s="12">
        <v>1146.0</v>
      </c>
      <c r="B1148" s="13" t="s">
        <v>2091</v>
      </c>
      <c r="C1148" s="14">
        <v>186.0</v>
      </c>
      <c r="D1148" s="15" t="s">
        <v>2491</v>
      </c>
      <c r="E1148" s="16" t="s">
        <v>221</v>
      </c>
      <c r="F1148" s="13" t="s">
        <v>2949</v>
      </c>
      <c r="G1148" s="13" t="s">
        <v>2950</v>
      </c>
      <c r="H1148" s="13" t="s">
        <v>2952</v>
      </c>
      <c r="I1148" s="13" t="s">
        <v>63</v>
      </c>
      <c r="J1148" s="17" t="s">
        <v>71</v>
      </c>
      <c r="K1148" s="17" t="s">
        <v>58</v>
      </c>
      <c r="L1148" s="18" t="s">
        <v>52</v>
      </c>
      <c r="M1148" s="19">
        <v>28.0</v>
      </c>
      <c r="N1148" s="19">
        <v>31.0</v>
      </c>
    </row>
    <row r="1149">
      <c r="A1149" s="12">
        <v>1147.0</v>
      </c>
      <c r="B1149" s="13" t="s">
        <v>2091</v>
      </c>
      <c r="C1149" s="14">
        <v>187.0</v>
      </c>
      <c r="D1149" s="15" t="s">
        <v>2491</v>
      </c>
      <c r="E1149" s="16" t="s">
        <v>221</v>
      </c>
      <c r="F1149" s="13" t="s">
        <v>2953</v>
      </c>
      <c r="G1149" s="13" t="s">
        <v>2954</v>
      </c>
      <c r="H1149" s="13" t="s">
        <v>2955</v>
      </c>
      <c r="I1149" s="13" t="s">
        <v>63</v>
      </c>
      <c r="J1149" s="17" t="s">
        <v>71</v>
      </c>
      <c r="K1149" s="17" t="s">
        <v>58</v>
      </c>
      <c r="L1149" s="18" t="s">
        <v>52</v>
      </c>
      <c r="M1149" s="19">
        <v>28.0</v>
      </c>
      <c r="N1149" s="19">
        <v>31.0</v>
      </c>
    </row>
    <row r="1150">
      <c r="A1150" s="12">
        <v>1148.0</v>
      </c>
      <c r="B1150" s="13" t="s">
        <v>2091</v>
      </c>
      <c r="C1150" s="14">
        <v>188.0</v>
      </c>
      <c r="D1150" s="15" t="s">
        <v>2491</v>
      </c>
      <c r="E1150" s="16" t="s">
        <v>221</v>
      </c>
      <c r="F1150" s="13" t="s">
        <v>2957</v>
      </c>
      <c r="G1150" s="13" t="s">
        <v>2958</v>
      </c>
      <c r="H1150" s="13" t="s">
        <v>2959</v>
      </c>
      <c r="I1150" s="13" t="s">
        <v>63</v>
      </c>
      <c r="J1150" s="17" t="s">
        <v>71</v>
      </c>
      <c r="K1150" s="17" t="s">
        <v>58</v>
      </c>
      <c r="L1150" s="18" t="s">
        <v>52</v>
      </c>
      <c r="M1150" s="19">
        <v>28.0</v>
      </c>
      <c r="N1150" s="19">
        <v>31.0</v>
      </c>
    </row>
    <row r="1151">
      <c r="A1151" s="12">
        <v>1149.0</v>
      </c>
      <c r="B1151" s="13" t="s">
        <v>2091</v>
      </c>
      <c r="C1151" s="14">
        <v>189.0</v>
      </c>
      <c r="D1151" s="15" t="s">
        <v>2491</v>
      </c>
      <c r="E1151" s="16" t="s">
        <v>221</v>
      </c>
      <c r="F1151" s="13" t="s">
        <v>576</v>
      </c>
      <c r="G1151" s="13" t="s">
        <v>2960</v>
      </c>
      <c r="H1151" s="13" t="s">
        <v>2961</v>
      </c>
      <c r="I1151" s="13" t="s">
        <v>63</v>
      </c>
      <c r="J1151" s="17" t="s">
        <v>71</v>
      </c>
      <c r="K1151" s="17" t="s">
        <v>58</v>
      </c>
      <c r="L1151" s="18" t="s">
        <v>52</v>
      </c>
      <c r="M1151" s="19">
        <v>28.0</v>
      </c>
      <c r="N1151" s="19">
        <v>31.0</v>
      </c>
    </row>
    <row r="1152">
      <c r="A1152" s="12">
        <v>1150.0</v>
      </c>
      <c r="B1152" s="13" t="s">
        <v>2091</v>
      </c>
      <c r="C1152" s="14">
        <v>190.0</v>
      </c>
      <c r="D1152" s="15" t="s">
        <v>2491</v>
      </c>
      <c r="E1152" s="16" t="s">
        <v>221</v>
      </c>
      <c r="F1152" s="13" t="s">
        <v>2962</v>
      </c>
      <c r="G1152" s="13" t="s">
        <v>2963</v>
      </c>
      <c r="H1152" s="13" t="s">
        <v>2964</v>
      </c>
      <c r="I1152" s="13" t="s">
        <v>63</v>
      </c>
      <c r="J1152" s="17" t="s">
        <v>71</v>
      </c>
      <c r="K1152" s="17" t="s">
        <v>58</v>
      </c>
      <c r="L1152" s="18" t="s">
        <v>52</v>
      </c>
      <c r="M1152" s="19">
        <v>28.0</v>
      </c>
      <c r="N1152" s="19">
        <v>31.0</v>
      </c>
    </row>
    <row r="1153">
      <c r="A1153" s="12">
        <v>1151.0</v>
      </c>
      <c r="B1153" s="13" t="s">
        <v>2091</v>
      </c>
      <c r="C1153" s="14">
        <v>191.0</v>
      </c>
      <c r="D1153" s="15" t="s">
        <v>2491</v>
      </c>
      <c r="E1153" s="16" t="s">
        <v>221</v>
      </c>
      <c r="F1153" s="13" t="s">
        <v>2965</v>
      </c>
      <c r="G1153" s="13" t="s">
        <v>2966</v>
      </c>
      <c r="H1153" s="13" t="s">
        <v>2967</v>
      </c>
      <c r="I1153" s="13" t="s">
        <v>63</v>
      </c>
      <c r="J1153" s="17" t="s">
        <v>71</v>
      </c>
      <c r="K1153" s="17" t="s">
        <v>58</v>
      </c>
      <c r="L1153" s="18" t="s">
        <v>52</v>
      </c>
      <c r="M1153" s="19">
        <v>28.0</v>
      </c>
      <c r="N1153" s="19">
        <v>31.0</v>
      </c>
    </row>
    <row r="1154">
      <c r="A1154" s="12">
        <v>1152.0</v>
      </c>
      <c r="B1154" s="13" t="s">
        <v>2091</v>
      </c>
      <c r="C1154" s="14">
        <v>192.0</v>
      </c>
      <c r="D1154" s="15" t="s">
        <v>2491</v>
      </c>
      <c r="E1154" s="16" t="s">
        <v>221</v>
      </c>
      <c r="F1154" s="13" t="s">
        <v>334</v>
      </c>
      <c r="G1154" s="13" t="s">
        <v>61</v>
      </c>
      <c r="H1154" s="13" t="s">
        <v>1007</v>
      </c>
      <c r="I1154" s="13" t="s">
        <v>63</v>
      </c>
      <c r="J1154" s="17" t="s">
        <v>71</v>
      </c>
      <c r="K1154" s="17" t="s">
        <v>58</v>
      </c>
      <c r="L1154" s="18" t="s">
        <v>52</v>
      </c>
      <c r="M1154" s="19">
        <v>28.0</v>
      </c>
      <c r="N1154" s="19">
        <v>31.0</v>
      </c>
    </row>
    <row r="1155">
      <c r="A1155" s="12">
        <v>1153.0</v>
      </c>
      <c r="B1155" s="13" t="s">
        <v>2091</v>
      </c>
      <c r="C1155" s="14">
        <v>193.0</v>
      </c>
      <c r="D1155" s="15" t="s">
        <v>2491</v>
      </c>
      <c r="E1155" s="16" t="s">
        <v>221</v>
      </c>
      <c r="F1155" s="13" t="s">
        <v>2083</v>
      </c>
      <c r="G1155" s="13" t="s">
        <v>2084</v>
      </c>
      <c r="H1155" s="13" t="s">
        <v>2085</v>
      </c>
      <c r="I1155" s="13" t="s">
        <v>63</v>
      </c>
      <c r="J1155" s="17" t="s">
        <v>71</v>
      </c>
      <c r="K1155" s="17" t="s">
        <v>58</v>
      </c>
      <c r="L1155" s="18" t="s">
        <v>52</v>
      </c>
      <c r="M1155" s="19">
        <v>28.0</v>
      </c>
      <c r="N1155" s="19">
        <v>31.0</v>
      </c>
    </row>
    <row r="1156">
      <c r="A1156" s="12">
        <v>1154.0</v>
      </c>
      <c r="B1156" s="13" t="s">
        <v>2091</v>
      </c>
      <c r="C1156" s="14">
        <v>194.0</v>
      </c>
      <c r="D1156" s="15" t="s">
        <v>2491</v>
      </c>
      <c r="E1156" s="16" t="s">
        <v>221</v>
      </c>
      <c r="F1156" s="13" t="s">
        <v>1244</v>
      </c>
      <c r="G1156" s="13" t="s">
        <v>2968</v>
      </c>
      <c r="H1156" s="13" t="s">
        <v>2969</v>
      </c>
      <c r="I1156" s="13" t="s">
        <v>63</v>
      </c>
      <c r="J1156" s="17" t="s">
        <v>71</v>
      </c>
      <c r="K1156" s="17" t="s">
        <v>58</v>
      </c>
      <c r="L1156" s="18" t="s">
        <v>52</v>
      </c>
      <c r="M1156" s="19">
        <v>28.0</v>
      </c>
      <c r="N1156" s="19">
        <v>31.0</v>
      </c>
    </row>
    <row r="1157">
      <c r="A1157" s="12">
        <v>1155.0</v>
      </c>
      <c r="B1157" s="13" t="s">
        <v>2091</v>
      </c>
      <c r="C1157" s="14">
        <v>195.0</v>
      </c>
      <c r="D1157" s="15" t="s">
        <v>2491</v>
      </c>
      <c r="E1157" s="16" t="s">
        <v>221</v>
      </c>
      <c r="F1157" s="13" t="s">
        <v>265</v>
      </c>
      <c r="G1157" s="13" t="s">
        <v>266</v>
      </c>
      <c r="H1157" s="13" t="s">
        <v>2970</v>
      </c>
      <c r="I1157" s="13" t="s">
        <v>63</v>
      </c>
      <c r="J1157" s="17" t="s">
        <v>71</v>
      </c>
      <c r="K1157" s="17" t="s">
        <v>58</v>
      </c>
      <c r="L1157" s="18" t="s">
        <v>52</v>
      </c>
      <c r="M1157" s="19">
        <v>28.0</v>
      </c>
      <c r="N1157" s="19">
        <v>31.0</v>
      </c>
    </row>
    <row r="1158">
      <c r="A1158" s="12">
        <v>1156.0</v>
      </c>
      <c r="B1158" s="13" t="s">
        <v>2091</v>
      </c>
      <c r="C1158" s="14">
        <v>196.0</v>
      </c>
      <c r="D1158" s="15" t="s">
        <v>2491</v>
      </c>
      <c r="E1158" s="16" t="s">
        <v>221</v>
      </c>
      <c r="F1158" s="13" t="s">
        <v>2006</v>
      </c>
      <c r="G1158" s="13" t="s">
        <v>2971</v>
      </c>
      <c r="H1158" s="13" t="s">
        <v>2900</v>
      </c>
      <c r="I1158" s="13" t="s">
        <v>63</v>
      </c>
      <c r="J1158" s="17" t="s">
        <v>71</v>
      </c>
      <c r="K1158" s="17" t="s">
        <v>58</v>
      </c>
      <c r="L1158" s="18" t="s">
        <v>52</v>
      </c>
      <c r="M1158" s="19">
        <v>28.0</v>
      </c>
      <c r="N1158" s="19">
        <v>31.0</v>
      </c>
    </row>
    <row r="1159">
      <c r="A1159" s="12">
        <v>1157.0</v>
      </c>
      <c r="B1159" s="13" t="s">
        <v>2091</v>
      </c>
      <c r="C1159" s="14">
        <v>197.0</v>
      </c>
      <c r="D1159" s="15" t="s">
        <v>2972</v>
      </c>
      <c r="E1159" s="16" t="s">
        <v>221</v>
      </c>
      <c r="F1159" s="13" t="s">
        <v>391</v>
      </c>
      <c r="G1159" s="13" t="s">
        <v>61</v>
      </c>
      <c r="H1159" s="13" t="s">
        <v>2973</v>
      </c>
      <c r="I1159" s="13" t="s">
        <v>63</v>
      </c>
      <c r="J1159" s="17" t="s">
        <v>71</v>
      </c>
      <c r="K1159" s="17" t="s">
        <v>58</v>
      </c>
      <c r="L1159" s="18" t="s">
        <v>52</v>
      </c>
      <c r="M1159" s="19">
        <v>28.0</v>
      </c>
      <c r="N1159" s="19">
        <v>31.0</v>
      </c>
    </row>
    <row r="1160">
      <c r="A1160" s="12">
        <v>1158.0</v>
      </c>
      <c r="B1160" s="13" t="s">
        <v>2091</v>
      </c>
      <c r="C1160" s="14">
        <v>198.0</v>
      </c>
      <c r="D1160" s="15" t="s">
        <v>2972</v>
      </c>
      <c r="E1160" s="16" t="s">
        <v>221</v>
      </c>
      <c r="F1160" s="13" t="s">
        <v>296</v>
      </c>
      <c r="G1160" s="13" t="s">
        <v>2975</v>
      </c>
      <c r="H1160" s="13" t="s">
        <v>2977</v>
      </c>
      <c r="I1160" s="13" t="s">
        <v>63</v>
      </c>
      <c r="J1160" s="17" t="s">
        <v>71</v>
      </c>
      <c r="K1160" s="17" t="s">
        <v>58</v>
      </c>
      <c r="L1160" s="18" t="s">
        <v>52</v>
      </c>
      <c r="M1160" s="19">
        <v>28.0</v>
      </c>
      <c r="N1160" s="19">
        <v>31.0</v>
      </c>
    </row>
    <row r="1161">
      <c r="A1161" s="12">
        <v>1159.0</v>
      </c>
      <c r="B1161" s="13" t="s">
        <v>2091</v>
      </c>
      <c r="C1161" s="14">
        <v>199.0</v>
      </c>
      <c r="D1161" s="15" t="s">
        <v>2972</v>
      </c>
      <c r="E1161" s="16" t="s">
        <v>221</v>
      </c>
      <c r="F1161" s="13" t="s">
        <v>1960</v>
      </c>
      <c r="G1161" s="13" t="s">
        <v>2978</v>
      </c>
      <c r="H1161" s="13" t="s">
        <v>2979</v>
      </c>
      <c r="I1161" s="13" t="s">
        <v>63</v>
      </c>
      <c r="J1161" s="17" t="s">
        <v>71</v>
      </c>
      <c r="K1161" s="17" t="s">
        <v>58</v>
      </c>
      <c r="L1161" s="18" t="s">
        <v>52</v>
      </c>
      <c r="M1161" s="19">
        <v>28.0</v>
      </c>
      <c r="N1161" s="19">
        <v>31.0</v>
      </c>
    </row>
    <row r="1162">
      <c r="A1162" s="12">
        <v>1160.0</v>
      </c>
      <c r="B1162" s="13" t="s">
        <v>2091</v>
      </c>
      <c r="C1162" s="14">
        <v>200.0</v>
      </c>
      <c r="D1162" s="15" t="s">
        <v>2972</v>
      </c>
      <c r="E1162" s="16" t="s">
        <v>221</v>
      </c>
      <c r="F1162" s="13" t="s">
        <v>2461</v>
      </c>
      <c r="G1162" s="13" t="s">
        <v>61</v>
      </c>
      <c r="H1162" s="13" t="s">
        <v>2982</v>
      </c>
      <c r="I1162" s="13" t="s">
        <v>63</v>
      </c>
      <c r="J1162" s="17" t="s">
        <v>71</v>
      </c>
      <c r="K1162" s="17" t="s">
        <v>58</v>
      </c>
      <c r="L1162" s="18" t="s">
        <v>52</v>
      </c>
      <c r="M1162" s="19">
        <v>28.0</v>
      </c>
      <c r="N1162" s="19">
        <v>31.0</v>
      </c>
    </row>
    <row r="1163">
      <c r="A1163" s="12">
        <v>1161.0</v>
      </c>
      <c r="B1163" s="13" t="s">
        <v>2570</v>
      </c>
      <c r="C1163" s="14">
        <v>1.0</v>
      </c>
      <c r="D1163" s="15" t="s">
        <v>2984</v>
      </c>
      <c r="E1163" s="16" t="s">
        <v>221</v>
      </c>
      <c r="F1163" s="13" t="s">
        <v>2417</v>
      </c>
      <c r="G1163" s="13" t="s">
        <v>61</v>
      </c>
      <c r="H1163" s="13" t="s">
        <v>2985</v>
      </c>
      <c r="I1163" s="13" t="s">
        <v>56</v>
      </c>
      <c r="J1163" s="17" t="s">
        <v>57</v>
      </c>
      <c r="K1163" s="17" t="s">
        <v>58</v>
      </c>
      <c r="L1163" s="18" t="s">
        <v>52</v>
      </c>
      <c r="M1163" s="19">
        <v>29.0</v>
      </c>
      <c r="N1163" s="19">
        <v>10.0</v>
      </c>
    </row>
    <row r="1164">
      <c r="A1164" s="12">
        <v>1162.0</v>
      </c>
      <c r="B1164" s="13" t="s">
        <v>2570</v>
      </c>
      <c r="C1164" s="14">
        <v>2.0</v>
      </c>
      <c r="D1164" s="15" t="s">
        <v>2984</v>
      </c>
      <c r="E1164" s="16" t="s">
        <v>221</v>
      </c>
      <c r="F1164" s="13" t="s">
        <v>2987</v>
      </c>
      <c r="G1164" s="13" t="s">
        <v>2988</v>
      </c>
      <c r="H1164" s="13" t="s">
        <v>2989</v>
      </c>
      <c r="I1164" s="13" t="s">
        <v>63</v>
      </c>
      <c r="J1164" s="17" t="s">
        <v>57</v>
      </c>
      <c r="K1164" s="17" t="s">
        <v>58</v>
      </c>
      <c r="L1164" s="18" t="s">
        <v>52</v>
      </c>
      <c r="M1164" s="19">
        <v>29.0</v>
      </c>
      <c r="N1164" s="19">
        <v>11.0</v>
      </c>
    </row>
    <row r="1165">
      <c r="A1165" s="12">
        <v>1163.0</v>
      </c>
      <c r="B1165" s="13" t="s">
        <v>2570</v>
      </c>
      <c r="C1165" s="14">
        <v>3.0</v>
      </c>
      <c r="D1165" s="15" t="s">
        <v>2984</v>
      </c>
      <c r="E1165" s="16" t="s">
        <v>221</v>
      </c>
      <c r="F1165" s="13" t="s">
        <v>2990</v>
      </c>
      <c r="G1165" s="13" t="s">
        <v>61</v>
      </c>
      <c r="H1165" s="13" t="s">
        <v>2991</v>
      </c>
      <c r="I1165" s="13" t="s">
        <v>63</v>
      </c>
      <c r="J1165" s="17" t="s">
        <v>57</v>
      </c>
      <c r="K1165" s="17" t="s">
        <v>58</v>
      </c>
      <c r="L1165" s="18" t="s">
        <v>52</v>
      </c>
      <c r="M1165" s="19">
        <v>29.0</v>
      </c>
      <c r="N1165" s="19">
        <v>11.0</v>
      </c>
    </row>
    <row r="1166">
      <c r="A1166" s="12">
        <v>1164.0</v>
      </c>
      <c r="B1166" s="13" t="s">
        <v>2570</v>
      </c>
      <c r="C1166" s="14">
        <v>4.0</v>
      </c>
      <c r="D1166" s="15" t="s">
        <v>2984</v>
      </c>
      <c r="E1166" s="16" t="s">
        <v>221</v>
      </c>
      <c r="F1166" s="13" t="s">
        <v>2359</v>
      </c>
      <c r="G1166" s="13" t="s">
        <v>2360</v>
      </c>
      <c r="H1166" s="13" t="s">
        <v>2992</v>
      </c>
      <c r="I1166" s="13" t="s">
        <v>56</v>
      </c>
      <c r="J1166" s="17" t="s">
        <v>67</v>
      </c>
      <c r="K1166" s="17" t="s">
        <v>58</v>
      </c>
      <c r="L1166" s="18" t="s">
        <v>52</v>
      </c>
      <c r="M1166" s="19">
        <v>29.0</v>
      </c>
      <c r="N1166" s="19">
        <v>20.0</v>
      </c>
    </row>
    <row r="1167">
      <c r="A1167" s="12">
        <v>1165.0</v>
      </c>
      <c r="B1167" s="13" t="s">
        <v>2570</v>
      </c>
      <c r="C1167" s="14">
        <v>5.0</v>
      </c>
      <c r="D1167" s="15" t="s">
        <v>2993</v>
      </c>
      <c r="E1167" s="16" t="s">
        <v>221</v>
      </c>
      <c r="F1167" s="13" t="s">
        <v>2994</v>
      </c>
      <c r="G1167" s="13" t="s">
        <v>2995</v>
      </c>
      <c r="H1167" s="13" t="s">
        <v>2996</v>
      </c>
      <c r="I1167" s="13" t="s">
        <v>63</v>
      </c>
      <c r="J1167" s="17" t="s">
        <v>71</v>
      </c>
      <c r="K1167" s="17" t="s">
        <v>58</v>
      </c>
      <c r="L1167" s="18" t="s">
        <v>52</v>
      </c>
      <c r="M1167" s="19">
        <v>29.0</v>
      </c>
      <c r="N1167" s="19">
        <v>31.0</v>
      </c>
    </row>
    <row r="1168">
      <c r="A1168" s="12">
        <v>1166.0</v>
      </c>
      <c r="B1168" s="13" t="s">
        <v>2570</v>
      </c>
      <c r="C1168" s="14">
        <v>6.0</v>
      </c>
      <c r="D1168" s="15" t="s">
        <v>2984</v>
      </c>
      <c r="E1168" s="16" t="s">
        <v>221</v>
      </c>
      <c r="F1168" s="13" t="s">
        <v>2520</v>
      </c>
      <c r="G1168" s="13" t="s">
        <v>2997</v>
      </c>
      <c r="H1168" s="13" t="s">
        <v>2998</v>
      </c>
      <c r="I1168" s="13" t="s">
        <v>63</v>
      </c>
      <c r="J1168" s="17" t="s">
        <v>71</v>
      </c>
      <c r="K1168" s="17" t="s">
        <v>58</v>
      </c>
      <c r="L1168" s="18" t="s">
        <v>52</v>
      </c>
      <c r="M1168" s="19">
        <v>29.0</v>
      </c>
      <c r="N1168" s="19">
        <v>31.0</v>
      </c>
    </row>
    <row r="1169">
      <c r="A1169" s="12">
        <v>1167.0</v>
      </c>
      <c r="B1169" s="13" t="s">
        <v>2570</v>
      </c>
      <c r="C1169" s="14">
        <v>7.0</v>
      </c>
      <c r="D1169" s="15" t="s">
        <v>2984</v>
      </c>
      <c r="E1169" s="16" t="s">
        <v>221</v>
      </c>
      <c r="F1169" s="13" t="s">
        <v>150</v>
      </c>
      <c r="G1169" s="13" t="s">
        <v>3000</v>
      </c>
      <c r="H1169" s="13" t="s">
        <v>3001</v>
      </c>
      <c r="I1169" s="13" t="s">
        <v>63</v>
      </c>
      <c r="J1169" s="17" t="s">
        <v>71</v>
      </c>
      <c r="K1169" s="17" t="s">
        <v>58</v>
      </c>
      <c r="L1169" s="18" t="s">
        <v>52</v>
      </c>
      <c r="M1169" s="19">
        <v>29.0</v>
      </c>
      <c r="N1169" s="19">
        <v>31.0</v>
      </c>
    </row>
    <row r="1170">
      <c r="A1170" s="12">
        <v>1168.0</v>
      </c>
      <c r="B1170" s="13" t="s">
        <v>2570</v>
      </c>
      <c r="C1170" s="14">
        <v>8.0</v>
      </c>
      <c r="D1170" s="15" t="s">
        <v>2984</v>
      </c>
      <c r="E1170" s="16" t="s">
        <v>221</v>
      </c>
      <c r="F1170" s="13" t="s">
        <v>953</v>
      </c>
      <c r="G1170" s="13" t="s">
        <v>3002</v>
      </c>
      <c r="H1170" s="13" t="s">
        <v>3003</v>
      </c>
      <c r="I1170" s="13" t="s">
        <v>63</v>
      </c>
      <c r="J1170" s="17" t="s">
        <v>71</v>
      </c>
      <c r="K1170" s="17" t="s">
        <v>58</v>
      </c>
      <c r="L1170" s="18" t="s">
        <v>52</v>
      </c>
      <c r="M1170" s="19">
        <v>29.0</v>
      </c>
      <c r="N1170" s="19">
        <v>31.0</v>
      </c>
    </row>
    <row r="1171">
      <c r="A1171" s="12">
        <v>1169.0</v>
      </c>
      <c r="B1171" s="13" t="s">
        <v>2570</v>
      </c>
      <c r="C1171" s="14">
        <v>9.0</v>
      </c>
      <c r="D1171" s="15" t="s">
        <v>2984</v>
      </c>
      <c r="E1171" s="16" t="s">
        <v>221</v>
      </c>
      <c r="F1171" s="13" t="s">
        <v>2690</v>
      </c>
      <c r="G1171" s="13" t="s">
        <v>2691</v>
      </c>
      <c r="H1171" s="13" t="s">
        <v>3004</v>
      </c>
      <c r="I1171" s="13" t="s">
        <v>63</v>
      </c>
      <c r="J1171" s="17" t="s">
        <v>71</v>
      </c>
      <c r="K1171" s="17" t="s">
        <v>58</v>
      </c>
      <c r="L1171" s="18" t="s">
        <v>52</v>
      </c>
      <c r="M1171" s="19">
        <v>29.0</v>
      </c>
      <c r="N1171" s="19">
        <v>31.0</v>
      </c>
    </row>
    <row r="1172">
      <c r="A1172" s="12">
        <v>1170.0</v>
      </c>
      <c r="B1172" s="13" t="s">
        <v>2570</v>
      </c>
      <c r="C1172" s="14">
        <v>10.0</v>
      </c>
      <c r="D1172" s="15" t="s">
        <v>2984</v>
      </c>
      <c r="E1172" s="16" t="s">
        <v>221</v>
      </c>
      <c r="F1172" s="13" t="s">
        <v>2953</v>
      </c>
      <c r="G1172" s="13" t="s">
        <v>3005</v>
      </c>
      <c r="H1172" s="13" t="s">
        <v>3006</v>
      </c>
      <c r="I1172" s="13" t="s">
        <v>63</v>
      </c>
      <c r="J1172" s="17" t="s">
        <v>71</v>
      </c>
      <c r="K1172" s="17" t="s">
        <v>58</v>
      </c>
      <c r="L1172" s="18" t="s">
        <v>52</v>
      </c>
      <c r="M1172" s="19">
        <v>29.0</v>
      </c>
      <c r="N1172" s="19">
        <v>31.0</v>
      </c>
    </row>
    <row r="1173">
      <c r="A1173" s="12">
        <v>1171.0</v>
      </c>
      <c r="B1173" s="13" t="s">
        <v>2570</v>
      </c>
      <c r="C1173" s="14">
        <v>11.0</v>
      </c>
      <c r="D1173" s="15" t="s">
        <v>2984</v>
      </c>
      <c r="E1173" s="16" t="s">
        <v>221</v>
      </c>
      <c r="F1173" s="13" t="s">
        <v>1430</v>
      </c>
      <c r="G1173" s="13" t="s">
        <v>61</v>
      </c>
      <c r="H1173" s="13" t="s">
        <v>3007</v>
      </c>
      <c r="I1173" s="13" t="s">
        <v>63</v>
      </c>
      <c r="J1173" s="17" t="s">
        <v>71</v>
      </c>
      <c r="K1173" s="17" t="s">
        <v>58</v>
      </c>
      <c r="L1173" s="18" t="s">
        <v>52</v>
      </c>
      <c r="M1173" s="19">
        <v>29.0</v>
      </c>
      <c r="N1173" s="19">
        <v>31.0</v>
      </c>
    </row>
    <row r="1174">
      <c r="A1174" s="12">
        <v>1172.0</v>
      </c>
      <c r="B1174" s="13" t="s">
        <v>2570</v>
      </c>
      <c r="C1174" s="14">
        <v>12.0</v>
      </c>
      <c r="D1174" s="15" t="s">
        <v>2984</v>
      </c>
      <c r="E1174" s="16" t="s">
        <v>221</v>
      </c>
      <c r="F1174" s="13" t="s">
        <v>1538</v>
      </c>
      <c r="G1174" s="13" t="s">
        <v>61</v>
      </c>
      <c r="H1174" s="13" t="s">
        <v>3008</v>
      </c>
      <c r="I1174" s="13" t="s">
        <v>63</v>
      </c>
      <c r="J1174" s="17" t="s">
        <v>71</v>
      </c>
      <c r="K1174" s="17" t="s">
        <v>58</v>
      </c>
      <c r="L1174" s="18" t="s">
        <v>52</v>
      </c>
      <c r="M1174" s="19">
        <v>29.0</v>
      </c>
      <c r="N1174" s="19">
        <v>31.0</v>
      </c>
    </row>
    <row r="1175">
      <c r="A1175" s="12">
        <v>1173.0</v>
      </c>
      <c r="B1175" s="13" t="s">
        <v>2570</v>
      </c>
      <c r="C1175" s="14">
        <v>13.0</v>
      </c>
      <c r="D1175" s="15" t="s">
        <v>2984</v>
      </c>
      <c r="E1175" s="16" t="s">
        <v>221</v>
      </c>
      <c r="F1175" s="13" t="s">
        <v>737</v>
      </c>
      <c r="G1175" s="13" t="s">
        <v>1757</v>
      </c>
      <c r="H1175" s="13" t="s">
        <v>1758</v>
      </c>
      <c r="I1175" s="13" t="s">
        <v>63</v>
      </c>
      <c r="J1175" s="17" t="s">
        <v>71</v>
      </c>
      <c r="K1175" s="17" t="s">
        <v>58</v>
      </c>
      <c r="L1175" s="18" t="s">
        <v>52</v>
      </c>
      <c r="M1175" s="19">
        <v>29.0</v>
      </c>
      <c r="N1175" s="19">
        <v>31.0</v>
      </c>
    </row>
    <row r="1176">
      <c r="A1176" s="12">
        <v>1174.0</v>
      </c>
      <c r="B1176" s="13" t="s">
        <v>2570</v>
      </c>
      <c r="C1176" s="14">
        <v>14.0</v>
      </c>
      <c r="D1176" s="15" t="s">
        <v>2984</v>
      </c>
      <c r="E1176" s="16" t="s">
        <v>221</v>
      </c>
      <c r="F1176" s="13" t="s">
        <v>1431</v>
      </c>
      <c r="G1176" s="13" t="s">
        <v>3010</v>
      </c>
      <c r="H1176" s="13" t="s">
        <v>3011</v>
      </c>
      <c r="I1176" s="13" t="s">
        <v>63</v>
      </c>
      <c r="J1176" s="17" t="s">
        <v>71</v>
      </c>
      <c r="K1176" s="17" t="s">
        <v>58</v>
      </c>
      <c r="L1176" s="18" t="s">
        <v>52</v>
      </c>
      <c r="M1176" s="19">
        <v>29.0</v>
      </c>
      <c r="N1176" s="19">
        <v>31.0</v>
      </c>
    </row>
    <row r="1177">
      <c r="A1177" s="12">
        <v>1175.0</v>
      </c>
      <c r="B1177" s="13" t="s">
        <v>2570</v>
      </c>
      <c r="C1177" s="14">
        <v>15.0</v>
      </c>
      <c r="D1177" s="15" t="s">
        <v>2984</v>
      </c>
      <c r="E1177" s="16" t="s">
        <v>221</v>
      </c>
      <c r="F1177" s="13" t="s">
        <v>1960</v>
      </c>
      <c r="G1177" s="13" t="s">
        <v>61</v>
      </c>
      <c r="H1177" s="13" t="s">
        <v>3012</v>
      </c>
      <c r="I1177" s="13" t="s">
        <v>63</v>
      </c>
      <c r="J1177" s="17" t="s">
        <v>71</v>
      </c>
      <c r="K1177" s="17" t="s">
        <v>58</v>
      </c>
      <c r="L1177" s="18" t="s">
        <v>52</v>
      </c>
      <c r="M1177" s="19">
        <v>29.0</v>
      </c>
      <c r="N1177" s="19">
        <v>31.0</v>
      </c>
    </row>
    <row r="1178">
      <c r="A1178" s="12">
        <v>1176.0</v>
      </c>
      <c r="B1178" s="13" t="s">
        <v>2570</v>
      </c>
      <c r="C1178" s="14">
        <v>16.0</v>
      </c>
      <c r="D1178" s="15" t="s">
        <v>2984</v>
      </c>
      <c r="E1178" s="16" t="s">
        <v>221</v>
      </c>
      <c r="F1178" s="13" t="s">
        <v>1989</v>
      </c>
      <c r="G1178" s="13" t="s">
        <v>61</v>
      </c>
      <c r="H1178" s="13" t="s">
        <v>3013</v>
      </c>
      <c r="I1178" s="13" t="s">
        <v>63</v>
      </c>
      <c r="J1178" s="17" t="s">
        <v>71</v>
      </c>
      <c r="K1178" s="17" t="s">
        <v>58</v>
      </c>
      <c r="L1178" s="18" t="s">
        <v>52</v>
      </c>
      <c r="M1178" s="19">
        <v>29.0</v>
      </c>
      <c r="N1178" s="19">
        <v>31.0</v>
      </c>
    </row>
    <row r="1179">
      <c r="A1179" s="12">
        <v>1177.0</v>
      </c>
      <c r="B1179" s="13" t="s">
        <v>2570</v>
      </c>
      <c r="C1179" s="14">
        <v>17.0</v>
      </c>
      <c r="D1179" s="15" t="s">
        <v>2984</v>
      </c>
      <c r="E1179" s="16" t="s">
        <v>221</v>
      </c>
      <c r="F1179" s="13" t="s">
        <v>1993</v>
      </c>
      <c r="G1179" s="13" t="s">
        <v>3014</v>
      </c>
      <c r="H1179" s="13" t="s">
        <v>3015</v>
      </c>
      <c r="I1179" s="13" t="s">
        <v>63</v>
      </c>
      <c r="J1179" s="17" t="s">
        <v>71</v>
      </c>
      <c r="K1179" s="17" t="s">
        <v>58</v>
      </c>
      <c r="L1179" s="18" t="s">
        <v>52</v>
      </c>
      <c r="M1179" s="19">
        <v>29.0</v>
      </c>
      <c r="N1179" s="19">
        <v>31.0</v>
      </c>
    </row>
    <row r="1180">
      <c r="A1180" s="12">
        <v>1178.0</v>
      </c>
      <c r="B1180" s="13" t="s">
        <v>2570</v>
      </c>
      <c r="C1180" s="14">
        <v>18.0</v>
      </c>
      <c r="D1180" s="15" t="s">
        <v>2984</v>
      </c>
      <c r="E1180" s="16" t="s">
        <v>221</v>
      </c>
      <c r="F1180" s="13" t="s">
        <v>2424</v>
      </c>
      <c r="G1180" s="13" t="s">
        <v>2425</v>
      </c>
      <c r="H1180" s="13" t="s">
        <v>3016</v>
      </c>
      <c r="I1180" s="13" t="s">
        <v>63</v>
      </c>
      <c r="J1180" s="17" t="s">
        <v>71</v>
      </c>
      <c r="K1180" s="17" t="s">
        <v>58</v>
      </c>
      <c r="L1180" s="18" t="s">
        <v>52</v>
      </c>
      <c r="M1180" s="19">
        <v>29.0</v>
      </c>
      <c r="N1180" s="19">
        <v>31.0</v>
      </c>
    </row>
    <row r="1181">
      <c r="A1181" s="12">
        <v>1179.0</v>
      </c>
      <c r="B1181" s="13" t="s">
        <v>2570</v>
      </c>
      <c r="C1181" s="14">
        <v>19.0</v>
      </c>
      <c r="D1181" s="15" t="s">
        <v>2984</v>
      </c>
      <c r="E1181" s="16" t="s">
        <v>221</v>
      </c>
      <c r="F1181" s="13" t="s">
        <v>1966</v>
      </c>
      <c r="G1181" s="13" t="s">
        <v>3017</v>
      </c>
      <c r="H1181" s="13" t="s">
        <v>3018</v>
      </c>
      <c r="I1181" s="13" t="s">
        <v>63</v>
      </c>
      <c r="J1181" s="17" t="s">
        <v>71</v>
      </c>
      <c r="K1181" s="17" t="s">
        <v>58</v>
      </c>
      <c r="L1181" s="18" t="s">
        <v>52</v>
      </c>
      <c r="M1181" s="19">
        <v>29.0</v>
      </c>
      <c r="N1181" s="19">
        <v>31.0</v>
      </c>
    </row>
    <row r="1182">
      <c r="A1182" s="12">
        <v>1180.0</v>
      </c>
      <c r="B1182" s="13" t="s">
        <v>2570</v>
      </c>
      <c r="C1182" s="14">
        <v>20.0</v>
      </c>
      <c r="D1182" s="15" t="s">
        <v>2984</v>
      </c>
      <c r="E1182" s="16" t="s">
        <v>221</v>
      </c>
      <c r="F1182" s="13" t="s">
        <v>3019</v>
      </c>
      <c r="G1182" s="13" t="s">
        <v>61</v>
      </c>
      <c r="H1182" s="13" t="s">
        <v>3020</v>
      </c>
      <c r="I1182" s="13" t="s">
        <v>63</v>
      </c>
      <c r="J1182" s="17" t="s">
        <v>71</v>
      </c>
      <c r="K1182" s="17" t="s">
        <v>58</v>
      </c>
      <c r="L1182" s="18" t="s">
        <v>52</v>
      </c>
      <c r="M1182" s="19">
        <v>29.0</v>
      </c>
      <c r="N1182" s="19">
        <v>31.0</v>
      </c>
    </row>
    <row r="1183">
      <c r="A1183" s="12">
        <v>1181.0</v>
      </c>
      <c r="B1183" s="13" t="s">
        <v>2570</v>
      </c>
      <c r="C1183" s="14">
        <v>21.0</v>
      </c>
      <c r="D1183" s="15" t="s">
        <v>2984</v>
      </c>
      <c r="E1183" s="16" t="s">
        <v>221</v>
      </c>
      <c r="F1183" s="13" t="s">
        <v>3022</v>
      </c>
      <c r="G1183" s="13" t="s">
        <v>3023</v>
      </c>
      <c r="H1183" s="13" t="s">
        <v>3024</v>
      </c>
      <c r="I1183" s="13" t="s">
        <v>63</v>
      </c>
      <c r="J1183" s="17" t="s">
        <v>71</v>
      </c>
      <c r="K1183" s="17" t="s">
        <v>58</v>
      </c>
      <c r="L1183" s="18" t="s">
        <v>52</v>
      </c>
      <c r="M1183" s="19">
        <v>29.0</v>
      </c>
      <c r="N1183" s="19">
        <v>31.0</v>
      </c>
    </row>
    <row r="1184">
      <c r="A1184" s="12">
        <v>1182.0</v>
      </c>
      <c r="B1184" s="13" t="s">
        <v>2570</v>
      </c>
      <c r="C1184" s="14">
        <v>22.0</v>
      </c>
      <c r="D1184" s="15" t="s">
        <v>2984</v>
      </c>
      <c r="E1184" s="16" t="s">
        <v>221</v>
      </c>
      <c r="F1184" s="13" t="s">
        <v>2016</v>
      </c>
      <c r="G1184" s="13" t="s">
        <v>3026</v>
      </c>
      <c r="H1184" s="13" t="s">
        <v>3027</v>
      </c>
      <c r="I1184" s="13" t="s">
        <v>63</v>
      </c>
      <c r="J1184" s="17" t="s">
        <v>71</v>
      </c>
      <c r="K1184" s="17" t="s">
        <v>58</v>
      </c>
      <c r="L1184" s="18" t="s">
        <v>52</v>
      </c>
      <c r="M1184" s="19">
        <v>29.0</v>
      </c>
      <c r="N1184" s="19">
        <v>31.0</v>
      </c>
    </row>
    <row r="1185">
      <c r="A1185" s="12">
        <v>1183.0</v>
      </c>
      <c r="B1185" s="13" t="s">
        <v>2570</v>
      </c>
      <c r="C1185" s="14">
        <v>23.0</v>
      </c>
      <c r="D1185" s="15" t="s">
        <v>2984</v>
      </c>
      <c r="E1185" s="16" t="s">
        <v>221</v>
      </c>
      <c r="F1185" s="13" t="s">
        <v>1249</v>
      </c>
      <c r="G1185" s="13" t="s">
        <v>3029</v>
      </c>
      <c r="H1185" s="13" t="s">
        <v>3030</v>
      </c>
      <c r="I1185" s="13" t="s">
        <v>63</v>
      </c>
      <c r="J1185" s="17" t="s">
        <v>71</v>
      </c>
      <c r="K1185" s="17" t="s">
        <v>58</v>
      </c>
      <c r="L1185" s="18" t="s">
        <v>52</v>
      </c>
      <c r="M1185" s="19">
        <v>29.0</v>
      </c>
      <c r="N1185" s="19">
        <v>31.0</v>
      </c>
    </row>
    <row r="1186">
      <c r="A1186" s="12">
        <v>1184.0</v>
      </c>
      <c r="B1186" s="13" t="s">
        <v>2570</v>
      </c>
      <c r="C1186" s="14">
        <v>24.0</v>
      </c>
      <c r="D1186" s="15" t="s">
        <v>2984</v>
      </c>
      <c r="E1186" s="16" t="s">
        <v>221</v>
      </c>
      <c r="F1186" s="13" t="s">
        <v>212</v>
      </c>
      <c r="G1186" s="13" t="s">
        <v>3031</v>
      </c>
      <c r="H1186" s="13" t="s">
        <v>3032</v>
      </c>
      <c r="I1186" s="13" t="s">
        <v>63</v>
      </c>
      <c r="J1186" s="17" t="s">
        <v>71</v>
      </c>
      <c r="K1186" s="17" t="s">
        <v>58</v>
      </c>
      <c r="L1186" s="18" t="s">
        <v>52</v>
      </c>
      <c r="M1186" s="19">
        <v>29.0</v>
      </c>
      <c r="N1186" s="19">
        <v>31.0</v>
      </c>
    </row>
    <row r="1187">
      <c r="A1187" s="12">
        <v>1185.0</v>
      </c>
      <c r="B1187" s="13" t="s">
        <v>2570</v>
      </c>
      <c r="C1187" s="14">
        <v>25.0</v>
      </c>
      <c r="D1187" s="15" t="s">
        <v>2984</v>
      </c>
      <c r="E1187" s="16" t="s">
        <v>221</v>
      </c>
      <c r="F1187" s="13" t="s">
        <v>3033</v>
      </c>
      <c r="G1187" s="13" t="s">
        <v>3034</v>
      </c>
      <c r="H1187" s="13" t="s">
        <v>3035</v>
      </c>
      <c r="I1187" s="13" t="s">
        <v>63</v>
      </c>
      <c r="J1187" s="17" t="s">
        <v>71</v>
      </c>
      <c r="K1187" s="17" t="s">
        <v>58</v>
      </c>
      <c r="L1187" s="18" t="s">
        <v>52</v>
      </c>
      <c r="M1187" s="19">
        <v>29.0</v>
      </c>
      <c r="N1187" s="19">
        <v>31.0</v>
      </c>
    </row>
    <row r="1188">
      <c r="A1188" s="12">
        <v>1186.0</v>
      </c>
      <c r="B1188" s="13" t="s">
        <v>2570</v>
      </c>
      <c r="C1188" s="14">
        <v>26.0</v>
      </c>
      <c r="D1188" s="15" t="s">
        <v>2984</v>
      </c>
      <c r="E1188" s="16" t="s">
        <v>221</v>
      </c>
      <c r="F1188" s="13" t="s">
        <v>3036</v>
      </c>
      <c r="G1188" s="13" t="s">
        <v>3037</v>
      </c>
      <c r="H1188" s="13" t="s">
        <v>3038</v>
      </c>
      <c r="I1188" s="13" t="s">
        <v>63</v>
      </c>
      <c r="J1188" s="17" t="s">
        <v>71</v>
      </c>
      <c r="K1188" s="17" t="s">
        <v>58</v>
      </c>
      <c r="L1188" s="18" t="s">
        <v>52</v>
      </c>
      <c r="M1188" s="19">
        <v>29.0</v>
      </c>
      <c r="N1188" s="19">
        <v>31.0</v>
      </c>
    </row>
    <row r="1189">
      <c r="A1189" s="12">
        <v>1187.0</v>
      </c>
      <c r="B1189" s="13" t="s">
        <v>2570</v>
      </c>
      <c r="C1189" s="14">
        <v>27.0</v>
      </c>
      <c r="D1189" s="15" t="s">
        <v>2984</v>
      </c>
      <c r="E1189" s="16" t="s">
        <v>221</v>
      </c>
      <c r="F1189" s="13" t="s">
        <v>1972</v>
      </c>
      <c r="G1189" s="13" t="s">
        <v>3039</v>
      </c>
      <c r="H1189" s="13" t="s">
        <v>3040</v>
      </c>
      <c r="I1189" s="13" t="s">
        <v>63</v>
      </c>
      <c r="J1189" s="17" t="s">
        <v>71</v>
      </c>
      <c r="K1189" s="17" t="s">
        <v>58</v>
      </c>
      <c r="L1189" s="18" t="s">
        <v>52</v>
      </c>
      <c r="M1189" s="19">
        <v>29.0</v>
      </c>
      <c r="N1189" s="19">
        <v>31.0</v>
      </c>
    </row>
    <row r="1190">
      <c r="A1190" s="12">
        <v>1188.0</v>
      </c>
      <c r="B1190" s="13" t="s">
        <v>2570</v>
      </c>
      <c r="C1190" s="14">
        <v>28.0</v>
      </c>
      <c r="D1190" s="15" t="s">
        <v>2984</v>
      </c>
      <c r="E1190" s="16" t="s">
        <v>221</v>
      </c>
      <c r="F1190" s="13" t="s">
        <v>3041</v>
      </c>
      <c r="G1190" s="13" t="s">
        <v>3042</v>
      </c>
      <c r="H1190" s="13" t="s">
        <v>3043</v>
      </c>
      <c r="I1190" s="13" t="s">
        <v>63</v>
      </c>
      <c r="J1190" s="17" t="s">
        <v>71</v>
      </c>
      <c r="K1190" s="17" t="s">
        <v>58</v>
      </c>
      <c r="L1190" s="18" t="s">
        <v>52</v>
      </c>
      <c r="M1190" s="19">
        <v>29.0</v>
      </c>
      <c r="N1190" s="19">
        <v>31.0</v>
      </c>
    </row>
    <row r="1191">
      <c r="A1191" s="12">
        <v>1189.0</v>
      </c>
      <c r="B1191" s="13" t="s">
        <v>2570</v>
      </c>
      <c r="C1191" s="14">
        <v>29.0</v>
      </c>
      <c r="D1191" s="15" t="s">
        <v>2984</v>
      </c>
      <c r="E1191" s="16" t="s">
        <v>221</v>
      </c>
      <c r="F1191" s="13" t="s">
        <v>1303</v>
      </c>
      <c r="G1191" s="13" t="s">
        <v>3044</v>
      </c>
      <c r="H1191" s="13" t="s">
        <v>3045</v>
      </c>
      <c r="I1191" s="13" t="s">
        <v>63</v>
      </c>
      <c r="J1191" s="17" t="s">
        <v>71</v>
      </c>
      <c r="K1191" s="17" t="s">
        <v>58</v>
      </c>
      <c r="L1191" s="18" t="s">
        <v>52</v>
      </c>
      <c r="M1191" s="19">
        <v>29.0</v>
      </c>
      <c r="N1191" s="19">
        <v>31.0</v>
      </c>
    </row>
    <row r="1192">
      <c r="A1192" s="12">
        <v>1190.0</v>
      </c>
      <c r="B1192" s="13" t="s">
        <v>2570</v>
      </c>
      <c r="C1192" s="14">
        <v>30.0</v>
      </c>
      <c r="D1192" s="15" t="s">
        <v>2984</v>
      </c>
      <c r="E1192" s="16" t="s">
        <v>221</v>
      </c>
      <c r="F1192" s="13" t="s">
        <v>2634</v>
      </c>
      <c r="G1192" s="13" t="s">
        <v>3046</v>
      </c>
      <c r="H1192" s="13" t="s">
        <v>3047</v>
      </c>
      <c r="I1192" s="13" t="s">
        <v>63</v>
      </c>
      <c r="J1192" s="17" t="s">
        <v>71</v>
      </c>
      <c r="K1192" s="17" t="s">
        <v>58</v>
      </c>
      <c r="L1192" s="18" t="s">
        <v>52</v>
      </c>
      <c r="M1192" s="19">
        <v>29.0</v>
      </c>
      <c r="N1192" s="19">
        <v>31.0</v>
      </c>
    </row>
    <row r="1193">
      <c r="A1193" s="12">
        <v>1191.0</v>
      </c>
      <c r="B1193" s="13" t="s">
        <v>2570</v>
      </c>
      <c r="C1193" s="14">
        <v>31.0</v>
      </c>
      <c r="D1193" s="15" t="s">
        <v>2984</v>
      </c>
      <c r="E1193" s="16" t="s">
        <v>221</v>
      </c>
      <c r="F1193" s="13" t="s">
        <v>3048</v>
      </c>
      <c r="G1193" s="13" t="s">
        <v>3049</v>
      </c>
      <c r="H1193" s="13" t="s">
        <v>3050</v>
      </c>
      <c r="I1193" s="13" t="s">
        <v>63</v>
      </c>
      <c r="J1193" s="17" t="s">
        <v>71</v>
      </c>
      <c r="K1193" s="17" t="s">
        <v>58</v>
      </c>
      <c r="L1193" s="18" t="s">
        <v>52</v>
      </c>
      <c r="M1193" s="19">
        <v>29.0</v>
      </c>
      <c r="N1193" s="19">
        <v>31.0</v>
      </c>
    </row>
    <row r="1194">
      <c r="A1194" s="12">
        <v>1192.0</v>
      </c>
      <c r="B1194" s="13" t="s">
        <v>2570</v>
      </c>
      <c r="C1194" s="14">
        <v>32.0</v>
      </c>
      <c r="D1194" s="15" t="s">
        <v>2984</v>
      </c>
      <c r="E1194" s="16" t="s">
        <v>221</v>
      </c>
      <c r="F1194" s="13" t="s">
        <v>3051</v>
      </c>
      <c r="G1194" s="13" t="s">
        <v>3052</v>
      </c>
      <c r="H1194" s="13" t="s">
        <v>3053</v>
      </c>
      <c r="I1194" s="13" t="s">
        <v>63</v>
      </c>
      <c r="J1194" s="17" t="s">
        <v>71</v>
      </c>
      <c r="K1194" s="17" t="s">
        <v>58</v>
      </c>
      <c r="L1194" s="18" t="s">
        <v>52</v>
      </c>
      <c r="M1194" s="19">
        <v>29.0</v>
      </c>
      <c r="N1194" s="19">
        <v>31.0</v>
      </c>
    </row>
    <row r="1195">
      <c r="A1195" s="12">
        <v>1193.0</v>
      </c>
      <c r="B1195" s="13" t="s">
        <v>2570</v>
      </c>
      <c r="C1195" s="14">
        <v>33.0</v>
      </c>
      <c r="D1195" s="15" t="s">
        <v>2984</v>
      </c>
      <c r="E1195" s="16" t="s">
        <v>221</v>
      </c>
      <c r="F1195" s="13" t="s">
        <v>3054</v>
      </c>
      <c r="G1195" s="13" t="s">
        <v>3055</v>
      </c>
      <c r="H1195" s="13" t="s">
        <v>3056</v>
      </c>
      <c r="I1195" s="13" t="s">
        <v>63</v>
      </c>
      <c r="J1195" s="17" t="s">
        <v>71</v>
      </c>
      <c r="K1195" s="17" t="s">
        <v>58</v>
      </c>
      <c r="L1195" s="18" t="s">
        <v>52</v>
      </c>
      <c r="M1195" s="19">
        <v>29.0</v>
      </c>
      <c r="N1195" s="19">
        <v>31.0</v>
      </c>
    </row>
    <row r="1196">
      <c r="A1196" s="12">
        <v>1194.0</v>
      </c>
      <c r="B1196" s="13" t="s">
        <v>2570</v>
      </c>
      <c r="C1196" s="14">
        <v>34.0</v>
      </c>
      <c r="D1196" s="15" t="s">
        <v>2984</v>
      </c>
      <c r="E1196" s="16" t="s">
        <v>221</v>
      </c>
      <c r="F1196" s="13" t="s">
        <v>2300</v>
      </c>
      <c r="G1196" s="13" t="s">
        <v>2301</v>
      </c>
      <c r="H1196" s="13" t="s">
        <v>3057</v>
      </c>
      <c r="I1196" s="13" t="s">
        <v>63</v>
      </c>
      <c r="J1196" s="17" t="s">
        <v>71</v>
      </c>
      <c r="K1196" s="17" t="s">
        <v>58</v>
      </c>
      <c r="L1196" s="18" t="s">
        <v>52</v>
      </c>
      <c r="M1196" s="19">
        <v>29.0</v>
      </c>
      <c r="N1196" s="19">
        <v>31.0</v>
      </c>
    </row>
    <row r="1197">
      <c r="A1197" s="12">
        <v>1195.0</v>
      </c>
      <c r="B1197" s="13" t="s">
        <v>2570</v>
      </c>
      <c r="C1197" s="14">
        <v>35.0</v>
      </c>
      <c r="D1197" s="15" t="s">
        <v>2984</v>
      </c>
      <c r="E1197" s="16" t="s">
        <v>221</v>
      </c>
      <c r="F1197" s="13" t="s">
        <v>2083</v>
      </c>
      <c r="G1197" s="13" t="s">
        <v>61</v>
      </c>
      <c r="H1197" s="13" t="s">
        <v>3058</v>
      </c>
      <c r="I1197" s="13" t="s">
        <v>63</v>
      </c>
      <c r="J1197" s="17" t="s">
        <v>71</v>
      </c>
      <c r="K1197" s="17" t="s">
        <v>58</v>
      </c>
      <c r="L1197" s="18" t="s">
        <v>52</v>
      </c>
      <c r="M1197" s="19">
        <v>29.0</v>
      </c>
      <c r="N1197" s="19">
        <v>31.0</v>
      </c>
    </row>
    <row r="1198">
      <c r="A1198" s="12">
        <v>1196.0</v>
      </c>
      <c r="B1198" s="13" t="s">
        <v>2570</v>
      </c>
      <c r="C1198" s="14">
        <v>36.0</v>
      </c>
      <c r="D1198" s="15" t="s">
        <v>2984</v>
      </c>
      <c r="E1198" s="16" t="s">
        <v>221</v>
      </c>
      <c r="F1198" s="13" t="s">
        <v>3059</v>
      </c>
      <c r="G1198" s="13" t="s">
        <v>3061</v>
      </c>
      <c r="H1198" s="13" t="s">
        <v>3062</v>
      </c>
      <c r="I1198" s="13" t="s">
        <v>63</v>
      </c>
      <c r="J1198" s="17" t="s">
        <v>71</v>
      </c>
      <c r="K1198" s="17" t="s">
        <v>58</v>
      </c>
      <c r="L1198" s="18" t="s">
        <v>52</v>
      </c>
      <c r="M1198" s="19">
        <v>29.0</v>
      </c>
      <c r="N1198" s="19">
        <v>31.0</v>
      </c>
    </row>
    <row r="1199">
      <c r="A1199" s="12">
        <v>1197.0</v>
      </c>
      <c r="B1199" s="13" t="s">
        <v>2570</v>
      </c>
      <c r="C1199" s="14">
        <v>37.0</v>
      </c>
      <c r="D1199" s="15" t="s">
        <v>2984</v>
      </c>
      <c r="E1199" s="16" t="s">
        <v>221</v>
      </c>
      <c r="F1199" s="13" t="s">
        <v>2091</v>
      </c>
      <c r="G1199" s="13" t="s">
        <v>61</v>
      </c>
      <c r="H1199" s="13" t="s">
        <v>3063</v>
      </c>
      <c r="I1199" s="13" t="s">
        <v>63</v>
      </c>
      <c r="J1199" s="17" t="s">
        <v>71</v>
      </c>
      <c r="K1199" s="17" t="s">
        <v>58</v>
      </c>
      <c r="L1199" s="18" t="s">
        <v>52</v>
      </c>
      <c r="M1199" s="19">
        <v>29.0</v>
      </c>
      <c r="N1199" s="19">
        <v>31.0</v>
      </c>
    </row>
    <row r="1200">
      <c r="A1200" s="12">
        <v>1198.0</v>
      </c>
      <c r="B1200" s="13" t="s">
        <v>2570</v>
      </c>
      <c r="C1200" s="14">
        <v>38.0</v>
      </c>
      <c r="D1200" s="15" t="s">
        <v>2984</v>
      </c>
      <c r="E1200" s="16" t="s">
        <v>221</v>
      </c>
      <c r="F1200" s="13" t="s">
        <v>2502</v>
      </c>
      <c r="G1200" s="13" t="s">
        <v>61</v>
      </c>
      <c r="H1200" s="13" t="s">
        <v>3064</v>
      </c>
      <c r="I1200" s="13" t="s">
        <v>63</v>
      </c>
      <c r="J1200" s="17" t="s">
        <v>71</v>
      </c>
      <c r="K1200" s="17" t="s">
        <v>58</v>
      </c>
      <c r="L1200" s="18" t="s">
        <v>52</v>
      </c>
      <c r="M1200" s="19">
        <v>29.0</v>
      </c>
      <c r="N1200" s="19">
        <v>31.0</v>
      </c>
    </row>
    <row r="1201">
      <c r="A1201" s="12">
        <v>1199.0</v>
      </c>
      <c r="B1201" s="13" t="s">
        <v>2570</v>
      </c>
      <c r="C1201" s="14">
        <v>39.0</v>
      </c>
      <c r="D1201" s="15" t="s">
        <v>2984</v>
      </c>
      <c r="E1201" s="16" t="s">
        <v>221</v>
      </c>
      <c r="F1201" s="13" t="s">
        <v>2567</v>
      </c>
      <c r="G1201" s="13" t="s">
        <v>2568</v>
      </c>
      <c r="H1201" s="13" t="s">
        <v>3065</v>
      </c>
      <c r="I1201" s="13" t="s">
        <v>63</v>
      </c>
      <c r="J1201" s="17" t="s">
        <v>71</v>
      </c>
      <c r="K1201" s="17" t="s">
        <v>58</v>
      </c>
      <c r="L1201" s="18" t="s">
        <v>52</v>
      </c>
      <c r="M1201" s="19">
        <v>29.0</v>
      </c>
      <c r="N1201" s="19">
        <v>31.0</v>
      </c>
    </row>
    <row r="1202">
      <c r="A1202" s="12">
        <v>1200.0</v>
      </c>
      <c r="B1202" s="13" t="s">
        <v>2570</v>
      </c>
      <c r="C1202" s="14">
        <v>40.0</v>
      </c>
      <c r="D1202" s="15" t="s">
        <v>2984</v>
      </c>
      <c r="E1202" s="16" t="s">
        <v>221</v>
      </c>
      <c r="F1202" s="13" t="s">
        <v>2065</v>
      </c>
      <c r="G1202" s="13" t="s">
        <v>61</v>
      </c>
      <c r="H1202" s="13" t="s">
        <v>3066</v>
      </c>
      <c r="I1202" s="13" t="s">
        <v>63</v>
      </c>
      <c r="J1202" s="17" t="s">
        <v>71</v>
      </c>
      <c r="K1202" s="17" t="s">
        <v>58</v>
      </c>
      <c r="L1202" s="18" t="s">
        <v>52</v>
      </c>
      <c r="M1202" s="19">
        <v>29.0</v>
      </c>
      <c r="N1202" s="19">
        <v>31.0</v>
      </c>
    </row>
    <row r="1203">
      <c r="A1203" s="12">
        <v>1201.0</v>
      </c>
      <c r="B1203" s="13" t="s">
        <v>2570</v>
      </c>
      <c r="C1203" s="14">
        <v>41.0</v>
      </c>
      <c r="D1203" s="15" t="s">
        <v>2984</v>
      </c>
      <c r="E1203" s="16" t="s">
        <v>221</v>
      </c>
      <c r="F1203" s="13" t="s">
        <v>1162</v>
      </c>
      <c r="G1203" s="13" t="s">
        <v>1313</v>
      </c>
      <c r="H1203" s="13" t="s">
        <v>1314</v>
      </c>
      <c r="I1203" s="13" t="s">
        <v>63</v>
      </c>
      <c r="J1203" s="17" t="s">
        <v>71</v>
      </c>
      <c r="K1203" s="17" t="s">
        <v>58</v>
      </c>
      <c r="L1203" s="18" t="s">
        <v>52</v>
      </c>
      <c r="M1203" s="19">
        <v>29.0</v>
      </c>
      <c r="N1203" s="19">
        <v>31.0</v>
      </c>
    </row>
    <row r="1204">
      <c r="A1204" s="12">
        <v>1202.0</v>
      </c>
      <c r="B1204" s="13" t="s">
        <v>2570</v>
      </c>
      <c r="C1204" s="14">
        <v>42.0</v>
      </c>
      <c r="D1204" s="15" t="s">
        <v>2984</v>
      </c>
      <c r="E1204" s="16" t="s">
        <v>221</v>
      </c>
      <c r="F1204" s="13" t="s">
        <v>3068</v>
      </c>
      <c r="G1204" s="13" t="s">
        <v>3069</v>
      </c>
      <c r="H1204" s="13" t="s">
        <v>3070</v>
      </c>
      <c r="I1204" s="13" t="s">
        <v>63</v>
      </c>
      <c r="J1204" s="17" t="s">
        <v>71</v>
      </c>
      <c r="K1204" s="17" t="s">
        <v>58</v>
      </c>
      <c r="L1204" s="18" t="s">
        <v>52</v>
      </c>
      <c r="M1204" s="19">
        <v>29.0</v>
      </c>
      <c r="N1204" s="19">
        <v>31.0</v>
      </c>
    </row>
    <row r="1205">
      <c r="A1205" s="12">
        <v>1203.0</v>
      </c>
      <c r="B1205" s="13" t="s">
        <v>2570</v>
      </c>
      <c r="C1205" s="14">
        <v>43.0</v>
      </c>
      <c r="D1205" s="15" t="s">
        <v>2984</v>
      </c>
      <c r="E1205" s="16" t="s">
        <v>221</v>
      </c>
      <c r="F1205" s="13" t="s">
        <v>1402</v>
      </c>
      <c r="G1205" s="13" t="s">
        <v>3071</v>
      </c>
      <c r="H1205" s="13" t="s">
        <v>3072</v>
      </c>
      <c r="I1205" s="13" t="s">
        <v>63</v>
      </c>
      <c r="J1205" s="17" t="s">
        <v>71</v>
      </c>
      <c r="K1205" s="17" t="s">
        <v>58</v>
      </c>
      <c r="L1205" s="18" t="s">
        <v>52</v>
      </c>
      <c r="M1205" s="19">
        <v>29.0</v>
      </c>
      <c r="N1205" s="19">
        <v>31.0</v>
      </c>
    </row>
    <row r="1206">
      <c r="A1206" s="12">
        <v>1204.0</v>
      </c>
      <c r="B1206" s="13" t="s">
        <v>2570</v>
      </c>
      <c r="C1206" s="14">
        <v>44.0</v>
      </c>
      <c r="D1206" s="15" t="s">
        <v>2984</v>
      </c>
      <c r="E1206" s="16" t="s">
        <v>221</v>
      </c>
      <c r="F1206" s="13" t="s">
        <v>3074</v>
      </c>
      <c r="G1206" s="13" t="s">
        <v>3075</v>
      </c>
      <c r="H1206" s="13" t="s">
        <v>3076</v>
      </c>
      <c r="I1206" s="13" t="s">
        <v>63</v>
      </c>
      <c r="J1206" s="17" t="s">
        <v>71</v>
      </c>
      <c r="K1206" s="17" t="s">
        <v>58</v>
      </c>
      <c r="L1206" s="18" t="s">
        <v>52</v>
      </c>
      <c r="M1206" s="19">
        <v>29.0</v>
      </c>
      <c r="N1206" s="19">
        <v>31.0</v>
      </c>
    </row>
    <row r="1207">
      <c r="A1207" s="12">
        <v>1205.0</v>
      </c>
      <c r="B1207" s="13" t="s">
        <v>2570</v>
      </c>
      <c r="C1207" s="14">
        <v>45.0</v>
      </c>
      <c r="D1207" s="15" t="s">
        <v>2984</v>
      </c>
      <c r="E1207" s="16" t="s">
        <v>221</v>
      </c>
      <c r="F1207" s="13" t="s">
        <v>3077</v>
      </c>
      <c r="G1207" s="13" t="s">
        <v>1652</v>
      </c>
      <c r="H1207" s="13" t="s">
        <v>3078</v>
      </c>
      <c r="I1207" s="13" t="s">
        <v>63</v>
      </c>
      <c r="J1207" s="17" t="s">
        <v>71</v>
      </c>
      <c r="K1207" s="17" t="s">
        <v>58</v>
      </c>
      <c r="L1207" s="18" t="s">
        <v>52</v>
      </c>
      <c r="M1207" s="19">
        <v>29.0</v>
      </c>
      <c r="N1207" s="19">
        <v>31.0</v>
      </c>
    </row>
    <row r="1208">
      <c r="A1208" s="12">
        <v>1206.0</v>
      </c>
      <c r="B1208" s="13" t="s">
        <v>2570</v>
      </c>
      <c r="C1208" s="14">
        <v>46.0</v>
      </c>
      <c r="D1208" s="15" t="s">
        <v>2984</v>
      </c>
      <c r="E1208" s="16" t="s">
        <v>221</v>
      </c>
      <c r="F1208" s="13" t="s">
        <v>3079</v>
      </c>
      <c r="G1208" s="13" t="s">
        <v>3080</v>
      </c>
      <c r="H1208" s="13" t="s">
        <v>3081</v>
      </c>
      <c r="I1208" s="13" t="s">
        <v>63</v>
      </c>
      <c r="J1208" s="17" t="s">
        <v>71</v>
      </c>
      <c r="K1208" s="17" t="s">
        <v>58</v>
      </c>
      <c r="L1208" s="18" t="s">
        <v>52</v>
      </c>
      <c r="M1208" s="19">
        <v>29.0</v>
      </c>
      <c r="N1208" s="19">
        <v>31.0</v>
      </c>
    </row>
    <row r="1209">
      <c r="A1209" s="12">
        <v>1207.0</v>
      </c>
      <c r="B1209" s="13" t="s">
        <v>2570</v>
      </c>
      <c r="C1209" s="14">
        <v>47.0</v>
      </c>
      <c r="D1209" s="15" t="s">
        <v>2984</v>
      </c>
      <c r="E1209" s="16" t="s">
        <v>221</v>
      </c>
      <c r="F1209" s="13" t="s">
        <v>1946</v>
      </c>
      <c r="G1209" s="13" t="s">
        <v>1947</v>
      </c>
      <c r="H1209" s="13" t="s">
        <v>3082</v>
      </c>
      <c r="I1209" s="13" t="s">
        <v>63</v>
      </c>
      <c r="J1209" s="17" t="s">
        <v>71</v>
      </c>
      <c r="K1209" s="17" t="s">
        <v>58</v>
      </c>
      <c r="L1209" s="18" t="s">
        <v>52</v>
      </c>
      <c r="M1209" s="19">
        <v>29.0</v>
      </c>
      <c r="N1209" s="19">
        <v>31.0</v>
      </c>
    </row>
    <row r="1210">
      <c r="A1210" s="12">
        <v>1208.0</v>
      </c>
      <c r="B1210" s="13" t="s">
        <v>2570</v>
      </c>
      <c r="C1210" s="14">
        <v>48.0</v>
      </c>
      <c r="D1210" s="15" t="s">
        <v>2984</v>
      </c>
      <c r="E1210" s="16" t="s">
        <v>221</v>
      </c>
      <c r="F1210" s="13" t="s">
        <v>2585</v>
      </c>
      <c r="G1210" s="13" t="s">
        <v>3083</v>
      </c>
      <c r="H1210" s="13" t="s">
        <v>3084</v>
      </c>
      <c r="I1210" s="13" t="s">
        <v>63</v>
      </c>
      <c r="J1210" s="17" t="s">
        <v>71</v>
      </c>
      <c r="K1210" s="17" t="s">
        <v>58</v>
      </c>
      <c r="L1210" s="18" t="s">
        <v>52</v>
      </c>
      <c r="M1210" s="19">
        <v>29.0</v>
      </c>
      <c r="N1210" s="19">
        <v>31.0</v>
      </c>
    </row>
    <row r="1211">
      <c r="A1211" s="12">
        <v>1209.0</v>
      </c>
      <c r="B1211" s="13" t="s">
        <v>2570</v>
      </c>
      <c r="C1211" s="14">
        <v>49.0</v>
      </c>
      <c r="D1211" s="15" t="s">
        <v>2984</v>
      </c>
      <c r="E1211" s="16" t="s">
        <v>221</v>
      </c>
      <c r="F1211" s="13" t="s">
        <v>124</v>
      </c>
      <c r="G1211" s="13" t="s">
        <v>3085</v>
      </c>
      <c r="H1211" s="13" t="s">
        <v>3086</v>
      </c>
      <c r="I1211" s="13" t="s">
        <v>63</v>
      </c>
      <c r="J1211" s="17" t="s">
        <v>71</v>
      </c>
      <c r="K1211" s="17" t="s">
        <v>58</v>
      </c>
      <c r="L1211" s="18" t="s">
        <v>52</v>
      </c>
      <c r="M1211" s="19">
        <v>29.0</v>
      </c>
      <c r="N1211" s="19">
        <v>31.0</v>
      </c>
    </row>
    <row r="1212">
      <c r="A1212" s="12">
        <v>1210.0</v>
      </c>
      <c r="B1212" s="13" t="s">
        <v>2570</v>
      </c>
      <c r="C1212" s="14">
        <v>50.0</v>
      </c>
      <c r="D1212" s="15" t="s">
        <v>2984</v>
      </c>
      <c r="E1212" s="16" t="s">
        <v>221</v>
      </c>
      <c r="F1212" s="13" t="s">
        <v>2591</v>
      </c>
      <c r="G1212" s="13" t="s">
        <v>3088</v>
      </c>
      <c r="H1212" s="13" t="s">
        <v>3089</v>
      </c>
      <c r="I1212" s="13" t="s">
        <v>63</v>
      </c>
      <c r="J1212" s="17" t="s">
        <v>71</v>
      </c>
      <c r="K1212" s="17" t="s">
        <v>58</v>
      </c>
      <c r="L1212" s="18" t="s">
        <v>52</v>
      </c>
      <c r="M1212" s="19">
        <v>29.0</v>
      </c>
      <c r="N1212" s="19">
        <v>31.0</v>
      </c>
    </row>
    <row r="1213">
      <c r="A1213" s="12">
        <v>1211.0</v>
      </c>
      <c r="B1213" s="13" t="s">
        <v>1860</v>
      </c>
      <c r="C1213" s="14">
        <v>1.0</v>
      </c>
      <c r="D1213" s="15" t="s">
        <v>3090</v>
      </c>
      <c r="E1213" s="16" t="s">
        <v>52</v>
      </c>
      <c r="F1213" s="13" t="s">
        <v>3041</v>
      </c>
      <c r="G1213" s="13" t="s">
        <v>61</v>
      </c>
      <c r="H1213" s="13" t="s">
        <v>3091</v>
      </c>
      <c r="I1213" s="13" t="s">
        <v>56</v>
      </c>
      <c r="J1213" s="17" t="s">
        <v>57</v>
      </c>
      <c r="K1213" s="17" t="s">
        <v>58</v>
      </c>
      <c r="L1213" s="18" t="s">
        <v>52</v>
      </c>
      <c r="M1213" s="19">
        <v>30.0</v>
      </c>
      <c r="N1213" s="19">
        <v>10.0</v>
      </c>
    </row>
    <row r="1214">
      <c r="A1214" s="12">
        <v>1212.0</v>
      </c>
      <c r="B1214" s="13" t="s">
        <v>1860</v>
      </c>
      <c r="C1214" s="14">
        <v>2.0</v>
      </c>
      <c r="D1214" s="15" t="s">
        <v>3090</v>
      </c>
      <c r="E1214" s="16" t="s">
        <v>52</v>
      </c>
      <c r="F1214" s="13" t="s">
        <v>1162</v>
      </c>
      <c r="G1214" s="13" t="s">
        <v>1313</v>
      </c>
      <c r="H1214" s="13" t="s">
        <v>3093</v>
      </c>
      <c r="I1214" s="13" t="s">
        <v>56</v>
      </c>
      <c r="J1214" s="17" t="s">
        <v>67</v>
      </c>
      <c r="K1214" s="17" t="s">
        <v>58</v>
      </c>
      <c r="L1214" s="18" t="s">
        <v>52</v>
      </c>
      <c r="M1214" s="19">
        <v>30.0</v>
      </c>
      <c r="N1214" s="19">
        <v>20.0</v>
      </c>
    </row>
    <row r="1215">
      <c r="A1215" s="12">
        <v>1213.0</v>
      </c>
      <c r="B1215" s="13" t="s">
        <v>1860</v>
      </c>
      <c r="C1215" s="14">
        <v>3.0</v>
      </c>
      <c r="D1215" s="15" t="s">
        <v>3090</v>
      </c>
      <c r="E1215" s="16" t="s">
        <v>52</v>
      </c>
      <c r="F1215" s="13" t="s">
        <v>2631</v>
      </c>
      <c r="G1215" s="13" t="s">
        <v>2632</v>
      </c>
      <c r="H1215" s="13" t="s">
        <v>3095</v>
      </c>
      <c r="I1215" s="13" t="s">
        <v>56</v>
      </c>
      <c r="J1215" s="17" t="s">
        <v>67</v>
      </c>
      <c r="K1215" s="17" t="s">
        <v>58</v>
      </c>
      <c r="L1215" s="18" t="s">
        <v>52</v>
      </c>
      <c r="M1215" s="19">
        <v>30.0</v>
      </c>
      <c r="N1215" s="19">
        <v>20.0</v>
      </c>
    </row>
    <row r="1216">
      <c r="A1216" s="12">
        <v>1214.0</v>
      </c>
      <c r="B1216" s="13" t="s">
        <v>1860</v>
      </c>
      <c r="C1216" s="14">
        <v>4.0</v>
      </c>
      <c r="D1216" s="15" t="s">
        <v>3096</v>
      </c>
      <c r="E1216" s="16" t="s">
        <v>52</v>
      </c>
      <c r="F1216" s="13" t="s">
        <v>3074</v>
      </c>
      <c r="G1216" s="13" t="s">
        <v>61</v>
      </c>
      <c r="H1216" s="13" t="s">
        <v>3098</v>
      </c>
      <c r="I1216" s="13" t="s">
        <v>56</v>
      </c>
      <c r="J1216" s="17" t="s">
        <v>67</v>
      </c>
      <c r="K1216" s="17" t="s">
        <v>58</v>
      </c>
      <c r="L1216" s="18" t="s">
        <v>52</v>
      </c>
      <c r="M1216" s="19">
        <v>30.0</v>
      </c>
      <c r="N1216" s="19">
        <v>20.0</v>
      </c>
    </row>
    <row r="1217">
      <c r="A1217" s="12">
        <v>1215.0</v>
      </c>
      <c r="B1217" s="13" t="s">
        <v>1860</v>
      </c>
      <c r="C1217" s="14">
        <v>5.0</v>
      </c>
      <c r="D1217" s="15" t="s">
        <v>3096</v>
      </c>
      <c r="E1217" s="16" t="s">
        <v>52</v>
      </c>
      <c r="F1217" s="13" t="s">
        <v>3068</v>
      </c>
      <c r="G1217" s="13" t="s">
        <v>61</v>
      </c>
      <c r="H1217" s="13" t="s">
        <v>3100</v>
      </c>
      <c r="I1217" s="13" t="s">
        <v>56</v>
      </c>
      <c r="J1217" s="17" t="s">
        <v>67</v>
      </c>
      <c r="K1217" s="17" t="s">
        <v>58</v>
      </c>
      <c r="L1217" s="18" t="s">
        <v>52</v>
      </c>
      <c r="M1217" s="19">
        <v>30.0</v>
      </c>
      <c r="N1217" s="19">
        <v>20.0</v>
      </c>
    </row>
    <row r="1218">
      <c r="A1218" s="12">
        <v>1216.0</v>
      </c>
      <c r="B1218" s="13" t="s">
        <v>1860</v>
      </c>
      <c r="C1218" s="14">
        <v>6.0</v>
      </c>
      <c r="D1218" s="15" t="s">
        <v>3096</v>
      </c>
      <c r="E1218" s="16" t="s">
        <v>52</v>
      </c>
      <c r="F1218" s="13" t="s">
        <v>1843</v>
      </c>
      <c r="G1218" s="13" t="s">
        <v>3102</v>
      </c>
      <c r="H1218" s="13" t="s">
        <v>3103</v>
      </c>
      <c r="I1218" s="13" t="s">
        <v>56</v>
      </c>
      <c r="J1218" s="17" t="s">
        <v>67</v>
      </c>
      <c r="K1218" s="17" t="s">
        <v>58</v>
      </c>
      <c r="L1218" s="18" t="s">
        <v>52</v>
      </c>
      <c r="M1218" s="19">
        <v>30.0</v>
      </c>
      <c r="N1218" s="19">
        <v>20.0</v>
      </c>
    </row>
    <row r="1219">
      <c r="A1219" s="12">
        <v>1217.0</v>
      </c>
      <c r="B1219" s="13" t="s">
        <v>1860</v>
      </c>
      <c r="C1219" s="14">
        <v>7.0</v>
      </c>
      <c r="D1219" s="15" t="s">
        <v>3096</v>
      </c>
      <c r="E1219" s="16" t="s">
        <v>52</v>
      </c>
      <c r="F1219" s="13" t="s">
        <v>2523</v>
      </c>
      <c r="G1219" s="13" t="s">
        <v>2524</v>
      </c>
      <c r="H1219" s="13" t="s">
        <v>3106</v>
      </c>
      <c r="I1219" s="13" t="s">
        <v>56</v>
      </c>
      <c r="J1219" s="17" t="s">
        <v>67</v>
      </c>
      <c r="K1219" s="17" t="s">
        <v>58</v>
      </c>
      <c r="L1219" s="18" t="s">
        <v>52</v>
      </c>
      <c r="M1219" s="19">
        <v>30.0</v>
      </c>
      <c r="N1219" s="19">
        <v>20.0</v>
      </c>
    </row>
    <row r="1220">
      <c r="A1220" s="12">
        <v>1218.0</v>
      </c>
      <c r="B1220" s="13" t="s">
        <v>1860</v>
      </c>
      <c r="C1220" s="14">
        <v>8.0</v>
      </c>
      <c r="D1220" s="15" t="s">
        <v>3096</v>
      </c>
      <c r="E1220" s="16" t="s">
        <v>52</v>
      </c>
      <c r="F1220" s="13" t="s">
        <v>1693</v>
      </c>
      <c r="G1220" s="13" t="s">
        <v>61</v>
      </c>
      <c r="H1220" s="13" t="s">
        <v>3108</v>
      </c>
      <c r="I1220" s="13" t="s">
        <v>56</v>
      </c>
      <c r="J1220" s="17" t="s">
        <v>67</v>
      </c>
      <c r="K1220" s="17" t="s">
        <v>58</v>
      </c>
      <c r="L1220" s="18" t="s">
        <v>52</v>
      </c>
      <c r="M1220" s="19">
        <v>30.0</v>
      </c>
      <c r="N1220" s="19">
        <v>20.0</v>
      </c>
    </row>
    <row r="1221">
      <c r="A1221" s="12">
        <v>1219.0</v>
      </c>
      <c r="B1221" s="13" t="s">
        <v>1860</v>
      </c>
      <c r="C1221" s="14">
        <v>9.0</v>
      </c>
      <c r="D1221" s="15" t="s">
        <v>3096</v>
      </c>
      <c r="E1221" s="16" t="s">
        <v>52</v>
      </c>
      <c r="F1221" s="13" t="s">
        <v>3109</v>
      </c>
      <c r="G1221" s="13" t="s">
        <v>61</v>
      </c>
      <c r="H1221" s="13" t="s">
        <v>3110</v>
      </c>
      <c r="I1221" s="13" t="s">
        <v>56</v>
      </c>
      <c r="J1221" s="17" t="s">
        <v>67</v>
      </c>
      <c r="K1221" s="17" t="s">
        <v>58</v>
      </c>
      <c r="L1221" s="18" t="s">
        <v>52</v>
      </c>
      <c r="M1221" s="19">
        <v>30.0</v>
      </c>
      <c r="N1221" s="19">
        <v>20.0</v>
      </c>
    </row>
    <row r="1222">
      <c r="A1222" s="12">
        <v>1220.0</v>
      </c>
      <c r="B1222" s="13" t="s">
        <v>1860</v>
      </c>
      <c r="C1222" s="14">
        <v>10.0</v>
      </c>
      <c r="D1222" s="15" t="s">
        <v>3090</v>
      </c>
      <c r="E1222" s="16" t="s">
        <v>52</v>
      </c>
      <c r="F1222" s="13" t="s">
        <v>3113</v>
      </c>
      <c r="G1222" s="13" t="s">
        <v>3114</v>
      </c>
      <c r="H1222" s="13" t="s">
        <v>3115</v>
      </c>
      <c r="I1222" s="13" t="s">
        <v>56</v>
      </c>
      <c r="J1222" s="17" t="s">
        <v>71</v>
      </c>
      <c r="K1222" s="17" t="s">
        <v>58</v>
      </c>
      <c r="L1222" s="18" t="s">
        <v>52</v>
      </c>
      <c r="M1222" s="19">
        <v>30.0</v>
      </c>
      <c r="N1222" s="19">
        <v>30.0</v>
      </c>
    </row>
    <row r="1223">
      <c r="A1223" s="12">
        <v>1221.0</v>
      </c>
      <c r="B1223" s="13" t="s">
        <v>1860</v>
      </c>
      <c r="C1223" s="14">
        <v>11.0</v>
      </c>
      <c r="D1223" s="15" t="s">
        <v>3090</v>
      </c>
      <c r="E1223" s="16" t="s">
        <v>52</v>
      </c>
      <c r="F1223" s="13" t="s">
        <v>1989</v>
      </c>
      <c r="G1223" s="13" t="s">
        <v>3116</v>
      </c>
      <c r="H1223" s="13" t="s">
        <v>3118</v>
      </c>
      <c r="I1223" s="13" t="s">
        <v>56</v>
      </c>
      <c r="J1223" s="17" t="s">
        <v>71</v>
      </c>
      <c r="K1223" s="17" t="s">
        <v>58</v>
      </c>
      <c r="L1223" s="18" t="s">
        <v>52</v>
      </c>
      <c r="M1223" s="19">
        <v>30.0</v>
      </c>
      <c r="N1223" s="19">
        <v>30.0</v>
      </c>
    </row>
    <row r="1224">
      <c r="A1224" s="12">
        <v>1222.0</v>
      </c>
      <c r="B1224" s="13" t="s">
        <v>1860</v>
      </c>
      <c r="C1224" s="14">
        <v>12.0</v>
      </c>
      <c r="D1224" s="15" t="s">
        <v>3096</v>
      </c>
      <c r="E1224" s="16" t="s">
        <v>52</v>
      </c>
      <c r="F1224" s="13" t="s">
        <v>1134</v>
      </c>
      <c r="G1224" s="13" t="s">
        <v>1135</v>
      </c>
      <c r="H1224" s="13" t="s">
        <v>3119</v>
      </c>
      <c r="I1224" s="13" t="s">
        <v>56</v>
      </c>
      <c r="J1224" s="17" t="s">
        <v>71</v>
      </c>
      <c r="K1224" s="17" t="s">
        <v>58</v>
      </c>
      <c r="L1224" s="18" t="s">
        <v>52</v>
      </c>
      <c r="M1224" s="19">
        <v>30.0</v>
      </c>
      <c r="N1224" s="19">
        <v>30.0</v>
      </c>
    </row>
    <row r="1225">
      <c r="A1225" s="12">
        <v>1223.0</v>
      </c>
      <c r="B1225" s="13" t="s">
        <v>1860</v>
      </c>
      <c r="C1225" s="14">
        <v>13.0</v>
      </c>
      <c r="D1225" s="15" t="s">
        <v>3096</v>
      </c>
      <c r="E1225" s="16" t="s">
        <v>52</v>
      </c>
      <c r="F1225" s="13" t="s">
        <v>1356</v>
      </c>
      <c r="G1225" s="13" t="s">
        <v>1357</v>
      </c>
      <c r="H1225" s="13" t="s">
        <v>3120</v>
      </c>
      <c r="I1225" s="13" t="s">
        <v>56</v>
      </c>
      <c r="J1225" s="17" t="s">
        <v>71</v>
      </c>
      <c r="K1225" s="17" t="s">
        <v>58</v>
      </c>
      <c r="L1225" s="18" t="s">
        <v>52</v>
      </c>
      <c r="M1225" s="19">
        <v>30.0</v>
      </c>
      <c r="N1225" s="19">
        <v>30.0</v>
      </c>
    </row>
    <row r="1226">
      <c r="A1226" s="12">
        <v>1224.0</v>
      </c>
      <c r="B1226" s="13" t="s">
        <v>1860</v>
      </c>
      <c r="C1226" s="14">
        <v>14.0</v>
      </c>
      <c r="D1226" s="15" t="s">
        <v>3096</v>
      </c>
      <c r="E1226" s="16" t="s">
        <v>52</v>
      </c>
      <c r="F1226" s="13" t="s">
        <v>2427</v>
      </c>
      <c r="G1226" s="13" t="s">
        <v>61</v>
      </c>
      <c r="H1226" s="13" t="s">
        <v>3122</v>
      </c>
      <c r="I1226" s="13" t="s">
        <v>56</v>
      </c>
      <c r="J1226" s="17" t="s">
        <v>71</v>
      </c>
      <c r="K1226" s="17" t="s">
        <v>58</v>
      </c>
      <c r="L1226" s="18" t="s">
        <v>52</v>
      </c>
      <c r="M1226" s="19">
        <v>30.0</v>
      </c>
      <c r="N1226" s="19">
        <v>30.0</v>
      </c>
    </row>
    <row r="1227">
      <c r="A1227" s="12">
        <v>1225.0</v>
      </c>
      <c r="B1227" s="13" t="s">
        <v>1860</v>
      </c>
      <c r="C1227" s="14">
        <v>15.0</v>
      </c>
      <c r="D1227" s="15" t="s">
        <v>3096</v>
      </c>
      <c r="E1227" s="16" t="s">
        <v>52</v>
      </c>
      <c r="F1227" s="13" t="s">
        <v>2690</v>
      </c>
      <c r="G1227" s="13" t="s">
        <v>2691</v>
      </c>
      <c r="H1227" s="13" t="s">
        <v>3123</v>
      </c>
      <c r="I1227" s="13" t="s">
        <v>56</v>
      </c>
      <c r="J1227" s="17" t="s">
        <v>71</v>
      </c>
      <c r="K1227" s="17" t="s">
        <v>58</v>
      </c>
      <c r="L1227" s="18" t="s">
        <v>52</v>
      </c>
      <c r="M1227" s="19">
        <v>30.0</v>
      </c>
      <c r="N1227" s="19">
        <v>30.0</v>
      </c>
    </row>
    <row r="1228">
      <c r="A1228" s="12">
        <v>1226.0</v>
      </c>
      <c r="B1228" s="13" t="s">
        <v>1860</v>
      </c>
      <c r="C1228" s="14">
        <v>16.0</v>
      </c>
      <c r="D1228" s="15" t="s">
        <v>3096</v>
      </c>
      <c r="E1228" s="16" t="s">
        <v>52</v>
      </c>
      <c r="F1228" s="13" t="s">
        <v>2441</v>
      </c>
      <c r="G1228" s="13" t="s">
        <v>61</v>
      </c>
      <c r="H1228" s="13" t="s">
        <v>3124</v>
      </c>
      <c r="I1228" s="13" t="s">
        <v>56</v>
      </c>
      <c r="J1228" s="17" t="s">
        <v>71</v>
      </c>
      <c r="K1228" s="17" t="s">
        <v>58</v>
      </c>
      <c r="L1228" s="18" t="s">
        <v>52</v>
      </c>
      <c r="M1228" s="19">
        <v>30.0</v>
      </c>
      <c r="N1228" s="19">
        <v>30.0</v>
      </c>
    </row>
    <row r="1229">
      <c r="A1229" s="12">
        <v>1227.0</v>
      </c>
      <c r="B1229" s="13" t="s">
        <v>1860</v>
      </c>
      <c r="C1229" s="14">
        <v>17.0</v>
      </c>
      <c r="D1229" s="15" t="s">
        <v>3096</v>
      </c>
      <c r="E1229" s="16" t="s">
        <v>52</v>
      </c>
      <c r="F1229" s="13" t="s">
        <v>1960</v>
      </c>
      <c r="G1229" s="13" t="s">
        <v>3125</v>
      </c>
      <c r="H1229" s="13" t="s">
        <v>3126</v>
      </c>
      <c r="I1229" s="13" t="s">
        <v>56</v>
      </c>
      <c r="J1229" s="17" t="s">
        <v>71</v>
      </c>
      <c r="K1229" s="17" t="s">
        <v>58</v>
      </c>
      <c r="L1229" s="18" t="s">
        <v>52</v>
      </c>
      <c r="M1229" s="19">
        <v>30.0</v>
      </c>
      <c r="N1229" s="19">
        <v>30.0</v>
      </c>
    </row>
    <row r="1230">
      <c r="A1230" s="12">
        <v>1228.0</v>
      </c>
      <c r="B1230" s="13" t="s">
        <v>1860</v>
      </c>
      <c r="C1230" s="14">
        <v>18.0</v>
      </c>
      <c r="D1230" s="15" t="s">
        <v>3096</v>
      </c>
      <c r="E1230" s="16" t="s">
        <v>52</v>
      </c>
      <c r="F1230" s="13" t="s">
        <v>2914</v>
      </c>
      <c r="G1230" s="13" t="s">
        <v>3127</v>
      </c>
      <c r="H1230" s="13" t="s">
        <v>3128</v>
      </c>
      <c r="I1230" s="13" t="s">
        <v>56</v>
      </c>
      <c r="J1230" s="17" t="s">
        <v>71</v>
      </c>
      <c r="K1230" s="17" t="s">
        <v>58</v>
      </c>
      <c r="L1230" s="18" t="s">
        <v>52</v>
      </c>
      <c r="M1230" s="19">
        <v>30.0</v>
      </c>
      <c r="N1230" s="19">
        <v>30.0</v>
      </c>
    </row>
    <row r="1231">
      <c r="A1231" s="12">
        <v>1229.0</v>
      </c>
      <c r="B1231" s="13" t="s">
        <v>1860</v>
      </c>
      <c r="C1231" s="14">
        <v>19.0</v>
      </c>
      <c r="D1231" s="15" t="s">
        <v>3096</v>
      </c>
      <c r="E1231" s="16" t="s">
        <v>52</v>
      </c>
      <c r="F1231" s="13" t="s">
        <v>2016</v>
      </c>
      <c r="G1231" s="13" t="s">
        <v>61</v>
      </c>
      <c r="H1231" s="13" t="s">
        <v>3130</v>
      </c>
      <c r="I1231" s="13" t="s">
        <v>56</v>
      </c>
      <c r="J1231" s="17" t="s">
        <v>71</v>
      </c>
      <c r="K1231" s="17" t="s">
        <v>58</v>
      </c>
      <c r="L1231" s="18" t="s">
        <v>52</v>
      </c>
      <c r="M1231" s="19">
        <v>30.0</v>
      </c>
      <c r="N1231" s="19">
        <v>30.0</v>
      </c>
    </row>
    <row r="1232">
      <c r="A1232" s="12">
        <v>1230.0</v>
      </c>
      <c r="B1232" s="13" t="s">
        <v>1860</v>
      </c>
      <c r="C1232" s="14">
        <v>20.0</v>
      </c>
      <c r="D1232" s="15" t="s">
        <v>3090</v>
      </c>
      <c r="E1232" s="16" t="s">
        <v>52</v>
      </c>
      <c r="F1232" s="13" t="s">
        <v>2362</v>
      </c>
      <c r="G1232" s="13" t="s">
        <v>2363</v>
      </c>
      <c r="H1232" s="13" t="s">
        <v>3131</v>
      </c>
      <c r="I1232" s="13" t="s">
        <v>63</v>
      </c>
      <c r="J1232" s="17" t="s">
        <v>71</v>
      </c>
      <c r="K1232" s="17" t="s">
        <v>58</v>
      </c>
      <c r="L1232" s="18" t="s">
        <v>52</v>
      </c>
      <c r="M1232" s="19">
        <v>30.0</v>
      </c>
      <c r="N1232" s="19">
        <v>31.0</v>
      </c>
    </row>
    <row r="1233">
      <c r="A1233" s="12">
        <v>1231.0</v>
      </c>
      <c r="B1233" s="13" t="s">
        <v>1860</v>
      </c>
      <c r="C1233" s="14">
        <v>21.0</v>
      </c>
      <c r="D1233" s="15" t="s">
        <v>3090</v>
      </c>
      <c r="E1233" s="16" t="s">
        <v>52</v>
      </c>
      <c r="F1233" s="13" t="s">
        <v>3132</v>
      </c>
      <c r="G1233" s="13" t="s">
        <v>61</v>
      </c>
      <c r="H1233" s="13" t="s">
        <v>3133</v>
      </c>
      <c r="I1233" s="13" t="s">
        <v>63</v>
      </c>
      <c r="J1233" s="17" t="s">
        <v>71</v>
      </c>
      <c r="K1233" s="17" t="s">
        <v>58</v>
      </c>
      <c r="L1233" s="18" t="s">
        <v>52</v>
      </c>
      <c r="M1233" s="19">
        <v>30.0</v>
      </c>
      <c r="N1233" s="19">
        <v>31.0</v>
      </c>
    </row>
    <row r="1234">
      <c r="A1234" s="12">
        <v>1232.0</v>
      </c>
      <c r="B1234" s="13" t="s">
        <v>1860</v>
      </c>
      <c r="C1234" s="14">
        <v>22.0</v>
      </c>
      <c r="D1234" s="15" t="s">
        <v>3090</v>
      </c>
      <c r="E1234" s="16" t="s">
        <v>52</v>
      </c>
      <c r="F1234" s="13" t="s">
        <v>1833</v>
      </c>
      <c r="G1234" s="13" t="s">
        <v>3135</v>
      </c>
      <c r="H1234" s="13" t="s">
        <v>3136</v>
      </c>
      <c r="I1234" s="13" t="s">
        <v>63</v>
      </c>
      <c r="J1234" s="17" t="s">
        <v>71</v>
      </c>
      <c r="K1234" s="17" t="s">
        <v>58</v>
      </c>
      <c r="L1234" s="18" t="s">
        <v>52</v>
      </c>
      <c r="M1234" s="19">
        <v>30.0</v>
      </c>
      <c r="N1234" s="19">
        <v>31.0</v>
      </c>
    </row>
    <row r="1235">
      <c r="A1235" s="12">
        <v>1233.0</v>
      </c>
      <c r="B1235" s="13" t="s">
        <v>1860</v>
      </c>
      <c r="C1235" s="14">
        <v>23.0</v>
      </c>
      <c r="D1235" s="15" t="s">
        <v>3090</v>
      </c>
      <c r="E1235" s="16" t="s">
        <v>52</v>
      </c>
      <c r="F1235" s="13" t="s">
        <v>2693</v>
      </c>
      <c r="G1235" s="13" t="s">
        <v>61</v>
      </c>
      <c r="H1235" s="13" t="s">
        <v>3137</v>
      </c>
      <c r="I1235" s="13" t="s">
        <v>63</v>
      </c>
      <c r="J1235" s="17" t="s">
        <v>71</v>
      </c>
      <c r="K1235" s="17" t="s">
        <v>58</v>
      </c>
      <c r="L1235" s="18" t="s">
        <v>52</v>
      </c>
      <c r="M1235" s="19">
        <v>30.0</v>
      </c>
      <c r="N1235" s="19">
        <v>31.0</v>
      </c>
    </row>
    <row r="1236">
      <c r="A1236" s="12">
        <v>1234.0</v>
      </c>
      <c r="B1236" s="13" t="s">
        <v>1860</v>
      </c>
      <c r="C1236" s="14">
        <v>24.0</v>
      </c>
      <c r="D1236" s="15" t="s">
        <v>3090</v>
      </c>
      <c r="E1236" s="16" t="s">
        <v>52</v>
      </c>
      <c r="F1236" s="13" t="s">
        <v>433</v>
      </c>
      <c r="G1236" s="13" t="s">
        <v>3138</v>
      </c>
      <c r="H1236" s="13" t="s">
        <v>3139</v>
      </c>
      <c r="I1236" s="13" t="s">
        <v>63</v>
      </c>
      <c r="J1236" s="17" t="s">
        <v>71</v>
      </c>
      <c r="K1236" s="17" t="s">
        <v>58</v>
      </c>
      <c r="L1236" s="18" t="s">
        <v>52</v>
      </c>
      <c r="M1236" s="19">
        <v>30.0</v>
      </c>
      <c r="N1236" s="19">
        <v>31.0</v>
      </c>
    </row>
    <row r="1237">
      <c r="A1237" s="12">
        <v>1235.0</v>
      </c>
      <c r="B1237" s="13" t="s">
        <v>1860</v>
      </c>
      <c r="C1237" s="14">
        <v>25.0</v>
      </c>
      <c r="D1237" s="15" t="s">
        <v>3090</v>
      </c>
      <c r="E1237" s="16" t="s">
        <v>52</v>
      </c>
      <c r="F1237" s="13" t="s">
        <v>1817</v>
      </c>
      <c r="G1237" s="13" t="s">
        <v>3141</v>
      </c>
      <c r="H1237" s="13" t="s">
        <v>3142</v>
      </c>
      <c r="I1237" s="13" t="s">
        <v>63</v>
      </c>
      <c r="J1237" s="17" t="s">
        <v>71</v>
      </c>
      <c r="K1237" s="17" t="s">
        <v>58</v>
      </c>
      <c r="L1237" s="18" t="s">
        <v>52</v>
      </c>
      <c r="M1237" s="19">
        <v>30.0</v>
      </c>
      <c r="N1237" s="19">
        <v>31.0</v>
      </c>
    </row>
    <row r="1238">
      <c r="A1238" s="12">
        <v>1236.0</v>
      </c>
      <c r="B1238" s="13" t="s">
        <v>1860</v>
      </c>
      <c r="C1238" s="14">
        <v>26.0</v>
      </c>
      <c r="D1238" s="15" t="s">
        <v>3090</v>
      </c>
      <c r="E1238" s="16" t="s">
        <v>52</v>
      </c>
      <c r="F1238" s="13" t="s">
        <v>2605</v>
      </c>
      <c r="G1238" s="13" t="s">
        <v>3143</v>
      </c>
      <c r="H1238" s="13" t="s">
        <v>3144</v>
      </c>
      <c r="I1238" s="13" t="s">
        <v>63</v>
      </c>
      <c r="J1238" s="17" t="s">
        <v>71</v>
      </c>
      <c r="K1238" s="17" t="s">
        <v>58</v>
      </c>
      <c r="L1238" s="18" t="s">
        <v>52</v>
      </c>
      <c r="M1238" s="19">
        <v>30.0</v>
      </c>
      <c r="N1238" s="19">
        <v>31.0</v>
      </c>
    </row>
    <row r="1239">
      <c r="A1239" s="12">
        <v>1237.0</v>
      </c>
      <c r="B1239" s="13" t="s">
        <v>1860</v>
      </c>
      <c r="C1239" s="14">
        <v>27.0</v>
      </c>
      <c r="D1239" s="15" t="s">
        <v>3090</v>
      </c>
      <c r="E1239" s="16" t="s">
        <v>52</v>
      </c>
      <c r="F1239" s="13" t="s">
        <v>2614</v>
      </c>
      <c r="G1239" s="13" t="s">
        <v>3146</v>
      </c>
      <c r="H1239" s="13" t="s">
        <v>3147</v>
      </c>
      <c r="I1239" s="13" t="s">
        <v>63</v>
      </c>
      <c r="J1239" s="17" t="s">
        <v>71</v>
      </c>
      <c r="K1239" s="17" t="s">
        <v>58</v>
      </c>
      <c r="L1239" s="18" t="s">
        <v>52</v>
      </c>
      <c r="M1239" s="19">
        <v>30.0</v>
      </c>
      <c r="N1239" s="19">
        <v>31.0</v>
      </c>
    </row>
    <row r="1240">
      <c r="A1240" s="12">
        <v>1238.0</v>
      </c>
      <c r="B1240" s="13" t="s">
        <v>1860</v>
      </c>
      <c r="C1240" s="14">
        <v>28.0</v>
      </c>
      <c r="D1240" s="15" t="s">
        <v>3090</v>
      </c>
      <c r="E1240" s="16" t="s">
        <v>52</v>
      </c>
      <c r="F1240" s="13" t="s">
        <v>3148</v>
      </c>
      <c r="G1240" s="13" t="s">
        <v>3149</v>
      </c>
      <c r="H1240" s="13" t="s">
        <v>3150</v>
      </c>
      <c r="I1240" s="13" t="s">
        <v>63</v>
      </c>
      <c r="J1240" s="17" t="s">
        <v>71</v>
      </c>
      <c r="K1240" s="17" t="s">
        <v>58</v>
      </c>
      <c r="L1240" s="18" t="s">
        <v>52</v>
      </c>
      <c r="M1240" s="19">
        <v>30.0</v>
      </c>
      <c r="N1240" s="19">
        <v>31.0</v>
      </c>
    </row>
    <row r="1241">
      <c r="A1241" s="12">
        <v>1239.0</v>
      </c>
      <c r="B1241" s="13" t="s">
        <v>1860</v>
      </c>
      <c r="C1241" s="14">
        <v>29.0</v>
      </c>
      <c r="D1241" s="15" t="s">
        <v>3090</v>
      </c>
      <c r="E1241" s="16" t="s">
        <v>52</v>
      </c>
      <c r="F1241" s="13" t="s">
        <v>2851</v>
      </c>
      <c r="G1241" s="13" t="s">
        <v>3151</v>
      </c>
      <c r="H1241" s="13" t="s">
        <v>3152</v>
      </c>
      <c r="I1241" s="13" t="s">
        <v>63</v>
      </c>
      <c r="J1241" s="17" t="s">
        <v>71</v>
      </c>
      <c r="K1241" s="17" t="s">
        <v>58</v>
      </c>
      <c r="L1241" s="18" t="s">
        <v>52</v>
      </c>
      <c r="M1241" s="19">
        <v>30.0</v>
      </c>
      <c r="N1241" s="19">
        <v>31.0</v>
      </c>
    </row>
    <row r="1242">
      <c r="A1242" s="12">
        <v>1240.0</v>
      </c>
      <c r="B1242" s="13" t="s">
        <v>1860</v>
      </c>
      <c r="C1242" s="14">
        <v>30.0</v>
      </c>
      <c r="D1242" s="15" t="s">
        <v>3096</v>
      </c>
      <c r="E1242" s="16" t="s">
        <v>52</v>
      </c>
      <c r="F1242" s="13" t="s">
        <v>1823</v>
      </c>
      <c r="G1242" s="13" t="s">
        <v>3153</v>
      </c>
      <c r="H1242" s="13" t="s">
        <v>3154</v>
      </c>
      <c r="I1242" s="13" t="s">
        <v>63</v>
      </c>
      <c r="J1242" s="17" t="s">
        <v>71</v>
      </c>
      <c r="K1242" s="17" t="s">
        <v>58</v>
      </c>
      <c r="L1242" s="18" t="s">
        <v>52</v>
      </c>
      <c r="M1242" s="19">
        <v>30.0</v>
      </c>
      <c r="N1242" s="19">
        <v>31.0</v>
      </c>
    </row>
    <row r="1243">
      <c r="A1243" s="12">
        <v>1241.0</v>
      </c>
      <c r="B1243" s="13" t="s">
        <v>3155</v>
      </c>
      <c r="C1243" s="14">
        <v>1.0</v>
      </c>
      <c r="D1243" s="15" t="s">
        <v>3156</v>
      </c>
      <c r="E1243" s="16" t="s">
        <v>52</v>
      </c>
      <c r="F1243" s="13" t="s">
        <v>3157</v>
      </c>
      <c r="G1243" s="13" t="s">
        <v>3158</v>
      </c>
      <c r="H1243" s="13" t="s">
        <v>3159</v>
      </c>
      <c r="I1243" s="13" t="s">
        <v>56</v>
      </c>
      <c r="J1243" s="17" t="s">
        <v>67</v>
      </c>
      <c r="K1243" s="17" t="s">
        <v>58</v>
      </c>
      <c r="L1243" s="18" t="s">
        <v>52</v>
      </c>
      <c r="M1243" s="19">
        <v>31.0</v>
      </c>
      <c r="N1243" s="19">
        <v>20.0</v>
      </c>
    </row>
    <row r="1244">
      <c r="A1244" s="12">
        <v>1242.0</v>
      </c>
      <c r="B1244" s="13" t="s">
        <v>3155</v>
      </c>
      <c r="C1244" s="14">
        <v>2.0</v>
      </c>
      <c r="D1244" s="15" t="s">
        <v>3160</v>
      </c>
      <c r="E1244" s="16" t="s">
        <v>52</v>
      </c>
      <c r="F1244" s="13" t="s">
        <v>150</v>
      </c>
      <c r="G1244" s="13" t="s">
        <v>61</v>
      </c>
      <c r="H1244" s="13" t="s">
        <v>3161</v>
      </c>
      <c r="I1244" s="13" t="s">
        <v>63</v>
      </c>
      <c r="J1244" s="17" t="s">
        <v>67</v>
      </c>
      <c r="K1244" s="17" t="s">
        <v>58</v>
      </c>
      <c r="L1244" s="18" t="s">
        <v>52</v>
      </c>
      <c r="M1244" s="19">
        <v>31.0</v>
      </c>
      <c r="N1244" s="19">
        <v>21.0</v>
      </c>
    </row>
    <row r="1245">
      <c r="A1245" s="12">
        <v>1243.0</v>
      </c>
      <c r="B1245" s="13" t="s">
        <v>3155</v>
      </c>
      <c r="C1245" s="14">
        <v>3.0</v>
      </c>
      <c r="D1245" s="15" t="s">
        <v>3160</v>
      </c>
      <c r="E1245" s="16" t="s">
        <v>52</v>
      </c>
      <c r="F1245" s="13" t="s">
        <v>124</v>
      </c>
      <c r="G1245" s="13" t="s">
        <v>3085</v>
      </c>
      <c r="H1245" s="13" t="s">
        <v>3163</v>
      </c>
      <c r="I1245" s="13" t="s">
        <v>63</v>
      </c>
      <c r="J1245" s="17" t="s">
        <v>71</v>
      </c>
      <c r="K1245" s="17" t="s">
        <v>58</v>
      </c>
      <c r="L1245" s="18" t="s">
        <v>52</v>
      </c>
      <c r="M1245" s="19">
        <v>31.0</v>
      </c>
      <c r="N1245" s="19">
        <v>31.0</v>
      </c>
    </row>
    <row r="1246">
      <c r="A1246" s="12">
        <v>1244.0</v>
      </c>
      <c r="B1246" s="13" t="s">
        <v>3155</v>
      </c>
      <c r="C1246" s="14">
        <v>4.0</v>
      </c>
      <c r="D1246" s="15" t="s">
        <v>3160</v>
      </c>
      <c r="E1246" s="16" t="s">
        <v>52</v>
      </c>
      <c r="F1246" s="13" t="s">
        <v>3165</v>
      </c>
      <c r="G1246" s="13" t="s">
        <v>3166</v>
      </c>
      <c r="H1246" s="13" t="s">
        <v>3167</v>
      </c>
      <c r="I1246" s="13" t="s">
        <v>63</v>
      </c>
      <c r="J1246" s="17" t="s">
        <v>71</v>
      </c>
      <c r="K1246" s="17" t="s">
        <v>58</v>
      </c>
      <c r="L1246" s="18" t="s">
        <v>52</v>
      </c>
      <c r="M1246" s="19">
        <v>31.0</v>
      </c>
      <c r="N1246" s="19">
        <v>31.0</v>
      </c>
    </row>
    <row r="1247">
      <c r="A1247" s="12">
        <v>1245.0</v>
      </c>
      <c r="B1247" s="13" t="s">
        <v>3155</v>
      </c>
      <c r="C1247" s="14">
        <v>5.0</v>
      </c>
      <c r="D1247" s="15" t="s">
        <v>3160</v>
      </c>
      <c r="E1247" s="16" t="s">
        <v>52</v>
      </c>
      <c r="F1247" s="13" t="s">
        <v>2570</v>
      </c>
      <c r="G1247" s="13" t="s">
        <v>3168</v>
      </c>
      <c r="H1247" s="13" t="s">
        <v>3169</v>
      </c>
      <c r="I1247" s="13" t="s">
        <v>63</v>
      </c>
      <c r="J1247" s="17" t="s">
        <v>71</v>
      </c>
      <c r="K1247" s="17" t="s">
        <v>58</v>
      </c>
      <c r="L1247" s="18" t="s">
        <v>52</v>
      </c>
      <c r="M1247" s="19">
        <v>31.0</v>
      </c>
      <c r="N1247" s="19">
        <v>31.0</v>
      </c>
    </row>
    <row r="1248">
      <c r="A1248" s="12">
        <v>1246.0</v>
      </c>
      <c r="B1248" s="13" t="s">
        <v>3155</v>
      </c>
      <c r="C1248" s="14">
        <v>6.0</v>
      </c>
      <c r="D1248" s="15" t="s">
        <v>3160</v>
      </c>
      <c r="E1248" s="16" t="s">
        <v>52</v>
      </c>
      <c r="F1248" s="13" t="s">
        <v>1134</v>
      </c>
      <c r="G1248" s="13" t="s">
        <v>61</v>
      </c>
      <c r="H1248" s="13" t="s">
        <v>3171</v>
      </c>
      <c r="I1248" s="13" t="s">
        <v>63</v>
      </c>
      <c r="J1248" s="17" t="s">
        <v>71</v>
      </c>
      <c r="K1248" s="17" t="s">
        <v>58</v>
      </c>
      <c r="L1248" s="18" t="s">
        <v>52</v>
      </c>
      <c r="M1248" s="19">
        <v>31.0</v>
      </c>
      <c r="N1248" s="19">
        <v>31.0</v>
      </c>
    </row>
    <row r="1249">
      <c r="A1249" s="12">
        <v>1247.0</v>
      </c>
      <c r="B1249" s="13" t="s">
        <v>3155</v>
      </c>
      <c r="C1249" s="14">
        <v>7.0</v>
      </c>
      <c r="D1249" s="15" t="s">
        <v>3160</v>
      </c>
      <c r="E1249" s="16" t="s">
        <v>52</v>
      </c>
      <c r="F1249" s="13" t="s">
        <v>2362</v>
      </c>
      <c r="G1249" s="13" t="s">
        <v>2363</v>
      </c>
      <c r="H1249" s="13" t="s">
        <v>3131</v>
      </c>
      <c r="I1249" s="13" t="s">
        <v>63</v>
      </c>
      <c r="J1249" s="17" t="s">
        <v>71</v>
      </c>
      <c r="K1249" s="17" t="s">
        <v>58</v>
      </c>
      <c r="L1249" s="18" t="s">
        <v>52</v>
      </c>
      <c r="M1249" s="19">
        <v>31.0</v>
      </c>
      <c r="N1249" s="19">
        <v>31.0</v>
      </c>
    </row>
    <row r="1250">
      <c r="A1250" s="12">
        <v>1248.0</v>
      </c>
      <c r="B1250" s="13" t="s">
        <v>3155</v>
      </c>
      <c r="C1250" s="14">
        <v>8.0</v>
      </c>
      <c r="D1250" s="15" t="s">
        <v>3160</v>
      </c>
      <c r="E1250" s="16" t="s">
        <v>52</v>
      </c>
      <c r="F1250" s="13" t="s">
        <v>1356</v>
      </c>
      <c r="G1250" s="13" t="s">
        <v>61</v>
      </c>
      <c r="H1250" s="13" t="s">
        <v>3172</v>
      </c>
      <c r="I1250" s="13" t="s">
        <v>63</v>
      </c>
      <c r="J1250" s="17" t="s">
        <v>71</v>
      </c>
      <c r="K1250" s="17" t="s">
        <v>58</v>
      </c>
      <c r="L1250" s="18" t="s">
        <v>52</v>
      </c>
      <c r="M1250" s="19">
        <v>31.0</v>
      </c>
      <c r="N1250" s="19">
        <v>31.0</v>
      </c>
    </row>
    <row r="1251">
      <c r="A1251" s="12">
        <v>1249.0</v>
      </c>
      <c r="B1251" s="13" t="s">
        <v>3155</v>
      </c>
      <c r="C1251" s="14">
        <v>9.0</v>
      </c>
      <c r="D1251" s="15" t="s">
        <v>3160</v>
      </c>
      <c r="E1251" s="16" t="s">
        <v>52</v>
      </c>
      <c r="F1251" s="13" t="s">
        <v>212</v>
      </c>
      <c r="G1251" s="13" t="s">
        <v>61</v>
      </c>
      <c r="H1251" s="13" t="s">
        <v>3174</v>
      </c>
      <c r="I1251" s="13" t="s">
        <v>63</v>
      </c>
      <c r="J1251" s="17" t="s">
        <v>71</v>
      </c>
      <c r="K1251" s="17" t="s">
        <v>58</v>
      </c>
      <c r="L1251" s="18" t="s">
        <v>52</v>
      </c>
      <c r="M1251" s="19">
        <v>31.0</v>
      </c>
      <c r="N1251" s="19">
        <v>31.0</v>
      </c>
    </row>
    <row r="1252">
      <c r="A1252" s="12">
        <v>1250.0</v>
      </c>
      <c r="B1252" s="13" t="s">
        <v>3155</v>
      </c>
      <c r="C1252" s="14">
        <v>10.0</v>
      </c>
      <c r="D1252" s="15" t="s">
        <v>3160</v>
      </c>
      <c r="E1252" s="16" t="s">
        <v>52</v>
      </c>
      <c r="F1252" s="13" t="s">
        <v>3132</v>
      </c>
      <c r="G1252" s="13" t="s">
        <v>61</v>
      </c>
      <c r="H1252" s="13" t="s">
        <v>3176</v>
      </c>
      <c r="I1252" s="13" t="s">
        <v>63</v>
      </c>
      <c r="J1252" s="17" t="s">
        <v>71</v>
      </c>
      <c r="K1252" s="17" t="s">
        <v>58</v>
      </c>
      <c r="L1252" s="18" t="s">
        <v>52</v>
      </c>
      <c r="M1252" s="19">
        <v>31.0</v>
      </c>
      <c r="N1252" s="19">
        <v>31.0</v>
      </c>
    </row>
    <row r="1253">
      <c r="A1253" s="12">
        <v>1251.0</v>
      </c>
      <c r="B1253" s="13" t="s">
        <v>3155</v>
      </c>
      <c r="C1253" s="14">
        <v>11.0</v>
      </c>
      <c r="D1253" s="15" t="s">
        <v>3160</v>
      </c>
      <c r="E1253" s="16" t="s">
        <v>52</v>
      </c>
      <c r="F1253" s="13" t="s">
        <v>2690</v>
      </c>
      <c r="G1253" s="13" t="s">
        <v>61</v>
      </c>
      <c r="H1253" s="13" t="s">
        <v>3177</v>
      </c>
      <c r="I1253" s="13" t="s">
        <v>63</v>
      </c>
      <c r="J1253" s="17" t="s">
        <v>71</v>
      </c>
      <c r="K1253" s="17" t="s">
        <v>58</v>
      </c>
      <c r="L1253" s="18" t="s">
        <v>52</v>
      </c>
      <c r="M1253" s="19">
        <v>31.0</v>
      </c>
      <c r="N1253" s="19">
        <v>31.0</v>
      </c>
    </row>
    <row r="1254">
      <c r="A1254" s="12">
        <v>1252.0</v>
      </c>
      <c r="B1254" s="13" t="s">
        <v>3155</v>
      </c>
      <c r="C1254" s="14">
        <v>12.0</v>
      </c>
      <c r="D1254" s="15" t="s">
        <v>3160</v>
      </c>
      <c r="E1254" s="16" t="s">
        <v>52</v>
      </c>
      <c r="F1254" s="13" t="s">
        <v>2911</v>
      </c>
      <c r="G1254" s="13" t="s">
        <v>3179</v>
      </c>
      <c r="H1254" s="13" t="s">
        <v>3180</v>
      </c>
      <c r="I1254" s="13" t="s">
        <v>63</v>
      </c>
      <c r="J1254" s="17" t="s">
        <v>71</v>
      </c>
      <c r="K1254" s="17" t="s">
        <v>58</v>
      </c>
      <c r="L1254" s="18" t="s">
        <v>52</v>
      </c>
      <c r="M1254" s="19">
        <v>31.0</v>
      </c>
      <c r="N1254" s="19">
        <v>31.0</v>
      </c>
    </row>
    <row r="1255">
      <c r="A1255" s="12">
        <v>1253.0</v>
      </c>
      <c r="B1255" s="13" t="s">
        <v>3155</v>
      </c>
      <c r="C1255" s="14">
        <v>13.0</v>
      </c>
      <c r="D1255" s="15" t="s">
        <v>3160</v>
      </c>
      <c r="E1255" s="16" t="s">
        <v>52</v>
      </c>
      <c r="F1255" s="13" t="s">
        <v>2693</v>
      </c>
      <c r="G1255" s="13" t="s">
        <v>61</v>
      </c>
      <c r="H1255" s="13" t="s">
        <v>3137</v>
      </c>
      <c r="I1255" s="13" t="s">
        <v>63</v>
      </c>
      <c r="J1255" s="17" t="s">
        <v>71</v>
      </c>
      <c r="K1255" s="17" t="s">
        <v>58</v>
      </c>
      <c r="L1255" s="18" t="s">
        <v>52</v>
      </c>
      <c r="M1255" s="19">
        <v>31.0</v>
      </c>
      <c r="N1255" s="19">
        <v>31.0</v>
      </c>
    </row>
    <row r="1256">
      <c r="A1256" s="12">
        <v>1254.0</v>
      </c>
      <c r="B1256" s="13" t="s">
        <v>3155</v>
      </c>
      <c r="C1256" s="14">
        <v>14.0</v>
      </c>
      <c r="D1256" s="15" t="s">
        <v>3160</v>
      </c>
      <c r="E1256" s="16" t="s">
        <v>52</v>
      </c>
      <c r="F1256" s="13" t="s">
        <v>3113</v>
      </c>
      <c r="G1256" s="13" t="s">
        <v>61</v>
      </c>
      <c r="H1256" s="13" t="s">
        <v>3181</v>
      </c>
      <c r="I1256" s="13" t="s">
        <v>63</v>
      </c>
      <c r="J1256" s="17" t="s">
        <v>71</v>
      </c>
      <c r="K1256" s="17" t="s">
        <v>58</v>
      </c>
      <c r="L1256" s="18" t="s">
        <v>52</v>
      </c>
      <c r="M1256" s="19">
        <v>31.0</v>
      </c>
      <c r="N1256" s="19">
        <v>31.0</v>
      </c>
    </row>
    <row r="1257">
      <c r="A1257" s="12">
        <v>1255.0</v>
      </c>
      <c r="B1257" s="13" t="s">
        <v>3155</v>
      </c>
      <c r="C1257" s="14">
        <v>15.0</v>
      </c>
      <c r="D1257" s="15" t="s">
        <v>3160</v>
      </c>
      <c r="E1257" s="16" t="s">
        <v>52</v>
      </c>
      <c r="F1257" s="13" t="s">
        <v>2605</v>
      </c>
      <c r="G1257" s="13" t="s">
        <v>3143</v>
      </c>
      <c r="H1257" s="13" t="s">
        <v>3144</v>
      </c>
      <c r="I1257" s="13" t="s">
        <v>63</v>
      </c>
      <c r="J1257" s="17" t="s">
        <v>71</v>
      </c>
      <c r="K1257" s="17" t="s">
        <v>58</v>
      </c>
      <c r="L1257" s="18" t="s">
        <v>52</v>
      </c>
      <c r="M1257" s="19">
        <v>31.0</v>
      </c>
      <c r="N1257" s="19">
        <v>31.0</v>
      </c>
    </row>
    <row r="1258">
      <c r="A1258" s="12">
        <v>1256.0</v>
      </c>
      <c r="B1258" s="13" t="s">
        <v>3155</v>
      </c>
      <c r="C1258" s="14">
        <v>16.0</v>
      </c>
      <c r="D1258" s="15" t="s">
        <v>3160</v>
      </c>
      <c r="E1258" s="16" t="s">
        <v>52</v>
      </c>
      <c r="F1258" s="13" t="s">
        <v>2614</v>
      </c>
      <c r="G1258" s="13" t="s">
        <v>3146</v>
      </c>
      <c r="H1258" s="13" t="s">
        <v>3147</v>
      </c>
      <c r="I1258" s="13" t="s">
        <v>63</v>
      </c>
      <c r="J1258" s="17" t="s">
        <v>71</v>
      </c>
      <c r="K1258" s="17" t="s">
        <v>58</v>
      </c>
      <c r="L1258" s="18" t="s">
        <v>52</v>
      </c>
      <c r="M1258" s="19">
        <v>31.0</v>
      </c>
      <c r="N1258" s="19">
        <v>31.0</v>
      </c>
    </row>
    <row r="1259">
      <c r="A1259" s="12">
        <v>1257.0</v>
      </c>
      <c r="B1259" s="13" t="s">
        <v>3155</v>
      </c>
      <c r="C1259" s="14">
        <v>17.0</v>
      </c>
      <c r="D1259" s="15" t="s">
        <v>3160</v>
      </c>
      <c r="E1259" s="16" t="s">
        <v>52</v>
      </c>
      <c r="F1259" s="13" t="s">
        <v>1960</v>
      </c>
      <c r="G1259" s="13" t="s">
        <v>3125</v>
      </c>
      <c r="H1259" s="13" t="s">
        <v>3126</v>
      </c>
      <c r="I1259" s="13" t="s">
        <v>63</v>
      </c>
      <c r="J1259" s="17" t="s">
        <v>71</v>
      </c>
      <c r="K1259" s="17" t="s">
        <v>58</v>
      </c>
      <c r="L1259" s="18" t="s">
        <v>52</v>
      </c>
      <c r="M1259" s="19">
        <v>31.0</v>
      </c>
      <c r="N1259" s="19">
        <v>31.0</v>
      </c>
    </row>
    <row r="1260">
      <c r="A1260" s="12">
        <v>1258.0</v>
      </c>
      <c r="B1260" s="13" t="s">
        <v>3155</v>
      </c>
      <c r="C1260" s="14">
        <v>18.0</v>
      </c>
      <c r="D1260" s="15" t="s">
        <v>3160</v>
      </c>
      <c r="E1260" s="16" t="s">
        <v>52</v>
      </c>
      <c r="F1260" s="13" t="s">
        <v>2475</v>
      </c>
      <c r="G1260" s="13" t="s">
        <v>3182</v>
      </c>
      <c r="H1260" s="13" t="s">
        <v>3183</v>
      </c>
      <c r="I1260" s="13" t="s">
        <v>63</v>
      </c>
      <c r="J1260" s="17" t="s">
        <v>71</v>
      </c>
      <c r="K1260" s="17" t="s">
        <v>58</v>
      </c>
      <c r="L1260" s="18" t="s">
        <v>52</v>
      </c>
      <c r="M1260" s="19">
        <v>31.0</v>
      </c>
      <c r="N1260" s="19">
        <v>31.0</v>
      </c>
    </row>
    <row r="1261">
      <c r="A1261" s="12">
        <v>1259.0</v>
      </c>
      <c r="B1261" s="13" t="s">
        <v>3155</v>
      </c>
      <c r="C1261" s="14">
        <v>19.0</v>
      </c>
      <c r="D1261" s="15" t="s">
        <v>3160</v>
      </c>
      <c r="E1261" s="16" t="s">
        <v>52</v>
      </c>
      <c r="F1261" s="13" t="s">
        <v>3148</v>
      </c>
      <c r="G1261" s="13" t="s">
        <v>3149</v>
      </c>
      <c r="H1261" s="13" t="s">
        <v>3184</v>
      </c>
      <c r="I1261" s="13" t="s">
        <v>63</v>
      </c>
      <c r="J1261" s="17" t="s">
        <v>71</v>
      </c>
      <c r="K1261" s="17" t="s">
        <v>58</v>
      </c>
      <c r="L1261" s="18" t="s">
        <v>52</v>
      </c>
      <c r="M1261" s="19">
        <v>31.0</v>
      </c>
      <c r="N1261" s="19">
        <v>31.0</v>
      </c>
    </row>
    <row r="1262">
      <c r="A1262" s="12">
        <v>1260.0</v>
      </c>
      <c r="B1262" s="13" t="s">
        <v>3155</v>
      </c>
      <c r="C1262" s="14">
        <v>20.0</v>
      </c>
      <c r="D1262" s="15" t="s">
        <v>3160</v>
      </c>
      <c r="E1262" s="16" t="s">
        <v>52</v>
      </c>
      <c r="F1262" s="13" t="s">
        <v>2663</v>
      </c>
      <c r="G1262" s="13" t="s">
        <v>3185</v>
      </c>
      <c r="H1262" s="13" t="s">
        <v>3186</v>
      </c>
      <c r="I1262" s="13" t="s">
        <v>63</v>
      </c>
      <c r="J1262" s="17" t="s">
        <v>71</v>
      </c>
      <c r="K1262" s="17" t="s">
        <v>58</v>
      </c>
      <c r="L1262" s="18" t="s">
        <v>52</v>
      </c>
      <c r="M1262" s="19">
        <v>31.0</v>
      </c>
      <c r="N1262" s="19">
        <v>31.0</v>
      </c>
    </row>
    <row r="1263">
      <c r="A1263" s="12">
        <v>1261.0</v>
      </c>
      <c r="B1263" s="13" t="s">
        <v>3155</v>
      </c>
      <c r="C1263" s="14">
        <v>21.0</v>
      </c>
      <c r="D1263" s="15" t="s">
        <v>3160</v>
      </c>
      <c r="E1263" s="16" t="s">
        <v>52</v>
      </c>
      <c r="F1263" s="13" t="s">
        <v>1843</v>
      </c>
      <c r="G1263" s="13" t="s">
        <v>3187</v>
      </c>
      <c r="H1263" s="13" t="s">
        <v>3188</v>
      </c>
      <c r="I1263" s="13" t="s">
        <v>63</v>
      </c>
      <c r="J1263" s="17" t="s">
        <v>71</v>
      </c>
      <c r="K1263" s="17" t="s">
        <v>58</v>
      </c>
      <c r="L1263" s="18" t="s">
        <v>52</v>
      </c>
      <c r="M1263" s="19">
        <v>31.0</v>
      </c>
      <c r="N1263" s="19">
        <v>31.0</v>
      </c>
    </row>
    <row r="1264">
      <c r="A1264" s="12">
        <v>1262.0</v>
      </c>
      <c r="B1264" s="13" t="s">
        <v>3155</v>
      </c>
      <c r="C1264" s="14">
        <v>22.0</v>
      </c>
      <c r="D1264" s="15" t="s">
        <v>3160</v>
      </c>
      <c r="E1264" s="16" t="s">
        <v>52</v>
      </c>
      <c r="F1264" s="13" t="s">
        <v>2914</v>
      </c>
      <c r="G1264" s="13" t="s">
        <v>3127</v>
      </c>
      <c r="H1264" s="13" t="s">
        <v>3189</v>
      </c>
      <c r="I1264" s="13" t="s">
        <v>63</v>
      </c>
      <c r="J1264" s="17" t="s">
        <v>71</v>
      </c>
      <c r="K1264" s="17" t="s">
        <v>58</v>
      </c>
      <c r="L1264" s="18" t="s">
        <v>52</v>
      </c>
      <c r="M1264" s="19">
        <v>31.0</v>
      </c>
      <c r="N1264" s="19">
        <v>31.0</v>
      </c>
    </row>
    <row r="1265">
      <c r="A1265" s="12">
        <v>1263.0</v>
      </c>
      <c r="B1265" s="13" t="s">
        <v>3155</v>
      </c>
      <c r="C1265" s="14">
        <v>23.0</v>
      </c>
      <c r="D1265" s="15" t="s">
        <v>3160</v>
      </c>
      <c r="E1265" s="16" t="s">
        <v>52</v>
      </c>
      <c r="F1265" s="13" t="s">
        <v>2595</v>
      </c>
      <c r="G1265" s="13" t="s">
        <v>3190</v>
      </c>
      <c r="H1265" s="13" t="s">
        <v>3191</v>
      </c>
      <c r="I1265" s="13" t="s">
        <v>63</v>
      </c>
      <c r="J1265" s="17" t="s">
        <v>71</v>
      </c>
      <c r="K1265" s="17" t="s">
        <v>58</v>
      </c>
      <c r="L1265" s="18" t="s">
        <v>52</v>
      </c>
      <c r="M1265" s="19">
        <v>31.0</v>
      </c>
      <c r="N1265" s="19">
        <v>31.0</v>
      </c>
    </row>
    <row r="1266">
      <c r="A1266" s="12">
        <v>1264.0</v>
      </c>
      <c r="B1266" s="13" t="s">
        <v>3155</v>
      </c>
      <c r="C1266" s="14">
        <v>24.0</v>
      </c>
      <c r="D1266" s="15" t="s">
        <v>3160</v>
      </c>
      <c r="E1266" s="16" t="s">
        <v>52</v>
      </c>
      <c r="F1266" s="13" t="s">
        <v>2520</v>
      </c>
      <c r="G1266" s="13" t="s">
        <v>2521</v>
      </c>
      <c r="H1266" s="13" t="s">
        <v>3192</v>
      </c>
      <c r="I1266" s="13" t="s">
        <v>63</v>
      </c>
      <c r="J1266" s="17" t="s">
        <v>71</v>
      </c>
      <c r="K1266" s="17" t="s">
        <v>58</v>
      </c>
      <c r="L1266" s="18" t="s">
        <v>52</v>
      </c>
      <c r="M1266" s="19">
        <v>31.0</v>
      </c>
      <c r="N1266" s="19">
        <v>31.0</v>
      </c>
    </row>
    <row r="1267">
      <c r="A1267" s="12">
        <v>1265.0</v>
      </c>
      <c r="B1267" s="13" t="s">
        <v>3155</v>
      </c>
      <c r="C1267" s="14">
        <v>25.0</v>
      </c>
      <c r="D1267" s="15" t="s">
        <v>3160</v>
      </c>
      <c r="E1267" s="16" t="s">
        <v>52</v>
      </c>
      <c r="F1267" s="13" t="s">
        <v>2417</v>
      </c>
      <c r="G1267" s="13" t="s">
        <v>3193</v>
      </c>
      <c r="H1267" s="13" t="s">
        <v>3194</v>
      </c>
      <c r="I1267" s="13" t="s">
        <v>63</v>
      </c>
      <c r="J1267" s="17" t="s">
        <v>71</v>
      </c>
      <c r="K1267" s="17" t="s">
        <v>58</v>
      </c>
      <c r="L1267" s="18" t="s">
        <v>52</v>
      </c>
      <c r="M1267" s="19">
        <v>31.0</v>
      </c>
      <c r="N1267" s="19">
        <v>31.0</v>
      </c>
    </row>
    <row r="1268">
      <c r="A1268" s="12">
        <v>1266.0</v>
      </c>
      <c r="B1268" s="13" t="s">
        <v>3155</v>
      </c>
      <c r="C1268" s="14">
        <v>26.0</v>
      </c>
      <c r="D1268" s="15" t="s">
        <v>3160</v>
      </c>
      <c r="E1268" s="16" t="s">
        <v>52</v>
      </c>
      <c r="F1268" s="13" t="s">
        <v>1278</v>
      </c>
      <c r="G1268" s="13" t="s">
        <v>3195</v>
      </c>
      <c r="H1268" s="13" t="s">
        <v>3196</v>
      </c>
      <c r="I1268" s="13" t="s">
        <v>63</v>
      </c>
      <c r="J1268" s="17" t="s">
        <v>71</v>
      </c>
      <c r="K1268" s="17" t="s">
        <v>58</v>
      </c>
      <c r="L1268" s="18" t="s">
        <v>52</v>
      </c>
      <c r="M1268" s="19">
        <v>31.0</v>
      </c>
      <c r="N1268" s="19">
        <v>31.0</v>
      </c>
    </row>
    <row r="1269">
      <c r="A1269" s="12">
        <v>1267.0</v>
      </c>
      <c r="B1269" s="13" t="s">
        <v>3155</v>
      </c>
      <c r="C1269" s="14">
        <v>27.0</v>
      </c>
      <c r="D1269" s="15" t="s">
        <v>3160</v>
      </c>
      <c r="E1269" s="16" t="s">
        <v>52</v>
      </c>
      <c r="F1269" s="13" t="s">
        <v>101</v>
      </c>
      <c r="G1269" s="13" t="s">
        <v>3197</v>
      </c>
      <c r="H1269" s="13" t="s">
        <v>3198</v>
      </c>
      <c r="I1269" s="13" t="s">
        <v>63</v>
      </c>
      <c r="J1269" s="17" t="s">
        <v>71</v>
      </c>
      <c r="K1269" s="17" t="s">
        <v>58</v>
      </c>
      <c r="L1269" s="18" t="s">
        <v>52</v>
      </c>
      <c r="M1269" s="19">
        <v>31.0</v>
      </c>
      <c r="N1269" s="19">
        <v>31.0</v>
      </c>
    </row>
    <row r="1270">
      <c r="A1270" s="12">
        <v>1268.0</v>
      </c>
      <c r="B1270" s="13" t="s">
        <v>3155</v>
      </c>
      <c r="C1270" s="14">
        <v>28.0</v>
      </c>
      <c r="D1270" s="15" t="s">
        <v>3160</v>
      </c>
      <c r="E1270" s="16" t="s">
        <v>52</v>
      </c>
      <c r="F1270" s="13" t="s">
        <v>1997</v>
      </c>
      <c r="G1270" s="13" t="s">
        <v>61</v>
      </c>
      <c r="H1270" s="13" t="s">
        <v>3199</v>
      </c>
      <c r="I1270" s="13" t="s">
        <v>63</v>
      </c>
      <c r="J1270" s="17" t="s">
        <v>71</v>
      </c>
      <c r="K1270" s="17" t="s">
        <v>58</v>
      </c>
      <c r="L1270" s="18" t="s">
        <v>52</v>
      </c>
      <c r="M1270" s="19">
        <v>31.0</v>
      </c>
      <c r="N1270" s="19">
        <v>31.0</v>
      </c>
    </row>
    <row r="1271">
      <c r="A1271" s="12">
        <v>1269.0</v>
      </c>
      <c r="B1271" s="13" t="s">
        <v>3155</v>
      </c>
      <c r="C1271" s="14">
        <v>29.0</v>
      </c>
      <c r="D1271" s="15" t="s">
        <v>3160</v>
      </c>
      <c r="E1271" s="16" t="s">
        <v>52</v>
      </c>
      <c r="F1271" s="13" t="s">
        <v>2058</v>
      </c>
      <c r="G1271" s="13" t="s">
        <v>3200</v>
      </c>
      <c r="H1271" s="13" t="s">
        <v>3201</v>
      </c>
      <c r="I1271" s="13" t="s">
        <v>63</v>
      </c>
      <c r="J1271" s="17" t="s">
        <v>71</v>
      </c>
      <c r="K1271" s="17" t="s">
        <v>58</v>
      </c>
      <c r="L1271" s="18" t="s">
        <v>52</v>
      </c>
      <c r="M1271" s="19">
        <v>31.0</v>
      </c>
      <c r="N1271" s="19">
        <v>31.0</v>
      </c>
    </row>
    <row r="1272">
      <c r="A1272" s="12">
        <v>1270.0</v>
      </c>
      <c r="B1272" s="13" t="s">
        <v>3155</v>
      </c>
      <c r="C1272" s="14">
        <v>30.0</v>
      </c>
      <c r="D1272" s="15" t="s">
        <v>3160</v>
      </c>
      <c r="E1272" s="16" t="s">
        <v>52</v>
      </c>
      <c r="F1272" s="13" t="s">
        <v>3202</v>
      </c>
      <c r="G1272" s="13" t="s">
        <v>3203</v>
      </c>
      <c r="H1272" s="13" t="s">
        <v>3204</v>
      </c>
      <c r="I1272" s="13" t="s">
        <v>63</v>
      </c>
      <c r="J1272" s="17" t="s">
        <v>71</v>
      </c>
      <c r="K1272" s="17" t="s">
        <v>58</v>
      </c>
      <c r="L1272" s="18" t="s">
        <v>52</v>
      </c>
      <c r="M1272" s="19">
        <v>31.0</v>
      </c>
      <c r="N1272" s="19">
        <v>31.0</v>
      </c>
    </row>
    <row r="1273">
      <c r="A1273" s="12">
        <v>1271.0</v>
      </c>
      <c r="B1273" s="13" t="s">
        <v>2466</v>
      </c>
      <c r="C1273" s="14">
        <v>1.0</v>
      </c>
      <c r="D1273" s="15" t="s">
        <v>3205</v>
      </c>
      <c r="E1273" s="16" t="s">
        <v>52</v>
      </c>
      <c r="F1273" s="13" t="s">
        <v>1139</v>
      </c>
      <c r="G1273" s="13" t="s">
        <v>61</v>
      </c>
      <c r="H1273" s="13" t="s">
        <v>3206</v>
      </c>
      <c r="I1273" s="13" t="s">
        <v>63</v>
      </c>
      <c r="J1273" s="17" t="s">
        <v>57</v>
      </c>
      <c r="K1273" s="17" t="s">
        <v>58</v>
      </c>
      <c r="L1273" s="18" t="s">
        <v>52</v>
      </c>
      <c r="M1273" s="19">
        <v>32.0</v>
      </c>
      <c r="N1273" s="19">
        <v>11.0</v>
      </c>
    </row>
    <row r="1274">
      <c r="A1274" s="12">
        <v>1272.0</v>
      </c>
      <c r="B1274" s="13" t="s">
        <v>2466</v>
      </c>
      <c r="C1274" s="14">
        <v>2.0</v>
      </c>
      <c r="D1274" s="15" t="s">
        <v>3207</v>
      </c>
      <c r="E1274" s="16" t="s">
        <v>52</v>
      </c>
      <c r="F1274" s="13" t="s">
        <v>2068</v>
      </c>
      <c r="G1274" s="13" t="s">
        <v>61</v>
      </c>
      <c r="H1274" s="13" t="s">
        <v>3208</v>
      </c>
      <c r="I1274" s="13" t="s">
        <v>63</v>
      </c>
      <c r="J1274" s="17" t="s">
        <v>67</v>
      </c>
      <c r="K1274" s="17" t="s">
        <v>58</v>
      </c>
      <c r="L1274" s="18" t="s">
        <v>52</v>
      </c>
      <c r="M1274" s="19">
        <v>32.0</v>
      </c>
      <c r="N1274" s="19">
        <v>21.0</v>
      </c>
    </row>
    <row r="1275">
      <c r="A1275" s="12">
        <v>1273.0</v>
      </c>
      <c r="B1275" s="13" t="s">
        <v>2466</v>
      </c>
      <c r="C1275" s="14">
        <v>3.0</v>
      </c>
      <c r="D1275" s="15" t="s">
        <v>3209</v>
      </c>
      <c r="E1275" s="16" t="s">
        <v>52</v>
      </c>
      <c r="F1275" s="13" t="s">
        <v>2427</v>
      </c>
      <c r="G1275" s="13" t="s">
        <v>3210</v>
      </c>
      <c r="H1275" s="13" t="s">
        <v>3211</v>
      </c>
      <c r="I1275" s="13" t="s">
        <v>63</v>
      </c>
      <c r="J1275" s="17" t="s">
        <v>67</v>
      </c>
      <c r="K1275" s="17" t="s">
        <v>58</v>
      </c>
      <c r="L1275" s="18" t="s">
        <v>52</v>
      </c>
      <c r="M1275" s="19">
        <v>32.0</v>
      </c>
      <c r="N1275" s="19">
        <v>21.0</v>
      </c>
    </row>
    <row r="1276">
      <c r="A1276" s="12">
        <v>1274.0</v>
      </c>
      <c r="B1276" s="13" t="s">
        <v>2466</v>
      </c>
      <c r="C1276" s="14">
        <v>4.0</v>
      </c>
      <c r="D1276" s="15" t="s">
        <v>3205</v>
      </c>
      <c r="E1276" s="16" t="s">
        <v>52</v>
      </c>
      <c r="F1276" s="13" t="s">
        <v>1693</v>
      </c>
      <c r="G1276" s="13" t="s">
        <v>61</v>
      </c>
      <c r="H1276" s="13" t="s">
        <v>3212</v>
      </c>
      <c r="I1276" s="13" t="s">
        <v>63</v>
      </c>
      <c r="J1276" s="17" t="s">
        <v>67</v>
      </c>
      <c r="K1276" s="17" t="s">
        <v>58</v>
      </c>
      <c r="L1276" s="18" t="s">
        <v>52</v>
      </c>
      <c r="M1276" s="19">
        <v>32.0</v>
      </c>
      <c r="N1276" s="19">
        <v>21.0</v>
      </c>
    </row>
    <row r="1277">
      <c r="A1277" s="12">
        <v>1275.0</v>
      </c>
      <c r="B1277" s="13" t="s">
        <v>2466</v>
      </c>
      <c r="C1277" s="14">
        <v>5.0</v>
      </c>
      <c r="D1277" s="15" t="s">
        <v>3205</v>
      </c>
      <c r="E1277" s="16" t="s">
        <v>52</v>
      </c>
      <c r="F1277" s="13" t="s">
        <v>212</v>
      </c>
      <c r="G1277" s="13" t="s">
        <v>3031</v>
      </c>
      <c r="H1277" s="13" t="s">
        <v>3213</v>
      </c>
      <c r="I1277" s="13" t="s">
        <v>63</v>
      </c>
      <c r="J1277" s="17" t="s">
        <v>67</v>
      </c>
      <c r="K1277" s="17" t="s">
        <v>58</v>
      </c>
      <c r="L1277" s="18" t="s">
        <v>52</v>
      </c>
      <c r="M1277" s="19">
        <v>32.0</v>
      </c>
      <c r="N1277" s="19">
        <v>21.0</v>
      </c>
    </row>
    <row r="1278">
      <c r="A1278" s="12">
        <v>1276.0</v>
      </c>
      <c r="B1278" s="13" t="s">
        <v>2466</v>
      </c>
      <c r="C1278" s="14">
        <v>6.0</v>
      </c>
      <c r="D1278" s="15" t="s">
        <v>3209</v>
      </c>
      <c r="E1278" s="16" t="s">
        <v>52</v>
      </c>
      <c r="F1278" s="13" t="s">
        <v>1134</v>
      </c>
      <c r="G1278" s="13" t="s">
        <v>61</v>
      </c>
      <c r="H1278" s="13" t="s">
        <v>3214</v>
      </c>
      <c r="I1278" s="13" t="s">
        <v>63</v>
      </c>
      <c r="J1278" s="17" t="s">
        <v>71</v>
      </c>
      <c r="K1278" s="17" t="s">
        <v>58</v>
      </c>
      <c r="L1278" s="18" t="s">
        <v>52</v>
      </c>
      <c r="M1278" s="19">
        <v>32.0</v>
      </c>
      <c r="N1278" s="19">
        <v>31.0</v>
      </c>
    </row>
    <row r="1279">
      <c r="A1279" s="12">
        <v>1277.0</v>
      </c>
      <c r="B1279" s="13" t="s">
        <v>2466</v>
      </c>
      <c r="C1279" s="14">
        <v>7.0</v>
      </c>
      <c r="D1279" s="15" t="s">
        <v>3209</v>
      </c>
      <c r="E1279" s="16" t="s">
        <v>52</v>
      </c>
      <c r="F1279" s="13" t="s">
        <v>2362</v>
      </c>
      <c r="G1279" s="13" t="s">
        <v>2363</v>
      </c>
      <c r="H1279" s="13" t="s">
        <v>2364</v>
      </c>
      <c r="I1279" s="13" t="s">
        <v>63</v>
      </c>
      <c r="J1279" s="17" t="s">
        <v>71</v>
      </c>
      <c r="K1279" s="17" t="s">
        <v>58</v>
      </c>
      <c r="L1279" s="18" t="s">
        <v>52</v>
      </c>
      <c r="M1279" s="19">
        <v>32.0</v>
      </c>
      <c r="N1279" s="19">
        <v>31.0</v>
      </c>
    </row>
    <row r="1280">
      <c r="A1280" s="12">
        <v>1278.0</v>
      </c>
      <c r="B1280" s="13" t="s">
        <v>2466</v>
      </c>
      <c r="C1280" s="14">
        <v>8.0</v>
      </c>
      <c r="D1280" s="15" t="s">
        <v>3209</v>
      </c>
      <c r="E1280" s="16" t="s">
        <v>52</v>
      </c>
      <c r="F1280" s="13" t="s">
        <v>3132</v>
      </c>
      <c r="G1280" s="13" t="s">
        <v>3215</v>
      </c>
      <c r="H1280" s="13" t="s">
        <v>3216</v>
      </c>
      <c r="I1280" s="13" t="s">
        <v>63</v>
      </c>
      <c r="J1280" s="17" t="s">
        <v>71</v>
      </c>
      <c r="K1280" s="17" t="s">
        <v>58</v>
      </c>
      <c r="L1280" s="18" t="s">
        <v>52</v>
      </c>
      <c r="M1280" s="19">
        <v>32.0</v>
      </c>
      <c r="N1280" s="19">
        <v>31.0</v>
      </c>
    </row>
    <row r="1281">
      <c r="A1281" s="12">
        <v>1279.0</v>
      </c>
      <c r="B1281" s="13" t="s">
        <v>2466</v>
      </c>
      <c r="C1281" s="14">
        <v>9.0</v>
      </c>
      <c r="D1281" s="15" t="s">
        <v>3209</v>
      </c>
      <c r="E1281" s="16" t="s">
        <v>52</v>
      </c>
      <c r="F1281" s="13" t="s">
        <v>2911</v>
      </c>
      <c r="G1281" s="13" t="s">
        <v>3179</v>
      </c>
      <c r="H1281" s="13" t="s">
        <v>3217</v>
      </c>
      <c r="I1281" s="13" t="s">
        <v>63</v>
      </c>
      <c r="J1281" s="17" t="s">
        <v>71</v>
      </c>
      <c r="K1281" s="17" t="s">
        <v>58</v>
      </c>
      <c r="L1281" s="18" t="s">
        <v>52</v>
      </c>
      <c r="M1281" s="19">
        <v>32.0</v>
      </c>
      <c r="N1281" s="19">
        <v>31.0</v>
      </c>
    </row>
    <row r="1282">
      <c r="A1282" s="12">
        <v>1280.0</v>
      </c>
      <c r="B1282" s="13" t="s">
        <v>2466</v>
      </c>
      <c r="C1282" s="14">
        <v>10.0</v>
      </c>
      <c r="D1282" s="15" t="s">
        <v>3209</v>
      </c>
      <c r="E1282" s="16" t="s">
        <v>52</v>
      </c>
      <c r="F1282" s="13" t="s">
        <v>2693</v>
      </c>
      <c r="G1282" s="13" t="s">
        <v>3219</v>
      </c>
      <c r="H1282" s="13" t="s">
        <v>3220</v>
      </c>
      <c r="I1282" s="13" t="s">
        <v>63</v>
      </c>
      <c r="J1282" s="17" t="s">
        <v>71</v>
      </c>
      <c r="K1282" s="17" t="s">
        <v>58</v>
      </c>
      <c r="L1282" s="18" t="s">
        <v>52</v>
      </c>
      <c r="M1282" s="19">
        <v>32.0</v>
      </c>
      <c r="N1282" s="19">
        <v>31.0</v>
      </c>
    </row>
    <row r="1283">
      <c r="A1283" s="12">
        <v>1281.0</v>
      </c>
      <c r="B1283" s="13" t="s">
        <v>2466</v>
      </c>
      <c r="C1283" s="14">
        <v>11.0</v>
      </c>
      <c r="D1283" s="15" t="s">
        <v>3209</v>
      </c>
      <c r="E1283" s="16" t="s">
        <v>52</v>
      </c>
      <c r="F1283" s="13" t="s">
        <v>2605</v>
      </c>
      <c r="G1283" s="13" t="s">
        <v>3221</v>
      </c>
      <c r="H1283" s="13" t="s">
        <v>3222</v>
      </c>
      <c r="I1283" s="13" t="s">
        <v>63</v>
      </c>
      <c r="J1283" s="17" t="s">
        <v>71</v>
      </c>
      <c r="K1283" s="17" t="s">
        <v>58</v>
      </c>
      <c r="L1283" s="18" t="s">
        <v>52</v>
      </c>
      <c r="M1283" s="19">
        <v>32.0</v>
      </c>
      <c r="N1283" s="19">
        <v>31.0</v>
      </c>
    </row>
    <row r="1284">
      <c r="A1284" s="12">
        <v>1282.0</v>
      </c>
      <c r="B1284" s="13" t="s">
        <v>2466</v>
      </c>
      <c r="C1284" s="14">
        <v>12.0</v>
      </c>
      <c r="D1284" s="15" t="s">
        <v>3209</v>
      </c>
      <c r="E1284" s="16" t="s">
        <v>52</v>
      </c>
      <c r="F1284" s="13" t="s">
        <v>2475</v>
      </c>
      <c r="G1284" s="13" t="s">
        <v>3223</v>
      </c>
      <c r="H1284" s="13" t="s">
        <v>3224</v>
      </c>
      <c r="I1284" s="13" t="s">
        <v>63</v>
      </c>
      <c r="J1284" s="17" t="s">
        <v>71</v>
      </c>
      <c r="K1284" s="17" t="s">
        <v>58</v>
      </c>
      <c r="L1284" s="18" t="s">
        <v>52</v>
      </c>
      <c r="M1284" s="19">
        <v>32.0</v>
      </c>
      <c r="N1284" s="19">
        <v>31.0</v>
      </c>
    </row>
    <row r="1285">
      <c r="A1285" s="12">
        <v>1283.0</v>
      </c>
      <c r="B1285" s="13" t="s">
        <v>2466</v>
      </c>
      <c r="C1285" s="14">
        <v>13.0</v>
      </c>
      <c r="D1285" s="15" t="s">
        <v>3209</v>
      </c>
      <c r="E1285" s="16" t="s">
        <v>52</v>
      </c>
      <c r="F1285" s="13" t="s">
        <v>2663</v>
      </c>
      <c r="G1285" s="13" t="s">
        <v>3225</v>
      </c>
      <c r="H1285" s="13" t="s">
        <v>3226</v>
      </c>
      <c r="I1285" s="13" t="s">
        <v>63</v>
      </c>
      <c r="J1285" s="17" t="s">
        <v>71</v>
      </c>
      <c r="K1285" s="17" t="s">
        <v>58</v>
      </c>
      <c r="L1285" s="18" t="s">
        <v>52</v>
      </c>
      <c r="M1285" s="19">
        <v>32.0</v>
      </c>
      <c r="N1285" s="19">
        <v>31.0</v>
      </c>
    </row>
    <row r="1286">
      <c r="A1286" s="12">
        <v>1284.0</v>
      </c>
      <c r="B1286" s="13" t="s">
        <v>2466</v>
      </c>
      <c r="C1286" s="14">
        <v>14.0</v>
      </c>
      <c r="D1286" s="15" t="s">
        <v>3209</v>
      </c>
      <c r="E1286" s="16" t="s">
        <v>52</v>
      </c>
      <c r="F1286" s="13" t="s">
        <v>1843</v>
      </c>
      <c r="G1286" s="13" t="s">
        <v>3187</v>
      </c>
      <c r="H1286" s="13" t="s">
        <v>3229</v>
      </c>
      <c r="I1286" s="13" t="s">
        <v>63</v>
      </c>
      <c r="J1286" s="17" t="s">
        <v>71</v>
      </c>
      <c r="K1286" s="17" t="s">
        <v>58</v>
      </c>
      <c r="L1286" s="18" t="s">
        <v>52</v>
      </c>
      <c r="M1286" s="19">
        <v>32.0</v>
      </c>
      <c r="N1286" s="19">
        <v>31.0</v>
      </c>
    </row>
    <row r="1287">
      <c r="A1287" s="12">
        <v>1285.0</v>
      </c>
      <c r="B1287" s="13" t="s">
        <v>2466</v>
      </c>
      <c r="C1287" s="14">
        <v>15.0</v>
      </c>
      <c r="D1287" s="15" t="s">
        <v>3209</v>
      </c>
      <c r="E1287" s="16" t="s">
        <v>52</v>
      </c>
      <c r="F1287" s="13" t="s">
        <v>2016</v>
      </c>
      <c r="G1287" s="13" t="s">
        <v>61</v>
      </c>
      <c r="H1287" s="13" t="s">
        <v>3230</v>
      </c>
      <c r="I1287" s="13" t="s">
        <v>63</v>
      </c>
      <c r="J1287" s="17" t="s">
        <v>71</v>
      </c>
      <c r="K1287" s="17" t="s">
        <v>58</v>
      </c>
      <c r="L1287" s="18" t="s">
        <v>52</v>
      </c>
      <c r="M1287" s="19">
        <v>32.0</v>
      </c>
      <c r="N1287" s="19">
        <v>31.0</v>
      </c>
    </row>
    <row r="1288">
      <c r="A1288" s="12">
        <v>1286.0</v>
      </c>
      <c r="B1288" s="13" t="s">
        <v>2466</v>
      </c>
      <c r="C1288" s="14">
        <v>16.0</v>
      </c>
      <c r="D1288" s="15" t="s">
        <v>3209</v>
      </c>
      <c r="E1288" s="16" t="s">
        <v>52</v>
      </c>
      <c r="F1288" s="13" t="s">
        <v>2417</v>
      </c>
      <c r="G1288" s="13" t="s">
        <v>3193</v>
      </c>
      <c r="H1288" s="13" t="s">
        <v>3231</v>
      </c>
      <c r="I1288" s="13" t="s">
        <v>63</v>
      </c>
      <c r="J1288" s="17" t="s">
        <v>71</v>
      </c>
      <c r="K1288" s="17" t="s">
        <v>58</v>
      </c>
      <c r="L1288" s="18" t="s">
        <v>52</v>
      </c>
      <c r="M1288" s="19">
        <v>32.0</v>
      </c>
      <c r="N1288" s="19">
        <v>31.0</v>
      </c>
    </row>
    <row r="1289">
      <c r="A1289" s="12">
        <v>1287.0</v>
      </c>
      <c r="B1289" s="13" t="s">
        <v>2466</v>
      </c>
      <c r="C1289" s="14">
        <v>17.0</v>
      </c>
      <c r="D1289" s="15" t="s">
        <v>3209</v>
      </c>
      <c r="E1289" s="16" t="s">
        <v>52</v>
      </c>
      <c r="F1289" s="13" t="s">
        <v>3233</v>
      </c>
      <c r="G1289" s="13" t="s">
        <v>3234</v>
      </c>
      <c r="H1289" s="13" t="s">
        <v>3235</v>
      </c>
      <c r="I1289" s="13" t="s">
        <v>63</v>
      </c>
      <c r="J1289" s="17" t="s">
        <v>71</v>
      </c>
      <c r="K1289" s="17" t="s">
        <v>58</v>
      </c>
      <c r="L1289" s="18" t="s">
        <v>52</v>
      </c>
      <c r="M1289" s="19">
        <v>32.0</v>
      </c>
      <c r="N1289" s="19">
        <v>31.0</v>
      </c>
    </row>
    <row r="1290">
      <c r="A1290" s="12">
        <v>1288.0</v>
      </c>
      <c r="B1290" s="13" t="s">
        <v>2466</v>
      </c>
      <c r="C1290" s="14">
        <v>18.0</v>
      </c>
      <c r="D1290" s="15" t="s">
        <v>3209</v>
      </c>
      <c r="E1290" s="16" t="s">
        <v>52</v>
      </c>
      <c r="F1290" s="13" t="s">
        <v>2895</v>
      </c>
      <c r="G1290" s="13" t="s">
        <v>2896</v>
      </c>
      <c r="H1290" s="13" t="s">
        <v>3237</v>
      </c>
      <c r="I1290" s="13" t="s">
        <v>63</v>
      </c>
      <c r="J1290" s="17" t="s">
        <v>71</v>
      </c>
      <c r="K1290" s="17" t="s">
        <v>58</v>
      </c>
      <c r="L1290" s="18" t="s">
        <v>52</v>
      </c>
      <c r="M1290" s="19">
        <v>32.0</v>
      </c>
      <c r="N1290" s="19">
        <v>31.0</v>
      </c>
    </row>
    <row r="1291">
      <c r="A1291" s="12">
        <v>1289.0</v>
      </c>
      <c r="B1291" s="13" t="s">
        <v>2466</v>
      </c>
      <c r="C1291" s="14">
        <v>19.0</v>
      </c>
      <c r="D1291" s="15" t="s">
        <v>3209</v>
      </c>
      <c r="E1291" s="16" t="s">
        <v>52</v>
      </c>
      <c r="F1291" s="13" t="s">
        <v>2058</v>
      </c>
      <c r="G1291" s="13" t="s">
        <v>2059</v>
      </c>
      <c r="H1291" s="13" t="s">
        <v>2060</v>
      </c>
      <c r="I1291" s="13" t="s">
        <v>63</v>
      </c>
      <c r="J1291" s="17" t="s">
        <v>71</v>
      </c>
      <c r="K1291" s="17" t="s">
        <v>58</v>
      </c>
      <c r="L1291" s="18" t="s">
        <v>52</v>
      </c>
      <c r="M1291" s="19">
        <v>32.0</v>
      </c>
      <c r="N1291" s="19">
        <v>31.0</v>
      </c>
    </row>
    <row r="1292">
      <c r="A1292" s="12">
        <v>1290.0</v>
      </c>
      <c r="B1292" s="13" t="s">
        <v>2466</v>
      </c>
      <c r="C1292" s="14">
        <v>20.0</v>
      </c>
      <c r="D1292" s="15" t="s">
        <v>3205</v>
      </c>
      <c r="E1292" s="16" t="s">
        <v>52</v>
      </c>
      <c r="F1292" s="13" t="s">
        <v>1356</v>
      </c>
      <c r="G1292" s="13" t="s">
        <v>3238</v>
      </c>
      <c r="H1292" s="13" t="s">
        <v>3239</v>
      </c>
      <c r="I1292" s="13" t="s">
        <v>63</v>
      </c>
      <c r="J1292" s="17" t="s">
        <v>71</v>
      </c>
      <c r="K1292" s="17" t="s">
        <v>58</v>
      </c>
      <c r="L1292" s="18" t="s">
        <v>52</v>
      </c>
      <c r="M1292" s="19">
        <v>32.0</v>
      </c>
      <c r="N1292" s="19">
        <v>31.0</v>
      </c>
    </row>
    <row r="1293">
      <c r="A1293" s="12">
        <v>1291.0</v>
      </c>
      <c r="B1293" s="13" t="s">
        <v>2466</v>
      </c>
      <c r="C1293" s="14">
        <v>21.0</v>
      </c>
      <c r="D1293" s="15" t="s">
        <v>3205</v>
      </c>
      <c r="E1293" s="16" t="s">
        <v>52</v>
      </c>
      <c r="F1293" s="13" t="s">
        <v>2452</v>
      </c>
      <c r="G1293" s="13" t="s">
        <v>2453</v>
      </c>
      <c r="H1293" s="13" t="s">
        <v>3240</v>
      </c>
      <c r="I1293" s="13" t="s">
        <v>63</v>
      </c>
      <c r="J1293" s="17" t="s">
        <v>71</v>
      </c>
      <c r="K1293" s="17" t="s">
        <v>58</v>
      </c>
      <c r="L1293" s="18" t="s">
        <v>52</v>
      </c>
      <c r="M1293" s="19">
        <v>32.0</v>
      </c>
      <c r="N1293" s="19">
        <v>31.0</v>
      </c>
    </row>
    <row r="1294">
      <c r="A1294" s="12">
        <v>1292.0</v>
      </c>
      <c r="B1294" s="13" t="s">
        <v>2466</v>
      </c>
      <c r="C1294" s="14">
        <v>22.0</v>
      </c>
      <c r="D1294" s="15" t="s">
        <v>3205</v>
      </c>
      <c r="E1294" s="16" t="s">
        <v>52</v>
      </c>
      <c r="F1294" s="13" t="s">
        <v>2690</v>
      </c>
      <c r="G1294" s="13" t="s">
        <v>61</v>
      </c>
      <c r="H1294" s="13" t="s">
        <v>3242</v>
      </c>
      <c r="I1294" s="13" t="s">
        <v>63</v>
      </c>
      <c r="J1294" s="17" t="s">
        <v>71</v>
      </c>
      <c r="K1294" s="17" t="s">
        <v>58</v>
      </c>
      <c r="L1294" s="18" t="s">
        <v>52</v>
      </c>
      <c r="M1294" s="19">
        <v>32.0</v>
      </c>
      <c r="N1294" s="19">
        <v>31.0</v>
      </c>
    </row>
    <row r="1295">
      <c r="A1295" s="12">
        <v>1293.0</v>
      </c>
      <c r="B1295" s="13" t="s">
        <v>2466</v>
      </c>
      <c r="C1295" s="14">
        <v>23.0</v>
      </c>
      <c r="D1295" s="15" t="s">
        <v>3205</v>
      </c>
      <c r="E1295" s="16" t="s">
        <v>52</v>
      </c>
      <c r="F1295" s="13" t="s">
        <v>2441</v>
      </c>
      <c r="G1295" s="13" t="s">
        <v>3243</v>
      </c>
      <c r="H1295" s="13" t="s">
        <v>3244</v>
      </c>
      <c r="I1295" s="13" t="s">
        <v>63</v>
      </c>
      <c r="J1295" s="17" t="s">
        <v>71</v>
      </c>
      <c r="K1295" s="17" t="s">
        <v>58</v>
      </c>
      <c r="L1295" s="18" t="s">
        <v>52</v>
      </c>
      <c r="M1295" s="19">
        <v>32.0</v>
      </c>
      <c r="N1295" s="19">
        <v>31.0</v>
      </c>
    </row>
    <row r="1296">
      <c r="A1296" s="12">
        <v>1294.0</v>
      </c>
      <c r="B1296" s="13" t="s">
        <v>2466</v>
      </c>
      <c r="C1296" s="14">
        <v>24.0</v>
      </c>
      <c r="D1296" s="15" t="s">
        <v>3205</v>
      </c>
      <c r="E1296" s="16" t="s">
        <v>52</v>
      </c>
      <c r="F1296" s="13" t="s">
        <v>3113</v>
      </c>
      <c r="G1296" s="13" t="s">
        <v>61</v>
      </c>
      <c r="H1296" s="13" t="s">
        <v>3181</v>
      </c>
      <c r="I1296" s="13" t="s">
        <v>63</v>
      </c>
      <c r="J1296" s="17" t="s">
        <v>71</v>
      </c>
      <c r="K1296" s="17" t="s">
        <v>58</v>
      </c>
      <c r="L1296" s="18" t="s">
        <v>52</v>
      </c>
      <c r="M1296" s="19">
        <v>32.0</v>
      </c>
      <c r="N1296" s="19">
        <v>31.0</v>
      </c>
    </row>
    <row r="1297">
      <c r="A1297" s="12">
        <v>1295.0</v>
      </c>
      <c r="B1297" s="13" t="s">
        <v>2466</v>
      </c>
      <c r="C1297" s="14">
        <v>25.0</v>
      </c>
      <c r="D1297" s="15" t="s">
        <v>3205</v>
      </c>
      <c r="E1297" s="16" t="s">
        <v>52</v>
      </c>
      <c r="F1297" s="13" t="s">
        <v>2614</v>
      </c>
      <c r="G1297" s="13" t="s">
        <v>3146</v>
      </c>
      <c r="H1297" s="13" t="s">
        <v>3089</v>
      </c>
      <c r="I1297" s="13" t="s">
        <v>63</v>
      </c>
      <c r="J1297" s="17" t="s">
        <v>71</v>
      </c>
      <c r="K1297" s="17" t="s">
        <v>58</v>
      </c>
      <c r="L1297" s="18" t="s">
        <v>52</v>
      </c>
      <c r="M1297" s="19">
        <v>32.0</v>
      </c>
      <c r="N1297" s="19">
        <v>31.0</v>
      </c>
    </row>
    <row r="1298">
      <c r="A1298" s="12">
        <v>1296.0</v>
      </c>
      <c r="B1298" s="13" t="s">
        <v>2466</v>
      </c>
      <c r="C1298" s="14">
        <v>26.0</v>
      </c>
      <c r="D1298" s="15" t="s">
        <v>3205</v>
      </c>
      <c r="E1298" s="16" t="s">
        <v>52</v>
      </c>
      <c r="F1298" s="13" t="s">
        <v>1960</v>
      </c>
      <c r="G1298" s="13" t="s">
        <v>61</v>
      </c>
      <c r="H1298" s="13" t="s">
        <v>3012</v>
      </c>
      <c r="I1298" s="13" t="s">
        <v>63</v>
      </c>
      <c r="J1298" s="17" t="s">
        <v>71</v>
      </c>
      <c r="K1298" s="17" t="s">
        <v>58</v>
      </c>
      <c r="L1298" s="18" t="s">
        <v>52</v>
      </c>
      <c r="M1298" s="19">
        <v>32.0</v>
      </c>
      <c r="N1298" s="19">
        <v>31.0</v>
      </c>
    </row>
    <row r="1299">
      <c r="A1299" s="12">
        <v>1297.0</v>
      </c>
      <c r="B1299" s="13" t="s">
        <v>2466</v>
      </c>
      <c r="C1299" s="14">
        <v>27.0</v>
      </c>
      <c r="D1299" s="15" t="s">
        <v>3205</v>
      </c>
      <c r="E1299" s="16" t="s">
        <v>52</v>
      </c>
      <c r="F1299" s="13" t="s">
        <v>3148</v>
      </c>
      <c r="G1299" s="13" t="s">
        <v>3246</v>
      </c>
      <c r="H1299" s="13" t="s">
        <v>3247</v>
      </c>
      <c r="I1299" s="13" t="s">
        <v>63</v>
      </c>
      <c r="J1299" s="17" t="s">
        <v>71</v>
      </c>
      <c r="K1299" s="17" t="s">
        <v>58</v>
      </c>
      <c r="L1299" s="18" t="s">
        <v>52</v>
      </c>
      <c r="M1299" s="19">
        <v>32.0</v>
      </c>
      <c r="N1299" s="19">
        <v>31.0</v>
      </c>
    </row>
    <row r="1300">
      <c r="A1300" s="12">
        <v>1298.0</v>
      </c>
      <c r="B1300" s="13" t="s">
        <v>2466</v>
      </c>
      <c r="C1300" s="14">
        <v>28.0</v>
      </c>
      <c r="D1300" s="15" t="s">
        <v>3205</v>
      </c>
      <c r="E1300" s="16" t="s">
        <v>52</v>
      </c>
      <c r="F1300" s="13" t="s">
        <v>2914</v>
      </c>
      <c r="G1300" s="13" t="s">
        <v>3127</v>
      </c>
      <c r="H1300" s="13" t="s">
        <v>3248</v>
      </c>
      <c r="I1300" s="13" t="s">
        <v>63</v>
      </c>
      <c r="J1300" s="17" t="s">
        <v>71</v>
      </c>
      <c r="K1300" s="17" t="s">
        <v>58</v>
      </c>
      <c r="L1300" s="18" t="s">
        <v>52</v>
      </c>
      <c r="M1300" s="19">
        <v>32.0</v>
      </c>
      <c r="N1300" s="19">
        <v>31.0</v>
      </c>
    </row>
    <row r="1301">
      <c r="A1301" s="12">
        <v>1299.0</v>
      </c>
      <c r="B1301" s="13" t="s">
        <v>2466</v>
      </c>
      <c r="C1301" s="14">
        <v>29.0</v>
      </c>
      <c r="D1301" s="15" t="s">
        <v>3205</v>
      </c>
      <c r="E1301" s="16" t="s">
        <v>52</v>
      </c>
      <c r="F1301" s="13" t="s">
        <v>2520</v>
      </c>
      <c r="G1301" s="13" t="s">
        <v>2521</v>
      </c>
      <c r="H1301" s="13" t="s">
        <v>3249</v>
      </c>
      <c r="I1301" s="13" t="s">
        <v>63</v>
      </c>
      <c r="J1301" s="17" t="s">
        <v>71</v>
      </c>
      <c r="K1301" s="17" t="s">
        <v>58</v>
      </c>
      <c r="L1301" s="18" t="s">
        <v>52</v>
      </c>
      <c r="M1301" s="19">
        <v>32.0</v>
      </c>
      <c r="N1301" s="19">
        <v>31.0</v>
      </c>
    </row>
    <row r="1302">
      <c r="A1302" s="12">
        <v>1300.0</v>
      </c>
      <c r="B1302" s="13" t="s">
        <v>2466</v>
      </c>
      <c r="C1302" s="14">
        <v>30.0</v>
      </c>
      <c r="D1302" s="15" t="s">
        <v>3205</v>
      </c>
      <c r="E1302" s="16" t="s">
        <v>52</v>
      </c>
      <c r="F1302" s="13" t="s">
        <v>1997</v>
      </c>
      <c r="G1302" s="13" t="s">
        <v>3251</v>
      </c>
      <c r="H1302" s="13" t="s">
        <v>3252</v>
      </c>
      <c r="I1302" s="13" t="s">
        <v>63</v>
      </c>
      <c r="J1302" s="17" t="s">
        <v>71</v>
      </c>
      <c r="K1302" s="17" t="s">
        <v>58</v>
      </c>
      <c r="L1302" s="18" t="s">
        <v>52</v>
      </c>
      <c r="M1302" s="19">
        <v>32.0</v>
      </c>
      <c r="N1302" s="19">
        <v>31.0</v>
      </c>
    </row>
    <row r="1303">
      <c r="A1303" s="12">
        <v>1301.0</v>
      </c>
      <c r="B1303" s="13" t="s">
        <v>2663</v>
      </c>
      <c r="C1303" s="14">
        <v>1.0</v>
      </c>
      <c r="D1303" s="15" t="s">
        <v>3253</v>
      </c>
      <c r="E1303" s="16" t="s">
        <v>52</v>
      </c>
      <c r="F1303" s="13" t="s">
        <v>2461</v>
      </c>
      <c r="G1303" s="13" t="s">
        <v>61</v>
      </c>
      <c r="H1303" s="13" t="s">
        <v>3254</v>
      </c>
      <c r="I1303" s="13" t="s">
        <v>63</v>
      </c>
      <c r="J1303" s="17" t="s">
        <v>57</v>
      </c>
      <c r="K1303" s="17" t="s">
        <v>58</v>
      </c>
      <c r="L1303" s="18" t="s">
        <v>52</v>
      </c>
      <c r="M1303" s="19">
        <v>33.0</v>
      </c>
      <c r="N1303" s="19">
        <v>11.0</v>
      </c>
    </row>
    <row r="1304">
      <c r="A1304" s="12">
        <v>1302.0</v>
      </c>
      <c r="B1304" s="13" t="s">
        <v>2663</v>
      </c>
      <c r="C1304" s="14">
        <v>2.0</v>
      </c>
      <c r="D1304" s="15" t="s">
        <v>3253</v>
      </c>
      <c r="E1304" s="16" t="s">
        <v>52</v>
      </c>
      <c r="F1304" s="13" t="s">
        <v>3109</v>
      </c>
      <c r="G1304" s="13" t="s">
        <v>3255</v>
      </c>
      <c r="H1304" s="13" t="s">
        <v>3256</v>
      </c>
      <c r="I1304" s="13" t="s">
        <v>63</v>
      </c>
      <c r="J1304" s="17" t="s">
        <v>57</v>
      </c>
      <c r="K1304" s="17" t="s">
        <v>58</v>
      </c>
      <c r="L1304" s="18" t="s">
        <v>52</v>
      </c>
      <c r="M1304" s="19">
        <v>33.0</v>
      </c>
      <c r="N1304" s="19">
        <v>11.0</v>
      </c>
    </row>
    <row r="1305">
      <c r="A1305" s="12">
        <v>1303.0</v>
      </c>
      <c r="B1305" s="13" t="s">
        <v>2663</v>
      </c>
      <c r="C1305" s="14">
        <v>3.0</v>
      </c>
      <c r="D1305" s="15" t="s">
        <v>3253</v>
      </c>
      <c r="E1305" s="16" t="s">
        <v>52</v>
      </c>
      <c r="F1305" s="13" t="s">
        <v>2246</v>
      </c>
      <c r="G1305" s="13" t="s">
        <v>2388</v>
      </c>
      <c r="H1305" s="13" t="s">
        <v>3257</v>
      </c>
      <c r="I1305" s="13" t="s">
        <v>63</v>
      </c>
      <c r="J1305" s="17" t="s">
        <v>57</v>
      </c>
      <c r="K1305" s="17" t="s">
        <v>58</v>
      </c>
      <c r="L1305" s="18" t="s">
        <v>52</v>
      </c>
      <c r="M1305" s="19">
        <v>33.0</v>
      </c>
      <c r="N1305" s="19">
        <v>11.0</v>
      </c>
    </row>
    <row r="1306">
      <c r="A1306" s="12">
        <v>1304.0</v>
      </c>
      <c r="B1306" s="13" t="s">
        <v>2663</v>
      </c>
      <c r="C1306" s="14">
        <v>4.0</v>
      </c>
      <c r="D1306" s="15" t="s">
        <v>3253</v>
      </c>
      <c r="E1306" s="16" t="s">
        <v>52</v>
      </c>
      <c r="F1306" s="13" t="s">
        <v>3041</v>
      </c>
      <c r="G1306" s="13" t="s">
        <v>3259</v>
      </c>
      <c r="H1306" s="13" t="s">
        <v>3260</v>
      </c>
      <c r="I1306" s="13" t="s">
        <v>56</v>
      </c>
      <c r="J1306" s="17" t="s">
        <v>67</v>
      </c>
      <c r="K1306" s="17" t="s">
        <v>58</v>
      </c>
      <c r="L1306" s="18" t="s">
        <v>52</v>
      </c>
      <c r="M1306" s="19">
        <v>33.0</v>
      </c>
      <c r="N1306" s="19">
        <v>20.0</v>
      </c>
    </row>
    <row r="1307">
      <c r="A1307" s="12">
        <v>1305.0</v>
      </c>
      <c r="B1307" s="13" t="s">
        <v>2663</v>
      </c>
      <c r="C1307" s="14">
        <v>5.0</v>
      </c>
      <c r="D1307" s="15" t="s">
        <v>3261</v>
      </c>
      <c r="E1307" s="16" t="s">
        <v>52</v>
      </c>
      <c r="F1307" s="13" t="s">
        <v>3262</v>
      </c>
      <c r="G1307" s="13" t="s">
        <v>61</v>
      </c>
      <c r="H1307" s="13" t="s">
        <v>3263</v>
      </c>
      <c r="I1307" s="13" t="s">
        <v>63</v>
      </c>
      <c r="J1307" s="17" t="s">
        <v>67</v>
      </c>
      <c r="K1307" s="17" t="s">
        <v>58</v>
      </c>
      <c r="L1307" s="18" t="s">
        <v>52</v>
      </c>
      <c r="M1307" s="19">
        <v>33.0</v>
      </c>
      <c r="N1307" s="19">
        <v>21.0</v>
      </c>
    </row>
    <row r="1308">
      <c r="A1308" s="12">
        <v>1306.0</v>
      </c>
      <c r="B1308" s="13" t="s">
        <v>2663</v>
      </c>
      <c r="C1308" s="14">
        <v>6.0</v>
      </c>
      <c r="D1308" s="15" t="s">
        <v>3253</v>
      </c>
      <c r="E1308" s="16" t="s">
        <v>52</v>
      </c>
      <c r="F1308" s="13" t="s">
        <v>3148</v>
      </c>
      <c r="G1308" s="13" t="s">
        <v>3149</v>
      </c>
      <c r="H1308" s="13" t="s">
        <v>3264</v>
      </c>
      <c r="I1308" s="13" t="s">
        <v>63</v>
      </c>
      <c r="J1308" s="17" t="s">
        <v>67</v>
      </c>
      <c r="K1308" s="17" t="s">
        <v>58</v>
      </c>
      <c r="L1308" s="18" t="s">
        <v>52</v>
      </c>
      <c r="M1308" s="19">
        <v>33.0</v>
      </c>
      <c r="N1308" s="19">
        <v>21.0</v>
      </c>
    </row>
    <row r="1309">
      <c r="A1309" s="12">
        <v>1307.0</v>
      </c>
      <c r="B1309" s="13" t="s">
        <v>2663</v>
      </c>
      <c r="C1309" s="14">
        <v>7.0</v>
      </c>
      <c r="D1309" s="15" t="s">
        <v>3253</v>
      </c>
      <c r="E1309" s="16" t="s">
        <v>52</v>
      </c>
      <c r="F1309" s="13" t="s">
        <v>2690</v>
      </c>
      <c r="G1309" s="13" t="s">
        <v>3265</v>
      </c>
      <c r="H1309" s="13" t="s">
        <v>3266</v>
      </c>
      <c r="I1309" s="13" t="s">
        <v>56</v>
      </c>
      <c r="J1309" s="17" t="s">
        <v>71</v>
      </c>
      <c r="K1309" s="17" t="s">
        <v>58</v>
      </c>
      <c r="L1309" s="18" t="s">
        <v>52</v>
      </c>
      <c r="M1309" s="19">
        <v>33.0</v>
      </c>
      <c r="N1309" s="19">
        <v>30.0</v>
      </c>
    </row>
    <row r="1310">
      <c r="A1310" s="12">
        <v>1308.0</v>
      </c>
      <c r="B1310" s="13" t="s">
        <v>2663</v>
      </c>
      <c r="C1310" s="14">
        <v>8.0</v>
      </c>
      <c r="D1310" s="15" t="s">
        <v>3261</v>
      </c>
      <c r="E1310" s="16" t="s">
        <v>52</v>
      </c>
      <c r="F1310" s="13" t="s">
        <v>1134</v>
      </c>
      <c r="G1310" s="13" t="s">
        <v>3267</v>
      </c>
      <c r="H1310" s="13" t="s">
        <v>3268</v>
      </c>
      <c r="I1310" s="13" t="s">
        <v>63</v>
      </c>
      <c r="J1310" s="17" t="s">
        <v>71</v>
      </c>
      <c r="K1310" s="17" t="s">
        <v>58</v>
      </c>
      <c r="L1310" s="18" t="s">
        <v>52</v>
      </c>
      <c r="M1310" s="19">
        <v>33.0</v>
      </c>
      <c r="N1310" s="19">
        <v>31.0</v>
      </c>
    </row>
    <row r="1311">
      <c r="A1311" s="12">
        <v>1309.0</v>
      </c>
      <c r="B1311" s="13" t="s">
        <v>2663</v>
      </c>
      <c r="C1311" s="14">
        <v>9.0</v>
      </c>
      <c r="D1311" s="15" t="s">
        <v>3261</v>
      </c>
      <c r="E1311" s="16" t="s">
        <v>52</v>
      </c>
      <c r="F1311" s="13" t="s">
        <v>2452</v>
      </c>
      <c r="G1311" s="13" t="s">
        <v>61</v>
      </c>
      <c r="H1311" s="13" t="s">
        <v>3269</v>
      </c>
      <c r="I1311" s="13" t="s">
        <v>63</v>
      </c>
      <c r="J1311" s="17" t="s">
        <v>71</v>
      </c>
      <c r="K1311" s="17" t="s">
        <v>58</v>
      </c>
      <c r="L1311" s="18" t="s">
        <v>52</v>
      </c>
      <c r="M1311" s="19">
        <v>33.0</v>
      </c>
      <c r="N1311" s="19">
        <v>31.0</v>
      </c>
    </row>
    <row r="1312">
      <c r="A1312" s="12">
        <v>1310.0</v>
      </c>
      <c r="B1312" s="13" t="s">
        <v>2663</v>
      </c>
      <c r="C1312" s="14">
        <v>10.0</v>
      </c>
      <c r="D1312" s="15" t="s">
        <v>3261</v>
      </c>
      <c r="E1312" s="16" t="s">
        <v>52</v>
      </c>
      <c r="F1312" s="13" t="s">
        <v>3132</v>
      </c>
      <c r="G1312" s="13" t="s">
        <v>3270</v>
      </c>
      <c r="H1312" s="13" t="s">
        <v>3271</v>
      </c>
      <c r="I1312" s="13" t="s">
        <v>63</v>
      </c>
      <c r="J1312" s="17" t="s">
        <v>71</v>
      </c>
      <c r="K1312" s="17" t="s">
        <v>58</v>
      </c>
      <c r="L1312" s="18" t="s">
        <v>52</v>
      </c>
      <c r="M1312" s="19">
        <v>33.0</v>
      </c>
      <c r="N1312" s="19">
        <v>31.0</v>
      </c>
    </row>
    <row r="1313">
      <c r="A1313" s="12">
        <v>1311.0</v>
      </c>
      <c r="B1313" s="13" t="s">
        <v>2663</v>
      </c>
      <c r="C1313" s="14">
        <v>11.0</v>
      </c>
      <c r="D1313" s="15" t="s">
        <v>3261</v>
      </c>
      <c r="E1313" s="16" t="s">
        <v>52</v>
      </c>
      <c r="F1313" s="13" t="s">
        <v>2441</v>
      </c>
      <c r="G1313" s="13" t="s">
        <v>3272</v>
      </c>
      <c r="H1313" s="13" t="s">
        <v>3273</v>
      </c>
      <c r="I1313" s="13" t="s">
        <v>63</v>
      </c>
      <c r="J1313" s="17" t="s">
        <v>71</v>
      </c>
      <c r="K1313" s="17" t="s">
        <v>58</v>
      </c>
      <c r="L1313" s="18" t="s">
        <v>52</v>
      </c>
      <c r="M1313" s="19">
        <v>33.0</v>
      </c>
      <c r="N1313" s="19">
        <v>31.0</v>
      </c>
    </row>
    <row r="1314">
      <c r="A1314" s="12">
        <v>1312.0</v>
      </c>
      <c r="B1314" s="13" t="s">
        <v>2663</v>
      </c>
      <c r="C1314" s="14">
        <v>12.0</v>
      </c>
      <c r="D1314" s="15" t="s">
        <v>3261</v>
      </c>
      <c r="E1314" s="16" t="s">
        <v>52</v>
      </c>
      <c r="F1314" s="13" t="s">
        <v>2693</v>
      </c>
      <c r="G1314" s="13" t="s">
        <v>61</v>
      </c>
      <c r="H1314" s="13" t="s">
        <v>3137</v>
      </c>
      <c r="I1314" s="13" t="s">
        <v>63</v>
      </c>
      <c r="J1314" s="17" t="s">
        <v>71</v>
      </c>
      <c r="K1314" s="17" t="s">
        <v>58</v>
      </c>
      <c r="L1314" s="18" t="s">
        <v>52</v>
      </c>
      <c r="M1314" s="19">
        <v>33.0</v>
      </c>
      <c r="N1314" s="19">
        <v>31.0</v>
      </c>
    </row>
    <row r="1315">
      <c r="A1315" s="12">
        <v>1313.0</v>
      </c>
      <c r="B1315" s="13" t="s">
        <v>2663</v>
      </c>
      <c r="C1315" s="14">
        <v>13.0</v>
      </c>
      <c r="D1315" s="15" t="s">
        <v>3261</v>
      </c>
      <c r="E1315" s="16" t="s">
        <v>52</v>
      </c>
      <c r="F1315" s="13" t="s">
        <v>3113</v>
      </c>
      <c r="G1315" s="13" t="s">
        <v>3114</v>
      </c>
      <c r="H1315" s="13" t="s">
        <v>3274</v>
      </c>
      <c r="I1315" s="13" t="s">
        <v>63</v>
      </c>
      <c r="J1315" s="17" t="s">
        <v>71</v>
      </c>
      <c r="K1315" s="17" t="s">
        <v>58</v>
      </c>
      <c r="L1315" s="18" t="s">
        <v>52</v>
      </c>
      <c r="M1315" s="19">
        <v>33.0</v>
      </c>
      <c r="N1315" s="19">
        <v>31.0</v>
      </c>
    </row>
    <row r="1316">
      <c r="A1316" s="12">
        <v>1314.0</v>
      </c>
      <c r="B1316" s="13" t="s">
        <v>2663</v>
      </c>
      <c r="C1316" s="14">
        <v>14.0</v>
      </c>
      <c r="D1316" s="15" t="s">
        <v>3261</v>
      </c>
      <c r="E1316" s="16" t="s">
        <v>52</v>
      </c>
      <c r="F1316" s="13" t="s">
        <v>2614</v>
      </c>
      <c r="G1316" s="13" t="s">
        <v>3146</v>
      </c>
      <c r="H1316" s="13" t="s">
        <v>3147</v>
      </c>
      <c r="I1316" s="13" t="s">
        <v>63</v>
      </c>
      <c r="J1316" s="17" t="s">
        <v>71</v>
      </c>
      <c r="K1316" s="17" t="s">
        <v>58</v>
      </c>
      <c r="L1316" s="18" t="s">
        <v>52</v>
      </c>
      <c r="M1316" s="19">
        <v>33.0</v>
      </c>
      <c r="N1316" s="19">
        <v>31.0</v>
      </c>
    </row>
    <row r="1317">
      <c r="A1317" s="12">
        <v>1315.0</v>
      </c>
      <c r="B1317" s="13" t="s">
        <v>2663</v>
      </c>
      <c r="C1317" s="14">
        <v>15.0</v>
      </c>
      <c r="D1317" s="15" t="s">
        <v>3261</v>
      </c>
      <c r="E1317" s="16" t="s">
        <v>52</v>
      </c>
      <c r="F1317" s="13" t="s">
        <v>1960</v>
      </c>
      <c r="G1317" s="13" t="s">
        <v>61</v>
      </c>
      <c r="H1317" s="13" t="s">
        <v>3012</v>
      </c>
      <c r="I1317" s="13" t="s">
        <v>63</v>
      </c>
      <c r="J1317" s="17" t="s">
        <v>71</v>
      </c>
      <c r="K1317" s="17" t="s">
        <v>58</v>
      </c>
      <c r="L1317" s="18" t="s">
        <v>52</v>
      </c>
      <c r="M1317" s="19">
        <v>33.0</v>
      </c>
      <c r="N1317" s="19">
        <v>31.0</v>
      </c>
    </row>
    <row r="1318">
      <c r="A1318" s="12">
        <v>1316.0</v>
      </c>
      <c r="B1318" s="13" t="s">
        <v>2663</v>
      </c>
      <c r="C1318" s="14">
        <v>16.0</v>
      </c>
      <c r="D1318" s="15" t="s">
        <v>3261</v>
      </c>
      <c r="E1318" s="16" t="s">
        <v>52</v>
      </c>
      <c r="F1318" s="13" t="s">
        <v>2475</v>
      </c>
      <c r="G1318" s="13" t="s">
        <v>3276</v>
      </c>
      <c r="H1318" s="13" t="s">
        <v>3277</v>
      </c>
      <c r="I1318" s="13" t="s">
        <v>63</v>
      </c>
      <c r="J1318" s="17" t="s">
        <v>71</v>
      </c>
      <c r="K1318" s="17" t="s">
        <v>58</v>
      </c>
      <c r="L1318" s="18" t="s">
        <v>52</v>
      </c>
      <c r="M1318" s="19">
        <v>33.0</v>
      </c>
      <c r="N1318" s="19">
        <v>31.0</v>
      </c>
    </row>
    <row r="1319">
      <c r="A1319" s="12">
        <v>1317.0</v>
      </c>
      <c r="B1319" s="13" t="s">
        <v>2663</v>
      </c>
      <c r="C1319" s="14">
        <v>17.0</v>
      </c>
      <c r="D1319" s="15" t="s">
        <v>3261</v>
      </c>
      <c r="E1319" s="16" t="s">
        <v>52</v>
      </c>
      <c r="F1319" s="13" t="s">
        <v>1843</v>
      </c>
      <c r="G1319" s="13" t="s">
        <v>61</v>
      </c>
      <c r="H1319" s="13" t="s">
        <v>3279</v>
      </c>
      <c r="I1319" s="13" t="s">
        <v>63</v>
      </c>
      <c r="J1319" s="17" t="s">
        <v>71</v>
      </c>
      <c r="K1319" s="17" t="s">
        <v>58</v>
      </c>
      <c r="L1319" s="18" t="s">
        <v>52</v>
      </c>
      <c r="M1319" s="19">
        <v>33.0</v>
      </c>
      <c r="N1319" s="19">
        <v>31.0</v>
      </c>
    </row>
    <row r="1320">
      <c r="A1320" s="12">
        <v>1318.0</v>
      </c>
      <c r="B1320" s="13" t="s">
        <v>2663</v>
      </c>
      <c r="C1320" s="14">
        <v>18.0</v>
      </c>
      <c r="D1320" s="15" t="s">
        <v>3261</v>
      </c>
      <c r="E1320" s="16" t="s">
        <v>52</v>
      </c>
      <c r="F1320" s="13" t="s">
        <v>2016</v>
      </c>
      <c r="G1320" s="13" t="s">
        <v>3280</v>
      </c>
      <c r="H1320" s="13" t="s">
        <v>3281</v>
      </c>
      <c r="I1320" s="13" t="s">
        <v>63</v>
      </c>
      <c r="J1320" s="17" t="s">
        <v>71</v>
      </c>
      <c r="K1320" s="17" t="s">
        <v>58</v>
      </c>
      <c r="L1320" s="18" t="s">
        <v>52</v>
      </c>
      <c r="M1320" s="19">
        <v>33.0</v>
      </c>
      <c r="N1320" s="19">
        <v>31.0</v>
      </c>
    </row>
    <row r="1321">
      <c r="A1321" s="12">
        <v>1319.0</v>
      </c>
      <c r="B1321" s="13" t="s">
        <v>2663</v>
      </c>
      <c r="C1321" s="14">
        <v>19.0</v>
      </c>
      <c r="D1321" s="15" t="s">
        <v>3261</v>
      </c>
      <c r="E1321" s="16" t="s">
        <v>52</v>
      </c>
      <c r="F1321" s="13" t="s">
        <v>2520</v>
      </c>
      <c r="G1321" s="13" t="s">
        <v>2997</v>
      </c>
      <c r="H1321" s="13" t="s">
        <v>3282</v>
      </c>
      <c r="I1321" s="13" t="s">
        <v>63</v>
      </c>
      <c r="J1321" s="17" t="s">
        <v>71</v>
      </c>
      <c r="K1321" s="17" t="s">
        <v>58</v>
      </c>
      <c r="L1321" s="18" t="s">
        <v>52</v>
      </c>
      <c r="M1321" s="19">
        <v>33.0</v>
      </c>
      <c r="N1321" s="19">
        <v>31.0</v>
      </c>
    </row>
    <row r="1322">
      <c r="A1322" s="12">
        <v>1320.0</v>
      </c>
      <c r="B1322" s="13" t="s">
        <v>2663</v>
      </c>
      <c r="C1322" s="14">
        <v>20.0</v>
      </c>
      <c r="D1322" s="15" t="s">
        <v>3261</v>
      </c>
      <c r="E1322" s="16" t="s">
        <v>52</v>
      </c>
      <c r="F1322" s="13" t="s">
        <v>1997</v>
      </c>
      <c r="G1322" s="13" t="s">
        <v>61</v>
      </c>
      <c r="H1322" s="13" t="s">
        <v>3283</v>
      </c>
      <c r="I1322" s="13" t="s">
        <v>63</v>
      </c>
      <c r="J1322" s="17" t="s">
        <v>71</v>
      </c>
      <c r="K1322" s="17" t="s">
        <v>58</v>
      </c>
      <c r="L1322" s="18" t="s">
        <v>52</v>
      </c>
      <c r="M1322" s="19">
        <v>33.0</v>
      </c>
      <c r="N1322" s="19">
        <v>31.0</v>
      </c>
    </row>
    <row r="1323">
      <c r="A1323" s="12">
        <v>1321.0</v>
      </c>
      <c r="B1323" s="13" t="s">
        <v>2663</v>
      </c>
      <c r="C1323" s="14">
        <v>21.0</v>
      </c>
      <c r="D1323" s="15" t="s">
        <v>3261</v>
      </c>
      <c r="E1323" s="16" t="s">
        <v>52</v>
      </c>
      <c r="F1323" s="13" t="s">
        <v>3202</v>
      </c>
      <c r="G1323" s="13" t="s">
        <v>3285</v>
      </c>
      <c r="H1323" s="13" t="s">
        <v>3286</v>
      </c>
      <c r="I1323" s="13" t="s">
        <v>63</v>
      </c>
      <c r="J1323" s="17" t="s">
        <v>71</v>
      </c>
      <c r="K1323" s="17" t="s">
        <v>58</v>
      </c>
      <c r="L1323" s="18" t="s">
        <v>52</v>
      </c>
      <c r="M1323" s="19">
        <v>33.0</v>
      </c>
      <c r="N1323" s="19">
        <v>31.0</v>
      </c>
    </row>
    <row r="1324">
      <c r="A1324" s="12">
        <v>1322.0</v>
      </c>
      <c r="B1324" s="13" t="s">
        <v>2663</v>
      </c>
      <c r="C1324" s="14">
        <v>22.0</v>
      </c>
      <c r="D1324" s="15" t="s">
        <v>3261</v>
      </c>
      <c r="E1324" s="16" t="s">
        <v>52</v>
      </c>
      <c r="F1324" s="13" t="s">
        <v>2628</v>
      </c>
      <c r="G1324" s="13" t="s">
        <v>61</v>
      </c>
      <c r="H1324" s="13" t="s">
        <v>3287</v>
      </c>
      <c r="I1324" s="13" t="s">
        <v>63</v>
      </c>
      <c r="J1324" s="17" t="s">
        <v>71</v>
      </c>
      <c r="K1324" s="17" t="s">
        <v>58</v>
      </c>
      <c r="L1324" s="18" t="s">
        <v>52</v>
      </c>
      <c r="M1324" s="19">
        <v>33.0</v>
      </c>
      <c r="N1324" s="19">
        <v>31.0</v>
      </c>
    </row>
    <row r="1325">
      <c r="A1325" s="12">
        <v>1323.0</v>
      </c>
      <c r="B1325" s="13" t="s">
        <v>2663</v>
      </c>
      <c r="C1325" s="14">
        <v>23.0</v>
      </c>
      <c r="D1325" s="15" t="s">
        <v>3261</v>
      </c>
      <c r="E1325" s="16" t="s">
        <v>52</v>
      </c>
      <c r="F1325" s="13" t="s">
        <v>1693</v>
      </c>
      <c r="G1325" s="13" t="s">
        <v>2655</v>
      </c>
      <c r="H1325" s="13" t="s">
        <v>3288</v>
      </c>
      <c r="I1325" s="13" t="s">
        <v>63</v>
      </c>
      <c r="J1325" s="17" t="s">
        <v>71</v>
      </c>
      <c r="K1325" s="17" t="s">
        <v>58</v>
      </c>
      <c r="L1325" s="18" t="s">
        <v>52</v>
      </c>
      <c r="M1325" s="19">
        <v>33.0</v>
      </c>
      <c r="N1325" s="19">
        <v>31.0</v>
      </c>
    </row>
    <row r="1326">
      <c r="A1326" s="12">
        <v>1324.0</v>
      </c>
      <c r="B1326" s="13" t="s">
        <v>2663</v>
      </c>
      <c r="C1326" s="14">
        <v>24.0</v>
      </c>
      <c r="D1326" s="15" t="s">
        <v>3261</v>
      </c>
      <c r="E1326" s="16" t="s">
        <v>52</v>
      </c>
      <c r="F1326" s="13" t="s">
        <v>2990</v>
      </c>
      <c r="G1326" s="13" t="s">
        <v>3289</v>
      </c>
      <c r="H1326" s="13" t="s">
        <v>3290</v>
      </c>
      <c r="I1326" s="13" t="s">
        <v>63</v>
      </c>
      <c r="J1326" s="17" t="s">
        <v>71</v>
      </c>
      <c r="K1326" s="17" t="s">
        <v>58</v>
      </c>
      <c r="L1326" s="18" t="s">
        <v>52</v>
      </c>
      <c r="M1326" s="19">
        <v>33.0</v>
      </c>
      <c r="N1326" s="19">
        <v>31.0</v>
      </c>
    </row>
    <row r="1327">
      <c r="A1327" s="12">
        <v>1325.0</v>
      </c>
      <c r="B1327" s="13" t="s">
        <v>2663</v>
      </c>
      <c r="C1327" s="14">
        <v>25.0</v>
      </c>
      <c r="D1327" s="15" t="s">
        <v>3261</v>
      </c>
      <c r="E1327" s="16" t="s">
        <v>52</v>
      </c>
      <c r="F1327" s="13" t="s">
        <v>2438</v>
      </c>
      <c r="G1327" s="13" t="s">
        <v>2439</v>
      </c>
      <c r="H1327" s="13" t="s">
        <v>3291</v>
      </c>
      <c r="I1327" s="13" t="s">
        <v>63</v>
      </c>
      <c r="J1327" s="17" t="s">
        <v>71</v>
      </c>
      <c r="K1327" s="17" t="s">
        <v>58</v>
      </c>
      <c r="L1327" s="18" t="s">
        <v>52</v>
      </c>
      <c r="M1327" s="19">
        <v>33.0</v>
      </c>
      <c r="N1327" s="19">
        <v>31.0</v>
      </c>
    </row>
    <row r="1328">
      <c r="A1328" s="12">
        <v>1326.0</v>
      </c>
      <c r="B1328" s="13" t="s">
        <v>2663</v>
      </c>
      <c r="C1328" s="14">
        <v>26.0</v>
      </c>
      <c r="D1328" s="15" t="s">
        <v>3261</v>
      </c>
      <c r="E1328" s="16" t="s">
        <v>52</v>
      </c>
      <c r="F1328" s="13" t="s">
        <v>3074</v>
      </c>
      <c r="G1328" s="13" t="s">
        <v>61</v>
      </c>
      <c r="H1328" s="13" t="s">
        <v>3292</v>
      </c>
      <c r="I1328" s="13" t="s">
        <v>63</v>
      </c>
      <c r="J1328" s="17" t="s">
        <v>71</v>
      </c>
      <c r="K1328" s="17" t="s">
        <v>58</v>
      </c>
      <c r="L1328" s="18" t="s">
        <v>52</v>
      </c>
      <c r="M1328" s="19">
        <v>33.0</v>
      </c>
      <c r="N1328" s="19">
        <v>31.0</v>
      </c>
    </row>
    <row r="1329">
      <c r="A1329" s="12">
        <v>1327.0</v>
      </c>
      <c r="B1329" s="13" t="s">
        <v>2663</v>
      </c>
      <c r="C1329" s="14">
        <v>27.0</v>
      </c>
      <c r="D1329" s="15" t="s">
        <v>3261</v>
      </c>
      <c r="E1329" s="16" t="s">
        <v>52</v>
      </c>
      <c r="F1329" s="13" t="s">
        <v>2450</v>
      </c>
      <c r="G1329" s="13" t="s">
        <v>3293</v>
      </c>
      <c r="H1329" s="13" t="s">
        <v>3294</v>
      </c>
      <c r="I1329" s="13" t="s">
        <v>63</v>
      </c>
      <c r="J1329" s="17" t="s">
        <v>71</v>
      </c>
      <c r="K1329" s="17" t="s">
        <v>58</v>
      </c>
      <c r="L1329" s="18" t="s">
        <v>52</v>
      </c>
      <c r="M1329" s="19">
        <v>33.0</v>
      </c>
      <c r="N1329" s="19">
        <v>31.0</v>
      </c>
    </row>
    <row r="1330">
      <c r="A1330" s="12">
        <v>1328.0</v>
      </c>
      <c r="B1330" s="13" t="s">
        <v>2663</v>
      </c>
      <c r="C1330" s="14">
        <v>28.0</v>
      </c>
      <c r="D1330" s="15" t="s">
        <v>3261</v>
      </c>
      <c r="E1330" s="16" t="s">
        <v>52</v>
      </c>
      <c r="F1330" s="13" t="s">
        <v>3295</v>
      </c>
      <c r="G1330" s="13" t="s">
        <v>61</v>
      </c>
      <c r="H1330" s="13" t="s">
        <v>3296</v>
      </c>
      <c r="I1330" s="13" t="s">
        <v>63</v>
      </c>
      <c r="J1330" s="17" t="s">
        <v>71</v>
      </c>
      <c r="K1330" s="17" t="s">
        <v>58</v>
      </c>
      <c r="L1330" s="18" t="s">
        <v>52</v>
      </c>
      <c r="M1330" s="19">
        <v>33.0</v>
      </c>
      <c r="N1330" s="19">
        <v>31.0</v>
      </c>
    </row>
    <row r="1331">
      <c r="A1331" s="12">
        <v>1329.0</v>
      </c>
      <c r="B1331" s="13" t="s">
        <v>2663</v>
      </c>
      <c r="C1331" s="14">
        <v>29.0</v>
      </c>
      <c r="D1331" s="15" t="s">
        <v>3261</v>
      </c>
      <c r="E1331" s="16" t="s">
        <v>52</v>
      </c>
      <c r="F1331" s="13" t="s">
        <v>150</v>
      </c>
      <c r="G1331" s="13" t="s">
        <v>151</v>
      </c>
      <c r="H1331" s="13" t="s">
        <v>153</v>
      </c>
      <c r="I1331" s="13" t="s">
        <v>63</v>
      </c>
      <c r="J1331" s="17" t="s">
        <v>71</v>
      </c>
      <c r="K1331" s="17" t="s">
        <v>58</v>
      </c>
      <c r="L1331" s="18" t="s">
        <v>52</v>
      </c>
      <c r="M1331" s="19">
        <v>33.0</v>
      </c>
      <c r="N1331" s="19">
        <v>31.0</v>
      </c>
    </row>
    <row r="1332">
      <c r="A1332" s="12">
        <v>1330.0</v>
      </c>
      <c r="B1332" s="13" t="s">
        <v>2663</v>
      </c>
      <c r="C1332" s="14">
        <v>30.0</v>
      </c>
      <c r="D1332" s="15" t="s">
        <v>3261</v>
      </c>
      <c r="E1332" s="16" t="s">
        <v>52</v>
      </c>
      <c r="F1332" s="13" t="s">
        <v>2631</v>
      </c>
      <c r="G1332" s="13" t="s">
        <v>61</v>
      </c>
      <c r="H1332" s="13" t="s">
        <v>3297</v>
      </c>
      <c r="I1332" s="13" t="s">
        <v>63</v>
      </c>
      <c r="J1332" s="17" t="s">
        <v>71</v>
      </c>
      <c r="K1332" s="17" t="s">
        <v>58</v>
      </c>
      <c r="L1332" s="18" t="s">
        <v>52</v>
      </c>
      <c r="M1332" s="19">
        <v>33.0</v>
      </c>
      <c r="N1332" s="19">
        <v>31.0</v>
      </c>
    </row>
    <row r="1333">
      <c r="A1333" s="12">
        <v>1331.0</v>
      </c>
      <c r="B1333" s="13" t="s">
        <v>2663</v>
      </c>
      <c r="C1333" s="14">
        <v>31.0</v>
      </c>
      <c r="D1333" s="15" t="s">
        <v>3261</v>
      </c>
      <c r="E1333" s="16" t="s">
        <v>52</v>
      </c>
      <c r="F1333" s="13" t="s">
        <v>2878</v>
      </c>
      <c r="G1333" s="13" t="s">
        <v>61</v>
      </c>
      <c r="H1333" s="13" t="s">
        <v>3298</v>
      </c>
      <c r="I1333" s="13" t="s">
        <v>63</v>
      </c>
      <c r="J1333" s="17" t="s">
        <v>71</v>
      </c>
      <c r="K1333" s="17" t="s">
        <v>58</v>
      </c>
      <c r="L1333" s="18" t="s">
        <v>52</v>
      </c>
      <c r="M1333" s="19">
        <v>33.0</v>
      </c>
      <c r="N1333" s="19">
        <v>31.0</v>
      </c>
    </row>
    <row r="1334">
      <c r="A1334" s="12">
        <v>1332.0</v>
      </c>
      <c r="B1334" s="13" t="s">
        <v>2663</v>
      </c>
      <c r="C1334" s="14">
        <v>32.0</v>
      </c>
      <c r="D1334" s="15" t="s">
        <v>3261</v>
      </c>
      <c r="E1334" s="16" t="s">
        <v>52</v>
      </c>
      <c r="F1334" s="13" t="s">
        <v>2591</v>
      </c>
      <c r="G1334" s="13" t="s">
        <v>61</v>
      </c>
      <c r="H1334" s="13" t="s">
        <v>3299</v>
      </c>
      <c r="I1334" s="13" t="s">
        <v>63</v>
      </c>
      <c r="J1334" s="17" t="s">
        <v>71</v>
      </c>
      <c r="K1334" s="17" t="s">
        <v>58</v>
      </c>
      <c r="L1334" s="18" t="s">
        <v>52</v>
      </c>
      <c r="M1334" s="19">
        <v>33.0</v>
      </c>
      <c r="N1334" s="19">
        <v>31.0</v>
      </c>
    </row>
    <row r="1335">
      <c r="A1335" s="12">
        <v>1333.0</v>
      </c>
      <c r="B1335" s="13" t="s">
        <v>2663</v>
      </c>
      <c r="C1335" s="14">
        <v>33.0</v>
      </c>
      <c r="D1335" s="15" t="s">
        <v>3261</v>
      </c>
      <c r="E1335" s="16" t="s">
        <v>52</v>
      </c>
      <c r="F1335" s="13" t="s">
        <v>1139</v>
      </c>
      <c r="G1335" s="13" t="s">
        <v>61</v>
      </c>
      <c r="H1335" s="13" t="s">
        <v>3206</v>
      </c>
      <c r="I1335" s="13" t="s">
        <v>63</v>
      </c>
      <c r="J1335" s="17" t="s">
        <v>71</v>
      </c>
      <c r="K1335" s="17" t="s">
        <v>58</v>
      </c>
      <c r="L1335" s="18" t="s">
        <v>52</v>
      </c>
      <c r="M1335" s="19">
        <v>33.0</v>
      </c>
      <c r="N1335" s="19">
        <v>31.0</v>
      </c>
    </row>
    <row r="1336">
      <c r="A1336" s="12">
        <v>1334.0</v>
      </c>
      <c r="B1336" s="13" t="s">
        <v>2663</v>
      </c>
      <c r="C1336" s="14">
        <v>34.0</v>
      </c>
      <c r="D1336" s="15" t="s">
        <v>3261</v>
      </c>
      <c r="E1336" s="16" t="s">
        <v>52</v>
      </c>
      <c r="F1336" s="13" t="s">
        <v>2595</v>
      </c>
      <c r="G1336" s="13" t="s">
        <v>61</v>
      </c>
      <c r="H1336" s="13" t="s">
        <v>3300</v>
      </c>
      <c r="I1336" s="13" t="s">
        <v>63</v>
      </c>
      <c r="J1336" s="17" t="s">
        <v>71</v>
      </c>
      <c r="K1336" s="17" t="s">
        <v>58</v>
      </c>
      <c r="L1336" s="18" t="s">
        <v>52</v>
      </c>
      <c r="M1336" s="19">
        <v>33.0</v>
      </c>
      <c r="N1336" s="19">
        <v>31.0</v>
      </c>
    </row>
    <row r="1337">
      <c r="A1337" s="12">
        <v>1335.0</v>
      </c>
      <c r="B1337" s="13" t="s">
        <v>2663</v>
      </c>
      <c r="C1337" s="14">
        <v>35.0</v>
      </c>
      <c r="D1337" s="15" t="s">
        <v>3261</v>
      </c>
      <c r="E1337" s="16" t="s">
        <v>52</v>
      </c>
      <c r="F1337" s="13" t="s">
        <v>1860</v>
      </c>
      <c r="G1337" s="13" t="s">
        <v>61</v>
      </c>
      <c r="H1337" s="13" t="s">
        <v>3301</v>
      </c>
      <c r="I1337" s="13" t="s">
        <v>63</v>
      </c>
      <c r="J1337" s="17" t="s">
        <v>71</v>
      </c>
      <c r="K1337" s="17" t="s">
        <v>58</v>
      </c>
      <c r="L1337" s="18" t="s">
        <v>52</v>
      </c>
      <c r="M1337" s="19">
        <v>33.0</v>
      </c>
      <c r="N1337" s="19">
        <v>31.0</v>
      </c>
    </row>
    <row r="1338">
      <c r="A1338" s="12">
        <v>1336.0</v>
      </c>
      <c r="B1338" s="13" t="s">
        <v>2663</v>
      </c>
      <c r="C1338" s="14">
        <v>36.0</v>
      </c>
      <c r="D1338" s="15" t="s">
        <v>3261</v>
      </c>
      <c r="E1338" s="16" t="s">
        <v>52</v>
      </c>
      <c r="F1338" s="13" t="s">
        <v>2065</v>
      </c>
      <c r="G1338" s="13" t="s">
        <v>3302</v>
      </c>
      <c r="H1338" s="13" t="s">
        <v>3303</v>
      </c>
      <c r="I1338" s="13" t="s">
        <v>63</v>
      </c>
      <c r="J1338" s="17" t="s">
        <v>71</v>
      </c>
      <c r="K1338" s="17" t="s">
        <v>58</v>
      </c>
      <c r="L1338" s="18" t="s">
        <v>52</v>
      </c>
      <c r="M1338" s="19">
        <v>33.0</v>
      </c>
      <c r="N1338" s="19">
        <v>31.0</v>
      </c>
    </row>
    <row r="1339">
      <c r="A1339" s="12">
        <v>1337.0</v>
      </c>
      <c r="B1339" s="13" t="s">
        <v>2663</v>
      </c>
      <c r="C1339" s="14">
        <v>37.0</v>
      </c>
      <c r="D1339" s="15" t="s">
        <v>3253</v>
      </c>
      <c r="E1339" s="16" t="s">
        <v>52</v>
      </c>
      <c r="F1339" s="13" t="s">
        <v>2362</v>
      </c>
      <c r="G1339" s="13" t="s">
        <v>2363</v>
      </c>
      <c r="H1339" s="13" t="s">
        <v>3131</v>
      </c>
      <c r="I1339" s="13" t="s">
        <v>63</v>
      </c>
      <c r="J1339" s="17" t="s">
        <v>71</v>
      </c>
      <c r="K1339" s="17" t="s">
        <v>58</v>
      </c>
      <c r="L1339" s="18" t="s">
        <v>52</v>
      </c>
      <c r="M1339" s="19">
        <v>33.0</v>
      </c>
      <c r="N1339" s="19">
        <v>31.0</v>
      </c>
    </row>
    <row r="1340">
      <c r="A1340" s="12">
        <v>1338.0</v>
      </c>
      <c r="B1340" s="13" t="s">
        <v>2663</v>
      </c>
      <c r="C1340" s="14">
        <v>38.0</v>
      </c>
      <c r="D1340" s="15" t="s">
        <v>3253</v>
      </c>
      <c r="E1340" s="16" t="s">
        <v>52</v>
      </c>
      <c r="F1340" s="13" t="s">
        <v>1356</v>
      </c>
      <c r="G1340" s="13" t="s">
        <v>61</v>
      </c>
      <c r="H1340" s="13" t="s">
        <v>3172</v>
      </c>
      <c r="I1340" s="13" t="s">
        <v>63</v>
      </c>
      <c r="J1340" s="17" t="s">
        <v>71</v>
      </c>
      <c r="K1340" s="17" t="s">
        <v>58</v>
      </c>
      <c r="L1340" s="18" t="s">
        <v>52</v>
      </c>
      <c r="M1340" s="19">
        <v>33.0</v>
      </c>
      <c r="N1340" s="19">
        <v>31.0</v>
      </c>
    </row>
    <row r="1341">
      <c r="A1341" s="12">
        <v>1339.0</v>
      </c>
      <c r="B1341" s="13" t="s">
        <v>2663</v>
      </c>
      <c r="C1341" s="14">
        <v>39.0</v>
      </c>
      <c r="D1341" s="15" t="s">
        <v>3253</v>
      </c>
      <c r="E1341" s="16" t="s">
        <v>52</v>
      </c>
      <c r="F1341" s="13" t="s">
        <v>2427</v>
      </c>
      <c r="G1341" s="13" t="s">
        <v>61</v>
      </c>
      <c r="H1341" s="13" t="s">
        <v>3122</v>
      </c>
      <c r="I1341" s="13" t="s">
        <v>63</v>
      </c>
      <c r="J1341" s="17" t="s">
        <v>71</v>
      </c>
      <c r="K1341" s="17" t="s">
        <v>58</v>
      </c>
      <c r="L1341" s="18" t="s">
        <v>52</v>
      </c>
      <c r="M1341" s="19">
        <v>33.0</v>
      </c>
      <c r="N1341" s="19">
        <v>31.0</v>
      </c>
    </row>
    <row r="1342">
      <c r="A1342" s="12">
        <v>1340.0</v>
      </c>
      <c r="B1342" s="13" t="s">
        <v>2663</v>
      </c>
      <c r="C1342" s="14">
        <v>40.0</v>
      </c>
      <c r="D1342" s="15" t="s">
        <v>3253</v>
      </c>
      <c r="E1342" s="16" t="s">
        <v>52</v>
      </c>
      <c r="F1342" s="13" t="s">
        <v>2911</v>
      </c>
      <c r="G1342" s="13" t="s">
        <v>61</v>
      </c>
      <c r="H1342" s="13" t="s">
        <v>3304</v>
      </c>
      <c r="I1342" s="13" t="s">
        <v>63</v>
      </c>
      <c r="J1342" s="17" t="s">
        <v>71</v>
      </c>
      <c r="K1342" s="17" t="s">
        <v>58</v>
      </c>
      <c r="L1342" s="18" t="s">
        <v>52</v>
      </c>
      <c r="M1342" s="19">
        <v>33.0</v>
      </c>
      <c r="N1342" s="19">
        <v>31.0</v>
      </c>
    </row>
    <row r="1343">
      <c r="A1343" s="12">
        <v>1341.0</v>
      </c>
      <c r="B1343" s="13" t="s">
        <v>2663</v>
      </c>
      <c r="C1343" s="14">
        <v>41.0</v>
      </c>
      <c r="D1343" s="15" t="s">
        <v>3253</v>
      </c>
      <c r="E1343" s="16" t="s">
        <v>52</v>
      </c>
      <c r="F1343" s="13" t="s">
        <v>2605</v>
      </c>
      <c r="G1343" s="13" t="s">
        <v>3143</v>
      </c>
      <c r="H1343" s="13" t="s">
        <v>3144</v>
      </c>
      <c r="I1343" s="13" t="s">
        <v>63</v>
      </c>
      <c r="J1343" s="17" t="s">
        <v>71</v>
      </c>
      <c r="K1343" s="17" t="s">
        <v>58</v>
      </c>
      <c r="L1343" s="18" t="s">
        <v>52</v>
      </c>
      <c r="M1343" s="19">
        <v>33.0</v>
      </c>
      <c r="N1343" s="19">
        <v>31.0</v>
      </c>
    </row>
    <row r="1344">
      <c r="A1344" s="12">
        <v>1342.0</v>
      </c>
      <c r="B1344" s="13" t="s">
        <v>2663</v>
      </c>
      <c r="C1344" s="14">
        <v>42.0</v>
      </c>
      <c r="D1344" s="15" t="s">
        <v>3253</v>
      </c>
      <c r="E1344" s="16" t="s">
        <v>52</v>
      </c>
      <c r="F1344" s="13" t="s">
        <v>2914</v>
      </c>
      <c r="G1344" s="13" t="s">
        <v>61</v>
      </c>
      <c r="H1344" s="13" t="s">
        <v>3305</v>
      </c>
      <c r="I1344" s="13" t="s">
        <v>63</v>
      </c>
      <c r="J1344" s="17" t="s">
        <v>71</v>
      </c>
      <c r="K1344" s="17" t="s">
        <v>58</v>
      </c>
      <c r="L1344" s="18" t="s">
        <v>52</v>
      </c>
      <c r="M1344" s="19">
        <v>33.0</v>
      </c>
      <c r="N1344" s="19">
        <v>31.0</v>
      </c>
    </row>
    <row r="1345">
      <c r="A1345" s="12">
        <v>1343.0</v>
      </c>
      <c r="B1345" s="13" t="s">
        <v>2663</v>
      </c>
      <c r="C1345" s="14">
        <v>43.0</v>
      </c>
      <c r="D1345" s="15" t="s">
        <v>3253</v>
      </c>
      <c r="E1345" s="16" t="s">
        <v>52</v>
      </c>
      <c r="F1345" s="13" t="s">
        <v>2417</v>
      </c>
      <c r="G1345" s="13" t="s">
        <v>61</v>
      </c>
      <c r="H1345" s="13" t="s">
        <v>2985</v>
      </c>
      <c r="I1345" s="13" t="s">
        <v>63</v>
      </c>
      <c r="J1345" s="17" t="s">
        <v>71</v>
      </c>
      <c r="K1345" s="17" t="s">
        <v>58</v>
      </c>
      <c r="L1345" s="18" t="s">
        <v>52</v>
      </c>
      <c r="M1345" s="19">
        <v>33.0</v>
      </c>
      <c r="N1345" s="19">
        <v>31.0</v>
      </c>
    </row>
    <row r="1346">
      <c r="A1346" s="12">
        <v>1344.0</v>
      </c>
      <c r="B1346" s="13" t="s">
        <v>2663</v>
      </c>
      <c r="C1346" s="14">
        <v>44.0</v>
      </c>
      <c r="D1346" s="15" t="s">
        <v>3253</v>
      </c>
      <c r="E1346" s="16" t="s">
        <v>52</v>
      </c>
      <c r="F1346" s="13" t="s">
        <v>2058</v>
      </c>
      <c r="G1346" s="13" t="s">
        <v>61</v>
      </c>
      <c r="H1346" s="13" t="s">
        <v>3306</v>
      </c>
      <c r="I1346" s="13" t="s">
        <v>63</v>
      </c>
      <c r="J1346" s="17" t="s">
        <v>71</v>
      </c>
      <c r="K1346" s="17" t="s">
        <v>58</v>
      </c>
      <c r="L1346" s="18" t="s">
        <v>52</v>
      </c>
      <c r="M1346" s="19">
        <v>33.0</v>
      </c>
      <c r="N1346" s="19">
        <v>31.0</v>
      </c>
    </row>
    <row r="1347">
      <c r="A1347" s="12">
        <v>1345.0</v>
      </c>
      <c r="B1347" s="13" t="s">
        <v>2663</v>
      </c>
      <c r="C1347" s="14">
        <v>45.0</v>
      </c>
      <c r="D1347" s="15" t="s">
        <v>3253</v>
      </c>
      <c r="E1347" s="16" t="s">
        <v>52</v>
      </c>
      <c r="F1347" s="13" t="s">
        <v>3307</v>
      </c>
      <c r="G1347" s="13" t="s">
        <v>3308</v>
      </c>
      <c r="H1347" s="13" t="s">
        <v>3196</v>
      </c>
      <c r="I1347" s="13" t="s">
        <v>63</v>
      </c>
      <c r="J1347" s="17" t="s">
        <v>71</v>
      </c>
      <c r="K1347" s="17" t="s">
        <v>58</v>
      </c>
      <c r="L1347" s="18" t="s">
        <v>52</v>
      </c>
      <c r="M1347" s="19">
        <v>33.0</v>
      </c>
      <c r="N1347" s="19">
        <v>31.0</v>
      </c>
    </row>
    <row r="1348">
      <c r="A1348" s="12">
        <v>1346.0</v>
      </c>
      <c r="B1348" s="13" t="s">
        <v>2663</v>
      </c>
      <c r="C1348" s="14">
        <v>46.0</v>
      </c>
      <c r="D1348" s="15" t="s">
        <v>3253</v>
      </c>
      <c r="E1348" s="16" t="s">
        <v>52</v>
      </c>
      <c r="F1348" s="13" t="s">
        <v>2585</v>
      </c>
      <c r="G1348" s="13" t="s">
        <v>3083</v>
      </c>
      <c r="H1348" s="13" t="s">
        <v>3084</v>
      </c>
      <c r="I1348" s="13" t="s">
        <v>63</v>
      </c>
      <c r="J1348" s="17" t="s">
        <v>71</v>
      </c>
      <c r="K1348" s="17" t="s">
        <v>58</v>
      </c>
      <c r="L1348" s="18" t="s">
        <v>52</v>
      </c>
      <c r="M1348" s="19">
        <v>33.0</v>
      </c>
      <c r="N1348" s="19">
        <v>31.0</v>
      </c>
    </row>
    <row r="1349">
      <c r="A1349" s="12">
        <v>1347.0</v>
      </c>
      <c r="B1349" s="13" t="s">
        <v>2663</v>
      </c>
      <c r="C1349" s="14">
        <v>47.0</v>
      </c>
      <c r="D1349" s="15" t="s">
        <v>3253</v>
      </c>
      <c r="E1349" s="16" t="s">
        <v>52</v>
      </c>
      <c r="F1349" s="13" t="s">
        <v>2634</v>
      </c>
      <c r="G1349" s="13" t="s">
        <v>61</v>
      </c>
      <c r="H1349" s="13" t="s">
        <v>3309</v>
      </c>
      <c r="I1349" s="13" t="s">
        <v>63</v>
      </c>
      <c r="J1349" s="17" t="s">
        <v>71</v>
      </c>
      <c r="K1349" s="17" t="s">
        <v>58</v>
      </c>
      <c r="L1349" s="18" t="s">
        <v>52</v>
      </c>
      <c r="M1349" s="19">
        <v>33.0</v>
      </c>
      <c r="N1349" s="19">
        <v>31.0</v>
      </c>
    </row>
    <row r="1350">
      <c r="A1350" s="12">
        <v>1348.0</v>
      </c>
      <c r="B1350" s="13" t="s">
        <v>2663</v>
      </c>
      <c r="C1350" s="14">
        <v>48.0</v>
      </c>
      <c r="D1350" s="15" t="s">
        <v>3253</v>
      </c>
      <c r="E1350" s="16" t="s">
        <v>52</v>
      </c>
      <c r="F1350" s="13" t="s">
        <v>2091</v>
      </c>
      <c r="G1350" s="13" t="s">
        <v>3310</v>
      </c>
      <c r="H1350" s="13" t="s">
        <v>3311</v>
      </c>
      <c r="I1350" s="13" t="s">
        <v>63</v>
      </c>
      <c r="J1350" s="17" t="s">
        <v>71</v>
      </c>
      <c r="K1350" s="17" t="s">
        <v>58</v>
      </c>
      <c r="L1350" s="18" t="s">
        <v>52</v>
      </c>
      <c r="M1350" s="19">
        <v>33.0</v>
      </c>
      <c r="N1350" s="19">
        <v>31.0</v>
      </c>
    </row>
    <row r="1351">
      <c r="A1351" s="12">
        <v>1349.0</v>
      </c>
      <c r="B1351" s="13" t="s">
        <v>2663</v>
      </c>
      <c r="C1351" s="14">
        <v>49.0</v>
      </c>
      <c r="D1351" s="15" t="s">
        <v>3253</v>
      </c>
      <c r="E1351" s="16" t="s">
        <v>52</v>
      </c>
      <c r="F1351" s="13" t="s">
        <v>3077</v>
      </c>
      <c r="G1351" s="13" t="s">
        <v>61</v>
      </c>
      <c r="H1351" s="13" t="s">
        <v>3312</v>
      </c>
      <c r="I1351" s="13" t="s">
        <v>63</v>
      </c>
      <c r="J1351" s="17" t="s">
        <v>71</v>
      </c>
      <c r="K1351" s="17" t="s">
        <v>58</v>
      </c>
      <c r="L1351" s="18" t="s">
        <v>52</v>
      </c>
      <c r="M1351" s="19">
        <v>33.0</v>
      </c>
      <c r="N1351" s="19">
        <v>31.0</v>
      </c>
    </row>
    <row r="1352">
      <c r="A1352" s="12">
        <v>1350.0</v>
      </c>
      <c r="B1352" s="13" t="s">
        <v>2663</v>
      </c>
      <c r="C1352" s="14">
        <v>50.0</v>
      </c>
      <c r="D1352" s="15" t="s">
        <v>3253</v>
      </c>
      <c r="E1352" s="16" t="s">
        <v>52</v>
      </c>
      <c r="F1352" s="13" t="s">
        <v>124</v>
      </c>
      <c r="G1352" s="13" t="s">
        <v>3313</v>
      </c>
      <c r="H1352" s="13" t="s">
        <v>3314</v>
      </c>
      <c r="I1352" s="13" t="s">
        <v>63</v>
      </c>
      <c r="J1352" s="17" t="s">
        <v>71</v>
      </c>
      <c r="K1352" s="17" t="s">
        <v>58</v>
      </c>
      <c r="L1352" s="18" t="s">
        <v>52</v>
      </c>
      <c r="M1352" s="19">
        <v>33.0</v>
      </c>
      <c r="N1352" s="19">
        <v>31.0</v>
      </c>
    </row>
    <row r="1353">
      <c r="A1353" s="12">
        <v>1351.0</v>
      </c>
      <c r="B1353" s="13" t="s">
        <v>2515</v>
      </c>
      <c r="C1353" s="14">
        <v>1.0</v>
      </c>
      <c r="D1353" s="15" t="s">
        <v>3315</v>
      </c>
      <c r="E1353" s="16" t="s">
        <v>52</v>
      </c>
      <c r="F1353" s="13" t="s">
        <v>2492</v>
      </c>
      <c r="G1353" s="13" t="s">
        <v>61</v>
      </c>
      <c r="H1353" s="13" t="s">
        <v>3316</v>
      </c>
      <c r="I1353" s="13" t="s">
        <v>63</v>
      </c>
      <c r="J1353" s="17" t="s">
        <v>57</v>
      </c>
      <c r="K1353" s="17" t="s">
        <v>58</v>
      </c>
      <c r="L1353" s="18" t="s">
        <v>52</v>
      </c>
      <c r="M1353" s="19">
        <v>34.0</v>
      </c>
      <c r="N1353" s="19">
        <v>11.0</v>
      </c>
    </row>
    <row r="1354">
      <c r="A1354" s="12">
        <v>1352.0</v>
      </c>
      <c r="B1354" s="13" t="s">
        <v>2515</v>
      </c>
      <c r="C1354" s="14">
        <v>2.0</v>
      </c>
      <c r="D1354" s="15" t="s">
        <v>3317</v>
      </c>
      <c r="E1354" s="16" t="s">
        <v>52</v>
      </c>
      <c r="F1354" s="13" t="s">
        <v>212</v>
      </c>
      <c r="G1354" s="13" t="s">
        <v>213</v>
      </c>
      <c r="H1354" s="13" t="s">
        <v>3318</v>
      </c>
      <c r="I1354" s="13" t="s">
        <v>56</v>
      </c>
      <c r="J1354" s="17" t="s">
        <v>67</v>
      </c>
      <c r="K1354" s="17" t="s">
        <v>58</v>
      </c>
      <c r="L1354" s="18" t="s">
        <v>52</v>
      </c>
      <c r="M1354" s="19">
        <v>34.0</v>
      </c>
      <c r="N1354" s="19">
        <v>20.0</v>
      </c>
    </row>
    <row r="1355">
      <c r="A1355" s="12">
        <v>1353.0</v>
      </c>
      <c r="B1355" s="13" t="s">
        <v>2515</v>
      </c>
      <c r="C1355" s="14">
        <v>3.0</v>
      </c>
      <c r="D1355" s="15" t="s">
        <v>3317</v>
      </c>
      <c r="E1355" s="16" t="s">
        <v>52</v>
      </c>
      <c r="F1355" s="13" t="s">
        <v>2542</v>
      </c>
      <c r="G1355" s="13" t="s">
        <v>2543</v>
      </c>
      <c r="H1355" s="13" t="s">
        <v>3319</v>
      </c>
      <c r="I1355" s="13" t="s">
        <v>56</v>
      </c>
      <c r="J1355" s="17" t="s">
        <v>67</v>
      </c>
      <c r="K1355" s="17" t="s">
        <v>58</v>
      </c>
      <c r="L1355" s="18" t="s">
        <v>52</v>
      </c>
      <c r="M1355" s="19">
        <v>34.0</v>
      </c>
      <c r="N1355" s="19">
        <v>20.0</v>
      </c>
    </row>
    <row r="1356">
      <c r="A1356" s="12">
        <v>1354.0</v>
      </c>
      <c r="B1356" s="13" t="s">
        <v>2515</v>
      </c>
      <c r="C1356" s="14">
        <v>4.0</v>
      </c>
      <c r="D1356" s="15" t="s">
        <v>3317</v>
      </c>
      <c r="E1356" s="16" t="s">
        <v>52</v>
      </c>
      <c r="F1356" s="13" t="s">
        <v>2793</v>
      </c>
      <c r="G1356" s="13" t="s">
        <v>2794</v>
      </c>
      <c r="H1356" s="13" t="s">
        <v>3320</v>
      </c>
      <c r="I1356" s="13" t="s">
        <v>56</v>
      </c>
      <c r="J1356" s="17" t="s">
        <v>67</v>
      </c>
      <c r="K1356" s="17" t="s">
        <v>58</v>
      </c>
      <c r="L1356" s="18" t="s">
        <v>52</v>
      </c>
      <c r="M1356" s="19">
        <v>34.0</v>
      </c>
      <c r="N1356" s="19">
        <v>20.0</v>
      </c>
    </row>
    <row r="1357">
      <c r="A1357" s="12">
        <v>1355.0</v>
      </c>
      <c r="B1357" s="13" t="s">
        <v>2515</v>
      </c>
      <c r="C1357" s="14">
        <v>5.0</v>
      </c>
      <c r="D1357" s="15" t="s">
        <v>3317</v>
      </c>
      <c r="E1357" s="16" t="s">
        <v>52</v>
      </c>
      <c r="F1357" s="13" t="s">
        <v>3321</v>
      </c>
      <c r="G1357" s="13" t="s">
        <v>3322</v>
      </c>
      <c r="H1357" s="13" t="s">
        <v>3323</v>
      </c>
      <c r="I1357" s="13" t="s">
        <v>56</v>
      </c>
      <c r="J1357" s="17" t="s">
        <v>67</v>
      </c>
      <c r="K1357" s="17" t="s">
        <v>58</v>
      </c>
      <c r="L1357" s="18" t="s">
        <v>52</v>
      </c>
      <c r="M1357" s="19">
        <v>34.0</v>
      </c>
      <c r="N1357" s="19">
        <v>20.0</v>
      </c>
    </row>
    <row r="1358">
      <c r="A1358" s="12">
        <v>1356.0</v>
      </c>
      <c r="B1358" s="13" t="s">
        <v>2515</v>
      </c>
      <c r="C1358" s="14">
        <v>6.0</v>
      </c>
      <c r="D1358" s="15" t="s">
        <v>3317</v>
      </c>
      <c r="E1358" s="16" t="s">
        <v>52</v>
      </c>
      <c r="F1358" s="13" t="s">
        <v>2535</v>
      </c>
      <c r="G1358" s="13" t="s">
        <v>2536</v>
      </c>
      <c r="H1358" s="13" t="s">
        <v>3324</v>
      </c>
      <c r="I1358" s="13" t="s">
        <v>63</v>
      </c>
      <c r="J1358" s="17" t="s">
        <v>67</v>
      </c>
      <c r="K1358" s="17" t="s">
        <v>58</v>
      </c>
      <c r="L1358" s="18" t="s">
        <v>52</v>
      </c>
      <c r="M1358" s="19">
        <v>34.0</v>
      </c>
      <c r="N1358" s="19">
        <v>21.0</v>
      </c>
    </row>
    <row r="1359">
      <c r="A1359" s="12">
        <v>1357.0</v>
      </c>
      <c r="B1359" s="13" t="s">
        <v>2515</v>
      </c>
      <c r="C1359" s="14">
        <v>7.0</v>
      </c>
      <c r="D1359" s="15" t="s">
        <v>3315</v>
      </c>
      <c r="E1359" s="16" t="s">
        <v>52</v>
      </c>
      <c r="F1359" s="13" t="s">
        <v>3022</v>
      </c>
      <c r="G1359" s="13" t="s">
        <v>61</v>
      </c>
      <c r="H1359" s="13" t="s">
        <v>3325</v>
      </c>
      <c r="I1359" s="13" t="s">
        <v>63</v>
      </c>
      <c r="J1359" s="17" t="s">
        <v>67</v>
      </c>
      <c r="K1359" s="17" t="s">
        <v>58</v>
      </c>
      <c r="L1359" s="18" t="s">
        <v>52</v>
      </c>
      <c r="M1359" s="19">
        <v>34.0</v>
      </c>
      <c r="N1359" s="19">
        <v>21.0</v>
      </c>
    </row>
    <row r="1360">
      <c r="A1360" s="12">
        <v>1358.0</v>
      </c>
      <c r="B1360" s="13" t="s">
        <v>2515</v>
      </c>
      <c r="C1360" s="14">
        <v>8.0</v>
      </c>
      <c r="D1360" s="15" t="s">
        <v>3317</v>
      </c>
      <c r="E1360" s="16" t="s">
        <v>52</v>
      </c>
      <c r="F1360" s="13" t="s">
        <v>2511</v>
      </c>
      <c r="G1360" s="13" t="s">
        <v>3326</v>
      </c>
      <c r="H1360" s="13" t="s">
        <v>3327</v>
      </c>
      <c r="I1360" s="13" t="s">
        <v>63</v>
      </c>
      <c r="J1360" s="17" t="s">
        <v>71</v>
      </c>
      <c r="K1360" s="17" t="s">
        <v>58</v>
      </c>
      <c r="L1360" s="18" t="s">
        <v>52</v>
      </c>
      <c r="M1360" s="19">
        <v>34.0</v>
      </c>
      <c r="N1360" s="19">
        <v>31.0</v>
      </c>
    </row>
    <row r="1361">
      <c r="A1361" s="12">
        <v>1359.0</v>
      </c>
      <c r="B1361" s="13" t="s">
        <v>2515</v>
      </c>
      <c r="C1361" s="14">
        <v>9.0</v>
      </c>
      <c r="D1361" s="15" t="s">
        <v>3317</v>
      </c>
      <c r="E1361" s="16" t="s">
        <v>52</v>
      </c>
      <c r="F1361" s="13" t="s">
        <v>2513</v>
      </c>
      <c r="G1361" s="13" t="s">
        <v>3326</v>
      </c>
      <c r="H1361" s="13" t="s">
        <v>3327</v>
      </c>
      <c r="I1361" s="13" t="s">
        <v>63</v>
      </c>
      <c r="J1361" s="17" t="s">
        <v>71</v>
      </c>
      <c r="K1361" s="17" t="s">
        <v>58</v>
      </c>
      <c r="L1361" s="18" t="s">
        <v>52</v>
      </c>
      <c r="M1361" s="19">
        <v>34.0</v>
      </c>
      <c r="N1361" s="19">
        <v>31.0</v>
      </c>
    </row>
    <row r="1362">
      <c r="A1362" s="12">
        <v>1360.0</v>
      </c>
      <c r="B1362" s="13" t="s">
        <v>2515</v>
      </c>
      <c r="C1362" s="14">
        <v>10.0</v>
      </c>
      <c r="D1362" s="15" t="s">
        <v>3317</v>
      </c>
      <c r="E1362" s="16" t="s">
        <v>52</v>
      </c>
      <c r="F1362" s="13" t="s">
        <v>3328</v>
      </c>
      <c r="G1362" s="13" t="s">
        <v>3329</v>
      </c>
      <c r="H1362" s="13" t="s">
        <v>3330</v>
      </c>
      <c r="I1362" s="13" t="s">
        <v>63</v>
      </c>
      <c r="J1362" s="17" t="s">
        <v>71</v>
      </c>
      <c r="K1362" s="17" t="s">
        <v>58</v>
      </c>
      <c r="L1362" s="18" t="s">
        <v>52</v>
      </c>
      <c r="M1362" s="19">
        <v>34.0</v>
      </c>
      <c r="N1362" s="19">
        <v>31.0</v>
      </c>
    </row>
    <row r="1363">
      <c r="A1363" s="12">
        <v>1361.0</v>
      </c>
      <c r="B1363" s="13" t="s">
        <v>2515</v>
      </c>
      <c r="C1363" s="14">
        <v>11.0</v>
      </c>
      <c r="D1363" s="15" t="s">
        <v>3317</v>
      </c>
      <c r="E1363" s="16" t="s">
        <v>52</v>
      </c>
      <c r="F1363" s="13" t="s">
        <v>2520</v>
      </c>
      <c r="G1363" s="13" t="s">
        <v>3331</v>
      </c>
      <c r="H1363" s="13" t="s">
        <v>3332</v>
      </c>
      <c r="I1363" s="13" t="s">
        <v>63</v>
      </c>
      <c r="J1363" s="17" t="s">
        <v>71</v>
      </c>
      <c r="K1363" s="17" t="s">
        <v>58</v>
      </c>
      <c r="L1363" s="18" t="s">
        <v>52</v>
      </c>
      <c r="M1363" s="19">
        <v>34.0</v>
      </c>
      <c r="N1363" s="19">
        <v>31.0</v>
      </c>
    </row>
    <row r="1364">
      <c r="A1364" s="12">
        <v>1362.0</v>
      </c>
      <c r="B1364" s="13" t="s">
        <v>2515</v>
      </c>
      <c r="C1364" s="14">
        <v>12.0</v>
      </c>
      <c r="D1364" s="15" t="s">
        <v>3317</v>
      </c>
      <c r="E1364" s="16" t="s">
        <v>52</v>
      </c>
      <c r="F1364" s="13" t="s">
        <v>2505</v>
      </c>
      <c r="G1364" s="13" t="s">
        <v>2506</v>
      </c>
      <c r="H1364" s="13" t="s">
        <v>3333</v>
      </c>
      <c r="I1364" s="13" t="s">
        <v>63</v>
      </c>
      <c r="J1364" s="17" t="s">
        <v>71</v>
      </c>
      <c r="K1364" s="17" t="s">
        <v>58</v>
      </c>
      <c r="L1364" s="18" t="s">
        <v>52</v>
      </c>
      <c r="M1364" s="19">
        <v>34.0</v>
      </c>
      <c r="N1364" s="19">
        <v>31.0</v>
      </c>
    </row>
    <row r="1365">
      <c r="A1365" s="12">
        <v>1363.0</v>
      </c>
      <c r="B1365" s="13" t="s">
        <v>2515</v>
      </c>
      <c r="C1365" s="14">
        <v>13.0</v>
      </c>
      <c r="D1365" s="15" t="s">
        <v>3317</v>
      </c>
      <c r="E1365" s="16" t="s">
        <v>52</v>
      </c>
      <c r="F1365" s="13" t="s">
        <v>3132</v>
      </c>
      <c r="G1365" s="13" t="s">
        <v>3334</v>
      </c>
      <c r="H1365" s="13" t="s">
        <v>3335</v>
      </c>
      <c r="I1365" s="13" t="s">
        <v>63</v>
      </c>
      <c r="J1365" s="17" t="s">
        <v>71</v>
      </c>
      <c r="K1365" s="17" t="s">
        <v>58</v>
      </c>
      <c r="L1365" s="18" t="s">
        <v>52</v>
      </c>
      <c r="M1365" s="19">
        <v>34.0</v>
      </c>
      <c r="N1365" s="19">
        <v>31.0</v>
      </c>
    </row>
    <row r="1366">
      <c r="A1366" s="12">
        <v>1364.0</v>
      </c>
      <c r="B1366" s="13" t="s">
        <v>2515</v>
      </c>
      <c r="C1366" s="14">
        <v>14.0</v>
      </c>
      <c r="D1366" s="15" t="s">
        <v>3317</v>
      </c>
      <c r="E1366" s="16" t="s">
        <v>52</v>
      </c>
      <c r="F1366" s="13" t="s">
        <v>2488</v>
      </c>
      <c r="G1366" s="13" t="s">
        <v>3336</v>
      </c>
      <c r="H1366" s="13" t="s">
        <v>3337</v>
      </c>
      <c r="I1366" s="13" t="s">
        <v>63</v>
      </c>
      <c r="J1366" s="17" t="s">
        <v>71</v>
      </c>
      <c r="K1366" s="17" t="s">
        <v>58</v>
      </c>
      <c r="L1366" s="18" t="s">
        <v>52</v>
      </c>
      <c r="M1366" s="19">
        <v>34.0</v>
      </c>
      <c r="N1366" s="19">
        <v>31.0</v>
      </c>
    </row>
    <row r="1367">
      <c r="A1367" s="12">
        <v>1365.0</v>
      </c>
      <c r="B1367" s="13" t="s">
        <v>2515</v>
      </c>
      <c r="C1367" s="14">
        <v>15.0</v>
      </c>
      <c r="D1367" s="15" t="s">
        <v>3317</v>
      </c>
      <c r="E1367" s="16" t="s">
        <v>52</v>
      </c>
      <c r="F1367" s="13" t="s">
        <v>2502</v>
      </c>
      <c r="G1367" s="13" t="s">
        <v>61</v>
      </c>
      <c r="H1367" s="13" t="s">
        <v>3064</v>
      </c>
      <c r="I1367" s="13" t="s">
        <v>63</v>
      </c>
      <c r="J1367" s="17" t="s">
        <v>71</v>
      </c>
      <c r="K1367" s="17" t="s">
        <v>58</v>
      </c>
      <c r="L1367" s="18" t="s">
        <v>52</v>
      </c>
      <c r="M1367" s="19">
        <v>34.0</v>
      </c>
      <c r="N1367" s="19">
        <v>31.0</v>
      </c>
    </row>
    <row r="1368">
      <c r="A1368" s="12">
        <v>1366.0</v>
      </c>
      <c r="B1368" s="13" t="s">
        <v>2515</v>
      </c>
      <c r="C1368" s="14">
        <v>16.0</v>
      </c>
      <c r="D1368" s="15" t="s">
        <v>3317</v>
      </c>
      <c r="E1368" s="16" t="s">
        <v>52</v>
      </c>
      <c r="F1368" s="13" t="s">
        <v>3339</v>
      </c>
      <c r="G1368" s="13" t="s">
        <v>3340</v>
      </c>
      <c r="H1368" s="13" t="s">
        <v>3341</v>
      </c>
      <c r="I1368" s="13" t="s">
        <v>63</v>
      </c>
      <c r="J1368" s="17" t="s">
        <v>71</v>
      </c>
      <c r="K1368" s="17" t="s">
        <v>58</v>
      </c>
      <c r="L1368" s="18" t="s">
        <v>52</v>
      </c>
      <c r="M1368" s="19">
        <v>34.0</v>
      </c>
      <c r="N1368" s="19">
        <v>31.0</v>
      </c>
    </row>
    <row r="1369">
      <c r="A1369" s="12">
        <v>1367.0</v>
      </c>
      <c r="B1369" s="13" t="s">
        <v>2515</v>
      </c>
      <c r="C1369" s="14">
        <v>17.0</v>
      </c>
      <c r="D1369" s="15" t="s">
        <v>3317</v>
      </c>
      <c r="E1369" s="16" t="s">
        <v>52</v>
      </c>
      <c r="F1369" s="13" t="s">
        <v>2529</v>
      </c>
      <c r="G1369" s="13" t="s">
        <v>3343</v>
      </c>
      <c r="H1369" s="13" t="s">
        <v>3344</v>
      </c>
      <c r="I1369" s="13" t="s">
        <v>63</v>
      </c>
      <c r="J1369" s="17" t="s">
        <v>71</v>
      </c>
      <c r="K1369" s="17" t="s">
        <v>58</v>
      </c>
      <c r="L1369" s="18" t="s">
        <v>52</v>
      </c>
      <c r="M1369" s="19">
        <v>34.0</v>
      </c>
      <c r="N1369" s="19">
        <v>31.0</v>
      </c>
    </row>
    <row r="1370">
      <c r="A1370" s="12">
        <v>1368.0</v>
      </c>
      <c r="B1370" s="13" t="s">
        <v>2515</v>
      </c>
      <c r="C1370" s="14">
        <v>18.0</v>
      </c>
      <c r="D1370" s="15" t="s">
        <v>3317</v>
      </c>
      <c r="E1370" s="16" t="s">
        <v>52</v>
      </c>
      <c r="F1370" s="13" t="s">
        <v>1356</v>
      </c>
      <c r="G1370" s="13" t="s">
        <v>3345</v>
      </c>
      <c r="H1370" s="13" t="s">
        <v>3346</v>
      </c>
      <c r="I1370" s="13" t="s">
        <v>63</v>
      </c>
      <c r="J1370" s="17" t="s">
        <v>71</v>
      </c>
      <c r="K1370" s="17" t="s">
        <v>58</v>
      </c>
      <c r="L1370" s="18" t="s">
        <v>52</v>
      </c>
      <c r="M1370" s="19">
        <v>34.0</v>
      </c>
      <c r="N1370" s="19">
        <v>31.0</v>
      </c>
    </row>
    <row r="1371">
      <c r="A1371" s="12">
        <v>1369.0</v>
      </c>
      <c r="B1371" s="13" t="s">
        <v>2515</v>
      </c>
      <c r="C1371" s="14">
        <v>19.0</v>
      </c>
      <c r="D1371" s="15" t="s">
        <v>3317</v>
      </c>
      <c r="E1371" s="16" t="s">
        <v>52</v>
      </c>
      <c r="F1371" s="13" t="s">
        <v>3348</v>
      </c>
      <c r="G1371" s="13" t="s">
        <v>3349</v>
      </c>
      <c r="H1371" s="13" t="s">
        <v>3350</v>
      </c>
      <c r="I1371" s="13" t="s">
        <v>63</v>
      </c>
      <c r="J1371" s="17" t="s">
        <v>71</v>
      </c>
      <c r="K1371" s="17" t="s">
        <v>58</v>
      </c>
      <c r="L1371" s="18" t="s">
        <v>52</v>
      </c>
      <c r="M1371" s="19">
        <v>34.0</v>
      </c>
      <c r="N1371" s="19">
        <v>31.0</v>
      </c>
    </row>
    <row r="1372">
      <c r="A1372" s="12">
        <v>1370.0</v>
      </c>
      <c r="B1372" s="13" t="s">
        <v>2515</v>
      </c>
      <c r="C1372" s="14">
        <v>20.0</v>
      </c>
      <c r="D1372" s="15" t="s">
        <v>3315</v>
      </c>
      <c r="E1372" s="16" t="s">
        <v>52</v>
      </c>
      <c r="F1372" s="13" t="s">
        <v>3351</v>
      </c>
      <c r="G1372" s="13" t="s">
        <v>3352</v>
      </c>
      <c r="H1372" s="13" t="s">
        <v>3353</v>
      </c>
      <c r="I1372" s="13" t="s">
        <v>63</v>
      </c>
      <c r="J1372" s="17" t="s">
        <v>71</v>
      </c>
      <c r="K1372" s="17" t="s">
        <v>58</v>
      </c>
      <c r="L1372" s="18" t="s">
        <v>52</v>
      </c>
      <c r="M1372" s="19">
        <v>34.0</v>
      </c>
      <c r="N1372" s="19">
        <v>31.0</v>
      </c>
    </row>
    <row r="1373">
      <c r="A1373" s="12">
        <v>1371.0</v>
      </c>
      <c r="B1373" s="13" t="s">
        <v>2515</v>
      </c>
      <c r="C1373" s="14">
        <v>21.0</v>
      </c>
      <c r="D1373" s="15" t="s">
        <v>3315</v>
      </c>
      <c r="E1373" s="16" t="s">
        <v>52</v>
      </c>
      <c r="F1373" s="13" t="s">
        <v>2484</v>
      </c>
      <c r="G1373" s="13" t="s">
        <v>61</v>
      </c>
      <c r="H1373" s="13" t="s">
        <v>3354</v>
      </c>
      <c r="I1373" s="13" t="s">
        <v>63</v>
      </c>
      <c r="J1373" s="17" t="s">
        <v>71</v>
      </c>
      <c r="K1373" s="17" t="s">
        <v>58</v>
      </c>
      <c r="L1373" s="18" t="s">
        <v>52</v>
      </c>
      <c r="M1373" s="19">
        <v>34.0</v>
      </c>
      <c r="N1373" s="19">
        <v>31.0</v>
      </c>
    </row>
    <row r="1374">
      <c r="A1374" s="12">
        <v>1372.0</v>
      </c>
      <c r="B1374" s="13" t="s">
        <v>2515</v>
      </c>
      <c r="C1374" s="14">
        <v>22.0</v>
      </c>
      <c r="D1374" s="15" t="s">
        <v>3315</v>
      </c>
      <c r="E1374" s="16" t="s">
        <v>52</v>
      </c>
      <c r="F1374" s="13" t="s">
        <v>2508</v>
      </c>
      <c r="G1374" s="13" t="s">
        <v>2509</v>
      </c>
      <c r="H1374" s="13" t="s">
        <v>3355</v>
      </c>
      <c r="I1374" s="13" t="s">
        <v>63</v>
      </c>
      <c r="J1374" s="17" t="s">
        <v>71</v>
      </c>
      <c r="K1374" s="17" t="s">
        <v>58</v>
      </c>
      <c r="L1374" s="18" t="s">
        <v>52</v>
      </c>
      <c r="M1374" s="19">
        <v>34.0</v>
      </c>
      <c r="N1374" s="19">
        <v>31.0</v>
      </c>
    </row>
    <row r="1375">
      <c r="A1375" s="12">
        <v>1373.0</v>
      </c>
      <c r="B1375" s="13" t="s">
        <v>2515</v>
      </c>
      <c r="C1375" s="14">
        <v>23.0</v>
      </c>
      <c r="D1375" s="15" t="s">
        <v>3315</v>
      </c>
      <c r="E1375" s="16" t="s">
        <v>52</v>
      </c>
      <c r="F1375" s="13" t="s">
        <v>2523</v>
      </c>
      <c r="G1375" s="13" t="s">
        <v>3357</v>
      </c>
      <c r="H1375" s="13" t="s">
        <v>3358</v>
      </c>
      <c r="I1375" s="13" t="s">
        <v>63</v>
      </c>
      <c r="J1375" s="17" t="s">
        <v>71</v>
      </c>
      <c r="K1375" s="17" t="s">
        <v>58</v>
      </c>
      <c r="L1375" s="18" t="s">
        <v>52</v>
      </c>
      <c r="M1375" s="19">
        <v>34.0</v>
      </c>
      <c r="N1375" s="19">
        <v>31.0</v>
      </c>
    </row>
    <row r="1376">
      <c r="A1376" s="12">
        <v>1374.0</v>
      </c>
      <c r="B1376" s="13" t="s">
        <v>2515</v>
      </c>
      <c r="C1376" s="14">
        <v>24.0</v>
      </c>
      <c r="D1376" s="15" t="s">
        <v>3315</v>
      </c>
      <c r="E1376" s="16" t="s">
        <v>52</v>
      </c>
      <c r="F1376" s="13" t="s">
        <v>3359</v>
      </c>
      <c r="G1376" s="13" t="s">
        <v>3360</v>
      </c>
      <c r="H1376" s="13" t="s">
        <v>3361</v>
      </c>
      <c r="I1376" s="13" t="s">
        <v>63</v>
      </c>
      <c r="J1376" s="17" t="s">
        <v>71</v>
      </c>
      <c r="K1376" s="17" t="s">
        <v>58</v>
      </c>
      <c r="L1376" s="18" t="s">
        <v>52</v>
      </c>
      <c r="M1376" s="19">
        <v>34.0</v>
      </c>
      <c r="N1376" s="19">
        <v>31.0</v>
      </c>
    </row>
    <row r="1377">
      <c r="A1377" s="12">
        <v>1375.0</v>
      </c>
      <c r="B1377" s="13" t="s">
        <v>2515</v>
      </c>
      <c r="C1377" s="14">
        <v>25.0</v>
      </c>
      <c r="D1377" s="15" t="s">
        <v>3315</v>
      </c>
      <c r="E1377" s="16" t="s">
        <v>52</v>
      </c>
      <c r="F1377" s="13" t="s">
        <v>2031</v>
      </c>
      <c r="G1377" s="13" t="s">
        <v>3362</v>
      </c>
      <c r="H1377" s="13" t="s">
        <v>3363</v>
      </c>
      <c r="I1377" s="13" t="s">
        <v>63</v>
      </c>
      <c r="J1377" s="17" t="s">
        <v>71</v>
      </c>
      <c r="K1377" s="17" t="s">
        <v>58</v>
      </c>
      <c r="L1377" s="18" t="s">
        <v>52</v>
      </c>
      <c r="M1377" s="19">
        <v>34.0</v>
      </c>
      <c r="N1377" s="19">
        <v>31.0</v>
      </c>
    </row>
    <row r="1378">
      <c r="A1378" s="12">
        <v>1376.0</v>
      </c>
      <c r="B1378" s="13" t="s">
        <v>2515</v>
      </c>
      <c r="C1378" s="14">
        <v>26.0</v>
      </c>
      <c r="D1378" s="15" t="s">
        <v>3315</v>
      </c>
      <c r="E1378" s="16" t="s">
        <v>52</v>
      </c>
      <c r="F1378" s="13" t="s">
        <v>2395</v>
      </c>
      <c r="G1378" s="13" t="s">
        <v>2526</v>
      </c>
      <c r="H1378" s="13" t="s">
        <v>2527</v>
      </c>
      <c r="I1378" s="13" t="s">
        <v>63</v>
      </c>
      <c r="J1378" s="17" t="s">
        <v>71</v>
      </c>
      <c r="K1378" s="17" t="s">
        <v>58</v>
      </c>
      <c r="L1378" s="18" t="s">
        <v>52</v>
      </c>
      <c r="M1378" s="19">
        <v>34.0</v>
      </c>
      <c r="N1378" s="19">
        <v>31.0</v>
      </c>
    </row>
    <row r="1379">
      <c r="A1379" s="12">
        <v>1377.0</v>
      </c>
      <c r="B1379" s="13" t="s">
        <v>2515</v>
      </c>
      <c r="C1379" s="14">
        <v>27.0</v>
      </c>
      <c r="D1379" s="15" t="s">
        <v>3315</v>
      </c>
      <c r="E1379" s="16" t="s">
        <v>52</v>
      </c>
      <c r="F1379" s="13" t="s">
        <v>1162</v>
      </c>
      <c r="G1379" s="13" t="s">
        <v>3364</v>
      </c>
      <c r="H1379" s="13" t="s">
        <v>3365</v>
      </c>
      <c r="I1379" s="13" t="s">
        <v>63</v>
      </c>
      <c r="J1379" s="17" t="s">
        <v>71</v>
      </c>
      <c r="K1379" s="17" t="s">
        <v>58</v>
      </c>
      <c r="L1379" s="18" t="s">
        <v>52</v>
      </c>
      <c r="M1379" s="19">
        <v>34.0</v>
      </c>
      <c r="N1379" s="19">
        <v>31.0</v>
      </c>
    </row>
    <row r="1380">
      <c r="A1380" s="12">
        <v>1378.0</v>
      </c>
      <c r="B1380" s="13" t="s">
        <v>2515</v>
      </c>
      <c r="C1380" s="14">
        <v>28.0</v>
      </c>
      <c r="D1380" s="15" t="s">
        <v>3315</v>
      </c>
      <c r="E1380" s="16" t="s">
        <v>52</v>
      </c>
      <c r="F1380" s="13" t="s">
        <v>2532</v>
      </c>
      <c r="G1380" s="13" t="s">
        <v>61</v>
      </c>
      <c r="H1380" s="13" t="s">
        <v>3366</v>
      </c>
      <c r="I1380" s="13" t="s">
        <v>63</v>
      </c>
      <c r="J1380" s="17" t="s">
        <v>71</v>
      </c>
      <c r="K1380" s="17" t="s">
        <v>58</v>
      </c>
      <c r="L1380" s="18" t="s">
        <v>52</v>
      </c>
      <c r="M1380" s="19">
        <v>34.0</v>
      </c>
      <c r="N1380" s="19">
        <v>31.0</v>
      </c>
    </row>
    <row r="1381">
      <c r="A1381" s="12">
        <v>1379.0</v>
      </c>
      <c r="B1381" s="13" t="s">
        <v>2515</v>
      </c>
      <c r="C1381" s="14">
        <v>29.0</v>
      </c>
      <c r="D1381" s="15" t="s">
        <v>3315</v>
      </c>
      <c r="E1381" s="16" t="s">
        <v>52</v>
      </c>
      <c r="F1381" s="13" t="s">
        <v>413</v>
      </c>
      <c r="G1381" s="13" t="s">
        <v>3367</v>
      </c>
      <c r="H1381" s="13" t="s">
        <v>3368</v>
      </c>
      <c r="I1381" s="13" t="s">
        <v>63</v>
      </c>
      <c r="J1381" s="17" t="s">
        <v>71</v>
      </c>
      <c r="K1381" s="17" t="s">
        <v>58</v>
      </c>
      <c r="L1381" s="18" t="s">
        <v>52</v>
      </c>
      <c r="M1381" s="19">
        <v>34.0</v>
      </c>
      <c r="N1381" s="19">
        <v>31.0</v>
      </c>
    </row>
    <row r="1382">
      <c r="A1382" s="12">
        <v>1380.0</v>
      </c>
      <c r="B1382" s="13" t="s">
        <v>2515</v>
      </c>
      <c r="C1382" s="14">
        <v>30.0</v>
      </c>
      <c r="D1382" s="15" t="s">
        <v>3315</v>
      </c>
      <c r="E1382" s="16" t="s">
        <v>52</v>
      </c>
      <c r="F1382" s="13" t="s">
        <v>2564</v>
      </c>
      <c r="G1382" s="13" t="s">
        <v>2565</v>
      </c>
      <c r="H1382" s="13" t="s">
        <v>3369</v>
      </c>
      <c r="I1382" s="13" t="s">
        <v>63</v>
      </c>
      <c r="J1382" s="17" t="s">
        <v>71</v>
      </c>
      <c r="K1382" s="17" t="s">
        <v>58</v>
      </c>
      <c r="L1382" s="18" t="s">
        <v>52</v>
      </c>
      <c r="M1382" s="19">
        <v>34.0</v>
      </c>
      <c r="N1382" s="19">
        <v>31.0</v>
      </c>
    </row>
    <row r="1383">
      <c r="A1383" s="12">
        <v>1381.0</v>
      </c>
      <c r="B1383" s="13" t="s">
        <v>1997</v>
      </c>
      <c r="C1383" s="14">
        <v>1.0</v>
      </c>
      <c r="D1383" s="15" t="s">
        <v>3370</v>
      </c>
      <c r="E1383" s="16" t="s">
        <v>52</v>
      </c>
      <c r="F1383" s="13" t="s">
        <v>1735</v>
      </c>
      <c r="G1383" s="13" t="s">
        <v>2651</v>
      </c>
      <c r="H1383" s="13" t="s">
        <v>3371</v>
      </c>
      <c r="I1383" s="13" t="s">
        <v>56</v>
      </c>
      <c r="J1383" s="17" t="s">
        <v>57</v>
      </c>
      <c r="K1383" s="17" t="s">
        <v>58</v>
      </c>
      <c r="L1383" s="18" t="s">
        <v>52</v>
      </c>
      <c r="M1383" s="19">
        <v>35.0</v>
      </c>
      <c r="N1383" s="19">
        <v>10.0</v>
      </c>
    </row>
    <row r="1384">
      <c r="A1384" s="12">
        <v>1382.0</v>
      </c>
      <c r="B1384" s="13" t="s">
        <v>1997</v>
      </c>
      <c r="C1384" s="14">
        <v>2.0</v>
      </c>
      <c r="D1384" s="15" t="s">
        <v>3370</v>
      </c>
      <c r="E1384" s="16" t="s">
        <v>52</v>
      </c>
      <c r="F1384" s="13" t="s">
        <v>2793</v>
      </c>
      <c r="G1384" s="13" t="s">
        <v>2794</v>
      </c>
      <c r="H1384" s="13" t="s">
        <v>3372</v>
      </c>
      <c r="I1384" s="13" t="s">
        <v>56</v>
      </c>
      <c r="J1384" s="17" t="s">
        <v>67</v>
      </c>
      <c r="K1384" s="17" t="s">
        <v>58</v>
      </c>
      <c r="L1384" s="18" t="s">
        <v>52</v>
      </c>
      <c r="M1384" s="19">
        <v>35.0</v>
      </c>
      <c r="N1384" s="19">
        <v>20.0</v>
      </c>
    </row>
    <row r="1385">
      <c r="A1385" s="12">
        <v>1383.0</v>
      </c>
      <c r="B1385" s="13" t="s">
        <v>1997</v>
      </c>
      <c r="C1385" s="14">
        <v>3.0</v>
      </c>
      <c r="D1385" s="15" t="s">
        <v>3370</v>
      </c>
      <c r="E1385" s="16" t="s">
        <v>52</v>
      </c>
      <c r="F1385" s="13" t="s">
        <v>1405</v>
      </c>
      <c r="G1385" s="13" t="s">
        <v>3373</v>
      </c>
      <c r="H1385" s="13" t="s">
        <v>3374</v>
      </c>
      <c r="I1385" s="13" t="s">
        <v>56</v>
      </c>
      <c r="J1385" s="17" t="s">
        <v>67</v>
      </c>
      <c r="K1385" s="17" t="s">
        <v>58</v>
      </c>
      <c r="L1385" s="18" t="s">
        <v>52</v>
      </c>
      <c r="M1385" s="19">
        <v>35.0</v>
      </c>
      <c r="N1385" s="19">
        <v>20.0</v>
      </c>
    </row>
    <row r="1386">
      <c r="A1386" s="12">
        <v>1384.0</v>
      </c>
      <c r="B1386" s="13" t="s">
        <v>1997</v>
      </c>
      <c r="C1386" s="14">
        <v>4.0</v>
      </c>
      <c r="D1386" s="15" t="s">
        <v>3370</v>
      </c>
      <c r="E1386" s="16" t="s">
        <v>52</v>
      </c>
      <c r="F1386" s="13" t="s">
        <v>1272</v>
      </c>
      <c r="G1386" s="13" t="s">
        <v>3375</v>
      </c>
      <c r="H1386" s="13" t="s">
        <v>3376</v>
      </c>
      <c r="I1386" s="13" t="s">
        <v>56</v>
      </c>
      <c r="J1386" s="17" t="s">
        <v>67</v>
      </c>
      <c r="K1386" s="17" t="s">
        <v>58</v>
      </c>
      <c r="L1386" s="18" t="s">
        <v>52</v>
      </c>
      <c r="M1386" s="19">
        <v>35.0</v>
      </c>
      <c r="N1386" s="19">
        <v>20.0</v>
      </c>
    </row>
    <row r="1387">
      <c r="A1387" s="12">
        <v>1385.0</v>
      </c>
      <c r="B1387" s="13" t="s">
        <v>1997</v>
      </c>
      <c r="C1387" s="14">
        <v>5.0</v>
      </c>
      <c r="D1387" s="15" t="s">
        <v>3370</v>
      </c>
      <c r="E1387" s="16" t="s">
        <v>52</v>
      </c>
      <c r="F1387" s="13" t="s">
        <v>3377</v>
      </c>
      <c r="G1387" s="13" t="s">
        <v>3378</v>
      </c>
      <c r="H1387" s="13" t="s">
        <v>3379</v>
      </c>
      <c r="I1387" s="13" t="s">
        <v>56</v>
      </c>
      <c r="J1387" s="17" t="s">
        <v>67</v>
      </c>
      <c r="K1387" s="17" t="s">
        <v>58</v>
      </c>
      <c r="L1387" s="18" t="s">
        <v>52</v>
      </c>
      <c r="M1387" s="19">
        <v>35.0</v>
      </c>
      <c r="N1387" s="19">
        <v>20.0</v>
      </c>
    </row>
    <row r="1388">
      <c r="A1388" s="12">
        <v>1386.0</v>
      </c>
      <c r="B1388" s="13" t="s">
        <v>1997</v>
      </c>
      <c r="C1388" s="14">
        <v>6.0</v>
      </c>
      <c r="D1388" s="15" t="s">
        <v>3380</v>
      </c>
      <c r="E1388" s="16" t="s">
        <v>52</v>
      </c>
      <c r="F1388" s="13" t="s">
        <v>2484</v>
      </c>
      <c r="G1388" s="13" t="s">
        <v>3381</v>
      </c>
      <c r="H1388" s="13" t="s">
        <v>3382</v>
      </c>
      <c r="I1388" s="13" t="s">
        <v>56</v>
      </c>
      <c r="J1388" s="17" t="s">
        <v>67</v>
      </c>
      <c r="K1388" s="17" t="s">
        <v>58</v>
      </c>
      <c r="L1388" s="18" t="s">
        <v>52</v>
      </c>
      <c r="M1388" s="19">
        <v>35.0</v>
      </c>
      <c r="N1388" s="19">
        <v>20.0</v>
      </c>
    </row>
    <row r="1389">
      <c r="A1389" s="12">
        <v>1387.0</v>
      </c>
      <c r="B1389" s="13" t="s">
        <v>1997</v>
      </c>
      <c r="C1389" s="14">
        <v>7.0</v>
      </c>
      <c r="D1389" s="15" t="s">
        <v>3370</v>
      </c>
      <c r="E1389" s="16" t="s">
        <v>52</v>
      </c>
      <c r="F1389" s="13" t="s">
        <v>2663</v>
      </c>
      <c r="G1389" s="13" t="s">
        <v>2664</v>
      </c>
      <c r="H1389" s="13" t="s">
        <v>2665</v>
      </c>
      <c r="I1389" s="13" t="s">
        <v>56</v>
      </c>
      <c r="J1389" s="17" t="s">
        <v>71</v>
      </c>
      <c r="K1389" s="17" t="s">
        <v>58</v>
      </c>
      <c r="L1389" s="18" t="s">
        <v>52</v>
      </c>
      <c r="M1389" s="19">
        <v>35.0</v>
      </c>
      <c r="N1389" s="19">
        <v>30.0</v>
      </c>
    </row>
    <row r="1390">
      <c r="A1390" s="12">
        <v>1388.0</v>
      </c>
      <c r="B1390" s="13" t="s">
        <v>1997</v>
      </c>
      <c r="C1390" s="14">
        <v>8.0</v>
      </c>
      <c r="D1390" s="15" t="s">
        <v>3383</v>
      </c>
      <c r="E1390" s="16" t="s">
        <v>52</v>
      </c>
      <c r="F1390" s="13" t="s">
        <v>2362</v>
      </c>
      <c r="G1390" s="13" t="s">
        <v>2363</v>
      </c>
      <c r="H1390" s="13" t="s">
        <v>2364</v>
      </c>
      <c r="I1390" s="13" t="s">
        <v>63</v>
      </c>
      <c r="J1390" s="17" t="s">
        <v>71</v>
      </c>
      <c r="K1390" s="17" t="s">
        <v>58</v>
      </c>
      <c r="L1390" s="18" t="s">
        <v>52</v>
      </c>
      <c r="M1390" s="19">
        <v>35.0</v>
      </c>
      <c r="N1390" s="19">
        <v>31.0</v>
      </c>
    </row>
    <row r="1391">
      <c r="A1391" s="12">
        <v>1389.0</v>
      </c>
      <c r="B1391" s="13" t="s">
        <v>1997</v>
      </c>
      <c r="C1391" s="14">
        <v>9.0</v>
      </c>
      <c r="D1391" s="15" t="s">
        <v>3383</v>
      </c>
      <c r="E1391" s="16" t="s">
        <v>52</v>
      </c>
      <c r="F1391" s="13" t="s">
        <v>1012</v>
      </c>
      <c r="G1391" s="13" t="s">
        <v>61</v>
      </c>
      <c r="H1391" s="13" t="s">
        <v>3384</v>
      </c>
      <c r="I1391" s="13" t="s">
        <v>63</v>
      </c>
      <c r="J1391" s="17" t="s">
        <v>71</v>
      </c>
      <c r="K1391" s="17" t="s">
        <v>58</v>
      </c>
      <c r="L1391" s="18" t="s">
        <v>52</v>
      </c>
      <c r="M1391" s="19">
        <v>35.0</v>
      </c>
      <c r="N1391" s="19">
        <v>31.0</v>
      </c>
    </row>
    <row r="1392">
      <c r="A1392" s="12">
        <v>1390.0</v>
      </c>
      <c r="B1392" s="13" t="s">
        <v>1997</v>
      </c>
      <c r="C1392" s="14">
        <v>10.0</v>
      </c>
      <c r="D1392" s="15" t="s">
        <v>3383</v>
      </c>
      <c r="E1392" s="16" t="s">
        <v>52</v>
      </c>
      <c r="F1392" s="13" t="s">
        <v>2452</v>
      </c>
      <c r="G1392" s="13" t="s">
        <v>3385</v>
      </c>
      <c r="H1392" s="13" t="s">
        <v>3386</v>
      </c>
      <c r="I1392" s="13" t="s">
        <v>63</v>
      </c>
      <c r="J1392" s="17" t="s">
        <v>71</v>
      </c>
      <c r="K1392" s="17" t="s">
        <v>58</v>
      </c>
      <c r="L1392" s="18" t="s">
        <v>52</v>
      </c>
      <c r="M1392" s="19">
        <v>35.0</v>
      </c>
      <c r="N1392" s="19">
        <v>31.0</v>
      </c>
    </row>
    <row r="1393">
      <c r="A1393" s="12">
        <v>1391.0</v>
      </c>
      <c r="B1393" s="13" t="s">
        <v>1997</v>
      </c>
      <c r="C1393" s="14">
        <v>11.0</v>
      </c>
      <c r="D1393" s="15" t="s">
        <v>3383</v>
      </c>
      <c r="E1393" s="16" t="s">
        <v>52</v>
      </c>
      <c r="F1393" s="13" t="s">
        <v>2427</v>
      </c>
      <c r="G1393" s="13" t="s">
        <v>3387</v>
      </c>
      <c r="H1393" s="13" t="s">
        <v>3388</v>
      </c>
      <c r="I1393" s="13" t="s">
        <v>63</v>
      </c>
      <c r="J1393" s="17" t="s">
        <v>71</v>
      </c>
      <c r="K1393" s="17" t="s">
        <v>58</v>
      </c>
      <c r="L1393" s="18" t="s">
        <v>52</v>
      </c>
      <c r="M1393" s="19">
        <v>35.0</v>
      </c>
      <c r="N1393" s="19">
        <v>31.0</v>
      </c>
    </row>
    <row r="1394">
      <c r="A1394" s="12">
        <v>1392.0</v>
      </c>
      <c r="B1394" s="13" t="s">
        <v>1997</v>
      </c>
      <c r="C1394" s="14">
        <v>12.0</v>
      </c>
      <c r="D1394" s="15" t="s">
        <v>3383</v>
      </c>
      <c r="E1394" s="16" t="s">
        <v>52</v>
      </c>
      <c r="F1394" s="13" t="s">
        <v>3132</v>
      </c>
      <c r="G1394" s="13" t="s">
        <v>3389</v>
      </c>
      <c r="H1394" s="13" t="s">
        <v>3390</v>
      </c>
      <c r="I1394" s="13" t="s">
        <v>63</v>
      </c>
      <c r="J1394" s="17" t="s">
        <v>71</v>
      </c>
      <c r="K1394" s="17" t="s">
        <v>58</v>
      </c>
      <c r="L1394" s="18" t="s">
        <v>52</v>
      </c>
      <c r="M1394" s="19">
        <v>35.0</v>
      </c>
      <c r="N1394" s="19">
        <v>31.0</v>
      </c>
    </row>
    <row r="1395">
      <c r="A1395" s="12">
        <v>1393.0</v>
      </c>
      <c r="B1395" s="13" t="s">
        <v>1997</v>
      </c>
      <c r="C1395" s="14">
        <v>13.0</v>
      </c>
      <c r="D1395" s="15" t="s">
        <v>3383</v>
      </c>
      <c r="E1395" s="16" t="s">
        <v>52</v>
      </c>
      <c r="F1395" s="13" t="s">
        <v>2690</v>
      </c>
      <c r="G1395" s="13" t="s">
        <v>2691</v>
      </c>
      <c r="H1395" s="13" t="s">
        <v>3391</v>
      </c>
      <c r="I1395" s="13" t="s">
        <v>63</v>
      </c>
      <c r="J1395" s="17" t="s">
        <v>71</v>
      </c>
      <c r="K1395" s="17" t="s">
        <v>58</v>
      </c>
      <c r="L1395" s="18" t="s">
        <v>52</v>
      </c>
      <c r="M1395" s="19">
        <v>35.0</v>
      </c>
      <c r="N1395" s="19">
        <v>31.0</v>
      </c>
    </row>
    <row r="1396">
      <c r="A1396" s="12">
        <v>1394.0</v>
      </c>
      <c r="B1396" s="13" t="s">
        <v>1997</v>
      </c>
      <c r="C1396" s="14">
        <v>14.0</v>
      </c>
      <c r="D1396" s="15" t="s">
        <v>3383</v>
      </c>
      <c r="E1396" s="16" t="s">
        <v>52</v>
      </c>
      <c r="F1396" s="13" t="s">
        <v>2441</v>
      </c>
      <c r="G1396" s="13" t="s">
        <v>3272</v>
      </c>
      <c r="H1396" s="13" t="s">
        <v>3273</v>
      </c>
      <c r="I1396" s="13" t="s">
        <v>63</v>
      </c>
      <c r="J1396" s="17" t="s">
        <v>71</v>
      </c>
      <c r="K1396" s="17" t="s">
        <v>58</v>
      </c>
      <c r="L1396" s="18" t="s">
        <v>52</v>
      </c>
      <c r="M1396" s="19">
        <v>35.0</v>
      </c>
      <c r="N1396" s="19">
        <v>31.0</v>
      </c>
    </row>
    <row r="1397">
      <c r="A1397" s="12">
        <v>1395.0</v>
      </c>
      <c r="B1397" s="13" t="s">
        <v>1997</v>
      </c>
      <c r="C1397" s="14">
        <v>15.0</v>
      </c>
      <c r="D1397" s="15" t="s">
        <v>3383</v>
      </c>
      <c r="E1397" s="16" t="s">
        <v>52</v>
      </c>
      <c r="F1397" s="13" t="s">
        <v>2693</v>
      </c>
      <c r="G1397" s="13" t="s">
        <v>61</v>
      </c>
      <c r="H1397" s="13" t="s">
        <v>3137</v>
      </c>
      <c r="I1397" s="13" t="s">
        <v>63</v>
      </c>
      <c r="J1397" s="17" t="s">
        <v>71</v>
      </c>
      <c r="K1397" s="17" t="s">
        <v>58</v>
      </c>
      <c r="L1397" s="18" t="s">
        <v>52</v>
      </c>
      <c r="M1397" s="19">
        <v>35.0</v>
      </c>
      <c r="N1397" s="19">
        <v>31.0</v>
      </c>
    </row>
    <row r="1398">
      <c r="A1398" s="12">
        <v>1396.0</v>
      </c>
      <c r="B1398" s="13" t="s">
        <v>1997</v>
      </c>
      <c r="C1398" s="14">
        <v>16.0</v>
      </c>
      <c r="D1398" s="15" t="s">
        <v>3383</v>
      </c>
      <c r="E1398" s="16" t="s">
        <v>52</v>
      </c>
      <c r="F1398" s="13" t="s">
        <v>3113</v>
      </c>
      <c r="G1398" s="13" t="s">
        <v>61</v>
      </c>
      <c r="H1398" s="13" t="s">
        <v>3181</v>
      </c>
      <c r="I1398" s="13" t="s">
        <v>63</v>
      </c>
      <c r="J1398" s="17" t="s">
        <v>71</v>
      </c>
      <c r="K1398" s="17" t="s">
        <v>58</v>
      </c>
      <c r="L1398" s="18" t="s">
        <v>52</v>
      </c>
      <c r="M1398" s="19">
        <v>35.0</v>
      </c>
      <c r="N1398" s="19">
        <v>31.0</v>
      </c>
    </row>
    <row r="1399">
      <c r="A1399" s="12">
        <v>1397.0</v>
      </c>
      <c r="B1399" s="13" t="s">
        <v>1997</v>
      </c>
      <c r="C1399" s="14">
        <v>17.0</v>
      </c>
      <c r="D1399" s="15" t="s">
        <v>3383</v>
      </c>
      <c r="E1399" s="16" t="s">
        <v>52</v>
      </c>
      <c r="F1399" s="13" t="s">
        <v>2605</v>
      </c>
      <c r="G1399" s="13" t="s">
        <v>3143</v>
      </c>
      <c r="H1399" s="13" t="s">
        <v>3144</v>
      </c>
      <c r="I1399" s="13" t="s">
        <v>63</v>
      </c>
      <c r="J1399" s="17" t="s">
        <v>71</v>
      </c>
      <c r="K1399" s="17" t="s">
        <v>58</v>
      </c>
      <c r="L1399" s="18" t="s">
        <v>52</v>
      </c>
      <c r="M1399" s="19">
        <v>35.0</v>
      </c>
      <c r="N1399" s="19">
        <v>31.0</v>
      </c>
    </row>
    <row r="1400">
      <c r="A1400" s="12">
        <v>1398.0</v>
      </c>
      <c r="B1400" s="13" t="s">
        <v>1997</v>
      </c>
      <c r="C1400" s="14">
        <v>18.0</v>
      </c>
      <c r="D1400" s="15" t="s">
        <v>3383</v>
      </c>
      <c r="E1400" s="16" t="s">
        <v>52</v>
      </c>
      <c r="F1400" s="13" t="s">
        <v>2614</v>
      </c>
      <c r="G1400" s="13" t="s">
        <v>3146</v>
      </c>
      <c r="H1400" s="13" t="s">
        <v>3147</v>
      </c>
      <c r="I1400" s="13" t="s">
        <v>63</v>
      </c>
      <c r="J1400" s="17" t="s">
        <v>71</v>
      </c>
      <c r="K1400" s="17" t="s">
        <v>58</v>
      </c>
      <c r="L1400" s="18" t="s">
        <v>52</v>
      </c>
      <c r="M1400" s="19">
        <v>35.0</v>
      </c>
      <c r="N1400" s="19">
        <v>31.0</v>
      </c>
    </row>
    <row r="1401">
      <c r="A1401" s="12">
        <v>1399.0</v>
      </c>
      <c r="B1401" s="13" t="s">
        <v>1997</v>
      </c>
      <c r="C1401" s="14">
        <v>19.0</v>
      </c>
      <c r="D1401" s="15" t="s">
        <v>3383</v>
      </c>
      <c r="E1401" s="16" t="s">
        <v>52</v>
      </c>
      <c r="F1401" s="13" t="s">
        <v>1960</v>
      </c>
      <c r="G1401" s="13" t="s">
        <v>61</v>
      </c>
      <c r="H1401" s="13" t="s">
        <v>3012</v>
      </c>
      <c r="I1401" s="13" t="s">
        <v>63</v>
      </c>
      <c r="J1401" s="17" t="s">
        <v>71</v>
      </c>
      <c r="K1401" s="17" t="s">
        <v>58</v>
      </c>
      <c r="L1401" s="18" t="s">
        <v>52</v>
      </c>
      <c r="M1401" s="19">
        <v>35.0</v>
      </c>
      <c r="N1401" s="19">
        <v>31.0</v>
      </c>
    </row>
    <row r="1402">
      <c r="A1402" s="12">
        <v>1400.0</v>
      </c>
      <c r="B1402" s="13" t="s">
        <v>1997</v>
      </c>
      <c r="C1402" s="14">
        <v>20.0</v>
      </c>
      <c r="D1402" s="15" t="s">
        <v>3383</v>
      </c>
      <c r="E1402" s="16" t="s">
        <v>52</v>
      </c>
      <c r="F1402" s="13" t="s">
        <v>2914</v>
      </c>
      <c r="G1402" s="13" t="s">
        <v>61</v>
      </c>
      <c r="H1402" s="13" t="s">
        <v>3305</v>
      </c>
      <c r="I1402" s="13" t="s">
        <v>63</v>
      </c>
      <c r="J1402" s="17" t="s">
        <v>71</v>
      </c>
      <c r="K1402" s="17" t="s">
        <v>58</v>
      </c>
      <c r="L1402" s="18" t="s">
        <v>52</v>
      </c>
      <c r="M1402" s="19">
        <v>35.0</v>
      </c>
      <c r="N1402" s="19">
        <v>31.0</v>
      </c>
    </row>
    <row r="1403">
      <c r="A1403" s="12">
        <v>1401.0</v>
      </c>
      <c r="B1403" s="13" t="s">
        <v>1997</v>
      </c>
      <c r="C1403" s="14">
        <v>21.0</v>
      </c>
      <c r="D1403" s="15" t="s">
        <v>3383</v>
      </c>
      <c r="E1403" s="16" t="s">
        <v>52</v>
      </c>
      <c r="F1403" s="13" t="s">
        <v>3165</v>
      </c>
      <c r="G1403" s="13" t="s">
        <v>3166</v>
      </c>
      <c r="H1403" s="13" t="s">
        <v>3392</v>
      </c>
      <c r="I1403" s="13" t="s">
        <v>63</v>
      </c>
      <c r="J1403" s="17" t="s">
        <v>71</v>
      </c>
      <c r="K1403" s="17" t="s">
        <v>58</v>
      </c>
      <c r="L1403" s="18" t="s">
        <v>52</v>
      </c>
      <c r="M1403" s="19">
        <v>35.0</v>
      </c>
      <c r="N1403" s="19">
        <v>31.0</v>
      </c>
    </row>
    <row r="1404">
      <c r="A1404" s="12">
        <v>1402.0</v>
      </c>
      <c r="B1404" s="13" t="s">
        <v>1997</v>
      </c>
      <c r="C1404" s="14">
        <v>22.0</v>
      </c>
      <c r="D1404" s="15" t="s">
        <v>3383</v>
      </c>
      <c r="E1404" s="16" t="s">
        <v>52</v>
      </c>
      <c r="F1404" s="13" t="s">
        <v>2058</v>
      </c>
      <c r="G1404" s="13" t="s">
        <v>2059</v>
      </c>
      <c r="H1404" s="13" t="s">
        <v>3393</v>
      </c>
      <c r="I1404" s="13" t="s">
        <v>63</v>
      </c>
      <c r="J1404" s="17" t="s">
        <v>71</v>
      </c>
      <c r="K1404" s="17" t="s">
        <v>58</v>
      </c>
      <c r="L1404" s="18" t="s">
        <v>52</v>
      </c>
      <c r="M1404" s="19">
        <v>35.0</v>
      </c>
      <c r="N1404" s="19">
        <v>31.0</v>
      </c>
    </row>
    <row r="1405">
      <c r="A1405" s="12">
        <v>1403.0</v>
      </c>
      <c r="B1405" s="13" t="s">
        <v>1997</v>
      </c>
      <c r="C1405" s="14">
        <v>23.0</v>
      </c>
      <c r="D1405" s="15" t="s">
        <v>3370</v>
      </c>
      <c r="E1405" s="16" t="s">
        <v>52</v>
      </c>
      <c r="F1405" s="13" t="s">
        <v>1356</v>
      </c>
      <c r="G1405" s="13" t="s">
        <v>3345</v>
      </c>
      <c r="H1405" s="13" t="s">
        <v>3346</v>
      </c>
      <c r="I1405" s="13" t="s">
        <v>63</v>
      </c>
      <c r="J1405" s="17" t="s">
        <v>71</v>
      </c>
      <c r="K1405" s="17" t="s">
        <v>58</v>
      </c>
      <c r="L1405" s="18" t="s">
        <v>52</v>
      </c>
      <c r="M1405" s="19">
        <v>35.0</v>
      </c>
      <c r="N1405" s="19">
        <v>31.0</v>
      </c>
    </row>
    <row r="1406">
      <c r="A1406" s="12">
        <v>1404.0</v>
      </c>
      <c r="B1406" s="13" t="s">
        <v>1997</v>
      </c>
      <c r="C1406" s="14">
        <v>24.0</v>
      </c>
      <c r="D1406" s="15" t="s">
        <v>3370</v>
      </c>
      <c r="E1406" s="16" t="s">
        <v>52</v>
      </c>
      <c r="F1406" s="13" t="s">
        <v>2911</v>
      </c>
      <c r="G1406" s="13" t="s">
        <v>3394</v>
      </c>
      <c r="H1406" s="13" t="s">
        <v>3395</v>
      </c>
      <c r="I1406" s="13" t="s">
        <v>63</v>
      </c>
      <c r="J1406" s="17" t="s">
        <v>71</v>
      </c>
      <c r="K1406" s="17" t="s">
        <v>58</v>
      </c>
      <c r="L1406" s="18" t="s">
        <v>52</v>
      </c>
      <c r="M1406" s="19">
        <v>35.0</v>
      </c>
      <c r="N1406" s="19">
        <v>31.0</v>
      </c>
    </row>
    <row r="1407">
      <c r="A1407" s="12">
        <v>1405.0</v>
      </c>
      <c r="B1407" s="13" t="s">
        <v>1997</v>
      </c>
      <c r="C1407" s="14">
        <v>25.0</v>
      </c>
      <c r="D1407" s="15" t="s">
        <v>3370</v>
      </c>
      <c r="E1407" s="16" t="s">
        <v>52</v>
      </c>
      <c r="F1407" s="13" t="s">
        <v>2475</v>
      </c>
      <c r="G1407" s="13" t="s">
        <v>61</v>
      </c>
      <c r="H1407" s="13" t="s">
        <v>3396</v>
      </c>
      <c r="I1407" s="13" t="s">
        <v>63</v>
      </c>
      <c r="J1407" s="17" t="s">
        <v>71</v>
      </c>
      <c r="K1407" s="17" t="s">
        <v>58</v>
      </c>
      <c r="L1407" s="18" t="s">
        <v>52</v>
      </c>
      <c r="M1407" s="19">
        <v>35.0</v>
      </c>
      <c r="N1407" s="19">
        <v>31.0</v>
      </c>
    </row>
    <row r="1408">
      <c r="A1408" s="12">
        <v>1406.0</v>
      </c>
      <c r="B1408" s="13" t="s">
        <v>1997</v>
      </c>
      <c r="C1408" s="14">
        <v>26.0</v>
      </c>
      <c r="D1408" s="15" t="s">
        <v>3380</v>
      </c>
      <c r="E1408" s="16" t="s">
        <v>52</v>
      </c>
      <c r="F1408" s="13" t="s">
        <v>2545</v>
      </c>
      <c r="G1408" s="13" t="s">
        <v>3397</v>
      </c>
      <c r="H1408" s="13" t="s">
        <v>3398</v>
      </c>
      <c r="I1408" s="13" t="s">
        <v>63</v>
      </c>
      <c r="J1408" s="17" t="s">
        <v>71</v>
      </c>
      <c r="K1408" s="17" t="s">
        <v>58</v>
      </c>
      <c r="L1408" s="18" t="s">
        <v>52</v>
      </c>
      <c r="M1408" s="19">
        <v>35.0</v>
      </c>
      <c r="N1408" s="19">
        <v>31.0</v>
      </c>
    </row>
    <row r="1409">
      <c r="A1409" s="12">
        <v>1407.0</v>
      </c>
      <c r="B1409" s="13" t="s">
        <v>1997</v>
      </c>
      <c r="C1409" s="14">
        <v>27.0</v>
      </c>
      <c r="D1409" s="15" t="s">
        <v>3380</v>
      </c>
      <c r="E1409" s="16" t="s">
        <v>52</v>
      </c>
      <c r="F1409" s="13" t="s">
        <v>1134</v>
      </c>
      <c r="G1409" s="13" t="s">
        <v>61</v>
      </c>
      <c r="H1409" s="13" t="s">
        <v>3400</v>
      </c>
      <c r="I1409" s="13" t="s">
        <v>63</v>
      </c>
      <c r="J1409" s="17" t="s">
        <v>71</v>
      </c>
      <c r="K1409" s="17" t="s">
        <v>58</v>
      </c>
      <c r="L1409" s="18" t="s">
        <v>52</v>
      </c>
      <c r="M1409" s="19">
        <v>35.0</v>
      </c>
      <c r="N1409" s="19">
        <v>31.0</v>
      </c>
    </row>
    <row r="1410">
      <c r="A1410" s="12">
        <v>1408.0</v>
      </c>
      <c r="B1410" s="13" t="s">
        <v>1997</v>
      </c>
      <c r="C1410" s="14">
        <v>28.0</v>
      </c>
      <c r="D1410" s="15" t="s">
        <v>3380</v>
      </c>
      <c r="E1410" s="16" t="s">
        <v>52</v>
      </c>
      <c r="F1410" s="13" t="s">
        <v>3148</v>
      </c>
      <c r="G1410" s="13" t="s">
        <v>3149</v>
      </c>
      <c r="H1410" s="13" t="s">
        <v>3402</v>
      </c>
      <c r="I1410" s="13" t="s">
        <v>63</v>
      </c>
      <c r="J1410" s="17" t="s">
        <v>71</v>
      </c>
      <c r="K1410" s="17" t="s">
        <v>58</v>
      </c>
      <c r="L1410" s="18" t="s">
        <v>52</v>
      </c>
      <c r="M1410" s="19">
        <v>35.0</v>
      </c>
      <c r="N1410" s="19">
        <v>31.0</v>
      </c>
    </row>
    <row r="1411">
      <c r="A1411" s="12">
        <v>1409.0</v>
      </c>
      <c r="B1411" s="13" t="s">
        <v>1997</v>
      </c>
      <c r="C1411" s="14">
        <v>29.0</v>
      </c>
      <c r="D1411" s="15" t="s">
        <v>3380</v>
      </c>
      <c r="E1411" s="16" t="s">
        <v>52</v>
      </c>
      <c r="F1411" s="13" t="s">
        <v>1843</v>
      </c>
      <c r="G1411" s="13" t="s">
        <v>1844</v>
      </c>
      <c r="H1411" s="13" t="s">
        <v>3404</v>
      </c>
      <c r="I1411" s="13" t="s">
        <v>63</v>
      </c>
      <c r="J1411" s="17" t="s">
        <v>71</v>
      </c>
      <c r="K1411" s="17" t="s">
        <v>58</v>
      </c>
      <c r="L1411" s="18" t="s">
        <v>52</v>
      </c>
      <c r="M1411" s="19">
        <v>35.0</v>
      </c>
      <c r="N1411" s="19">
        <v>31.0</v>
      </c>
    </row>
    <row r="1412">
      <c r="A1412" s="12">
        <v>1410.0</v>
      </c>
      <c r="B1412" s="13" t="s">
        <v>1997</v>
      </c>
      <c r="C1412" s="14">
        <v>30.0</v>
      </c>
      <c r="D1412" s="15" t="s">
        <v>3380</v>
      </c>
      <c r="E1412" s="16" t="s">
        <v>52</v>
      </c>
      <c r="F1412" s="13" t="s">
        <v>2895</v>
      </c>
      <c r="G1412" s="13" t="s">
        <v>3405</v>
      </c>
      <c r="H1412" s="13" t="s">
        <v>3406</v>
      </c>
      <c r="I1412" s="13" t="s">
        <v>63</v>
      </c>
      <c r="J1412" s="17" t="s">
        <v>71</v>
      </c>
      <c r="K1412" s="17" t="s">
        <v>58</v>
      </c>
      <c r="L1412" s="18" t="s">
        <v>52</v>
      </c>
      <c r="M1412" s="19">
        <v>35.0</v>
      </c>
      <c r="N1412" s="19">
        <v>31.0</v>
      </c>
    </row>
    <row r="1413">
      <c r="A1413" s="12">
        <v>1411.0</v>
      </c>
      <c r="B1413" s="13" t="s">
        <v>3408</v>
      </c>
      <c r="C1413" s="14">
        <v>1.0</v>
      </c>
      <c r="D1413" s="15" t="s">
        <v>3409</v>
      </c>
      <c r="E1413" s="16" t="s">
        <v>52</v>
      </c>
      <c r="F1413" s="13" t="s">
        <v>3410</v>
      </c>
      <c r="G1413" s="13" t="s">
        <v>61</v>
      </c>
      <c r="H1413" s="13" t="s">
        <v>3411</v>
      </c>
      <c r="I1413" s="13" t="s">
        <v>56</v>
      </c>
      <c r="J1413" s="17" t="s">
        <v>57</v>
      </c>
      <c r="K1413" s="17" t="s">
        <v>58</v>
      </c>
      <c r="L1413" s="18" t="s">
        <v>52</v>
      </c>
      <c r="M1413" s="19">
        <v>36.0</v>
      </c>
      <c r="N1413" s="19">
        <v>10.0</v>
      </c>
    </row>
    <row r="1414">
      <c r="A1414" s="12">
        <v>1412.0</v>
      </c>
      <c r="B1414" s="13" t="s">
        <v>3408</v>
      </c>
      <c r="C1414" s="14">
        <v>2.0</v>
      </c>
      <c r="D1414" s="15" t="s">
        <v>3409</v>
      </c>
      <c r="E1414" s="16" t="s">
        <v>52</v>
      </c>
      <c r="F1414" s="13" t="s">
        <v>3412</v>
      </c>
      <c r="G1414" s="13" t="s">
        <v>61</v>
      </c>
      <c r="H1414" s="13" t="s">
        <v>3413</v>
      </c>
      <c r="I1414" s="13" t="s">
        <v>56</v>
      </c>
      <c r="J1414" s="17" t="s">
        <v>57</v>
      </c>
      <c r="K1414" s="17" t="s">
        <v>58</v>
      </c>
      <c r="L1414" s="18" t="s">
        <v>52</v>
      </c>
      <c r="M1414" s="19">
        <v>36.0</v>
      </c>
      <c r="N1414" s="19">
        <v>10.0</v>
      </c>
    </row>
    <row r="1415">
      <c r="A1415" s="12">
        <v>1413.0</v>
      </c>
      <c r="B1415" s="13" t="s">
        <v>3408</v>
      </c>
      <c r="C1415" s="14">
        <v>3.0</v>
      </c>
      <c r="D1415" s="15" t="s">
        <v>3409</v>
      </c>
      <c r="E1415" s="16" t="s">
        <v>52</v>
      </c>
      <c r="F1415" s="13" t="s">
        <v>3414</v>
      </c>
      <c r="G1415" s="13" t="s">
        <v>61</v>
      </c>
      <c r="H1415" s="13" t="s">
        <v>3415</v>
      </c>
      <c r="I1415" s="13" t="s">
        <v>56</v>
      </c>
      <c r="J1415" s="17" t="s">
        <v>67</v>
      </c>
      <c r="K1415" s="17" t="s">
        <v>58</v>
      </c>
      <c r="L1415" s="18" t="s">
        <v>52</v>
      </c>
      <c r="M1415" s="19">
        <v>36.0</v>
      </c>
      <c r="N1415" s="19">
        <v>20.0</v>
      </c>
    </row>
    <row r="1416">
      <c r="A1416" s="12">
        <v>1414.0</v>
      </c>
      <c r="B1416" s="13" t="s">
        <v>3408</v>
      </c>
      <c r="C1416" s="14">
        <v>4.0</v>
      </c>
      <c r="D1416" s="15" t="s">
        <v>3409</v>
      </c>
      <c r="E1416" s="16" t="s">
        <v>52</v>
      </c>
      <c r="F1416" s="13" t="s">
        <v>1722</v>
      </c>
      <c r="G1416" s="13" t="s">
        <v>61</v>
      </c>
      <c r="H1416" s="13" t="s">
        <v>3416</v>
      </c>
      <c r="I1416" s="13" t="s">
        <v>56</v>
      </c>
      <c r="J1416" s="17" t="s">
        <v>67</v>
      </c>
      <c r="K1416" s="17" t="s">
        <v>58</v>
      </c>
      <c r="L1416" s="18" t="s">
        <v>52</v>
      </c>
      <c r="M1416" s="19">
        <v>36.0</v>
      </c>
      <c r="N1416" s="19">
        <v>20.0</v>
      </c>
    </row>
    <row r="1417">
      <c r="A1417" s="12">
        <v>1415.0</v>
      </c>
      <c r="B1417" s="13" t="s">
        <v>3408</v>
      </c>
      <c r="C1417" s="14">
        <v>5.0</v>
      </c>
      <c r="D1417" s="15" t="s">
        <v>3409</v>
      </c>
      <c r="E1417" s="16" t="s">
        <v>52</v>
      </c>
      <c r="F1417" s="13" t="s">
        <v>2680</v>
      </c>
      <c r="G1417" s="13" t="s">
        <v>3417</v>
      </c>
      <c r="H1417" s="13" t="s">
        <v>3418</v>
      </c>
      <c r="I1417" s="13" t="s">
        <v>56</v>
      </c>
      <c r="J1417" s="17" t="s">
        <v>67</v>
      </c>
      <c r="K1417" s="17" t="s">
        <v>58</v>
      </c>
      <c r="L1417" s="18" t="s">
        <v>52</v>
      </c>
      <c r="M1417" s="19">
        <v>36.0</v>
      </c>
      <c r="N1417" s="19">
        <v>20.0</v>
      </c>
    </row>
    <row r="1418">
      <c r="A1418" s="12">
        <v>1416.0</v>
      </c>
      <c r="B1418" s="13" t="s">
        <v>3408</v>
      </c>
      <c r="C1418" s="14">
        <v>6.0</v>
      </c>
      <c r="D1418" s="15" t="s">
        <v>3409</v>
      </c>
      <c r="E1418" s="16" t="s">
        <v>52</v>
      </c>
      <c r="F1418" s="13" t="s">
        <v>3420</v>
      </c>
      <c r="G1418" s="13" t="s">
        <v>3421</v>
      </c>
      <c r="H1418" s="13" t="s">
        <v>3422</v>
      </c>
      <c r="I1418" s="13" t="s">
        <v>56</v>
      </c>
      <c r="J1418" s="17" t="s">
        <v>67</v>
      </c>
      <c r="K1418" s="17" t="s">
        <v>58</v>
      </c>
      <c r="L1418" s="18" t="s">
        <v>52</v>
      </c>
      <c r="M1418" s="19">
        <v>36.0</v>
      </c>
      <c r="N1418" s="19">
        <v>20.0</v>
      </c>
    </row>
    <row r="1419">
      <c r="A1419" s="12">
        <v>1417.0</v>
      </c>
      <c r="B1419" s="13" t="s">
        <v>3408</v>
      </c>
      <c r="C1419" s="14">
        <v>7.0</v>
      </c>
      <c r="D1419" s="15" t="s">
        <v>3409</v>
      </c>
      <c r="E1419" s="16" t="s">
        <v>52</v>
      </c>
      <c r="F1419" s="13" t="s">
        <v>3423</v>
      </c>
      <c r="G1419" s="13" t="s">
        <v>3424</v>
      </c>
      <c r="H1419" s="13" t="s">
        <v>3425</v>
      </c>
      <c r="I1419" s="13" t="s">
        <v>56</v>
      </c>
      <c r="J1419" s="17" t="s">
        <v>67</v>
      </c>
      <c r="K1419" s="17" t="s">
        <v>58</v>
      </c>
      <c r="L1419" s="18" t="s">
        <v>52</v>
      </c>
      <c r="M1419" s="19">
        <v>36.0</v>
      </c>
      <c r="N1419" s="19">
        <v>20.0</v>
      </c>
    </row>
    <row r="1420">
      <c r="A1420" s="12">
        <v>1418.0</v>
      </c>
      <c r="B1420" s="13" t="s">
        <v>3408</v>
      </c>
      <c r="C1420" s="14">
        <v>8.0</v>
      </c>
      <c r="D1420" s="15" t="s">
        <v>3409</v>
      </c>
      <c r="E1420" s="16" t="s">
        <v>52</v>
      </c>
      <c r="F1420" s="13" t="s">
        <v>2804</v>
      </c>
      <c r="G1420" s="13" t="s">
        <v>3426</v>
      </c>
      <c r="H1420" s="13" t="s">
        <v>3427</v>
      </c>
      <c r="I1420" s="13" t="s">
        <v>56</v>
      </c>
      <c r="J1420" s="17" t="s">
        <v>67</v>
      </c>
      <c r="K1420" s="17" t="s">
        <v>58</v>
      </c>
      <c r="L1420" s="18" t="s">
        <v>52</v>
      </c>
      <c r="M1420" s="19">
        <v>36.0</v>
      </c>
      <c r="N1420" s="19">
        <v>20.0</v>
      </c>
    </row>
    <row r="1421">
      <c r="A1421" s="12">
        <v>1419.0</v>
      </c>
      <c r="B1421" s="13" t="s">
        <v>3408</v>
      </c>
      <c r="C1421" s="14">
        <v>9.0</v>
      </c>
      <c r="D1421" s="15" t="s">
        <v>3409</v>
      </c>
      <c r="E1421" s="16" t="s">
        <v>52</v>
      </c>
      <c r="F1421" s="13" t="s">
        <v>1454</v>
      </c>
      <c r="G1421" s="13" t="s">
        <v>1455</v>
      </c>
      <c r="H1421" s="13" t="s">
        <v>3428</v>
      </c>
      <c r="I1421" s="13" t="s">
        <v>56</v>
      </c>
      <c r="J1421" s="17" t="s">
        <v>67</v>
      </c>
      <c r="K1421" s="17" t="s">
        <v>58</v>
      </c>
      <c r="L1421" s="18" t="s">
        <v>52</v>
      </c>
      <c r="M1421" s="19">
        <v>36.0</v>
      </c>
      <c r="N1421" s="19">
        <v>20.0</v>
      </c>
    </row>
    <row r="1422">
      <c r="A1422" s="12">
        <v>1420.0</v>
      </c>
      <c r="B1422" s="13" t="s">
        <v>3408</v>
      </c>
      <c r="C1422" s="14">
        <v>10.0</v>
      </c>
      <c r="D1422" s="15" t="s">
        <v>3409</v>
      </c>
      <c r="E1422" s="16" t="s">
        <v>52</v>
      </c>
      <c r="F1422" s="13" t="s">
        <v>1384</v>
      </c>
      <c r="G1422" s="13" t="s">
        <v>3430</v>
      </c>
      <c r="H1422" s="13" t="s">
        <v>3431</v>
      </c>
      <c r="I1422" s="13" t="s">
        <v>56</v>
      </c>
      <c r="J1422" s="17" t="s">
        <v>67</v>
      </c>
      <c r="K1422" s="17" t="s">
        <v>58</v>
      </c>
      <c r="L1422" s="18" t="s">
        <v>52</v>
      </c>
      <c r="M1422" s="19">
        <v>36.0</v>
      </c>
      <c r="N1422" s="19">
        <v>20.0</v>
      </c>
    </row>
    <row r="1423">
      <c r="A1423" s="12">
        <v>1421.0</v>
      </c>
      <c r="B1423" s="13" t="s">
        <v>3408</v>
      </c>
      <c r="C1423" s="14">
        <v>11.0</v>
      </c>
      <c r="D1423" s="15" t="s">
        <v>3409</v>
      </c>
      <c r="E1423" s="16" t="s">
        <v>52</v>
      </c>
      <c r="F1423" s="13" t="s">
        <v>3339</v>
      </c>
      <c r="G1423" s="13" t="s">
        <v>3432</v>
      </c>
      <c r="H1423" s="13" t="s">
        <v>3433</v>
      </c>
      <c r="I1423" s="13" t="s">
        <v>56</v>
      </c>
      <c r="J1423" s="17" t="s">
        <v>67</v>
      </c>
      <c r="K1423" s="17" t="s">
        <v>58</v>
      </c>
      <c r="L1423" s="18" t="s">
        <v>52</v>
      </c>
      <c r="M1423" s="19">
        <v>36.0</v>
      </c>
      <c r="N1423" s="19">
        <v>20.0</v>
      </c>
    </row>
    <row r="1424">
      <c r="A1424" s="12">
        <v>1422.0</v>
      </c>
      <c r="B1424" s="13" t="s">
        <v>3408</v>
      </c>
      <c r="C1424" s="14">
        <v>12.0</v>
      </c>
      <c r="D1424" s="15" t="s">
        <v>3409</v>
      </c>
      <c r="E1424" s="16" t="s">
        <v>52</v>
      </c>
      <c r="F1424" s="13" t="s">
        <v>2095</v>
      </c>
      <c r="G1424" s="13" t="s">
        <v>3434</v>
      </c>
      <c r="H1424" s="13" t="s">
        <v>3435</v>
      </c>
      <c r="I1424" s="13" t="s">
        <v>56</v>
      </c>
      <c r="J1424" s="17" t="s">
        <v>67</v>
      </c>
      <c r="K1424" s="17" t="s">
        <v>58</v>
      </c>
      <c r="L1424" s="18" t="s">
        <v>52</v>
      </c>
      <c r="M1424" s="19">
        <v>36.0</v>
      </c>
      <c r="N1424" s="19">
        <v>20.0</v>
      </c>
    </row>
    <row r="1425">
      <c r="A1425" s="12">
        <v>1423.0</v>
      </c>
      <c r="B1425" s="13" t="s">
        <v>3408</v>
      </c>
      <c r="C1425" s="14">
        <v>13.0</v>
      </c>
      <c r="D1425" s="15" t="s">
        <v>3409</v>
      </c>
      <c r="E1425" s="16" t="s">
        <v>52</v>
      </c>
      <c r="F1425" s="13" t="s">
        <v>3436</v>
      </c>
      <c r="G1425" s="13" t="s">
        <v>3437</v>
      </c>
      <c r="H1425" s="13" t="s">
        <v>3438</v>
      </c>
      <c r="I1425" s="13" t="s">
        <v>56</v>
      </c>
      <c r="J1425" s="17" t="s">
        <v>67</v>
      </c>
      <c r="K1425" s="17" t="s">
        <v>58</v>
      </c>
      <c r="L1425" s="18" t="s">
        <v>52</v>
      </c>
      <c r="M1425" s="19">
        <v>36.0</v>
      </c>
      <c r="N1425" s="19">
        <v>20.0</v>
      </c>
    </row>
    <row r="1426">
      <c r="A1426" s="12">
        <v>1424.0</v>
      </c>
      <c r="B1426" s="13" t="s">
        <v>3408</v>
      </c>
      <c r="C1426" s="14">
        <v>14.0</v>
      </c>
      <c r="D1426" s="15" t="s">
        <v>3409</v>
      </c>
      <c r="E1426" s="16" t="s">
        <v>52</v>
      </c>
      <c r="F1426" s="13" t="s">
        <v>3439</v>
      </c>
      <c r="G1426" s="13" t="s">
        <v>3440</v>
      </c>
      <c r="H1426" s="13" t="s">
        <v>3441</v>
      </c>
      <c r="I1426" s="13" t="s">
        <v>56</v>
      </c>
      <c r="J1426" s="17" t="s">
        <v>67</v>
      </c>
      <c r="K1426" s="17" t="s">
        <v>58</v>
      </c>
      <c r="L1426" s="18" t="s">
        <v>52</v>
      </c>
      <c r="M1426" s="19">
        <v>36.0</v>
      </c>
      <c r="N1426" s="19">
        <v>20.0</v>
      </c>
    </row>
    <row r="1427">
      <c r="A1427" s="12">
        <v>1425.0</v>
      </c>
      <c r="B1427" s="13" t="s">
        <v>3408</v>
      </c>
      <c r="C1427" s="14">
        <v>15.0</v>
      </c>
      <c r="D1427" s="15" t="s">
        <v>3409</v>
      </c>
      <c r="E1427" s="16" t="s">
        <v>52</v>
      </c>
      <c r="F1427" s="13" t="s">
        <v>2851</v>
      </c>
      <c r="G1427" s="13" t="s">
        <v>3443</v>
      </c>
      <c r="H1427" s="13" t="s">
        <v>3444</v>
      </c>
      <c r="I1427" s="13" t="s">
        <v>56</v>
      </c>
      <c r="J1427" s="17" t="s">
        <v>67</v>
      </c>
      <c r="K1427" s="17" t="s">
        <v>58</v>
      </c>
      <c r="L1427" s="18" t="s">
        <v>52</v>
      </c>
      <c r="M1427" s="19">
        <v>36.0</v>
      </c>
      <c r="N1427" s="19">
        <v>20.0</v>
      </c>
    </row>
    <row r="1428">
      <c r="A1428" s="12">
        <v>1426.0</v>
      </c>
      <c r="B1428" s="13" t="s">
        <v>3408</v>
      </c>
      <c r="C1428" s="14">
        <v>16.0</v>
      </c>
      <c r="D1428" s="15" t="s">
        <v>3409</v>
      </c>
      <c r="E1428" s="16" t="s">
        <v>52</v>
      </c>
      <c r="F1428" s="13" t="s">
        <v>1677</v>
      </c>
      <c r="G1428" s="13" t="s">
        <v>1678</v>
      </c>
      <c r="H1428" s="13" t="s">
        <v>3445</v>
      </c>
      <c r="I1428" s="13" t="s">
        <v>56</v>
      </c>
      <c r="J1428" s="17" t="s">
        <v>67</v>
      </c>
      <c r="K1428" s="17" t="s">
        <v>58</v>
      </c>
      <c r="L1428" s="18" t="s">
        <v>52</v>
      </c>
      <c r="M1428" s="19">
        <v>36.0</v>
      </c>
      <c r="N1428" s="19">
        <v>20.0</v>
      </c>
    </row>
    <row r="1429">
      <c r="A1429" s="12">
        <v>1427.0</v>
      </c>
      <c r="B1429" s="13" t="s">
        <v>3408</v>
      </c>
      <c r="C1429" s="14">
        <v>17.0</v>
      </c>
      <c r="D1429" s="15" t="s">
        <v>3409</v>
      </c>
      <c r="E1429" s="16" t="s">
        <v>52</v>
      </c>
      <c r="F1429" s="13" t="s">
        <v>3446</v>
      </c>
      <c r="G1429" s="13" t="s">
        <v>3447</v>
      </c>
      <c r="H1429" s="13" t="s">
        <v>3448</v>
      </c>
      <c r="I1429" s="13" t="s">
        <v>56</v>
      </c>
      <c r="J1429" s="17" t="s">
        <v>67</v>
      </c>
      <c r="K1429" s="17" t="s">
        <v>58</v>
      </c>
      <c r="L1429" s="18" t="s">
        <v>52</v>
      </c>
      <c r="M1429" s="19">
        <v>36.0</v>
      </c>
      <c r="N1429" s="19">
        <v>20.0</v>
      </c>
    </row>
    <row r="1430">
      <c r="A1430" s="12">
        <v>1428.0</v>
      </c>
      <c r="B1430" s="13" t="s">
        <v>3408</v>
      </c>
      <c r="C1430" s="14">
        <v>18.0</v>
      </c>
      <c r="D1430" s="15" t="s">
        <v>3409</v>
      </c>
      <c r="E1430" s="16" t="s">
        <v>52</v>
      </c>
      <c r="F1430" s="13" t="s">
        <v>1405</v>
      </c>
      <c r="G1430" s="13" t="s">
        <v>1406</v>
      </c>
      <c r="H1430" s="13" t="s">
        <v>3449</v>
      </c>
      <c r="I1430" s="13" t="s">
        <v>56</v>
      </c>
      <c r="J1430" s="17" t="s">
        <v>67</v>
      </c>
      <c r="K1430" s="17" t="s">
        <v>58</v>
      </c>
      <c r="L1430" s="18" t="s">
        <v>52</v>
      </c>
      <c r="M1430" s="19">
        <v>36.0</v>
      </c>
      <c r="N1430" s="19">
        <v>20.0</v>
      </c>
    </row>
    <row r="1431">
      <c r="A1431" s="12">
        <v>1429.0</v>
      </c>
      <c r="B1431" s="13" t="s">
        <v>3408</v>
      </c>
      <c r="C1431" s="14">
        <v>19.0</v>
      </c>
      <c r="D1431" s="15" t="s">
        <v>3409</v>
      </c>
      <c r="E1431" s="16" t="s">
        <v>52</v>
      </c>
      <c r="F1431" s="13" t="s">
        <v>3450</v>
      </c>
      <c r="G1431" s="13" t="s">
        <v>3451</v>
      </c>
      <c r="H1431" s="13" t="s">
        <v>3452</v>
      </c>
      <c r="I1431" s="13" t="s">
        <v>56</v>
      </c>
      <c r="J1431" s="17" t="s">
        <v>67</v>
      </c>
      <c r="K1431" s="17" t="s">
        <v>58</v>
      </c>
      <c r="L1431" s="18" t="s">
        <v>52</v>
      </c>
      <c r="M1431" s="19">
        <v>36.0</v>
      </c>
      <c r="N1431" s="19">
        <v>20.0</v>
      </c>
    </row>
    <row r="1432">
      <c r="A1432" s="12">
        <v>1430.0</v>
      </c>
      <c r="B1432" s="13" t="s">
        <v>3408</v>
      </c>
      <c r="C1432" s="14">
        <v>20.0</v>
      </c>
      <c r="D1432" s="15" t="s">
        <v>3409</v>
      </c>
      <c r="E1432" s="16" t="s">
        <v>52</v>
      </c>
      <c r="F1432" s="13" t="s">
        <v>3453</v>
      </c>
      <c r="G1432" s="13" t="s">
        <v>3454</v>
      </c>
      <c r="H1432" s="13" t="s">
        <v>3455</v>
      </c>
      <c r="I1432" s="13" t="s">
        <v>56</v>
      </c>
      <c r="J1432" s="17" t="s">
        <v>71</v>
      </c>
      <c r="K1432" s="17" t="s">
        <v>58</v>
      </c>
      <c r="L1432" s="18" t="s">
        <v>52</v>
      </c>
      <c r="M1432" s="19">
        <v>36.0</v>
      </c>
      <c r="N1432" s="19">
        <v>30.0</v>
      </c>
    </row>
    <row r="1433">
      <c r="A1433" s="12">
        <v>1431.0</v>
      </c>
      <c r="B1433" s="13" t="s">
        <v>3408</v>
      </c>
      <c r="C1433" s="14">
        <v>21.0</v>
      </c>
      <c r="D1433" s="15" t="s">
        <v>3409</v>
      </c>
      <c r="E1433" s="16" t="s">
        <v>52</v>
      </c>
      <c r="F1433" s="13" t="s">
        <v>3456</v>
      </c>
      <c r="G1433" s="13" t="s">
        <v>61</v>
      </c>
      <c r="H1433" s="13" t="s">
        <v>3457</v>
      </c>
      <c r="I1433" s="13" t="s">
        <v>56</v>
      </c>
      <c r="J1433" s="17" t="s">
        <v>71</v>
      </c>
      <c r="K1433" s="17" t="s">
        <v>58</v>
      </c>
      <c r="L1433" s="18" t="s">
        <v>52</v>
      </c>
      <c r="M1433" s="19">
        <v>36.0</v>
      </c>
      <c r="N1433" s="19">
        <v>30.0</v>
      </c>
    </row>
    <row r="1434">
      <c r="A1434" s="12">
        <v>1432.0</v>
      </c>
      <c r="B1434" s="13" t="s">
        <v>3408</v>
      </c>
      <c r="C1434" s="14">
        <v>22.0</v>
      </c>
      <c r="D1434" s="15" t="s">
        <v>3409</v>
      </c>
      <c r="E1434" s="16" t="s">
        <v>52</v>
      </c>
      <c r="F1434" s="13" t="s">
        <v>1335</v>
      </c>
      <c r="G1434" s="13" t="s">
        <v>3458</v>
      </c>
      <c r="H1434" s="13" t="s">
        <v>3459</v>
      </c>
      <c r="I1434" s="13" t="s">
        <v>56</v>
      </c>
      <c r="J1434" s="17" t="s">
        <v>71</v>
      </c>
      <c r="K1434" s="17" t="s">
        <v>58</v>
      </c>
      <c r="L1434" s="18" t="s">
        <v>52</v>
      </c>
      <c r="M1434" s="19">
        <v>36.0</v>
      </c>
      <c r="N1434" s="19">
        <v>30.0</v>
      </c>
    </row>
    <row r="1435">
      <c r="A1435" s="12">
        <v>1433.0</v>
      </c>
      <c r="B1435" s="13" t="s">
        <v>3408</v>
      </c>
      <c r="C1435" s="14">
        <v>23.0</v>
      </c>
      <c r="D1435" s="15" t="s">
        <v>3409</v>
      </c>
      <c r="E1435" s="16" t="s">
        <v>52</v>
      </c>
      <c r="F1435" s="13" t="s">
        <v>1665</v>
      </c>
      <c r="G1435" s="13" t="s">
        <v>1666</v>
      </c>
      <c r="H1435" s="13" t="s">
        <v>3460</v>
      </c>
      <c r="I1435" s="13" t="s">
        <v>56</v>
      </c>
      <c r="J1435" s="17" t="s">
        <v>71</v>
      </c>
      <c r="K1435" s="17" t="s">
        <v>58</v>
      </c>
      <c r="L1435" s="18" t="s">
        <v>52</v>
      </c>
      <c r="M1435" s="19">
        <v>36.0</v>
      </c>
      <c r="N1435" s="19">
        <v>30.0</v>
      </c>
    </row>
    <row r="1436">
      <c r="A1436" s="12">
        <v>1434.0</v>
      </c>
      <c r="B1436" s="13" t="s">
        <v>3408</v>
      </c>
      <c r="C1436" s="14">
        <v>24.0</v>
      </c>
      <c r="D1436" s="15" t="s">
        <v>3409</v>
      </c>
      <c r="E1436" s="16" t="s">
        <v>52</v>
      </c>
      <c r="F1436" s="13" t="s">
        <v>3461</v>
      </c>
      <c r="G1436" s="13" t="s">
        <v>61</v>
      </c>
      <c r="H1436" s="13" t="s">
        <v>3462</v>
      </c>
      <c r="I1436" s="13" t="s">
        <v>56</v>
      </c>
      <c r="J1436" s="17" t="s">
        <v>71</v>
      </c>
      <c r="K1436" s="17" t="s">
        <v>58</v>
      </c>
      <c r="L1436" s="18" t="s">
        <v>52</v>
      </c>
      <c r="M1436" s="19">
        <v>36.0</v>
      </c>
      <c r="N1436" s="19">
        <v>30.0</v>
      </c>
    </row>
    <row r="1437">
      <c r="A1437" s="12">
        <v>1435.0</v>
      </c>
      <c r="B1437" s="13" t="s">
        <v>3408</v>
      </c>
      <c r="C1437" s="14">
        <v>25.0</v>
      </c>
      <c r="D1437" s="15" t="s">
        <v>3463</v>
      </c>
      <c r="E1437" s="16" t="s">
        <v>52</v>
      </c>
      <c r="F1437" s="13" t="s">
        <v>3464</v>
      </c>
      <c r="G1437" s="13" t="s">
        <v>3465</v>
      </c>
      <c r="H1437" s="13" t="s">
        <v>3466</v>
      </c>
      <c r="I1437" s="13" t="s">
        <v>63</v>
      </c>
      <c r="J1437" s="17" t="s">
        <v>71</v>
      </c>
      <c r="K1437" s="17" t="s">
        <v>58</v>
      </c>
      <c r="L1437" s="18" t="s">
        <v>52</v>
      </c>
      <c r="M1437" s="19">
        <v>36.0</v>
      </c>
      <c r="N1437" s="19">
        <v>31.0</v>
      </c>
    </row>
    <row r="1438">
      <c r="A1438" s="12">
        <v>1436.0</v>
      </c>
      <c r="B1438" s="13" t="s">
        <v>3408</v>
      </c>
      <c r="C1438" s="14">
        <v>26.0</v>
      </c>
      <c r="D1438" s="15" t="s">
        <v>3463</v>
      </c>
      <c r="E1438" s="16" t="s">
        <v>52</v>
      </c>
      <c r="F1438" s="13" t="s">
        <v>3467</v>
      </c>
      <c r="G1438" s="13" t="s">
        <v>3468</v>
      </c>
      <c r="H1438" s="13" t="s">
        <v>3469</v>
      </c>
      <c r="I1438" s="13" t="s">
        <v>63</v>
      </c>
      <c r="J1438" s="17" t="s">
        <v>71</v>
      </c>
      <c r="K1438" s="17" t="s">
        <v>58</v>
      </c>
      <c r="L1438" s="18" t="s">
        <v>52</v>
      </c>
      <c r="M1438" s="19">
        <v>36.0</v>
      </c>
      <c r="N1438" s="19">
        <v>31.0</v>
      </c>
    </row>
    <row r="1439">
      <c r="A1439" s="12">
        <v>1437.0</v>
      </c>
      <c r="B1439" s="13" t="s">
        <v>3408</v>
      </c>
      <c r="C1439" s="14">
        <v>27.0</v>
      </c>
      <c r="D1439" s="15" t="s">
        <v>3463</v>
      </c>
      <c r="E1439" s="16" t="s">
        <v>52</v>
      </c>
      <c r="F1439" s="13" t="s">
        <v>1159</v>
      </c>
      <c r="G1439" s="13" t="s">
        <v>1160</v>
      </c>
      <c r="H1439" s="13" t="s">
        <v>3470</v>
      </c>
      <c r="I1439" s="13" t="s">
        <v>63</v>
      </c>
      <c r="J1439" s="17" t="s">
        <v>71</v>
      </c>
      <c r="K1439" s="17" t="s">
        <v>58</v>
      </c>
      <c r="L1439" s="18" t="s">
        <v>52</v>
      </c>
      <c r="M1439" s="19">
        <v>36.0</v>
      </c>
      <c r="N1439" s="19">
        <v>31.0</v>
      </c>
    </row>
    <row r="1440">
      <c r="A1440" s="12">
        <v>1438.0</v>
      </c>
      <c r="B1440" s="13" t="s">
        <v>3408</v>
      </c>
      <c r="C1440" s="14">
        <v>28.0</v>
      </c>
      <c r="D1440" s="15" t="s">
        <v>3463</v>
      </c>
      <c r="E1440" s="16" t="s">
        <v>52</v>
      </c>
      <c r="F1440" s="13" t="s">
        <v>3471</v>
      </c>
      <c r="G1440" s="13" t="s">
        <v>3472</v>
      </c>
      <c r="H1440" s="13" t="s">
        <v>3473</v>
      </c>
      <c r="I1440" s="13" t="s">
        <v>63</v>
      </c>
      <c r="J1440" s="17" t="s">
        <v>71</v>
      </c>
      <c r="K1440" s="17" t="s">
        <v>58</v>
      </c>
      <c r="L1440" s="18" t="s">
        <v>52</v>
      </c>
      <c r="M1440" s="19">
        <v>36.0</v>
      </c>
      <c r="N1440" s="19">
        <v>31.0</v>
      </c>
    </row>
    <row r="1441">
      <c r="A1441" s="12">
        <v>1439.0</v>
      </c>
      <c r="B1441" s="13" t="s">
        <v>3408</v>
      </c>
      <c r="C1441" s="14">
        <v>29.0</v>
      </c>
      <c r="D1441" s="15" t="s">
        <v>3463</v>
      </c>
      <c r="E1441" s="16" t="s">
        <v>52</v>
      </c>
      <c r="F1441" s="13" t="s">
        <v>3474</v>
      </c>
      <c r="G1441" s="13" t="s">
        <v>3475</v>
      </c>
      <c r="H1441" s="13" t="s">
        <v>3476</v>
      </c>
      <c r="I1441" s="13" t="s">
        <v>63</v>
      </c>
      <c r="J1441" s="17" t="s">
        <v>71</v>
      </c>
      <c r="K1441" s="17" t="s">
        <v>58</v>
      </c>
      <c r="L1441" s="18" t="s">
        <v>52</v>
      </c>
      <c r="M1441" s="19">
        <v>36.0</v>
      </c>
      <c r="N1441" s="19">
        <v>31.0</v>
      </c>
    </row>
    <row r="1442">
      <c r="A1442" s="12">
        <v>1440.0</v>
      </c>
      <c r="B1442" s="13" t="s">
        <v>3408</v>
      </c>
      <c r="C1442" s="14">
        <v>30.0</v>
      </c>
      <c r="D1442" s="15" t="s">
        <v>3463</v>
      </c>
      <c r="E1442" s="16" t="s">
        <v>52</v>
      </c>
      <c r="F1442" s="13" t="s">
        <v>3477</v>
      </c>
      <c r="G1442" s="13" t="s">
        <v>61</v>
      </c>
      <c r="H1442" s="13" t="s">
        <v>3478</v>
      </c>
      <c r="I1442" s="13" t="s">
        <v>63</v>
      </c>
      <c r="J1442" s="17" t="s">
        <v>71</v>
      </c>
      <c r="K1442" s="17" t="s">
        <v>58</v>
      </c>
      <c r="L1442" s="18" t="s">
        <v>52</v>
      </c>
      <c r="M1442" s="19">
        <v>36.0</v>
      </c>
      <c r="N1442" s="19">
        <v>31.0</v>
      </c>
    </row>
    <row r="1443">
      <c r="A1443" s="12">
        <v>1441.0</v>
      </c>
      <c r="B1443" s="13" t="s">
        <v>1722</v>
      </c>
      <c r="C1443" s="14">
        <v>1.0</v>
      </c>
      <c r="D1443" s="15" t="s">
        <v>3479</v>
      </c>
      <c r="E1443" s="16" t="s">
        <v>52</v>
      </c>
      <c r="F1443" s="13" t="s">
        <v>3414</v>
      </c>
      <c r="G1443" s="13" t="s">
        <v>3480</v>
      </c>
      <c r="H1443" s="13" t="s">
        <v>3481</v>
      </c>
      <c r="I1443" s="13" t="s">
        <v>56</v>
      </c>
      <c r="J1443" s="17" t="s">
        <v>57</v>
      </c>
      <c r="K1443" s="17" t="s">
        <v>58</v>
      </c>
      <c r="L1443" s="18" t="s">
        <v>52</v>
      </c>
      <c r="M1443" s="19">
        <v>37.0</v>
      </c>
      <c r="N1443" s="19">
        <v>10.0</v>
      </c>
    </row>
    <row r="1444">
      <c r="A1444" s="12">
        <v>1442.0</v>
      </c>
      <c r="B1444" s="13" t="s">
        <v>1722</v>
      </c>
      <c r="C1444" s="14">
        <v>2.0</v>
      </c>
      <c r="D1444" s="15" t="s">
        <v>3482</v>
      </c>
      <c r="E1444" s="16" t="s">
        <v>52</v>
      </c>
      <c r="F1444" s="13" t="s">
        <v>3461</v>
      </c>
      <c r="G1444" s="13" t="s">
        <v>3483</v>
      </c>
      <c r="H1444" s="13" t="s">
        <v>3484</v>
      </c>
      <c r="I1444" s="13" t="s">
        <v>56</v>
      </c>
      <c r="J1444" s="17" t="s">
        <v>67</v>
      </c>
      <c r="K1444" s="17" t="s">
        <v>58</v>
      </c>
      <c r="L1444" s="18" t="s">
        <v>52</v>
      </c>
      <c r="M1444" s="19">
        <v>37.0</v>
      </c>
      <c r="N1444" s="19">
        <v>20.0</v>
      </c>
    </row>
    <row r="1445">
      <c r="A1445" s="12">
        <v>1443.0</v>
      </c>
      <c r="B1445" s="13" t="s">
        <v>1722</v>
      </c>
      <c r="C1445" s="14">
        <v>3.0</v>
      </c>
      <c r="D1445" s="15" t="s">
        <v>3482</v>
      </c>
      <c r="E1445" s="16" t="s">
        <v>52</v>
      </c>
      <c r="F1445" s="13" t="s">
        <v>3485</v>
      </c>
      <c r="G1445" s="13" t="s">
        <v>3486</v>
      </c>
      <c r="H1445" s="13" t="s">
        <v>3487</v>
      </c>
      <c r="I1445" s="13" t="s">
        <v>63</v>
      </c>
      <c r="J1445" s="17" t="s">
        <v>67</v>
      </c>
      <c r="K1445" s="17" t="s">
        <v>58</v>
      </c>
      <c r="L1445" s="18" t="s">
        <v>52</v>
      </c>
      <c r="M1445" s="19">
        <v>37.0</v>
      </c>
      <c r="N1445" s="19">
        <v>21.0</v>
      </c>
    </row>
    <row r="1446">
      <c r="A1446" s="12">
        <v>1444.0</v>
      </c>
      <c r="B1446" s="13" t="s">
        <v>1722</v>
      </c>
      <c r="C1446" s="14">
        <v>4.0</v>
      </c>
      <c r="D1446" s="15" t="s">
        <v>3482</v>
      </c>
      <c r="E1446" s="16" t="s">
        <v>52</v>
      </c>
      <c r="F1446" s="13" t="s">
        <v>1460</v>
      </c>
      <c r="G1446" s="13" t="s">
        <v>3488</v>
      </c>
      <c r="H1446" s="13" t="s">
        <v>3489</v>
      </c>
      <c r="I1446" s="13" t="s">
        <v>63</v>
      </c>
      <c r="J1446" s="17" t="s">
        <v>67</v>
      </c>
      <c r="K1446" s="17" t="s">
        <v>58</v>
      </c>
      <c r="L1446" s="18" t="s">
        <v>52</v>
      </c>
      <c r="M1446" s="19">
        <v>37.0</v>
      </c>
      <c r="N1446" s="19">
        <v>21.0</v>
      </c>
    </row>
    <row r="1447">
      <c r="A1447" s="12">
        <v>1445.0</v>
      </c>
      <c r="B1447" s="13" t="s">
        <v>1722</v>
      </c>
      <c r="C1447" s="14">
        <v>5.0</v>
      </c>
      <c r="D1447" s="15" t="s">
        <v>3479</v>
      </c>
      <c r="E1447" s="16" t="s">
        <v>52</v>
      </c>
      <c r="F1447" s="13" t="s">
        <v>3456</v>
      </c>
      <c r="G1447" s="13" t="s">
        <v>61</v>
      </c>
      <c r="H1447" s="13" t="s">
        <v>3490</v>
      </c>
      <c r="I1447" s="13" t="s">
        <v>63</v>
      </c>
      <c r="J1447" s="17" t="s">
        <v>67</v>
      </c>
      <c r="K1447" s="17" t="s">
        <v>58</v>
      </c>
      <c r="L1447" s="18" t="s">
        <v>52</v>
      </c>
      <c r="M1447" s="19">
        <v>37.0</v>
      </c>
      <c r="N1447" s="19">
        <v>21.0</v>
      </c>
    </row>
    <row r="1448">
      <c r="A1448" s="12">
        <v>1446.0</v>
      </c>
      <c r="B1448" s="13" t="s">
        <v>1722</v>
      </c>
      <c r="C1448" s="14">
        <v>6.0</v>
      </c>
      <c r="D1448" s="15" t="s">
        <v>3479</v>
      </c>
      <c r="E1448" s="16" t="s">
        <v>52</v>
      </c>
      <c r="F1448" s="13" t="s">
        <v>3412</v>
      </c>
      <c r="G1448" s="13" t="s">
        <v>3491</v>
      </c>
      <c r="H1448" s="13" t="s">
        <v>3492</v>
      </c>
      <c r="I1448" s="13" t="s">
        <v>56</v>
      </c>
      <c r="J1448" s="17" t="s">
        <v>71</v>
      </c>
      <c r="K1448" s="17" t="s">
        <v>58</v>
      </c>
      <c r="L1448" s="18" t="s">
        <v>52</v>
      </c>
      <c r="M1448" s="19">
        <v>37.0</v>
      </c>
      <c r="N1448" s="19">
        <v>30.0</v>
      </c>
    </row>
    <row r="1449">
      <c r="A1449" s="12">
        <v>1447.0</v>
      </c>
      <c r="B1449" s="13" t="s">
        <v>1722</v>
      </c>
      <c r="C1449" s="14">
        <v>7.0</v>
      </c>
      <c r="D1449" s="15" t="s">
        <v>3482</v>
      </c>
      <c r="E1449" s="16" t="s">
        <v>52</v>
      </c>
      <c r="F1449" s="13" t="s">
        <v>3477</v>
      </c>
      <c r="G1449" s="13" t="s">
        <v>61</v>
      </c>
      <c r="H1449" s="13" t="s">
        <v>3478</v>
      </c>
      <c r="I1449" s="13" t="s">
        <v>63</v>
      </c>
      <c r="J1449" s="17" t="s">
        <v>71</v>
      </c>
      <c r="K1449" s="17" t="s">
        <v>58</v>
      </c>
      <c r="L1449" s="18" t="s">
        <v>52</v>
      </c>
      <c r="M1449" s="19">
        <v>37.0</v>
      </c>
      <c r="N1449" s="19">
        <v>31.0</v>
      </c>
    </row>
    <row r="1450">
      <c r="A1450" s="12">
        <v>1448.0</v>
      </c>
      <c r="B1450" s="13" t="s">
        <v>1722</v>
      </c>
      <c r="C1450" s="14">
        <v>8.0</v>
      </c>
      <c r="D1450" s="15" t="s">
        <v>3482</v>
      </c>
      <c r="E1450" s="16" t="s">
        <v>52</v>
      </c>
      <c r="F1450" s="13" t="s">
        <v>3495</v>
      </c>
      <c r="G1450" s="13" t="s">
        <v>3496</v>
      </c>
      <c r="H1450" s="13" t="s">
        <v>3497</v>
      </c>
      <c r="I1450" s="13" t="s">
        <v>63</v>
      </c>
      <c r="J1450" s="17" t="s">
        <v>71</v>
      </c>
      <c r="K1450" s="17" t="s">
        <v>58</v>
      </c>
      <c r="L1450" s="18" t="s">
        <v>52</v>
      </c>
      <c r="M1450" s="19">
        <v>37.0</v>
      </c>
      <c r="N1450" s="19">
        <v>31.0</v>
      </c>
    </row>
    <row r="1451">
      <c r="A1451" s="12">
        <v>1449.0</v>
      </c>
      <c r="B1451" s="13" t="s">
        <v>1722</v>
      </c>
      <c r="C1451" s="14">
        <v>9.0</v>
      </c>
      <c r="D1451" s="15" t="s">
        <v>3482</v>
      </c>
      <c r="E1451" s="16" t="s">
        <v>52</v>
      </c>
      <c r="F1451" s="13" t="s">
        <v>3498</v>
      </c>
      <c r="G1451" s="13" t="s">
        <v>3499</v>
      </c>
      <c r="H1451" s="13" t="s">
        <v>3500</v>
      </c>
      <c r="I1451" s="13" t="s">
        <v>63</v>
      </c>
      <c r="J1451" s="17" t="s">
        <v>71</v>
      </c>
      <c r="K1451" s="17" t="s">
        <v>58</v>
      </c>
      <c r="L1451" s="18" t="s">
        <v>52</v>
      </c>
      <c r="M1451" s="19">
        <v>37.0</v>
      </c>
      <c r="N1451" s="19">
        <v>31.0</v>
      </c>
    </row>
    <row r="1452">
      <c r="A1452" s="12">
        <v>1450.0</v>
      </c>
      <c r="B1452" s="13" t="s">
        <v>1722</v>
      </c>
      <c r="C1452" s="14">
        <v>10.0</v>
      </c>
      <c r="D1452" s="15" t="s">
        <v>3482</v>
      </c>
      <c r="E1452" s="16" t="s">
        <v>52</v>
      </c>
      <c r="F1452" s="13" t="s">
        <v>3502</v>
      </c>
      <c r="G1452" s="13" t="s">
        <v>3503</v>
      </c>
      <c r="H1452" s="13" t="s">
        <v>3504</v>
      </c>
      <c r="I1452" s="13" t="s">
        <v>63</v>
      </c>
      <c r="J1452" s="17" t="s">
        <v>71</v>
      </c>
      <c r="K1452" s="17" t="s">
        <v>58</v>
      </c>
      <c r="L1452" s="18" t="s">
        <v>52</v>
      </c>
      <c r="M1452" s="19">
        <v>37.0</v>
      </c>
      <c r="N1452" s="19">
        <v>31.0</v>
      </c>
    </row>
    <row r="1453">
      <c r="A1453" s="12">
        <v>1451.0</v>
      </c>
      <c r="B1453" s="13" t="s">
        <v>1722</v>
      </c>
      <c r="C1453" s="14">
        <v>11.0</v>
      </c>
      <c r="D1453" s="15" t="s">
        <v>3482</v>
      </c>
      <c r="E1453" s="16" t="s">
        <v>52</v>
      </c>
      <c r="F1453" s="13" t="s">
        <v>3505</v>
      </c>
      <c r="G1453" s="13" t="s">
        <v>61</v>
      </c>
      <c r="H1453" s="13" t="s">
        <v>3507</v>
      </c>
      <c r="I1453" s="13" t="s">
        <v>63</v>
      </c>
      <c r="J1453" s="17" t="s">
        <v>71</v>
      </c>
      <c r="K1453" s="17" t="s">
        <v>58</v>
      </c>
      <c r="L1453" s="18" t="s">
        <v>52</v>
      </c>
      <c r="M1453" s="19">
        <v>37.0</v>
      </c>
      <c r="N1453" s="19">
        <v>31.0</v>
      </c>
    </row>
    <row r="1454">
      <c r="A1454" s="12">
        <v>1452.0</v>
      </c>
      <c r="B1454" s="13" t="s">
        <v>1722</v>
      </c>
      <c r="C1454" s="14">
        <v>12.0</v>
      </c>
      <c r="D1454" s="15" t="s">
        <v>3482</v>
      </c>
      <c r="E1454" s="16" t="s">
        <v>52</v>
      </c>
      <c r="F1454" s="13" t="s">
        <v>2759</v>
      </c>
      <c r="G1454" s="13" t="s">
        <v>3508</v>
      </c>
      <c r="H1454" s="13" t="s">
        <v>3509</v>
      </c>
      <c r="I1454" s="13" t="s">
        <v>63</v>
      </c>
      <c r="J1454" s="17" t="s">
        <v>71</v>
      </c>
      <c r="K1454" s="17" t="s">
        <v>58</v>
      </c>
      <c r="L1454" s="18" t="s">
        <v>52</v>
      </c>
      <c r="M1454" s="19">
        <v>37.0</v>
      </c>
      <c r="N1454" s="19">
        <v>31.0</v>
      </c>
    </row>
    <row r="1455">
      <c r="A1455" s="12">
        <v>1453.0</v>
      </c>
      <c r="B1455" s="13" t="s">
        <v>1722</v>
      </c>
      <c r="C1455" s="14">
        <v>13.0</v>
      </c>
      <c r="D1455" s="15" t="s">
        <v>3482</v>
      </c>
      <c r="E1455" s="16" t="s">
        <v>52</v>
      </c>
      <c r="F1455" s="13" t="s">
        <v>894</v>
      </c>
      <c r="G1455" s="13" t="s">
        <v>3510</v>
      </c>
      <c r="H1455" s="13" t="s">
        <v>3511</v>
      </c>
      <c r="I1455" s="13" t="s">
        <v>63</v>
      </c>
      <c r="J1455" s="17" t="s">
        <v>71</v>
      </c>
      <c r="K1455" s="17" t="s">
        <v>58</v>
      </c>
      <c r="L1455" s="18" t="s">
        <v>52</v>
      </c>
      <c r="M1455" s="19">
        <v>37.0</v>
      </c>
      <c r="N1455" s="19">
        <v>31.0</v>
      </c>
    </row>
    <row r="1456">
      <c r="A1456" s="12">
        <v>1454.0</v>
      </c>
      <c r="B1456" s="13" t="s">
        <v>1722</v>
      </c>
      <c r="C1456" s="14">
        <v>14.0</v>
      </c>
      <c r="D1456" s="15" t="s">
        <v>3513</v>
      </c>
      <c r="E1456" s="16" t="s">
        <v>52</v>
      </c>
      <c r="F1456" s="13" t="s">
        <v>3408</v>
      </c>
      <c r="G1456" s="13" t="s">
        <v>3514</v>
      </c>
      <c r="H1456" s="13" t="s">
        <v>3515</v>
      </c>
      <c r="I1456" s="13" t="s">
        <v>63</v>
      </c>
      <c r="J1456" s="17" t="s">
        <v>71</v>
      </c>
      <c r="K1456" s="17" t="s">
        <v>58</v>
      </c>
      <c r="L1456" s="18" t="s">
        <v>52</v>
      </c>
      <c r="M1456" s="19">
        <v>37.0</v>
      </c>
      <c r="N1456" s="19">
        <v>31.0</v>
      </c>
    </row>
    <row r="1457">
      <c r="A1457" s="12">
        <v>1455.0</v>
      </c>
      <c r="B1457" s="13" t="s">
        <v>1722</v>
      </c>
      <c r="C1457" s="14">
        <v>15.0</v>
      </c>
      <c r="D1457" s="15" t="s">
        <v>3513</v>
      </c>
      <c r="E1457" s="16" t="s">
        <v>52</v>
      </c>
      <c r="F1457" s="13" t="s">
        <v>1714</v>
      </c>
      <c r="G1457" s="13" t="s">
        <v>61</v>
      </c>
      <c r="H1457" s="13" t="s">
        <v>1715</v>
      </c>
      <c r="I1457" s="13" t="s">
        <v>63</v>
      </c>
      <c r="J1457" s="17" t="s">
        <v>71</v>
      </c>
      <c r="K1457" s="17" t="s">
        <v>58</v>
      </c>
      <c r="L1457" s="18" t="s">
        <v>52</v>
      </c>
      <c r="M1457" s="19">
        <v>37.0</v>
      </c>
      <c r="N1457" s="19">
        <v>31.0</v>
      </c>
    </row>
    <row r="1458">
      <c r="A1458" s="12">
        <v>1456.0</v>
      </c>
      <c r="B1458" s="13" t="s">
        <v>1722</v>
      </c>
      <c r="C1458" s="14">
        <v>16.0</v>
      </c>
      <c r="D1458" s="15" t="s">
        <v>3513</v>
      </c>
      <c r="E1458" s="16" t="s">
        <v>52</v>
      </c>
      <c r="F1458" s="13" t="s">
        <v>1716</v>
      </c>
      <c r="G1458" s="13" t="s">
        <v>61</v>
      </c>
      <c r="H1458" s="13" t="s">
        <v>3516</v>
      </c>
      <c r="I1458" s="13" t="s">
        <v>63</v>
      </c>
      <c r="J1458" s="17" t="s">
        <v>71</v>
      </c>
      <c r="K1458" s="17" t="s">
        <v>58</v>
      </c>
      <c r="L1458" s="18" t="s">
        <v>52</v>
      </c>
      <c r="M1458" s="19">
        <v>37.0</v>
      </c>
      <c r="N1458" s="19">
        <v>31.0</v>
      </c>
    </row>
    <row r="1459">
      <c r="A1459" s="12">
        <v>1457.0</v>
      </c>
      <c r="B1459" s="13" t="s">
        <v>1722</v>
      </c>
      <c r="C1459" s="14">
        <v>17.0</v>
      </c>
      <c r="D1459" s="15" t="s">
        <v>3513</v>
      </c>
      <c r="E1459" s="16" t="s">
        <v>52</v>
      </c>
      <c r="F1459" s="13" t="s">
        <v>3517</v>
      </c>
      <c r="G1459" s="13" t="s">
        <v>3518</v>
      </c>
      <c r="H1459" s="13" t="s">
        <v>3519</v>
      </c>
      <c r="I1459" s="13" t="s">
        <v>63</v>
      </c>
      <c r="J1459" s="17" t="s">
        <v>71</v>
      </c>
      <c r="K1459" s="17" t="s">
        <v>58</v>
      </c>
      <c r="L1459" s="18" t="s">
        <v>52</v>
      </c>
      <c r="M1459" s="19">
        <v>37.0</v>
      </c>
      <c r="N1459" s="19">
        <v>31.0</v>
      </c>
    </row>
    <row r="1460">
      <c r="A1460" s="12">
        <v>1458.0</v>
      </c>
      <c r="B1460" s="13" t="s">
        <v>1722</v>
      </c>
      <c r="C1460" s="14">
        <v>18.0</v>
      </c>
      <c r="D1460" s="15" t="s">
        <v>3513</v>
      </c>
      <c r="E1460" s="16" t="s">
        <v>52</v>
      </c>
      <c r="F1460" s="13" t="s">
        <v>3520</v>
      </c>
      <c r="G1460" s="13" t="s">
        <v>3521</v>
      </c>
      <c r="H1460" s="13" t="s">
        <v>3522</v>
      </c>
      <c r="I1460" s="13" t="s">
        <v>63</v>
      </c>
      <c r="J1460" s="17" t="s">
        <v>71</v>
      </c>
      <c r="K1460" s="17" t="s">
        <v>58</v>
      </c>
      <c r="L1460" s="18" t="s">
        <v>52</v>
      </c>
      <c r="M1460" s="19">
        <v>37.0</v>
      </c>
      <c r="N1460" s="19">
        <v>31.0</v>
      </c>
    </row>
    <row r="1461">
      <c r="A1461" s="12">
        <v>1459.0</v>
      </c>
      <c r="B1461" s="13" t="s">
        <v>1722</v>
      </c>
      <c r="C1461" s="14">
        <v>19.0</v>
      </c>
      <c r="D1461" s="15" t="s">
        <v>3513</v>
      </c>
      <c r="E1461" s="16" t="s">
        <v>52</v>
      </c>
      <c r="F1461" s="13" t="s">
        <v>3033</v>
      </c>
      <c r="G1461" s="13" t="s">
        <v>3523</v>
      </c>
      <c r="H1461" s="13" t="s">
        <v>3524</v>
      </c>
      <c r="I1461" s="13" t="s">
        <v>63</v>
      </c>
      <c r="J1461" s="17" t="s">
        <v>71</v>
      </c>
      <c r="K1461" s="17" t="s">
        <v>58</v>
      </c>
      <c r="L1461" s="18" t="s">
        <v>52</v>
      </c>
      <c r="M1461" s="19">
        <v>37.0</v>
      </c>
      <c r="N1461" s="19">
        <v>31.0</v>
      </c>
    </row>
    <row r="1462">
      <c r="A1462" s="12">
        <v>1460.0</v>
      </c>
      <c r="B1462" s="13" t="s">
        <v>1722</v>
      </c>
      <c r="C1462" s="14">
        <v>20.0</v>
      </c>
      <c r="D1462" s="15" t="s">
        <v>3513</v>
      </c>
      <c r="E1462" s="16" t="s">
        <v>52</v>
      </c>
      <c r="F1462" s="13" t="s">
        <v>3059</v>
      </c>
      <c r="G1462" s="13" t="s">
        <v>3061</v>
      </c>
      <c r="H1462" s="13" t="s">
        <v>3526</v>
      </c>
      <c r="I1462" s="13" t="s">
        <v>63</v>
      </c>
      <c r="J1462" s="17" t="s">
        <v>71</v>
      </c>
      <c r="K1462" s="17" t="s">
        <v>58</v>
      </c>
      <c r="L1462" s="18" t="s">
        <v>52</v>
      </c>
      <c r="M1462" s="19">
        <v>37.0</v>
      </c>
      <c r="N1462" s="19">
        <v>31.0</v>
      </c>
    </row>
    <row r="1463">
      <c r="A1463" s="12">
        <v>1461.0</v>
      </c>
      <c r="B1463" s="13" t="s">
        <v>1722</v>
      </c>
      <c r="C1463" s="14">
        <v>21.0</v>
      </c>
      <c r="D1463" s="15" t="s">
        <v>3513</v>
      </c>
      <c r="E1463" s="16" t="s">
        <v>52</v>
      </c>
      <c r="F1463" s="13" t="s">
        <v>3528</v>
      </c>
      <c r="G1463" s="13" t="s">
        <v>3529</v>
      </c>
      <c r="H1463" s="13" t="s">
        <v>3530</v>
      </c>
      <c r="I1463" s="13" t="s">
        <v>63</v>
      </c>
      <c r="J1463" s="17" t="s">
        <v>71</v>
      </c>
      <c r="K1463" s="17" t="s">
        <v>58</v>
      </c>
      <c r="L1463" s="18" t="s">
        <v>52</v>
      </c>
      <c r="M1463" s="19">
        <v>37.0</v>
      </c>
      <c r="N1463" s="19">
        <v>31.0</v>
      </c>
    </row>
    <row r="1464">
      <c r="A1464" s="12">
        <v>1462.0</v>
      </c>
      <c r="B1464" s="13" t="s">
        <v>1722</v>
      </c>
      <c r="C1464" s="14">
        <v>22.0</v>
      </c>
      <c r="D1464" s="15" t="s">
        <v>3513</v>
      </c>
      <c r="E1464" s="16" t="s">
        <v>52</v>
      </c>
      <c r="F1464" s="13" t="s">
        <v>1255</v>
      </c>
      <c r="G1464" s="13" t="s">
        <v>3531</v>
      </c>
      <c r="H1464" s="13" t="s">
        <v>3532</v>
      </c>
      <c r="I1464" s="13" t="s">
        <v>63</v>
      </c>
      <c r="J1464" s="17" t="s">
        <v>71</v>
      </c>
      <c r="K1464" s="17" t="s">
        <v>58</v>
      </c>
      <c r="L1464" s="18" t="s">
        <v>52</v>
      </c>
      <c r="M1464" s="19">
        <v>37.0</v>
      </c>
      <c r="N1464" s="19">
        <v>31.0</v>
      </c>
    </row>
    <row r="1465">
      <c r="A1465" s="12">
        <v>1463.0</v>
      </c>
      <c r="B1465" s="13" t="s">
        <v>1722</v>
      </c>
      <c r="C1465" s="14">
        <v>23.0</v>
      </c>
      <c r="D1465" s="15" t="s">
        <v>3513</v>
      </c>
      <c r="E1465" s="16" t="s">
        <v>52</v>
      </c>
      <c r="F1465" s="13" t="s">
        <v>3533</v>
      </c>
      <c r="G1465" s="13" t="s">
        <v>3534</v>
      </c>
      <c r="H1465" s="13" t="s">
        <v>3535</v>
      </c>
      <c r="I1465" s="13" t="s">
        <v>63</v>
      </c>
      <c r="J1465" s="17" t="s">
        <v>71</v>
      </c>
      <c r="K1465" s="17" t="s">
        <v>58</v>
      </c>
      <c r="L1465" s="18" t="s">
        <v>52</v>
      </c>
      <c r="M1465" s="19">
        <v>37.0</v>
      </c>
      <c r="N1465" s="19">
        <v>31.0</v>
      </c>
    </row>
    <row r="1466">
      <c r="A1466" s="12">
        <v>1464.0</v>
      </c>
      <c r="B1466" s="13" t="s">
        <v>1722</v>
      </c>
      <c r="C1466" s="14">
        <v>24.0</v>
      </c>
      <c r="D1466" s="15" t="s">
        <v>3513</v>
      </c>
      <c r="E1466" s="16" t="s">
        <v>52</v>
      </c>
      <c r="F1466" s="13" t="s">
        <v>3450</v>
      </c>
      <c r="G1466" s="13" t="s">
        <v>3536</v>
      </c>
      <c r="H1466" s="13" t="s">
        <v>3537</v>
      </c>
      <c r="I1466" s="13" t="s">
        <v>63</v>
      </c>
      <c r="J1466" s="17" t="s">
        <v>71</v>
      </c>
      <c r="K1466" s="17" t="s">
        <v>58</v>
      </c>
      <c r="L1466" s="18" t="s">
        <v>52</v>
      </c>
      <c r="M1466" s="19">
        <v>37.0</v>
      </c>
      <c r="N1466" s="19">
        <v>31.0</v>
      </c>
    </row>
    <row r="1467">
      <c r="A1467" s="12">
        <v>1465.0</v>
      </c>
      <c r="B1467" s="13" t="s">
        <v>1722</v>
      </c>
      <c r="C1467" s="14">
        <v>25.0</v>
      </c>
      <c r="D1467" s="15" t="s">
        <v>3513</v>
      </c>
      <c r="E1467" s="16" t="s">
        <v>52</v>
      </c>
      <c r="F1467" s="13" t="s">
        <v>3328</v>
      </c>
      <c r="G1467" s="13" t="s">
        <v>3538</v>
      </c>
      <c r="H1467" s="13" t="s">
        <v>3539</v>
      </c>
      <c r="I1467" s="13" t="s">
        <v>63</v>
      </c>
      <c r="J1467" s="17" t="s">
        <v>71</v>
      </c>
      <c r="K1467" s="17" t="s">
        <v>58</v>
      </c>
      <c r="L1467" s="18" t="s">
        <v>52</v>
      </c>
      <c r="M1467" s="19">
        <v>37.0</v>
      </c>
      <c r="N1467" s="19">
        <v>31.0</v>
      </c>
    </row>
    <row r="1468">
      <c r="A1468" s="12">
        <v>1466.0</v>
      </c>
      <c r="B1468" s="13" t="s">
        <v>1722</v>
      </c>
      <c r="C1468" s="14">
        <v>26.0</v>
      </c>
      <c r="D1468" s="15" t="s">
        <v>3513</v>
      </c>
      <c r="E1468" s="16" t="s">
        <v>52</v>
      </c>
      <c r="F1468" s="13" t="s">
        <v>1475</v>
      </c>
      <c r="G1468" s="13" t="s">
        <v>3541</v>
      </c>
      <c r="H1468" s="13" t="s">
        <v>3542</v>
      </c>
      <c r="I1468" s="13" t="s">
        <v>63</v>
      </c>
      <c r="J1468" s="17" t="s">
        <v>71</v>
      </c>
      <c r="K1468" s="17" t="s">
        <v>58</v>
      </c>
      <c r="L1468" s="18" t="s">
        <v>52</v>
      </c>
      <c r="M1468" s="19">
        <v>37.0</v>
      </c>
      <c r="N1468" s="19">
        <v>31.0</v>
      </c>
    </row>
    <row r="1469">
      <c r="A1469" s="12">
        <v>1467.0</v>
      </c>
      <c r="B1469" s="13" t="s">
        <v>1722</v>
      </c>
      <c r="C1469" s="14">
        <v>27.0</v>
      </c>
      <c r="D1469" s="15" t="s">
        <v>3513</v>
      </c>
      <c r="E1469" s="16" t="s">
        <v>52</v>
      </c>
      <c r="F1469" s="13" t="s">
        <v>3543</v>
      </c>
      <c r="G1469" s="13" t="s">
        <v>3544</v>
      </c>
      <c r="H1469" s="13" t="s">
        <v>3545</v>
      </c>
      <c r="I1469" s="13" t="s">
        <v>63</v>
      </c>
      <c r="J1469" s="17" t="s">
        <v>71</v>
      </c>
      <c r="K1469" s="17" t="s">
        <v>58</v>
      </c>
      <c r="L1469" s="18" t="s">
        <v>52</v>
      </c>
      <c r="M1469" s="19">
        <v>37.0</v>
      </c>
      <c r="N1469" s="19">
        <v>31.0</v>
      </c>
    </row>
    <row r="1470">
      <c r="A1470" s="12">
        <v>1468.0</v>
      </c>
      <c r="B1470" s="13" t="s">
        <v>1722</v>
      </c>
      <c r="C1470" s="14">
        <v>28.0</v>
      </c>
      <c r="D1470" s="15" t="s">
        <v>3479</v>
      </c>
      <c r="E1470" s="16" t="s">
        <v>52</v>
      </c>
      <c r="F1470" s="13" t="s">
        <v>2680</v>
      </c>
      <c r="G1470" s="13" t="s">
        <v>3417</v>
      </c>
      <c r="H1470" s="13" t="s">
        <v>3547</v>
      </c>
      <c r="I1470" s="13" t="s">
        <v>63</v>
      </c>
      <c r="J1470" s="17" t="s">
        <v>71</v>
      </c>
      <c r="K1470" s="17" t="s">
        <v>58</v>
      </c>
      <c r="L1470" s="18" t="s">
        <v>52</v>
      </c>
      <c r="M1470" s="19">
        <v>37.0</v>
      </c>
      <c r="N1470" s="19">
        <v>31.0</v>
      </c>
    </row>
    <row r="1471">
      <c r="A1471" s="12">
        <v>1469.0</v>
      </c>
      <c r="B1471" s="13" t="s">
        <v>1722</v>
      </c>
      <c r="C1471" s="14">
        <v>29.0</v>
      </c>
      <c r="D1471" s="15" t="s">
        <v>3479</v>
      </c>
      <c r="E1471" s="16" t="s">
        <v>52</v>
      </c>
      <c r="F1471" s="13" t="s">
        <v>3420</v>
      </c>
      <c r="G1471" s="13" t="s">
        <v>3421</v>
      </c>
      <c r="H1471" s="13" t="s">
        <v>3548</v>
      </c>
      <c r="I1471" s="13" t="s">
        <v>63</v>
      </c>
      <c r="J1471" s="17" t="s">
        <v>71</v>
      </c>
      <c r="K1471" s="17" t="s">
        <v>58</v>
      </c>
      <c r="L1471" s="18" t="s">
        <v>52</v>
      </c>
      <c r="M1471" s="19">
        <v>37.0</v>
      </c>
      <c r="N1471" s="19">
        <v>31.0</v>
      </c>
    </row>
    <row r="1472">
      <c r="A1472" s="12">
        <v>1470.0</v>
      </c>
      <c r="B1472" s="13" t="s">
        <v>1722</v>
      </c>
      <c r="C1472" s="14">
        <v>30.0</v>
      </c>
      <c r="D1472" s="15" t="s">
        <v>3479</v>
      </c>
      <c r="E1472" s="16" t="s">
        <v>52</v>
      </c>
      <c r="F1472" s="13" t="s">
        <v>3423</v>
      </c>
      <c r="G1472" s="13" t="s">
        <v>3550</v>
      </c>
      <c r="H1472" s="13" t="s">
        <v>3551</v>
      </c>
      <c r="I1472" s="13" t="s">
        <v>63</v>
      </c>
      <c r="J1472" s="17" t="s">
        <v>71</v>
      </c>
      <c r="K1472" s="17" t="s">
        <v>58</v>
      </c>
      <c r="L1472" s="18" t="s">
        <v>52</v>
      </c>
      <c r="M1472" s="19">
        <v>37.0</v>
      </c>
      <c r="N1472" s="19">
        <v>31.0</v>
      </c>
    </row>
    <row r="1473">
      <c r="A1473" s="12">
        <v>1471.0</v>
      </c>
      <c r="B1473" s="13" t="s">
        <v>2957</v>
      </c>
      <c r="C1473" s="14">
        <v>1.0</v>
      </c>
      <c r="D1473" s="15" t="s">
        <v>3552</v>
      </c>
      <c r="E1473" s="16" t="s">
        <v>52</v>
      </c>
      <c r="F1473" s="13" t="s">
        <v>3554</v>
      </c>
      <c r="G1473" s="13" t="s">
        <v>61</v>
      </c>
      <c r="H1473" s="13" t="s">
        <v>3555</v>
      </c>
      <c r="I1473" s="13" t="s">
        <v>56</v>
      </c>
      <c r="J1473" s="17" t="s">
        <v>57</v>
      </c>
      <c r="K1473" s="17" t="s">
        <v>58</v>
      </c>
      <c r="L1473" s="18" t="s">
        <v>52</v>
      </c>
      <c r="M1473" s="19">
        <v>38.0</v>
      </c>
      <c r="N1473" s="19">
        <v>10.0</v>
      </c>
    </row>
    <row r="1474">
      <c r="A1474" s="12">
        <v>1472.0</v>
      </c>
      <c r="B1474" s="13" t="s">
        <v>2957</v>
      </c>
      <c r="C1474" s="14">
        <v>2.0</v>
      </c>
      <c r="D1474" s="15" t="s">
        <v>3552</v>
      </c>
      <c r="E1474" s="16" t="s">
        <v>52</v>
      </c>
      <c r="F1474" s="13" t="s">
        <v>2947</v>
      </c>
      <c r="G1474" s="13" t="s">
        <v>61</v>
      </c>
      <c r="H1474" s="13" t="s">
        <v>3556</v>
      </c>
      <c r="I1474" s="13" t="s">
        <v>56</v>
      </c>
      <c r="J1474" s="17" t="s">
        <v>57</v>
      </c>
      <c r="K1474" s="17" t="s">
        <v>58</v>
      </c>
      <c r="L1474" s="18" t="s">
        <v>52</v>
      </c>
      <c r="M1474" s="19">
        <v>38.0</v>
      </c>
      <c r="N1474" s="19">
        <v>10.0</v>
      </c>
    </row>
    <row r="1475">
      <c r="A1475" s="12">
        <v>1473.0</v>
      </c>
      <c r="B1475" s="13" t="s">
        <v>2957</v>
      </c>
      <c r="C1475" s="14">
        <v>3.0</v>
      </c>
      <c r="D1475" s="15" t="s">
        <v>3557</v>
      </c>
      <c r="E1475" s="16" t="s">
        <v>52</v>
      </c>
      <c r="F1475" s="13" t="s">
        <v>3558</v>
      </c>
      <c r="G1475" s="13" t="s">
        <v>61</v>
      </c>
      <c r="H1475" s="13" t="s">
        <v>3559</v>
      </c>
      <c r="I1475" s="13" t="s">
        <v>63</v>
      </c>
      <c r="J1475" s="17" t="s">
        <v>57</v>
      </c>
      <c r="K1475" s="17" t="s">
        <v>58</v>
      </c>
      <c r="L1475" s="18" t="s">
        <v>52</v>
      </c>
      <c r="M1475" s="19">
        <v>38.0</v>
      </c>
      <c r="N1475" s="19">
        <v>11.0</v>
      </c>
    </row>
    <row r="1476">
      <c r="A1476" s="12">
        <v>1474.0</v>
      </c>
      <c r="B1476" s="13" t="s">
        <v>2957</v>
      </c>
      <c r="C1476" s="14">
        <v>4.0</v>
      </c>
      <c r="D1476" s="15" t="s">
        <v>3552</v>
      </c>
      <c r="E1476" s="16" t="s">
        <v>52</v>
      </c>
      <c r="F1476" s="13" t="s">
        <v>3560</v>
      </c>
      <c r="G1476" s="13" t="s">
        <v>3561</v>
      </c>
      <c r="H1476" s="13" t="s">
        <v>3562</v>
      </c>
      <c r="I1476" s="13" t="s">
        <v>63</v>
      </c>
      <c r="J1476" s="17" t="s">
        <v>57</v>
      </c>
      <c r="K1476" s="17" t="s">
        <v>58</v>
      </c>
      <c r="L1476" s="18" t="s">
        <v>52</v>
      </c>
      <c r="M1476" s="19">
        <v>38.0</v>
      </c>
      <c r="N1476" s="19">
        <v>11.0</v>
      </c>
    </row>
    <row r="1477">
      <c r="A1477" s="12">
        <v>1475.0</v>
      </c>
      <c r="B1477" s="13" t="s">
        <v>2957</v>
      </c>
      <c r="C1477" s="14">
        <v>5.0</v>
      </c>
      <c r="D1477" s="15" t="s">
        <v>3557</v>
      </c>
      <c r="E1477" s="16" t="s">
        <v>52</v>
      </c>
      <c r="F1477" s="13" t="s">
        <v>1701</v>
      </c>
      <c r="G1477" s="13" t="s">
        <v>1702</v>
      </c>
      <c r="H1477" s="13" t="s">
        <v>3564</v>
      </c>
      <c r="I1477" s="13" t="s">
        <v>63</v>
      </c>
      <c r="J1477" s="17" t="s">
        <v>71</v>
      </c>
      <c r="K1477" s="17" t="s">
        <v>58</v>
      </c>
      <c r="L1477" s="18" t="s">
        <v>52</v>
      </c>
      <c r="M1477" s="19">
        <v>38.0</v>
      </c>
      <c r="N1477" s="19">
        <v>31.0</v>
      </c>
    </row>
    <row r="1478">
      <c r="A1478" s="12">
        <v>1476.0</v>
      </c>
      <c r="B1478" s="13" t="s">
        <v>2957</v>
      </c>
      <c r="C1478" s="14">
        <v>6.0</v>
      </c>
      <c r="D1478" s="15" t="s">
        <v>3557</v>
      </c>
      <c r="E1478" s="16" t="s">
        <v>52</v>
      </c>
      <c r="F1478" s="13" t="s">
        <v>3565</v>
      </c>
      <c r="G1478" s="13" t="s">
        <v>3566</v>
      </c>
      <c r="H1478" s="13" t="s">
        <v>3567</v>
      </c>
      <c r="I1478" s="13" t="s">
        <v>63</v>
      </c>
      <c r="J1478" s="17" t="s">
        <v>71</v>
      </c>
      <c r="K1478" s="17" t="s">
        <v>58</v>
      </c>
      <c r="L1478" s="18" t="s">
        <v>52</v>
      </c>
      <c r="M1478" s="19">
        <v>38.0</v>
      </c>
      <c r="N1478" s="19">
        <v>31.0</v>
      </c>
    </row>
    <row r="1479">
      <c r="A1479" s="12">
        <v>1477.0</v>
      </c>
      <c r="B1479" s="13" t="s">
        <v>2957</v>
      </c>
      <c r="C1479" s="14">
        <v>7.0</v>
      </c>
      <c r="D1479" s="15" t="s">
        <v>3557</v>
      </c>
      <c r="E1479" s="16" t="s">
        <v>52</v>
      </c>
      <c r="F1479" s="13" t="s">
        <v>3568</v>
      </c>
      <c r="G1479" s="13" t="s">
        <v>3569</v>
      </c>
      <c r="H1479" s="13" t="s">
        <v>3570</v>
      </c>
      <c r="I1479" s="13" t="s">
        <v>63</v>
      </c>
      <c r="J1479" s="17" t="s">
        <v>71</v>
      </c>
      <c r="K1479" s="17" t="s">
        <v>58</v>
      </c>
      <c r="L1479" s="18" t="s">
        <v>52</v>
      </c>
      <c r="M1479" s="19">
        <v>38.0</v>
      </c>
      <c r="N1479" s="19">
        <v>31.0</v>
      </c>
    </row>
    <row r="1480">
      <c r="A1480" s="12">
        <v>1478.0</v>
      </c>
      <c r="B1480" s="13" t="s">
        <v>2957</v>
      </c>
      <c r="C1480" s="14">
        <v>8.0</v>
      </c>
      <c r="D1480" s="15" t="s">
        <v>3557</v>
      </c>
      <c r="E1480" s="16" t="s">
        <v>52</v>
      </c>
      <c r="F1480" s="13" t="s">
        <v>85</v>
      </c>
      <c r="G1480" s="13" t="s">
        <v>3571</v>
      </c>
      <c r="H1480" s="13" t="s">
        <v>3572</v>
      </c>
      <c r="I1480" s="13" t="s">
        <v>63</v>
      </c>
      <c r="J1480" s="17" t="s">
        <v>71</v>
      </c>
      <c r="K1480" s="17" t="s">
        <v>58</v>
      </c>
      <c r="L1480" s="18" t="s">
        <v>52</v>
      </c>
      <c r="M1480" s="19">
        <v>38.0</v>
      </c>
      <c r="N1480" s="19">
        <v>31.0</v>
      </c>
    </row>
    <row r="1481">
      <c r="A1481" s="12">
        <v>1479.0</v>
      </c>
      <c r="B1481" s="13" t="s">
        <v>2957</v>
      </c>
      <c r="C1481" s="14">
        <v>9.0</v>
      </c>
      <c r="D1481" s="15" t="s">
        <v>3557</v>
      </c>
      <c r="E1481" s="16" t="s">
        <v>52</v>
      </c>
      <c r="F1481" s="13" t="s">
        <v>2940</v>
      </c>
      <c r="G1481" s="13" t="s">
        <v>2941</v>
      </c>
      <c r="H1481" s="13" t="s">
        <v>3573</v>
      </c>
      <c r="I1481" s="13" t="s">
        <v>63</v>
      </c>
      <c r="J1481" s="17" t="s">
        <v>71</v>
      </c>
      <c r="K1481" s="17" t="s">
        <v>58</v>
      </c>
      <c r="L1481" s="18" t="s">
        <v>52</v>
      </c>
      <c r="M1481" s="19">
        <v>38.0</v>
      </c>
      <c r="N1481" s="19">
        <v>31.0</v>
      </c>
    </row>
    <row r="1482">
      <c r="A1482" s="12">
        <v>1480.0</v>
      </c>
      <c r="B1482" s="13" t="s">
        <v>2957</v>
      </c>
      <c r="C1482" s="14">
        <v>10.0</v>
      </c>
      <c r="D1482" s="15" t="s">
        <v>3557</v>
      </c>
      <c r="E1482" s="16" t="s">
        <v>52</v>
      </c>
      <c r="F1482" s="13" t="s">
        <v>3574</v>
      </c>
      <c r="G1482" s="13" t="s">
        <v>3575</v>
      </c>
      <c r="H1482" s="13" t="s">
        <v>3576</v>
      </c>
      <c r="I1482" s="13" t="s">
        <v>63</v>
      </c>
      <c r="J1482" s="17" t="s">
        <v>71</v>
      </c>
      <c r="K1482" s="17" t="s">
        <v>58</v>
      </c>
      <c r="L1482" s="18" t="s">
        <v>52</v>
      </c>
      <c r="M1482" s="19">
        <v>38.0</v>
      </c>
      <c r="N1482" s="19">
        <v>31.0</v>
      </c>
    </row>
    <row r="1483">
      <c r="A1483" s="12">
        <v>1481.0</v>
      </c>
      <c r="B1483" s="13" t="s">
        <v>2957</v>
      </c>
      <c r="C1483" s="14">
        <v>11.0</v>
      </c>
      <c r="D1483" s="15" t="s">
        <v>3557</v>
      </c>
      <c r="E1483" s="16" t="s">
        <v>52</v>
      </c>
      <c r="F1483" s="13" t="s">
        <v>3577</v>
      </c>
      <c r="G1483" s="13" t="s">
        <v>3578</v>
      </c>
      <c r="H1483" s="13" t="s">
        <v>3579</v>
      </c>
      <c r="I1483" s="13" t="s">
        <v>63</v>
      </c>
      <c r="J1483" s="17" t="s">
        <v>71</v>
      </c>
      <c r="K1483" s="17" t="s">
        <v>58</v>
      </c>
      <c r="L1483" s="18" t="s">
        <v>52</v>
      </c>
      <c r="M1483" s="19">
        <v>38.0</v>
      </c>
      <c r="N1483" s="19">
        <v>31.0</v>
      </c>
    </row>
    <row r="1484">
      <c r="A1484" s="12">
        <v>1482.0</v>
      </c>
      <c r="B1484" s="13" t="s">
        <v>2957</v>
      </c>
      <c r="C1484" s="14">
        <v>12.0</v>
      </c>
      <c r="D1484" s="15" t="s">
        <v>3557</v>
      </c>
      <c r="E1484" s="16" t="s">
        <v>52</v>
      </c>
      <c r="F1484" s="13" t="s">
        <v>3580</v>
      </c>
      <c r="G1484" s="13" t="s">
        <v>3581</v>
      </c>
      <c r="H1484" s="13" t="s">
        <v>3582</v>
      </c>
      <c r="I1484" s="13" t="s">
        <v>63</v>
      </c>
      <c r="J1484" s="17" t="s">
        <v>71</v>
      </c>
      <c r="K1484" s="17" t="s">
        <v>58</v>
      </c>
      <c r="L1484" s="18" t="s">
        <v>52</v>
      </c>
      <c r="M1484" s="19">
        <v>38.0</v>
      </c>
      <c r="N1484" s="19">
        <v>31.0</v>
      </c>
    </row>
    <row r="1485">
      <c r="A1485" s="12">
        <v>1483.0</v>
      </c>
      <c r="B1485" s="13" t="s">
        <v>2957</v>
      </c>
      <c r="C1485" s="14">
        <v>13.0</v>
      </c>
      <c r="D1485" s="15" t="s">
        <v>3557</v>
      </c>
      <c r="E1485" s="16" t="s">
        <v>52</v>
      </c>
      <c r="F1485" s="13" t="s">
        <v>919</v>
      </c>
      <c r="G1485" s="13" t="s">
        <v>3584</v>
      </c>
      <c r="H1485" s="13" t="s">
        <v>3585</v>
      </c>
      <c r="I1485" s="13" t="s">
        <v>63</v>
      </c>
      <c r="J1485" s="17" t="s">
        <v>71</v>
      </c>
      <c r="K1485" s="17" t="s">
        <v>58</v>
      </c>
      <c r="L1485" s="18" t="s">
        <v>52</v>
      </c>
      <c r="M1485" s="19">
        <v>38.0</v>
      </c>
      <c r="N1485" s="19">
        <v>31.0</v>
      </c>
    </row>
    <row r="1486">
      <c r="A1486" s="12">
        <v>1484.0</v>
      </c>
      <c r="B1486" s="13" t="s">
        <v>2957</v>
      </c>
      <c r="C1486" s="14">
        <v>14.0</v>
      </c>
      <c r="D1486" s="15" t="s">
        <v>3557</v>
      </c>
      <c r="E1486" s="16" t="s">
        <v>52</v>
      </c>
      <c r="F1486" s="13" t="s">
        <v>3586</v>
      </c>
      <c r="G1486" s="13" t="s">
        <v>61</v>
      </c>
      <c r="H1486" s="13" t="s">
        <v>3587</v>
      </c>
      <c r="I1486" s="13" t="s">
        <v>63</v>
      </c>
      <c r="J1486" s="17" t="s">
        <v>71</v>
      </c>
      <c r="K1486" s="17" t="s">
        <v>58</v>
      </c>
      <c r="L1486" s="18" t="s">
        <v>52</v>
      </c>
      <c r="M1486" s="19">
        <v>38.0</v>
      </c>
      <c r="N1486" s="19">
        <v>31.0</v>
      </c>
    </row>
    <row r="1487">
      <c r="A1487" s="12">
        <v>1485.0</v>
      </c>
      <c r="B1487" s="13" t="s">
        <v>2957</v>
      </c>
      <c r="C1487" s="14">
        <v>15.0</v>
      </c>
      <c r="D1487" s="15" t="s">
        <v>3557</v>
      </c>
      <c r="E1487" s="16" t="s">
        <v>52</v>
      </c>
      <c r="F1487" s="13" t="s">
        <v>2902</v>
      </c>
      <c r="G1487" s="13" t="s">
        <v>3588</v>
      </c>
      <c r="H1487" s="13" t="s">
        <v>3589</v>
      </c>
      <c r="I1487" s="13" t="s">
        <v>63</v>
      </c>
      <c r="J1487" s="17" t="s">
        <v>71</v>
      </c>
      <c r="K1487" s="17" t="s">
        <v>58</v>
      </c>
      <c r="L1487" s="18" t="s">
        <v>52</v>
      </c>
      <c r="M1487" s="19">
        <v>38.0</v>
      </c>
      <c r="N1487" s="19">
        <v>31.0</v>
      </c>
    </row>
    <row r="1488">
      <c r="A1488" s="12">
        <v>1486.0</v>
      </c>
      <c r="B1488" s="13" t="s">
        <v>2957</v>
      </c>
      <c r="C1488" s="14">
        <v>16.0</v>
      </c>
      <c r="D1488" s="15" t="s">
        <v>3557</v>
      </c>
      <c r="E1488" s="16" t="s">
        <v>52</v>
      </c>
      <c r="F1488" s="13" t="s">
        <v>3590</v>
      </c>
      <c r="G1488" s="13" t="s">
        <v>61</v>
      </c>
      <c r="H1488" s="13" t="s">
        <v>3591</v>
      </c>
      <c r="I1488" s="13" t="s">
        <v>63</v>
      </c>
      <c r="J1488" s="17" t="s">
        <v>71</v>
      </c>
      <c r="K1488" s="17" t="s">
        <v>58</v>
      </c>
      <c r="L1488" s="18" t="s">
        <v>52</v>
      </c>
      <c r="M1488" s="19">
        <v>38.0</v>
      </c>
      <c r="N1488" s="19">
        <v>31.0</v>
      </c>
    </row>
    <row r="1489">
      <c r="A1489" s="12">
        <v>1487.0</v>
      </c>
      <c r="B1489" s="13" t="s">
        <v>2957</v>
      </c>
      <c r="C1489" s="14">
        <v>17.0</v>
      </c>
      <c r="D1489" s="15" t="s">
        <v>3557</v>
      </c>
      <c r="E1489" s="16" t="s">
        <v>52</v>
      </c>
      <c r="F1489" s="13" t="s">
        <v>3592</v>
      </c>
      <c r="G1489" s="13" t="s">
        <v>61</v>
      </c>
      <c r="H1489" s="13" t="s">
        <v>3593</v>
      </c>
      <c r="I1489" s="13" t="s">
        <v>63</v>
      </c>
      <c r="J1489" s="17" t="s">
        <v>71</v>
      </c>
      <c r="K1489" s="17" t="s">
        <v>58</v>
      </c>
      <c r="L1489" s="18" t="s">
        <v>52</v>
      </c>
      <c r="M1489" s="19">
        <v>38.0</v>
      </c>
      <c r="N1489" s="19">
        <v>31.0</v>
      </c>
    </row>
    <row r="1490">
      <c r="A1490" s="12">
        <v>1488.0</v>
      </c>
      <c r="B1490" s="13" t="s">
        <v>2957</v>
      </c>
      <c r="C1490" s="14">
        <v>18.0</v>
      </c>
      <c r="D1490" s="15" t="s">
        <v>3557</v>
      </c>
      <c r="E1490" s="16" t="s">
        <v>52</v>
      </c>
      <c r="F1490" s="13" t="s">
        <v>3594</v>
      </c>
      <c r="G1490" s="13" t="s">
        <v>61</v>
      </c>
      <c r="H1490" s="13" t="s">
        <v>3595</v>
      </c>
      <c r="I1490" s="13" t="s">
        <v>63</v>
      </c>
      <c r="J1490" s="17" t="s">
        <v>71</v>
      </c>
      <c r="K1490" s="17" t="s">
        <v>58</v>
      </c>
      <c r="L1490" s="18" t="s">
        <v>52</v>
      </c>
      <c r="M1490" s="19">
        <v>38.0</v>
      </c>
      <c r="N1490" s="19">
        <v>31.0</v>
      </c>
    </row>
    <row r="1491">
      <c r="A1491" s="12">
        <v>1489.0</v>
      </c>
      <c r="B1491" s="13" t="s">
        <v>2957</v>
      </c>
      <c r="C1491" s="14">
        <v>19.0</v>
      </c>
      <c r="D1491" s="15" t="s">
        <v>3557</v>
      </c>
      <c r="E1491" s="16" t="s">
        <v>52</v>
      </c>
      <c r="F1491" s="13" t="s">
        <v>3596</v>
      </c>
      <c r="G1491" s="13" t="s">
        <v>61</v>
      </c>
      <c r="H1491" s="13" t="s">
        <v>3597</v>
      </c>
      <c r="I1491" s="13" t="s">
        <v>63</v>
      </c>
      <c r="J1491" s="17" t="s">
        <v>71</v>
      </c>
      <c r="K1491" s="17" t="s">
        <v>58</v>
      </c>
      <c r="L1491" s="18" t="s">
        <v>52</v>
      </c>
      <c r="M1491" s="19">
        <v>38.0</v>
      </c>
      <c r="N1491" s="19">
        <v>31.0</v>
      </c>
    </row>
    <row r="1492">
      <c r="A1492" s="12">
        <v>1490.0</v>
      </c>
      <c r="B1492" s="13" t="s">
        <v>2957</v>
      </c>
      <c r="C1492" s="14">
        <v>20.0</v>
      </c>
      <c r="D1492" s="15" t="s">
        <v>3552</v>
      </c>
      <c r="E1492" s="16" t="s">
        <v>52</v>
      </c>
      <c r="F1492" s="13" t="s">
        <v>3598</v>
      </c>
      <c r="G1492" s="13" t="s">
        <v>3599</v>
      </c>
      <c r="H1492" s="13" t="s">
        <v>3600</v>
      </c>
      <c r="I1492" s="13" t="s">
        <v>63</v>
      </c>
      <c r="J1492" s="17" t="s">
        <v>71</v>
      </c>
      <c r="K1492" s="17" t="s">
        <v>58</v>
      </c>
      <c r="L1492" s="18" t="s">
        <v>52</v>
      </c>
      <c r="M1492" s="19">
        <v>38.0</v>
      </c>
      <c r="N1492" s="19">
        <v>31.0</v>
      </c>
    </row>
    <row r="1493">
      <c r="A1493" s="12">
        <v>1491.0</v>
      </c>
      <c r="B1493" s="13" t="s">
        <v>2957</v>
      </c>
      <c r="C1493" s="14">
        <v>21.0</v>
      </c>
      <c r="D1493" s="15" t="s">
        <v>3552</v>
      </c>
      <c r="E1493" s="16" t="s">
        <v>52</v>
      </c>
      <c r="F1493" s="13" t="s">
        <v>2727</v>
      </c>
      <c r="G1493" s="13" t="s">
        <v>3601</v>
      </c>
      <c r="H1493" s="13" t="s">
        <v>3602</v>
      </c>
      <c r="I1493" s="13" t="s">
        <v>63</v>
      </c>
      <c r="J1493" s="17" t="s">
        <v>71</v>
      </c>
      <c r="K1493" s="17" t="s">
        <v>58</v>
      </c>
      <c r="L1493" s="18" t="s">
        <v>52</v>
      </c>
      <c r="M1493" s="19">
        <v>38.0</v>
      </c>
      <c r="N1493" s="19">
        <v>31.0</v>
      </c>
    </row>
    <row r="1494">
      <c r="A1494" s="12">
        <v>1492.0</v>
      </c>
      <c r="B1494" s="13" t="s">
        <v>2957</v>
      </c>
      <c r="C1494" s="14">
        <v>22.0</v>
      </c>
      <c r="D1494" s="15" t="s">
        <v>3552</v>
      </c>
      <c r="E1494" s="16" t="s">
        <v>52</v>
      </c>
      <c r="F1494" s="13" t="s">
        <v>3603</v>
      </c>
      <c r="G1494" s="13" t="s">
        <v>3604</v>
      </c>
      <c r="H1494" s="13" t="s">
        <v>3605</v>
      </c>
      <c r="I1494" s="13" t="s">
        <v>63</v>
      </c>
      <c r="J1494" s="17" t="s">
        <v>71</v>
      </c>
      <c r="K1494" s="17" t="s">
        <v>58</v>
      </c>
      <c r="L1494" s="18" t="s">
        <v>52</v>
      </c>
      <c r="M1494" s="19">
        <v>38.0</v>
      </c>
      <c r="N1494" s="19">
        <v>31.0</v>
      </c>
    </row>
    <row r="1495">
      <c r="A1495" s="12">
        <v>1493.0</v>
      </c>
      <c r="B1495" s="13" t="s">
        <v>2957</v>
      </c>
      <c r="C1495" s="14">
        <v>23.0</v>
      </c>
      <c r="D1495" s="15" t="s">
        <v>3552</v>
      </c>
      <c r="E1495" s="16" t="s">
        <v>52</v>
      </c>
      <c r="F1495" s="13" t="s">
        <v>3607</v>
      </c>
      <c r="G1495" s="13" t="s">
        <v>3608</v>
      </c>
      <c r="H1495" s="13" t="s">
        <v>3609</v>
      </c>
      <c r="I1495" s="13" t="s">
        <v>63</v>
      </c>
      <c r="J1495" s="17" t="s">
        <v>71</v>
      </c>
      <c r="K1495" s="17" t="s">
        <v>58</v>
      </c>
      <c r="L1495" s="18" t="s">
        <v>52</v>
      </c>
      <c r="M1495" s="19">
        <v>38.0</v>
      </c>
      <c r="N1495" s="19">
        <v>31.0</v>
      </c>
    </row>
    <row r="1496">
      <c r="A1496" s="12">
        <v>1494.0</v>
      </c>
      <c r="B1496" s="13" t="s">
        <v>2957</v>
      </c>
      <c r="C1496" s="14">
        <v>24.0</v>
      </c>
      <c r="D1496" s="15" t="s">
        <v>3552</v>
      </c>
      <c r="E1496" s="16" t="s">
        <v>52</v>
      </c>
      <c r="F1496" s="13" t="s">
        <v>3610</v>
      </c>
      <c r="G1496" s="13" t="s">
        <v>3611</v>
      </c>
      <c r="H1496" s="13" t="s">
        <v>3612</v>
      </c>
      <c r="I1496" s="13" t="s">
        <v>63</v>
      </c>
      <c r="J1496" s="17" t="s">
        <v>71</v>
      </c>
      <c r="K1496" s="17" t="s">
        <v>58</v>
      </c>
      <c r="L1496" s="18" t="s">
        <v>52</v>
      </c>
      <c r="M1496" s="19">
        <v>38.0</v>
      </c>
      <c r="N1496" s="19">
        <v>31.0</v>
      </c>
    </row>
    <row r="1497">
      <c r="A1497" s="12">
        <v>1495.0</v>
      </c>
      <c r="B1497" s="13" t="s">
        <v>2957</v>
      </c>
      <c r="C1497" s="14">
        <v>25.0</v>
      </c>
      <c r="D1497" s="15" t="s">
        <v>3552</v>
      </c>
      <c r="E1497" s="16" t="s">
        <v>52</v>
      </c>
      <c r="F1497" s="13" t="s">
        <v>1707</v>
      </c>
      <c r="G1497" s="13" t="s">
        <v>61</v>
      </c>
      <c r="H1497" s="13" t="s">
        <v>3614</v>
      </c>
      <c r="I1497" s="13" t="s">
        <v>63</v>
      </c>
      <c r="J1497" s="17" t="s">
        <v>71</v>
      </c>
      <c r="K1497" s="17" t="s">
        <v>58</v>
      </c>
      <c r="L1497" s="18" t="s">
        <v>52</v>
      </c>
      <c r="M1497" s="19">
        <v>38.0</v>
      </c>
      <c r="N1497" s="19">
        <v>31.0</v>
      </c>
    </row>
    <row r="1498">
      <c r="A1498" s="12">
        <v>1496.0</v>
      </c>
      <c r="B1498" s="13" t="s">
        <v>2957</v>
      </c>
      <c r="C1498" s="14">
        <v>26.0</v>
      </c>
      <c r="D1498" s="15" t="s">
        <v>3552</v>
      </c>
      <c r="E1498" s="16" t="s">
        <v>52</v>
      </c>
      <c r="F1498" s="13" t="s">
        <v>1724</v>
      </c>
      <c r="G1498" s="13" t="s">
        <v>61</v>
      </c>
      <c r="H1498" s="13" t="s">
        <v>3615</v>
      </c>
      <c r="I1498" s="13" t="s">
        <v>63</v>
      </c>
      <c r="J1498" s="17" t="s">
        <v>71</v>
      </c>
      <c r="K1498" s="17" t="s">
        <v>58</v>
      </c>
      <c r="L1498" s="18" t="s">
        <v>52</v>
      </c>
      <c r="M1498" s="19">
        <v>38.0</v>
      </c>
      <c r="N1498" s="19">
        <v>31.0</v>
      </c>
    </row>
    <row r="1499">
      <c r="A1499" s="12">
        <v>1497.0</v>
      </c>
      <c r="B1499" s="13" t="s">
        <v>2957</v>
      </c>
      <c r="C1499" s="14">
        <v>27.0</v>
      </c>
      <c r="D1499" s="15" t="s">
        <v>3552</v>
      </c>
      <c r="E1499" s="16" t="s">
        <v>52</v>
      </c>
      <c r="F1499" s="13" t="s">
        <v>3616</v>
      </c>
      <c r="G1499" s="13" t="s">
        <v>3611</v>
      </c>
      <c r="H1499" s="13" t="s">
        <v>3612</v>
      </c>
      <c r="I1499" s="13" t="s">
        <v>63</v>
      </c>
      <c r="J1499" s="17" t="s">
        <v>71</v>
      </c>
      <c r="K1499" s="17" t="s">
        <v>58</v>
      </c>
      <c r="L1499" s="18" t="s">
        <v>52</v>
      </c>
      <c r="M1499" s="19">
        <v>38.0</v>
      </c>
      <c r="N1499" s="19">
        <v>31.0</v>
      </c>
    </row>
    <row r="1500">
      <c r="A1500" s="12">
        <v>1498.0</v>
      </c>
      <c r="B1500" s="13" t="s">
        <v>2957</v>
      </c>
      <c r="C1500" s="14">
        <v>28.0</v>
      </c>
      <c r="D1500" s="15" t="s">
        <v>3552</v>
      </c>
      <c r="E1500" s="16" t="s">
        <v>52</v>
      </c>
      <c r="F1500" s="13" t="s">
        <v>3618</v>
      </c>
      <c r="G1500" s="13" t="s">
        <v>3619</v>
      </c>
      <c r="H1500" s="13" t="s">
        <v>3612</v>
      </c>
      <c r="I1500" s="13" t="s">
        <v>63</v>
      </c>
      <c r="J1500" s="17" t="s">
        <v>71</v>
      </c>
      <c r="K1500" s="17" t="s">
        <v>58</v>
      </c>
      <c r="L1500" s="18" t="s">
        <v>52</v>
      </c>
      <c r="M1500" s="19">
        <v>38.0</v>
      </c>
      <c r="N1500" s="19">
        <v>31.0</v>
      </c>
    </row>
    <row r="1501">
      <c r="A1501" s="12">
        <v>1499.0</v>
      </c>
      <c r="B1501" s="13" t="s">
        <v>2957</v>
      </c>
      <c r="C1501" s="14">
        <v>29.0</v>
      </c>
      <c r="D1501" s="15" t="s">
        <v>3552</v>
      </c>
      <c r="E1501" s="16" t="s">
        <v>52</v>
      </c>
      <c r="F1501" s="13" t="s">
        <v>3620</v>
      </c>
      <c r="G1501" s="13" t="s">
        <v>3621</v>
      </c>
      <c r="H1501" s="13" t="s">
        <v>3612</v>
      </c>
      <c r="I1501" s="13" t="s">
        <v>63</v>
      </c>
      <c r="J1501" s="17" t="s">
        <v>71</v>
      </c>
      <c r="K1501" s="17" t="s">
        <v>58</v>
      </c>
      <c r="L1501" s="18" t="s">
        <v>52</v>
      </c>
      <c r="M1501" s="19">
        <v>38.0</v>
      </c>
      <c r="N1501" s="19">
        <v>31.0</v>
      </c>
    </row>
    <row r="1502">
      <c r="A1502" s="12">
        <v>1500.0</v>
      </c>
      <c r="B1502" s="13" t="s">
        <v>2957</v>
      </c>
      <c r="C1502" s="14">
        <v>30.0</v>
      </c>
      <c r="D1502" s="15" t="s">
        <v>3552</v>
      </c>
      <c r="E1502" s="16" t="s">
        <v>52</v>
      </c>
      <c r="F1502" s="13" t="s">
        <v>1338</v>
      </c>
      <c r="G1502" s="13" t="s">
        <v>61</v>
      </c>
      <c r="H1502" s="13" t="s">
        <v>1339</v>
      </c>
      <c r="I1502" s="13" t="s">
        <v>63</v>
      </c>
      <c r="J1502" s="17" t="s">
        <v>71</v>
      </c>
      <c r="K1502" s="17" t="s">
        <v>58</v>
      </c>
      <c r="L1502" s="18" t="s">
        <v>52</v>
      </c>
      <c r="M1502" s="19">
        <v>38.0</v>
      </c>
      <c r="N1502" s="19">
        <v>31.0</v>
      </c>
    </row>
    <row r="1503">
      <c r="A1503" s="12">
        <v>1501.0</v>
      </c>
      <c r="B1503" s="13" t="s">
        <v>3586</v>
      </c>
      <c r="C1503" s="14">
        <v>1.0</v>
      </c>
      <c r="D1503" s="15" t="s">
        <v>3622</v>
      </c>
      <c r="E1503" s="16" t="s">
        <v>52</v>
      </c>
      <c r="F1503" s="13" t="s">
        <v>3623</v>
      </c>
      <c r="G1503" s="13" t="s">
        <v>61</v>
      </c>
      <c r="H1503" s="13" t="s">
        <v>3624</v>
      </c>
      <c r="I1503" s="13" t="s">
        <v>56</v>
      </c>
      <c r="J1503" s="17" t="s">
        <v>57</v>
      </c>
      <c r="K1503" s="17" t="s">
        <v>58</v>
      </c>
      <c r="L1503" s="18" t="s">
        <v>52</v>
      </c>
      <c r="M1503" s="19">
        <v>39.0</v>
      </c>
      <c r="N1503" s="19">
        <v>10.0</v>
      </c>
    </row>
    <row r="1504">
      <c r="A1504" s="12">
        <v>1502.0</v>
      </c>
      <c r="B1504" s="13" t="s">
        <v>3586</v>
      </c>
      <c r="C1504" s="14">
        <v>2.0</v>
      </c>
      <c r="D1504" s="15" t="s">
        <v>3622</v>
      </c>
      <c r="E1504" s="16" t="s">
        <v>52</v>
      </c>
      <c r="F1504" s="13" t="s">
        <v>2810</v>
      </c>
      <c r="G1504" s="13" t="s">
        <v>2811</v>
      </c>
      <c r="H1504" s="13" t="s">
        <v>2812</v>
      </c>
      <c r="I1504" s="13" t="s">
        <v>56</v>
      </c>
      <c r="J1504" s="17" t="s">
        <v>57</v>
      </c>
      <c r="K1504" s="17" t="s">
        <v>58</v>
      </c>
      <c r="L1504" s="18" t="s">
        <v>52</v>
      </c>
      <c r="M1504" s="19">
        <v>39.0</v>
      </c>
      <c r="N1504" s="19">
        <v>10.0</v>
      </c>
    </row>
    <row r="1505">
      <c r="A1505" s="12">
        <v>1503.0</v>
      </c>
      <c r="B1505" s="13" t="s">
        <v>3586</v>
      </c>
      <c r="C1505" s="14">
        <v>3.0</v>
      </c>
      <c r="D1505" s="15" t="s">
        <v>3622</v>
      </c>
      <c r="E1505" s="16" t="s">
        <v>52</v>
      </c>
      <c r="F1505" s="13" t="s">
        <v>3596</v>
      </c>
      <c r="G1505" s="13" t="s">
        <v>3625</v>
      </c>
      <c r="H1505" s="13" t="s">
        <v>3626</v>
      </c>
      <c r="I1505" s="13" t="s">
        <v>56</v>
      </c>
      <c r="J1505" s="17" t="s">
        <v>57</v>
      </c>
      <c r="K1505" s="17" t="s">
        <v>58</v>
      </c>
      <c r="L1505" s="18" t="s">
        <v>52</v>
      </c>
      <c r="M1505" s="19">
        <v>39.0</v>
      </c>
      <c r="N1505" s="19">
        <v>10.0</v>
      </c>
    </row>
    <row r="1506">
      <c r="A1506" s="12">
        <v>1504.0</v>
      </c>
      <c r="B1506" s="13" t="s">
        <v>3586</v>
      </c>
      <c r="C1506" s="14">
        <v>4.0</v>
      </c>
      <c r="D1506" s="15" t="s">
        <v>3622</v>
      </c>
      <c r="E1506" s="16" t="s">
        <v>52</v>
      </c>
      <c r="F1506" s="13" t="s">
        <v>2686</v>
      </c>
      <c r="G1506" s="13" t="s">
        <v>3627</v>
      </c>
      <c r="H1506" s="13" t="s">
        <v>3628</v>
      </c>
      <c r="I1506" s="13" t="s">
        <v>56</v>
      </c>
      <c r="J1506" s="17" t="s">
        <v>67</v>
      </c>
      <c r="K1506" s="17" t="s">
        <v>58</v>
      </c>
      <c r="L1506" s="18" t="s">
        <v>52</v>
      </c>
      <c r="M1506" s="19">
        <v>39.0</v>
      </c>
      <c r="N1506" s="19">
        <v>20.0</v>
      </c>
    </row>
    <row r="1507">
      <c r="A1507" s="12">
        <v>1505.0</v>
      </c>
      <c r="B1507" s="13" t="s">
        <v>3586</v>
      </c>
      <c r="C1507" s="14">
        <v>5.0</v>
      </c>
      <c r="D1507" s="15" t="s">
        <v>3622</v>
      </c>
      <c r="E1507" s="16" t="s">
        <v>52</v>
      </c>
      <c r="F1507" s="13" t="s">
        <v>3629</v>
      </c>
      <c r="G1507" s="13" t="s">
        <v>3630</v>
      </c>
      <c r="H1507" s="13" t="s">
        <v>3631</v>
      </c>
      <c r="I1507" s="13" t="s">
        <v>56</v>
      </c>
      <c r="J1507" s="17" t="s">
        <v>67</v>
      </c>
      <c r="K1507" s="17" t="s">
        <v>58</v>
      </c>
      <c r="L1507" s="18" t="s">
        <v>52</v>
      </c>
      <c r="M1507" s="19">
        <v>39.0</v>
      </c>
      <c r="N1507" s="19">
        <v>20.0</v>
      </c>
    </row>
    <row r="1508">
      <c r="A1508" s="12">
        <v>1506.0</v>
      </c>
      <c r="B1508" s="13" t="s">
        <v>3586</v>
      </c>
      <c r="C1508" s="14">
        <v>6.0</v>
      </c>
      <c r="D1508" s="15" t="s">
        <v>3622</v>
      </c>
      <c r="E1508" s="16" t="s">
        <v>52</v>
      </c>
      <c r="F1508" s="13" t="s">
        <v>2720</v>
      </c>
      <c r="G1508" s="13" t="s">
        <v>3632</v>
      </c>
      <c r="H1508" s="13" t="s">
        <v>3633</v>
      </c>
      <c r="I1508" s="13" t="s">
        <v>56</v>
      </c>
      <c r="J1508" s="17" t="s">
        <v>67</v>
      </c>
      <c r="K1508" s="17" t="s">
        <v>58</v>
      </c>
      <c r="L1508" s="18" t="s">
        <v>52</v>
      </c>
      <c r="M1508" s="19">
        <v>39.0</v>
      </c>
      <c r="N1508" s="19">
        <v>20.0</v>
      </c>
    </row>
    <row r="1509">
      <c r="A1509" s="12">
        <v>1507.0</v>
      </c>
      <c r="B1509" s="13" t="s">
        <v>3586</v>
      </c>
      <c r="C1509" s="14">
        <v>7.0</v>
      </c>
      <c r="D1509" s="15" t="s">
        <v>3622</v>
      </c>
      <c r="E1509" s="16" t="s">
        <v>52</v>
      </c>
      <c r="F1509" s="13" t="s">
        <v>3634</v>
      </c>
      <c r="G1509" s="13" t="s">
        <v>3635</v>
      </c>
      <c r="H1509" s="13" t="s">
        <v>3636</v>
      </c>
      <c r="I1509" s="13" t="s">
        <v>56</v>
      </c>
      <c r="J1509" s="17" t="s">
        <v>67</v>
      </c>
      <c r="K1509" s="17" t="s">
        <v>58</v>
      </c>
      <c r="L1509" s="18" t="s">
        <v>52</v>
      </c>
      <c r="M1509" s="19">
        <v>39.0</v>
      </c>
      <c r="N1509" s="19">
        <v>20.0</v>
      </c>
    </row>
    <row r="1510">
      <c r="A1510" s="12">
        <v>1508.0</v>
      </c>
      <c r="B1510" s="13" t="s">
        <v>3586</v>
      </c>
      <c r="C1510" s="14">
        <v>8.0</v>
      </c>
      <c r="D1510" s="15" t="s">
        <v>3622</v>
      </c>
      <c r="E1510" s="16" t="s">
        <v>52</v>
      </c>
      <c r="F1510" s="13" t="s">
        <v>3637</v>
      </c>
      <c r="G1510" s="13" t="s">
        <v>3638</v>
      </c>
      <c r="H1510" s="13" t="s">
        <v>3639</v>
      </c>
      <c r="I1510" s="13" t="s">
        <v>56</v>
      </c>
      <c r="J1510" s="17" t="s">
        <v>67</v>
      </c>
      <c r="K1510" s="17" t="s">
        <v>58</v>
      </c>
      <c r="L1510" s="18" t="s">
        <v>52</v>
      </c>
      <c r="M1510" s="19">
        <v>39.0</v>
      </c>
      <c r="N1510" s="19">
        <v>20.0</v>
      </c>
    </row>
    <row r="1511">
      <c r="A1511" s="12">
        <v>1509.0</v>
      </c>
      <c r="B1511" s="13" t="s">
        <v>3586</v>
      </c>
      <c r="C1511" s="14">
        <v>9.0</v>
      </c>
      <c r="D1511" s="15" t="s">
        <v>3622</v>
      </c>
      <c r="E1511" s="16" t="s">
        <v>52</v>
      </c>
      <c r="F1511" s="13" t="s">
        <v>3640</v>
      </c>
      <c r="G1511" s="13" t="s">
        <v>3641</v>
      </c>
      <c r="H1511" s="13" t="s">
        <v>3642</v>
      </c>
      <c r="I1511" s="13" t="s">
        <v>63</v>
      </c>
      <c r="J1511" s="17" t="s">
        <v>67</v>
      </c>
      <c r="K1511" s="17" t="s">
        <v>58</v>
      </c>
      <c r="L1511" s="18" t="s">
        <v>52</v>
      </c>
      <c r="M1511" s="19">
        <v>39.0</v>
      </c>
      <c r="N1511" s="19">
        <v>21.0</v>
      </c>
    </row>
    <row r="1512">
      <c r="A1512" s="12">
        <v>1510.0</v>
      </c>
      <c r="B1512" s="13" t="s">
        <v>3586</v>
      </c>
      <c r="C1512" s="14">
        <v>10.0</v>
      </c>
      <c r="D1512" s="15" t="s">
        <v>3622</v>
      </c>
      <c r="E1512" s="16" t="s">
        <v>52</v>
      </c>
      <c r="F1512" s="13" t="s">
        <v>3643</v>
      </c>
      <c r="G1512" s="13" t="s">
        <v>3644</v>
      </c>
      <c r="H1512" s="13" t="s">
        <v>3645</v>
      </c>
      <c r="I1512" s="13" t="s">
        <v>56</v>
      </c>
      <c r="J1512" s="17" t="s">
        <v>71</v>
      </c>
      <c r="K1512" s="17" t="s">
        <v>58</v>
      </c>
      <c r="L1512" s="18" t="s">
        <v>52</v>
      </c>
      <c r="M1512" s="19">
        <v>39.0</v>
      </c>
      <c r="N1512" s="19">
        <v>30.0</v>
      </c>
    </row>
    <row r="1513">
      <c r="A1513" s="12">
        <v>1511.0</v>
      </c>
      <c r="B1513" s="13" t="s">
        <v>3586</v>
      </c>
      <c r="C1513" s="14">
        <v>11.0</v>
      </c>
      <c r="D1513" s="15" t="s">
        <v>3622</v>
      </c>
      <c r="E1513" s="16" t="s">
        <v>52</v>
      </c>
      <c r="F1513" s="13" t="s">
        <v>3646</v>
      </c>
      <c r="G1513" s="13" t="s">
        <v>3647</v>
      </c>
      <c r="H1513" s="13" t="s">
        <v>3628</v>
      </c>
      <c r="I1513" s="13" t="s">
        <v>56</v>
      </c>
      <c r="J1513" s="17" t="s">
        <v>71</v>
      </c>
      <c r="K1513" s="17" t="s">
        <v>58</v>
      </c>
      <c r="L1513" s="18" t="s">
        <v>52</v>
      </c>
      <c r="M1513" s="19">
        <v>39.0</v>
      </c>
      <c r="N1513" s="19">
        <v>30.0</v>
      </c>
    </row>
    <row r="1514">
      <c r="A1514" s="12">
        <v>1512.0</v>
      </c>
      <c r="B1514" s="13" t="s">
        <v>3586</v>
      </c>
      <c r="C1514" s="14">
        <v>12.0</v>
      </c>
      <c r="D1514" s="15" t="s">
        <v>3649</v>
      </c>
      <c r="E1514" s="16" t="s">
        <v>52</v>
      </c>
      <c r="F1514" s="13" t="s">
        <v>3568</v>
      </c>
      <c r="G1514" s="13" t="s">
        <v>3569</v>
      </c>
      <c r="H1514" s="13" t="s">
        <v>3570</v>
      </c>
      <c r="I1514" s="13" t="s">
        <v>63</v>
      </c>
      <c r="J1514" s="17" t="s">
        <v>71</v>
      </c>
      <c r="K1514" s="17" t="s">
        <v>58</v>
      </c>
      <c r="L1514" s="18" t="s">
        <v>52</v>
      </c>
      <c r="M1514" s="19">
        <v>39.0</v>
      </c>
      <c r="N1514" s="19">
        <v>31.0</v>
      </c>
    </row>
    <row r="1515">
      <c r="A1515" s="12">
        <v>1513.0</v>
      </c>
      <c r="B1515" s="13" t="s">
        <v>3586</v>
      </c>
      <c r="C1515" s="14">
        <v>13.0</v>
      </c>
      <c r="D1515" s="15" t="s">
        <v>3649</v>
      </c>
      <c r="E1515" s="16" t="s">
        <v>52</v>
      </c>
      <c r="F1515" s="13" t="s">
        <v>2957</v>
      </c>
      <c r="G1515" s="13" t="s">
        <v>61</v>
      </c>
      <c r="H1515" s="13" t="s">
        <v>3652</v>
      </c>
      <c r="I1515" s="13" t="s">
        <v>63</v>
      </c>
      <c r="J1515" s="17" t="s">
        <v>71</v>
      </c>
      <c r="K1515" s="17" t="s">
        <v>58</v>
      </c>
      <c r="L1515" s="18" t="s">
        <v>52</v>
      </c>
      <c r="M1515" s="19">
        <v>39.0</v>
      </c>
      <c r="N1515" s="19">
        <v>31.0</v>
      </c>
    </row>
    <row r="1516">
      <c r="A1516" s="12">
        <v>1514.0</v>
      </c>
      <c r="B1516" s="13" t="s">
        <v>3586</v>
      </c>
      <c r="C1516" s="14">
        <v>14.0</v>
      </c>
      <c r="D1516" s="15" t="s">
        <v>3649</v>
      </c>
      <c r="E1516" s="16" t="s">
        <v>52</v>
      </c>
      <c r="F1516" s="13" t="s">
        <v>3554</v>
      </c>
      <c r="G1516" s="13" t="s">
        <v>3654</v>
      </c>
      <c r="H1516" s="13" t="s">
        <v>3655</v>
      </c>
      <c r="I1516" s="13" t="s">
        <v>63</v>
      </c>
      <c r="J1516" s="17" t="s">
        <v>71</v>
      </c>
      <c r="K1516" s="17" t="s">
        <v>58</v>
      </c>
      <c r="L1516" s="18" t="s">
        <v>52</v>
      </c>
      <c r="M1516" s="19">
        <v>39.0</v>
      </c>
      <c r="N1516" s="19">
        <v>31.0</v>
      </c>
    </row>
    <row r="1517">
      <c r="A1517" s="12">
        <v>1515.0</v>
      </c>
      <c r="B1517" s="13" t="s">
        <v>3586</v>
      </c>
      <c r="C1517" s="14">
        <v>15.0</v>
      </c>
      <c r="D1517" s="15" t="s">
        <v>3649</v>
      </c>
      <c r="E1517" s="16" t="s">
        <v>52</v>
      </c>
      <c r="F1517" s="13" t="s">
        <v>3558</v>
      </c>
      <c r="G1517" s="13" t="s">
        <v>61</v>
      </c>
      <c r="H1517" s="13" t="s">
        <v>3559</v>
      </c>
      <c r="I1517" s="13" t="s">
        <v>63</v>
      </c>
      <c r="J1517" s="17" t="s">
        <v>71</v>
      </c>
      <c r="K1517" s="17" t="s">
        <v>58</v>
      </c>
      <c r="L1517" s="18" t="s">
        <v>52</v>
      </c>
      <c r="M1517" s="19">
        <v>39.0</v>
      </c>
      <c r="N1517" s="19">
        <v>31.0</v>
      </c>
    </row>
    <row r="1518">
      <c r="A1518" s="12">
        <v>1516.0</v>
      </c>
      <c r="B1518" s="13" t="s">
        <v>3586</v>
      </c>
      <c r="C1518" s="14">
        <v>16.0</v>
      </c>
      <c r="D1518" s="15" t="s">
        <v>3649</v>
      </c>
      <c r="E1518" s="16" t="s">
        <v>52</v>
      </c>
      <c r="F1518" s="13" t="s">
        <v>919</v>
      </c>
      <c r="G1518" s="13" t="s">
        <v>3584</v>
      </c>
      <c r="H1518" s="13" t="s">
        <v>3585</v>
      </c>
      <c r="I1518" s="13" t="s">
        <v>63</v>
      </c>
      <c r="J1518" s="17" t="s">
        <v>71</v>
      </c>
      <c r="K1518" s="17" t="s">
        <v>58</v>
      </c>
      <c r="L1518" s="18" t="s">
        <v>52</v>
      </c>
      <c r="M1518" s="19">
        <v>39.0</v>
      </c>
      <c r="N1518" s="19">
        <v>31.0</v>
      </c>
    </row>
    <row r="1519">
      <c r="A1519" s="12">
        <v>1517.0</v>
      </c>
      <c r="B1519" s="13" t="s">
        <v>3586</v>
      </c>
      <c r="C1519" s="14">
        <v>17.0</v>
      </c>
      <c r="D1519" s="15" t="s">
        <v>3649</v>
      </c>
      <c r="E1519" s="16" t="s">
        <v>52</v>
      </c>
      <c r="F1519" s="13" t="s">
        <v>3592</v>
      </c>
      <c r="G1519" s="13" t="s">
        <v>61</v>
      </c>
      <c r="H1519" s="13" t="s">
        <v>3593</v>
      </c>
      <c r="I1519" s="13" t="s">
        <v>63</v>
      </c>
      <c r="J1519" s="17" t="s">
        <v>71</v>
      </c>
      <c r="K1519" s="17" t="s">
        <v>58</v>
      </c>
      <c r="L1519" s="18" t="s">
        <v>52</v>
      </c>
      <c r="M1519" s="19">
        <v>39.0</v>
      </c>
      <c r="N1519" s="19">
        <v>31.0</v>
      </c>
    </row>
    <row r="1520">
      <c r="A1520" s="12">
        <v>1518.0</v>
      </c>
      <c r="B1520" s="13" t="s">
        <v>3586</v>
      </c>
      <c r="C1520" s="14">
        <v>18.0</v>
      </c>
      <c r="D1520" s="15" t="s">
        <v>3659</v>
      </c>
      <c r="E1520" s="16" t="s">
        <v>52</v>
      </c>
      <c r="F1520" s="13" t="s">
        <v>3594</v>
      </c>
      <c r="G1520" s="13" t="s">
        <v>3660</v>
      </c>
      <c r="H1520" s="13" t="s">
        <v>3661</v>
      </c>
      <c r="I1520" s="13" t="s">
        <v>63</v>
      </c>
      <c r="J1520" s="17" t="s">
        <v>71</v>
      </c>
      <c r="K1520" s="17" t="s">
        <v>58</v>
      </c>
      <c r="L1520" s="18" t="s">
        <v>52</v>
      </c>
      <c r="M1520" s="19">
        <v>39.0</v>
      </c>
      <c r="N1520" s="19">
        <v>31.0</v>
      </c>
    </row>
    <row r="1521">
      <c r="A1521" s="12">
        <v>1519.0</v>
      </c>
      <c r="B1521" s="13" t="s">
        <v>3586</v>
      </c>
      <c r="C1521" s="14">
        <v>19.0</v>
      </c>
      <c r="D1521" s="15" t="s">
        <v>3622</v>
      </c>
      <c r="E1521" s="16" t="s">
        <v>52</v>
      </c>
      <c r="F1521" s="13" t="s">
        <v>3662</v>
      </c>
      <c r="G1521" s="13" t="s">
        <v>3663</v>
      </c>
      <c r="H1521" s="13" t="s">
        <v>3664</v>
      </c>
      <c r="I1521" s="13" t="s">
        <v>63</v>
      </c>
      <c r="J1521" s="17" t="s">
        <v>71</v>
      </c>
      <c r="K1521" s="17" t="s">
        <v>58</v>
      </c>
      <c r="L1521" s="18" t="s">
        <v>52</v>
      </c>
      <c r="M1521" s="19">
        <v>39.0</v>
      </c>
      <c r="N1521" s="19">
        <v>31.0</v>
      </c>
    </row>
    <row r="1522">
      <c r="A1522" s="12">
        <v>1520.0</v>
      </c>
      <c r="B1522" s="13" t="s">
        <v>3586</v>
      </c>
      <c r="C1522" s="14">
        <v>20.0</v>
      </c>
      <c r="D1522" s="15" t="s">
        <v>3622</v>
      </c>
      <c r="E1522" s="16" t="s">
        <v>52</v>
      </c>
      <c r="F1522" s="13" t="s">
        <v>2902</v>
      </c>
      <c r="G1522" s="13" t="s">
        <v>61</v>
      </c>
      <c r="H1522" s="13" t="s">
        <v>3665</v>
      </c>
      <c r="I1522" s="13" t="s">
        <v>63</v>
      </c>
      <c r="J1522" s="17" t="s">
        <v>71</v>
      </c>
      <c r="K1522" s="17" t="s">
        <v>58</v>
      </c>
      <c r="L1522" s="18" t="s">
        <v>52</v>
      </c>
      <c r="M1522" s="19">
        <v>39.0</v>
      </c>
      <c r="N1522" s="19">
        <v>31.0</v>
      </c>
    </row>
    <row r="1523">
      <c r="A1523" s="12">
        <v>1521.0</v>
      </c>
      <c r="B1523" s="13" t="s">
        <v>3586</v>
      </c>
      <c r="C1523" s="14">
        <v>21.0</v>
      </c>
      <c r="D1523" s="15" t="s">
        <v>3622</v>
      </c>
      <c r="E1523" s="16" t="s">
        <v>52</v>
      </c>
      <c r="F1523" s="13" t="s">
        <v>3580</v>
      </c>
      <c r="G1523" s="13" t="s">
        <v>61</v>
      </c>
      <c r="H1523" s="13" t="s">
        <v>3666</v>
      </c>
      <c r="I1523" s="13" t="s">
        <v>63</v>
      </c>
      <c r="J1523" s="17" t="s">
        <v>71</v>
      </c>
      <c r="K1523" s="17" t="s">
        <v>58</v>
      </c>
      <c r="L1523" s="18" t="s">
        <v>52</v>
      </c>
      <c r="M1523" s="19">
        <v>39.0</v>
      </c>
      <c r="N1523" s="19">
        <v>31.0</v>
      </c>
    </row>
    <row r="1524">
      <c r="A1524" s="12">
        <v>1522.0</v>
      </c>
      <c r="B1524" s="13" t="s">
        <v>3586</v>
      </c>
      <c r="C1524" s="14">
        <v>22.0</v>
      </c>
      <c r="D1524" s="15" t="s">
        <v>3622</v>
      </c>
      <c r="E1524" s="16" t="s">
        <v>52</v>
      </c>
      <c r="F1524" s="13" t="s">
        <v>3590</v>
      </c>
      <c r="G1524" s="13" t="s">
        <v>61</v>
      </c>
      <c r="H1524" s="13" t="s">
        <v>3667</v>
      </c>
      <c r="I1524" s="13" t="s">
        <v>63</v>
      </c>
      <c r="J1524" s="17" t="s">
        <v>71</v>
      </c>
      <c r="K1524" s="17" t="s">
        <v>58</v>
      </c>
      <c r="L1524" s="18" t="s">
        <v>52</v>
      </c>
      <c r="M1524" s="19">
        <v>39.0</v>
      </c>
      <c r="N1524" s="19">
        <v>31.0</v>
      </c>
    </row>
    <row r="1525">
      <c r="A1525" s="12">
        <v>1523.0</v>
      </c>
      <c r="B1525" s="13" t="s">
        <v>3586</v>
      </c>
      <c r="C1525" s="14">
        <v>23.0</v>
      </c>
      <c r="D1525" s="15" t="s">
        <v>3622</v>
      </c>
      <c r="E1525" s="16" t="s">
        <v>52</v>
      </c>
      <c r="F1525" s="13" t="s">
        <v>3610</v>
      </c>
      <c r="G1525" s="13" t="s">
        <v>61</v>
      </c>
      <c r="H1525" s="13" t="s">
        <v>3668</v>
      </c>
      <c r="I1525" s="13" t="s">
        <v>63</v>
      </c>
      <c r="J1525" s="17" t="s">
        <v>71</v>
      </c>
      <c r="K1525" s="17" t="s">
        <v>58</v>
      </c>
      <c r="L1525" s="18" t="s">
        <v>52</v>
      </c>
      <c r="M1525" s="19">
        <v>39.0</v>
      </c>
      <c r="N1525" s="19">
        <v>31.0</v>
      </c>
    </row>
    <row r="1526">
      <c r="A1526" s="12">
        <v>1524.0</v>
      </c>
      <c r="B1526" s="13" t="s">
        <v>3586</v>
      </c>
      <c r="C1526" s="14">
        <v>24.0</v>
      </c>
      <c r="D1526" s="15" t="s">
        <v>3622</v>
      </c>
      <c r="E1526" s="16" t="s">
        <v>52</v>
      </c>
      <c r="F1526" s="13" t="s">
        <v>2947</v>
      </c>
      <c r="G1526" s="13" t="s">
        <v>61</v>
      </c>
      <c r="H1526" s="13" t="s">
        <v>3669</v>
      </c>
      <c r="I1526" s="13" t="s">
        <v>63</v>
      </c>
      <c r="J1526" s="17" t="s">
        <v>71</v>
      </c>
      <c r="K1526" s="17" t="s">
        <v>58</v>
      </c>
      <c r="L1526" s="18" t="s">
        <v>52</v>
      </c>
      <c r="M1526" s="19">
        <v>39.0</v>
      </c>
      <c r="N1526" s="19">
        <v>31.0</v>
      </c>
    </row>
    <row r="1527">
      <c r="A1527" s="12">
        <v>1525.0</v>
      </c>
      <c r="B1527" s="13" t="s">
        <v>3586</v>
      </c>
      <c r="C1527" s="14">
        <v>25.0</v>
      </c>
      <c r="D1527" s="15" t="s">
        <v>3622</v>
      </c>
      <c r="E1527" s="16" t="s">
        <v>52</v>
      </c>
      <c r="F1527" s="13" t="s">
        <v>3618</v>
      </c>
      <c r="G1527" s="13" t="s">
        <v>3670</v>
      </c>
      <c r="H1527" s="13" t="s">
        <v>3671</v>
      </c>
      <c r="I1527" s="13" t="s">
        <v>63</v>
      </c>
      <c r="J1527" s="17" t="s">
        <v>71</v>
      </c>
      <c r="K1527" s="17" t="s">
        <v>58</v>
      </c>
      <c r="L1527" s="18" t="s">
        <v>52</v>
      </c>
      <c r="M1527" s="19">
        <v>39.0</v>
      </c>
      <c r="N1527" s="19">
        <v>31.0</v>
      </c>
    </row>
    <row r="1528">
      <c r="A1528" s="12">
        <v>1526.0</v>
      </c>
      <c r="B1528" s="13" t="s">
        <v>3586</v>
      </c>
      <c r="C1528" s="14">
        <v>26.0</v>
      </c>
      <c r="D1528" s="15" t="s">
        <v>3622</v>
      </c>
      <c r="E1528" s="16" t="s">
        <v>52</v>
      </c>
      <c r="F1528" s="13" t="s">
        <v>3620</v>
      </c>
      <c r="G1528" s="13" t="s">
        <v>3672</v>
      </c>
      <c r="H1528" s="13" t="s">
        <v>3673</v>
      </c>
      <c r="I1528" s="13" t="s">
        <v>63</v>
      </c>
      <c r="J1528" s="17" t="s">
        <v>71</v>
      </c>
      <c r="K1528" s="17" t="s">
        <v>58</v>
      </c>
      <c r="L1528" s="18" t="s">
        <v>52</v>
      </c>
      <c r="M1528" s="19">
        <v>39.0</v>
      </c>
      <c r="N1528" s="19">
        <v>31.0</v>
      </c>
    </row>
    <row r="1529">
      <c r="A1529" s="12">
        <v>1527.0</v>
      </c>
      <c r="B1529" s="13" t="s">
        <v>3586</v>
      </c>
      <c r="C1529" s="14">
        <v>27.0</v>
      </c>
      <c r="D1529" s="15" t="s">
        <v>3622</v>
      </c>
      <c r="E1529" s="16" t="s">
        <v>52</v>
      </c>
      <c r="F1529" s="13" t="s">
        <v>1338</v>
      </c>
      <c r="G1529" s="13" t="s">
        <v>3674</v>
      </c>
      <c r="H1529" s="13" t="s">
        <v>3675</v>
      </c>
      <c r="I1529" s="13" t="s">
        <v>63</v>
      </c>
      <c r="J1529" s="17" t="s">
        <v>71</v>
      </c>
      <c r="K1529" s="17" t="s">
        <v>58</v>
      </c>
      <c r="L1529" s="18" t="s">
        <v>52</v>
      </c>
      <c r="M1529" s="19">
        <v>39.0</v>
      </c>
      <c r="N1529" s="19">
        <v>31.0</v>
      </c>
    </row>
    <row r="1530">
      <c r="A1530" s="12">
        <v>1528.0</v>
      </c>
      <c r="B1530" s="13" t="s">
        <v>3586</v>
      </c>
      <c r="C1530" s="14">
        <v>28.0</v>
      </c>
      <c r="D1530" s="15" t="s">
        <v>3622</v>
      </c>
      <c r="E1530" s="16" t="s">
        <v>52</v>
      </c>
      <c r="F1530" s="13" t="s">
        <v>3676</v>
      </c>
      <c r="G1530" s="13" t="s">
        <v>3677</v>
      </c>
      <c r="H1530" s="13" t="s">
        <v>3678</v>
      </c>
      <c r="I1530" s="13" t="s">
        <v>63</v>
      </c>
      <c r="J1530" s="17" t="s">
        <v>71</v>
      </c>
      <c r="K1530" s="17" t="s">
        <v>58</v>
      </c>
      <c r="L1530" s="18" t="s">
        <v>52</v>
      </c>
      <c r="M1530" s="19">
        <v>39.0</v>
      </c>
      <c r="N1530" s="19">
        <v>31.0</v>
      </c>
    </row>
    <row r="1531">
      <c r="A1531" s="12">
        <v>1529.0</v>
      </c>
      <c r="B1531" s="13" t="s">
        <v>3586</v>
      </c>
      <c r="C1531" s="14">
        <v>29.0</v>
      </c>
      <c r="D1531" s="15" t="s">
        <v>3622</v>
      </c>
      <c r="E1531" s="16" t="s">
        <v>52</v>
      </c>
      <c r="F1531" s="13" t="s">
        <v>3679</v>
      </c>
      <c r="G1531" s="13" t="s">
        <v>3680</v>
      </c>
      <c r="H1531" s="13" t="s">
        <v>3681</v>
      </c>
      <c r="I1531" s="13" t="s">
        <v>63</v>
      </c>
      <c r="J1531" s="17" t="s">
        <v>71</v>
      </c>
      <c r="K1531" s="17" t="s">
        <v>58</v>
      </c>
      <c r="L1531" s="18" t="s">
        <v>52</v>
      </c>
      <c r="M1531" s="19">
        <v>39.0</v>
      </c>
      <c r="N1531" s="19">
        <v>31.0</v>
      </c>
    </row>
    <row r="1532">
      <c r="A1532" s="12">
        <v>1530.0</v>
      </c>
      <c r="B1532" s="13" t="s">
        <v>3586</v>
      </c>
      <c r="C1532" s="14">
        <v>30.0</v>
      </c>
      <c r="D1532" s="15" t="s">
        <v>3622</v>
      </c>
      <c r="E1532" s="16" t="s">
        <v>52</v>
      </c>
      <c r="F1532" s="13" t="s">
        <v>3682</v>
      </c>
      <c r="G1532" s="13" t="s">
        <v>61</v>
      </c>
      <c r="H1532" s="13" t="s">
        <v>3683</v>
      </c>
      <c r="I1532" s="13" t="s">
        <v>63</v>
      </c>
      <c r="J1532" s="17" t="s">
        <v>71</v>
      </c>
      <c r="K1532" s="17" t="s">
        <v>58</v>
      </c>
      <c r="L1532" s="18" t="s">
        <v>52</v>
      </c>
      <c r="M1532" s="19">
        <v>39.0</v>
      </c>
      <c r="N1532" s="19">
        <v>31.0</v>
      </c>
    </row>
    <row r="1533">
      <c r="A1533" s="12">
        <v>1531.0</v>
      </c>
      <c r="B1533" s="13" t="s">
        <v>3676</v>
      </c>
      <c r="C1533" s="14">
        <v>1.0</v>
      </c>
      <c r="D1533" s="15" t="s">
        <v>3684</v>
      </c>
      <c r="E1533" s="16" t="s">
        <v>52</v>
      </c>
      <c r="F1533" s="13" t="s">
        <v>3565</v>
      </c>
      <c r="G1533" s="13" t="s">
        <v>61</v>
      </c>
      <c r="H1533" s="13" t="s">
        <v>3685</v>
      </c>
      <c r="I1533" s="13" t="s">
        <v>56</v>
      </c>
      <c r="J1533" s="17" t="s">
        <v>57</v>
      </c>
      <c r="K1533" s="17" t="s">
        <v>58</v>
      </c>
      <c r="L1533" s="18" t="s">
        <v>52</v>
      </c>
      <c r="M1533" s="19">
        <v>40.0</v>
      </c>
      <c r="N1533" s="19">
        <v>10.0</v>
      </c>
    </row>
    <row r="1534">
      <c r="A1534" s="12">
        <v>1532.0</v>
      </c>
      <c r="B1534" s="13" t="s">
        <v>3676</v>
      </c>
      <c r="C1534" s="14">
        <v>2.0</v>
      </c>
      <c r="D1534" s="15" t="s">
        <v>3686</v>
      </c>
      <c r="E1534" s="16" t="s">
        <v>52</v>
      </c>
      <c r="F1534" s="13" t="s">
        <v>3610</v>
      </c>
      <c r="G1534" s="13" t="s">
        <v>3687</v>
      </c>
      <c r="H1534" s="13" t="s">
        <v>3688</v>
      </c>
      <c r="I1534" s="13" t="s">
        <v>56</v>
      </c>
      <c r="J1534" s="17" t="s">
        <v>57</v>
      </c>
      <c r="K1534" s="17" t="s">
        <v>58</v>
      </c>
      <c r="L1534" s="18" t="s">
        <v>52</v>
      </c>
      <c r="M1534" s="19">
        <v>40.0</v>
      </c>
      <c r="N1534" s="19">
        <v>10.0</v>
      </c>
    </row>
    <row r="1535">
      <c r="A1535" s="12">
        <v>1533.0</v>
      </c>
      <c r="B1535" s="13" t="s">
        <v>3676</v>
      </c>
      <c r="C1535" s="14">
        <v>3.0</v>
      </c>
      <c r="D1535" s="15" t="s">
        <v>3684</v>
      </c>
      <c r="E1535" s="16" t="s">
        <v>52</v>
      </c>
      <c r="F1535" s="13" t="s">
        <v>3689</v>
      </c>
      <c r="G1535" s="13" t="s">
        <v>61</v>
      </c>
      <c r="H1535" s="13" t="s">
        <v>3690</v>
      </c>
      <c r="I1535" s="13" t="s">
        <v>63</v>
      </c>
      <c r="J1535" s="17" t="s">
        <v>57</v>
      </c>
      <c r="K1535" s="17" t="s">
        <v>58</v>
      </c>
      <c r="L1535" s="18" t="s">
        <v>52</v>
      </c>
      <c r="M1535" s="19">
        <v>40.0</v>
      </c>
      <c r="N1535" s="19">
        <v>11.0</v>
      </c>
    </row>
    <row r="1536">
      <c r="A1536" s="12">
        <v>1534.0</v>
      </c>
      <c r="B1536" s="13" t="s">
        <v>3676</v>
      </c>
      <c r="C1536" s="14">
        <v>4.0</v>
      </c>
      <c r="D1536" s="15" t="s">
        <v>3684</v>
      </c>
      <c r="E1536" s="16" t="s">
        <v>52</v>
      </c>
      <c r="F1536" s="13" t="s">
        <v>1402</v>
      </c>
      <c r="G1536" s="13" t="s">
        <v>61</v>
      </c>
      <c r="H1536" s="13" t="s">
        <v>3691</v>
      </c>
      <c r="I1536" s="13" t="s">
        <v>63</v>
      </c>
      <c r="J1536" s="17" t="s">
        <v>67</v>
      </c>
      <c r="K1536" s="17" t="s">
        <v>58</v>
      </c>
      <c r="L1536" s="18" t="s">
        <v>52</v>
      </c>
      <c r="M1536" s="19">
        <v>40.0</v>
      </c>
      <c r="N1536" s="19">
        <v>21.0</v>
      </c>
    </row>
    <row r="1537">
      <c r="A1537" s="12">
        <v>1535.0</v>
      </c>
      <c r="B1537" s="13" t="s">
        <v>3676</v>
      </c>
      <c r="C1537" s="14">
        <v>5.0</v>
      </c>
      <c r="D1537" s="15" t="s">
        <v>3686</v>
      </c>
      <c r="E1537" s="16" t="s">
        <v>52</v>
      </c>
      <c r="F1537" s="13" t="s">
        <v>3590</v>
      </c>
      <c r="G1537" s="13" t="s">
        <v>3693</v>
      </c>
      <c r="H1537" s="13" t="s">
        <v>3694</v>
      </c>
      <c r="I1537" s="13" t="s">
        <v>56</v>
      </c>
      <c r="J1537" s="17" t="s">
        <v>71</v>
      </c>
      <c r="K1537" s="17" t="s">
        <v>58</v>
      </c>
      <c r="L1537" s="18" t="s">
        <v>52</v>
      </c>
      <c r="M1537" s="19">
        <v>40.0</v>
      </c>
      <c r="N1537" s="19">
        <v>30.0</v>
      </c>
    </row>
    <row r="1538">
      <c r="A1538" s="12">
        <v>1536.0</v>
      </c>
      <c r="B1538" s="13" t="s">
        <v>3676</v>
      </c>
      <c r="C1538" s="14">
        <v>6.0</v>
      </c>
      <c r="D1538" s="15" t="s">
        <v>3684</v>
      </c>
      <c r="E1538" s="16" t="s">
        <v>52</v>
      </c>
      <c r="F1538" s="13" t="s">
        <v>2417</v>
      </c>
      <c r="G1538" s="13" t="s">
        <v>3696</v>
      </c>
      <c r="H1538" s="13" t="s">
        <v>3697</v>
      </c>
      <c r="I1538" s="13" t="s">
        <v>63</v>
      </c>
      <c r="J1538" s="17" t="s">
        <v>71</v>
      </c>
      <c r="K1538" s="17" t="s">
        <v>58</v>
      </c>
      <c r="L1538" s="18" t="s">
        <v>52</v>
      </c>
      <c r="M1538" s="19">
        <v>40.0</v>
      </c>
      <c r="N1538" s="19">
        <v>31.0</v>
      </c>
    </row>
    <row r="1539">
      <c r="A1539" s="12">
        <v>1537.0</v>
      </c>
      <c r="B1539" s="13" t="s">
        <v>3676</v>
      </c>
      <c r="C1539" s="14">
        <v>7.0</v>
      </c>
      <c r="D1539" s="15" t="s">
        <v>3684</v>
      </c>
      <c r="E1539" s="16" t="s">
        <v>52</v>
      </c>
      <c r="F1539" s="13" t="s">
        <v>1716</v>
      </c>
      <c r="G1539" s="13" t="s">
        <v>1717</v>
      </c>
      <c r="H1539" s="13" t="s">
        <v>3698</v>
      </c>
      <c r="I1539" s="13" t="s">
        <v>63</v>
      </c>
      <c r="J1539" s="17" t="s">
        <v>71</v>
      </c>
      <c r="K1539" s="17" t="s">
        <v>58</v>
      </c>
      <c r="L1539" s="18" t="s">
        <v>52</v>
      </c>
      <c r="M1539" s="19">
        <v>40.0</v>
      </c>
      <c r="N1539" s="19">
        <v>31.0</v>
      </c>
    </row>
    <row r="1540">
      <c r="A1540" s="12">
        <v>1538.0</v>
      </c>
      <c r="B1540" s="13" t="s">
        <v>3676</v>
      </c>
      <c r="C1540" s="14">
        <v>8.0</v>
      </c>
      <c r="D1540" s="15" t="s">
        <v>3684</v>
      </c>
      <c r="E1540" s="16" t="s">
        <v>52</v>
      </c>
      <c r="F1540" s="13" t="s">
        <v>3568</v>
      </c>
      <c r="G1540" s="13" t="s">
        <v>3701</v>
      </c>
      <c r="H1540" s="13" t="s">
        <v>3702</v>
      </c>
      <c r="I1540" s="13" t="s">
        <v>63</v>
      </c>
      <c r="J1540" s="17" t="s">
        <v>71</v>
      </c>
      <c r="K1540" s="17" t="s">
        <v>58</v>
      </c>
      <c r="L1540" s="18" t="s">
        <v>52</v>
      </c>
      <c r="M1540" s="19">
        <v>40.0</v>
      </c>
      <c r="N1540" s="19">
        <v>31.0</v>
      </c>
    </row>
    <row r="1541">
      <c r="A1541" s="12">
        <v>1539.0</v>
      </c>
      <c r="B1541" s="13" t="s">
        <v>3676</v>
      </c>
      <c r="C1541" s="14">
        <v>9.0</v>
      </c>
      <c r="D1541" s="15" t="s">
        <v>3684</v>
      </c>
      <c r="E1541" s="16" t="s">
        <v>52</v>
      </c>
      <c r="F1541" s="13" t="s">
        <v>3586</v>
      </c>
      <c r="G1541" s="13" t="s">
        <v>3705</v>
      </c>
      <c r="H1541" s="13" t="s">
        <v>3706</v>
      </c>
      <c r="I1541" s="13" t="s">
        <v>63</v>
      </c>
      <c r="J1541" s="17" t="s">
        <v>71</v>
      </c>
      <c r="K1541" s="17" t="s">
        <v>58</v>
      </c>
      <c r="L1541" s="18" t="s">
        <v>52</v>
      </c>
      <c r="M1541" s="19">
        <v>40.0</v>
      </c>
      <c r="N1541" s="19">
        <v>31.0</v>
      </c>
    </row>
    <row r="1542">
      <c r="A1542" s="12">
        <v>1540.0</v>
      </c>
      <c r="B1542" s="13" t="s">
        <v>3676</v>
      </c>
      <c r="C1542" s="14">
        <v>10.0</v>
      </c>
      <c r="D1542" s="15" t="s">
        <v>3684</v>
      </c>
      <c r="E1542" s="16" t="s">
        <v>52</v>
      </c>
      <c r="F1542" s="13" t="s">
        <v>2957</v>
      </c>
      <c r="G1542" s="13" t="s">
        <v>61</v>
      </c>
      <c r="H1542" s="13" t="s">
        <v>3708</v>
      </c>
      <c r="I1542" s="13" t="s">
        <v>63</v>
      </c>
      <c r="J1542" s="17" t="s">
        <v>71</v>
      </c>
      <c r="K1542" s="17" t="s">
        <v>58</v>
      </c>
      <c r="L1542" s="18" t="s">
        <v>52</v>
      </c>
      <c r="M1542" s="19">
        <v>40.0</v>
      </c>
      <c r="N1542" s="19">
        <v>31.0</v>
      </c>
    </row>
    <row r="1543">
      <c r="A1543" s="12">
        <v>1541.0</v>
      </c>
      <c r="B1543" s="13" t="s">
        <v>3676</v>
      </c>
      <c r="C1543" s="14">
        <v>11.0</v>
      </c>
      <c r="D1543" s="15" t="s">
        <v>3684</v>
      </c>
      <c r="E1543" s="16" t="s">
        <v>52</v>
      </c>
      <c r="F1543" s="13" t="s">
        <v>3554</v>
      </c>
      <c r="G1543" s="13" t="s">
        <v>61</v>
      </c>
      <c r="H1543" s="13" t="s">
        <v>3710</v>
      </c>
      <c r="I1543" s="13" t="s">
        <v>63</v>
      </c>
      <c r="J1543" s="17" t="s">
        <v>71</v>
      </c>
      <c r="K1543" s="17" t="s">
        <v>58</v>
      </c>
      <c r="L1543" s="18" t="s">
        <v>52</v>
      </c>
      <c r="M1543" s="19">
        <v>40.0</v>
      </c>
      <c r="N1543" s="19">
        <v>31.0</v>
      </c>
    </row>
    <row r="1544">
      <c r="A1544" s="12">
        <v>1542.0</v>
      </c>
      <c r="B1544" s="13" t="s">
        <v>3676</v>
      </c>
      <c r="C1544" s="14">
        <v>12.0</v>
      </c>
      <c r="D1544" s="15" t="s">
        <v>3684</v>
      </c>
      <c r="E1544" s="16" t="s">
        <v>52</v>
      </c>
      <c r="F1544" s="13" t="s">
        <v>2657</v>
      </c>
      <c r="G1544" s="13" t="s">
        <v>3711</v>
      </c>
      <c r="H1544" s="13" t="s">
        <v>3712</v>
      </c>
      <c r="I1544" s="13" t="s">
        <v>63</v>
      </c>
      <c r="J1544" s="17" t="s">
        <v>71</v>
      </c>
      <c r="K1544" s="17" t="s">
        <v>58</v>
      </c>
      <c r="L1544" s="18" t="s">
        <v>52</v>
      </c>
      <c r="M1544" s="19">
        <v>40.0</v>
      </c>
      <c r="N1544" s="19">
        <v>31.0</v>
      </c>
    </row>
    <row r="1545">
      <c r="A1545" s="12">
        <v>1543.0</v>
      </c>
      <c r="B1545" s="13" t="s">
        <v>3676</v>
      </c>
      <c r="C1545" s="14">
        <v>13.0</v>
      </c>
      <c r="D1545" s="15" t="s">
        <v>3684</v>
      </c>
      <c r="E1545" s="16" t="s">
        <v>52</v>
      </c>
      <c r="F1545" s="13" t="s">
        <v>2902</v>
      </c>
      <c r="G1545" s="13" t="s">
        <v>61</v>
      </c>
      <c r="H1545" s="13" t="s">
        <v>3665</v>
      </c>
      <c r="I1545" s="13" t="s">
        <v>63</v>
      </c>
      <c r="J1545" s="17" t="s">
        <v>71</v>
      </c>
      <c r="K1545" s="17" t="s">
        <v>58</v>
      </c>
      <c r="L1545" s="18" t="s">
        <v>52</v>
      </c>
      <c r="M1545" s="19">
        <v>40.0</v>
      </c>
      <c r="N1545" s="19">
        <v>31.0</v>
      </c>
    </row>
    <row r="1546">
      <c r="A1546" s="12">
        <v>1544.0</v>
      </c>
      <c r="B1546" s="13" t="s">
        <v>3676</v>
      </c>
      <c r="C1546" s="14">
        <v>14.0</v>
      </c>
      <c r="D1546" s="15" t="s">
        <v>3684</v>
      </c>
      <c r="E1546" s="16" t="s">
        <v>52</v>
      </c>
      <c r="F1546" s="13" t="s">
        <v>3580</v>
      </c>
      <c r="G1546" s="13" t="s">
        <v>61</v>
      </c>
      <c r="H1546" s="13" t="s">
        <v>3666</v>
      </c>
      <c r="I1546" s="13" t="s">
        <v>63</v>
      </c>
      <c r="J1546" s="17" t="s">
        <v>71</v>
      </c>
      <c r="K1546" s="17" t="s">
        <v>58</v>
      </c>
      <c r="L1546" s="18" t="s">
        <v>52</v>
      </c>
      <c r="M1546" s="19">
        <v>40.0</v>
      </c>
      <c r="N1546" s="19">
        <v>31.0</v>
      </c>
    </row>
    <row r="1547">
      <c r="A1547" s="12">
        <v>1545.0</v>
      </c>
      <c r="B1547" s="13" t="s">
        <v>3676</v>
      </c>
      <c r="C1547" s="14">
        <v>15.0</v>
      </c>
      <c r="D1547" s="15" t="s">
        <v>3684</v>
      </c>
      <c r="E1547" s="16" t="s">
        <v>52</v>
      </c>
      <c r="F1547" s="13" t="s">
        <v>2666</v>
      </c>
      <c r="G1547" s="13" t="s">
        <v>3714</v>
      </c>
      <c r="H1547" s="13" t="s">
        <v>3715</v>
      </c>
      <c r="I1547" s="13" t="s">
        <v>63</v>
      </c>
      <c r="J1547" s="17" t="s">
        <v>71</v>
      </c>
      <c r="K1547" s="17" t="s">
        <v>58</v>
      </c>
      <c r="L1547" s="18" t="s">
        <v>52</v>
      </c>
      <c r="M1547" s="19">
        <v>40.0</v>
      </c>
      <c r="N1547" s="19">
        <v>31.0</v>
      </c>
    </row>
    <row r="1548">
      <c r="A1548" s="12">
        <v>1546.0</v>
      </c>
      <c r="B1548" s="13" t="s">
        <v>3676</v>
      </c>
      <c r="C1548" s="14">
        <v>16.0</v>
      </c>
      <c r="D1548" s="15" t="s">
        <v>3684</v>
      </c>
      <c r="E1548" s="16" t="s">
        <v>52</v>
      </c>
      <c r="F1548" s="13" t="s">
        <v>3558</v>
      </c>
      <c r="G1548" s="13" t="s">
        <v>3716</v>
      </c>
      <c r="H1548" s="13" t="s">
        <v>3717</v>
      </c>
      <c r="I1548" s="13" t="s">
        <v>63</v>
      </c>
      <c r="J1548" s="17" t="s">
        <v>71</v>
      </c>
      <c r="K1548" s="17" t="s">
        <v>58</v>
      </c>
      <c r="L1548" s="18" t="s">
        <v>52</v>
      </c>
      <c r="M1548" s="19">
        <v>40.0</v>
      </c>
      <c r="N1548" s="19">
        <v>31.0</v>
      </c>
    </row>
    <row r="1549">
      <c r="A1549" s="12">
        <v>1547.0</v>
      </c>
      <c r="B1549" s="13" t="s">
        <v>3676</v>
      </c>
      <c r="C1549" s="14">
        <v>17.0</v>
      </c>
      <c r="D1549" s="15" t="s">
        <v>3684</v>
      </c>
      <c r="E1549" s="16" t="s">
        <v>52</v>
      </c>
      <c r="F1549" s="13" t="s">
        <v>2947</v>
      </c>
      <c r="G1549" s="13" t="s">
        <v>61</v>
      </c>
      <c r="H1549" s="13" t="s">
        <v>3669</v>
      </c>
      <c r="I1549" s="13" t="s">
        <v>63</v>
      </c>
      <c r="J1549" s="17" t="s">
        <v>71</v>
      </c>
      <c r="K1549" s="17" t="s">
        <v>58</v>
      </c>
      <c r="L1549" s="18" t="s">
        <v>52</v>
      </c>
      <c r="M1549" s="19">
        <v>40.0</v>
      </c>
      <c r="N1549" s="19">
        <v>31.0</v>
      </c>
    </row>
    <row r="1550">
      <c r="A1550" s="12">
        <v>1548.0</v>
      </c>
      <c r="B1550" s="13" t="s">
        <v>3676</v>
      </c>
      <c r="C1550" s="14">
        <v>18.0</v>
      </c>
      <c r="D1550" s="15" t="s">
        <v>3684</v>
      </c>
      <c r="E1550" s="16" t="s">
        <v>52</v>
      </c>
      <c r="F1550" s="13" t="s">
        <v>3618</v>
      </c>
      <c r="G1550" s="13" t="s">
        <v>3619</v>
      </c>
      <c r="H1550" s="13" t="s">
        <v>3612</v>
      </c>
      <c r="I1550" s="13" t="s">
        <v>63</v>
      </c>
      <c r="J1550" s="17" t="s">
        <v>71</v>
      </c>
      <c r="K1550" s="17" t="s">
        <v>58</v>
      </c>
      <c r="L1550" s="18" t="s">
        <v>52</v>
      </c>
      <c r="M1550" s="19">
        <v>40.0</v>
      </c>
      <c r="N1550" s="19">
        <v>31.0</v>
      </c>
    </row>
    <row r="1551">
      <c r="A1551" s="12">
        <v>1549.0</v>
      </c>
      <c r="B1551" s="13" t="s">
        <v>3676</v>
      </c>
      <c r="C1551" s="14">
        <v>19.0</v>
      </c>
      <c r="D1551" s="15" t="s">
        <v>3684</v>
      </c>
      <c r="E1551" s="16" t="s">
        <v>52</v>
      </c>
      <c r="F1551" s="13" t="s">
        <v>3620</v>
      </c>
      <c r="G1551" s="13" t="s">
        <v>3718</v>
      </c>
      <c r="H1551" s="13" t="s">
        <v>3719</v>
      </c>
      <c r="I1551" s="13" t="s">
        <v>63</v>
      </c>
      <c r="J1551" s="17" t="s">
        <v>71</v>
      </c>
      <c r="K1551" s="17" t="s">
        <v>58</v>
      </c>
      <c r="L1551" s="18" t="s">
        <v>52</v>
      </c>
      <c r="M1551" s="19">
        <v>40.0</v>
      </c>
      <c r="N1551" s="19">
        <v>31.0</v>
      </c>
    </row>
    <row r="1552">
      <c r="A1552" s="12">
        <v>1550.0</v>
      </c>
      <c r="B1552" s="13" t="s">
        <v>3676</v>
      </c>
      <c r="C1552" s="14">
        <v>20.0</v>
      </c>
      <c r="D1552" s="15" t="s">
        <v>3684</v>
      </c>
      <c r="E1552" s="16" t="s">
        <v>52</v>
      </c>
      <c r="F1552" s="13" t="s">
        <v>274</v>
      </c>
      <c r="G1552" s="13" t="s">
        <v>3720</v>
      </c>
      <c r="H1552" s="13" t="s">
        <v>3721</v>
      </c>
      <c r="I1552" s="13" t="s">
        <v>63</v>
      </c>
      <c r="J1552" s="17" t="s">
        <v>71</v>
      </c>
      <c r="K1552" s="17" t="s">
        <v>58</v>
      </c>
      <c r="L1552" s="18" t="s">
        <v>52</v>
      </c>
      <c r="M1552" s="19">
        <v>40.0</v>
      </c>
      <c r="N1552" s="19">
        <v>31.0</v>
      </c>
    </row>
    <row r="1553">
      <c r="A1553" s="12">
        <v>1551.0</v>
      </c>
      <c r="B1553" s="13" t="s">
        <v>3676</v>
      </c>
      <c r="C1553" s="14">
        <v>21.0</v>
      </c>
      <c r="D1553" s="15" t="s">
        <v>3684</v>
      </c>
      <c r="E1553" s="16" t="s">
        <v>52</v>
      </c>
      <c r="F1553" s="13" t="s">
        <v>3662</v>
      </c>
      <c r="G1553" s="13" t="s">
        <v>61</v>
      </c>
      <c r="H1553" s="13" t="s">
        <v>3722</v>
      </c>
      <c r="I1553" s="13" t="s">
        <v>63</v>
      </c>
      <c r="J1553" s="17" t="s">
        <v>71</v>
      </c>
      <c r="K1553" s="17" t="s">
        <v>58</v>
      </c>
      <c r="L1553" s="18" t="s">
        <v>52</v>
      </c>
      <c r="M1553" s="19">
        <v>40.0</v>
      </c>
      <c r="N1553" s="19">
        <v>31.0</v>
      </c>
    </row>
    <row r="1554">
      <c r="A1554" s="12">
        <v>1552.0</v>
      </c>
      <c r="B1554" s="13" t="s">
        <v>3676</v>
      </c>
      <c r="C1554" s="14">
        <v>22.0</v>
      </c>
      <c r="D1554" s="15" t="s">
        <v>3684</v>
      </c>
      <c r="E1554" s="16" t="s">
        <v>52</v>
      </c>
      <c r="F1554" s="13" t="s">
        <v>919</v>
      </c>
      <c r="G1554" s="13" t="s">
        <v>3723</v>
      </c>
      <c r="H1554" s="13" t="s">
        <v>3724</v>
      </c>
      <c r="I1554" s="13" t="s">
        <v>63</v>
      </c>
      <c r="J1554" s="17" t="s">
        <v>71</v>
      </c>
      <c r="K1554" s="17" t="s">
        <v>58</v>
      </c>
      <c r="L1554" s="18" t="s">
        <v>52</v>
      </c>
      <c r="M1554" s="19">
        <v>40.0</v>
      </c>
      <c r="N1554" s="19">
        <v>31.0</v>
      </c>
    </row>
    <row r="1555">
      <c r="A1555" s="12">
        <v>1553.0</v>
      </c>
      <c r="B1555" s="13" t="s">
        <v>3676</v>
      </c>
      <c r="C1555" s="14">
        <v>23.0</v>
      </c>
      <c r="D1555" s="15" t="s">
        <v>3684</v>
      </c>
      <c r="E1555" s="16" t="s">
        <v>52</v>
      </c>
      <c r="F1555" s="13" t="s">
        <v>1174</v>
      </c>
      <c r="G1555" s="13" t="s">
        <v>3725</v>
      </c>
      <c r="H1555" s="13" t="s">
        <v>3726</v>
      </c>
      <c r="I1555" s="13" t="s">
        <v>63</v>
      </c>
      <c r="J1555" s="17" t="s">
        <v>71</v>
      </c>
      <c r="K1555" s="17" t="s">
        <v>58</v>
      </c>
      <c r="L1555" s="18" t="s">
        <v>52</v>
      </c>
      <c r="M1555" s="19">
        <v>40.0</v>
      </c>
      <c r="N1555" s="19">
        <v>31.0</v>
      </c>
    </row>
    <row r="1556">
      <c r="A1556" s="12">
        <v>1554.0</v>
      </c>
      <c r="B1556" s="13" t="s">
        <v>3676</v>
      </c>
      <c r="C1556" s="14">
        <v>24.0</v>
      </c>
      <c r="D1556" s="15" t="s">
        <v>3684</v>
      </c>
      <c r="E1556" s="16" t="s">
        <v>52</v>
      </c>
      <c r="F1556" s="13" t="s">
        <v>3592</v>
      </c>
      <c r="G1556" s="13" t="s">
        <v>3727</v>
      </c>
      <c r="H1556" s="13" t="s">
        <v>3728</v>
      </c>
      <c r="I1556" s="13" t="s">
        <v>63</v>
      </c>
      <c r="J1556" s="17" t="s">
        <v>71</v>
      </c>
      <c r="K1556" s="17" t="s">
        <v>58</v>
      </c>
      <c r="L1556" s="18" t="s">
        <v>52</v>
      </c>
      <c r="M1556" s="19">
        <v>40.0</v>
      </c>
      <c r="N1556" s="19">
        <v>31.0</v>
      </c>
    </row>
    <row r="1557">
      <c r="A1557" s="12">
        <v>1555.0</v>
      </c>
      <c r="B1557" s="13" t="s">
        <v>3676</v>
      </c>
      <c r="C1557" s="14">
        <v>25.0</v>
      </c>
      <c r="D1557" s="15" t="s">
        <v>3684</v>
      </c>
      <c r="E1557" s="16" t="s">
        <v>52</v>
      </c>
      <c r="F1557" s="13" t="s">
        <v>3594</v>
      </c>
      <c r="G1557" s="13" t="s">
        <v>61</v>
      </c>
      <c r="H1557" s="13" t="s">
        <v>3729</v>
      </c>
      <c r="I1557" s="13" t="s">
        <v>63</v>
      </c>
      <c r="J1557" s="17" t="s">
        <v>71</v>
      </c>
      <c r="K1557" s="17" t="s">
        <v>58</v>
      </c>
      <c r="L1557" s="18" t="s">
        <v>52</v>
      </c>
      <c r="M1557" s="19">
        <v>40.0</v>
      </c>
      <c r="N1557" s="19">
        <v>31.0</v>
      </c>
    </row>
    <row r="1558">
      <c r="A1558" s="12">
        <v>1556.0</v>
      </c>
      <c r="B1558" s="13" t="s">
        <v>3676</v>
      </c>
      <c r="C1558" s="14">
        <v>26.0</v>
      </c>
      <c r="D1558" s="15" t="s">
        <v>3684</v>
      </c>
      <c r="E1558" s="16" t="s">
        <v>52</v>
      </c>
      <c r="F1558" s="13" t="s">
        <v>2919</v>
      </c>
      <c r="G1558" s="13" t="s">
        <v>3730</v>
      </c>
      <c r="H1558" s="13" t="s">
        <v>3715</v>
      </c>
      <c r="I1558" s="13" t="s">
        <v>63</v>
      </c>
      <c r="J1558" s="17" t="s">
        <v>71</v>
      </c>
      <c r="K1558" s="17" t="s">
        <v>58</v>
      </c>
      <c r="L1558" s="18" t="s">
        <v>52</v>
      </c>
      <c r="M1558" s="19">
        <v>40.0</v>
      </c>
      <c r="N1558" s="19">
        <v>31.0</v>
      </c>
    </row>
    <row r="1559">
      <c r="A1559" s="12">
        <v>1557.0</v>
      </c>
      <c r="B1559" s="13" t="s">
        <v>3676</v>
      </c>
      <c r="C1559" s="14">
        <v>27.0</v>
      </c>
      <c r="D1559" s="15" t="s">
        <v>3684</v>
      </c>
      <c r="E1559" s="16" t="s">
        <v>52</v>
      </c>
      <c r="F1559" s="13" t="s">
        <v>3471</v>
      </c>
      <c r="G1559" s="13" t="s">
        <v>3731</v>
      </c>
      <c r="H1559" s="13" t="s">
        <v>3732</v>
      </c>
      <c r="I1559" s="13" t="s">
        <v>63</v>
      </c>
      <c r="J1559" s="17" t="s">
        <v>71</v>
      </c>
      <c r="K1559" s="17" t="s">
        <v>58</v>
      </c>
      <c r="L1559" s="18" t="s">
        <v>52</v>
      </c>
      <c r="M1559" s="19">
        <v>40.0</v>
      </c>
      <c r="N1559" s="19">
        <v>31.0</v>
      </c>
    </row>
    <row r="1560">
      <c r="A1560" s="12">
        <v>1558.0</v>
      </c>
      <c r="B1560" s="13" t="s">
        <v>3676</v>
      </c>
      <c r="C1560" s="14">
        <v>28.0</v>
      </c>
      <c r="D1560" s="15" t="s">
        <v>3684</v>
      </c>
      <c r="E1560" s="16" t="s">
        <v>52</v>
      </c>
      <c r="F1560" s="13" t="s">
        <v>3733</v>
      </c>
      <c r="G1560" s="13" t="s">
        <v>61</v>
      </c>
      <c r="H1560" s="13" t="s">
        <v>3734</v>
      </c>
      <c r="I1560" s="13" t="s">
        <v>63</v>
      </c>
      <c r="J1560" s="17" t="s">
        <v>71</v>
      </c>
      <c r="K1560" s="17" t="s">
        <v>58</v>
      </c>
      <c r="L1560" s="18" t="s">
        <v>52</v>
      </c>
      <c r="M1560" s="19">
        <v>40.0</v>
      </c>
      <c r="N1560" s="19">
        <v>31.0</v>
      </c>
    </row>
    <row r="1561">
      <c r="A1561" s="12">
        <v>1559.0</v>
      </c>
      <c r="B1561" s="13" t="s">
        <v>3676</v>
      </c>
      <c r="C1561" s="14">
        <v>29.0</v>
      </c>
      <c r="D1561" s="15" t="s">
        <v>3684</v>
      </c>
      <c r="E1561" s="16" t="s">
        <v>52</v>
      </c>
      <c r="F1561" s="13" t="s">
        <v>2765</v>
      </c>
      <c r="G1561" s="13" t="s">
        <v>61</v>
      </c>
      <c r="H1561" s="13" t="s">
        <v>3735</v>
      </c>
      <c r="I1561" s="13" t="s">
        <v>63</v>
      </c>
      <c r="J1561" s="17" t="s">
        <v>71</v>
      </c>
      <c r="K1561" s="17" t="s">
        <v>58</v>
      </c>
      <c r="L1561" s="18" t="s">
        <v>52</v>
      </c>
      <c r="M1561" s="19">
        <v>40.0</v>
      </c>
      <c r="N1561" s="19">
        <v>31.0</v>
      </c>
    </row>
    <row r="1562">
      <c r="A1562" s="12">
        <v>1560.0</v>
      </c>
      <c r="B1562" s="13" t="s">
        <v>3676</v>
      </c>
      <c r="C1562" s="14">
        <v>30.0</v>
      </c>
      <c r="D1562" s="15" t="s">
        <v>3684</v>
      </c>
      <c r="E1562" s="16" t="s">
        <v>52</v>
      </c>
      <c r="F1562" s="13" t="s">
        <v>3574</v>
      </c>
      <c r="G1562" s="13" t="s">
        <v>61</v>
      </c>
      <c r="H1562" s="13" t="s">
        <v>3736</v>
      </c>
      <c r="I1562" s="13" t="s">
        <v>63</v>
      </c>
      <c r="J1562" s="17" t="s">
        <v>71</v>
      </c>
      <c r="K1562" s="17" t="s">
        <v>58</v>
      </c>
      <c r="L1562" s="18" t="s">
        <v>52</v>
      </c>
      <c r="M1562" s="19">
        <v>40.0</v>
      </c>
      <c r="N1562" s="19">
        <v>31.0</v>
      </c>
    </row>
    <row r="1563">
      <c r="A1563" s="12">
        <v>1561.0</v>
      </c>
      <c r="B1563" s="13" t="s">
        <v>2949</v>
      </c>
      <c r="C1563" s="14">
        <v>1.0</v>
      </c>
      <c r="D1563" s="15" t="s">
        <v>3737</v>
      </c>
      <c r="E1563" s="16" t="s">
        <v>52</v>
      </c>
      <c r="F1563" s="13" t="s">
        <v>3676</v>
      </c>
      <c r="G1563" s="13" t="s">
        <v>3738</v>
      </c>
      <c r="H1563" s="13" t="s">
        <v>3739</v>
      </c>
      <c r="I1563" s="13" t="s">
        <v>56</v>
      </c>
      <c r="J1563" s="17" t="s">
        <v>57</v>
      </c>
      <c r="K1563" s="17" t="s">
        <v>58</v>
      </c>
      <c r="L1563" s="18" t="s">
        <v>52</v>
      </c>
      <c r="M1563" s="19">
        <v>41.0</v>
      </c>
      <c r="N1563" s="19">
        <v>10.0</v>
      </c>
    </row>
    <row r="1564">
      <c r="A1564" s="12">
        <v>1562.0</v>
      </c>
      <c r="B1564" s="13" t="s">
        <v>2949</v>
      </c>
      <c r="C1564" s="14">
        <v>2.0</v>
      </c>
      <c r="D1564" s="15" t="s">
        <v>3740</v>
      </c>
      <c r="E1564" s="16" t="s">
        <v>52</v>
      </c>
      <c r="F1564" s="13" t="s">
        <v>3565</v>
      </c>
      <c r="G1564" s="13" t="s">
        <v>61</v>
      </c>
      <c r="H1564" s="13" t="s">
        <v>3741</v>
      </c>
      <c r="I1564" s="13" t="s">
        <v>63</v>
      </c>
      <c r="J1564" s="17" t="s">
        <v>57</v>
      </c>
      <c r="K1564" s="17" t="s">
        <v>58</v>
      </c>
      <c r="L1564" s="18" t="s">
        <v>52</v>
      </c>
      <c r="M1564" s="19">
        <v>41.0</v>
      </c>
      <c r="N1564" s="19">
        <v>11.0</v>
      </c>
    </row>
    <row r="1565">
      <c r="A1565" s="12">
        <v>1563.0</v>
      </c>
      <c r="B1565" s="13" t="s">
        <v>2949</v>
      </c>
      <c r="C1565" s="14">
        <v>3.0</v>
      </c>
      <c r="D1565" s="15" t="s">
        <v>3737</v>
      </c>
      <c r="E1565" s="16" t="s">
        <v>52</v>
      </c>
      <c r="F1565" s="13" t="s">
        <v>3590</v>
      </c>
      <c r="G1565" s="13" t="s">
        <v>3742</v>
      </c>
      <c r="H1565" s="13" t="s">
        <v>3743</v>
      </c>
      <c r="I1565" s="13" t="s">
        <v>63</v>
      </c>
      <c r="J1565" s="17" t="s">
        <v>57</v>
      </c>
      <c r="K1565" s="17" t="s">
        <v>58</v>
      </c>
      <c r="L1565" s="18" t="s">
        <v>52</v>
      </c>
      <c r="M1565" s="19">
        <v>41.0</v>
      </c>
      <c r="N1565" s="19">
        <v>11.0</v>
      </c>
    </row>
    <row r="1566">
      <c r="A1566" s="12">
        <v>1564.0</v>
      </c>
      <c r="B1566" s="13" t="s">
        <v>2949</v>
      </c>
      <c r="C1566" s="14">
        <v>4.0</v>
      </c>
      <c r="D1566" s="15" t="s">
        <v>3737</v>
      </c>
      <c r="E1566" s="16" t="s">
        <v>52</v>
      </c>
      <c r="F1566" s="13" t="s">
        <v>3610</v>
      </c>
      <c r="G1566" s="13" t="s">
        <v>3687</v>
      </c>
      <c r="H1566" s="13" t="s">
        <v>3744</v>
      </c>
      <c r="I1566" s="13" t="s">
        <v>56</v>
      </c>
      <c r="J1566" s="17" t="s">
        <v>67</v>
      </c>
      <c r="K1566" s="17" t="s">
        <v>58</v>
      </c>
      <c r="L1566" s="18" t="s">
        <v>52</v>
      </c>
      <c r="M1566" s="19">
        <v>41.0</v>
      </c>
      <c r="N1566" s="19">
        <v>20.0</v>
      </c>
    </row>
    <row r="1567">
      <c r="A1567" s="12">
        <v>1565.0</v>
      </c>
      <c r="B1567" s="13" t="s">
        <v>2949</v>
      </c>
      <c r="C1567" s="14">
        <v>5.0</v>
      </c>
      <c r="D1567" s="15" t="s">
        <v>3740</v>
      </c>
      <c r="E1567" s="16" t="s">
        <v>52</v>
      </c>
      <c r="F1567" s="13" t="s">
        <v>1972</v>
      </c>
      <c r="G1567" s="13" t="s">
        <v>3039</v>
      </c>
      <c r="H1567" s="13" t="s">
        <v>3745</v>
      </c>
      <c r="I1567" s="13" t="s">
        <v>63</v>
      </c>
      <c r="J1567" s="17" t="s">
        <v>71</v>
      </c>
      <c r="K1567" s="17" t="s">
        <v>58</v>
      </c>
      <c r="L1567" s="18" t="s">
        <v>52</v>
      </c>
      <c r="M1567" s="19">
        <v>41.0</v>
      </c>
      <c r="N1567" s="19">
        <v>31.0</v>
      </c>
    </row>
    <row r="1568">
      <c r="A1568" s="12">
        <v>1566.0</v>
      </c>
      <c r="B1568" s="13" t="s">
        <v>2949</v>
      </c>
      <c r="C1568" s="14">
        <v>6.0</v>
      </c>
      <c r="D1568" s="15" t="s">
        <v>3740</v>
      </c>
      <c r="E1568" s="16" t="s">
        <v>52</v>
      </c>
      <c r="F1568" s="13" t="s">
        <v>3568</v>
      </c>
      <c r="G1568" s="13" t="s">
        <v>3569</v>
      </c>
      <c r="H1568" s="13" t="s">
        <v>3570</v>
      </c>
      <c r="I1568" s="13" t="s">
        <v>63</v>
      </c>
      <c r="J1568" s="17" t="s">
        <v>71</v>
      </c>
      <c r="K1568" s="17" t="s">
        <v>58</v>
      </c>
      <c r="L1568" s="18" t="s">
        <v>52</v>
      </c>
      <c r="M1568" s="19">
        <v>41.0</v>
      </c>
      <c r="N1568" s="19">
        <v>31.0</v>
      </c>
    </row>
    <row r="1569">
      <c r="A1569" s="12">
        <v>1567.0</v>
      </c>
      <c r="B1569" s="13" t="s">
        <v>2949</v>
      </c>
      <c r="C1569" s="14">
        <v>7.0</v>
      </c>
      <c r="D1569" s="15" t="s">
        <v>3740</v>
      </c>
      <c r="E1569" s="16" t="s">
        <v>52</v>
      </c>
      <c r="F1569" s="13" t="s">
        <v>3586</v>
      </c>
      <c r="G1569" s="13" t="s">
        <v>61</v>
      </c>
      <c r="H1569" s="13" t="s">
        <v>3587</v>
      </c>
      <c r="I1569" s="13" t="s">
        <v>63</v>
      </c>
      <c r="J1569" s="17" t="s">
        <v>71</v>
      </c>
      <c r="K1569" s="17" t="s">
        <v>58</v>
      </c>
      <c r="L1569" s="18" t="s">
        <v>52</v>
      </c>
      <c r="M1569" s="19">
        <v>41.0</v>
      </c>
      <c r="N1569" s="19">
        <v>31.0</v>
      </c>
    </row>
    <row r="1570">
      <c r="A1570" s="12">
        <v>1568.0</v>
      </c>
      <c r="B1570" s="13" t="s">
        <v>2949</v>
      </c>
      <c r="C1570" s="14">
        <v>8.0</v>
      </c>
      <c r="D1570" s="15" t="s">
        <v>3740</v>
      </c>
      <c r="E1570" s="16" t="s">
        <v>52</v>
      </c>
      <c r="F1570" s="13" t="s">
        <v>2957</v>
      </c>
      <c r="G1570" s="13" t="s">
        <v>61</v>
      </c>
      <c r="H1570" s="13" t="s">
        <v>3652</v>
      </c>
      <c r="I1570" s="13" t="s">
        <v>63</v>
      </c>
      <c r="J1570" s="17" t="s">
        <v>71</v>
      </c>
      <c r="K1570" s="17" t="s">
        <v>58</v>
      </c>
      <c r="L1570" s="18" t="s">
        <v>52</v>
      </c>
      <c r="M1570" s="19">
        <v>41.0</v>
      </c>
      <c r="N1570" s="19">
        <v>31.0</v>
      </c>
    </row>
    <row r="1571">
      <c r="A1571" s="12">
        <v>1569.0</v>
      </c>
      <c r="B1571" s="13" t="s">
        <v>2949</v>
      </c>
      <c r="C1571" s="14">
        <v>9.0</v>
      </c>
      <c r="D1571" s="15" t="s">
        <v>3740</v>
      </c>
      <c r="E1571" s="16" t="s">
        <v>52</v>
      </c>
      <c r="F1571" s="13" t="s">
        <v>3554</v>
      </c>
      <c r="G1571" s="13" t="s">
        <v>3654</v>
      </c>
      <c r="H1571" s="13" t="s">
        <v>3655</v>
      </c>
      <c r="I1571" s="13" t="s">
        <v>63</v>
      </c>
      <c r="J1571" s="17" t="s">
        <v>71</v>
      </c>
      <c r="K1571" s="17" t="s">
        <v>58</v>
      </c>
      <c r="L1571" s="18" t="s">
        <v>52</v>
      </c>
      <c r="M1571" s="19">
        <v>41.0</v>
      </c>
      <c r="N1571" s="19">
        <v>31.0</v>
      </c>
    </row>
    <row r="1572">
      <c r="A1572" s="12">
        <v>1570.0</v>
      </c>
      <c r="B1572" s="13" t="s">
        <v>2949</v>
      </c>
      <c r="C1572" s="14">
        <v>10.0</v>
      </c>
      <c r="D1572" s="15" t="s">
        <v>3740</v>
      </c>
      <c r="E1572" s="16" t="s">
        <v>52</v>
      </c>
      <c r="F1572" s="13" t="s">
        <v>3746</v>
      </c>
      <c r="G1572" s="13" t="s">
        <v>61</v>
      </c>
      <c r="H1572" s="13" t="s">
        <v>3747</v>
      </c>
      <c r="I1572" s="13" t="s">
        <v>63</v>
      </c>
      <c r="J1572" s="17" t="s">
        <v>71</v>
      </c>
      <c r="K1572" s="17" t="s">
        <v>58</v>
      </c>
      <c r="L1572" s="18" t="s">
        <v>52</v>
      </c>
      <c r="M1572" s="19">
        <v>41.0</v>
      </c>
      <c r="N1572" s="19">
        <v>31.0</v>
      </c>
    </row>
    <row r="1573">
      <c r="A1573" s="12">
        <v>1571.0</v>
      </c>
      <c r="B1573" s="13" t="s">
        <v>2949</v>
      </c>
      <c r="C1573" s="14">
        <v>11.0</v>
      </c>
      <c r="D1573" s="15" t="s">
        <v>3740</v>
      </c>
      <c r="E1573" s="16" t="s">
        <v>52</v>
      </c>
      <c r="F1573" s="13" t="s">
        <v>3558</v>
      </c>
      <c r="G1573" s="13" t="s">
        <v>61</v>
      </c>
      <c r="H1573" s="13" t="s">
        <v>3559</v>
      </c>
      <c r="I1573" s="13" t="s">
        <v>63</v>
      </c>
      <c r="J1573" s="17" t="s">
        <v>71</v>
      </c>
      <c r="K1573" s="17" t="s">
        <v>58</v>
      </c>
      <c r="L1573" s="18" t="s">
        <v>52</v>
      </c>
      <c r="M1573" s="19">
        <v>41.0</v>
      </c>
      <c r="N1573" s="19">
        <v>31.0</v>
      </c>
    </row>
    <row r="1574">
      <c r="A1574" s="12">
        <v>1572.0</v>
      </c>
      <c r="B1574" s="13" t="s">
        <v>2949</v>
      </c>
      <c r="C1574" s="14">
        <v>12.0</v>
      </c>
      <c r="D1574" s="15" t="s">
        <v>3740</v>
      </c>
      <c r="E1574" s="16" t="s">
        <v>52</v>
      </c>
      <c r="F1574" s="13" t="s">
        <v>3646</v>
      </c>
      <c r="G1574" s="13" t="s">
        <v>61</v>
      </c>
      <c r="H1574" s="13" t="s">
        <v>3748</v>
      </c>
      <c r="I1574" s="13" t="s">
        <v>63</v>
      </c>
      <c r="J1574" s="17" t="s">
        <v>71</v>
      </c>
      <c r="K1574" s="17" t="s">
        <v>58</v>
      </c>
      <c r="L1574" s="18" t="s">
        <v>52</v>
      </c>
      <c r="M1574" s="19">
        <v>41.0</v>
      </c>
      <c r="N1574" s="19">
        <v>31.0</v>
      </c>
    </row>
    <row r="1575">
      <c r="A1575" s="12">
        <v>1573.0</v>
      </c>
      <c r="B1575" s="13" t="s">
        <v>2949</v>
      </c>
      <c r="C1575" s="14">
        <v>13.0</v>
      </c>
      <c r="D1575" s="15" t="s">
        <v>3740</v>
      </c>
      <c r="E1575" s="16" t="s">
        <v>52</v>
      </c>
      <c r="F1575" s="13" t="s">
        <v>919</v>
      </c>
      <c r="G1575" s="13" t="s">
        <v>3584</v>
      </c>
      <c r="H1575" s="13" t="s">
        <v>3585</v>
      </c>
      <c r="I1575" s="13" t="s">
        <v>63</v>
      </c>
      <c r="J1575" s="17" t="s">
        <v>71</v>
      </c>
      <c r="K1575" s="17" t="s">
        <v>58</v>
      </c>
      <c r="L1575" s="18" t="s">
        <v>52</v>
      </c>
      <c r="M1575" s="19">
        <v>41.0</v>
      </c>
      <c r="N1575" s="19">
        <v>31.0</v>
      </c>
    </row>
    <row r="1576">
      <c r="A1576" s="12">
        <v>1574.0</v>
      </c>
      <c r="B1576" s="13" t="s">
        <v>2949</v>
      </c>
      <c r="C1576" s="14">
        <v>14.0</v>
      </c>
      <c r="D1576" s="15" t="s">
        <v>3740</v>
      </c>
      <c r="E1576" s="16" t="s">
        <v>52</v>
      </c>
      <c r="F1576" s="13" t="s">
        <v>3596</v>
      </c>
      <c r="G1576" s="13" t="s">
        <v>3750</v>
      </c>
      <c r="H1576" s="13" t="s">
        <v>3752</v>
      </c>
      <c r="I1576" s="13" t="s">
        <v>63</v>
      </c>
      <c r="J1576" s="17" t="s">
        <v>71</v>
      </c>
      <c r="K1576" s="17" t="s">
        <v>58</v>
      </c>
      <c r="L1576" s="18" t="s">
        <v>52</v>
      </c>
      <c r="M1576" s="19">
        <v>41.0</v>
      </c>
      <c r="N1576" s="19">
        <v>31.0</v>
      </c>
    </row>
    <row r="1577">
      <c r="A1577" s="12">
        <v>1575.0</v>
      </c>
      <c r="B1577" s="13" t="s">
        <v>2949</v>
      </c>
      <c r="C1577" s="14">
        <v>15.0</v>
      </c>
      <c r="D1577" s="15" t="s">
        <v>3740</v>
      </c>
      <c r="E1577" s="16" t="s">
        <v>52</v>
      </c>
      <c r="F1577" s="13" t="s">
        <v>3592</v>
      </c>
      <c r="G1577" s="13" t="s">
        <v>61</v>
      </c>
      <c r="H1577" s="13" t="s">
        <v>3593</v>
      </c>
      <c r="I1577" s="13" t="s">
        <v>63</v>
      </c>
      <c r="J1577" s="17" t="s">
        <v>71</v>
      </c>
      <c r="K1577" s="17" t="s">
        <v>58</v>
      </c>
      <c r="L1577" s="18" t="s">
        <v>52</v>
      </c>
      <c r="M1577" s="19">
        <v>41.0</v>
      </c>
      <c r="N1577" s="19">
        <v>31.0</v>
      </c>
    </row>
    <row r="1578">
      <c r="A1578" s="12">
        <v>1576.0</v>
      </c>
      <c r="B1578" s="13" t="s">
        <v>2949</v>
      </c>
      <c r="C1578" s="14">
        <v>16.0</v>
      </c>
      <c r="D1578" s="15" t="s">
        <v>3740</v>
      </c>
      <c r="E1578" s="16" t="s">
        <v>52</v>
      </c>
      <c r="F1578" s="13" t="s">
        <v>3594</v>
      </c>
      <c r="G1578" s="13" t="s">
        <v>61</v>
      </c>
      <c r="H1578" s="13" t="s">
        <v>3595</v>
      </c>
      <c r="I1578" s="13" t="s">
        <v>63</v>
      </c>
      <c r="J1578" s="17" t="s">
        <v>71</v>
      </c>
      <c r="K1578" s="17" t="s">
        <v>58</v>
      </c>
      <c r="L1578" s="18" t="s">
        <v>52</v>
      </c>
      <c r="M1578" s="19">
        <v>41.0</v>
      </c>
      <c r="N1578" s="19">
        <v>31.0</v>
      </c>
    </row>
    <row r="1579">
      <c r="A1579" s="12">
        <v>1577.0</v>
      </c>
      <c r="B1579" s="13" t="s">
        <v>2949</v>
      </c>
      <c r="C1579" s="14">
        <v>17.0</v>
      </c>
      <c r="D1579" s="15" t="s">
        <v>3740</v>
      </c>
      <c r="E1579" s="16" t="s">
        <v>52</v>
      </c>
      <c r="F1579" s="13" t="s">
        <v>1258</v>
      </c>
      <c r="G1579" s="13" t="s">
        <v>1259</v>
      </c>
      <c r="H1579" s="13" t="s">
        <v>1260</v>
      </c>
      <c r="I1579" s="13" t="s">
        <v>63</v>
      </c>
      <c r="J1579" s="17" t="s">
        <v>71</v>
      </c>
      <c r="K1579" s="17" t="s">
        <v>58</v>
      </c>
      <c r="L1579" s="18" t="s">
        <v>52</v>
      </c>
      <c r="M1579" s="19">
        <v>41.0</v>
      </c>
      <c r="N1579" s="19">
        <v>31.0</v>
      </c>
    </row>
    <row r="1580">
      <c r="A1580" s="12">
        <v>1578.0</v>
      </c>
      <c r="B1580" s="13" t="s">
        <v>2949</v>
      </c>
      <c r="C1580" s="14">
        <v>18.0</v>
      </c>
      <c r="D1580" s="15" t="s">
        <v>3740</v>
      </c>
      <c r="E1580" s="16" t="s">
        <v>52</v>
      </c>
      <c r="F1580" s="13" t="s">
        <v>1265</v>
      </c>
      <c r="G1580" s="13" t="s">
        <v>1266</v>
      </c>
      <c r="H1580" s="13" t="s">
        <v>1267</v>
      </c>
      <c r="I1580" s="13" t="s">
        <v>63</v>
      </c>
      <c r="J1580" s="17" t="s">
        <v>71</v>
      </c>
      <c r="K1580" s="17" t="s">
        <v>58</v>
      </c>
      <c r="L1580" s="18" t="s">
        <v>52</v>
      </c>
      <c r="M1580" s="19">
        <v>41.0</v>
      </c>
      <c r="N1580" s="19">
        <v>31.0</v>
      </c>
    </row>
    <row r="1581">
      <c r="A1581" s="12">
        <v>1579.0</v>
      </c>
      <c r="B1581" s="13" t="s">
        <v>2949</v>
      </c>
      <c r="C1581" s="14">
        <v>19.0</v>
      </c>
      <c r="D1581" s="15" t="s">
        <v>3740</v>
      </c>
      <c r="E1581" s="16" t="s">
        <v>52</v>
      </c>
      <c r="F1581" s="13" t="s">
        <v>3756</v>
      </c>
      <c r="G1581" s="13" t="s">
        <v>61</v>
      </c>
      <c r="H1581" s="13" t="s">
        <v>3757</v>
      </c>
      <c r="I1581" s="13" t="s">
        <v>63</v>
      </c>
      <c r="J1581" s="17" t="s">
        <v>71</v>
      </c>
      <c r="K1581" s="17" t="s">
        <v>58</v>
      </c>
      <c r="L1581" s="18" t="s">
        <v>52</v>
      </c>
      <c r="M1581" s="19">
        <v>41.0</v>
      </c>
      <c r="N1581" s="19">
        <v>31.0</v>
      </c>
    </row>
    <row r="1582">
      <c r="A1582" s="12">
        <v>1580.0</v>
      </c>
      <c r="B1582" s="13" t="s">
        <v>2949</v>
      </c>
      <c r="C1582" s="14">
        <v>20.0</v>
      </c>
      <c r="D1582" s="15" t="s">
        <v>3737</v>
      </c>
      <c r="E1582" s="16" t="s">
        <v>52</v>
      </c>
      <c r="F1582" s="13" t="s">
        <v>3689</v>
      </c>
      <c r="G1582" s="13" t="s">
        <v>3758</v>
      </c>
      <c r="H1582" s="13" t="s">
        <v>3759</v>
      </c>
      <c r="I1582" s="13" t="s">
        <v>63</v>
      </c>
      <c r="J1582" s="17" t="s">
        <v>71</v>
      </c>
      <c r="K1582" s="17" t="s">
        <v>58</v>
      </c>
      <c r="L1582" s="18" t="s">
        <v>52</v>
      </c>
      <c r="M1582" s="19">
        <v>41.0</v>
      </c>
      <c r="N1582" s="19">
        <v>31.0</v>
      </c>
    </row>
    <row r="1583">
      <c r="A1583" s="12">
        <v>1581.0</v>
      </c>
      <c r="B1583" s="13" t="s">
        <v>2949</v>
      </c>
      <c r="C1583" s="14">
        <v>21.0</v>
      </c>
      <c r="D1583" s="15" t="s">
        <v>3737</v>
      </c>
      <c r="E1583" s="16" t="s">
        <v>52</v>
      </c>
      <c r="F1583" s="13" t="s">
        <v>3616</v>
      </c>
      <c r="G1583" s="13" t="s">
        <v>3761</v>
      </c>
      <c r="H1583" s="13" t="s">
        <v>3762</v>
      </c>
      <c r="I1583" s="13" t="s">
        <v>63</v>
      </c>
      <c r="J1583" s="17" t="s">
        <v>71</v>
      </c>
      <c r="K1583" s="17" t="s">
        <v>58</v>
      </c>
      <c r="L1583" s="18" t="s">
        <v>52</v>
      </c>
      <c r="M1583" s="19">
        <v>41.0</v>
      </c>
      <c r="N1583" s="19">
        <v>31.0</v>
      </c>
    </row>
    <row r="1584">
      <c r="A1584" s="12">
        <v>1582.0</v>
      </c>
      <c r="B1584" s="13" t="s">
        <v>2949</v>
      </c>
      <c r="C1584" s="14">
        <v>22.0</v>
      </c>
      <c r="D1584" s="15" t="s">
        <v>3737</v>
      </c>
      <c r="E1584" s="16" t="s">
        <v>52</v>
      </c>
      <c r="F1584" s="13" t="s">
        <v>2902</v>
      </c>
      <c r="G1584" s="13" t="s">
        <v>61</v>
      </c>
      <c r="H1584" s="13" t="s">
        <v>3665</v>
      </c>
      <c r="I1584" s="13" t="s">
        <v>63</v>
      </c>
      <c r="J1584" s="17" t="s">
        <v>71</v>
      </c>
      <c r="K1584" s="17" t="s">
        <v>58</v>
      </c>
      <c r="L1584" s="18" t="s">
        <v>52</v>
      </c>
      <c r="M1584" s="19">
        <v>41.0</v>
      </c>
      <c r="N1584" s="19">
        <v>31.0</v>
      </c>
    </row>
    <row r="1585">
      <c r="A1585" s="12">
        <v>1583.0</v>
      </c>
      <c r="B1585" s="13" t="s">
        <v>2949</v>
      </c>
      <c r="C1585" s="14">
        <v>23.0</v>
      </c>
      <c r="D1585" s="15" t="s">
        <v>3737</v>
      </c>
      <c r="E1585" s="16" t="s">
        <v>52</v>
      </c>
      <c r="F1585" s="13" t="s">
        <v>3580</v>
      </c>
      <c r="G1585" s="13" t="s">
        <v>61</v>
      </c>
      <c r="H1585" s="13" t="s">
        <v>3666</v>
      </c>
      <c r="I1585" s="13" t="s">
        <v>63</v>
      </c>
      <c r="J1585" s="17" t="s">
        <v>71</v>
      </c>
      <c r="K1585" s="17" t="s">
        <v>58</v>
      </c>
      <c r="L1585" s="18" t="s">
        <v>52</v>
      </c>
      <c r="M1585" s="19">
        <v>41.0</v>
      </c>
      <c r="N1585" s="19">
        <v>31.0</v>
      </c>
    </row>
    <row r="1586">
      <c r="A1586" s="12">
        <v>1584.0</v>
      </c>
      <c r="B1586" s="13" t="s">
        <v>2949</v>
      </c>
      <c r="C1586" s="14">
        <v>24.0</v>
      </c>
      <c r="D1586" s="15" t="s">
        <v>3737</v>
      </c>
      <c r="E1586" s="16" t="s">
        <v>52</v>
      </c>
      <c r="F1586" s="13" t="s">
        <v>2947</v>
      </c>
      <c r="G1586" s="13" t="s">
        <v>61</v>
      </c>
      <c r="H1586" s="13" t="s">
        <v>3669</v>
      </c>
      <c r="I1586" s="13" t="s">
        <v>63</v>
      </c>
      <c r="J1586" s="17" t="s">
        <v>71</v>
      </c>
      <c r="K1586" s="17" t="s">
        <v>58</v>
      </c>
      <c r="L1586" s="18" t="s">
        <v>52</v>
      </c>
      <c r="M1586" s="19">
        <v>41.0</v>
      </c>
      <c r="N1586" s="19">
        <v>31.0</v>
      </c>
    </row>
    <row r="1587">
      <c r="A1587" s="12">
        <v>1585.0</v>
      </c>
      <c r="B1587" s="13" t="s">
        <v>2949</v>
      </c>
      <c r="C1587" s="14">
        <v>25.0</v>
      </c>
      <c r="D1587" s="15" t="s">
        <v>3737</v>
      </c>
      <c r="E1587" s="16" t="s">
        <v>52</v>
      </c>
      <c r="F1587" s="13" t="s">
        <v>3618</v>
      </c>
      <c r="G1587" s="13" t="s">
        <v>3619</v>
      </c>
      <c r="H1587" s="13" t="s">
        <v>3612</v>
      </c>
      <c r="I1587" s="13" t="s">
        <v>63</v>
      </c>
      <c r="J1587" s="17" t="s">
        <v>71</v>
      </c>
      <c r="K1587" s="17" t="s">
        <v>58</v>
      </c>
      <c r="L1587" s="18" t="s">
        <v>52</v>
      </c>
      <c r="M1587" s="19">
        <v>41.0</v>
      </c>
      <c r="N1587" s="19">
        <v>31.0</v>
      </c>
    </row>
    <row r="1588">
      <c r="A1588" s="12">
        <v>1586.0</v>
      </c>
      <c r="B1588" s="13" t="s">
        <v>2949</v>
      </c>
      <c r="C1588" s="14">
        <v>26.0</v>
      </c>
      <c r="D1588" s="15" t="s">
        <v>3737</v>
      </c>
      <c r="E1588" s="16" t="s">
        <v>52</v>
      </c>
      <c r="F1588" s="13" t="s">
        <v>3620</v>
      </c>
      <c r="G1588" s="13" t="s">
        <v>3672</v>
      </c>
      <c r="H1588" s="13" t="s">
        <v>3763</v>
      </c>
      <c r="I1588" s="13" t="s">
        <v>63</v>
      </c>
      <c r="J1588" s="17" t="s">
        <v>71</v>
      </c>
      <c r="K1588" s="17" t="s">
        <v>58</v>
      </c>
      <c r="L1588" s="18" t="s">
        <v>52</v>
      </c>
      <c r="M1588" s="19">
        <v>41.0</v>
      </c>
      <c r="N1588" s="19">
        <v>31.0</v>
      </c>
    </row>
    <row r="1589">
      <c r="A1589" s="12">
        <v>1587.0</v>
      </c>
      <c r="B1589" s="13" t="s">
        <v>2949</v>
      </c>
      <c r="C1589" s="14">
        <v>27.0</v>
      </c>
      <c r="D1589" s="15" t="s">
        <v>3737</v>
      </c>
      <c r="E1589" s="16" t="s">
        <v>52</v>
      </c>
      <c r="F1589" s="13" t="s">
        <v>3662</v>
      </c>
      <c r="G1589" s="13" t="s">
        <v>61</v>
      </c>
      <c r="H1589" s="13" t="s">
        <v>3722</v>
      </c>
      <c r="I1589" s="13" t="s">
        <v>63</v>
      </c>
      <c r="J1589" s="17" t="s">
        <v>71</v>
      </c>
      <c r="K1589" s="17" t="s">
        <v>58</v>
      </c>
      <c r="L1589" s="18" t="s">
        <v>52</v>
      </c>
      <c r="M1589" s="19">
        <v>41.0</v>
      </c>
      <c r="N1589" s="19">
        <v>31.0</v>
      </c>
    </row>
    <row r="1590">
      <c r="A1590" s="12">
        <v>1588.0</v>
      </c>
      <c r="B1590" s="13" t="s">
        <v>2949</v>
      </c>
      <c r="C1590" s="14">
        <v>28.0</v>
      </c>
      <c r="D1590" s="15" t="s">
        <v>3737</v>
      </c>
      <c r="E1590" s="16" t="s">
        <v>52</v>
      </c>
      <c r="F1590" s="13" t="s">
        <v>3764</v>
      </c>
      <c r="G1590" s="13" t="s">
        <v>3765</v>
      </c>
      <c r="H1590" s="13" t="s">
        <v>3766</v>
      </c>
      <c r="I1590" s="13" t="s">
        <v>63</v>
      </c>
      <c r="J1590" s="17" t="s">
        <v>71</v>
      </c>
      <c r="K1590" s="17" t="s">
        <v>58</v>
      </c>
      <c r="L1590" s="18" t="s">
        <v>52</v>
      </c>
      <c r="M1590" s="19">
        <v>41.0</v>
      </c>
      <c r="N1590" s="19">
        <v>31.0</v>
      </c>
    </row>
    <row r="1591">
      <c r="A1591" s="12">
        <v>1589.0</v>
      </c>
      <c r="B1591" s="13" t="s">
        <v>2949</v>
      </c>
      <c r="C1591" s="14">
        <v>29.0</v>
      </c>
      <c r="D1591" s="15" t="s">
        <v>3737</v>
      </c>
      <c r="E1591" s="16" t="s">
        <v>52</v>
      </c>
      <c r="F1591" s="13" t="s">
        <v>3682</v>
      </c>
      <c r="G1591" s="13" t="s">
        <v>61</v>
      </c>
      <c r="H1591" s="13" t="s">
        <v>3683</v>
      </c>
      <c r="I1591" s="13" t="s">
        <v>63</v>
      </c>
      <c r="J1591" s="17" t="s">
        <v>71</v>
      </c>
      <c r="K1591" s="17" t="s">
        <v>58</v>
      </c>
      <c r="L1591" s="18" t="s">
        <v>52</v>
      </c>
      <c r="M1591" s="19">
        <v>41.0</v>
      </c>
      <c r="N1591" s="19">
        <v>31.0</v>
      </c>
    </row>
    <row r="1592">
      <c r="A1592" s="12">
        <v>1590.0</v>
      </c>
      <c r="B1592" s="13" t="s">
        <v>2949</v>
      </c>
      <c r="C1592" s="14">
        <v>30.0</v>
      </c>
      <c r="D1592" s="15" t="s">
        <v>3737</v>
      </c>
      <c r="E1592" s="16" t="s">
        <v>52</v>
      </c>
      <c r="F1592" s="13" t="s">
        <v>3733</v>
      </c>
      <c r="G1592" s="13" t="s">
        <v>61</v>
      </c>
      <c r="H1592" s="13" t="s">
        <v>3734</v>
      </c>
      <c r="I1592" s="13" t="s">
        <v>63</v>
      </c>
      <c r="J1592" s="17" t="s">
        <v>71</v>
      </c>
      <c r="K1592" s="17" t="s">
        <v>58</v>
      </c>
      <c r="L1592" s="18" t="s">
        <v>52</v>
      </c>
      <c r="M1592" s="19">
        <v>41.0</v>
      </c>
      <c r="N1592" s="19">
        <v>31.0</v>
      </c>
    </row>
    <row r="1593">
      <c r="A1593" s="12">
        <v>1591.0</v>
      </c>
      <c r="B1593" s="13" t="s">
        <v>3592</v>
      </c>
      <c r="C1593" s="14">
        <v>1.0</v>
      </c>
      <c r="D1593" s="15" t="s">
        <v>3767</v>
      </c>
      <c r="E1593" s="16" t="s">
        <v>52</v>
      </c>
      <c r="F1593" s="13" t="s">
        <v>3768</v>
      </c>
      <c r="G1593" s="13" t="s">
        <v>3769</v>
      </c>
      <c r="H1593" s="13" t="s">
        <v>3771</v>
      </c>
      <c r="I1593" s="13" t="s">
        <v>56</v>
      </c>
      <c r="J1593" s="17" t="s">
        <v>57</v>
      </c>
      <c r="K1593" s="17" t="s">
        <v>58</v>
      </c>
      <c r="L1593" s="18" t="s">
        <v>52</v>
      </c>
      <c r="M1593" s="19">
        <v>42.0</v>
      </c>
      <c r="N1593" s="19">
        <v>10.0</v>
      </c>
    </row>
    <row r="1594">
      <c r="A1594" s="12">
        <v>1592.0</v>
      </c>
      <c r="B1594" s="13" t="s">
        <v>3592</v>
      </c>
      <c r="C1594" s="14">
        <v>2.0</v>
      </c>
      <c r="D1594" s="15" t="s">
        <v>3767</v>
      </c>
      <c r="E1594" s="16" t="s">
        <v>52</v>
      </c>
      <c r="F1594" s="13" t="s">
        <v>3580</v>
      </c>
      <c r="G1594" s="13" t="s">
        <v>3581</v>
      </c>
      <c r="H1594" s="13" t="s">
        <v>3582</v>
      </c>
      <c r="I1594" s="13" t="s">
        <v>63</v>
      </c>
      <c r="J1594" s="17" t="s">
        <v>57</v>
      </c>
      <c r="K1594" s="17" t="s">
        <v>58</v>
      </c>
      <c r="L1594" s="18" t="s">
        <v>52</v>
      </c>
      <c r="M1594" s="19">
        <v>42.0</v>
      </c>
      <c r="N1594" s="19">
        <v>11.0</v>
      </c>
    </row>
    <row r="1595">
      <c r="A1595" s="12">
        <v>1593.0</v>
      </c>
      <c r="B1595" s="13" t="s">
        <v>3592</v>
      </c>
      <c r="C1595" s="14">
        <v>3.0</v>
      </c>
      <c r="D1595" s="15" t="s">
        <v>3767</v>
      </c>
      <c r="E1595" s="16" t="s">
        <v>52</v>
      </c>
      <c r="F1595" s="13" t="s">
        <v>2816</v>
      </c>
      <c r="G1595" s="13" t="s">
        <v>3772</v>
      </c>
      <c r="H1595" s="13" t="s">
        <v>3773</v>
      </c>
      <c r="I1595" s="13" t="s">
        <v>63</v>
      </c>
      <c r="J1595" s="17" t="s">
        <v>57</v>
      </c>
      <c r="K1595" s="17" t="s">
        <v>58</v>
      </c>
      <c r="L1595" s="18" t="s">
        <v>52</v>
      </c>
      <c r="M1595" s="19">
        <v>42.0</v>
      </c>
      <c r="N1595" s="19">
        <v>11.0</v>
      </c>
    </row>
    <row r="1596">
      <c r="A1596" s="12">
        <v>1594.0</v>
      </c>
      <c r="B1596" s="13" t="s">
        <v>3592</v>
      </c>
      <c r="C1596" s="14">
        <v>4.0</v>
      </c>
      <c r="D1596" s="15" t="s">
        <v>3767</v>
      </c>
      <c r="E1596" s="16" t="s">
        <v>52</v>
      </c>
      <c r="F1596" s="13" t="s">
        <v>2666</v>
      </c>
      <c r="G1596" s="13" t="s">
        <v>61</v>
      </c>
      <c r="H1596" s="13" t="s">
        <v>3774</v>
      </c>
      <c r="I1596" s="13" t="s">
        <v>63</v>
      </c>
      <c r="J1596" s="17" t="s">
        <v>57</v>
      </c>
      <c r="K1596" s="17" t="s">
        <v>58</v>
      </c>
      <c r="L1596" s="18" t="s">
        <v>52</v>
      </c>
      <c r="M1596" s="19">
        <v>42.0</v>
      </c>
      <c r="N1596" s="19">
        <v>11.0</v>
      </c>
    </row>
    <row r="1597">
      <c r="A1597" s="12">
        <v>1595.0</v>
      </c>
      <c r="B1597" s="13" t="s">
        <v>3592</v>
      </c>
      <c r="C1597" s="14">
        <v>5.0</v>
      </c>
      <c r="D1597" s="15" t="s">
        <v>3767</v>
      </c>
      <c r="E1597" s="16" t="s">
        <v>52</v>
      </c>
      <c r="F1597" s="13" t="s">
        <v>1707</v>
      </c>
      <c r="G1597" s="13" t="s">
        <v>61</v>
      </c>
      <c r="H1597" s="13" t="s">
        <v>3614</v>
      </c>
      <c r="I1597" s="13" t="s">
        <v>63</v>
      </c>
      <c r="J1597" s="17" t="s">
        <v>67</v>
      </c>
      <c r="K1597" s="17" t="s">
        <v>58</v>
      </c>
      <c r="L1597" s="18" t="s">
        <v>52</v>
      </c>
      <c r="M1597" s="19">
        <v>42.0</v>
      </c>
      <c r="N1597" s="19">
        <v>21.0</v>
      </c>
    </row>
    <row r="1598">
      <c r="A1598" s="12">
        <v>1596.0</v>
      </c>
      <c r="B1598" s="13" t="s">
        <v>3592</v>
      </c>
      <c r="C1598" s="14">
        <v>6.0</v>
      </c>
      <c r="D1598" s="15" t="s">
        <v>3775</v>
      </c>
      <c r="E1598" s="16" t="s">
        <v>52</v>
      </c>
      <c r="F1598" s="13" t="s">
        <v>3586</v>
      </c>
      <c r="G1598" s="13" t="s">
        <v>61</v>
      </c>
      <c r="H1598" s="13" t="s">
        <v>3587</v>
      </c>
      <c r="I1598" s="13" t="s">
        <v>63</v>
      </c>
      <c r="J1598" s="17" t="s">
        <v>71</v>
      </c>
      <c r="K1598" s="17" t="s">
        <v>58</v>
      </c>
      <c r="L1598" s="18" t="s">
        <v>52</v>
      </c>
      <c r="M1598" s="19">
        <v>42.0</v>
      </c>
      <c r="N1598" s="19">
        <v>31.0</v>
      </c>
    </row>
    <row r="1599">
      <c r="A1599" s="12">
        <v>1597.0</v>
      </c>
      <c r="B1599" s="13" t="s">
        <v>3592</v>
      </c>
      <c r="C1599" s="14">
        <v>7.0</v>
      </c>
      <c r="D1599" s="15" t="s">
        <v>3775</v>
      </c>
      <c r="E1599" s="16" t="s">
        <v>52</v>
      </c>
      <c r="F1599" s="13" t="s">
        <v>2957</v>
      </c>
      <c r="G1599" s="13" t="s">
        <v>61</v>
      </c>
      <c r="H1599" s="13" t="s">
        <v>3652</v>
      </c>
      <c r="I1599" s="13" t="s">
        <v>63</v>
      </c>
      <c r="J1599" s="17" t="s">
        <v>71</v>
      </c>
      <c r="K1599" s="17" t="s">
        <v>58</v>
      </c>
      <c r="L1599" s="18" t="s">
        <v>52</v>
      </c>
      <c r="M1599" s="19">
        <v>42.0</v>
      </c>
      <c r="N1599" s="19">
        <v>31.0</v>
      </c>
    </row>
    <row r="1600">
      <c r="A1600" s="12">
        <v>1598.0</v>
      </c>
      <c r="B1600" s="13" t="s">
        <v>3592</v>
      </c>
      <c r="C1600" s="14">
        <v>8.0</v>
      </c>
      <c r="D1600" s="15" t="s">
        <v>3775</v>
      </c>
      <c r="E1600" s="16" t="s">
        <v>52</v>
      </c>
      <c r="F1600" s="13" t="s">
        <v>3554</v>
      </c>
      <c r="G1600" s="13" t="s">
        <v>3654</v>
      </c>
      <c r="H1600" s="13" t="s">
        <v>3655</v>
      </c>
      <c r="I1600" s="13" t="s">
        <v>63</v>
      </c>
      <c r="J1600" s="17" t="s">
        <v>71</v>
      </c>
      <c r="K1600" s="17" t="s">
        <v>58</v>
      </c>
      <c r="L1600" s="18" t="s">
        <v>52</v>
      </c>
      <c r="M1600" s="19">
        <v>42.0</v>
      </c>
      <c r="N1600" s="19">
        <v>31.0</v>
      </c>
    </row>
    <row r="1601">
      <c r="A1601" s="12">
        <v>1599.0</v>
      </c>
      <c r="B1601" s="13" t="s">
        <v>3592</v>
      </c>
      <c r="C1601" s="14">
        <v>9.0</v>
      </c>
      <c r="D1601" s="15" t="s">
        <v>3775</v>
      </c>
      <c r="E1601" s="16" t="s">
        <v>52</v>
      </c>
      <c r="F1601" s="13" t="s">
        <v>3558</v>
      </c>
      <c r="G1601" s="13" t="s">
        <v>61</v>
      </c>
      <c r="H1601" s="13" t="s">
        <v>3559</v>
      </c>
      <c r="I1601" s="13" t="s">
        <v>63</v>
      </c>
      <c r="J1601" s="17" t="s">
        <v>71</v>
      </c>
      <c r="K1601" s="17" t="s">
        <v>58</v>
      </c>
      <c r="L1601" s="18" t="s">
        <v>52</v>
      </c>
      <c r="M1601" s="19">
        <v>42.0</v>
      </c>
      <c r="N1601" s="19">
        <v>31.0</v>
      </c>
    </row>
    <row r="1602">
      <c r="A1602" s="12">
        <v>1600.0</v>
      </c>
      <c r="B1602" s="13" t="s">
        <v>3592</v>
      </c>
      <c r="C1602" s="14">
        <v>10.0</v>
      </c>
      <c r="D1602" s="15" t="s">
        <v>3775</v>
      </c>
      <c r="E1602" s="16" t="s">
        <v>52</v>
      </c>
      <c r="F1602" s="13" t="s">
        <v>919</v>
      </c>
      <c r="G1602" s="13" t="s">
        <v>3584</v>
      </c>
      <c r="H1602" s="13" t="s">
        <v>3585</v>
      </c>
      <c r="I1602" s="13" t="s">
        <v>63</v>
      </c>
      <c r="J1602" s="17" t="s">
        <v>71</v>
      </c>
      <c r="K1602" s="17" t="s">
        <v>58</v>
      </c>
      <c r="L1602" s="18" t="s">
        <v>52</v>
      </c>
      <c r="M1602" s="19">
        <v>42.0</v>
      </c>
      <c r="N1602" s="19">
        <v>31.0</v>
      </c>
    </row>
    <row r="1603">
      <c r="A1603" s="12">
        <v>1601.0</v>
      </c>
      <c r="B1603" s="13" t="s">
        <v>3592</v>
      </c>
      <c r="C1603" s="14">
        <v>11.0</v>
      </c>
      <c r="D1603" s="15" t="s">
        <v>3775</v>
      </c>
      <c r="E1603" s="16" t="s">
        <v>52</v>
      </c>
      <c r="F1603" s="13" t="s">
        <v>3596</v>
      </c>
      <c r="G1603" s="13" t="s">
        <v>3750</v>
      </c>
      <c r="H1603" s="13" t="s">
        <v>3752</v>
      </c>
      <c r="I1603" s="13" t="s">
        <v>63</v>
      </c>
      <c r="J1603" s="17" t="s">
        <v>71</v>
      </c>
      <c r="K1603" s="17" t="s">
        <v>58</v>
      </c>
      <c r="L1603" s="18" t="s">
        <v>52</v>
      </c>
      <c r="M1603" s="19">
        <v>42.0</v>
      </c>
      <c r="N1603" s="19">
        <v>31.0</v>
      </c>
    </row>
    <row r="1604">
      <c r="A1604" s="12">
        <v>1602.0</v>
      </c>
      <c r="B1604" s="13" t="s">
        <v>3592</v>
      </c>
      <c r="C1604" s="14">
        <v>12.0</v>
      </c>
      <c r="D1604" s="15" t="s">
        <v>3775</v>
      </c>
      <c r="E1604" s="16" t="s">
        <v>52</v>
      </c>
      <c r="F1604" s="13" t="s">
        <v>3594</v>
      </c>
      <c r="G1604" s="13" t="s">
        <v>61</v>
      </c>
      <c r="H1604" s="13" t="s">
        <v>3595</v>
      </c>
      <c r="I1604" s="13" t="s">
        <v>63</v>
      </c>
      <c r="J1604" s="17" t="s">
        <v>71</v>
      </c>
      <c r="K1604" s="17" t="s">
        <v>58</v>
      </c>
      <c r="L1604" s="18" t="s">
        <v>52</v>
      </c>
      <c r="M1604" s="19">
        <v>42.0</v>
      </c>
      <c r="N1604" s="19">
        <v>31.0</v>
      </c>
    </row>
    <row r="1605">
      <c r="A1605" s="12">
        <v>1603.0</v>
      </c>
      <c r="B1605" s="13" t="s">
        <v>3592</v>
      </c>
      <c r="C1605" s="14">
        <v>13.0</v>
      </c>
      <c r="D1605" s="15" t="s">
        <v>3775</v>
      </c>
      <c r="E1605" s="16" t="s">
        <v>52</v>
      </c>
      <c r="F1605" s="13" t="s">
        <v>3746</v>
      </c>
      <c r="G1605" s="13" t="s">
        <v>61</v>
      </c>
      <c r="H1605" s="13" t="s">
        <v>3747</v>
      </c>
      <c r="I1605" s="13" t="s">
        <v>63</v>
      </c>
      <c r="J1605" s="17" t="s">
        <v>71</v>
      </c>
      <c r="K1605" s="17" t="s">
        <v>58</v>
      </c>
      <c r="L1605" s="18" t="s">
        <v>52</v>
      </c>
      <c r="M1605" s="19">
        <v>42.0</v>
      </c>
      <c r="N1605" s="19">
        <v>31.0</v>
      </c>
    </row>
    <row r="1606">
      <c r="A1606" s="12">
        <v>1604.0</v>
      </c>
      <c r="B1606" s="13" t="s">
        <v>3592</v>
      </c>
      <c r="C1606" s="14">
        <v>14.0</v>
      </c>
      <c r="D1606" s="15" t="s">
        <v>3775</v>
      </c>
      <c r="E1606" s="16" t="s">
        <v>52</v>
      </c>
      <c r="F1606" s="13" t="s">
        <v>3565</v>
      </c>
      <c r="G1606" s="13" t="s">
        <v>61</v>
      </c>
      <c r="H1606" s="13" t="s">
        <v>3741</v>
      </c>
      <c r="I1606" s="13" t="s">
        <v>63</v>
      </c>
      <c r="J1606" s="17" t="s">
        <v>71</v>
      </c>
      <c r="K1606" s="17" t="s">
        <v>58</v>
      </c>
      <c r="L1606" s="18" t="s">
        <v>52</v>
      </c>
      <c r="M1606" s="19">
        <v>42.0</v>
      </c>
      <c r="N1606" s="19">
        <v>31.0</v>
      </c>
    </row>
    <row r="1607">
      <c r="A1607" s="12">
        <v>1605.0</v>
      </c>
      <c r="B1607" s="13" t="s">
        <v>3592</v>
      </c>
      <c r="C1607" s="14">
        <v>15.0</v>
      </c>
      <c r="D1607" s="15" t="s">
        <v>3767</v>
      </c>
      <c r="E1607" s="16" t="s">
        <v>52</v>
      </c>
      <c r="F1607" s="13" t="s">
        <v>3616</v>
      </c>
      <c r="G1607" s="13" t="s">
        <v>61</v>
      </c>
      <c r="H1607" s="13" t="s">
        <v>3778</v>
      </c>
      <c r="I1607" s="13" t="s">
        <v>63</v>
      </c>
      <c r="J1607" s="17" t="s">
        <v>71</v>
      </c>
      <c r="K1607" s="17" t="s">
        <v>58</v>
      </c>
      <c r="L1607" s="18" t="s">
        <v>52</v>
      </c>
      <c r="M1607" s="19">
        <v>42.0</v>
      </c>
      <c r="N1607" s="19">
        <v>31.0</v>
      </c>
    </row>
    <row r="1608">
      <c r="A1608" s="12">
        <v>1606.0</v>
      </c>
      <c r="B1608" s="13" t="s">
        <v>3592</v>
      </c>
      <c r="C1608" s="14">
        <v>16.0</v>
      </c>
      <c r="D1608" s="15" t="s">
        <v>3767</v>
      </c>
      <c r="E1608" s="16" t="s">
        <v>52</v>
      </c>
      <c r="F1608" s="13" t="s">
        <v>3590</v>
      </c>
      <c r="G1608" s="13" t="s">
        <v>61</v>
      </c>
      <c r="H1608" s="13" t="s">
        <v>3667</v>
      </c>
      <c r="I1608" s="13" t="s">
        <v>63</v>
      </c>
      <c r="J1608" s="17" t="s">
        <v>71</v>
      </c>
      <c r="K1608" s="17" t="s">
        <v>58</v>
      </c>
      <c r="L1608" s="18" t="s">
        <v>52</v>
      </c>
      <c r="M1608" s="19">
        <v>42.0</v>
      </c>
      <c r="N1608" s="19">
        <v>31.0</v>
      </c>
    </row>
    <row r="1609">
      <c r="A1609" s="12">
        <v>1607.0</v>
      </c>
      <c r="B1609" s="13" t="s">
        <v>3592</v>
      </c>
      <c r="C1609" s="14">
        <v>17.0</v>
      </c>
      <c r="D1609" s="15" t="s">
        <v>3767</v>
      </c>
      <c r="E1609" s="16" t="s">
        <v>52</v>
      </c>
      <c r="F1609" s="13" t="s">
        <v>3610</v>
      </c>
      <c r="G1609" s="13" t="s">
        <v>61</v>
      </c>
      <c r="H1609" s="13" t="s">
        <v>3668</v>
      </c>
      <c r="I1609" s="13" t="s">
        <v>63</v>
      </c>
      <c r="J1609" s="17" t="s">
        <v>71</v>
      </c>
      <c r="K1609" s="17" t="s">
        <v>58</v>
      </c>
      <c r="L1609" s="18" t="s">
        <v>52</v>
      </c>
      <c r="M1609" s="19">
        <v>42.0</v>
      </c>
      <c r="N1609" s="19">
        <v>31.0</v>
      </c>
    </row>
    <row r="1610">
      <c r="A1610" s="12">
        <v>1608.0</v>
      </c>
      <c r="B1610" s="13" t="s">
        <v>3592</v>
      </c>
      <c r="C1610" s="14">
        <v>18.0</v>
      </c>
      <c r="D1610" s="15" t="s">
        <v>3767</v>
      </c>
      <c r="E1610" s="16" t="s">
        <v>52</v>
      </c>
      <c r="F1610" s="13" t="s">
        <v>2902</v>
      </c>
      <c r="G1610" s="13" t="s">
        <v>61</v>
      </c>
      <c r="H1610" s="13" t="s">
        <v>3665</v>
      </c>
      <c r="I1610" s="13" t="s">
        <v>63</v>
      </c>
      <c r="J1610" s="17" t="s">
        <v>71</v>
      </c>
      <c r="K1610" s="17" t="s">
        <v>58</v>
      </c>
      <c r="L1610" s="18" t="s">
        <v>52</v>
      </c>
      <c r="M1610" s="19">
        <v>42.0</v>
      </c>
      <c r="N1610" s="19">
        <v>31.0</v>
      </c>
    </row>
    <row r="1611">
      <c r="A1611" s="12">
        <v>1609.0</v>
      </c>
      <c r="B1611" s="13" t="s">
        <v>3592</v>
      </c>
      <c r="C1611" s="14">
        <v>19.0</v>
      </c>
      <c r="D1611" s="15" t="s">
        <v>3767</v>
      </c>
      <c r="E1611" s="16" t="s">
        <v>52</v>
      </c>
      <c r="F1611" s="13" t="s">
        <v>2727</v>
      </c>
      <c r="G1611" s="13" t="s">
        <v>3781</v>
      </c>
      <c r="H1611" s="13" t="s">
        <v>3782</v>
      </c>
      <c r="I1611" s="13" t="s">
        <v>63</v>
      </c>
      <c r="J1611" s="17" t="s">
        <v>71</v>
      </c>
      <c r="K1611" s="17" t="s">
        <v>58</v>
      </c>
      <c r="L1611" s="18" t="s">
        <v>52</v>
      </c>
      <c r="M1611" s="19">
        <v>42.0</v>
      </c>
      <c r="N1611" s="19">
        <v>31.0</v>
      </c>
    </row>
    <row r="1612">
      <c r="A1612" s="12">
        <v>1610.0</v>
      </c>
      <c r="B1612" s="13" t="s">
        <v>3592</v>
      </c>
      <c r="C1612" s="14">
        <v>20.0</v>
      </c>
      <c r="D1612" s="15" t="s">
        <v>3767</v>
      </c>
      <c r="E1612" s="16" t="s">
        <v>52</v>
      </c>
      <c r="F1612" s="13" t="s">
        <v>3676</v>
      </c>
      <c r="G1612" s="13" t="s">
        <v>61</v>
      </c>
      <c r="H1612" s="13" t="s">
        <v>3783</v>
      </c>
      <c r="I1612" s="13" t="s">
        <v>63</v>
      </c>
      <c r="J1612" s="17" t="s">
        <v>71</v>
      </c>
      <c r="K1612" s="17" t="s">
        <v>58</v>
      </c>
      <c r="L1612" s="18" t="s">
        <v>52</v>
      </c>
      <c r="M1612" s="19">
        <v>42.0</v>
      </c>
      <c r="N1612" s="19">
        <v>31.0</v>
      </c>
    </row>
    <row r="1613">
      <c r="A1613" s="12">
        <v>1611.0</v>
      </c>
      <c r="B1613" s="13" t="s">
        <v>3592</v>
      </c>
      <c r="C1613" s="14">
        <v>21.0</v>
      </c>
      <c r="D1613" s="15" t="s">
        <v>3767</v>
      </c>
      <c r="E1613" s="16" t="s">
        <v>52</v>
      </c>
      <c r="F1613" s="13" t="s">
        <v>2947</v>
      </c>
      <c r="G1613" s="13" t="s">
        <v>61</v>
      </c>
      <c r="H1613" s="13" t="s">
        <v>3669</v>
      </c>
      <c r="I1613" s="13" t="s">
        <v>63</v>
      </c>
      <c r="J1613" s="17" t="s">
        <v>71</v>
      </c>
      <c r="K1613" s="17" t="s">
        <v>58</v>
      </c>
      <c r="L1613" s="18" t="s">
        <v>52</v>
      </c>
      <c r="M1613" s="19">
        <v>42.0</v>
      </c>
      <c r="N1613" s="19">
        <v>31.0</v>
      </c>
    </row>
    <row r="1614">
      <c r="A1614" s="12">
        <v>1612.0</v>
      </c>
      <c r="B1614" s="13" t="s">
        <v>3592</v>
      </c>
      <c r="C1614" s="14">
        <v>22.0</v>
      </c>
      <c r="D1614" s="15" t="s">
        <v>3767</v>
      </c>
      <c r="E1614" s="16" t="s">
        <v>52</v>
      </c>
      <c r="F1614" s="13" t="s">
        <v>3618</v>
      </c>
      <c r="G1614" s="13" t="s">
        <v>61</v>
      </c>
      <c r="H1614" s="13" t="s">
        <v>3784</v>
      </c>
      <c r="I1614" s="13" t="s">
        <v>63</v>
      </c>
      <c r="J1614" s="17" t="s">
        <v>71</v>
      </c>
      <c r="K1614" s="17" t="s">
        <v>58</v>
      </c>
      <c r="L1614" s="18" t="s">
        <v>52</v>
      </c>
      <c r="M1614" s="19">
        <v>42.0</v>
      </c>
      <c r="N1614" s="19">
        <v>31.0</v>
      </c>
    </row>
    <row r="1615">
      <c r="A1615" s="12">
        <v>1613.0</v>
      </c>
      <c r="B1615" s="13" t="s">
        <v>3592</v>
      </c>
      <c r="C1615" s="14">
        <v>23.0</v>
      </c>
      <c r="D1615" s="15" t="s">
        <v>3767</v>
      </c>
      <c r="E1615" s="16" t="s">
        <v>52</v>
      </c>
      <c r="F1615" s="13" t="s">
        <v>3620</v>
      </c>
      <c r="G1615" s="13" t="s">
        <v>61</v>
      </c>
      <c r="H1615" s="13" t="s">
        <v>3785</v>
      </c>
      <c r="I1615" s="13" t="s">
        <v>63</v>
      </c>
      <c r="J1615" s="17" t="s">
        <v>71</v>
      </c>
      <c r="K1615" s="17" t="s">
        <v>58</v>
      </c>
      <c r="L1615" s="18" t="s">
        <v>52</v>
      </c>
      <c r="M1615" s="19">
        <v>42.0</v>
      </c>
      <c r="N1615" s="19">
        <v>31.0</v>
      </c>
    </row>
    <row r="1616">
      <c r="A1616" s="12">
        <v>1614.0</v>
      </c>
      <c r="B1616" s="13" t="s">
        <v>3592</v>
      </c>
      <c r="C1616" s="14">
        <v>24.0</v>
      </c>
      <c r="D1616" s="15" t="s">
        <v>3767</v>
      </c>
      <c r="E1616" s="16" t="s">
        <v>52</v>
      </c>
      <c r="F1616" s="13" t="s">
        <v>2810</v>
      </c>
      <c r="G1616" s="13" t="s">
        <v>2811</v>
      </c>
      <c r="H1616" s="13" t="s">
        <v>2812</v>
      </c>
      <c r="I1616" s="13" t="s">
        <v>63</v>
      </c>
      <c r="J1616" s="17" t="s">
        <v>71</v>
      </c>
      <c r="K1616" s="17" t="s">
        <v>58</v>
      </c>
      <c r="L1616" s="18" t="s">
        <v>52</v>
      </c>
      <c r="M1616" s="19">
        <v>42.0</v>
      </c>
      <c r="N1616" s="19">
        <v>31.0</v>
      </c>
    </row>
    <row r="1617">
      <c r="A1617" s="12">
        <v>1615.0</v>
      </c>
      <c r="B1617" s="13" t="s">
        <v>3592</v>
      </c>
      <c r="C1617" s="14">
        <v>25.0</v>
      </c>
      <c r="D1617" s="15" t="s">
        <v>3767</v>
      </c>
      <c r="E1617" s="16" t="s">
        <v>52</v>
      </c>
      <c r="F1617" s="13" t="s">
        <v>3662</v>
      </c>
      <c r="G1617" s="13" t="s">
        <v>61</v>
      </c>
      <c r="H1617" s="13" t="s">
        <v>3722</v>
      </c>
      <c r="I1617" s="13" t="s">
        <v>63</v>
      </c>
      <c r="J1617" s="17" t="s">
        <v>71</v>
      </c>
      <c r="K1617" s="17" t="s">
        <v>58</v>
      </c>
      <c r="L1617" s="18" t="s">
        <v>52</v>
      </c>
      <c r="M1617" s="19">
        <v>42.0</v>
      </c>
      <c r="N1617" s="19">
        <v>31.0</v>
      </c>
    </row>
    <row r="1618">
      <c r="A1618" s="12">
        <v>1616.0</v>
      </c>
      <c r="B1618" s="13" t="s">
        <v>3592</v>
      </c>
      <c r="C1618" s="14">
        <v>26.0</v>
      </c>
      <c r="D1618" s="15" t="s">
        <v>3767</v>
      </c>
      <c r="E1618" s="16" t="s">
        <v>52</v>
      </c>
      <c r="F1618" s="13" t="s">
        <v>1338</v>
      </c>
      <c r="G1618" s="13" t="s">
        <v>61</v>
      </c>
      <c r="H1618" s="13" t="s">
        <v>1339</v>
      </c>
      <c r="I1618" s="13" t="s">
        <v>63</v>
      </c>
      <c r="J1618" s="17" t="s">
        <v>71</v>
      </c>
      <c r="K1618" s="17" t="s">
        <v>58</v>
      </c>
      <c r="L1618" s="18" t="s">
        <v>52</v>
      </c>
      <c r="M1618" s="19">
        <v>42.0</v>
      </c>
      <c r="N1618" s="19">
        <v>31.0</v>
      </c>
    </row>
    <row r="1619">
      <c r="A1619" s="12">
        <v>1617.0</v>
      </c>
      <c r="B1619" s="13" t="s">
        <v>3592</v>
      </c>
      <c r="C1619" s="14">
        <v>27.0</v>
      </c>
      <c r="D1619" s="15" t="s">
        <v>3767</v>
      </c>
      <c r="E1619" s="16" t="s">
        <v>52</v>
      </c>
      <c r="F1619" s="13" t="s">
        <v>1803</v>
      </c>
      <c r="G1619" s="13" t="s">
        <v>3786</v>
      </c>
      <c r="H1619" s="13" t="s">
        <v>3787</v>
      </c>
      <c r="I1619" s="13" t="s">
        <v>63</v>
      </c>
      <c r="J1619" s="17" t="s">
        <v>71</v>
      </c>
      <c r="K1619" s="17" t="s">
        <v>58</v>
      </c>
      <c r="L1619" s="18" t="s">
        <v>52</v>
      </c>
      <c r="M1619" s="19">
        <v>42.0</v>
      </c>
      <c r="N1619" s="19">
        <v>31.0</v>
      </c>
    </row>
    <row r="1620">
      <c r="A1620" s="12">
        <v>1618.0</v>
      </c>
      <c r="B1620" s="13" t="s">
        <v>3592</v>
      </c>
      <c r="C1620" s="14">
        <v>28.0</v>
      </c>
      <c r="D1620" s="15" t="s">
        <v>3767</v>
      </c>
      <c r="E1620" s="16" t="s">
        <v>52</v>
      </c>
      <c r="F1620" s="13" t="s">
        <v>3568</v>
      </c>
      <c r="G1620" s="13" t="s">
        <v>3701</v>
      </c>
      <c r="H1620" s="13" t="s">
        <v>3788</v>
      </c>
      <c r="I1620" s="13" t="s">
        <v>63</v>
      </c>
      <c r="J1620" s="17" t="s">
        <v>71</v>
      </c>
      <c r="K1620" s="17" t="s">
        <v>58</v>
      </c>
      <c r="L1620" s="18" t="s">
        <v>52</v>
      </c>
      <c r="M1620" s="19">
        <v>42.0</v>
      </c>
      <c r="N1620" s="19">
        <v>31.0</v>
      </c>
    </row>
    <row r="1621">
      <c r="A1621" s="12">
        <v>1619.0</v>
      </c>
      <c r="B1621" s="13" t="s">
        <v>3592</v>
      </c>
      <c r="C1621" s="14">
        <v>29.0</v>
      </c>
      <c r="D1621" s="15" t="s">
        <v>3767</v>
      </c>
      <c r="E1621" s="16" t="s">
        <v>52</v>
      </c>
      <c r="F1621" s="13" t="s">
        <v>3789</v>
      </c>
      <c r="G1621" s="13" t="s">
        <v>3790</v>
      </c>
      <c r="H1621" s="13" t="s">
        <v>3791</v>
      </c>
      <c r="I1621" s="13" t="s">
        <v>63</v>
      </c>
      <c r="J1621" s="17" t="s">
        <v>71</v>
      </c>
      <c r="K1621" s="17" t="s">
        <v>58</v>
      </c>
      <c r="L1621" s="18" t="s">
        <v>52</v>
      </c>
      <c r="M1621" s="19">
        <v>42.0</v>
      </c>
      <c r="N1621" s="19">
        <v>31.0</v>
      </c>
    </row>
    <row r="1622">
      <c r="A1622" s="12">
        <v>1620.0</v>
      </c>
      <c r="B1622" s="13" t="s">
        <v>3592</v>
      </c>
      <c r="C1622" s="14">
        <v>30.0</v>
      </c>
      <c r="D1622" s="15" t="s">
        <v>3767</v>
      </c>
      <c r="E1622" s="16" t="s">
        <v>52</v>
      </c>
      <c r="F1622" s="13" t="s">
        <v>3679</v>
      </c>
      <c r="G1622" s="13" t="s">
        <v>3680</v>
      </c>
      <c r="H1622" s="13" t="s">
        <v>3681</v>
      </c>
      <c r="I1622" s="13" t="s">
        <v>63</v>
      </c>
      <c r="J1622" s="17" t="s">
        <v>71</v>
      </c>
      <c r="K1622" s="17" t="s">
        <v>58</v>
      </c>
      <c r="L1622" s="18" t="s">
        <v>52</v>
      </c>
      <c r="M1622" s="19">
        <v>42.0</v>
      </c>
      <c r="N1622" s="19">
        <v>31.0</v>
      </c>
    </row>
    <row r="1623">
      <c r="A1623" s="12">
        <v>1621.0</v>
      </c>
      <c r="B1623" s="13" t="s">
        <v>919</v>
      </c>
      <c r="C1623" s="14">
        <v>1.0</v>
      </c>
      <c r="D1623" s="15" t="s">
        <v>3792</v>
      </c>
      <c r="E1623" s="16" t="s">
        <v>52</v>
      </c>
      <c r="F1623" s="13" t="s">
        <v>3746</v>
      </c>
      <c r="G1623" s="13" t="s">
        <v>61</v>
      </c>
      <c r="H1623" s="13" t="s">
        <v>3793</v>
      </c>
      <c r="I1623" s="13" t="s">
        <v>56</v>
      </c>
      <c r="J1623" s="17" t="s">
        <v>57</v>
      </c>
      <c r="K1623" s="17" t="s">
        <v>58</v>
      </c>
      <c r="L1623" s="18" t="s">
        <v>52</v>
      </c>
      <c r="M1623" s="19">
        <v>43.0</v>
      </c>
      <c r="N1623" s="19">
        <v>10.0</v>
      </c>
    </row>
    <row r="1624">
      <c r="A1624" s="12">
        <v>1622.0</v>
      </c>
      <c r="B1624" s="13" t="s">
        <v>919</v>
      </c>
      <c r="C1624" s="14">
        <v>2.0</v>
      </c>
      <c r="D1624" s="15" t="s">
        <v>3794</v>
      </c>
      <c r="E1624" s="16" t="s">
        <v>52</v>
      </c>
      <c r="F1624" s="13" t="s">
        <v>3598</v>
      </c>
      <c r="G1624" s="13" t="s">
        <v>3599</v>
      </c>
      <c r="H1624" s="13" t="s">
        <v>3600</v>
      </c>
      <c r="I1624" s="13" t="s">
        <v>63</v>
      </c>
      <c r="J1624" s="17" t="s">
        <v>67</v>
      </c>
      <c r="K1624" s="17" t="s">
        <v>58</v>
      </c>
      <c r="L1624" s="18" t="s">
        <v>52</v>
      </c>
      <c r="M1624" s="19">
        <v>43.0</v>
      </c>
      <c r="N1624" s="19">
        <v>21.0</v>
      </c>
    </row>
    <row r="1625">
      <c r="A1625" s="12">
        <v>1623.0</v>
      </c>
      <c r="B1625" s="13" t="s">
        <v>919</v>
      </c>
      <c r="C1625" s="14">
        <v>3.0</v>
      </c>
      <c r="D1625" s="15" t="s">
        <v>3794</v>
      </c>
      <c r="E1625" s="16" t="s">
        <v>52</v>
      </c>
      <c r="F1625" s="13" t="s">
        <v>1707</v>
      </c>
      <c r="G1625" s="13" t="s">
        <v>61</v>
      </c>
      <c r="H1625" s="13" t="s">
        <v>3614</v>
      </c>
      <c r="I1625" s="13" t="s">
        <v>63</v>
      </c>
      <c r="J1625" s="17" t="s">
        <v>67</v>
      </c>
      <c r="K1625" s="17" t="s">
        <v>58</v>
      </c>
      <c r="L1625" s="18" t="s">
        <v>52</v>
      </c>
      <c r="M1625" s="19">
        <v>43.0</v>
      </c>
      <c r="N1625" s="19">
        <v>21.0</v>
      </c>
    </row>
    <row r="1626">
      <c r="A1626" s="12">
        <v>1624.0</v>
      </c>
      <c r="B1626" s="13" t="s">
        <v>919</v>
      </c>
      <c r="C1626" s="14">
        <v>4.0</v>
      </c>
      <c r="D1626" s="15" t="s">
        <v>3794</v>
      </c>
      <c r="E1626" s="16" t="s">
        <v>52</v>
      </c>
      <c r="F1626" s="13" t="s">
        <v>3568</v>
      </c>
      <c r="G1626" s="13" t="s">
        <v>3701</v>
      </c>
      <c r="H1626" s="13" t="s">
        <v>3788</v>
      </c>
      <c r="I1626" s="13" t="s">
        <v>63</v>
      </c>
      <c r="J1626" s="17" t="s">
        <v>67</v>
      </c>
      <c r="K1626" s="17" t="s">
        <v>58</v>
      </c>
      <c r="L1626" s="18" t="s">
        <v>52</v>
      </c>
      <c r="M1626" s="19">
        <v>43.0</v>
      </c>
      <c r="N1626" s="19">
        <v>21.0</v>
      </c>
    </row>
    <row r="1627">
      <c r="A1627" s="12">
        <v>1625.0</v>
      </c>
      <c r="B1627" s="13" t="s">
        <v>919</v>
      </c>
      <c r="C1627" s="14">
        <v>5.0</v>
      </c>
      <c r="D1627" s="15" t="s">
        <v>3795</v>
      </c>
      <c r="E1627" s="16" t="s">
        <v>52</v>
      </c>
      <c r="F1627" s="13" t="s">
        <v>3796</v>
      </c>
      <c r="G1627" s="13" t="s">
        <v>61</v>
      </c>
      <c r="H1627" s="13" t="s">
        <v>3797</v>
      </c>
      <c r="I1627" s="13" t="s">
        <v>63</v>
      </c>
      <c r="J1627" s="17" t="s">
        <v>71</v>
      </c>
      <c r="K1627" s="17" t="s">
        <v>58</v>
      </c>
      <c r="L1627" s="18" t="s">
        <v>52</v>
      </c>
      <c r="M1627" s="19">
        <v>43.0</v>
      </c>
      <c r="N1627" s="19">
        <v>31.0</v>
      </c>
    </row>
    <row r="1628">
      <c r="A1628" s="12">
        <v>1626.0</v>
      </c>
      <c r="B1628" s="13" t="s">
        <v>919</v>
      </c>
      <c r="C1628" s="14">
        <v>6.0</v>
      </c>
      <c r="D1628" s="15" t="s">
        <v>3794</v>
      </c>
      <c r="E1628" s="16" t="s">
        <v>52</v>
      </c>
      <c r="F1628" s="13" t="s">
        <v>3586</v>
      </c>
      <c r="G1628" s="13" t="s">
        <v>61</v>
      </c>
      <c r="H1628" s="13" t="s">
        <v>3798</v>
      </c>
      <c r="I1628" s="13" t="s">
        <v>63</v>
      </c>
      <c r="J1628" s="17" t="s">
        <v>71</v>
      </c>
      <c r="K1628" s="17" t="s">
        <v>58</v>
      </c>
      <c r="L1628" s="18" t="s">
        <v>52</v>
      </c>
      <c r="M1628" s="19">
        <v>43.0</v>
      </c>
      <c r="N1628" s="19">
        <v>31.0</v>
      </c>
    </row>
    <row r="1629">
      <c r="A1629" s="12">
        <v>1627.0</v>
      </c>
      <c r="B1629" s="13" t="s">
        <v>919</v>
      </c>
      <c r="C1629" s="14">
        <v>7.0</v>
      </c>
      <c r="D1629" s="15" t="s">
        <v>3794</v>
      </c>
      <c r="E1629" s="16" t="s">
        <v>52</v>
      </c>
      <c r="F1629" s="13" t="s">
        <v>2957</v>
      </c>
      <c r="G1629" s="13" t="s">
        <v>61</v>
      </c>
      <c r="H1629" s="13" t="s">
        <v>3799</v>
      </c>
      <c r="I1629" s="13" t="s">
        <v>63</v>
      </c>
      <c r="J1629" s="17" t="s">
        <v>71</v>
      </c>
      <c r="K1629" s="17" t="s">
        <v>58</v>
      </c>
      <c r="L1629" s="18" t="s">
        <v>52</v>
      </c>
      <c r="M1629" s="19">
        <v>43.0</v>
      </c>
      <c r="N1629" s="19">
        <v>31.0</v>
      </c>
    </row>
    <row r="1630">
      <c r="A1630" s="12">
        <v>1628.0</v>
      </c>
      <c r="B1630" s="13" t="s">
        <v>919</v>
      </c>
      <c r="C1630" s="14">
        <v>8.0</v>
      </c>
      <c r="D1630" s="15" t="s">
        <v>3794</v>
      </c>
      <c r="E1630" s="16" t="s">
        <v>52</v>
      </c>
      <c r="F1630" s="13" t="s">
        <v>3554</v>
      </c>
      <c r="G1630" s="13" t="s">
        <v>61</v>
      </c>
      <c r="H1630" s="13" t="s">
        <v>3710</v>
      </c>
      <c r="I1630" s="13" t="s">
        <v>63</v>
      </c>
      <c r="J1630" s="17" t="s">
        <v>71</v>
      </c>
      <c r="K1630" s="17" t="s">
        <v>58</v>
      </c>
      <c r="L1630" s="18" t="s">
        <v>52</v>
      </c>
      <c r="M1630" s="19">
        <v>43.0</v>
      </c>
      <c r="N1630" s="19">
        <v>31.0</v>
      </c>
    </row>
    <row r="1631">
      <c r="A1631" s="12">
        <v>1629.0</v>
      </c>
      <c r="B1631" s="13" t="s">
        <v>919</v>
      </c>
      <c r="C1631" s="14">
        <v>9.0</v>
      </c>
      <c r="D1631" s="15" t="s">
        <v>3794</v>
      </c>
      <c r="E1631" s="16" t="s">
        <v>52</v>
      </c>
      <c r="F1631" s="13" t="s">
        <v>3616</v>
      </c>
      <c r="G1631" s="13" t="s">
        <v>3611</v>
      </c>
      <c r="H1631" s="13" t="s">
        <v>3612</v>
      </c>
      <c r="I1631" s="13" t="s">
        <v>63</v>
      </c>
      <c r="J1631" s="17" t="s">
        <v>71</v>
      </c>
      <c r="K1631" s="17" t="s">
        <v>58</v>
      </c>
      <c r="L1631" s="18" t="s">
        <v>52</v>
      </c>
      <c r="M1631" s="19">
        <v>43.0</v>
      </c>
      <c r="N1631" s="19">
        <v>31.0</v>
      </c>
    </row>
    <row r="1632">
      <c r="A1632" s="12">
        <v>1630.0</v>
      </c>
      <c r="B1632" s="13" t="s">
        <v>919</v>
      </c>
      <c r="C1632" s="14">
        <v>10.0</v>
      </c>
      <c r="D1632" s="15" t="s">
        <v>3794</v>
      </c>
      <c r="E1632" s="16" t="s">
        <v>52</v>
      </c>
      <c r="F1632" s="13" t="s">
        <v>3580</v>
      </c>
      <c r="G1632" s="13" t="s">
        <v>61</v>
      </c>
      <c r="H1632" s="13" t="s">
        <v>3666</v>
      </c>
      <c r="I1632" s="13" t="s">
        <v>63</v>
      </c>
      <c r="J1632" s="17" t="s">
        <v>71</v>
      </c>
      <c r="K1632" s="17" t="s">
        <v>58</v>
      </c>
      <c r="L1632" s="18" t="s">
        <v>52</v>
      </c>
      <c r="M1632" s="19">
        <v>43.0</v>
      </c>
      <c r="N1632" s="19">
        <v>31.0</v>
      </c>
    </row>
    <row r="1633">
      <c r="A1633" s="12">
        <v>1631.0</v>
      </c>
      <c r="B1633" s="13" t="s">
        <v>919</v>
      </c>
      <c r="C1633" s="14">
        <v>11.0</v>
      </c>
      <c r="D1633" s="15" t="s">
        <v>3794</v>
      </c>
      <c r="E1633" s="16" t="s">
        <v>52</v>
      </c>
      <c r="F1633" s="13" t="s">
        <v>3590</v>
      </c>
      <c r="G1633" s="13" t="s">
        <v>61</v>
      </c>
      <c r="H1633" s="13" t="s">
        <v>3667</v>
      </c>
      <c r="I1633" s="13" t="s">
        <v>63</v>
      </c>
      <c r="J1633" s="17" t="s">
        <v>71</v>
      </c>
      <c r="K1633" s="17" t="s">
        <v>58</v>
      </c>
      <c r="L1633" s="18" t="s">
        <v>52</v>
      </c>
      <c r="M1633" s="19">
        <v>43.0</v>
      </c>
      <c r="N1633" s="19">
        <v>31.0</v>
      </c>
    </row>
    <row r="1634">
      <c r="A1634" s="12">
        <v>1632.0</v>
      </c>
      <c r="B1634" s="13" t="s">
        <v>919</v>
      </c>
      <c r="C1634" s="14">
        <v>12.0</v>
      </c>
      <c r="D1634" s="15" t="s">
        <v>3794</v>
      </c>
      <c r="E1634" s="16" t="s">
        <v>52</v>
      </c>
      <c r="F1634" s="13" t="s">
        <v>3610</v>
      </c>
      <c r="G1634" s="13" t="s">
        <v>3611</v>
      </c>
      <c r="H1634" s="13" t="s">
        <v>3612</v>
      </c>
      <c r="I1634" s="13" t="s">
        <v>63</v>
      </c>
      <c r="J1634" s="17" t="s">
        <v>71</v>
      </c>
      <c r="K1634" s="17" t="s">
        <v>58</v>
      </c>
      <c r="L1634" s="18" t="s">
        <v>52</v>
      </c>
      <c r="M1634" s="19">
        <v>43.0</v>
      </c>
      <c r="N1634" s="19">
        <v>31.0</v>
      </c>
    </row>
    <row r="1635">
      <c r="A1635" s="12">
        <v>1633.0</v>
      </c>
      <c r="B1635" s="13" t="s">
        <v>919</v>
      </c>
      <c r="C1635" s="14">
        <v>13.0</v>
      </c>
      <c r="D1635" s="15" t="s">
        <v>3794</v>
      </c>
      <c r="E1635" s="16" t="s">
        <v>52</v>
      </c>
      <c r="F1635" s="13" t="s">
        <v>2902</v>
      </c>
      <c r="G1635" s="13" t="s">
        <v>3800</v>
      </c>
      <c r="H1635" s="13" t="s">
        <v>3612</v>
      </c>
      <c r="I1635" s="13" t="s">
        <v>63</v>
      </c>
      <c r="J1635" s="17" t="s">
        <v>71</v>
      </c>
      <c r="K1635" s="17" t="s">
        <v>58</v>
      </c>
      <c r="L1635" s="18" t="s">
        <v>52</v>
      </c>
      <c r="M1635" s="19">
        <v>43.0</v>
      </c>
      <c r="N1635" s="19">
        <v>31.0</v>
      </c>
    </row>
    <row r="1636">
      <c r="A1636" s="12">
        <v>1634.0</v>
      </c>
      <c r="B1636" s="13" t="s">
        <v>919</v>
      </c>
      <c r="C1636" s="14">
        <v>14.0</v>
      </c>
      <c r="D1636" s="15" t="s">
        <v>3794</v>
      </c>
      <c r="E1636" s="16" t="s">
        <v>52</v>
      </c>
      <c r="F1636" s="13" t="s">
        <v>2727</v>
      </c>
      <c r="G1636" s="13" t="s">
        <v>3601</v>
      </c>
      <c r="H1636" s="13" t="s">
        <v>3602</v>
      </c>
      <c r="I1636" s="13" t="s">
        <v>63</v>
      </c>
      <c r="J1636" s="17" t="s">
        <v>71</v>
      </c>
      <c r="K1636" s="17" t="s">
        <v>58</v>
      </c>
      <c r="L1636" s="18" t="s">
        <v>52</v>
      </c>
      <c r="M1636" s="19">
        <v>43.0</v>
      </c>
      <c r="N1636" s="19">
        <v>31.0</v>
      </c>
    </row>
    <row r="1637">
      <c r="A1637" s="12">
        <v>1635.0</v>
      </c>
      <c r="B1637" s="13" t="s">
        <v>919</v>
      </c>
      <c r="C1637" s="14">
        <v>15.0</v>
      </c>
      <c r="D1637" s="15" t="s">
        <v>3794</v>
      </c>
      <c r="E1637" s="16" t="s">
        <v>52</v>
      </c>
      <c r="F1637" s="13" t="s">
        <v>3676</v>
      </c>
      <c r="G1637" s="13" t="s">
        <v>3738</v>
      </c>
      <c r="H1637" s="13" t="s">
        <v>3801</v>
      </c>
      <c r="I1637" s="13" t="s">
        <v>63</v>
      </c>
      <c r="J1637" s="17" t="s">
        <v>71</v>
      </c>
      <c r="K1637" s="17" t="s">
        <v>58</v>
      </c>
      <c r="L1637" s="18" t="s">
        <v>52</v>
      </c>
      <c r="M1637" s="19">
        <v>43.0</v>
      </c>
      <c r="N1637" s="19">
        <v>31.0</v>
      </c>
    </row>
    <row r="1638">
      <c r="A1638" s="12">
        <v>1636.0</v>
      </c>
      <c r="B1638" s="13" t="s">
        <v>919</v>
      </c>
      <c r="C1638" s="14">
        <v>16.0</v>
      </c>
      <c r="D1638" s="15" t="s">
        <v>3794</v>
      </c>
      <c r="E1638" s="16" t="s">
        <v>52</v>
      </c>
      <c r="F1638" s="13" t="s">
        <v>3558</v>
      </c>
      <c r="G1638" s="13" t="s">
        <v>61</v>
      </c>
      <c r="H1638" s="13" t="s">
        <v>3802</v>
      </c>
      <c r="I1638" s="13" t="s">
        <v>63</v>
      </c>
      <c r="J1638" s="17" t="s">
        <v>71</v>
      </c>
      <c r="K1638" s="17" t="s">
        <v>58</v>
      </c>
      <c r="L1638" s="18" t="s">
        <v>52</v>
      </c>
      <c r="M1638" s="19">
        <v>43.0</v>
      </c>
      <c r="N1638" s="19">
        <v>31.0</v>
      </c>
    </row>
    <row r="1639">
      <c r="A1639" s="12">
        <v>1637.0</v>
      </c>
      <c r="B1639" s="13" t="s">
        <v>919</v>
      </c>
      <c r="C1639" s="14">
        <v>17.0</v>
      </c>
      <c r="D1639" s="15" t="s">
        <v>3794</v>
      </c>
      <c r="E1639" s="16" t="s">
        <v>52</v>
      </c>
      <c r="F1639" s="13" t="s">
        <v>2947</v>
      </c>
      <c r="G1639" s="13" t="s">
        <v>61</v>
      </c>
      <c r="H1639" s="13" t="s">
        <v>3669</v>
      </c>
      <c r="I1639" s="13" t="s">
        <v>63</v>
      </c>
      <c r="J1639" s="17" t="s">
        <v>71</v>
      </c>
      <c r="K1639" s="17" t="s">
        <v>58</v>
      </c>
      <c r="L1639" s="18" t="s">
        <v>52</v>
      </c>
      <c r="M1639" s="19">
        <v>43.0</v>
      </c>
      <c r="N1639" s="19">
        <v>31.0</v>
      </c>
    </row>
    <row r="1640">
      <c r="A1640" s="12">
        <v>1638.0</v>
      </c>
      <c r="B1640" s="13" t="s">
        <v>919</v>
      </c>
      <c r="C1640" s="14">
        <v>18.0</v>
      </c>
      <c r="D1640" s="15" t="s">
        <v>3794</v>
      </c>
      <c r="E1640" s="16" t="s">
        <v>52</v>
      </c>
      <c r="F1640" s="13" t="s">
        <v>3618</v>
      </c>
      <c r="G1640" s="13" t="s">
        <v>3619</v>
      </c>
      <c r="H1640" s="13" t="s">
        <v>3612</v>
      </c>
      <c r="I1640" s="13" t="s">
        <v>63</v>
      </c>
      <c r="J1640" s="17" t="s">
        <v>71</v>
      </c>
      <c r="K1640" s="17" t="s">
        <v>58</v>
      </c>
      <c r="L1640" s="18" t="s">
        <v>52</v>
      </c>
      <c r="M1640" s="19">
        <v>43.0</v>
      </c>
      <c r="N1640" s="19">
        <v>31.0</v>
      </c>
    </row>
    <row r="1641">
      <c r="A1641" s="12">
        <v>1639.0</v>
      </c>
      <c r="B1641" s="13" t="s">
        <v>919</v>
      </c>
      <c r="C1641" s="14">
        <v>19.0</v>
      </c>
      <c r="D1641" s="15" t="s">
        <v>3794</v>
      </c>
      <c r="E1641" s="16" t="s">
        <v>52</v>
      </c>
      <c r="F1641" s="13" t="s">
        <v>3620</v>
      </c>
      <c r="G1641" s="13" t="s">
        <v>3621</v>
      </c>
      <c r="H1641" s="13" t="s">
        <v>3612</v>
      </c>
      <c r="I1641" s="13" t="s">
        <v>63</v>
      </c>
      <c r="J1641" s="17" t="s">
        <v>71</v>
      </c>
      <c r="K1641" s="17" t="s">
        <v>58</v>
      </c>
      <c r="L1641" s="18" t="s">
        <v>52</v>
      </c>
      <c r="M1641" s="19">
        <v>43.0</v>
      </c>
      <c r="N1641" s="19">
        <v>31.0</v>
      </c>
    </row>
    <row r="1642">
      <c r="A1642" s="12">
        <v>1640.0</v>
      </c>
      <c r="B1642" s="13" t="s">
        <v>919</v>
      </c>
      <c r="C1642" s="14">
        <v>20.0</v>
      </c>
      <c r="D1642" s="15" t="s">
        <v>3794</v>
      </c>
      <c r="E1642" s="16" t="s">
        <v>52</v>
      </c>
      <c r="F1642" s="13" t="s">
        <v>3592</v>
      </c>
      <c r="G1642" s="13" t="s">
        <v>3803</v>
      </c>
      <c r="H1642" s="13" t="s">
        <v>3612</v>
      </c>
      <c r="I1642" s="13" t="s">
        <v>63</v>
      </c>
      <c r="J1642" s="17" t="s">
        <v>71</v>
      </c>
      <c r="K1642" s="17" t="s">
        <v>58</v>
      </c>
      <c r="L1642" s="18" t="s">
        <v>52</v>
      </c>
      <c r="M1642" s="19">
        <v>43.0</v>
      </c>
      <c r="N1642" s="19">
        <v>31.0</v>
      </c>
    </row>
    <row r="1643">
      <c r="A1643" s="12">
        <v>1641.0</v>
      </c>
      <c r="B1643" s="13" t="s">
        <v>919</v>
      </c>
      <c r="C1643" s="14">
        <v>21.0</v>
      </c>
      <c r="D1643" s="15" t="s">
        <v>3794</v>
      </c>
      <c r="E1643" s="16" t="s">
        <v>52</v>
      </c>
      <c r="F1643" s="13" t="s">
        <v>2810</v>
      </c>
      <c r="G1643" s="13" t="s">
        <v>3804</v>
      </c>
      <c r="H1643" s="13" t="s">
        <v>3788</v>
      </c>
      <c r="I1643" s="13" t="s">
        <v>63</v>
      </c>
      <c r="J1643" s="17" t="s">
        <v>71</v>
      </c>
      <c r="K1643" s="17" t="s">
        <v>58</v>
      </c>
      <c r="L1643" s="18" t="s">
        <v>52</v>
      </c>
      <c r="M1643" s="19">
        <v>43.0</v>
      </c>
      <c r="N1643" s="19">
        <v>31.0</v>
      </c>
    </row>
    <row r="1644">
      <c r="A1644" s="12">
        <v>1642.0</v>
      </c>
      <c r="B1644" s="13" t="s">
        <v>919</v>
      </c>
      <c r="C1644" s="14">
        <v>22.0</v>
      </c>
      <c r="D1644" s="15" t="s">
        <v>3794</v>
      </c>
      <c r="E1644" s="16" t="s">
        <v>52</v>
      </c>
      <c r="F1644" s="13" t="s">
        <v>3662</v>
      </c>
      <c r="G1644" s="13" t="s">
        <v>3611</v>
      </c>
      <c r="H1644" s="13" t="s">
        <v>3612</v>
      </c>
      <c r="I1644" s="13" t="s">
        <v>63</v>
      </c>
      <c r="J1644" s="17" t="s">
        <v>71</v>
      </c>
      <c r="K1644" s="17" t="s">
        <v>58</v>
      </c>
      <c r="L1644" s="18" t="s">
        <v>52</v>
      </c>
      <c r="M1644" s="19">
        <v>43.0</v>
      </c>
      <c r="N1644" s="19">
        <v>31.0</v>
      </c>
    </row>
    <row r="1645">
      <c r="A1645" s="12">
        <v>1643.0</v>
      </c>
      <c r="B1645" s="13" t="s">
        <v>919</v>
      </c>
      <c r="C1645" s="14">
        <v>23.0</v>
      </c>
      <c r="D1645" s="15" t="s">
        <v>3794</v>
      </c>
      <c r="E1645" s="16" t="s">
        <v>52</v>
      </c>
      <c r="F1645" s="13" t="s">
        <v>3596</v>
      </c>
      <c r="G1645" s="13" t="s">
        <v>3611</v>
      </c>
      <c r="H1645" s="13" t="s">
        <v>3612</v>
      </c>
      <c r="I1645" s="13" t="s">
        <v>63</v>
      </c>
      <c r="J1645" s="17" t="s">
        <v>71</v>
      </c>
      <c r="K1645" s="17" t="s">
        <v>58</v>
      </c>
      <c r="L1645" s="18" t="s">
        <v>52</v>
      </c>
      <c r="M1645" s="19">
        <v>43.0</v>
      </c>
      <c r="N1645" s="19">
        <v>31.0</v>
      </c>
    </row>
    <row r="1646">
      <c r="A1646" s="12">
        <v>1644.0</v>
      </c>
      <c r="B1646" s="13" t="s">
        <v>919</v>
      </c>
      <c r="C1646" s="14">
        <v>24.0</v>
      </c>
      <c r="D1646" s="15" t="s">
        <v>3794</v>
      </c>
      <c r="E1646" s="16" t="s">
        <v>52</v>
      </c>
      <c r="F1646" s="13" t="s">
        <v>3594</v>
      </c>
      <c r="G1646" s="13" t="s">
        <v>3806</v>
      </c>
      <c r="H1646" s="13" t="s">
        <v>3612</v>
      </c>
      <c r="I1646" s="13" t="s">
        <v>63</v>
      </c>
      <c r="J1646" s="17" t="s">
        <v>71</v>
      </c>
      <c r="K1646" s="17" t="s">
        <v>58</v>
      </c>
      <c r="L1646" s="18" t="s">
        <v>52</v>
      </c>
      <c r="M1646" s="19">
        <v>43.0</v>
      </c>
      <c r="N1646" s="19">
        <v>31.0</v>
      </c>
    </row>
    <row r="1647">
      <c r="A1647" s="12">
        <v>1645.0</v>
      </c>
      <c r="B1647" s="13" t="s">
        <v>919</v>
      </c>
      <c r="C1647" s="14">
        <v>25.0</v>
      </c>
      <c r="D1647" s="15" t="s">
        <v>3794</v>
      </c>
      <c r="E1647" s="16" t="s">
        <v>52</v>
      </c>
      <c r="F1647" s="13" t="s">
        <v>1338</v>
      </c>
      <c r="G1647" s="13" t="s">
        <v>61</v>
      </c>
      <c r="H1647" s="13" t="s">
        <v>1339</v>
      </c>
      <c r="I1647" s="13" t="s">
        <v>63</v>
      </c>
      <c r="J1647" s="17" t="s">
        <v>71</v>
      </c>
      <c r="K1647" s="17" t="s">
        <v>58</v>
      </c>
      <c r="L1647" s="18" t="s">
        <v>52</v>
      </c>
      <c r="M1647" s="19">
        <v>43.0</v>
      </c>
      <c r="N1647" s="19">
        <v>31.0</v>
      </c>
    </row>
    <row r="1648">
      <c r="A1648" s="12">
        <v>1646.0</v>
      </c>
      <c r="B1648" s="13" t="s">
        <v>919</v>
      </c>
      <c r="C1648" s="14">
        <v>26.0</v>
      </c>
      <c r="D1648" s="15" t="s">
        <v>3794</v>
      </c>
      <c r="E1648" s="16" t="s">
        <v>52</v>
      </c>
      <c r="F1648" s="13" t="s">
        <v>3809</v>
      </c>
      <c r="G1648" s="13" t="s">
        <v>3810</v>
      </c>
      <c r="H1648" s="13" t="s">
        <v>3811</v>
      </c>
      <c r="I1648" s="13" t="s">
        <v>63</v>
      </c>
      <c r="J1648" s="17" t="s">
        <v>71</v>
      </c>
      <c r="K1648" s="17" t="s">
        <v>58</v>
      </c>
      <c r="L1648" s="18" t="s">
        <v>52</v>
      </c>
      <c r="M1648" s="19">
        <v>43.0</v>
      </c>
      <c r="N1648" s="19">
        <v>31.0</v>
      </c>
    </row>
    <row r="1649">
      <c r="A1649" s="12">
        <v>1647.0</v>
      </c>
      <c r="B1649" s="13" t="s">
        <v>919</v>
      </c>
      <c r="C1649" s="14">
        <v>27.0</v>
      </c>
      <c r="D1649" s="15" t="s">
        <v>3794</v>
      </c>
      <c r="E1649" s="16" t="s">
        <v>52</v>
      </c>
      <c r="F1649" s="13" t="s">
        <v>2765</v>
      </c>
      <c r="G1649" s="13" t="s">
        <v>3812</v>
      </c>
      <c r="H1649" s="13" t="s">
        <v>921</v>
      </c>
      <c r="I1649" s="13" t="s">
        <v>63</v>
      </c>
      <c r="J1649" s="17" t="s">
        <v>71</v>
      </c>
      <c r="K1649" s="17" t="s">
        <v>58</v>
      </c>
      <c r="L1649" s="18" t="s">
        <v>52</v>
      </c>
      <c r="M1649" s="19">
        <v>43.0</v>
      </c>
      <c r="N1649" s="19">
        <v>31.0</v>
      </c>
    </row>
    <row r="1650">
      <c r="A1650" s="12">
        <v>1648.0</v>
      </c>
      <c r="B1650" s="13" t="s">
        <v>919</v>
      </c>
      <c r="C1650" s="14">
        <v>28.0</v>
      </c>
      <c r="D1650" s="15" t="s">
        <v>3794</v>
      </c>
      <c r="E1650" s="16" t="s">
        <v>52</v>
      </c>
      <c r="F1650" s="13" t="s">
        <v>3813</v>
      </c>
      <c r="G1650" s="13" t="s">
        <v>3814</v>
      </c>
      <c r="H1650" s="13" t="s">
        <v>921</v>
      </c>
      <c r="I1650" s="13" t="s">
        <v>63</v>
      </c>
      <c r="J1650" s="17" t="s">
        <v>71</v>
      </c>
      <c r="K1650" s="17" t="s">
        <v>58</v>
      </c>
      <c r="L1650" s="18" t="s">
        <v>52</v>
      </c>
      <c r="M1650" s="19">
        <v>43.0</v>
      </c>
      <c r="N1650" s="19">
        <v>31.0</v>
      </c>
    </row>
    <row r="1651">
      <c r="A1651" s="12">
        <v>1649.0</v>
      </c>
      <c r="B1651" s="13" t="s">
        <v>919</v>
      </c>
      <c r="C1651" s="14">
        <v>29.0</v>
      </c>
      <c r="D1651" s="15" t="s">
        <v>3794</v>
      </c>
      <c r="E1651" s="16" t="s">
        <v>52</v>
      </c>
      <c r="F1651" s="13" t="s">
        <v>2940</v>
      </c>
      <c r="G1651" s="13" t="s">
        <v>3611</v>
      </c>
      <c r="H1651" s="13" t="s">
        <v>3612</v>
      </c>
      <c r="I1651" s="13" t="s">
        <v>63</v>
      </c>
      <c r="J1651" s="17" t="s">
        <v>71</v>
      </c>
      <c r="K1651" s="17" t="s">
        <v>58</v>
      </c>
      <c r="L1651" s="18" t="s">
        <v>52</v>
      </c>
      <c r="M1651" s="19">
        <v>43.0</v>
      </c>
      <c r="N1651" s="19">
        <v>31.0</v>
      </c>
    </row>
    <row r="1652">
      <c r="A1652" s="12">
        <v>1650.0</v>
      </c>
      <c r="B1652" s="13" t="s">
        <v>919</v>
      </c>
      <c r="C1652" s="14">
        <v>30.0</v>
      </c>
      <c r="D1652" s="15" t="s">
        <v>3794</v>
      </c>
      <c r="E1652" s="16" t="s">
        <v>52</v>
      </c>
      <c r="F1652" s="13" t="s">
        <v>3574</v>
      </c>
      <c r="G1652" s="13" t="s">
        <v>3611</v>
      </c>
      <c r="H1652" s="13" t="s">
        <v>3612</v>
      </c>
      <c r="I1652" s="13" t="s">
        <v>63</v>
      </c>
      <c r="J1652" s="17" t="s">
        <v>71</v>
      </c>
      <c r="K1652" s="17" t="s">
        <v>58</v>
      </c>
      <c r="L1652" s="18" t="s">
        <v>52</v>
      </c>
      <c r="M1652" s="19">
        <v>43.0</v>
      </c>
      <c r="N1652" s="19">
        <v>31.0</v>
      </c>
    </row>
    <row r="1653">
      <c r="A1653" s="12">
        <v>1651.0</v>
      </c>
      <c r="B1653" s="13" t="s">
        <v>3565</v>
      </c>
      <c r="C1653" s="14">
        <v>1.0</v>
      </c>
      <c r="D1653" s="15" t="s">
        <v>3816</v>
      </c>
      <c r="E1653" s="16" t="s">
        <v>52</v>
      </c>
      <c r="F1653" s="13" t="s">
        <v>3590</v>
      </c>
      <c r="G1653" s="13" t="s">
        <v>61</v>
      </c>
      <c r="H1653" s="13" t="s">
        <v>3591</v>
      </c>
      <c r="I1653" s="13" t="s">
        <v>63</v>
      </c>
      <c r="J1653" s="17" t="s">
        <v>57</v>
      </c>
      <c r="K1653" s="17" t="s">
        <v>58</v>
      </c>
      <c r="L1653" s="18" t="s">
        <v>52</v>
      </c>
      <c r="M1653" s="19">
        <v>44.0</v>
      </c>
      <c r="N1653" s="19">
        <v>11.0</v>
      </c>
    </row>
    <row r="1654">
      <c r="A1654" s="12">
        <v>1652.0</v>
      </c>
      <c r="B1654" s="13" t="s">
        <v>3565</v>
      </c>
      <c r="C1654" s="14">
        <v>2.0</v>
      </c>
      <c r="D1654" s="15" t="s">
        <v>3818</v>
      </c>
      <c r="E1654" s="16" t="s">
        <v>52</v>
      </c>
      <c r="F1654" s="13" t="s">
        <v>3676</v>
      </c>
      <c r="G1654" s="13" t="s">
        <v>3677</v>
      </c>
      <c r="H1654" s="13" t="s">
        <v>3819</v>
      </c>
      <c r="I1654" s="13" t="s">
        <v>63</v>
      </c>
      <c r="J1654" s="17" t="s">
        <v>57</v>
      </c>
      <c r="K1654" s="17" t="s">
        <v>58</v>
      </c>
      <c r="L1654" s="18" t="s">
        <v>52</v>
      </c>
      <c r="M1654" s="19">
        <v>44.0</v>
      </c>
      <c r="N1654" s="19">
        <v>11.0</v>
      </c>
    </row>
    <row r="1655">
      <c r="A1655" s="12">
        <v>1653.0</v>
      </c>
      <c r="B1655" s="13" t="s">
        <v>3565</v>
      </c>
      <c r="C1655" s="14">
        <v>3.0</v>
      </c>
      <c r="D1655" s="15" t="s">
        <v>3818</v>
      </c>
      <c r="E1655" s="16" t="s">
        <v>52</v>
      </c>
      <c r="F1655" s="13" t="s">
        <v>2949</v>
      </c>
      <c r="G1655" s="13" t="s">
        <v>3820</v>
      </c>
      <c r="H1655" s="13" t="s">
        <v>3821</v>
      </c>
      <c r="I1655" s="13" t="s">
        <v>63</v>
      </c>
      <c r="J1655" s="17" t="s">
        <v>57</v>
      </c>
      <c r="K1655" s="17" t="s">
        <v>58</v>
      </c>
      <c r="L1655" s="18" t="s">
        <v>52</v>
      </c>
      <c r="M1655" s="19">
        <v>44.0</v>
      </c>
      <c r="N1655" s="19">
        <v>11.0</v>
      </c>
    </row>
    <row r="1656">
      <c r="A1656" s="12">
        <v>1654.0</v>
      </c>
      <c r="B1656" s="13" t="s">
        <v>3565</v>
      </c>
      <c r="C1656" s="14">
        <v>4.0</v>
      </c>
      <c r="D1656" s="15" t="s">
        <v>3818</v>
      </c>
      <c r="E1656" s="16" t="s">
        <v>52</v>
      </c>
      <c r="F1656" s="13" t="s">
        <v>3610</v>
      </c>
      <c r="G1656" s="13" t="s">
        <v>3687</v>
      </c>
      <c r="H1656" s="13" t="s">
        <v>3822</v>
      </c>
      <c r="I1656" s="13" t="s">
        <v>63</v>
      </c>
      <c r="J1656" s="17" t="s">
        <v>57</v>
      </c>
      <c r="K1656" s="17" t="s">
        <v>58</v>
      </c>
      <c r="L1656" s="18" t="s">
        <v>52</v>
      </c>
      <c r="M1656" s="19">
        <v>44.0</v>
      </c>
      <c r="N1656" s="19">
        <v>11.0</v>
      </c>
    </row>
    <row r="1657">
      <c r="A1657" s="12">
        <v>1655.0</v>
      </c>
      <c r="B1657" s="13" t="s">
        <v>3565</v>
      </c>
      <c r="C1657" s="14">
        <v>5.0</v>
      </c>
      <c r="D1657" s="15" t="s">
        <v>3816</v>
      </c>
      <c r="E1657" s="16" t="s">
        <v>52</v>
      </c>
      <c r="F1657" s="13" t="s">
        <v>1972</v>
      </c>
      <c r="G1657" s="13" t="s">
        <v>3039</v>
      </c>
      <c r="H1657" s="13" t="s">
        <v>3745</v>
      </c>
      <c r="I1657" s="13" t="s">
        <v>63</v>
      </c>
      <c r="J1657" s="17" t="s">
        <v>71</v>
      </c>
      <c r="K1657" s="17" t="s">
        <v>58</v>
      </c>
      <c r="L1657" s="18" t="s">
        <v>52</v>
      </c>
      <c r="M1657" s="19">
        <v>44.0</v>
      </c>
      <c r="N1657" s="19">
        <v>31.0</v>
      </c>
    </row>
    <row r="1658">
      <c r="A1658" s="12">
        <v>1656.0</v>
      </c>
      <c r="B1658" s="13" t="s">
        <v>3565</v>
      </c>
      <c r="C1658" s="14">
        <v>6.0</v>
      </c>
      <c r="D1658" s="15" t="s">
        <v>3816</v>
      </c>
      <c r="E1658" s="16" t="s">
        <v>52</v>
      </c>
      <c r="F1658" s="13" t="s">
        <v>3746</v>
      </c>
      <c r="G1658" s="13" t="s">
        <v>61</v>
      </c>
      <c r="H1658" s="13" t="s">
        <v>3747</v>
      </c>
      <c r="I1658" s="13" t="s">
        <v>63</v>
      </c>
      <c r="J1658" s="17" t="s">
        <v>71</v>
      </c>
      <c r="K1658" s="17" t="s">
        <v>58</v>
      </c>
      <c r="L1658" s="18" t="s">
        <v>52</v>
      </c>
      <c r="M1658" s="19">
        <v>44.0</v>
      </c>
      <c r="N1658" s="19">
        <v>31.0</v>
      </c>
    </row>
    <row r="1659">
      <c r="A1659" s="12">
        <v>1657.0</v>
      </c>
      <c r="B1659" s="13" t="s">
        <v>3565</v>
      </c>
      <c r="C1659" s="14">
        <v>7.0</v>
      </c>
      <c r="D1659" s="15" t="s">
        <v>3816</v>
      </c>
      <c r="E1659" s="16" t="s">
        <v>52</v>
      </c>
      <c r="F1659" s="13" t="s">
        <v>3568</v>
      </c>
      <c r="G1659" s="13" t="s">
        <v>3569</v>
      </c>
      <c r="H1659" s="13" t="s">
        <v>3570</v>
      </c>
      <c r="I1659" s="13" t="s">
        <v>63</v>
      </c>
      <c r="J1659" s="17" t="s">
        <v>71</v>
      </c>
      <c r="K1659" s="17" t="s">
        <v>58</v>
      </c>
      <c r="L1659" s="18" t="s">
        <v>52</v>
      </c>
      <c r="M1659" s="19">
        <v>44.0</v>
      </c>
      <c r="N1659" s="19">
        <v>31.0</v>
      </c>
    </row>
    <row r="1660">
      <c r="A1660" s="12">
        <v>1658.0</v>
      </c>
      <c r="B1660" s="13" t="s">
        <v>3565</v>
      </c>
      <c r="C1660" s="14">
        <v>8.0</v>
      </c>
      <c r="D1660" s="15" t="s">
        <v>3816</v>
      </c>
      <c r="E1660" s="16" t="s">
        <v>52</v>
      </c>
      <c r="F1660" s="13" t="s">
        <v>3586</v>
      </c>
      <c r="G1660" s="13" t="s">
        <v>61</v>
      </c>
      <c r="H1660" s="13" t="s">
        <v>3587</v>
      </c>
      <c r="I1660" s="13" t="s">
        <v>63</v>
      </c>
      <c r="J1660" s="17" t="s">
        <v>71</v>
      </c>
      <c r="K1660" s="17" t="s">
        <v>58</v>
      </c>
      <c r="L1660" s="18" t="s">
        <v>52</v>
      </c>
      <c r="M1660" s="19">
        <v>44.0</v>
      </c>
      <c r="N1660" s="19">
        <v>31.0</v>
      </c>
    </row>
    <row r="1661">
      <c r="A1661" s="12">
        <v>1659.0</v>
      </c>
      <c r="B1661" s="13" t="s">
        <v>3565</v>
      </c>
      <c r="C1661" s="14">
        <v>9.0</v>
      </c>
      <c r="D1661" s="15" t="s">
        <v>3816</v>
      </c>
      <c r="E1661" s="16" t="s">
        <v>52</v>
      </c>
      <c r="F1661" s="13" t="s">
        <v>2957</v>
      </c>
      <c r="G1661" s="13" t="s">
        <v>61</v>
      </c>
      <c r="H1661" s="13" t="s">
        <v>3652</v>
      </c>
      <c r="I1661" s="13" t="s">
        <v>63</v>
      </c>
      <c r="J1661" s="17" t="s">
        <v>71</v>
      </c>
      <c r="K1661" s="17" t="s">
        <v>58</v>
      </c>
      <c r="L1661" s="18" t="s">
        <v>52</v>
      </c>
      <c r="M1661" s="19">
        <v>44.0</v>
      </c>
      <c r="N1661" s="19">
        <v>31.0</v>
      </c>
    </row>
    <row r="1662">
      <c r="A1662" s="12">
        <v>1660.0</v>
      </c>
      <c r="B1662" s="13" t="s">
        <v>3565</v>
      </c>
      <c r="C1662" s="14">
        <v>10.0</v>
      </c>
      <c r="D1662" s="15" t="s">
        <v>3816</v>
      </c>
      <c r="E1662" s="16" t="s">
        <v>52</v>
      </c>
      <c r="F1662" s="13" t="s">
        <v>3554</v>
      </c>
      <c r="G1662" s="13" t="s">
        <v>3654</v>
      </c>
      <c r="H1662" s="13" t="s">
        <v>3655</v>
      </c>
      <c r="I1662" s="13" t="s">
        <v>63</v>
      </c>
      <c r="J1662" s="17" t="s">
        <v>71</v>
      </c>
      <c r="K1662" s="17" t="s">
        <v>58</v>
      </c>
      <c r="L1662" s="18" t="s">
        <v>52</v>
      </c>
      <c r="M1662" s="19">
        <v>44.0</v>
      </c>
      <c r="N1662" s="19">
        <v>31.0</v>
      </c>
    </row>
    <row r="1663">
      <c r="A1663" s="12">
        <v>1661.0</v>
      </c>
      <c r="B1663" s="13" t="s">
        <v>3565</v>
      </c>
      <c r="C1663" s="14">
        <v>11.0</v>
      </c>
      <c r="D1663" s="15" t="s">
        <v>3816</v>
      </c>
      <c r="E1663" s="16" t="s">
        <v>52</v>
      </c>
      <c r="F1663" s="13" t="s">
        <v>3646</v>
      </c>
      <c r="G1663" s="13" t="s">
        <v>61</v>
      </c>
      <c r="H1663" s="13" t="s">
        <v>3748</v>
      </c>
      <c r="I1663" s="13" t="s">
        <v>63</v>
      </c>
      <c r="J1663" s="17" t="s">
        <v>71</v>
      </c>
      <c r="K1663" s="17" t="s">
        <v>58</v>
      </c>
      <c r="L1663" s="18" t="s">
        <v>52</v>
      </c>
      <c r="M1663" s="19">
        <v>44.0</v>
      </c>
      <c r="N1663" s="19">
        <v>31.0</v>
      </c>
    </row>
    <row r="1664">
      <c r="A1664" s="12">
        <v>1662.0</v>
      </c>
      <c r="B1664" s="13" t="s">
        <v>3565</v>
      </c>
      <c r="C1664" s="14">
        <v>12.0</v>
      </c>
      <c r="D1664" s="15" t="s">
        <v>3816</v>
      </c>
      <c r="E1664" s="16" t="s">
        <v>52</v>
      </c>
      <c r="F1664" s="13" t="s">
        <v>3580</v>
      </c>
      <c r="G1664" s="13" t="s">
        <v>61</v>
      </c>
      <c r="H1664" s="13" t="s">
        <v>3826</v>
      </c>
      <c r="I1664" s="13" t="s">
        <v>63</v>
      </c>
      <c r="J1664" s="17" t="s">
        <v>71</v>
      </c>
      <c r="K1664" s="17" t="s">
        <v>58</v>
      </c>
      <c r="L1664" s="18" t="s">
        <v>52</v>
      </c>
      <c r="M1664" s="19">
        <v>44.0</v>
      </c>
      <c r="N1664" s="19">
        <v>31.0</v>
      </c>
    </row>
    <row r="1665">
      <c r="A1665" s="12">
        <v>1663.0</v>
      </c>
      <c r="B1665" s="13" t="s">
        <v>3565</v>
      </c>
      <c r="C1665" s="14">
        <v>13.0</v>
      </c>
      <c r="D1665" s="15" t="s">
        <v>3816</v>
      </c>
      <c r="E1665" s="16" t="s">
        <v>52</v>
      </c>
      <c r="F1665" s="13" t="s">
        <v>1258</v>
      </c>
      <c r="G1665" s="13" t="s">
        <v>1259</v>
      </c>
      <c r="H1665" s="13" t="s">
        <v>1260</v>
      </c>
      <c r="I1665" s="13" t="s">
        <v>63</v>
      </c>
      <c r="J1665" s="17" t="s">
        <v>71</v>
      </c>
      <c r="K1665" s="17" t="s">
        <v>58</v>
      </c>
      <c r="L1665" s="18" t="s">
        <v>52</v>
      </c>
      <c r="M1665" s="19">
        <v>44.0</v>
      </c>
      <c r="N1665" s="19">
        <v>31.0</v>
      </c>
    </row>
    <row r="1666">
      <c r="A1666" s="12">
        <v>1664.0</v>
      </c>
      <c r="B1666" s="13" t="s">
        <v>3565</v>
      </c>
      <c r="C1666" s="14">
        <v>14.0</v>
      </c>
      <c r="D1666" s="15" t="s">
        <v>3816</v>
      </c>
      <c r="E1666" s="16" t="s">
        <v>52</v>
      </c>
      <c r="F1666" s="13" t="s">
        <v>919</v>
      </c>
      <c r="G1666" s="13" t="s">
        <v>3584</v>
      </c>
      <c r="H1666" s="13" t="s">
        <v>3585</v>
      </c>
      <c r="I1666" s="13" t="s">
        <v>63</v>
      </c>
      <c r="J1666" s="17" t="s">
        <v>71</v>
      </c>
      <c r="K1666" s="17" t="s">
        <v>58</v>
      </c>
      <c r="L1666" s="18" t="s">
        <v>52</v>
      </c>
      <c r="M1666" s="19">
        <v>44.0</v>
      </c>
      <c r="N1666" s="19">
        <v>31.0</v>
      </c>
    </row>
    <row r="1667">
      <c r="A1667" s="12">
        <v>1665.0</v>
      </c>
      <c r="B1667" s="13" t="s">
        <v>3565</v>
      </c>
      <c r="C1667" s="14">
        <v>15.0</v>
      </c>
      <c r="D1667" s="15" t="s">
        <v>3816</v>
      </c>
      <c r="E1667" s="16" t="s">
        <v>52</v>
      </c>
      <c r="F1667" s="13" t="s">
        <v>3558</v>
      </c>
      <c r="G1667" s="13" t="s">
        <v>61</v>
      </c>
      <c r="H1667" s="13" t="s">
        <v>3559</v>
      </c>
      <c r="I1667" s="13" t="s">
        <v>63</v>
      </c>
      <c r="J1667" s="17" t="s">
        <v>71</v>
      </c>
      <c r="K1667" s="17" t="s">
        <v>58</v>
      </c>
      <c r="L1667" s="18" t="s">
        <v>52</v>
      </c>
      <c r="M1667" s="19">
        <v>44.0</v>
      </c>
      <c r="N1667" s="19">
        <v>31.0</v>
      </c>
    </row>
    <row r="1668">
      <c r="A1668" s="12">
        <v>1666.0</v>
      </c>
      <c r="B1668" s="13" t="s">
        <v>3565</v>
      </c>
      <c r="C1668" s="14">
        <v>16.0</v>
      </c>
      <c r="D1668" s="15" t="s">
        <v>3816</v>
      </c>
      <c r="E1668" s="16" t="s">
        <v>52</v>
      </c>
      <c r="F1668" s="13" t="s">
        <v>2947</v>
      </c>
      <c r="G1668" s="13" t="s">
        <v>3827</v>
      </c>
      <c r="H1668" s="13" t="s">
        <v>3828</v>
      </c>
      <c r="I1668" s="13" t="s">
        <v>63</v>
      </c>
      <c r="J1668" s="17" t="s">
        <v>71</v>
      </c>
      <c r="K1668" s="17" t="s">
        <v>58</v>
      </c>
      <c r="L1668" s="18" t="s">
        <v>52</v>
      </c>
      <c r="M1668" s="19">
        <v>44.0</v>
      </c>
      <c r="N1668" s="19">
        <v>31.0</v>
      </c>
    </row>
    <row r="1669">
      <c r="A1669" s="12">
        <v>1667.0</v>
      </c>
      <c r="B1669" s="13" t="s">
        <v>3565</v>
      </c>
      <c r="C1669" s="14">
        <v>17.0</v>
      </c>
      <c r="D1669" s="15" t="s">
        <v>3816</v>
      </c>
      <c r="E1669" s="16" t="s">
        <v>52</v>
      </c>
      <c r="F1669" s="13" t="s">
        <v>3618</v>
      </c>
      <c r="G1669" s="13" t="s">
        <v>61</v>
      </c>
      <c r="H1669" s="13" t="s">
        <v>3784</v>
      </c>
      <c r="I1669" s="13" t="s">
        <v>63</v>
      </c>
      <c r="J1669" s="17" t="s">
        <v>71</v>
      </c>
      <c r="K1669" s="17" t="s">
        <v>58</v>
      </c>
      <c r="L1669" s="18" t="s">
        <v>52</v>
      </c>
      <c r="M1669" s="19">
        <v>44.0</v>
      </c>
      <c r="N1669" s="19">
        <v>31.0</v>
      </c>
    </row>
    <row r="1670">
      <c r="A1670" s="12">
        <v>1668.0</v>
      </c>
      <c r="B1670" s="13" t="s">
        <v>3565</v>
      </c>
      <c r="C1670" s="14">
        <v>18.0</v>
      </c>
      <c r="D1670" s="15" t="s">
        <v>3816</v>
      </c>
      <c r="E1670" s="16" t="s">
        <v>52</v>
      </c>
      <c r="F1670" s="13" t="s">
        <v>1265</v>
      </c>
      <c r="G1670" s="13" t="s">
        <v>1266</v>
      </c>
      <c r="H1670" s="13" t="s">
        <v>1267</v>
      </c>
      <c r="I1670" s="13" t="s">
        <v>63</v>
      </c>
      <c r="J1670" s="17" t="s">
        <v>71</v>
      </c>
      <c r="K1670" s="17" t="s">
        <v>58</v>
      </c>
      <c r="L1670" s="18" t="s">
        <v>52</v>
      </c>
      <c r="M1670" s="19">
        <v>44.0</v>
      </c>
      <c r="N1670" s="19">
        <v>31.0</v>
      </c>
    </row>
    <row r="1671">
      <c r="A1671" s="12">
        <v>1669.0</v>
      </c>
      <c r="B1671" s="13" t="s">
        <v>3565</v>
      </c>
      <c r="C1671" s="14">
        <v>19.0</v>
      </c>
      <c r="D1671" s="15" t="s">
        <v>3816</v>
      </c>
      <c r="E1671" s="16" t="s">
        <v>52</v>
      </c>
      <c r="F1671" s="13" t="s">
        <v>3592</v>
      </c>
      <c r="G1671" s="13" t="s">
        <v>61</v>
      </c>
      <c r="H1671" s="13" t="s">
        <v>3593</v>
      </c>
      <c r="I1671" s="13" t="s">
        <v>63</v>
      </c>
      <c r="J1671" s="17" t="s">
        <v>71</v>
      </c>
      <c r="K1671" s="17" t="s">
        <v>58</v>
      </c>
      <c r="L1671" s="18" t="s">
        <v>52</v>
      </c>
      <c r="M1671" s="19">
        <v>44.0</v>
      </c>
      <c r="N1671" s="19">
        <v>31.0</v>
      </c>
    </row>
    <row r="1672">
      <c r="A1672" s="12">
        <v>1670.0</v>
      </c>
      <c r="B1672" s="13" t="s">
        <v>3565</v>
      </c>
      <c r="C1672" s="14">
        <v>20.0</v>
      </c>
      <c r="D1672" s="15" t="s">
        <v>3816</v>
      </c>
      <c r="E1672" s="16" t="s">
        <v>52</v>
      </c>
      <c r="F1672" s="13" t="s">
        <v>3830</v>
      </c>
      <c r="G1672" s="13" t="s">
        <v>61</v>
      </c>
      <c r="H1672" s="13" t="s">
        <v>3831</v>
      </c>
      <c r="I1672" s="13" t="s">
        <v>63</v>
      </c>
      <c r="J1672" s="17" t="s">
        <v>71</v>
      </c>
      <c r="K1672" s="17" t="s">
        <v>58</v>
      </c>
      <c r="L1672" s="18" t="s">
        <v>52</v>
      </c>
      <c r="M1672" s="19">
        <v>44.0</v>
      </c>
      <c r="N1672" s="19">
        <v>31.0</v>
      </c>
    </row>
    <row r="1673">
      <c r="A1673" s="12">
        <v>1671.0</v>
      </c>
      <c r="B1673" s="13" t="s">
        <v>3565</v>
      </c>
      <c r="C1673" s="14">
        <v>21.0</v>
      </c>
      <c r="D1673" s="15" t="s">
        <v>3816</v>
      </c>
      <c r="E1673" s="16" t="s">
        <v>52</v>
      </c>
      <c r="F1673" s="13" t="s">
        <v>3768</v>
      </c>
      <c r="G1673" s="13" t="s">
        <v>61</v>
      </c>
      <c r="H1673" s="13" t="s">
        <v>3832</v>
      </c>
      <c r="I1673" s="13" t="s">
        <v>63</v>
      </c>
      <c r="J1673" s="17" t="s">
        <v>71</v>
      </c>
      <c r="K1673" s="17" t="s">
        <v>58</v>
      </c>
      <c r="L1673" s="18" t="s">
        <v>52</v>
      </c>
      <c r="M1673" s="19">
        <v>44.0</v>
      </c>
      <c r="N1673" s="19">
        <v>31.0</v>
      </c>
    </row>
    <row r="1674">
      <c r="A1674" s="12">
        <v>1672.0</v>
      </c>
      <c r="B1674" s="13" t="s">
        <v>3565</v>
      </c>
      <c r="C1674" s="14">
        <v>22.0</v>
      </c>
      <c r="D1674" s="15" t="s">
        <v>3816</v>
      </c>
      <c r="E1674" s="16" t="s">
        <v>52</v>
      </c>
      <c r="F1674" s="13" t="s">
        <v>3596</v>
      </c>
      <c r="G1674" s="13" t="s">
        <v>3750</v>
      </c>
      <c r="H1674" s="13" t="s">
        <v>3752</v>
      </c>
      <c r="I1674" s="13" t="s">
        <v>63</v>
      </c>
      <c r="J1674" s="17" t="s">
        <v>71</v>
      </c>
      <c r="K1674" s="17" t="s">
        <v>58</v>
      </c>
      <c r="L1674" s="18" t="s">
        <v>52</v>
      </c>
      <c r="M1674" s="19">
        <v>44.0</v>
      </c>
      <c r="N1674" s="19">
        <v>31.0</v>
      </c>
    </row>
    <row r="1675">
      <c r="A1675" s="12">
        <v>1673.0</v>
      </c>
      <c r="B1675" s="13" t="s">
        <v>3565</v>
      </c>
      <c r="C1675" s="14">
        <v>23.0</v>
      </c>
      <c r="D1675" s="15" t="s">
        <v>3816</v>
      </c>
      <c r="E1675" s="16" t="s">
        <v>52</v>
      </c>
      <c r="F1675" s="13" t="s">
        <v>3594</v>
      </c>
      <c r="G1675" s="13" t="s">
        <v>61</v>
      </c>
      <c r="H1675" s="13" t="s">
        <v>3595</v>
      </c>
      <c r="I1675" s="13" t="s">
        <v>63</v>
      </c>
      <c r="J1675" s="17" t="s">
        <v>71</v>
      </c>
      <c r="K1675" s="17" t="s">
        <v>58</v>
      </c>
      <c r="L1675" s="18" t="s">
        <v>52</v>
      </c>
      <c r="M1675" s="19">
        <v>44.0</v>
      </c>
      <c r="N1675" s="19">
        <v>31.0</v>
      </c>
    </row>
    <row r="1676">
      <c r="A1676" s="12">
        <v>1674.0</v>
      </c>
      <c r="B1676" s="13" t="s">
        <v>3565</v>
      </c>
      <c r="C1676" s="14">
        <v>24.0</v>
      </c>
      <c r="D1676" s="15" t="s">
        <v>3816</v>
      </c>
      <c r="E1676" s="16" t="s">
        <v>52</v>
      </c>
      <c r="F1676" s="13" t="s">
        <v>3764</v>
      </c>
      <c r="G1676" s="13" t="s">
        <v>61</v>
      </c>
      <c r="H1676" s="13" t="s">
        <v>3833</v>
      </c>
      <c r="I1676" s="13" t="s">
        <v>63</v>
      </c>
      <c r="J1676" s="17" t="s">
        <v>71</v>
      </c>
      <c r="K1676" s="17" t="s">
        <v>58</v>
      </c>
      <c r="L1676" s="18" t="s">
        <v>52</v>
      </c>
      <c r="M1676" s="19">
        <v>44.0</v>
      </c>
      <c r="N1676" s="19">
        <v>31.0</v>
      </c>
    </row>
    <row r="1677">
      <c r="A1677" s="12">
        <v>1675.0</v>
      </c>
      <c r="B1677" s="13" t="s">
        <v>3565</v>
      </c>
      <c r="C1677" s="14">
        <v>25.0</v>
      </c>
      <c r="D1677" s="15" t="s">
        <v>3816</v>
      </c>
      <c r="E1677" s="16" t="s">
        <v>52</v>
      </c>
      <c r="F1677" s="13" t="s">
        <v>3756</v>
      </c>
      <c r="G1677" s="13" t="s">
        <v>61</v>
      </c>
      <c r="H1677" s="13" t="s">
        <v>3757</v>
      </c>
      <c r="I1677" s="13" t="s">
        <v>63</v>
      </c>
      <c r="J1677" s="17" t="s">
        <v>71</v>
      </c>
      <c r="K1677" s="17" t="s">
        <v>58</v>
      </c>
      <c r="L1677" s="18" t="s">
        <v>52</v>
      </c>
      <c r="M1677" s="19">
        <v>44.0</v>
      </c>
      <c r="N1677" s="19">
        <v>31.0</v>
      </c>
    </row>
    <row r="1678">
      <c r="A1678" s="12">
        <v>1676.0</v>
      </c>
      <c r="B1678" s="13" t="s">
        <v>3565</v>
      </c>
      <c r="C1678" s="14">
        <v>26.0</v>
      </c>
      <c r="D1678" s="15" t="s">
        <v>3818</v>
      </c>
      <c r="E1678" s="16" t="s">
        <v>52</v>
      </c>
      <c r="F1678" s="13" t="s">
        <v>2902</v>
      </c>
      <c r="G1678" s="13" t="s">
        <v>2903</v>
      </c>
      <c r="H1678" s="13" t="s">
        <v>2904</v>
      </c>
      <c r="I1678" s="13" t="s">
        <v>63</v>
      </c>
      <c r="J1678" s="17" t="s">
        <v>71</v>
      </c>
      <c r="K1678" s="17" t="s">
        <v>58</v>
      </c>
      <c r="L1678" s="18" t="s">
        <v>52</v>
      </c>
      <c r="M1678" s="19">
        <v>44.0</v>
      </c>
      <c r="N1678" s="19">
        <v>31.0</v>
      </c>
    </row>
    <row r="1679">
      <c r="A1679" s="12">
        <v>1677.0</v>
      </c>
      <c r="B1679" s="13" t="s">
        <v>3565</v>
      </c>
      <c r="C1679" s="14">
        <v>27.0</v>
      </c>
      <c r="D1679" s="15" t="s">
        <v>3818</v>
      </c>
      <c r="E1679" s="16" t="s">
        <v>52</v>
      </c>
      <c r="F1679" s="13" t="s">
        <v>2441</v>
      </c>
      <c r="G1679" s="13" t="s">
        <v>3835</v>
      </c>
      <c r="H1679" s="13" t="s">
        <v>3836</v>
      </c>
      <c r="I1679" s="13" t="s">
        <v>63</v>
      </c>
      <c r="J1679" s="17" t="s">
        <v>71</v>
      </c>
      <c r="K1679" s="17" t="s">
        <v>58</v>
      </c>
      <c r="L1679" s="18" t="s">
        <v>52</v>
      </c>
      <c r="M1679" s="19">
        <v>44.0</v>
      </c>
      <c r="N1679" s="19">
        <v>31.0</v>
      </c>
    </row>
    <row r="1680">
      <c r="A1680" s="12">
        <v>1678.0</v>
      </c>
      <c r="B1680" s="13" t="s">
        <v>3565</v>
      </c>
      <c r="C1680" s="14">
        <v>28.0</v>
      </c>
      <c r="D1680" s="15" t="s">
        <v>3818</v>
      </c>
      <c r="E1680" s="16" t="s">
        <v>52</v>
      </c>
      <c r="F1680" s="13" t="s">
        <v>1716</v>
      </c>
      <c r="G1680" s="13" t="s">
        <v>1717</v>
      </c>
      <c r="H1680" s="13" t="s">
        <v>3698</v>
      </c>
      <c r="I1680" s="13" t="s">
        <v>63</v>
      </c>
      <c r="J1680" s="17" t="s">
        <v>71</v>
      </c>
      <c r="K1680" s="17" t="s">
        <v>58</v>
      </c>
      <c r="L1680" s="18" t="s">
        <v>52</v>
      </c>
      <c r="M1680" s="19">
        <v>44.0</v>
      </c>
      <c r="N1680" s="19">
        <v>31.0</v>
      </c>
    </row>
    <row r="1681">
      <c r="A1681" s="12">
        <v>1679.0</v>
      </c>
      <c r="B1681" s="13" t="s">
        <v>3565</v>
      </c>
      <c r="C1681" s="14">
        <v>29.0</v>
      </c>
      <c r="D1681" s="15" t="s">
        <v>3818</v>
      </c>
      <c r="E1681" s="16" t="s">
        <v>52</v>
      </c>
      <c r="F1681" s="13" t="s">
        <v>1174</v>
      </c>
      <c r="G1681" s="13" t="s">
        <v>3725</v>
      </c>
      <c r="H1681" s="13" t="s">
        <v>3726</v>
      </c>
      <c r="I1681" s="13" t="s">
        <v>63</v>
      </c>
      <c r="J1681" s="17" t="s">
        <v>71</v>
      </c>
      <c r="K1681" s="17" t="s">
        <v>58</v>
      </c>
      <c r="L1681" s="18" t="s">
        <v>52</v>
      </c>
      <c r="M1681" s="19">
        <v>44.0</v>
      </c>
      <c r="N1681" s="19">
        <v>31.0</v>
      </c>
    </row>
    <row r="1682">
      <c r="A1682" s="12">
        <v>1680.0</v>
      </c>
      <c r="B1682" s="13" t="s">
        <v>3565</v>
      </c>
      <c r="C1682" s="14">
        <v>30.0</v>
      </c>
      <c r="D1682" s="15" t="s">
        <v>3818</v>
      </c>
      <c r="E1682" s="16" t="s">
        <v>52</v>
      </c>
      <c r="F1682" s="13" t="s">
        <v>2006</v>
      </c>
      <c r="G1682" s="13" t="s">
        <v>3837</v>
      </c>
      <c r="H1682" s="13" t="s">
        <v>3838</v>
      </c>
      <c r="I1682" s="13" t="s">
        <v>63</v>
      </c>
      <c r="J1682" s="17" t="s">
        <v>71</v>
      </c>
      <c r="K1682" s="17" t="s">
        <v>58</v>
      </c>
      <c r="L1682" s="18" t="s">
        <v>52</v>
      </c>
      <c r="M1682" s="19">
        <v>44.0</v>
      </c>
      <c r="N1682" s="19">
        <v>31.0</v>
      </c>
    </row>
    <row r="1683">
      <c r="A1683" s="12">
        <v>1681.0</v>
      </c>
      <c r="B1683" s="13" t="s">
        <v>3764</v>
      </c>
      <c r="C1683" s="14">
        <v>1.0</v>
      </c>
      <c r="D1683" s="15" t="s">
        <v>3839</v>
      </c>
      <c r="E1683" s="16" t="s">
        <v>52</v>
      </c>
      <c r="F1683" s="13" t="s">
        <v>965</v>
      </c>
      <c r="G1683" s="13" t="s">
        <v>3840</v>
      </c>
      <c r="H1683" s="13" t="s">
        <v>3841</v>
      </c>
      <c r="I1683" s="13" t="s">
        <v>56</v>
      </c>
      <c r="J1683" s="17" t="s">
        <v>57</v>
      </c>
      <c r="K1683" s="17" t="s">
        <v>58</v>
      </c>
      <c r="L1683" s="18" t="s">
        <v>52</v>
      </c>
      <c r="M1683" s="19">
        <v>45.0</v>
      </c>
      <c r="N1683" s="19">
        <v>10.0</v>
      </c>
    </row>
    <row r="1684">
      <c r="A1684" s="12">
        <v>1682.0</v>
      </c>
      <c r="B1684" s="13" t="s">
        <v>3764</v>
      </c>
      <c r="C1684" s="14">
        <v>2.0</v>
      </c>
      <c r="D1684" s="15" t="s">
        <v>3842</v>
      </c>
      <c r="E1684" s="16" t="s">
        <v>52</v>
      </c>
      <c r="F1684" s="13" t="s">
        <v>3843</v>
      </c>
      <c r="G1684" s="13" t="s">
        <v>3844</v>
      </c>
      <c r="H1684" s="13" t="s">
        <v>3845</v>
      </c>
      <c r="I1684" s="13" t="s">
        <v>63</v>
      </c>
      <c r="J1684" s="17" t="s">
        <v>57</v>
      </c>
      <c r="K1684" s="17" t="s">
        <v>58</v>
      </c>
      <c r="L1684" s="18" t="s">
        <v>52</v>
      </c>
      <c r="M1684" s="19">
        <v>45.0</v>
      </c>
      <c r="N1684" s="19">
        <v>11.0</v>
      </c>
    </row>
    <row r="1685">
      <c r="A1685" s="12">
        <v>1683.0</v>
      </c>
      <c r="B1685" s="13" t="s">
        <v>3764</v>
      </c>
      <c r="C1685" s="14">
        <v>3.0</v>
      </c>
      <c r="D1685" s="15" t="s">
        <v>3846</v>
      </c>
      <c r="E1685" s="16" t="s">
        <v>52</v>
      </c>
      <c r="F1685" s="13" t="s">
        <v>3847</v>
      </c>
      <c r="G1685" s="13" t="s">
        <v>3848</v>
      </c>
      <c r="H1685" s="13" t="s">
        <v>3849</v>
      </c>
      <c r="I1685" s="13" t="s">
        <v>63</v>
      </c>
      <c r="J1685" s="17" t="s">
        <v>71</v>
      </c>
      <c r="K1685" s="17" t="s">
        <v>58</v>
      </c>
      <c r="L1685" s="18" t="s">
        <v>52</v>
      </c>
      <c r="M1685" s="19">
        <v>45.0</v>
      </c>
      <c r="N1685" s="19">
        <v>31.0</v>
      </c>
    </row>
    <row r="1686">
      <c r="A1686" s="12">
        <v>1684.0</v>
      </c>
      <c r="B1686" s="13" t="s">
        <v>3764</v>
      </c>
      <c r="C1686" s="14">
        <v>4.0</v>
      </c>
      <c r="D1686" s="15" t="s">
        <v>3846</v>
      </c>
      <c r="E1686" s="16" t="s">
        <v>52</v>
      </c>
      <c r="F1686" s="13" t="s">
        <v>716</v>
      </c>
      <c r="G1686" s="13" t="s">
        <v>1003</v>
      </c>
      <c r="H1686" s="13" t="s">
        <v>3850</v>
      </c>
      <c r="I1686" s="13" t="s">
        <v>63</v>
      </c>
      <c r="J1686" s="17" t="s">
        <v>71</v>
      </c>
      <c r="K1686" s="17" t="s">
        <v>58</v>
      </c>
      <c r="L1686" s="18" t="s">
        <v>52</v>
      </c>
      <c r="M1686" s="19">
        <v>45.0</v>
      </c>
      <c r="N1686" s="19">
        <v>31.0</v>
      </c>
    </row>
    <row r="1687">
      <c r="A1687" s="12">
        <v>1685.0</v>
      </c>
      <c r="B1687" s="13" t="s">
        <v>3764</v>
      </c>
      <c r="C1687" s="14">
        <v>5.0</v>
      </c>
      <c r="D1687" s="15" t="s">
        <v>3846</v>
      </c>
      <c r="E1687" s="16" t="s">
        <v>52</v>
      </c>
      <c r="F1687" s="13" t="s">
        <v>274</v>
      </c>
      <c r="G1687" s="13" t="s">
        <v>3720</v>
      </c>
      <c r="H1687" s="13" t="s">
        <v>3721</v>
      </c>
      <c r="I1687" s="13" t="s">
        <v>63</v>
      </c>
      <c r="J1687" s="17" t="s">
        <v>71</v>
      </c>
      <c r="K1687" s="17" t="s">
        <v>58</v>
      </c>
      <c r="L1687" s="18" t="s">
        <v>52</v>
      </c>
      <c r="M1687" s="19">
        <v>45.0</v>
      </c>
      <c r="N1687" s="19">
        <v>31.0</v>
      </c>
    </row>
    <row r="1688">
      <c r="A1688" s="12">
        <v>1686.0</v>
      </c>
      <c r="B1688" s="13" t="s">
        <v>3764</v>
      </c>
      <c r="C1688" s="14">
        <v>6.0</v>
      </c>
      <c r="D1688" s="15" t="s">
        <v>3846</v>
      </c>
      <c r="E1688" s="16" t="s">
        <v>52</v>
      </c>
      <c r="F1688" s="13" t="s">
        <v>471</v>
      </c>
      <c r="G1688" s="13" t="s">
        <v>3851</v>
      </c>
      <c r="H1688" s="13" t="s">
        <v>3852</v>
      </c>
      <c r="I1688" s="13" t="s">
        <v>63</v>
      </c>
      <c r="J1688" s="17" t="s">
        <v>71</v>
      </c>
      <c r="K1688" s="17" t="s">
        <v>58</v>
      </c>
      <c r="L1688" s="18" t="s">
        <v>52</v>
      </c>
      <c r="M1688" s="19">
        <v>45.0</v>
      </c>
      <c r="N1688" s="19">
        <v>31.0</v>
      </c>
    </row>
    <row r="1689">
      <c r="A1689" s="12">
        <v>1687.0</v>
      </c>
      <c r="B1689" s="13" t="s">
        <v>3764</v>
      </c>
      <c r="C1689" s="14">
        <v>7.0</v>
      </c>
      <c r="D1689" s="15" t="s">
        <v>3846</v>
      </c>
      <c r="E1689" s="16" t="s">
        <v>52</v>
      </c>
      <c r="F1689" s="13" t="s">
        <v>2042</v>
      </c>
      <c r="G1689" s="13" t="s">
        <v>3853</v>
      </c>
      <c r="H1689" s="13" t="s">
        <v>3854</v>
      </c>
      <c r="I1689" s="13" t="s">
        <v>63</v>
      </c>
      <c r="J1689" s="17" t="s">
        <v>71</v>
      </c>
      <c r="K1689" s="17" t="s">
        <v>58</v>
      </c>
      <c r="L1689" s="18" t="s">
        <v>52</v>
      </c>
      <c r="M1689" s="19">
        <v>45.0</v>
      </c>
      <c r="N1689" s="19">
        <v>31.0</v>
      </c>
    </row>
    <row r="1690">
      <c r="A1690" s="12">
        <v>1688.0</v>
      </c>
      <c r="B1690" s="13" t="s">
        <v>3764</v>
      </c>
      <c r="C1690" s="14">
        <v>8.0</v>
      </c>
      <c r="D1690" s="15" t="s">
        <v>3846</v>
      </c>
      <c r="E1690" s="16" t="s">
        <v>52</v>
      </c>
      <c r="F1690" s="13" t="s">
        <v>576</v>
      </c>
      <c r="G1690" s="13" t="s">
        <v>3855</v>
      </c>
      <c r="H1690" s="13" t="s">
        <v>3850</v>
      </c>
      <c r="I1690" s="13" t="s">
        <v>63</v>
      </c>
      <c r="J1690" s="17" t="s">
        <v>71</v>
      </c>
      <c r="K1690" s="17" t="s">
        <v>58</v>
      </c>
      <c r="L1690" s="18" t="s">
        <v>52</v>
      </c>
      <c r="M1690" s="19">
        <v>45.0</v>
      </c>
      <c r="N1690" s="19">
        <v>31.0</v>
      </c>
    </row>
    <row r="1691">
      <c r="A1691" s="12">
        <v>1689.0</v>
      </c>
      <c r="B1691" s="13" t="s">
        <v>3764</v>
      </c>
      <c r="C1691" s="14">
        <v>9.0</v>
      </c>
      <c r="D1691" s="15" t="s">
        <v>3846</v>
      </c>
      <c r="E1691" s="16" t="s">
        <v>52</v>
      </c>
      <c r="F1691" s="13" t="s">
        <v>3856</v>
      </c>
      <c r="G1691" s="13" t="s">
        <v>3857</v>
      </c>
      <c r="H1691" s="13" t="s">
        <v>3858</v>
      </c>
      <c r="I1691" s="13" t="s">
        <v>63</v>
      </c>
      <c r="J1691" s="17" t="s">
        <v>71</v>
      </c>
      <c r="K1691" s="17" t="s">
        <v>58</v>
      </c>
      <c r="L1691" s="18" t="s">
        <v>52</v>
      </c>
      <c r="M1691" s="19">
        <v>45.0</v>
      </c>
      <c r="N1691" s="19">
        <v>31.0</v>
      </c>
    </row>
    <row r="1692">
      <c r="A1692" s="12">
        <v>1690.0</v>
      </c>
      <c r="B1692" s="13" t="s">
        <v>3764</v>
      </c>
      <c r="C1692" s="14">
        <v>10.0</v>
      </c>
      <c r="D1692" s="15" t="s">
        <v>3846</v>
      </c>
      <c r="E1692" s="16" t="s">
        <v>52</v>
      </c>
      <c r="F1692" s="13" t="s">
        <v>1682</v>
      </c>
      <c r="G1692" s="13" t="s">
        <v>3859</v>
      </c>
      <c r="H1692" s="13" t="s">
        <v>3860</v>
      </c>
      <c r="I1692" s="13" t="s">
        <v>63</v>
      </c>
      <c r="J1692" s="17" t="s">
        <v>71</v>
      </c>
      <c r="K1692" s="17" t="s">
        <v>58</v>
      </c>
      <c r="L1692" s="18" t="s">
        <v>52</v>
      </c>
      <c r="M1692" s="19">
        <v>45.0</v>
      </c>
      <c r="N1692" s="19">
        <v>31.0</v>
      </c>
    </row>
    <row r="1693">
      <c r="A1693" s="12">
        <v>1691.0</v>
      </c>
      <c r="B1693" s="13" t="s">
        <v>3764</v>
      </c>
      <c r="C1693" s="14">
        <v>11.0</v>
      </c>
      <c r="D1693" s="15" t="s">
        <v>3846</v>
      </c>
      <c r="E1693" s="16" t="s">
        <v>52</v>
      </c>
      <c r="F1693" s="13" t="s">
        <v>3861</v>
      </c>
      <c r="G1693" s="13" t="s">
        <v>3862</v>
      </c>
      <c r="H1693" s="13" t="s">
        <v>3863</v>
      </c>
      <c r="I1693" s="13" t="s">
        <v>63</v>
      </c>
      <c r="J1693" s="17" t="s">
        <v>71</v>
      </c>
      <c r="K1693" s="17" t="s">
        <v>58</v>
      </c>
      <c r="L1693" s="18" t="s">
        <v>52</v>
      </c>
      <c r="M1693" s="19">
        <v>45.0</v>
      </c>
      <c r="N1693" s="19">
        <v>31.0</v>
      </c>
    </row>
    <row r="1694">
      <c r="A1694" s="12">
        <v>1692.0</v>
      </c>
      <c r="B1694" s="13" t="s">
        <v>3764</v>
      </c>
      <c r="C1694" s="14">
        <v>12.0</v>
      </c>
      <c r="D1694" s="15" t="s">
        <v>3846</v>
      </c>
      <c r="E1694" s="16" t="s">
        <v>52</v>
      </c>
      <c r="F1694" s="13" t="s">
        <v>3662</v>
      </c>
      <c r="G1694" s="13" t="s">
        <v>61</v>
      </c>
      <c r="H1694" s="13" t="s">
        <v>3722</v>
      </c>
      <c r="I1694" s="13" t="s">
        <v>63</v>
      </c>
      <c r="J1694" s="17" t="s">
        <v>71</v>
      </c>
      <c r="K1694" s="17" t="s">
        <v>58</v>
      </c>
      <c r="L1694" s="18" t="s">
        <v>52</v>
      </c>
      <c r="M1694" s="19">
        <v>45.0</v>
      </c>
      <c r="N1694" s="19">
        <v>31.0</v>
      </c>
    </row>
    <row r="1695">
      <c r="A1695" s="12">
        <v>1693.0</v>
      </c>
      <c r="B1695" s="13" t="s">
        <v>3764</v>
      </c>
      <c r="C1695" s="14">
        <v>13.0</v>
      </c>
      <c r="D1695" s="15" t="s">
        <v>3846</v>
      </c>
      <c r="E1695" s="16" t="s">
        <v>52</v>
      </c>
      <c r="F1695" s="13" t="s">
        <v>1413</v>
      </c>
      <c r="G1695" s="13" t="s">
        <v>3864</v>
      </c>
      <c r="H1695" s="13" t="s">
        <v>3865</v>
      </c>
      <c r="I1695" s="13" t="s">
        <v>63</v>
      </c>
      <c r="J1695" s="17" t="s">
        <v>71</v>
      </c>
      <c r="K1695" s="17" t="s">
        <v>58</v>
      </c>
      <c r="L1695" s="18" t="s">
        <v>52</v>
      </c>
      <c r="M1695" s="19">
        <v>45.0</v>
      </c>
      <c r="N1695" s="19">
        <v>31.0</v>
      </c>
    </row>
    <row r="1696">
      <c r="A1696" s="12">
        <v>1694.0</v>
      </c>
      <c r="B1696" s="13" t="s">
        <v>3764</v>
      </c>
      <c r="C1696" s="14">
        <v>14.0</v>
      </c>
      <c r="D1696" s="15" t="s">
        <v>3846</v>
      </c>
      <c r="E1696" s="16" t="s">
        <v>52</v>
      </c>
      <c r="F1696" s="13" t="s">
        <v>1338</v>
      </c>
      <c r="G1696" s="13" t="s">
        <v>3674</v>
      </c>
      <c r="H1696" s="13" t="s">
        <v>3867</v>
      </c>
      <c r="I1696" s="13" t="s">
        <v>63</v>
      </c>
      <c r="J1696" s="17" t="s">
        <v>71</v>
      </c>
      <c r="K1696" s="17" t="s">
        <v>58</v>
      </c>
      <c r="L1696" s="18" t="s">
        <v>52</v>
      </c>
      <c r="M1696" s="19">
        <v>45.0</v>
      </c>
      <c r="N1696" s="19">
        <v>31.0</v>
      </c>
    </row>
    <row r="1697">
      <c r="A1697" s="12">
        <v>1695.0</v>
      </c>
      <c r="B1697" s="13" t="s">
        <v>3764</v>
      </c>
      <c r="C1697" s="14">
        <v>15.0</v>
      </c>
      <c r="D1697" s="15" t="s">
        <v>3846</v>
      </c>
      <c r="E1697" s="16" t="s">
        <v>52</v>
      </c>
      <c r="F1697" s="13" t="s">
        <v>3813</v>
      </c>
      <c r="G1697" s="13" t="s">
        <v>2766</v>
      </c>
      <c r="H1697" s="13" t="s">
        <v>3869</v>
      </c>
      <c r="I1697" s="13" t="s">
        <v>63</v>
      </c>
      <c r="J1697" s="17" t="s">
        <v>71</v>
      </c>
      <c r="K1697" s="17" t="s">
        <v>58</v>
      </c>
      <c r="L1697" s="18" t="s">
        <v>52</v>
      </c>
      <c r="M1697" s="19">
        <v>45.0</v>
      </c>
      <c r="N1697" s="19">
        <v>31.0</v>
      </c>
    </row>
    <row r="1698">
      <c r="A1698" s="12">
        <v>1696.0</v>
      </c>
      <c r="B1698" s="13" t="s">
        <v>3764</v>
      </c>
      <c r="C1698" s="14">
        <v>16.0</v>
      </c>
      <c r="D1698" s="15" t="s">
        <v>3846</v>
      </c>
      <c r="E1698" s="16" t="s">
        <v>52</v>
      </c>
      <c r="F1698" s="13" t="s">
        <v>3870</v>
      </c>
      <c r="G1698" s="13" t="s">
        <v>3871</v>
      </c>
      <c r="H1698" s="13" t="s">
        <v>3872</v>
      </c>
      <c r="I1698" s="13" t="s">
        <v>63</v>
      </c>
      <c r="J1698" s="17" t="s">
        <v>71</v>
      </c>
      <c r="K1698" s="17" t="s">
        <v>58</v>
      </c>
      <c r="L1698" s="18" t="s">
        <v>52</v>
      </c>
      <c r="M1698" s="19">
        <v>45.0</v>
      </c>
      <c r="N1698" s="19">
        <v>31.0</v>
      </c>
    </row>
    <row r="1699">
      <c r="A1699" s="12">
        <v>1697.0</v>
      </c>
      <c r="B1699" s="13" t="s">
        <v>3764</v>
      </c>
      <c r="C1699" s="14">
        <v>17.0</v>
      </c>
      <c r="D1699" s="15" t="s">
        <v>3842</v>
      </c>
      <c r="E1699" s="16" t="s">
        <v>52</v>
      </c>
      <c r="F1699" s="13" t="s">
        <v>3646</v>
      </c>
      <c r="G1699" s="13" t="s">
        <v>3874</v>
      </c>
      <c r="H1699" s="13" t="s">
        <v>3875</v>
      </c>
      <c r="I1699" s="13" t="s">
        <v>63</v>
      </c>
      <c r="J1699" s="17" t="s">
        <v>71</v>
      </c>
      <c r="K1699" s="17" t="s">
        <v>58</v>
      </c>
      <c r="L1699" s="18" t="s">
        <v>52</v>
      </c>
      <c r="M1699" s="19">
        <v>45.0</v>
      </c>
      <c r="N1699" s="19">
        <v>31.0</v>
      </c>
    </row>
    <row r="1700">
      <c r="A1700" s="12">
        <v>1698.0</v>
      </c>
      <c r="B1700" s="13" t="s">
        <v>3764</v>
      </c>
      <c r="C1700" s="14">
        <v>18.0</v>
      </c>
      <c r="D1700" s="15" t="s">
        <v>3842</v>
      </c>
      <c r="E1700" s="16" t="s">
        <v>52</v>
      </c>
      <c r="F1700" s="13" t="s">
        <v>3077</v>
      </c>
      <c r="G1700" s="13" t="s">
        <v>3877</v>
      </c>
      <c r="H1700" s="13" t="s">
        <v>3878</v>
      </c>
      <c r="I1700" s="13" t="s">
        <v>63</v>
      </c>
      <c r="J1700" s="17" t="s">
        <v>71</v>
      </c>
      <c r="K1700" s="17" t="s">
        <v>58</v>
      </c>
      <c r="L1700" s="18" t="s">
        <v>52</v>
      </c>
      <c r="M1700" s="19">
        <v>45.0</v>
      </c>
      <c r="N1700" s="19">
        <v>31.0</v>
      </c>
    </row>
    <row r="1701">
      <c r="A1701" s="12">
        <v>1699.0</v>
      </c>
      <c r="B1701" s="13" t="s">
        <v>3764</v>
      </c>
      <c r="C1701" s="14">
        <v>19.0</v>
      </c>
      <c r="D1701" s="15" t="s">
        <v>3842</v>
      </c>
      <c r="E1701" s="16" t="s">
        <v>52</v>
      </c>
      <c r="F1701" s="13" t="s">
        <v>2570</v>
      </c>
      <c r="G1701" s="13" t="s">
        <v>3880</v>
      </c>
      <c r="H1701" s="13" t="s">
        <v>3881</v>
      </c>
      <c r="I1701" s="13" t="s">
        <v>63</v>
      </c>
      <c r="J1701" s="17" t="s">
        <v>71</v>
      </c>
      <c r="K1701" s="17" t="s">
        <v>58</v>
      </c>
      <c r="L1701" s="18" t="s">
        <v>52</v>
      </c>
      <c r="M1701" s="19">
        <v>45.0</v>
      </c>
      <c r="N1701" s="19">
        <v>31.0</v>
      </c>
    </row>
    <row r="1702">
      <c r="A1702" s="12">
        <v>1700.0</v>
      </c>
      <c r="B1702" s="13" t="s">
        <v>3764</v>
      </c>
      <c r="C1702" s="14">
        <v>20.0</v>
      </c>
      <c r="D1702" s="15" t="s">
        <v>3842</v>
      </c>
      <c r="E1702" s="16" t="s">
        <v>52</v>
      </c>
      <c r="F1702" s="13" t="s">
        <v>2833</v>
      </c>
      <c r="G1702" s="13" t="s">
        <v>3883</v>
      </c>
      <c r="H1702" s="13" t="s">
        <v>3884</v>
      </c>
      <c r="I1702" s="13" t="s">
        <v>63</v>
      </c>
      <c r="J1702" s="17" t="s">
        <v>71</v>
      </c>
      <c r="K1702" s="17" t="s">
        <v>58</v>
      </c>
      <c r="L1702" s="18" t="s">
        <v>52</v>
      </c>
      <c r="M1702" s="19">
        <v>45.0</v>
      </c>
      <c r="N1702" s="19">
        <v>31.0</v>
      </c>
    </row>
    <row r="1703">
      <c r="A1703" s="12">
        <v>1701.0</v>
      </c>
      <c r="B1703" s="13" t="s">
        <v>3764</v>
      </c>
      <c r="C1703" s="14">
        <v>21.0</v>
      </c>
      <c r="D1703" s="15" t="s">
        <v>3842</v>
      </c>
      <c r="E1703" s="16" t="s">
        <v>52</v>
      </c>
      <c r="F1703" s="13" t="s">
        <v>2693</v>
      </c>
      <c r="G1703" s="13" t="s">
        <v>2694</v>
      </c>
      <c r="H1703" s="13" t="s">
        <v>3885</v>
      </c>
      <c r="I1703" s="13" t="s">
        <v>63</v>
      </c>
      <c r="J1703" s="17" t="s">
        <v>71</v>
      </c>
      <c r="K1703" s="17" t="s">
        <v>58</v>
      </c>
      <c r="L1703" s="18" t="s">
        <v>52</v>
      </c>
      <c r="M1703" s="19">
        <v>45.0</v>
      </c>
      <c r="N1703" s="19">
        <v>31.0</v>
      </c>
    </row>
    <row r="1704">
      <c r="A1704" s="12">
        <v>1702.0</v>
      </c>
      <c r="B1704" s="13" t="s">
        <v>3764</v>
      </c>
      <c r="C1704" s="14">
        <v>22.0</v>
      </c>
      <c r="D1704" s="15" t="s">
        <v>3842</v>
      </c>
      <c r="E1704" s="16" t="s">
        <v>52</v>
      </c>
      <c r="F1704" s="13" t="s">
        <v>2006</v>
      </c>
      <c r="G1704" s="13" t="s">
        <v>3886</v>
      </c>
      <c r="H1704" s="13" t="s">
        <v>3887</v>
      </c>
      <c r="I1704" s="13" t="s">
        <v>63</v>
      </c>
      <c r="J1704" s="17" t="s">
        <v>71</v>
      </c>
      <c r="K1704" s="17" t="s">
        <v>58</v>
      </c>
      <c r="L1704" s="18" t="s">
        <v>52</v>
      </c>
      <c r="M1704" s="19">
        <v>45.0</v>
      </c>
      <c r="N1704" s="19">
        <v>31.0</v>
      </c>
    </row>
    <row r="1705">
      <c r="A1705" s="12">
        <v>1703.0</v>
      </c>
      <c r="B1705" s="13" t="s">
        <v>3764</v>
      </c>
      <c r="C1705" s="14">
        <v>23.0</v>
      </c>
      <c r="D1705" s="15" t="s">
        <v>3842</v>
      </c>
      <c r="E1705" s="16" t="s">
        <v>52</v>
      </c>
      <c r="F1705" s="13" t="s">
        <v>2328</v>
      </c>
      <c r="G1705" s="13" t="s">
        <v>3889</v>
      </c>
      <c r="H1705" s="13" t="s">
        <v>3890</v>
      </c>
      <c r="I1705" s="13" t="s">
        <v>63</v>
      </c>
      <c r="J1705" s="17" t="s">
        <v>71</v>
      </c>
      <c r="K1705" s="17" t="s">
        <v>58</v>
      </c>
      <c r="L1705" s="18" t="s">
        <v>52</v>
      </c>
      <c r="M1705" s="19">
        <v>45.0</v>
      </c>
      <c r="N1705" s="19">
        <v>31.0</v>
      </c>
    </row>
    <row r="1706">
      <c r="A1706" s="12">
        <v>1704.0</v>
      </c>
      <c r="B1706" s="13" t="s">
        <v>3764</v>
      </c>
      <c r="C1706" s="14">
        <v>24.0</v>
      </c>
      <c r="D1706" s="15" t="s">
        <v>3842</v>
      </c>
      <c r="E1706" s="16" t="s">
        <v>52</v>
      </c>
      <c r="F1706" s="13" t="s">
        <v>2842</v>
      </c>
      <c r="G1706" s="13" t="s">
        <v>2843</v>
      </c>
      <c r="H1706" s="13" t="s">
        <v>3891</v>
      </c>
      <c r="I1706" s="13" t="s">
        <v>63</v>
      </c>
      <c r="J1706" s="17" t="s">
        <v>71</v>
      </c>
      <c r="K1706" s="17" t="s">
        <v>58</v>
      </c>
      <c r="L1706" s="18" t="s">
        <v>52</v>
      </c>
      <c r="M1706" s="19">
        <v>45.0</v>
      </c>
      <c r="N1706" s="19">
        <v>31.0</v>
      </c>
    </row>
    <row r="1707">
      <c r="A1707" s="12">
        <v>1705.0</v>
      </c>
      <c r="B1707" s="13" t="s">
        <v>3764</v>
      </c>
      <c r="C1707" s="14">
        <v>25.0</v>
      </c>
      <c r="D1707" s="15" t="s">
        <v>3842</v>
      </c>
      <c r="E1707" s="16" t="s">
        <v>52</v>
      </c>
      <c r="F1707" s="13" t="s">
        <v>3474</v>
      </c>
      <c r="G1707" s="13" t="s">
        <v>3475</v>
      </c>
      <c r="H1707" s="13" t="s">
        <v>3892</v>
      </c>
      <c r="I1707" s="13" t="s">
        <v>63</v>
      </c>
      <c r="J1707" s="17" t="s">
        <v>71</v>
      </c>
      <c r="K1707" s="17" t="s">
        <v>58</v>
      </c>
      <c r="L1707" s="18" t="s">
        <v>52</v>
      </c>
      <c r="M1707" s="19">
        <v>45.0</v>
      </c>
      <c r="N1707" s="19">
        <v>31.0</v>
      </c>
    </row>
    <row r="1708">
      <c r="A1708" s="12">
        <v>1706.0</v>
      </c>
      <c r="B1708" s="13" t="s">
        <v>3764</v>
      </c>
      <c r="C1708" s="14">
        <v>26.0</v>
      </c>
      <c r="D1708" s="15" t="s">
        <v>3842</v>
      </c>
      <c r="E1708" s="16" t="s">
        <v>52</v>
      </c>
      <c r="F1708" s="13" t="s">
        <v>1272</v>
      </c>
      <c r="G1708" s="13" t="s">
        <v>1273</v>
      </c>
      <c r="H1708" s="13" t="s">
        <v>3893</v>
      </c>
      <c r="I1708" s="13" t="s">
        <v>63</v>
      </c>
      <c r="J1708" s="17" t="s">
        <v>71</v>
      </c>
      <c r="K1708" s="17" t="s">
        <v>58</v>
      </c>
      <c r="L1708" s="18" t="s">
        <v>52</v>
      </c>
      <c r="M1708" s="19">
        <v>45.0</v>
      </c>
      <c r="N1708" s="19">
        <v>31.0</v>
      </c>
    </row>
    <row r="1709">
      <c r="A1709" s="12">
        <v>1707.0</v>
      </c>
      <c r="B1709" s="13" t="s">
        <v>3764</v>
      </c>
      <c r="C1709" s="14">
        <v>27.0</v>
      </c>
      <c r="D1709" s="15" t="s">
        <v>3842</v>
      </c>
      <c r="E1709" s="16" t="s">
        <v>52</v>
      </c>
      <c r="F1709" s="13" t="s">
        <v>3894</v>
      </c>
      <c r="G1709" s="13" t="s">
        <v>3895</v>
      </c>
      <c r="H1709" s="13" t="s">
        <v>3896</v>
      </c>
      <c r="I1709" s="13" t="s">
        <v>63</v>
      </c>
      <c r="J1709" s="17" t="s">
        <v>71</v>
      </c>
      <c r="K1709" s="17" t="s">
        <v>58</v>
      </c>
      <c r="L1709" s="18" t="s">
        <v>52</v>
      </c>
      <c r="M1709" s="19">
        <v>45.0</v>
      </c>
      <c r="N1709" s="19">
        <v>31.0</v>
      </c>
    </row>
    <row r="1710">
      <c r="A1710" s="12">
        <v>1708.0</v>
      </c>
      <c r="B1710" s="13" t="s">
        <v>3764</v>
      </c>
      <c r="C1710" s="14">
        <v>28.0</v>
      </c>
      <c r="D1710" s="15" t="s">
        <v>3842</v>
      </c>
      <c r="E1710" s="16" t="s">
        <v>52</v>
      </c>
      <c r="F1710" s="13" t="s">
        <v>2134</v>
      </c>
      <c r="G1710" s="13" t="s">
        <v>2135</v>
      </c>
      <c r="H1710" s="13" t="s">
        <v>3897</v>
      </c>
      <c r="I1710" s="13" t="s">
        <v>63</v>
      </c>
      <c r="J1710" s="17" t="s">
        <v>71</v>
      </c>
      <c r="K1710" s="17" t="s">
        <v>58</v>
      </c>
      <c r="L1710" s="18" t="s">
        <v>52</v>
      </c>
      <c r="M1710" s="19">
        <v>45.0</v>
      </c>
      <c r="N1710" s="19">
        <v>31.0</v>
      </c>
    </row>
    <row r="1711">
      <c r="A1711" s="12">
        <v>1709.0</v>
      </c>
      <c r="B1711" s="13" t="s">
        <v>3764</v>
      </c>
      <c r="C1711" s="14">
        <v>29.0</v>
      </c>
      <c r="D1711" s="15" t="s">
        <v>3842</v>
      </c>
      <c r="E1711" s="16" t="s">
        <v>52</v>
      </c>
      <c r="F1711" s="13" t="s">
        <v>2839</v>
      </c>
      <c r="G1711" s="13" t="s">
        <v>3898</v>
      </c>
      <c r="H1711" s="13" t="s">
        <v>3899</v>
      </c>
      <c r="I1711" s="13" t="s">
        <v>63</v>
      </c>
      <c r="J1711" s="17" t="s">
        <v>71</v>
      </c>
      <c r="K1711" s="17" t="s">
        <v>58</v>
      </c>
      <c r="L1711" s="18" t="s">
        <v>52</v>
      </c>
      <c r="M1711" s="19">
        <v>45.0</v>
      </c>
      <c r="N1711" s="19">
        <v>31.0</v>
      </c>
    </row>
    <row r="1712">
      <c r="A1712" s="12">
        <v>1710.0</v>
      </c>
      <c r="B1712" s="13" t="s">
        <v>3764</v>
      </c>
      <c r="C1712" s="14">
        <v>30.0</v>
      </c>
      <c r="D1712" s="15" t="s">
        <v>3842</v>
      </c>
      <c r="E1712" s="16" t="s">
        <v>52</v>
      </c>
      <c r="F1712" s="13" t="s">
        <v>2122</v>
      </c>
      <c r="G1712" s="13" t="s">
        <v>2123</v>
      </c>
      <c r="H1712" s="13" t="s">
        <v>3900</v>
      </c>
      <c r="I1712" s="13" t="s">
        <v>63</v>
      </c>
      <c r="J1712" s="17" t="s">
        <v>71</v>
      </c>
      <c r="K1712" s="17" t="s">
        <v>58</v>
      </c>
      <c r="L1712" s="18" t="s">
        <v>52</v>
      </c>
      <c r="M1712" s="19">
        <v>45.0</v>
      </c>
      <c r="N1712" s="19">
        <v>31.0</v>
      </c>
    </row>
    <row r="1713">
      <c r="A1713" s="12">
        <v>1711.0</v>
      </c>
      <c r="B1713" s="13" t="s">
        <v>3646</v>
      </c>
      <c r="C1713" s="14">
        <v>1.0</v>
      </c>
      <c r="D1713" s="15" t="s">
        <v>3901</v>
      </c>
      <c r="E1713" s="16" t="s">
        <v>52</v>
      </c>
      <c r="F1713" s="13" t="s">
        <v>3586</v>
      </c>
      <c r="G1713" s="13" t="s">
        <v>61</v>
      </c>
      <c r="H1713" s="13" t="s">
        <v>3587</v>
      </c>
      <c r="I1713" s="13" t="s">
        <v>63</v>
      </c>
      <c r="J1713" s="17" t="s">
        <v>57</v>
      </c>
      <c r="K1713" s="17" t="s">
        <v>58</v>
      </c>
      <c r="L1713" s="18" t="s">
        <v>52</v>
      </c>
      <c r="M1713" s="19">
        <v>46.0</v>
      </c>
      <c r="N1713" s="19">
        <v>11.0</v>
      </c>
    </row>
    <row r="1714">
      <c r="A1714" s="12">
        <v>1712.0</v>
      </c>
      <c r="B1714" s="13" t="s">
        <v>3646</v>
      </c>
      <c r="C1714" s="14">
        <v>2.0</v>
      </c>
      <c r="D1714" s="15" t="s">
        <v>3901</v>
      </c>
      <c r="E1714" s="16" t="s">
        <v>52</v>
      </c>
      <c r="F1714" s="13" t="s">
        <v>3756</v>
      </c>
      <c r="G1714" s="13" t="s">
        <v>61</v>
      </c>
      <c r="H1714" s="13" t="s">
        <v>3757</v>
      </c>
      <c r="I1714" s="13" t="s">
        <v>63</v>
      </c>
      <c r="J1714" s="17" t="s">
        <v>71</v>
      </c>
      <c r="K1714" s="17" t="s">
        <v>58</v>
      </c>
      <c r="L1714" s="18" t="s">
        <v>52</v>
      </c>
      <c r="M1714" s="19">
        <v>46.0</v>
      </c>
      <c r="N1714" s="19">
        <v>31.0</v>
      </c>
    </row>
    <row r="1715">
      <c r="A1715" s="12">
        <v>1713.0</v>
      </c>
      <c r="B1715" s="13" t="s">
        <v>3646</v>
      </c>
      <c r="C1715" s="14">
        <v>3.0</v>
      </c>
      <c r="D1715" s="15" t="s">
        <v>3901</v>
      </c>
      <c r="E1715" s="16" t="s">
        <v>52</v>
      </c>
      <c r="F1715" s="13" t="s">
        <v>3768</v>
      </c>
      <c r="G1715" s="13" t="s">
        <v>61</v>
      </c>
      <c r="H1715" s="13" t="s">
        <v>3832</v>
      </c>
      <c r="I1715" s="13" t="s">
        <v>63</v>
      </c>
      <c r="J1715" s="17" t="s">
        <v>71</v>
      </c>
      <c r="K1715" s="17" t="s">
        <v>58</v>
      </c>
      <c r="L1715" s="18" t="s">
        <v>52</v>
      </c>
      <c r="M1715" s="19">
        <v>46.0</v>
      </c>
      <c r="N1715" s="19">
        <v>31.0</v>
      </c>
    </row>
    <row r="1716">
      <c r="A1716" s="12">
        <v>1714.0</v>
      </c>
      <c r="B1716" s="13" t="s">
        <v>3646</v>
      </c>
      <c r="C1716" s="14">
        <v>4.0</v>
      </c>
      <c r="D1716" s="15" t="s">
        <v>3901</v>
      </c>
      <c r="E1716" s="16" t="s">
        <v>52</v>
      </c>
      <c r="F1716" s="13" t="s">
        <v>3565</v>
      </c>
      <c r="G1716" s="13" t="s">
        <v>61</v>
      </c>
      <c r="H1716" s="13" t="s">
        <v>3741</v>
      </c>
      <c r="I1716" s="13" t="s">
        <v>63</v>
      </c>
      <c r="J1716" s="17" t="s">
        <v>71</v>
      </c>
      <c r="K1716" s="17" t="s">
        <v>58</v>
      </c>
      <c r="L1716" s="18" t="s">
        <v>52</v>
      </c>
      <c r="M1716" s="19">
        <v>46.0</v>
      </c>
      <c r="N1716" s="19">
        <v>31.0</v>
      </c>
    </row>
    <row r="1717">
      <c r="A1717" s="12">
        <v>1715.0</v>
      </c>
      <c r="B1717" s="13" t="s">
        <v>3646</v>
      </c>
      <c r="C1717" s="14">
        <v>5.0</v>
      </c>
      <c r="D1717" s="15" t="s">
        <v>3901</v>
      </c>
      <c r="E1717" s="16" t="s">
        <v>52</v>
      </c>
      <c r="F1717" s="13" t="s">
        <v>1972</v>
      </c>
      <c r="G1717" s="13" t="s">
        <v>3039</v>
      </c>
      <c r="H1717" s="13" t="s">
        <v>3745</v>
      </c>
      <c r="I1717" s="13" t="s">
        <v>63</v>
      </c>
      <c r="J1717" s="17" t="s">
        <v>71</v>
      </c>
      <c r="K1717" s="17" t="s">
        <v>58</v>
      </c>
      <c r="L1717" s="18" t="s">
        <v>52</v>
      </c>
      <c r="M1717" s="19">
        <v>46.0</v>
      </c>
      <c r="N1717" s="19">
        <v>31.0</v>
      </c>
    </row>
    <row r="1718">
      <c r="A1718" s="12">
        <v>1716.0</v>
      </c>
      <c r="B1718" s="13" t="s">
        <v>3646</v>
      </c>
      <c r="C1718" s="14">
        <v>6.0</v>
      </c>
      <c r="D1718" s="15" t="s">
        <v>3901</v>
      </c>
      <c r="E1718" s="16" t="s">
        <v>52</v>
      </c>
      <c r="F1718" s="13" t="s">
        <v>2949</v>
      </c>
      <c r="G1718" s="13" t="s">
        <v>61</v>
      </c>
      <c r="H1718" s="13" t="s">
        <v>3904</v>
      </c>
      <c r="I1718" s="13" t="s">
        <v>63</v>
      </c>
      <c r="J1718" s="17" t="s">
        <v>71</v>
      </c>
      <c r="K1718" s="17" t="s">
        <v>58</v>
      </c>
      <c r="L1718" s="18" t="s">
        <v>52</v>
      </c>
      <c r="M1718" s="19">
        <v>46.0</v>
      </c>
      <c r="N1718" s="19">
        <v>31.0</v>
      </c>
    </row>
    <row r="1719">
      <c r="A1719" s="12">
        <v>1717.0</v>
      </c>
      <c r="B1719" s="13" t="s">
        <v>3646</v>
      </c>
      <c r="C1719" s="14">
        <v>7.0</v>
      </c>
      <c r="D1719" s="15" t="s">
        <v>3901</v>
      </c>
      <c r="E1719" s="16" t="s">
        <v>52</v>
      </c>
      <c r="F1719" s="13" t="s">
        <v>3746</v>
      </c>
      <c r="G1719" s="13" t="s">
        <v>61</v>
      </c>
      <c r="H1719" s="13" t="s">
        <v>3747</v>
      </c>
      <c r="I1719" s="13" t="s">
        <v>63</v>
      </c>
      <c r="J1719" s="17" t="s">
        <v>71</v>
      </c>
      <c r="K1719" s="17" t="s">
        <v>58</v>
      </c>
      <c r="L1719" s="18" t="s">
        <v>52</v>
      </c>
      <c r="M1719" s="19">
        <v>46.0</v>
      </c>
      <c r="N1719" s="19">
        <v>31.0</v>
      </c>
    </row>
    <row r="1720">
      <c r="A1720" s="12">
        <v>1718.0</v>
      </c>
      <c r="B1720" s="13" t="s">
        <v>3646</v>
      </c>
      <c r="C1720" s="14">
        <v>8.0</v>
      </c>
      <c r="D1720" s="15" t="s">
        <v>3901</v>
      </c>
      <c r="E1720" s="16" t="s">
        <v>52</v>
      </c>
      <c r="F1720" s="13" t="s">
        <v>1969</v>
      </c>
      <c r="G1720" s="13" t="s">
        <v>1970</v>
      </c>
      <c r="H1720" s="13" t="s">
        <v>3906</v>
      </c>
      <c r="I1720" s="13" t="s">
        <v>63</v>
      </c>
      <c r="J1720" s="17" t="s">
        <v>71</v>
      </c>
      <c r="K1720" s="17" t="s">
        <v>58</v>
      </c>
      <c r="L1720" s="18" t="s">
        <v>52</v>
      </c>
      <c r="M1720" s="19">
        <v>46.0</v>
      </c>
      <c r="N1720" s="19">
        <v>31.0</v>
      </c>
    </row>
    <row r="1721">
      <c r="A1721" s="12">
        <v>1719.0</v>
      </c>
      <c r="B1721" s="13" t="s">
        <v>3646</v>
      </c>
      <c r="C1721" s="14">
        <v>9.0</v>
      </c>
      <c r="D1721" s="15" t="s">
        <v>3901</v>
      </c>
      <c r="E1721" s="16" t="s">
        <v>52</v>
      </c>
      <c r="F1721" s="13" t="s">
        <v>1258</v>
      </c>
      <c r="G1721" s="13" t="s">
        <v>1259</v>
      </c>
      <c r="H1721" s="13" t="s">
        <v>1260</v>
      </c>
      <c r="I1721" s="13" t="s">
        <v>63</v>
      </c>
      <c r="J1721" s="17" t="s">
        <v>71</v>
      </c>
      <c r="K1721" s="17" t="s">
        <v>58</v>
      </c>
      <c r="L1721" s="18" t="s">
        <v>52</v>
      </c>
      <c r="M1721" s="19">
        <v>46.0</v>
      </c>
      <c r="N1721" s="19">
        <v>31.0</v>
      </c>
    </row>
    <row r="1722">
      <c r="A1722" s="12">
        <v>1720.0</v>
      </c>
      <c r="B1722" s="13" t="s">
        <v>3646</v>
      </c>
      <c r="C1722" s="14">
        <v>10.0</v>
      </c>
      <c r="D1722" s="15" t="s">
        <v>3901</v>
      </c>
      <c r="E1722" s="16" t="s">
        <v>52</v>
      </c>
      <c r="F1722" s="13" t="s">
        <v>1265</v>
      </c>
      <c r="G1722" s="13" t="s">
        <v>1266</v>
      </c>
      <c r="H1722" s="13" t="s">
        <v>1267</v>
      </c>
      <c r="I1722" s="13" t="s">
        <v>63</v>
      </c>
      <c r="J1722" s="17" t="s">
        <v>71</v>
      </c>
      <c r="K1722" s="17" t="s">
        <v>58</v>
      </c>
      <c r="L1722" s="18" t="s">
        <v>52</v>
      </c>
      <c r="M1722" s="19">
        <v>46.0</v>
      </c>
      <c r="N1722" s="19">
        <v>31.0</v>
      </c>
    </row>
    <row r="1723">
      <c r="A1723" s="12">
        <v>1721.0</v>
      </c>
      <c r="B1723" s="13" t="s">
        <v>3646</v>
      </c>
      <c r="C1723" s="14">
        <v>11.0</v>
      </c>
      <c r="D1723" s="15" t="s">
        <v>3901</v>
      </c>
      <c r="E1723" s="16" t="s">
        <v>52</v>
      </c>
      <c r="F1723" s="13" t="s">
        <v>3830</v>
      </c>
      <c r="G1723" s="13" t="s">
        <v>61</v>
      </c>
      <c r="H1723" s="13" t="s">
        <v>3831</v>
      </c>
      <c r="I1723" s="13" t="s">
        <v>63</v>
      </c>
      <c r="J1723" s="17" t="s">
        <v>71</v>
      </c>
      <c r="K1723" s="17" t="s">
        <v>58</v>
      </c>
      <c r="L1723" s="18" t="s">
        <v>52</v>
      </c>
      <c r="M1723" s="19">
        <v>46.0</v>
      </c>
      <c r="N1723" s="19">
        <v>31.0</v>
      </c>
    </row>
    <row r="1724">
      <c r="A1724" s="12">
        <v>1722.0</v>
      </c>
      <c r="B1724" s="13" t="s">
        <v>3646</v>
      </c>
      <c r="C1724" s="14">
        <v>12.0</v>
      </c>
      <c r="D1724" s="15" t="s">
        <v>3901</v>
      </c>
      <c r="E1724" s="16" t="s">
        <v>52</v>
      </c>
      <c r="F1724" s="13" t="s">
        <v>3596</v>
      </c>
      <c r="G1724" s="13" t="s">
        <v>3750</v>
      </c>
      <c r="H1724" s="13" t="s">
        <v>3752</v>
      </c>
      <c r="I1724" s="13" t="s">
        <v>63</v>
      </c>
      <c r="J1724" s="17" t="s">
        <v>71</v>
      </c>
      <c r="K1724" s="17" t="s">
        <v>58</v>
      </c>
      <c r="L1724" s="18" t="s">
        <v>52</v>
      </c>
      <c r="M1724" s="19">
        <v>46.0</v>
      </c>
      <c r="N1724" s="19">
        <v>31.0</v>
      </c>
    </row>
    <row r="1725">
      <c r="A1725" s="12">
        <v>1723.0</v>
      </c>
      <c r="B1725" s="13" t="s">
        <v>3646</v>
      </c>
      <c r="C1725" s="14">
        <v>13.0</v>
      </c>
      <c r="D1725" s="15" t="s">
        <v>3901</v>
      </c>
      <c r="E1725" s="16" t="s">
        <v>52</v>
      </c>
      <c r="F1725" s="13" t="s">
        <v>3594</v>
      </c>
      <c r="G1725" s="13" t="s">
        <v>3660</v>
      </c>
      <c r="H1725" s="13" t="s">
        <v>3661</v>
      </c>
      <c r="I1725" s="13" t="s">
        <v>63</v>
      </c>
      <c r="J1725" s="17" t="s">
        <v>71</v>
      </c>
      <c r="K1725" s="17" t="s">
        <v>58</v>
      </c>
      <c r="L1725" s="18" t="s">
        <v>52</v>
      </c>
      <c r="M1725" s="19">
        <v>46.0</v>
      </c>
      <c r="N1725" s="19">
        <v>31.0</v>
      </c>
    </row>
    <row r="1726">
      <c r="A1726" s="12">
        <v>1724.0</v>
      </c>
      <c r="B1726" s="13" t="s">
        <v>3646</v>
      </c>
      <c r="C1726" s="14">
        <v>14.0</v>
      </c>
      <c r="D1726" s="15" t="s">
        <v>3901</v>
      </c>
      <c r="E1726" s="16" t="s">
        <v>52</v>
      </c>
      <c r="F1726" s="13" t="s">
        <v>2957</v>
      </c>
      <c r="G1726" s="13" t="s">
        <v>61</v>
      </c>
      <c r="H1726" s="13" t="s">
        <v>3652</v>
      </c>
      <c r="I1726" s="13" t="s">
        <v>63</v>
      </c>
      <c r="J1726" s="17" t="s">
        <v>71</v>
      </c>
      <c r="K1726" s="17" t="s">
        <v>58</v>
      </c>
      <c r="L1726" s="18" t="s">
        <v>52</v>
      </c>
      <c r="M1726" s="19">
        <v>46.0</v>
      </c>
      <c r="N1726" s="19">
        <v>31.0</v>
      </c>
    </row>
    <row r="1727">
      <c r="A1727" s="12">
        <v>1725.0</v>
      </c>
      <c r="B1727" s="13" t="s">
        <v>3646</v>
      </c>
      <c r="C1727" s="14">
        <v>15.0</v>
      </c>
      <c r="D1727" s="15" t="s">
        <v>3901</v>
      </c>
      <c r="E1727" s="16" t="s">
        <v>52</v>
      </c>
      <c r="F1727" s="13" t="s">
        <v>3554</v>
      </c>
      <c r="G1727" s="13" t="s">
        <v>3654</v>
      </c>
      <c r="H1727" s="13" t="s">
        <v>3655</v>
      </c>
      <c r="I1727" s="13" t="s">
        <v>63</v>
      </c>
      <c r="J1727" s="17" t="s">
        <v>71</v>
      </c>
      <c r="K1727" s="17" t="s">
        <v>58</v>
      </c>
      <c r="L1727" s="18" t="s">
        <v>52</v>
      </c>
      <c r="M1727" s="19">
        <v>46.0</v>
      </c>
      <c r="N1727" s="19">
        <v>31.0</v>
      </c>
    </row>
    <row r="1728">
      <c r="A1728" s="12">
        <v>1726.0</v>
      </c>
      <c r="B1728" s="13" t="s">
        <v>3646</v>
      </c>
      <c r="C1728" s="14">
        <v>16.0</v>
      </c>
      <c r="D1728" s="15" t="s">
        <v>3901</v>
      </c>
      <c r="E1728" s="16" t="s">
        <v>52</v>
      </c>
      <c r="F1728" s="13" t="s">
        <v>919</v>
      </c>
      <c r="G1728" s="13" t="s">
        <v>3584</v>
      </c>
      <c r="H1728" s="13" t="s">
        <v>3585</v>
      </c>
      <c r="I1728" s="13" t="s">
        <v>63</v>
      </c>
      <c r="J1728" s="17" t="s">
        <v>71</v>
      </c>
      <c r="K1728" s="17" t="s">
        <v>58</v>
      </c>
      <c r="L1728" s="18" t="s">
        <v>52</v>
      </c>
      <c r="M1728" s="19">
        <v>46.0</v>
      </c>
      <c r="N1728" s="19">
        <v>31.0</v>
      </c>
    </row>
    <row r="1729">
      <c r="A1729" s="12">
        <v>1727.0</v>
      </c>
      <c r="B1729" s="13" t="s">
        <v>3646</v>
      </c>
      <c r="C1729" s="14">
        <v>17.0</v>
      </c>
      <c r="D1729" s="15" t="s">
        <v>3901</v>
      </c>
      <c r="E1729" s="16" t="s">
        <v>52</v>
      </c>
      <c r="F1729" s="13" t="s">
        <v>3558</v>
      </c>
      <c r="G1729" s="13" t="s">
        <v>61</v>
      </c>
      <c r="H1729" s="13" t="s">
        <v>3559</v>
      </c>
      <c r="I1729" s="13" t="s">
        <v>63</v>
      </c>
      <c r="J1729" s="17" t="s">
        <v>71</v>
      </c>
      <c r="K1729" s="17" t="s">
        <v>58</v>
      </c>
      <c r="L1729" s="18" t="s">
        <v>52</v>
      </c>
      <c r="M1729" s="19">
        <v>46.0</v>
      </c>
      <c r="N1729" s="19">
        <v>31.0</v>
      </c>
    </row>
    <row r="1730">
      <c r="A1730" s="12">
        <v>1728.0</v>
      </c>
      <c r="B1730" s="13" t="s">
        <v>3646</v>
      </c>
      <c r="C1730" s="14">
        <v>18.0</v>
      </c>
      <c r="D1730" s="15" t="s">
        <v>3901</v>
      </c>
      <c r="E1730" s="16" t="s">
        <v>52</v>
      </c>
      <c r="F1730" s="13" t="s">
        <v>3592</v>
      </c>
      <c r="G1730" s="13" t="s">
        <v>61</v>
      </c>
      <c r="H1730" s="13" t="s">
        <v>3593</v>
      </c>
      <c r="I1730" s="13" t="s">
        <v>63</v>
      </c>
      <c r="J1730" s="17" t="s">
        <v>71</v>
      </c>
      <c r="K1730" s="17" t="s">
        <v>58</v>
      </c>
      <c r="L1730" s="18" t="s">
        <v>52</v>
      </c>
      <c r="M1730" s="19">
        <v>46.0</v>
      </c>
      <c r="N1730" s="19">
        <v>31.0</v>
      </c>
    </row>
    <row r="1731">
      <c r="A1731" s="12">
        <v>1729.0</v>
      </c>
      <c r="B1731" s="13" t="s">
        <v>3646</v>
      </c>
      <c r="C1731" s="14">
        <v>19.0</v>
      </c>
      <c r="D1731" s="15" t="s">
        <v>3901</v>
      </c>
      <c r="E1731" s="16" t="s">
        <v>52</v>
      </c>
      <c r="F1731" s="13" t="s">
        <v>3590</v>
      </c>
      <c r="G1731" s="13" t="s">
        <v>415</v>
      </c>
      <c r="H1731" s="13" t="s">
        <v>415</v>
      </c>
      <c r="I1731" s="13" t="s">
        <v>416</v>
      </c>
      <c r="J1731" s="17" t="s">
        <v>418</v>
      </c>
      <c r="K1731" s="17" t="s">
        <v>420</v>
      </c>
      <c r="L1731" s="18" t="s">
        <v>52</v>
      </c>
      <c r="M1731" s="19">
        <v>46.0</v>
      </c>
      <c r="N1731" s="19">
        <v>41.0</v>
      </c>
    </row>
    <row r="1732">
      <c r="A1732" s="12">
        <v>1730.0</v>
      </c>
      <c r="B1732" s="13" t="s">
        <v>3646</v>
      </c>
      <c r="C1732" s="14">
        <v>20.0</v>
      </c>
      <c r="D1732" s="15" t="s">
        <v>3901</v>
      </c>
      <c r="E1732" s="16" t="s">
        <v>52</v>
      </c>
      <c r="F1732" s="13" t="s">
        <v>3610</v>
      </c>
      <c r="G1732" s="13" t="s">
        <v>415</v>
      </c>
      <c r="H1732" s="13" t="s">
        <v>415</v>
      </c>
      <c r="I1732" s="13" t="s">
        <v>416</v>
      </c>
      <c r="J1732" s="17" t="s">
        <v>418</v>
      </c>
      <c r="K1732" s="17" t="s">
        <v>420</v>
      </c>
      <c r="L1732" s="18" t="s">
        <v>52</v>
      </c>
      <c r="M1732" s="19">
        <v>46.0</v>
      </c>
      <c r="N1732" s="19">
        <v>41.0</v>
      </c>
    </row>
    <row r="1733">
      <c r="A1733" s="12">
        <v>1731.0</v>
      </c>
      <c r="B1733" s="13" t="s">
        <v>3646</v>
      </c>
      <c r="C1733" s="14">
        <v>21.0</v>
      </c>
      <c r="D1733" s="15" t="s">
        <v>3901</v>
      </c>
      <c r="E1733" s="16" t="s">
        <v>52</v>
      </c>
      <c r="F1733" s="13" t="s">
        <v>3580</v>
      </c>
      <c r="G1733" s="13" t="s">
        <v>415</v>
      </c>
      <c r="H1733" s="13" t="s">
        <v>415</v>
      </c>
      <c r="I1733" s="13" t="s">
        <v>416</v>
      </c>
      <c r="J1733" s="17" t="s">
        <v>418</v>
      </c>
      <c r="K1733" s="17" t="s">
        <v>420</v>
      </c>
      <c r="L1733" s="18" t="s">
        <v>52</v>
      </c>
      <c r="M1733" s="19">
        <v>46.0</v>
      </c>
      <c r="N1733" s="19">
        <v>41.0</v>
      </c>
    </row>
    <row r="1734">
      <c r="A1734" s="12">
        <v>1732.0</v>
      </c>
      <c r="B1734" s="13" t="s">
        <v>3646</v>
      </c>
      <c r="C1734" s="14">
        <v>22.0</v>
      </c>
      <c r="D1734" s="15" t="s">
        <v>3901</v>
      </c>
      <c r="E1734" s="16" t="s">
        <v>52</v>
      </c>
      <c r="F1734" s="13" t="s">
        <v>2727</v>
      </c>
      <c r="G1734" s="13" t="s">
        <v>415</v>
      </c>
      <c r="H1734" s="13" t="s">
        <v>415</v>
      </c>
      <c r="I1734" s="13" t="s">
        <v>416</v>
      </c>
      <c r="J1734" s="17" t="s">
        <v>418</v>
      </c>
      <c r="K1734" s="17" t="s">
        <v>420</v>
      </c>
      <c r="L1734" s="18" t="s">
        <v>52</v>
      </c>
      <c r="M1734" s="19">
        <v>46.0</v>
      </c>
      <c r="N1734" s="19">
        <v>41.0</v>
      </c>
    </row>
    <row r="1735">
      <c r="A1735" s="12">
        <v>1733.0</v>
      </c>
      <c r="B1735" s="13" t="s">
        <v>3646</v>
      </c>
      <c r="C1735" s="14">
        <v>23.0</v>
      </c>
      <c r="D1735" s="15" t="s">
        <v>3901</v>
      </c>
      <c r="E1735" s="16" t="s">
        <v>52</v>
      </c>
      <c r="F1735" s="13" t="s">
        <v>3676</v>
      </c>
      <c r="G1735" s="13" t="s">
        <v>415</v>
      </c>
      <c r="H1735" s="13" t="s">
        <v>415</v>
      </c>
      <c r="I1735" s="13" t="s">
        <v>416</v>
      </c>
      <c r="J1735" s="17" t="s">
        <v>418</v>
      </c>
      <c r="K1735" s="17" t="s">
        <v>420</v>
      </c>
      <c r="L1735" s="18" t="s">
        <v>52</v>
      </c>
      <c r="M1735" s="19">
        <v>46.0</v>
      </c>
      <c r="N1735" s="19">
        <v>41.0</v>
      </c>
    </row>
    <row r="1736">
      <c r="A1736" s="12">
        <v>1734.0</v>
      </c>
      <c r="B1736" s="13" t="s">
        <v>3646</v>
      </c>
      <c r="C1736" s="14">
        <v>24.0</v>
      </c>
      <c r="D1736" s="15" t="s">
        <v>3901</v>
      </c>
      <c r="E1736" s="16" t="s">
        <v>52</v>
      </c>
      <c r="F1736" s="13" t="s">
        <v>2947</v>
      </c>
      <c r="G1736" s="13" t="s">
        <v>415</v>
      </c>
      <c r="H1736" s="13" t="s">
        <v>415</v>
      </c>
      <c r="I1736" s="13" t="s">
        <v>416</v>
      </c>
      <c r="J1736" s="17" t="s">
        <v>418</v>
      </c>
      <c r="K1736" s="17" t="s">
        <v>420</v>
      </c>
      <c r="L1736" s="18" t="s">
        <v>52</v>
      </c>
      <c r="M1736" s="19">
        <v>46.0</v>
      </c>
      <c r="N1736" s="19">
        <v>41.0</v>
      </c>
    </row>
    <row r="1737">
      <c r="A1737" s="12">
        <v>1735.0</v>
      </c>
      <c r="B1737" s="13" t="s">
        <v>3646</v>
      </c>
      <c r="C1737" s="14">
        <v>25.0</v>
      </c>
      <c r="D1737" s="15" t="s">
        <v>3901</v>
      </c>
      <c r="E1737" s="16" t="s">
        <v>52</v>
      </c>
      <c r="F1737" s="13" t="s">
        <v>3618</v>
      </c>
      <c r="G1737" s="13" t="s">
        <v>415</v>
      </c>
      <c r="H1737" s="13" t="s">
        <v>415</v>
      </c>
      <c r="I1737" s="13" t="s">
        <v>416</v>
      </c>
      <c r="J1737" s="17" t="s">
        <v>418</v>
      </c>
      <c r="K1737" s="17" t="s">
        <v>420</v>
      </c>
      <c r="L1737" s="18" t="s">
        <v>52</v>
      </c>
      <c r="M1737" s="19">
        <v>46.0</v>
      </c>
      <c r="N1737" s="19">
        <v>41.0</v>
      </c>
    </row>
    <row r="1738">
      <c r="A1738" s="12">
        <v>1736.0</v>
      </c>
      <c r="B1738" s="13" t="s">
        <v>3646</v>
      </c>
      <c r="C1738" s="14">
        <v>26.0</v>
      </c>
      <c r="D1738" s="15" t="s">
        <v>3901</v>
      </c>
      <c r="E1738" s="16" t="s">
        <v>52</v>
      </c>
      <c r="F1738" s="13" t="s">
        <v>3620</v>
      </c>
      <c r="G1738" s="13" t="s">
        <v>415</v>
      </c>
      <c r="H1738" s="13" t="s">
        <v>415</v>
      </c>
      <c r="I1738" s="13" t="s">
        <v>416</v>
      </c>
      <c r="J1738" s="17" t="s">
        <v>418</v>
      </c>
      <c r="K1738" s="17" t="s">
        <v>420</v>
      </c>
      <c r="L1738" s="18" t="s">
        <v>52</v>
      </c>
      <c r="M1738" s="19">
        <v>46.0</v>
      </c>
      <c r="N1738" s="19">
        <v>41.0</v>
      </c>
    </row>
    <row r="1739">
      <c r="A1739" s="12">
        <v>1737.0</v>
      </c>
      <c r="B1739" s="13" t="s">
        <v>3646</v>
      </c>
      <c r="C1739" s="14">
        <v>27.0</v>
      </c>
      <c r="D1739" s="15" t="s">
        <v>3901</v>
      </c>
      <c r="E1739" s="16" t="s">
        <v>52</v>
      </c>
      <c r="F1739" s="13" t="s">
        <v>3568</v>
      </c>
      <c r="G1739" s="13" t="s">
        <v>415</v>
      </c>
      <c r="H1739" s="13" t="s">
        <v>415</v>
      </c>
      <c r="I1739" s="13" t="s">
        <v>416</v>
      </c>
      <c r="J1739" s="17" t="s">
        <v>418</v>
      </c>
      <c r="K1739" s="17" t="s">
        <v>420</v>
      </c>
      <c r="L1739" s="18" t="s">
        <v>52</v>
      </c>
      <c r="M1739" s="19">
        <v>46.0</v>
      </c>
      <c r="N1739" s="19">
        <v>41.0</v>
      </c>
    </row>
    <row r="1740">
      <c r="A1740" s="12">
        <v>1738.0</v>
      </c>
      <c r="B1740" s="13" t="s">
        <v>3646</v>
      </c>
      <c r="C1740" s="14">
        <v>28.0</v>
      </c>
      <c r="D1740" s="15" t="s">
        <v>3901</v>
      </c>
      <c r="E1740" s="16" t="s">
        <v>52</v>
      </c>
      <c r="F1740" s="13" t="s">
        <v>1338</v>
      </c>
      <c r="G1740" s="13" t="s">
        <v>415</v>
      </c>
      <c r="H1740" s="13" t="s">
        <v>415</v>
      </c>
      <c r="I1740" s="13" t="s">
        <v>416</v>
      </c>
      <c r="J1740" s="17" t="s">
        <v>418</v>
      </c>
      <c r="K1740" s="17" t="s">
        <v>420</v>
      </c>
      <c r="L1740" s="18" t="s">
        <v>52</v>
      </c>
      <c r="M1740" s="19">
        <v>46.0</v>
      </c>
      <c r="N1740" s="19">
        <v>41.0</v>
      </c>
    </row>
    <row r="1741">
      <c r="A1741" s="12">
        <v>1739.0</v>
      </c>
      <c r="B1741" s="13" t="s">
        <v>3646</v>
      </c>
      <c r="C1741" s="14">
        <v>29.0</v>
      </c>
      <c r="D1741" s="15" t="s">
        <v>3901</v>
      </c>
      <c r="E1741" s="16" t="s">
        <v>52</v>
      </c>
      <c r="F1741" s="13" t="s">
        <v>1803</v>
      </c>
      <c r="G1741" s="13" t="s">
        <v>415</v>
      </c>
      <c r="H1741" s="13" t="s">
        <v>415</v>
      </c>
      <c r="I1741" s="13" t="s">
        <v>416</v>
      </c>
      <c r="J1741" s="17" t="s">
        <v>418</v>
      </c>
      <c r="K1741" s="17" t="s">
        <v>420</v>
      </c>
      <c r="L1741" s="18" t="s">
        <v>52</v>
      </c>
      <c r="M1741" s="19">
        <v>46.0</v>
      </c>
      <c r="N1741" s="19">
        <v>41.0</v>
      </c>
    </row>
    <row r="1742">
      <c r="A1742" s="12">
        <v>1740.0</v>
      </c>
      <c r="B1742" s="13" t="s">
        <v>3646</v>
      </c>
      <c r="C1742" s="14">
        <v>30.0</v>
      </c>
      <c r="D1742" s="15" t="s">
        <v>3901</v>
      </c>
      <c r="E1742" s="16" t="s">
        <v>52</v>
      </c>
      <c r="F1742" s="13" t="s">
        <v>1724</v>
      </c>
      <c r="G1742" s="13" t="s">
        <v>415</v>
      </c>
      <c r="H1742" s="13" t="s">
        <v>415</v>
      </c>
      <c r="I1742" s="13" t="s">
        <v>416</v>
      </c>
      <c r="J1742" s="17" t="s">
        <v>418</v>
      </c>
      <c r="K1742" s="17" t="s">
        <v>420</v>
      </c>
      <c r="L1742" s="18" t="s">
        <v>52</v>
      </c>
      <c r="M1742" s="19">
        <v>46.0</v>
      </c>
      <c r="N1742" s="19">
        <v>41.0</v>
      </c>
    </row>
    <row r="1743">
      <c r="A1743" s="12">
        <v>1741.0</v>
      </c>
      <c r="B1743" s="13" t="s">
        <v>3580</v>
      </c>
      <c r="C1743" s="14">
        <v>1.0</v>
      </c>
      <c r="D1743" s="15" t="s">
        <v>3912</v>
      </c>
      <c r="E1743" s="16" t="s">
        <v>52</v>
      </c>
      <c r="F1743" s="13" t="s">
        <v>3592</v>
      </c>
      <c r="G1743" s="13" t="s">
        <v>3913</v>
      </c>
      <c r="H1743" s="13" t="s">
        <v>3914</v>
      </c>
      <c r="I1743" s="13" t="s">
        <v>56</v>
      </c>
      <c r="J1743" s="17" t="s">
        <v>57</v>
      </c>
      <c r="K1743" s="17" t="s">
        <v>58</v>
      </c>
      <c r="L1743" s="18" t="s">
        <v>52</v>
      </c>
      <c r="M1743" s="19">
        <v>47.0</v>
      </c>
      <c r="N1743" s="19">
        <v>10.0</v>
      </c>
    </row>
    <row r="1744">
      <c r="A1744" s="12">
        <v>1742.0</v>
      </c>
      <c r="B1744" s="13" t="s">
        <v>3580</v>
      </c>
      <c r="C1744" s="14">
        <v>2.0</v>
      </c>
      <c r="D1744" s="15" t="s">
        <v>3915</v>
      </c>
      <c r="E1744" s="16" t="s">
        <v>52</v>
      </c>
      <c r="F1744" s="13" t="s">
        <v>3768</v>
      </c>
      <c r="G1744" s="13" t="s">
        <v>61</v>
      </c>
      <c r="H1744" s="13" t="s">
        <v>3832</v>
      </c>
      <c r="I1744" s="13" t="s">
        <v>63</v>
      </c>
      <c r="J1744" s="17" t="s">
        <v>57</v>
      </c>
      <c r="K1744" s="17" t="s">
        <v>58</v>
      </c>
      <c r="L1744" s="18" t="s">
        <v>52</v>
      </c>
      <c r="M1744" s="19">
        <v>47.0</v>
      </c>
      <c r="N1744" s="19">
        <v>11.0</v>
      </c>
    </row>
    <row r="1745">
      <c r="A1745" s="12">
        <v>1743.0</v>
      </c>
      <c r="B1745" s="13" t="s">
        <v>3580</v>
      </c>
      <c r="C1745" s="14">
        <v>3.0</v>
      </c>
      <c r="D1745" s="15" t="s">
        <v>3915</v>
      </c>
      <c r="E1745" s="16" t="s">
        <v>52</v>
      </c>
      <c r="F1745" s="13" t="s">
        <v>2816</v>
      </c>
      <c r="G1745" s="13" t="s">
        <v>3917</v>
      </c>
      <c r="H1745" s="13" t="s">
        <v>3918</v>
      </c>
      <c r="I1745" s="13" t="s">
        <v>63</v>
      </c>
      <c r="J1745" s="17" t="s">
        <v>57</v>
      </c>
      <c r="K1745" s="17" t="s">
        <v>58</v>
      </c>
      <c r="L1745" s="18" t="s">
        <v>52</v>
      </c>
      <c r="M1745" s="19">
        <v>47.0</v>
      </c>
      <c r="N1745" s="19">
        <v>11.0</v>
      </c>
    </row>
    <row r="1746">
      <c r="A1746" s="12">
        <v>1744.0</v>
      </c>
      <c r="B1746" s="13" t="s">
        <v>3580</v>
      </c>
      <c r="C1746" s="14">
        <v>4.0</v>
      </c>
      <c r="D1746" s="15" t="s">
        <v>3912</v>
      </c>
      <c r="E1746" s="16" t="s">
        <v>52</v>
      </c>
      <c r="F1746" s="13" t="s">
        <v>2666</v>
      </c>
      <c r="G1746" s="13" t="s">
        <v>2667</v>
      </c>
      <c r="H1746" s="13" t="s">
        <v>3919</v>
      </c>
      <c r="I1746" s="13" t="s">
        <v>63</v>
      </c>
      <c r="J1746" s="17" t="s">
        <v>67</v>
      </c>
      <c r="K1746" s="17" t="s">
        <v>58</v>
      </c>
      <c r="L1746" s="18" t="s">
        <v>52</v>
      </c>
      <c r="M1746" s="19">
        <v>47.0</v>
      </c>
      <c r="N1746" s="19">
        <v>21.0</v>
      </c>
    </row>
    <row r="1747">
      <c r="A1747" s="12">
        <v>1745.0</v>
      </c>
      <c r="B1747" s="13" t="s">
        <v>3580</v>
      </c>
      <c r="C1747" s="14">
        <v>5.0</v>
      </c>
      <c r="D1747" s="15" t="s">
        <v>3912</v>
      </c>
      <c r="E1747" s="16" t="s">
        <v>52</v>
      </c>
      <c r="F1747" s="13" t="s">
        <v>3610</v>
      </c>
      <c r="G1747" s="13" t="s">
        <v>3687</v>
      </c>
      <c r="H1747" s="13" t="s">
        <v>3921</v>
      </c>
      <c r="I1747" s="13" t="s">
        <v>63</v>
      </c>
      <c r="J1747" s="17" t="s">
        <v>71</v>
      </c>
      <c r="K1747" s="17" t="s">
        <v>58</v>
      </c>
      <c r="L1747" s="18" t="s">
        <v>52</v>
      </c>
      <c r="M1747" s="19">
        <v>47.0</v>
      </c>
      <c r="N1747" s="19">
        <v>31.0</v>
      </c>
    </row>
    <row r="1748">
      <c r="A1748" s="12">
        <v>1746.0</v>
      </c>
      <c r="B1748" s="13" t="s">
        <v>3580</v>
      </c>
      <c r="C1748" s="14">
        <v>6.0</v>
      </c>
      <c r="D1748" s="15" t="s">
        <v>3912</v>
      </c>
      <c r="E1748" s="16" t="s">
        <v>52</v>
      </c>
      <c r="F1748" s="13" t="s">
        <v>2520</v>
      </c>
      <c r="G1748" s="13" t="s">
        <v>3331</v>
      </c>
      <c r="H1748" s="13" t="s">
        <v>3923</v>
      </c>
      <c r="I1748" s="13" t="s">
        <v>63</v>
      </c>
      <c r="J1748" s="17" t="s">
        <v>71</v>
      </c>
      <c r="K1748" s="17" t="s">
        <v>58</v>
      </c>
      <c r="L1748" s="18" t="s">
        <v>52</v>
      </c>
      <c r="M1748" s="19">
        <v>47.0</v>
      </c>
      <c r="N1748" s="19">
        <v>31.0</v>
      </c>
    </row>
    <row r="1749">
      <c r="A1749" s="12">
        <v>1747.0</v>
      </c>
      <c r="B1749" s="13" t="s">
        <v>3580</v>
      </c>
      <c r="C1749" s="14">
        <v>7.0</v>
      </c>
      <c r="D1749" s="15" t="s">
        <v>3912</v>
      </c>
      <c r="E1749" s="16" t="s">
        <v>52</v>
      </c>
      <c r="F1749" s="13" t="s">
        <v>3676</v>
      </c>
      <c r="G1749" s="13" t="s">
        <v>3925</v>
      </c>
      <c r="H1749" s="13" t="s">
        <v>3926</v>
      </c>
      <c r="I1749" s="13" t="s">
        <v>63</v>
      </c>
      <c r="J1749" s="17" t="s">
        <v>71</v>
      </c>
      <c r="K1749" s="17" t="s">
        <v>58</v>
      </c>
      <c r="L1749" s="18" t="s">
        <v>52</v>
      </c>
      <c r="M1749" s="19">
        <v>47.0</v>
      </c>
      <c r="N1749" s="19">
        <v>31.0</v>
      </c>
    </row>
    <row r="1750">
      <c r="A1750" s="12">
        <v>1748.0</v>
      </c>
      <c r="B1750" s="13" t="s">
        <v>3580</v>
      </c>
      <c r="C1750" s="14">
        <v>8.0</v>
      </c>
      <c r="D1750" s="15" t="s">
        <v>3912</v>
      </c>
      <c r="E1750" s="16" t="s">
        <v>52</v>
      </c>
      <c r="F1750" s="13" t="s">
        <v>2441</v>
      </c>
      <c r="G1750" s="13" t="s">
        <v>1368</v>
      </c>
      <c r="H1750" s="13" t="s">
        <v>3927</v>
      </c>
      <c r="I1750" s="13" t="s">
        <v>63</v>
      </c>
      <c r="J1750" s="17" t="s">
        <v>71</v>
      </c>
      <c r="K1750" s="17" t="s">
        <v>58</v>
      </c>
      <c r="L1750" s="18" t="s">
        <v>52</v>
      </c>
      <c r="M1750" s="19">
        <v>47.0</v>
      </c>
      <c r="N1750" s="19">
        <v>31.0</v>
      </c>
    </row>
    <row r="1751">
      <c r="A1751" s="12">
        <v>1749.0</v>
      </c>
      <c r="B1751" s="13" t="s">
        <v>3580</v>
      </c>
      <c r="C1751" s="14">
        <v>9.0</v>
      </c>
      <c r="D1751" s="15" t="s">
        <v>3912</v>
      </c>
      <c r="E1751" s="16" t="s">
        <v>52</v>
      </c>
      <c r="F1751" s="13" t="s">
        <v>3662</v>
      </c>
      <c r="G1751" s="13" t="s">
        <v>3663</v>
      </c>
      <c r="H1751" s="13" t="s">
        <v>3929</v>
      </c>
      <c r="I1751" s="13" t="s">
        <v>63</v>
      </c>
      <c r="J1751" s="17" t="s">
        <v>71</v>
      </c>
      <c r="K1751" s="17" t="s">
        <v>58</v>
      </c>
      <c r="L1751" s="18" t="s">
        <v>52</v>
      </c>
      <c r="M1751" s="19">
        <v>47.0</v>
      </c>
      <c r="N1751" s="19">
        <v>31.0</v>
      </c>
    </row>
    <row r="1752">
      <c r="A1752" s="12">
        <v>1750.0</v>
      </c>
      <c r="B1752" s="13" t="s">
        <v>3580</v>
      </c>
      <c r="C1752" s="14">
        <v>10.0</v>
      </c>
      <c r="D1752" s="15" t="s">
        <v>3912</v>
      </c>
      <c r="E1752" s="16" t="s">
        <v>52</v>
      </c>
      <c r="F1752" s="13" t="s">
        <v>3558</v>
      </c>
      <c r="G1752" s="13" t="s">
        <v>3930</v>
      </c>
      <c r="H1752" s="13" t="s">
        <v>3931</v>
      </c>
      <c r="I1752" s="13" t="s">
        <v>63</v>
      </c>
      <c r="J1752" s="17" t="s">
        <v>71</v>
      </c>
      <c r="K1752" s="17" t="s">
        <v>58</v>
      </c>
      <c r="L1752" s="18" t="s">
        <v>52</v>
      </c>
      <c r="M1752" s="19">
        <v>47.0</v>
      </c>
      <c r="N1752" s="19">
        <v>31.0</v>
      </c>
    </row>
    <row r="1753">
      <c r="A1753" s="12">
        <v>1751.0</v>
      </c>
      <c r="B1753" s="13" t="s">
        <v>3580</v>
      </c>
      <c r="C1753" s="14">
        <v>11.0</v>
      </c>
      <c r="D1753" s="15" t="s">
        <v>3912</v>
      </c>
      <c r="E1753" s="16" t="s">
        <v>52</v>
      </c>
      <c r="F1753" s="13" t="s">
        <v>3620</v>
      </c>
      <c r="G1753" s="13" t="s">
        <v>3933</v>
      </c>
      <c r="H1753" s="13" t="s">
        <v>3934</v>
      </c>
      <c r="I1753" s="13" t="s">
        <v>63</v>
      </c>
      <c r="J1753" s="17" t="s">
        <v>71</v>
      </c>
      <c r="K1753" s="17" t="s">
        <v>58</v>
      </c>
      <c r="L1753" s="18" t="s">
        <v>52</v>
      </c>
      <c r="M1753" s="19">
        <v>47.0</v>
      </c>
      <c r="N1753" s="19">
        <v>31.0</v>
      </c>
    </row>
    <row r="1754">
      <c r="A1754" s="12">
        <v>1752.0</v>
      </c>
      <c r="B1754" s="13" t="s">
        <v>3580</v>
      </c>
      <c r="C1754" s="14">
        <v>12.0</v>
      </c>
      <c r="D1754" s="15" t="s">
        <v>3912</v>
      </c>
      <c r="E1754" s="16" t="s">
        <v>52</v>
      </c>
      <c r="F1754" s="13" t="s">
        <v>2601</v>
      </c>
      <c r="G1754" s="13" t="s">
        <v>1282</v>
      </c>
      <c r="H1754" s="13" t="s">
        <v>3935</v>
      </c>
      <c r="I1754" s="13" t="s">
        <v>63</v>
      </c>
      <c r="J1754" s="17" t="s">
        <v>71</v>
      </c>
      <c r="K1754" s="17" t="s">
        <v>58</v>
      </c>
      <c r="L1754" s="18" t="s">
        <v>52</v>
      </c>
      <c r="M1754" s="19">
        <v>47.0</v>
      </c>
      <c r="N1754" s="19">
        <v>31.0</v>
      </c>
    </row>
    <row r="1755">
      <c r="A1755" s="12">
        <v>1753.0</v>
      </c>
      <c r="B1755" s="13" t="s">
        <v>3580</v>
      </c>
      <c r="C1755" s="14">
        <v>13.0</v>
      </c>
      <c r="D1755" s="15" t="s">
        <v>3912</v>
      </c>
      <c r="E1755" s="16" t="s">
        <v>52</v>
      </c>
      <c r="F1755" s="13" t="s">
        <v>1315</v>
      </c>
      <c r="G1755" s="13" t="s">
        <v>3937</v>
      </c>
      <c r="H1755" s="13" t="s">
        <v>3938</v>
      </c>
      <c r="I1755" s="13" t="s">
        <v>63</v>
      </c>
      <c r="J1755" s="17" t="s">
        <v>71</v>
      </c>
      <c r="K1755" s="17" t="s">
        <v>58</v>
      </c>
      <c r="L1755" s="18" t="s">
        <v>52</v>
      </c>
      <c r="M1755" s="19">
        <v>47.0</v>
      </c>
      <c r="N1755" s="19">
        <v>31.0</v>
      </c>
    </row>
    <row r="1756">
      <c r="A1756" s="12">
        <v>1754.0</v>
      </c>
      <c r="B1756" s="13" t="s">
        <v>3580</v>
      </c>
      <c r="C1756" s="14">
        <v>14.0</v>
      </c>
      <c r="D1756" s="15" t="s">
        <v>3912</v>
      </c>
      <c r="E1756" s="16" t="s">
        <v>52</v>
      </c>
      <c r="F1756" s="13" t="s">
        <v>3646</v>
      </c>
      <c r="G1756" s="13" t="s">
        <v>3647</v>
      </c>
      <c r="H1756" s="13" t="s">
        <v>3939</v>
      </c>
      <c r="I1756" s="13" t="s">
        <v>63</v>
      </c>
      <c r="J1756" s="17" t="s">
        <v>71</v>
      </c>
      <c r="K1756" s="17" t="s">
        <v>58</v>
      </c>
      <c r="L1756" s="18" t="s">
        <v>52</v>
      </c>
      <c r="M1756" s="19">
        <v>47.0</v>
      </c>
      <c r="N1756" s="19">
        <v>31.0</v>
      </c>
    </row>
    <row r="1757">
      <c r="A1757" s="12">
        <v>1755.0</v>
      </c>
      <c r="B1757" s="13" t="s">
        <v>3580</v>
      </c>
      <c r="C1757" s="14">
        <v>15.0</v>
      </c>
      <c r="D1757" s="15" t="s">
        <v>3912</v>
      </c>
      <c r="E1757" s="16" t="s">
        <v>52</v>
      </c>
      <c r="F1757" s="13" t="s">
        <v>2643</v>
      </c>
      <c r="G1757" s="13" t="s">
        <v>3941</v>
      </c>
      <c r="H1757" s="13" t="s">
        <v>3935</v>
      </c>
      <c r="I1757" s="13" t="s">
        <v>63</v>
      </c>
      <c r="J1757" s="17" t="s">
        <v>71</v>
      </c>
      <c r="K1757" s="17" t="s">
        <v>58</v>
      </c>
      <c r="L1757" s="18" t="s">
        <v>52</v>
      </c>
      <c r="M1757" s="19">
        <v>47.0</v>
      </c>
      <c r="N1757" s="19">
        <v>31.0</v>
      </c>
    </row>
    <row r="1758">
      <c r="A1758" s="12">
        <v>1756.0</v>
      </c>
      <c r="B1758" s="13" t="s">
        <v>3580</v>
      </c>
      <c r="C1758" s="14">
        <v>16.0</v>
      </c>
      <c r="D1758" s="15" t="s">
        <v>3912</v>
      </c>
      <c r="E1758" s="16" t="s">
        <v>52</v>
      </c>
      <c r="F1758" s="13" t="s">
        <v>3679</v>
      </c>
      <c r="G1758" s="13" t="s">
        <v>3680</v>
      </c>
      <c r="H1758" s="13" t="s">
        <v>3942</v>
      </c>
      <c r="I1758" s="13" t="s">
        <v>63</v>
      </c>
      <c r="J1758" s="17" t="s">
        <v>71</v>
      </c>
      <c r="K1758" s="17" t="s">
        <v>58</v>
      </c>
      <c r="L1758" s="18" t="s">
        <v>52</v>
      </c>
      <c r="M1758" s="19">
        <v>47.0</v>
      </c>
      <c r="N1758" s="19">
        <v>31.0</v>
      </c>
    </row>
    <row r="1759">
      <c r="A1759" s="12">
        <v>1757.0</v>
      </c>
      <c r="B1759" s="13" t="s">
        <v>3580</v>
      </c>
      <c r="C1759" s="14">
        <v>17.0</v>
      </c>
      <c r="D1759" s="15" t="s">
        <v>3912</v>
      </c>
      <c r="E1759" s="16" t="s">
        <v>52</v>
      </c>
      <c r="F1759" s="13" t="s">
        <v>1716</v>
      </c>
      <c r="G1759" s="13" t="s">
        <v>1717</v>
      </c>
      <c r="H1759" s="13" t="s">
        <v>3943</v>
      </c>
      <c r="I1759" s="13" t="s">
        <v>63</v>
      </c>
      <c r="J1759" s="17" t="s">
        <v>71</v>
      </c>
      <c r="K1759" s="17" t="s">
        <v>58</v>
      </c>
      <c r="L1759" s="18" t="s">
        <v>52</v>
      </c>
      <c r="M1759" s="19">
        <v>47.0</v>
      </c>
      <c r="N1759" s="19">
        <v>31.0</v>
      </c>
    </row>
    <row r="1760">
      <c r="A1760" s="12">
        <v>1758.0</v>
      </c>
      <c r="B1760" s="13" t="s">
        <v>3580</v>
      </c>
      <c r="C1760" s="14">
        <v>18.0</v>
      </c>
      <c r="D1760" s="15" t="s">
        <v>3915</v>
      </c>
      <c r="E1760" s="16" t="s">
        <v>52</v>
      </c>
      <c r="F1760" s="13" t="s">
        <v>3586</v>
      </c>
      <c r="G1760" s="13" t="s">
        <v>61</v>
      </c>
      <c r="H1760" s="13" t="s">
        <v>3944</v>
      </c>
      <c r="I1760" s="13" t="s">
        <v>63</v>
      </c>
      <c r="J1760" s="17" t="s">
        <v>71</v>
      </c>
      <c r="K1760" s="17" t="s">
        <v>58</v>
      </c>
      <c r="L1760" s="18" t="s">
        <v>52</v>
      </c>
      <c r="M1760" s="19">
        <v>47.0</v>
      </c>
      <c r="N1760" s="19">
        <v>31.0</v>
      </c>
    </row>
    <row r="1761">
      <c r="A1761" s="12">
        <v>1759.0</v>
      </c>
      <c r="B1761" s="13" t="s">
        <v>3580</v>
      </c>
      <c r="C1761" s="14">
        <v>19.0</v>
      </c>
      <c r="D1761" s="15" t="s">
        <v>3915</v>
      </c>
      <c r="E1761" s="16" t="s">
        <v>52</v>
      </c>
      <c r="F1761" s="13" t="s">
        <v>2957</v>
      </c>
      <c r="G1761" s="13" t="s">
        <v>61</v>
      </c>
      <c r="H1761" s="13" t="s">
        <v>3652</v>
      </c>
      <c r="I1761" s="13" t="s">
        <v>63</v>
      </c>
      <c r="J1761" s="17" t="s">
        <v>71</v>
      </c>
      <c r="K1761" s="17" t="s">
        <v>58</v>
      </c>
      <c r="L1761" s="18" t="s">
        <v>52</v>
      </c>
      <c r="M1761" s="19">
        <v>47.0</v>
      </c>
      <c r="N1761" s="19">
        <v>31.0</v>
      </c>
    </row>
    <row r="1762">
      <c r="A1762" s="12">
        <v>1760.0</v>
      </c>
      <c r="B1762" s="13" t="s">
        <v>3580</v>
      </c>
      <c r="C1762" s="14">
        <v>20.0</v>
      </c>
      <c r="D1762" s="15" t="s">
        <v>3915</v>
      </c>
      <c r="E1762" s="16" t="s">
        <v>52</v>
      </c>
      <c r="F1762" s="13" t="s">
        <v>3764</v>
      </c>
      <c r="G1762" s="13" t="s">
        <v>61</v>
      </c>
      <c r="H1762" s="13" t="s">
        <v>3833</v>
      </c>
      <c r="I1762" s="13" t="s">
        <v>63</v>
      </c>
      <c r="J1762" s="17" t="s">
        <v>71</v>
      </c>
      <c r="K1762" s="17" t="s">
        <v>58</v>
      </c>
      <c r="L1762" s="18" t="s">
        <v>52</v>
      </c>
      <c r="M1762" s="19">
        <v>47.0</v>
      </c>
      <c r="N1762" s="19">
        <v>31.0</v>
      </c>
    </row>
    <row r="1763">
      <c r="A1763" s="12">
        <v>1761.0</v>
      </c>
      <c r="B1763" s="13" t="s">
        <v>3580</v>
      </c>
      <c r="C1763" s="14">
        <v>21.0</v>
      </c>
      <c r="D1763" s="15" t="s">
        <v>3915</v>
      </c>
      <c r="E1763" s="16" t="s">
        <v>52</v>
      </c>
      <c r="F1763" s="13" t="s">
        <v>3554</v>
      </c>
      <c r="G1763" s="13" t="s">
        <v>61</v>
      </c>
      <c r="H1763" s="13" t="s">
        <v>3945</v>
      </c>
      <c r="I1763" s="13" t="s">
        <v>63</v>
      </c>
      <c r="J1763" s="17" t="s">
        <v>71</v>
      </c>
      <c r="K1763" s="17" t="s">
        <v>58</v>
      </c>
      <c r="L1763" s="18" t="s">
        <v>52</v>
      </c>
      <c r="M1763" s="19">
        <v>47.0</v>
      </c>
      <c r="N1763" s="19">
        <v>31.0</v>
      </c>
    </row>
    <row r="1764">
      <c r="A1764" s="12">
        <v>1762.0</v>
      </c>
      <c r="B1764" s="13" t="s">
        <v>3580</v>
      </c>
      <c r="C1764" s="14">
        <v>22.0</v>
      </c>
      <c r="D1764" s="15" t="s">
        <v>3915</v>
      </c>
      <c r="E1764" s="16" t="s">
        <v>52</v>
      </c>
      <c r="F1764" s="13" t="s">
        <v>3590</v>
      </c>
      <c r="G1764" s="13" t="s">
        <v>61</v>
      </c>
      <c r="H1764" s="13" t="s">
        <v>3591</v>
      </c>
      <c r="I1764" s="13" t="s">
        <v>63</v>
      </c>
      <c r="J1764" s="17" t="s">
        <v>71</v>
      </c>
      <c r="K1764" s="17" t="s">
        <v>58</v>
      </c>
      <c r="L1764" s="18" t="s">
        <v>52</v>
      </c>
      <c r="M1764" s="19">
        <v>47.0</v>
      </c>
      <c r="N1764" s="19">
        <v>31.0</v>
      </c>
    </row>
    <row r="1765">
      <c r="A1765" s="12">
        <v>1763.0</v>
      </c>
      <c r="B1765" s="13" t="s">
        <v>3580</v>
      </c>
      <c r="C1765" s="14">
        <v>23.0</v>
      </c>
      <c r="D1765" s="15" t="s">
        <v>3915</v>
      </c>
      <c r="E1765" s="16" t="s">
        <v>52</v>
      </c>
      <c r="F1765" s="13" t="s">
        <v>2902</v>
      </c>
      <c r="G1765" s="13" t="s">
        <v>3588</v>
      </c>
      <c r="H1765" s="13" t="s">
        <v>3589</v>
      </c>
      <c r="I1765" s="13" t="s">
        <v>63</v>
      </c>
      <c r="J1765" s="17" t="s">
        <v>71</v>
      </c>
      <c r="K1765" s="17" t="s">
        <v>58</v>
      </c>
      <c r="L1765" s="18" t="s">
        <v>52</v>
      </c>
      <c r="M1765" s="19">
        <v>47.0</v>
      </c>
      <c r="N1765" s="19">
        <v>31.0</v>
      </c>
    </row>
    <row r="1766">
      <c r="A1766" s="12">
        <v>1764.0</v>
      </c>
      <c r="B1766" s="13" t="s">
        <v>3580</v>
      </c>
      <c r="C1766" s="14">
        <v>24.0</v>
      </c>
      <c r="D1766" s="15" t="s">
        <v>3915</v>
      </c>
      <c r="E1766" s="16" t="s">
        <v>52</v>
      </c>
      <c r="F1766" s="13" t="s">
        <v>919</v>
      </c>
      <c r="G1766" s="13" t="s">
        <v>3584</v>
      </c>
      <c r="H1766" s="13" t="s">
        <v>3585</v>
      </c>
      <c r="I1766" s="13" t="s">
        <v>63</v>
      </c>
      <c r="J1766" s="17" t="s">
        <v>71</v>
      </c>
      <c r="K1766" s="17" t="s">
        <v>58</v>
      </c>
      <c r="L1766" s="18" t="s">
        <v>52</v>
      </c>
      <c r="M1766" s="19">
        <v>47.0</v>
      </c>
      <c r="N1766" s="19">
        <v>31.0</v>
      </c>
    </row>
    <row r="1767">
      <c r="A1767" s="12">
        <v>1765.0</v>
      </c>
      <c r="B1767" s="13" t="s">
        <v>3580</v>
      </c>
      <c r="C1767" s="14">
        <v>25.0</v>
      </c>
      <c r="D1767" s="15" t="s">
        <v>3915</v>
      </c>
      <c r="E1767" s="16" t="s">
        <v>52</v>
      </c>
      <c r="F1767" s="13" t="s">
        <v>3596</v>
      </c>
      <c r="G1767" s="13" t="s">
        <v>3750</v>
      </c>
      <c r="H1767" s="13" t="s">
        <v>3752</v>
      </c>
      <c r="I1767" s="13" t="s">
        <v>63</v>
      </c>
      <c r="J1767" s="17" t="s">
        <v>71</v>
      </c>
      <c r="K1767" s="17" t="s">
        <v>58</v>
      </c>
      <c r="L1767" s="18" t="s">
        <v>52</v>
      </c>
      <c r="M1767" s="19">
        <v>47.0</v>
      </c>
      <c r="N1767" s="19">
        <v>31.0</v>
      </c>
    </row>
    <row r="1768">
      <c r="A1768" s="12">
        <v>1766.0</v>
      </c>
      <c r="B1768" s="13" t="s">
        <v>3580</v>
      </c>
      <c r="C1768" s="14">
        <v>26.0</v>
      </c>
      <c r="D1768" s="15" t="s">
        <v>3915</v>
      </c>
      <c r="E1768" s="16" t="s">
        <v>52</v>
      </c>
      <c r="F1768" s="13" t="s">
        <v>2947</v>
      </c>
      <c r="G1768" s="13" t="s">
        <v>3827</v>
      </c>
      <c r="H1768" s="13" t="s">
        <v>3828</v>
      </c>
      <c r="I1768" s="13" t="s">
        <v>63</v>
      </c>
      <c r="J1768" s="17" t="s">
        <v>71</v>
      </c>
      <c r="K1768" s="17" t="s">
        <v>58</v>
      </c>
      <c r="L1768" s="18" t="s">
        <v>52</v>
      </c>
      <c r="M1768" s="19">
        <v>47.0</v>
      </c>
      <c r="N1768" s="19">
        <v>31.0</v>
      </c>
    </row>
    <row r="1769">
      <c r="A1769" s="12">
        <v>1767.0</v>
      </c>
      <c r="B1769" s="13" t="s">
        <v>3580</v>
      </c>
      <c r="C1769" s="14">
        <v>27.0</v>
      </c>
      <c r="D1769" s="15" t="s">
        <v>3915</v>
      </c>
      <c r="E1769" s="16" t="s">
        <v>52</v>
      </c>
      <c r="F1769" s="13" t="s">
        <v>3618</v>
      </c>
      <c r="G1769" s="13" t="s">
        <v>61</v>
      </c>
      <c r="H1769" s="13" t="s">
        <v>3784</v>
      </c>
      <c r="I1769" s="13" t="s">
        <v>63</v>
      </c>
      <c r="J1769" s="17" t="s">
        <v>71</v>
      </c>
      <c r="K1769" s="17" t="s">
        <v>58</v>
      </c>
      <c r="L1769" s="18" t="s">
        <v>52</v>
      </c>
      <c r="M1769" s="19">
        <v>47.0</v>
      </c>
      <c r="N1769" s="19">
        <v>31.0</v>
      </c>
    </row>
    <row r="1770">
      <c r="A1770" s="12">
        <v>1768.0</v>
      </c>
      <c r="B1770" s="13" t="s">
        <v>3580</v>
      </c>
      <c r="C1770" s="14">
        <v>28.0</v>
      </c>
      <c r="D1770" s="15" t="s">
        <v>3915</v>
      </c>
      <c r="E1770" s="16" t="s">
        <v>52</v>
      </c>
      <c r="F1770" s="13" t="s">
        <v>3594</v>
      </c>
      <c r="G1770" s="13" t="s">
        <v>61</v>
      </c>
      <c r="H1770" s="13" t="s">
        <v>3595</v>
      </c>
      <c r="I1770" s="13" t="s">
        <v>63</v>
      </c>
      <c r="J1770" s="17" t="s">
        <v>71</v>
      </c>
      <c r="K1770" s="17" t="s">
        <v>58</v>
      </c>
      <c r="L1770" s="18" t="s">
        <v>52</v>
      </c>
      <c r="M1770" s="19">
        <v>47.0</v>
      </c>
      <c r="N1770" s="19">
        <v>31.0</v>
      </c>
    </row>
    <row r="1771">
      <c r="A1771" s="12">
        <v>1769.0</v>
      </c>
      <c r="B1771" s="13" t="s">
        <v>3580</v>
      </c>
      <c r="C1771" s="14">
        <v>29.0</v>
      </c>
      <c r="D1771" s="15" t="s">
        <v>3915</v>
      </c>
      <c r="E1771" s="16" t="s">
        <v>52</v>
      </c>
      <c r="F1771" s="13" t="s">
        <v>3568</v>
      </c>
      <c r="G1771" s="13" t="s">
        <v>3946</v>
      </c>
      <c r="H1771" s="13" t="s">
        <v>3947</v>
      </c>
      <c r="I1771" s="13" t="s">
        <v>63</v>
      </c>
      <c r="J1771" s="17" t="s">
        <v>71</v>
      </c>
      <c r="K1771" s="17" t="s">
        <v>58</v>
      </c>
      <c r="L1771" s="18" t="s">
        <v>52</v>
      </c>
      <c r="M1771" s="19">
        <v>47.0</v>
      </c>
      <c r="N1771" s="19">
        <v>31.0</v>
      </c>
    </row>
    <row r="1772">
      <c r="A1772" s="12">
        <v>1770.0</v>
      </c>
      <c r="B1772" s="13" t="s">
        <v>3580</v>
      </c>
      <c r="C1772" s="14">
        <v>30.0</v>
      </c>
      <c r="D1772" s="15" t="s">
        <v>3915</v>
      </c>
      <c r="E1772" s="16" t="s">
        <v>52</v>
      </c>
      <c r="F1772" s="13" t="s">
        <v>3789</v>
      </c>
      <c r="G1772" s="13" t="s">
        <v>3948</v>
      </c>
      <c r="H1772" s="13" t="s">
        <v>3949</v>
      </c>
      <c r="I1772" s="13" t="s">
        <v>63</v>
      </c>
      <c r="J1772" s="17" t="s">
        <v>71</v>
      </c>
      <c r="K1772" s="17" t="s">
        <v>58</v>
      </c>
      <c r="L1772" s="18" t="s">
        <v>52</v>
      </c>
      <c r="M1772" s="19">
        <v>47.0</v>
      </c>
      <c r="N1772" s="19">
        <v>31.0</v>
      </c>
    </row>
    <row r="1773">
      <c r="A1773" s="12">
        <v>1771.0</v>
      </c>
      <c r="B1773" s="13" t="s">
        <v>3574</v>
      </c>
      <c r="C1773" s="14">
        <v>1.0</v>
      </c>
      <c r="D1773" s="15" t="s">
        <v>3951</v>
      </c>
      <c r="E1773" s="16" t="s">
        <v>52</v>
      </c>
      <c r="F1773" s="13" t="s">
        <v>1342</v>
      </c>
      <c r="G1773" s="13" t="s">
        <v>2744</v>
      </c>
      <c r="H1773" s="13" t="s">
        <v>3952</v>
      </c>
      <c r="I1773" s="13" t="s">
        <v>56</v>
      </c>
      <c r="J1773" s="17" t="s">
        <v>57</v>
      </c>
      <c r="K1773" s="17" t="s">
        <v>58</v>
      </c>
      <c r="L1773" s="18" t="s">
        <v>52</v>
      </c>
      <c r="M1773" s="19">
        <v>48.0</v>
      </c>
      <c r="N1773" s="19">
        <v>10.0</v>
      </c>
    </row>
    <row r="1774">
      <c r="A1774" s="12">
        <v>1772.0</v>
      </c>
      <c r="B1774" s="13" t="s">
        <v>3574</v>
      </c>
      <c r="C1774" s="14">
        <v>2.0</v>
      </c>
      <c r="D1774" s="15" t="s">
        <v>3953</v>
      </c>
      <c r="E1774" s="16" t="s">
        <v>52</v>
      </c>
      <c r="F1774" s="13" t="s">
        <v>3894</v>
      </c>
      <c r="G1774" s="13" t="s">
        <v>61</v>
      </c>
      <c r="H1774" s="13" t="s">
        <v>3954</v>
      </c>
      <c r="I1774" s="13" t="s">
        <v>56</v>
      </c>
      <c r="J1774" s="17" t="s">
        <v>57</v>
      </c>
      <c r="K1774" s="17" t="s">
        <v>58</v>
      </c>
      <c r="L1774" s="18" t="s">
        <v>52</v>
      </c>
      <c r="M1774" s="19">
        <v>48.0</v>
      </c>
      <c r="N1774" s="19">
        <v>10.0</v>
      </c>
    </row>
    <row r="1775">
      <c r="A1775" s="12">
        <v>1773.0</v>
      </c>
      <c r="B1775" s="13" t="s">
        <v>3574</v>
      </c>
      <c r="C1775" s="14">
        <v>3.0</v>
      </c>
      <c r="D1775" s="15" t="s">
        <v>3953</v>
      </c>
      <c r="E1775" s="16" t="s">
        <v>52</v>
      </c>
      <c r="F1775" s="13" t="s">
        <v>2919</v>
      </c>
      <c r="G1775" s="13" t="s">
        <v>3955</v>
      </c>
      <c r="H1775" s="13" t="s">
        <v>3956</v>
      </c>
      <c r="I1775" s="13" t="s">
        <v>63</v>
      </c>
      <c r="J1775" s="17" t="s">
        <v>57</v>
      </c>
      <c r="K1775" s="17" t="s">
        <v>58</v>
      </c>
      <c r="L1775" s="18" t="s">
        <v>52</v>
      </c>
      <c r="M1775" s="19">
        <v>48.0</v>
      </c>
      <c r="N1775" s="19">
        <v>11.0</v>
      </c>
    </row>
    <row r="1776">
      <c r="A1776" s="12">
        <v>1774.0</v>
      </c>
      <c r="B1776" s="13" t="s">
        <v>3574</v>
      </c>
      <c r="C1776" s="14">
        <v>4.0</v>
      </c>
      <c r="D1776" s="15" t="s">
        <v>3951</v>
      </c>
      <c r="E1776" s="16" t="s">
        <v>52</v>
      </c>
      <c r="F1776" s="13" t="s">
        <v>3830</v>
      </c>
      <c r="G1776" s="13" t="s">
        <v>3957</v>
      </c>
      <c r="H1776" s="13" t="s">
        <v>3958</v>
      </c>
      <c r="I1776" s="13" t="s">
        <v>56</v>
      </c>
      <c r="J1776" s="17" t="s">
        <v>67</v>
      </c>
      <c r="K1776" s="17" t="s">
        <v>58</v>
      </c>
      <c r="L1776" s="18" t="s">
        <v>52</v>
      </c>
      <c r="M1776" s="19">
        <v>48.0</v>
      </c>
      <c r="N1776" s="19">
        <v>20.0</v>
      </c>
    </row>
    <row r="1777">
      <c r="A1777" s="12">
        <v>1775.0</v>
      </c>
      <c r="B1777" s="13" t="s">
        <v>3574</v>
      </c>
      <c r="C1777" s="14">
        <v>5.0</v>
      </c>
      <c r="D1777" s="15" t="s">
        <v>3951</v>
      </c>
      <c r="E1777" s="16" t="s">
        <v>52</v>
      </c>
      <c r="F1777" s="13" t="s">
        <v>2902</v>
      </c>
      <c r="G1777" s="13" t="s">
        <v>3588</v>
      </c>
      <c r="H1777" s="13" t="s">
        <v>3959</v>
      </c>
      <c r="I1777" s="13" t="s">
        <v>56</v>
      </c>
      <c r="J1777" s="17" t="s">
        <v>67</v>
      </c>
      <c r="K1777" s="17" t="s">
        <v>58</v>
      </c>
      <c r="L1777" s="18" t="s">
        <v>52</v>
      </c>
      <c r="M1777" s="19">
        <v>48.0</v>
      </c>
      <c r="N1777" s="19">
        <v>20.0</v>
      </c>
    </row>
    <row r="1778">
      <c r="A1778" s="12">
        <v>1776.0</v>
      </c>
      <c r="B1778" s="13" t="s">
        <v>3574</v>
      </c>
      <c r="C1778" s="14">
        <v>6.0</v>
      </c>
      <c r="D1778" s="15" t="s">
        <v>3951</v>
      </c>
      <c r="E1778" s="16" t="s">
        <v>52</v>
      </c>
      <c r="F1778" s="13" t="s">
        <v>2947</v>
      </c>
      <c r="G1778" s="13" t="s">
        <v>3960</v>
      </c>
      <c r="H1778" s="13" t="s">
        <v>3958</v>
      </c>
      <c r="I1778" s="13" t="s">
        <v>56</v>
      </c>
      <c r="J1778" s="17" t="s">
        <v>67</v>
      </c>
      <c r="K1778" s="17" t="s">
        <v>58</v>
      </c>
      <c r="L1778" s="18" t="s">
        <v>52</v>
      </c>
      <c r="M1778" s="19">
        <v>48.0</v>
      </c>
      <c r="N1778" s="19">
        <v>20.0</v>
      </c>
    </row>
    <row r="1779">
      <c r="A1779" s="12">
        <v>1777.0</v>
      </c>
      <c r="B1779" s="13" t="s">
        <v>3574</v>
      </c>
      <c r="C1779" s="14">
        <v>7.0</v>
      </c>
      <c r="D1779" s="15" t="s">
        <v>3951</v>
      </c>
      <c r="E1779" s="16" t="s">
        <v>52</v>
      </c>
      <c r="F1779" s="13" t="s">
        <v>3594</v>
      </c>
      <c r="G1779" s="13" t="s">
        <v>3961</v>
      </c>
      <c r="H1779" s="13" t="s">
        <v>3958</v>
      </c>
      <c r="I1779" s="13" t="s">
        <v>56</v>
      </c>
      <c r="J1779" s="17" t="s">
        <v>67</v>
      </c>
      <c r="K1779" s="17" t="s">
        <v>58</v>
      </c>
      <c r="L1779" s="18" t="s">
        <v>52</v>
      </c>
      <c r="M1779" s="19">
        <v>48.0</v>
      </c>
      <c r="N1779" s="19">
        <v>20.0</v>
      </c>
    </row>
    <row r="1780">
      <c r="A1780" s="12">
        <v>1778.0</v>
      </c>
      <c r="B1780" s="13" t="s">
        <v>3574</v>
      </c>
      <c r="C1780" s="14">
        <v>8.0</v>
      </c>
      <c r="D1780" s="15" t="s">
        <v>3953</v>
      </c>
      <c r="E1780" s="16" t="s">
        <v>52</v>
      </c>
      <c r="F1780" s="13" t="s">
        <v>3646</v>
      </c>
      <c r="G1780" s="13" t="s">
        <v>3962</v>
      </c>
      <c r="H1780" s="13" t="s">
        <v>3963</v>
      </c>
      <c r="I1780" s="13" t="s">
        <v>56</v>
      </c>
      <c r="J1780" s="17" t="s">
        <v>67</v>
      </c>
      <c r="K1780" s="17" t="s">
        <v>58</v>
      </c>
      <c r="L1780" s="18" t="s">
        <v>52</v>
      </c>
      <c r="M1780" s="19">
        <v>48.0</v>
      </c>
      <c r="N1780" s="19">
        <v>20.0</v>
      </c>
    </row>
    <row r="1781">
      <c r="A1781" s="12">
        <v>1779.0</v>
      </c>
      <c r="B1781" s="13" t="s">
        <v>3574</v>
      </c>
      <c r="C1781" s="14">
        <v>9.0</v>
      </c>
      <c r="D1781" s="15" t="s">
        <v>3953</v>
      </c>
      <c r="E1781" s="16" t="s">
        <v>52</v>
      </c>
      <c r="F1781" s="13" t="s">
        <v>3565</v>
      </c>
      <c r="G1781" s="13" t="s">
        <v>3566</v>
      </c>
      <c r="H1781" s="13" t="s">
        <v>3963</v>
      </c>
      <c r="I1781" s="13" t="s">
        <v>56</v>
      </c>
      <c r="J1781" s="17" t="s">
        <v>67</v>
      </c>
      <c r="K1781" s="17" t="s">
        <v>58</v>
      </c>
      <c r="L1781" s="18" t="s">
        <v>52</v>
      </c>
      <c r="M1781" s="19">
        <v>48.0</v>
      </c>
      <c r="N1781" s="19">
        <v>20.0</v>
      </c>
    </row>
    <row r="1782">
      <c r="A1782" s="12">
        <v>1780.0</v>
      </c>
      <c r="B1782" s="13" t="s">
        <v>3574</v>
      </c>
      <c r="C1782" s="14">
        <v>10.0</v>
      </c>
      <c r="D1782" s="15" t="s">
        <v>3953</v>
      </c>
      <c r="E1782" s="16" t="s">
        <v>52</v>
      </c>
      <c r="F1782" s="13" t="s">
        <v>3554</v>
      </c>
      <c r="G1782" s="13" t="s">
        <v>3964</v>
      </c>
      <c r="H1782" s="13" t="s">
        <v>3963</v>
      </c>
      <c r="I1782" s="13" t="s">
        <v>56</v>
      </c>
      <c r="J1782" s="17" t="s">
        <v>67</v>
      </c>
      <c r="K1782" s="17" t="s">
        <v>58</v>
      </c>
      <c r="L1782" s="18" t="s">
        <v>52</v>
      </c>
      <c r="M1782" s="19">
        <v>48.0</v>
      </c>
      <c r="N1782" s="19">
        <v>20.0</v>
      </c>
    </row>
    <row r="1783">
      <c r="A1783" s="12">
        <v>1781.0</v>
      </c>
      <c r="B1783" s="13" t="s">
        <v>3574</v>
      </c>
      <c r="C1783" s="14">
        <v>11.0</v>
      </c>
      <c r="D1783" s="15" t="s">
        <v>3953</v>
      </c>
      <c r="E1783" s="16" t="s">
        <v>52</v>
      </c>
      <c r="F1783" s="13" t="s">
        <v>3558</v>
      </c>
      <c r="G1783" s="13" t="s">
        <v>3965</v>
      </c>
      <c r="H1783" s="13" t="s">
        <v>3963</v>
      </c>
      <c r="I1783" s="13" t="s">
        <v>56</v>
      </c>
      <c r="J1783" s="17" t="s">
        <v>67</v>
      </c>
      <c r="K1783" s="17" t="s">
        <v>58</v>
      </c>
      <c r="L1783" s="18" t="s">
        <v>52</v>
      </c>
      <c r="M1783" s="19">
        <v>48.0</v>
      </c>
      <c r="N1783" s="19">
        <v>20.0</v>
      </c>
    </row>
    <row r="1784">
      <c r="A1784" s="12">
        <v>1782.0</v>
      </c>
      <c r="B1784" s="13" t="s">
        <v>3574</v>
      </c>
      <c r="C1784" s="14">
        <v>12.0</v>
      </c>
      <c r="D1784" s="15" t="s">
        <v>3953</v>
      </c>
      <c r="E1784" s="16" t="s">
        <v>52</v>
      </c>
      <c r="F1784" s="13" t="s">
        <v>721</v>
      </c>
      <c r="G1784" s="13" t="s">
        <v>917</v>
      </c>
      <c r="H1784" s="13" t="s">
        <v>3966</v>
      </c>
      <c r="I1784" s="13" t="s">
        <v>56</v>
      </c>
      <c r="J1784" s="17" t="s">
        <v>67</v>
      </c>
      <c r="K1784" s="17" t="s">
        <v>58</v>
      </c>
      <c r="L1784" s="18" t="s">
        <v>52</v>
      </c>
      <c r="M1784" s="19">
        <v>48.0</v>
      </c>
      <c r="N1784" s="19">
        <v>20.0</v>
      </c>
    </row>
    <row r="1785">
      <c r="A1785" s="12">
        <v>1783.0</v>
      </c>
      <c r="B1785" s="13" t="s">
        <v>3574</v>
      </c>
      <c r="C1785" s="14">
        <v>13.0</v>
      </c>
      <c r="D1785" s="15" t="s">
        <v>3953</v>
      </c>
      <c r="E1785" s="16" t="s">
        <v>52</v>
      </c>
      <c r="F1785" s="13" t="s">
        <v>1781</v>
      </c>
      <c r="G1785" s="13" t="s">
        <v>3967</v>
      </c>
      <c r="H1785" s="13" t="s">
        <v>3968</v>
      </c>
      <c r="I1785" s="13" t="s">
        <v>56</v>
      </c>
      <c r="J1785" s="17" t="s">
        <v>71</v>
      </c>
      <c r="K1785" s="17" t="s">
        <v>58</v>
      </c>
      <c r="L1785" s="18" t="s">
        <v>52</v>
      </c>
      <c r="M1785" s="19">
        <v>48.0</v>
      </c>
      <c r="N1785" s="19">
        <v>30.0</v>
      </c>
    </row>
    <row r="1786">
      <c r="A1786" s="12">
        <v>1784.0</v>
      </c>
      <c r="B1786" s="13" t="s">
        <v>3574</v>
      </c>
      <c r="C1786" s="14">
        <v>14.0</v>
      </c>
      <c r="D1786" s="15" t="s">
        <v>3969</v>
      </c>
      <c r="E1786" s="16" t="s">
        <v>52</v>
      </c>
      <c r="F1786" s="13" t="s">
        <v>3568</v>
      </c>
      <c r="G1786" s="13" t="s">
        <v>3970</v>
      </c>
      <c r="H1786" s="13" t="s">
        <v>3971</v>
      </c>
      <c r="I1786" s="13" t="s">
        <v>63</v>
      </c>
      <c r="J1786" s="17" t="s">
        <v>71</v>
      </c>
      <c r="K1786" s="17" t="s">
        <v>58</v>
      </c>
      <c r="L1786" s="18" t="s">
        <v>52</v>
      </c>
      <c r="M1786" s="19">
        <v>48.0</v>
      </c>
      <c r="N1786" s="19">
        <v>31.0</v>
      </c>
    </row>
    <row r="1787">
      <c r="A1787" s="12">
        <v>1785.0</v>
      </c>
      <c r="B1787" s="13" t="s">
        <v>3574</v>
      </c>
      <c r="C1787" s="14">
        <v>15.0</v>
      </c>
      <c r="D1787" s="15" t="s">
        <v>3969</v>
      </c>
      <c r="E1787" s="16" t="s">
        <v>52</v>
      </c>
      <c r="F1787" s="13" t="s">
        <v>3679</v>
      </c>
      <c r="G1787" s="13" t="s">
        <v>3680</v>
      </c>
      <c r="H1787" s="13" t="s">
        <v>3972</v>
      </c>
      <c r="I1787" s="13" t="s">
        <v>63</v>
      </c>
      <c r="J1787" s="17" t="s">
        <v>71</v>
      </c>
      <c r="K1787" s="17" t="s">
        <v>58</v>
      </c>
      <c r="L1787" s="18" t="s">
        <v>52</v>
      </c>
      <c r="M1787" s="19">
        <v>48.0</v>
      </c>
      <c r="N1787" s="19">
        <v>31.0</v>
      </c>
    </row>
    <row r="1788">
      <c r="A1788" s="12">
        <v>1786.0</v>
      </c>
      <c r="B1788" s="13" t="s">
        <v>3574</v>
      </c>
      <c r="C1788" s="14">
        <v>16.0</v>
      </c>
      <c r="D1788" s="15" t="s">
        <v>3953</v>
      </c>
      <c r="E1788" s="16" t="s">
        <v>52</v>
      </c>
      <c r="F1788" s="13" t="s">
        <v>2713</v>
      </c>
      <c r="G1788" s="13" t="s">
        <v>2714</v>
      </c>
      <c r="H1788" s="13" t="s">
        <v>3973</v>
      </c>
      <c r="I1788" s="13" t="s">
        <v>63</v>
      </c>
      <c r="J1788" s="17" t="s">
        <v>71</v>
      </c>
      <c r="K1788" s="17" t="s">
        <v>58</v>
      </c>
      <c r="L1788" s="18" t="s">
        <v>52</v>
      </c>
      <c r="M1788" s="19">
        <v>48.0</v>
      </c>
      <c r="N1788" s="19">
        <v>31.0</v>
      </c>
    </row>
    <row r="1789">
      <c r="A1789" s="12">
        <v>1787.0</v>
      </c>
      <c r="B1789" s="13" t="s">
        <v>3574</v>
      </c>
      <c r="C1789" s="14">
        <v>17.0</v>
      </c>
      <c r="D1789" s="15" t="s">
        <v>3953</v>
      </c>
      <c r="E1789" s="16" t="s">
        <v>52</v>
      </c>
      <c r="F1789" s="13" t="s">
        <v>2016</v>
      </c>
      <c r="G1789" s="13" t="s">
        <v>3974</v>
      </c>
      <c r="H1789" s="13" t="s">
        <v>3975</v>
      </c>
      <c r="I1789" s="13" t="s">
        <v>63</v>
      </c>
      <c r="J1789" s="17" t="s">
        <v>71</v>
      </c>
      <c r="K1789" s="17" t="s">
        <v>58</v>
      </c>
      <c r="L1789" s="18" t="s">
        <v>52</v>
      </c>
      <c r="M1789" s="19">
        <v>48.0</v>
      </c>
      <c r="N1789" s="19">
        <v>31.0</v>
      </c>
    </row>
    <row r="1790">
      <c r="A1790" s="12">
        <v>1788.0</v>
      </c>
      <c r="B1790" s="13" t="s">
        <v>3574</v>
      </c>
      <c r="C1790" s="14">
        <v>18.0</v>
      </c>
      <c r="D1790" s="15" t="s">
        <v>3953</v>
      </c>
      <c r="E1790" s="16" t="s">
        <v>52</v>
      </c>
      <c r="F1790" s="13" t="s">
        <v>2481</v>
      </c>
      <c r="G1790" s="13" t="s">
        <v>3976</v>
      </c>
      <c r="H1790" s="13" t="s">
        <v>3977</v>
      </c>
      <c r="I1790" s="13" t="s">
        <v>63</v>
      </c>
      <c r="J1790" s="17" t="s">
        <v>71</v>
      </c>
      <c r="K1790" s="17" t="s">
        <v>58</v>
      </c>
      <c r="L1790" s="18" t="s">
        <v>52</v>
      </c>
      <c r="M1790" s="19">
        <v>48.0</v>
      </c>
      <c r="N1790" s="19">
        <v>31.0</v>
      </c>
    </row>
    <row r="1791">
      <c r="A1791" s="12">
        <v>1789.0</v>
      </c>
      <c r="B1791" s="13" t="s">
        <v>3574</v>
      </c>
      <c r="C1791" s="14">
        <v>19.0</v>
      </c>
      <c r="D1791" s="15" t="s">
        <v>3953</v>
      </c>
      <c r="E1791" s="16" t="s">
        <v>52</v>
      </c>
      <c r="F1791" s="13" t="s">
        <v>1881</v>
      </c>
      <c r="G1791" s="13" t="s">
        <v>61</v>
      </c>
      <c r="H1791" s="13" t="s">
        <v>3979</v>
      </c>
      <c r="I1791" s="13" t="s">
        <v>63</v>
      </c>
      <c r="J1791" s="17" t="s">
        <v>71</v>
      </c>
      <c r="K1791" s="17" t="s">
        <v>58</v>
      </c>
      <c r="L1791" s="18" t="s">
        <v>52</v>
      </c>
      <c r="M1791" s="19">
        <v>48.0</v>
      </c>
      <c r="N1791" s="19">
        <v>31.0</v>
      </c>
    </row>
    <row r="1792">
      <c r="A1792" s="12">
        <v>1790.0</v>
      </c>
      <c r="B1792" s="13" t="s">
        <v>3574</v>
      </c>
      <c r="C1792" s="14">
        <v>20.0</v>
      </c>
      <c r="D1792" s="15" t="s">
        <v>3953</v>
      </c>
      <c r="E1792" s="16" t="s">
        <v>52</v>
      </c>
      <c r="F1792" s="13" t="s">
        <v>1946</v>
      </c>
      <c r="G1792" s="13" t="s">
        <v>2582</v>
      </c>
      <c r="H1792" s="13" t="s">
        <v>3980</v>
      </c>
      <c r="I1792" s="13" t="s">
        <v>63</v>
      </c>
      <c r="J1792" s="17" t="s">
        <v>71</v>
      </c>
      <c r="K1792" s="17" t="s">
        <v>58</v>
      </c>
      <c r="L1792" s="18" t="s">
        <v>52</v>
      </c>
      <c r="M1792" s="19">
        <v>48.0</v>
      </c>
      <c r="N1792" s="19">
        <v>31.0</v>
      </c>
    </row>
    <row r="1793">
      <c r="A1793" s="12">
        <v>1791.0</v>
      </c>
      <c r="B1793" s="13" t="s">
        <v>3574</v>
      </c>
      <c r="C1793" s="14">
        <v>21.0</v>
      </c>
      <c r="D1793" s="15" t="s">
        <v>3953</v>
      </c>
      <c r="E1793" s="16" t="s">
        <v>52</v>
      </c>
      <c r="F1793" s="13" t="s">
        <v>2747</v>
      </c>
      <c r="G1793" s="13" t="s">
        <v>3982</v>
      </c>
      <c r="H1793" s="13" t="s">
        <v>3983</v>
      </c>
      <c r="I1793" s="13" t="s">
        <v>63</v>
      </c>
      <c r="J1793" s="17" t="s">
        <v>71</v>
      </c>
      <c r="K1793" s="17" t="s">
        <v>58</v>
      </c>
      <c r="L1793" s="18" t="s">
        <v>52</v>
      </c>
      <c r="M1793" s="19">
        <v>48.0</v>
      </c>
      <c r="N1793" s="19">
        <v>31.0</v>
      </c>
    </row>
    <row r="1794">
      <c r="A1794" s="12">
        <v>1792.0</v>
      </c>
      <c r="B1794" s="13" t="s">
        <v>3574</v>
      </c>
      <c r="C1794" s="14">
        <v>22.0</v>
      </c>
      <c r="D1794" s="15" t="s">
        <v>3953</v>
      </c>
      <c r="E1794" s="16" t="s">
        <v>52</v>
      </c>
      <c r="F1794" s="13" t="s">
        <v>1803</v>
      </c>
      <c r="G1794" s="13" t="s">
        <v>61</v>
      </c>
      <c r="H1794" s="13" t="s">
        <v>1804</v>
      </c>
      <c r="I1794" s="13" t="s">
        <v>63</v>
      </c>
      <c r="J1794" s="17" t="s">
        <v>71</v>
      </c>
      <c r="K1794" s="17" t="s">
        <v>58</v>
      </c>
      <c r="L1794" s="18" t="s">
        <v>52</v>
      </c>
      <c r="M1794" s="19">
        <v>48.0</v>
      </c>
      <c r="N1794" s="19">
        <v>31.0</v>
      </c>
    </row>
    <row r="1795">
      <c r="A1795" s="12">
        <v>1793.0</v>
      </c>
      <c r="B1795" s="13" t="s">
        <v>3574</v>
      </c>
      <c r="C1795" s="14">
        <v>23.0</v>
      </c>
      <c r="D1795" s="15" t="s">
        <v>3953</v>
      </c>
      <c r="E1795" s="16" t="s">
        <v>52</v>
      </c>
      <c r="F1795" s="13" t="s">
        <v>3789</v>
      </c>
      <c r="G1795" s="13" t="s">
        <v>61</v>
      </c>
      <c r="H1795" s="13" t="s">
        <v>3985</v>
      </c>
      <c r="I1795" s="13" t="s">
        <v>63</v>
      </c>
      <c r="J1795" s="17" t="s">
        <v>71</v>
      </c>
      <c r="K1795" s="17" t="s">
        <v>58</v>
      </c>
      <c r="L1795" s="18" t="s">
        <v>52</v>
      </c>
      <c r="M1795" s="19">
        <v>48.0</v>
      </c>
      <c r="N1795" s="19">
        <v>31.0</v>
      </c>
    </row>
    <row r="1796">
      <c r="A1796" s="12">
        <v>1794.0</v>
      </c>
      <c r="B1796" s="13" t="s">
        <v>3574</v>
      </c>
      <c r="C1796" s="14">
        <v>24.0</v>
      </c>
      <c r="D1796" s="15" t="s">
        <v>3953</v>
      </c>
      <c r="E1796" s="16" t="s">
        <v>52</v>
      </c>
      <c r="F1796" s="13" t="s">
        <v>3598</v>
      </c>
      <c r="G1796" s="13" t="s">
        <v>3599</v>
      </c>
      <c r="H1796" s="13" t="s">
        <v>3986</v>
      </c>
      <c r="I1796" s="13" t="s">
        <v>63</v>
      </c>
      <c r="J1796" s="17" t="s">
        <v>71</v>
      </c>
      <c r="K1796" s="17" t="s">
        <v>58</v>
      </c>
      <c r="L1796" s="18" t="s">
        <v>52</v>
      </c>
      <c r="M1796" s="19">
        <v>48.0</v>
      </c>
      <c r="N1796" s="19">
        <v>31.0</v>
      </c>
    </row>
    <row r="1797">
      <c r="A1797" s="12">
        <v>1795.0</v>
      </c>
      <c r="B1797" s="13" t="s">
        <v>3574</v>
      </c>
      <c r="C1797" s="14">
        <v>25.0</v>
      </c>
      <c r="D1797" s="15" t="s">
        <v>3953</v>
      </c>
      <c r="E1797" s="16" t="s">
        <v>52</v>
      </c>
      <c r="F1797" s="13" t="s">
        <v>1319</v>
      </c>
      <c r="G1797" s="13" t="s">
        <v>3988</v>
      </c>
      <c r="H1797" s="13" t="s">
        <v>3989</v>
      </c>
      <c r="I1797" s="13" t="s">
        <v>63</v>
      </c>
      <c r="J1797" s="17" t="s">
        <v>71</v>
      </c>
      <c r="K1797" s="17" t="s">
        <v>58</v>
      </c>
      <c r="L1797" s="18" t="s">
        <v>52</v>
      </c>
      <c r="M1797" s="19">
        <v>48.0</v>
      </c>
      <c r="N1797" s="19">
        <v>31.0</v>
      </c>
    </row>
    <row r="1798">
      <c r="A1798" s="12">
        <v>1796.0</v>
      </c>
      <c r="B1798" s="13" t="s">
        <v>3574</v>
      </c>
      <c r="C1798" s="14">
        <v>26.0</v>
      </c>
      <c r="D1798" s="15" t="s">
        <v>3953</v>
      </c>
      <c r="E1798" s="16" t="s">
        <v>52</v>
      </c>
      <c r="F1798" s="13" t="s">
        <v>1805</v>
      </c>
      <c r="G1798" s="13" t="s">
        <v>3990</v>
      </c>
      <c r="H1798" s="13" t="s">
        <v>3991</v>
      </c>
      <c r="I1798" s="13" t="s">
        <v>63</v>
      </c>
      <c r="J1798" s="17" t="s">
        <v>71</v>
      </c>
      <c r="K1798" s="17" t="s">
        <v>58</v>
      </c>
      <c r="L1798" s="18" t="s">
        <v>52</v>
      </c>
      <c r="M1798" s="19">
        <v>48.0</v>
      </c>
      <c r="N1798" s="19">
        <v>31.0</v>
      </c>
    </row>
    <row r="1799">
      <c r="A1799" s="12">
        <v>1797.0</v>
      </c>
      <c r="B1799" s="13" t="s">
        <v>3574</v>
      </c>
      <c r="C1799" s="14">
        <v>27.0</v>
      </c>
      <c r="D1799" s="15" t="s">
        <v>3953</v>
      </c>
      <c r="E1799" s="16" t="s">
        <v>52</v>
      </c>
      <c r="F1799" s="13" t="s">
        <v>2727</v>
      </c>
      <c r="G1799" s="13" t="s">
        <v>3601</v>
      </c>
      <c r="H1799" s="13" t="s">
        <v>3993</v>
      </c>
      <c r="I1799" s="13" t="s">
        <v>63</v>
      </c>
      <c r="J1799" s="17" t="s">
        <v>71</v>
      </c>
      <c r="K1799" s="17" t="s">
        <v>58</v>
      </c>
      <c r="L1799" s="18" t="s">
        <v>52</v>
      </c>
      <c r="M1799" s="19">
        <v>48.0</v>
      </c>
      <c r="N1799" s="19">
        <v>31.0</v>
      </c>
    </row>
    <row r="1800">
      <c r="A1800" s="12">
        <v>1798.0</v>
      </c>
      <c r="B1800" s="13" t="s">
        <v>3574</v>
      </c>
      <c r="C1800" s="14">
        <v>28.0</v>
      </c>
      <c r="D1800" s="15" t="s">
        <v>3953</v>
      </c>
      <c r="E1800" s="16" t="s">
        <v>52</v>
      </c>
      <c r="F1800" s="13" t="s">
        <v>2765</v>
      </c>
      <c r="G1800" s="13" t="s">
        <v>3994</v>
      </c>
      <c r="H1800" s="13" t="s">
        <v>3995</v>
      </c>
      <c r="I1800" s="13" t="s">
        <v>63</v>
      </c>
      <c r="J1800" s="17" t="s">
        <v>71</v>
      </c>
      <c r="K1800" s="17" t="s">
        <v>58</v>
      </c>
      <c r="L1800" s="18" t="s">
        <v>52</v>
      </c>
      <c r="M1800" s="19">
        <v>48.0</v>
      </c>
      <c r="N1800" s="19">
        <v>31.0</v>
      </c>
    </row>
    <row r="1801">
      <c r="A1801" s="12">
        <v>1799.0</v>
      </c>
      <c r="B1801" s="13" t="s">
        <v>3574</v>
      </c>
      <c r="C1801" s="14">
        <v>29.0</v>
      </c>
      <c r="D1801" s="15" t="s">
        <v>3953</v>
      </c>
      <c r="E1801" s="16" t="s">
        <v>52</v>
      </c>
      <c r="F1801" s="13" t="s">
        <v>3813</v>
      </c>
      <c r="G1801" s="13" t="s">
        <v>3996</v>
      </c>
      <c r="H1801" s="13" t="s">
        <v>3997</v>
      </c>
      <c r="I1801" s="13" t="s">
        <v>63</v>
      </c>
      <c r="J1801" s="17" t="s">
        <v>71</v>
      </c>
      <c r="K1801" s="17" t="s">
        <v>58</v>
      </c>
      <c r="L1801" s="18" t="s">
        <v>52</v>
      </c>
      <c r="M1801" s="19">
        <v>48.0</v>
      </c>
      <c r="N1801" s="19">
        <v>31.0</v>
      </c>
    </row>
    <row r="1802">
      <c r="A1802" s="12">
        <v>1800.0</v>
      </c>
      <c r="B1802" s="13" t="s">
        <v>3574</v>
      </c>
      <c r="C1802" s="14">
        <v>30.0</v>
      </c>
      <c r="D1802" s="15" t="s">
        <v>3953</v>
      </c>
      <c r="E1802" s="16" t="s">
        <v>52</v>
      </c>
      <c r="F1802" s="13" t="s">
        <v>1338</v>
      </c>
      <c r="G1802" s="13" t="s">
        <v>1779</v>
      </c>
      <c r="H1802" s="13" t="s">
        <v>3998</v>
      </c>
      <c r="I1802" s="13" t="s">
        <v>63</v>
      </c>
      <c r="J1802" s="17" t="s">
        <v>71</v>
      </c>
      <c r="K1802" s="17" t="s">
        <v>58</v>
      </c>
      <c r="L1802" s="18" t="s">
        <v>52</v>
      </c>
      <c r="M1802" s="19">
        <v>48.0</v>
      </c>
      <c r="N1802" s="19">
        <v>31.0</v>
      </c>
    </row>
    <row r="1803">
      <c r="A1803" s="12">
        <v>1801.0</v>
      </c>
      <c r="B1803" s="13" t="s">
        <v>3616</v>
      </c>
      <c r="C1803" s="14">
        <v>1.0</v>
      </c>
      <c r="D1803" s="15" t="s">
        <v>3999</v>
      </c>
      <c r="E1803" s="16" t="s">
        <v>52</v>
      </c>
      <c r="F1803" s="13" t="s">
        <v>2727</v>
      </c>
      <c r="G1803" s="13" t="s">
        <v>3601</v>
      </c>
      <c r="H1803" s="13" t="s">
        <v>4000</v>
      </c>
      <c r="I1803" s="13" t="s">
        <v>63</v>
      </c>
      <c r="J1803" s="17" t="s">
        <v>67</v>
      </c>
      <c r="K1803" s="17" t="s">
        <v>58</v>
      </c>
      <c r="L1803" s="18" t="s">
        <v>52</v>
      </c>
      <c r="M1803" s="19">
        <v>49.0</v>
      </c>
      <c r="N1803" s="19">
        <v>21.0</v>
      </c>
    </row>
    <row r="1804">
      <c r="A1804" s="12">
        <v>1802.0</v>
      </c>
      <c r="B1804" s="13" t="s">
        <v>3616</v>
      </c>
      <c r="C1804" s="14">
        <v>2.0</v>
      </c>
      <c r="D1804" s="15" t="s">
        <v>3999</v>
      </c>
      <c r="E1804" s="16" t="s">
        <v>52</v>
      </c>
      <c r="F1804" s="13" t="s">
        <v>3646</v>
      </c>
      <c r="G1804" s="13" t="s">
        <v>61</v>
      </c>
      <c r="H1804" s="13" t="s">
        <v>3748</v>
      </c>
      <c r="I1804" s="13" t="s">
        <v>63</v>
      </c>
      <c r="J1804" s="17" t="s">
        <v>67</v>
      </c>
      <c r="K1804" s="17" t="s">
        <v>58</v>
      </c>
      <c r="L1804" s="18" t="s">
        <v>52</v>
      </c>
      <c r="M1804" s="19">
        <v>49.0</v>
      </c>
      <c r="N1804" s="19">
        <v>21.0</v>
      </c>
    </row>
    <row r="1805">
      <c r="A1805" s="12">
        <v>1803.0</v>
      </c>
      <c r="B1805" s="13" t="s">
        <v>3616</v>
      </c>
      <c r="C1805" s="14">
        <v>3.0</v>
      </c>
      <c r="D1805" s="15" t="s">
        <v>3999</v>
      </c>
      <c r="E1805" s="16" t="s">
        <v>52</v>
      </c>
      <c r="F1805" s="13" t="s">
        <v>3554</v>
      </c>
      <c r="G1805" s="13" t="s">
        <v>61</v>
      </c>
      <c r="H1805" s="13" t="s">
        <v>3710</v>
      </c>
      <c r="I1805" s="13" t="s">
        <v>63</v>
      </c>
      <c r="J1805" s="17" t="s">
        <v>71</v>
      </c>
      <c r="K1805" s="17" t="s">
        <v>58</v>
      </c>
      <c r="L1805" s="18" t="s">
        <v>52</v>
      </c>
      <c r="M1805" s="19">
        <v>49.0</v>
      </c>
      <c r="N1805" s="19">
        <v>31.0</v>
      </c>
    </row>
    <row r="1806">
      <c r="A1806" s="12">
        <v>1804.0</v>
      </c>
      <c r="B1806" s="13" t="s">
        <v>3616</v>
      </c>
      <c r="C1806" s="14">
        <v>4.0</v>
      </c>
      <c r="D1806" s="15" t="s">
        <v>3999</v>
      </c>
      <c r="E1806" s="16" t="s">
        <v>52</v>
      </c>
      <c r="F1806" s="13" t="s">
        <v>3682</v>
      </c>
      <c r="G1806" s="13" t="s">
        <v>61</v>
      </c>
      <c r="H1806" s="13" t="s">
        <v>3683</v>
      </c>
      <c r="I1806" s="13" t="s">
        <v>63</v>
      </c>
      <c r="J1806" s="17" t="s">
        <v>71</v>
      </c>
      <c r="K1806" s="17" t="s">
        <v>58</v>
      </c>
      <c r="L1806" s="18" t="s">
        <v>52</v>
      </c>
      <c r="M1806" s="19">
        <v>49.0</v>
      </c>
      <c r="N1806" s="19">
        <v>31.0</v>
      </c>
    </row>
    <row r="1807">
      <c r="A1807" s="12">
        <v>1805.0</v>
      </c>
      <c r="B1807" s="13" t="s">
        <v>3616</v>
      </c>
      <c r="C1807" s="14">
        <v>5.0</v>
      </c>
      <c r="D1807" s="15" t="s">
        <v>3999</v>
      </c>
      <c r="E1807" s="16" t="s">
        <v>52</v>
      </c>
      <c r="F1807" s="13" t="s">
        <v>150</v>
      </c>
      <c r="G1807" s="13" t="s">
        <v>4002</v>
      </c>
      <c r="H1807" s="13" t="s">
        <v>4003</v>
      </c>
      <c r="I1807" s="13" t="s">
        <v>63</v>
      </c>
      <c r="J1807" s="17" t="s">
        <v>71</v>
      </c>
      <c r="K1807" s="17" t="s">
        <v>58</v>
      </c>
      <c r="L1807" s="18" t="s">
        <v>52</v>
      </c>
      <c r="M1807" s="19">
        <v>49.0</v>
      </c>
      <c r="N1807" s="19">
        <v>31.0</v>
      </c>
    </row>
    <row r="1808">
      <c r="A1808" s="12">
        <v>1806.0</v>
      </c>
      <c r="B1808" s="13" t="s">
        <v>3616</v>
      </c>
      <c r="C1808" s="14">
        <v>6.0</v>
      </c>
      <c r="D1808" s="15" t="s">
        <v>3999</v>
      </c>
      <c r="E1808" s="16" t="s">
        <v>52</v>
      </c>
      <c r="F1808" s="13" t="s">
        <v>1319</v>
      </c>
      <c r="G1808" s="13" t="s">
        <v>4004</v>
      </c>
      <c r="H1808" s="13" t="s">
        <v>4005</v>
      </c>
      <c r="I1808" s="13" t="s">
        <v>63</v>
      </c>
      <c r="J1808" s="17" t="s">
        <v>71</v>
      </c>
      <c r="K1808" s="17" t="s">
        <v>58</v>
      </c>
      <c r="L1808" s="18" t="s">
        <v>52</v>
      </c>
      <c r="M1808" s="19">
        <v>49.0</v>
      </c>
      <c r="N1808" s="19">
        <v>31.0</v>
      </c>
    </row>
    <row r="1809">
      <c r="A1809" s="12">
        <v>1807.0</v>
      </c>
      <c r="B1809" s="13" t="s">
        <v>3616</v>
      </c>
      <c r="C1809" s="14">
        <v>7.0</v>
      </c>
      <c r="D1809" s="15" t="s">
        <v>3999</v>
      </c>
      <c r="E1809" s="16" t="s">
        <v>52</v>
      </c>
      <c r="F1809" s="13" t="s">
        <v>1335</v>
      </c>
      <c r="G1809" s="13" t="s">
        <v>4007</v>
      </c>
      <c r="H1809" s="13" t="s">
        <v>4008</v>
      </c>
      <c r="I1809" s="13" t="s">
        <v>63</v>
      </c>
      <c r="J1809" s="17" t="s">
        <v>71</v>
      </c>
      <c r="K1809" s="17" t="s">
        <v>58</v>
      </c>
      <c r="L1809" s="18" t="s">
        <v>52</v>
      </c>
      <c r="M1809" s="19">
        <v>49.0</v>
      </c>
      <c r="N1809" s="19">
        <v>31.0</v>
      </c>
    </row>
    <row r="1810">
      <c r="A1810" s="12">
        <v>1808.0</v>
      </c>
      <c r="B1810" s="13" t="s">
        <v>3616</v>
      </c>
      <c r="C1810" s="14">
        <v>8.0</v>
      </c>
      <c r="D1810" s="15" t="s">
        <v>3999</v>
      </c>
      <c r="E1810" s="16" t="s">
        <v>52</v>
      </c>
      <c r="F1810" s="13" t="s">
        <v>1430</v>
      </c>
      <c r="G1810" s="13" t="s">
        <v>4009</v>
      </c>
      <c r="H1810" s="13" t="s">
        <v>4010</v>
      </c>
      <c r="I1810" s="13" t="s">
        <v>63</v>
      </c>
      <c r="J1810" s="17" t="s">
        <v>71</v>
      </c>
      <c r="K1810" s="17" t="s">
        <v>58</v>
      </c>
      <c r="L1810" s="18" t="s">
        <v>52</v>
      </c>
      <c r="M1810" s="19">
        <v>49.0</v>
      </c>
      <c r="N1810" s="19">
        <v>31.0</v>
      </c>
    </row>
    <row r="1811">
      <c r="A1811" s="12">
        <v>1809.0</v>
      </c>
      <c r="B1811" s="13" t="s">
        <v>3616</v>
      </c>
      <c r="C1811" s="14">
        <v>9.0</v>
      </c>
      <c r="D1811" s="15" t="s">
        <v>3999</v>
      </c>
      <c r="E1811" s="16" t="s">
        <v>52</v>
      </c>
      <c r="F1811" s="13" t="s">
        <v>2801</v>
      </c>
      <c r="G1811" s="13" t="s">
        <v>2802</v>
      </c>
      <c r="H1811" s="13" t="s">
        <v>4011</v>
      </c>
      <c r="I1811" s="13" t="s">
        <v>63</v>
      </c>
      <c r="J1811" s="17" t="s">
        <v>71</v>
      </c>
      <c r="K1811" s="17" t="s">
        <v>58</v>
      </c>
      <c r="L1811" s="18" t="s">
        <v>52</v>
      </c>
      <c r="M1811" s="19">
        <v>49.0</v>
      </c>
      <c r="N1811" s="19">
        <v>31.0</v>
      </c>
    </row>
    <row r="1812">
      <c r="A1812" s="12">
        <v>1810.0</v>
      </c>
      <c r="B1812" s="13" t="s">
        <v>3616</v>
      </c>
      <c r="C1812" s="14">
        <v>10.0</v>
      </c>
      <c r="D1812" s="15" t="s">
        <v>3999</v>
      </c>
      <c r="E1812" s="16" t="s">
        <v>52</v>
      </c>
      <c r="F1812" s="13" t="s">
        <v>2870</v>
      </c>
      <c r="G1812" s="13" t="s">
        <v>61</v>
      </c>
      <c r="H1812" s="13" t="s">
        <v>4012</v>
      </c>
      <c r="I1812" s="13" t="s">
        <v>63</v>
      </c>
      <c r="J1812" s="17" t="s">
        <v>71</v>
      </c>
      <c r="K1812" s="17" t="s">
        <v>58</v>
      </c>
      <c r="L1812" s="18" t="s">
        <v>52</v>
      </c>
      <c r="M1812" s="19">
        <v>49.0</v>
      </c>
      <c r="N1812" s="19">
        <v>31.0</v>
      </c>
    </row>
    <row r="1813">
      <c r="A1813" s="12">
        <v>1811.0</v>
      </c>
      <c r="B1813" s="13" t="s">
        <v>3616</v>
      </c>
      <c r="C1813" s="14">
        <v>11.0</v>
      </c>
      <c r="D1813" s="15" t="s">
        <v>3999</v>
      </c>
      <c r="E1813" s="16" t="s">
        <v>52</v>
      </c>
      <c r="F1813" s="13" t="s">
        <v>1351</v>
      </c>
      <c r="G1813" s="13" t="s">
        <v>1352</v>
      </c>
      <c r="H1813" s="13" t="s">
        <v>1353</v>
      </c>
      <c r="I1813" s="13" t="s">
        <v>63</v>
      </c>
      <c r="J1813" s="17" t="s">
        <v>71</v>
      </c>
      <c r="K1813" s="17" t="s">
        <v>58</v>
      </c>
      <c r="L1813" s="18" t="s">
        <v>52</v>
      </c>
      <c r="M1813" s="19">
        <v>49.0</v>
      </c>
      <c r="N1813" s="19">
        <v>31.0</v>
      </c>
    </row>
    <row r="1814">
      <c r="A1814" s="12">
        <v>1812.0</v>
      </c>
      <c r="B1814" s="13" t="s">
        <v>3616</v>
      </c>
      <c r="C1814" s="14">
        <v>12.0</v>
      </c>
      <c r="D1814" s="15" t="s">
        <v>3999</v>
      </c>
      <c r="E1814" s="16" t="s">
        <v>52</v>
      </c>
      <c r="F1814" s="13" t="s">
        <v>1297</v>
      </c>
      <c r="G1814" s="13" t="s">
        <v>4014</v>
      </c>
      <c r="H1814" s="13" t="s">
        <v>4016</v>
      </c>
      <c r="I1814" s="13" t="s">
        <v>63</v>
      </c>
      <c r="J1814" s="17" t="s">
        <v>71</v>
      </c>
      <c r="K1814" s="17" t="s">
        <v>58</v>
      </c>
      <c r="L1814" s="18" t="s">
        <v>52</v>
      </c>
      <c r="M1814" s="19">
        <v>49.0</v>
      </c>
      <c r="N1814" s="19">
        <v>31.0</v>
      </c>
    </row>
    <row r="1815">
      <c r="A1815" s="12">
        <v>1813.0</v>
      </c>
      <c r="B1815" s="13" t="s">
        <v>3616</v>
      </c>
      <c r="C1815" s="14">
        <v>13.0</v>
      </c>
      <c r="D1815" s="15" t="s">
        <v>3999</v>
      </c>
      <c r="E1815" s="16" t="s">
        <v>52</v>
      </c>
      <c r="F1815" s="13" t="s">
        <v>3620</v>
      </c>
      <c r="G1815" s="13" t="s">
        <v>4017</v>
      </c>
      <c r="H1815" s="13" t="s">
        <v>4018</v>
      </c>
      <c r="I1815" s="13" t="s">
        <v>63</v>
      </c>
      <c r="J1815" s="17" t="s">
        <v>71</v>
      </c>
      <c r="K1815" s="17" t="s">
        <v>58</v>
      </c>
      <c r="L1815" s="18" t="s">
        <v>52</v>
      </c>
      <c r="M1815" s="19">
        <v>49.0</v>
      </c>
      <c r="N1815" s="19">
        <v>31.0</v>
      </c>
    </row>
    <row r="1816">
      <c r="A1816" s="12">
        <v>1814.0</v>
      </c>
      <c r="B1816" s="13" t="s">
        <v>3616</v>
      </c>
      <c r="C1816" s="14">
        <v>14.0</v>
      </c>
      <c r="D1816" s="15" t="s">
        <v>3999</v>
      </c>
      <c r="E1816" s="16" t="s">
        <v>52</v>
      </c>
      <c r="F1816" s="13" t="s">
        <v>3894</v>
      </c>
      <c r="G1816" s="13" t="s">
        <v>4020</v>
      </c>
      <c r="H1816" s="13" t="s">
        <v>4021</v>
      </c>
      <c r="I1816" s="13" t="s">
        <v>63</v>
      </c>
      <c r="J1816" s="17" t="s">
        <v>71</v>
      </c>
      <c r="K1816" s="17" t="s">
        <v>58</v>
      </c>
      <c r="L1816" s="18" t="s">
        <v>52</v>
      </c>
      <c r="M1816" s="19">
        <v>49.0</v>
      </c>
      <c r="N1816" s="19">
        <v>31.0</v>
      </c>
    </row>
    <row r="1817">
      <c r="A1817" s="12">
        <v>1815.0</v>
      </c>
      <c r="B1817" s="13" t="s">
        <v>3616</v>
      </c>
      <c r="C1817" s="14">
        <v>15.0</v>
      </c>
      <c r="D1817" s="15" t="s">
        <v>3999</v>
      </c>
      <c r="E1817" s="16" t="s">
        <v>52</v>
      </c>
      <c r="F1817" s="13" t="s">
        <v>4023</v>
      </c>
      <c r="G1817" s="13" t="s">
        <v>4024</v>
      </c>
      <c r="H1817" s="13" t="s">
        <v>4025</v>
      </c>
      <c r="I1817" s="13" t="s">
        <v>63</v>
      </c>
      <c r="J1817" s="17" t="s">
        <v>71</v>
      </c>
      <c r="K1817" s="17" t="s">
        <v>58</v>
      </c>
      <c r="L1817" s="18" t="s">
        <v>52</v>
      </c>
      <c r="M1817" s="19">
        <v>49.0</v>
      </c>
      <c r="N1817" s="19">
        <v>31.0</v>
      </c>
    </row>
    <row r="1818">
      <c r="A1818" s="12">
        <v>1816.0</v>
      </c>
      <c r="B1818" s="13" t="s">
        <v>3616</v>
      </c>
      <c r="C1818" s="14">
        <v>16.0</v>
      </c>
      <c r="D1818" s="15" t="s">
        <v>3999</v>
      </c>
      <c r="E1818" s="16" t="s">
        <v>52</v>
      </c>
      <c r="F1818" s="13" t="s">
        <v>4026</v>
      </c>
      <c r="G1818" s="13" t="s">
        <v>4027</v>
      </c>
      <c r="H1818" s="13" t="s">
        <v>4028</v>
      </c>
      <c r="I1818" s="13" t="s">
        <v>63</v>
      </c>
      <c r="J1818" s="17" t="s">
        <v>71</v>
      </c>
      <c r="K1818" s="17" t="s">
        <v>58</v>
      </c>
      <c r="L1818" s="18" t="s">
        <v>52</v>
      </c>
      <c r="M1818" s="19">
        <v>49.0</v>
      </c>
      <c r="N1818" s="19">
        <v>31.0</v>
      </c>
    </row>
    <row r="1819">
      <c r="A1819" s="12">
        <v>1817.0</v>
      </c>
      <c r="B1819" s="13" t="s">
        <v>3616</v>
      </c>
      <c r="C1819" s="14">
        <v>17.0</v>
      </c>
      <c r="D1819" s="15" t="s">
        <v>3999</v>
      </c>
      <c r="E1819" s="16" t="s">
        <v>52</v>
      </c>
      <c r="F1819" s="13" t="s">
        <v>1370</v>
      </c>
      <c r="G1819" s="13" t="s">
        <v>4030</v>
      </c>
      <c r="H1819" s="13" t="s">
        <v>4008</v>
      </c>
      <c r="I1819" s="13" t="s">
        <v>63</v>
      </c>
      <c r="J1819" s="17" t="s">
        <v>71</v>
      </c>
      <c r="K1819" s="17" t="s">
        <v>58</v>
      </c>
      <c r="L1819" s="18" t="s">
        <v>52</v>
      </c>
      <c r="M1819" s="19">
        <v>49.0</v>
      </c>
      <c r="N1819" s="19">
        <v>31.0</v>
      </c>
    </row>
    <row r="1820">
      <c r="A1820" s="12">
        <v>1818.0</v>
      </c>
      <c r="B1820" s="13" t="s">
        <v>3616</v>
      </c>
      <c r="C1820" s="14">
        <v>18.0</v>
      </c>
      <c r="D1820" s="15" t="s">
        <v>3999</v>
      </c>
      <c r="E1820" s="16" t="s">
        <v>52</v>
      </c>
      <c r="F1820" s="13" t="s">
        <v>3577</v>
      </c>
      <c r="G1820" s="13" t="s">
        <v>4031</v>
      </c>
      <c r="H1820" s="13" t="s">
        <v>4032</v>
      </c>
      <c r="I1820" s="13" t="s">
        <v>63</v>
      </c>
      <c r="J1820" s="17" t="s">
        <v>71</v>
      </c>
      <c r="K1820" s="17" t="s">
        <v>58</v>
      </c>
      <c r="L1820" s="18" t="s">
        <v>52</v>
      </c>
      <c r="M1820" s="19">
        <v>49.0</v>
      </c>
      <c r="N1820" s="19">
        <v>31.0</v>
      </c>
    </row>
    <row r="1821">
      <c r="A1821" s="12">
        <v>1819.0</v>
      </c>
      <c r="B1821" s="13" t="s">
        <v>3616</v>
      </c>
      <c r="C1821" s="14">
        <v>19.0</v>
      </c>
      <c r="D1821" s="15" t="s">
        <v>3999</v>
      </c>
      <c r="E1821" s="16" t="s">
        <v>52</v>
      </c>
      <c r="F1821" s="13" t="s">
        <v>3594</v>
      </c>
      <c r="G1821" s="13" t="s">
        <v>61</v>
      </c>
      <c r="H1821" s="13" t="s">
        <v>3729</v>
      </c>
      <c r="I1821" s="13" t="s">
        <v>63</v>
      </c>
      <c r="J1821" s="17" t="s">
        <v>71</v>
      </c>
      <c r="K1821" s="17" t="s">
        <v>58</v>
      </c>
      <c r="L1821" s="18" t="s">
        <v>52</v>
      </c>
      <c r="M1821" s="19">
        <v>49.0</v>
      </c>
      <c r="N1821" s="19">
        <v>31.0</v>
      </c>
    </row>
    <row r="1822">
      <c r="A1822" s="12">
        <v>1820.0</v>
      </c>
      <c r="B1822" s="13" t="s">
        <v>3616</v>
      </c>
      <c r="C1822" s="14">
        <v>20.0</v>
      </c>
      <c r="D1822" s="15" t="s">
        <v>3999</v>
      </c>
      <c r="E1822" s="16" t="s">
        <v>52</v>
      </c>
      <c r="F1822" s="13" t="s">
        <v>4034</v>
      </c>
      <c r="G1822" s="13" t="s">
        <v>4035</v>
      </c>
      <c r="H1822" s="13" t="s">
        <v>4036</v>
      </c>
      <c r="I1822" s="13" t="s">
        <v>63</v>
      </c>
      <c r="J1822" s="17" t="s">
        <v>71</v>
      </c>
      <c r="K1822" s="17" t="s">
        <v>58</v>
      </c>
      <c r="L1822" s="18" t="s">
        <v>52</v>
      </c>
      <c r="M1822" s="19">
        <v>49.0</v>
      </c>
      <c r="N1822" s="19">
        <v>31.0</v>
      </c>
    </row>
    <row r="1823">
      <c r="A1823" s="12">
        <v>1821.0</v>
      </c>
      <c r="B1823" s="13" t="s">
        <v>3616</v>
      </c>
      <c r="C1823" s="14">
        <v>21.0</v>
      </c>
      <c r="D1823" s="15" t="s">
        <v>3999</v>
      </c>
      <c r="E1823" s="16" t="s">
        <v>52</v>
      </c>
      <c r="F1823" s="13" t="s">
        <v>2902</v>
      </c>
      <c r="G1823" s="13" t="s">
        <v>61</v>
      </c>
      <c r="H1823" s="13" t="s">
        <v>3665</v>
      </c>
      <c r="I1823" s="13" t="s">
        <v>63</v>
      </c>
      <c r="J1823" s="17" t="s">
        <v>71</v>
      </c>
      <c r="K1823" s="17" t="s">
        <v>58</v>
      </c>
      <c r="L1823" s="18" t="s">
        <v>52</v>
      </c>
      <c r="M1823" s="19">
        <v>49.0</v>
      </c>
      <c r="N1823" s="19">
        <v>31.0</v>
      </c>
    </row>
    <row r="1824">
      <c r="A1824" s="12">
        <v>1822.0</v>
      </c>
      <c r="B1824" s="13" t="s">
        <v>3616</v>
      </c>
      <c r="C1824" s="14">
        <v>22.0</v>
      </c>
      <c r="D1824" s="15" t="s">
        <v>3999</v>
      </c>
      <c r="E1824" s="16" t="s">
        <v>52</v>
      </c>
      <c r="F1824" s="13" t="s">
        <v>3596</v>
      </c>
      <c r="G1824" s="13" t="s">
        <v>61</v>
      </c>
      <c r="H1824" s="13" t="s">
        <v>4037</v>
      </c>
      <c r="I1824" s="13" t="s">
        <v>63</v>
      </c>
      <c r="J1824" s="17" t="s">
        <v>71</v>
      </c>
      <c r="K1824" s="17" t="s">
        <v>58</v>
      </c>
      <c r="L1824" s="18" t="s">
        <v>52</v>
      </c>
      <c r="M1824" s="19">
        <v>49.0</v>
      </c>
      <c r="N1824" s="19">
        <v>31.0</v>
      </c>
    </row>
    <row r="1825">
      <c r="A1825" s="12">
        <v>1823.0</v>
      </c>
      <c r="B1825" s="13" t="s">
        <v>3616</v>
      </c>
      <c r="C1825" s="14">
        <v>23.0</v>
      </c>
      <c r="D1825" s="15" t="s">
        <v>3999</v>
      </c>
      <c r="E1825" s="16" t="s">
        <v>52</v>
      </c>
      <c r="F1825" s="13" t="s">
        <v>1729</v>
      </c>
      <c r="G1825" s="13" t="s">
        <v>1730</v>
      </c>
      <c r="H1825" s="13" t="s">
        <v>4038</v>
      </c>
      <c r="I1825" s="13" t="s">
        <v>63</v>
      </c>
      <c r="J1825" s="17" t="s">
        <v>71</v>
      </c>
      <c r="K1825" s="17" t="s">
        <v>58</v>
      </c>
      <c r="L1825" s="18" t="s">
        <v>52</v>
      </c>
      <c r="M1825" s="19">
        <v>49.0</v>
      </c>
      <c r="N1825" s="19">
        <v>31.0</v>
      </c>
    </row>
    <row r="1826">
      <c r="A1826" s="12">
        <v>1824.0</v>
      </c>
      <c r="B1826" s="13" t="s">
        <v>3616</v>
      </c>
      <c r="C1826" s="14">
        <v>24.0</v>
      </c>
      <c r="D1826" s="15" t="s">
        <v>3999</v>
      </c>
      <c r="E1826" s="16" t="s">
        <v>52</v>
      </c>
      <c r="F1826" s="13" t="s">
        <v>1487</v>
      </c>
      <c r="G1826" s="13" t="s">
        <v>4040</v>
      </c>
      <c r="H1826" s="13" t="s">
        <v>4041</v>
      </c>
      <c r="I1826" s="13" t="s">
        <v>63</v>
      </c>
      <c r="J1826" s="17" t="s">
        <v>71</v>
      </c>
      <c r="K1826" s="17" t="s">
        <v>58</v>
      </c>
      <c r="L1826" s="18" t="s">
        <v>52</v>
      </c>
      <c r="M1826" s="19">
        <v>49.0</v>
      </c>
      <c r="N1826" s="19">
        <v>31.0</v>
      </c>
    </row>
    <row r="1827">
      <c r="A1827" s="12">
        <v>1825.0</v>
      </c>
      <c r="B1827" s="13" t="s">
        <v>3616</v>
      </c>
      <c r="C1827" s="14">
        <v>25.0</v>
      </c>
      <c r="D1827" s="15" t="s">
        <v>3999</v>
      </c>
      <c r="E1827" s="16" t="s">
        <v>52</v>
      </c>
      <c r="F1827" s="13" t="s">
        <v>3662</v>
      </c>
      <c r="G1827" s="13" t="s">
        <v>4042</v>
      </c>
      <c r="H1827" s="13" t="s">
        <v>4043</v>
      </c>
      <c r="I1827" s="13" t="s">
        <v>63</v>
      </c>
      <c r="J1827" s="17" t="s">
        <v>71</v>
      </c>
      <c r="K1827" s="17" t="s">
        <v>58</v>
      </c>
      <c r="L1827" s="18" t="s">
        <v>52</v>
      </c>
      <c r="M1827" s="19">
        <v>49.0</v>
      </c>
      <c r="N1827" s="19">
        <v>31.0</v>
      </c>
    </row>
    <row r="1828">
      <c r="A1828" s="12">
        <v>1826.0</v>
      </c>
      <c r="B1828" s="13" t="s">
        <v>3616</v>
      </c>
      <c r="C1828" s="14">
        <v>26.0</v>
      </c>
      <c r="D1828" s="15" t="s">
        <v>3999</v>
      </c>
      <c r="E1828" s="16" t="s">
        <v>52</v>
      </c>
      <c r="F1828" s="13" t="s">
        <v>3843</v>
      </c>
      <c r="G1828" s="13" t="s">
        <v>4044</v>
      </c>
      <c r="H1828" s="13" t="s">
        <v>4045</v>
      </c>
      <c r="I1828" s="13" t="s">
        <v>63</v>
      </c>
      <c r="J1828" s="17" t="s">
        <v>71</v>
      </c>
      <c r="K1828" s="17" t="s">
        <v>58</v>
      </c>
      <c r="L1828" s="18" t="s">
        <v>52</v>
      </c>
      <c r="M1828" s="19">
        <v>49.0</v>
      </c>
      <c r="N1828" s="19">
        <v>31.0</v>
      </c>
    </row>
    <row r="1829">
      <c r="A1829" s="12">
        <v>1827.0</v>
      </c>
      <c r="B1829" s="13" t="s">
        <v>3616</v>
      </c>
      <c r="C1829" s="14">
        <v>27.0</v>
      </c>
      <c r="D1829" s="15" t="s">
        <v>3999</v>
      </c>
      <c r="E1829" s="16" t="s">
        <v>52</v>
      </c>
      <c r="F1829" s="13" t="s">
        <v>2686</v>
      </c>
      <c r="G1829" s="13" t="s">
        <v>3627</v>
      </c>
      <c r="H1829" s="13" t="s">
        <v>4046</v>
      </c>
      <c r="I1829" s="13" t="s">
        <v>63</v>
      </c>
      <c r="J1829" s="17" t="s">
        <v>71</v>
      </c>
      <c r="K1829" s="17" t="s">
        <v>58</v>
      </c>
      <c r="L1829" s="18" t="s">
        <v>52</v>
      </c>
      <c r="M1829" s="19">
        <v>49.0</v>
      </c>
      <c r="N1829" s="19">
        <v>31.0</v>
      </c>
    </row>
    <row r="1830">
      <c r="A1830" s="12">
        <v>1828.0</v>
      </c>
      <c r="B1830" s="13" t="s">
        <v>3616</v>
      </c>
      <c r="C1830" s="14">
        <v>28.0</v>
      </c>
      <c r="D1830" s="15" t="s">
        <v>3999</v>
      </c>
      <c r="E1830" s="16" t="s">
        <v>52</v>
      </c>
      <c r="F1830" s="13" t="s">
        <v>3586</v>
      </c>
      <c r="G1830" s="13" t="s">
        <v>61</v>
      </c>
      <c r="H1830" s="13" t="s">
        <v>3587</v>
      </c>
      <c r="I1830" s="13" t="s">
        <v>63</v>
      </c>
      <c r="J1830" s="17" t="s">
        <v>71</v>
      </c>
      <c r="K1830" s="17" t="s">
        <v>58</v>
      </c>
      <c r="L1830" s="18" t="s">
        <v>52</v>
      </c>
      <c r="M1830" s="19">
        <v>49.0</v>
      </c>
      <c r="N1830" s="19">
        <v>31.0</v>
      </c>
    </row>
    <row r="1831">
      <c r="A1831" s="12">
        <v>1829.0</v>
      </c>
      <c r="B1831" s="13" t="s">
        <v>3616</v>
      </c>
      <c r="C1831" s="14">
        <v>29.0</v>
      </c>
      <c r="D1831" s="15" t="s">
        <v>3999</v>
      </c>
      <c r="E1831" s="16" t="s">
        <v>52</v>
      </c>
      <c r="F1831" s="13" t="s">
        <v>4048</v>
      </c>
      <c r="G1831" s="13" t="s">
        <v>4049</v>
      </c>
      <c r="H1831" s="13" t="s">
        <v>4050</v>
      </c>
      <c r="I1831" s="13" t="s">
        <v>63</v>
      </c>
      <c r="J1831" s="17" t="s">
        <v>71</v>
      </c>
      <c r="K1831" s="17" t="s">
        <v>58</v>
      </c>
      <c r="L1831" s="18" t="s">
        <v>52</v>
      </c>
      <c r="M1831" s="19">
        <v>49.0</v>
      </c>
      <c r="N1831" s="19">
        <v>31.0</v>
      </c>
    </row>
    <row r="1832">
      <c r="A1832" s="12">
        <v>1830.0</v>
      </c>
      <c r="B1832" s="13" t="s">
        <v>3616</v>
      </c>
      <c r="C1832" s="14">
        <v>30.0</v>
      </c>
      <c r="D1832" s="15" t="s">
        <v>4051</v>
      </c>
      <c r="E1832" s="16" t="s">
        <v>52</v>
      </c>
      <c r="F1832" s="13" t="s">
        <v>3733</v>
      </c>
      <c r="G1832" s="13" t="s">
        <v>4052</v>
      </c>
      <c r="H1832" s="13" t="s">
        <v>4053</v>
      </c>
      <c r="I1832" s="13" t="s">
        <v>63</v>
      </c>
      <c r="J1832" s="17" t="s">
        <v>71</v>
      </c>
      <c r="K1832" s="17" t="s">
        <v>58</v>
      </c>
      <c r="L1832" s="18" t="s">
        <v>52</v>
      </c>
      <c r="M1832" s="19">
        <v>49.0</v>
      </c>
      <c r="N1832" s="19">
        <v>31.0</v>
      </c>
    </row>
    <row r="1833">
      <c r="A1833" s="12">
        <v>1831.0</v>
      </c>
      <c r="B1833" s="13" t="s">
        <v>2895</v>
      </c>
      <c r="C1833" s="14">
        <v>1.0</v>
      </c>
      <c r="D1833" s="15" t="s">
        <v>4054</v>
      </c>
      <c r="E1833" s="16" t="s">
        <v>52</v>
      </c>
      <c r="F1833" s="13" t="s">
        <v>4055</v>
      </c>
      <c r="G1833" s="13" t="s">
        <v>4056</v>
      </c>
      <c r="H1833" s="13" t="s">
        <v>4057</v>
      </c>
      <c r="I1833" s="13" t="s">
        <v>63</v>
      </c>
      <c r="J1833" s="17" t="s">
        <v>57</v>
      </c>
      <c r="K1833" s="17" t="s">
        <v>58</v>
      </c>
      <c r="L1833" s="18" t="s">
        <v>52</v>
      </c>
      <c r="M1833" s="19">
        <v>50.0</v>
      </c>
      <c r="N1833" s="19">
        <v>11.0</v>
      </c>
    </row>
    <row r="1834">
      <c r="A1834" s="12">
        <v>1832.0</v>
      </c>
      <c r="B1834" s="13" t="s">
        <v>2895</v>
      </c>
      <c r="C1834" s="14">
        <v>2.0</v>
      </c>
      <c r="D1834" s="15" t="s">
        <v>4054</v>
      </c>
      <c r="E1834" s="16" t="s">
        <v>52</v>
      </c>
      <c r="F1834" s="13" t="s">
        <v>107</v>
      </c>
      <c r="G1834" s="13" t="s">
        <v>61</v>
      </c>
      <c r="H1834" s="13" t="s">
        <v>108</v>
      </c>
      <c r="I1834" s="13" t="s">
        <v>63</v>
      </c>
      <c r="J1834" s="17" t="s">
        <v>67</v>
      </c>
      <c r="K1834" s="17" t="s">
        <v>58</v>
      </c>
      <c r="L1834" s="18" t="s">
        <v>4059</v>
      </c>
      <c r="M1834" s="19">
        <v>50.0</v>
      </c>
      <c r="N1834" s="19">
        <v>21.0</v>
      </c>
    </row>
    <row r="1835">
      <c r="A1835" s="12">
        <v>1833.0</v>
      </c>
      <c r="B1835" s="13" t="s">
        <v>2895</v>
      </c>
      <c r="C1835" s="14">
        <v>3.0</v>
      </c>
      <c r="D1835" s="15" t="s">
        <v>4060</v>
      </c>
      <c r="E1835" s="16" t="s">
        <v>52</v>
      </c>
      <c r="F1835" s="13" t="s">
        <v>2545</v>
      </c>
      <c r="G1835" s="13" t="s">
        <v>4061</v>
      </c>
      <c r="H1835" s="13" t="s">
        <v>4062</v>
      </c>
      <c r="I1835" s="13" t="s">
        <v>63</v>
      </c>
      <c r="J1835" s="17" t="s">
        <v>71</v>
      </c>
      <c r="K1835" s="17" t="s">
        <v>58</v>
      </c>
      <c r="L1835" s="18" t="s">
        <v>52</v>
      </c>
      <c r="M1835" s="19">
        <v>50.0</v>
      </c>
      <c r="N1835" s="19">
        <v>31.0</v>
      </c>
    </row>
    <row r="1836">
      <c r="A1836" s="12">
        <v>1834.0</v>
      </c>
      <c r="B1836" s="13" t="s">
        <v>2895</v>
      </c>
      <c r="C1836" s="14">
        <v>4.0</v>
      </c>
      <c r="D1836" s="15" t="s">
        <v>4060</v>
      </c>
      <c r="E1836" s="16" t="s">
        <v>52</v>
      </c>
      <c r="F1836" s="13" t="s">
        <v>2804</v>
      </c>
      <c r="G1836" s="13" t="s">
        <v>4064</v>
      </c>
      <c r="H1836" s="13" t="s">
        <v>4065</v>
      </c>
      <c r="I1836" s="13" t="s">
        <v>63</v>
      </c>
      <c r="J1836" s="17" t="s">
        <v>71</v>
      </c>
      <c r="K1836" s="17" t="s">
        <v>58</v>
      </c>
      <c r="L1836" s="18" t="s">
        <v>52</v>
      </c>
      <c r="M1836" s="19">
        <v>50.0</v>
      </c>
      <c r="N1836" s="19">
        <v>31.0</v>
      </c>
    </row>
    <row r="1837">
      <c r="A1837" s="12">
        <v>1835.0</v>
      </c>
      <c r="B1837" s="13" t="s">
        <v>2895</v>
      </c>
      <c r="C1837" s="14">
        <v>5.0</v>
      </c>
      <c r="D1837" s="15" t="s">
        <v>4060</v>
      </c>
      <c r="E1837" s="16" t="s">
        <v>52</v>
      </c>
      <c r="F1837" s="13" t="s">
        <v>2520</v>
      </c>
      <c r="G1837" s="13" t="s">
        <v>2997</v>
      </c>
      <c r="H1837" s="13" t="s">
        <v>4067</v>
      </c>
      <c r="I1837" s="13" t="s">
        <v>63</v>
      </c>
      <c r="J1837" s="17" t="s">
        <v>71</v>
      </c>
      <c r="K1837" s="17" t="s">
        <v>58</v>
      </c>
      <c r="L1837" s="18" t="s">
        <v>52</v>
      </c>
      <c r="M1837" s="19">
        <v>50.0</v>
      </c>
      <c r="N1837" s="19">
        <v>31.0</v>
      </c>
    </row>
    <row r="1838">
      <c r="A1838" s="12">
        <v>1836.0</v>
      </c>
      <c r="B1838" s="13" t="s">
        <v>2895</v>
      </c>
      <c r="C1838" s="14">
        <v>6.0</v>
      </c>
      <c r="D1838" s="15" t="s">
        <v>4060</v>
      </c>
      <c r="E1838" s="16" t="s">
        <v>52</v>
      </c>
      <c r="F1838" s="13" t="s">
        <v>186</v>
      </c>
      <c r="G1838" s="13" t="s">
        <v>61</v>
      </c>
      <c r="H1838" s="13" t="s">
        <v>188</v>
      </c>
      <c r="I1838" s="13" t="s">
        <v>63</v>
      </c>
      <c r="J1838" s="17" t="s">
        <v>71</v>
      </c>
      <c r="K1838" s="17" t="s">
        <v>58</v>
      </c>
      <c r="L1838" s="18" t="s">
        <v>52</v>
      </c>
      <c r="M1838" s="19">
        <v>50.0</v>
      </c>
      <c r="N1838" s="19">
        <v>31.0</v>
      </c>
    </row>
    <row r="1839">
      <c r="A1839" s="12">
        <v>1837.0</v>
      </c>
      <c r="B1839" s="13" t="s">
        <v>2895</v>
      </c>
      <c r="C1839" s="14">
        <v>7.0</v>
      </c>
      <c r="D1839" s="15" t="s">
        <v>4060</v>
      </c>
      <c r="E1839" s="16" t="s">
        <v>52</v>
      </c>
      <c r="F1839" s="13" t="s">
        <v>4068</v>
      </c>
      <c r="G1839" s="13" t="s">
        <v>4069</v>
      </c>
      <c r="H1839" s="13" t="s">
        <v>4070</v>
      </c>
      <c r="I1839" s="13" t="s">
        <v>63</v>
      </c>
      <c r="J1839" s="17" t="s">
        <v>71</v>
      </c>
      <c r="K1839" s="17" t="s">
        <v>58</v>
      </c>
      <c r="L1839" s="18" t="s">
        <v>52</v>
      </c>
      <c r="M1839" s="19">
        <v>50.0</v>
      </c>
      <c r="N1839" s="19">
        <v>31.0</v>
      </c>
    </row>
    <row r="1840">
      <c r="A1840" s="12">
        <v>1838.0</v>
      </c>
      <c r="B1840" s="13" t="s">
        <v>2895</v>
      </c>
      <c r="C1840" s="14">
        <v>8.0</v>
      </c>
      <c r="D1840" s="15" t="s">
        <v>4060</v>
      </c>
      <c r="E1840" s="16" t="s">
        <v>52</v>
      </c>
      <c r="F1840" s="13" t="s">
        <v>4072</v>
      </c>
      <c r="G1840" s="13" t="s">
        <v>61</v>
      </c>
      <c r="H1840" s="13" t="s">
        <v>4073</v>
      </c>
      <c r="I1840" s="13" t="s">
        <v>63</v>
      </c>
      <c r="J1840" s="17" t="s">
        <v>71</v>
      </c>
      <c r="K1840" s="17" t="s">
        <v>58</v>
      </c>
      <c r="L1840" s="18" t="s">
        <v>52</v>
      </c>
      <c r="M1840" s="19">
        <v>50.0</v>
      </c>
      <c r="N1840" s="19">
        <v>31.0</v>
      </c>
    </row>
    <row r="1841">
      <c r="A1841" s="12">
        <v>1839.0</v>
      </c>
      <c r="B1841" s="13" t="s">
        <v>2895</v>
      </c>
      <c r="C1841" s="14">
        <v>9.0</v>
      </c>
      <c r="D1841" s="15" t="s">
        <v>4060</v>
      </c>
      <c r="E1841" s="16" t="s">
        <v>52</v>
      </c>
      <c r="F1841" s="13" t="s">
        <v>1643</v>
      </c>
      <c r="G1841" s="13" t="s">
        <v>4074</v>
      </c>
      <c r="H1841" s="13" t="s">
        <v>4075</v>
      </c>
      <c r="I1841" s="13" t="s">
        <v>63</v>
      </c>
      <c r="J1841" s="17" t="s">
        <v>71</v>
      </c>
      <c r="K1841" s="17" t="s">
        <v>58</v>
      </c>
      <c r="L1841" s="18" t="s">
        <v>52</v>
      </c>
      <c r="M1841" s="19">
        <v>50.0</v>
      </c>
      <c r="N1841" s="19">
        <v>31.0</v>
      </c>
    </row>
    <row r="1842">
      <c r="A1842" s="12">
        <v>1840.0</v>
      </c>
      <c r="B1842" s="13" t="s">
        <v>2895</v>
      </c>
      <c r="C1842" s="14">
        <v>10.0</v>
      </c>
      <c r="D1842" s="15" t="s">
        <v>4060</v>
      </c>
      <c r="E1842" s="16" t="s">
        <v>52</v>
      </c>
      <c r="F1842" s="13" t="s">
        <v>724</v>
      </c>
      <c r="G1842" s="13" t="s">
        <v>1626</v>
      </c>
      <c r="H1842" s="13" t="s">
        <v>4077</v>
      </c>
      <c r="I1842" s="13" t="s">
        <v>63</v>
      </c>
      <c r="J1842" s="17" t="s">
        <v>71</v>
      </c>
      <c r="K1842" s="17" t="s">
        <v>58</v>
      </c>
      <c r="L1842" s="18" t="s">
        <v>52</v>
      </c>
      <c r="M1842" s="19">
        <v>50.0</v>
      </c>
      <c r="N1842" s="19">
        <v>31.0</v>
      </c>
    </row>
    <row r="1843">
      <c r="A1843" s="12">
        <v>1841.0</v>
      </c>
      <c r="B1843" s="13" t="s">
        <v>2895</v>
      </c>
      <c r="C1843" s="14">
        <v>11.0</v>
      </c>
      <c r="D1843" s="15" t="s">
        <v>4060</v>
      </c>
      <c r="E1843" s="16" t="s">
        <v>52</v>
      </c>
      <c r="F1843" s="13" t="s">
        <v>115</v>
      </c>
      <c r="G1843" s="13" t="s">
        <v>117</v>
      </c>
      <c r="H1843" s="13" t="s">
        <v>4078</v>
      </c>
      <c r="I1843" s="13" t="s">
        <v>63</v>
      </c>
      <c r="J1843" s="17" t="s">
        <v>71</v>
      </c>
      <c r="K1843" s="17" t="s">
        <v>58</v>
      </c>
      <c r="L1843" s="18" t="s">
        <v>52</v>
      </c>
      <c r="M1843" s="19">
        <v>50.0</v>
      </c>
      <c r="N1843" s="19">
        <v>31.0</v>
      </c>
    </row>
    <row r="1844">
      <c r="A1844" s="12">
        <v>1842.0</v>
      </c>
      <c r="B1844" s="13" t="s">
        <v>2895</v>
      </c>
      <c r="C1844" s="14">
        <v>12.0</v>
      </c>
      <c r="D1844" s="15" t="s">
        <v>4060</v>
      </c>
      <c r="E1844" s="16" t="s">
        <v>52</v>
      </c>
      <c r="F1844" s="13" t="s">
        <v>731</v>
      </c>
      <c r="G1844" s="13" t="s">
        <v>4079</v>
      </c>
      <c r="H1844" s="13" t="s">
        <v>4077</v>
      </c>
      <c r="I1844" s="13" t="s">
        <v>63</v>
      </c>
      <c r="J1844" s="17" t="s">
        <v>71</v>
      </c>
      <c r="K1844" s="17" t="s">
        <v>58</v>
      </c>
      <c r="L1844" s="18" t="s">
        <v>52</v>
      </c>
      <c r="M1844" s="19">
        <v>50.0</v>
      </c>
      <c r="N1844" s="19">
        <v>31.0</v>
      </c>
    </row>
    <row r="1845">
      <c r="A1845" s="12">
        <v>1843.0</v>
      </c>
      <c r="B1845" s="13" t="s">
        <v>2895</v>
      </c>
      <c r="C1845" s="14">
        <v>13.0</v>
      </c>
      <c r="D1845" s="15" t="s">
        <v>4060</v>
      </c>
      <c r="E1845" s="16" t="s">
        <v>52</v>
      </c>
      <c r="F1845" s="13" t="s">
        <v>4080</v>
      </c>
      <c r="G1845" s="13" t="s">
        <v>4082</v>
      </c>
      <c r="H1845" s="13" t="s">
        <v>4083</v>
      </c>
      <c r="I1845" s="13" t="s">
        <v>63</v>
      </c>
      <c r="J1845" s="17" t="s">
        <v>71</v>
      </c>
      <c r="K1845" s="17" t="s">
        <v>58</v>
      </c>
      <c r="L1845" s="18" t="s">
        <v>52</v>
      </c>
      <c r="M1845" s="19">
        <v>50.0</v>
      </c>
      <c r="N1845" s="19">
        <v>31.0</v>
      </c>
    </row>
    <row r="1846">
      <c r="A1846" s="12">
        <v>1844.0</v>
      </c>
      <c r="B1846" s="13" t="s">
        <v>2895</v>
      </c>
      <c r="C1846" s="14">
        <v>14.0</v>
      </c>
      <c r="D1846" s="15" t="s">
        <v>4060</v>
      </c>
      <c r="E1846" s="16" t="s">
        <v>52</v>
      </c>
      <c r="F1846" s="13" t="s">
        <v>4084</v>
      </c>
      <c r="G1846" s="13" t="s">
        <v>4085</v>
      </c>
      <c r="H1846" s="13" t="s">
        <v>4086</v>
      </c>
      <c r="I1846" s="13" t="s">
        <v>63</v>
      </c>
      <c r="J1846" s="17" t="s">
        <v>71</v>
      </c>
      <c r="K1846" s="17" t="s">
        <v>58</v>
      </c>
      <c r="L1846" s="18" t="s">
        <v>52</v>
      </c>
      <c r="M1846" s="19">
        <v>50.0</v>
      </c>
      <c r="N1846" s="19">
        <v>31.0</v>
      </c>
    </row>
    <row r="1847">
      <c r="A1847" s="12">
        <v>1845.0</v>
      </c>
      <c r="B1847" s="13" t="s">
        <v>2895</v>
      </c>
      <c r="C1847" s="14">
        <v>15.0</v>
      </c>
      <c r="D1847" s="15" t="s">
        <v>4060</v>
      </c>
      <c r="E1847" s="16" t="s">
        <v>52</v>
      </c>
      <c r="F1847" s="13" t="s">
        <v>75</v>
      </c>
      <c r="G1847" s="13" t="s">
        <v>76</v>
      </c>
      <c r="H1847" s="13" t="s">
        <v>4088</v>
      </c>
      <c r="I1847" s="13" t="s">
        <v>63</v>
      </c>
      <c r="J1847" s="17" t="s">
        <v>71</v>
      </c>
      <c r="K1847" s="17" t="s">
        <v>58</v>
      </c>
      <c r="L1847" s="18" t="s">
        <v>52</v>
      </c>
      <c r="M1847" s="19">
        <v>50.0</v>
      </c>
      <c r="N1847" s="19">
        <v>31.0</v>
      </c>
    </row>
    <row r="1848">
      <c r="A1848" s="12">
        <v>1846.0</v>
      </c>
      <c r="B1848" s="13" t="s">
        <v>2895</v>
      </c>
      <c r="C1848" s="14">
        <v>16.0</v>
      </c>
      <c r="D1848" s="15" t="s">
        <v>4060</v>
      </c>
      <c r="E1848" s="16" t="s">
        <v>52</v>
      </c>
      <c r="F1848" s="13" t="s">
        <v>705</v>
      </c>
      <c r="G1848" s="13" t="s">
        <v>4090</v>
      </c>
      <c r="H1848" s="13" t="s">
        <v>4077</v>
      </c>
      <c r="I1848" s="13" t="s">
        <v>63</v>
      </c>
      <c r="J1848" s="17" t="s">
        <v>71</v>
      </c>
      <c r="K1848" s="17" t="s">
        <v>58</v>
      </c>
      <c r="L1848" s="18" t="s">
        <v>52</v>
      </c>
      <c r="M1848" s="19">
        <v>50.0</v>
      </c>
      <c r="N1848" s="19">
        <v>31.0</v>
      </c>
    </row>
    <row r="1849">
      <c r="A1849" s="12">
        <v>1847.0</v>
      </c>
      <c r="B1849" s="13" t="s">
        <v>2895</v>
      </c>
      <c r="C1849" s="14">
        <v>17.0</v>
      </c>
      <c r="D1849" s="15" t="s">
        <v>4060</v>
      </c>
      <c r="E1849" s="16" t="s">
        <v>52</v>
      </c>
      <c r="F1849" s="13" t="s">
        <v>4091</v>
      </c>
      <c r="G1849" s="13" t="s">
        <v>4092</v>
      </c>
      <c r="H1849" s="13" t="s">
        <v>4093</v>
      </c>
      <c r="I1849" s="13" t="s">
        <v>63</v>
      </c>
      <c r="J1849" s="17" t="s">
        <v>71</v>
      </c>
      <c r="K1849" s="17" t="s">
        <v>58</v>
      </c>
      <c r="L1849" s="18" t="s">
        <v>52</v>
      </c>
      <c r="M1849" s="19">
        <v>50.0</v>
      </c>
      <c r="N1849" s="19">
        <v>31.0</v>
      </c>
    </row>
    <row r="1850">
      <c r="A1850" s="12">
        <v>1848.0</v>
      </c>
      <c r="B1850" s="13" t="s">
        <v>2895</v>
      </c>
      <c r="C1850" s="14">
        <v>18.0</v>
      </c>
      <c r="D1850" s="15" t="s">
        <v>4060</v>
      </c>
      <c r="E1850" s="16" t="s">
        <v>52</v>
      </c>
      <c r="F1850" s="13" t="s">
        <v>738</v>
      </c>
      <c r="G1850" s="13" t="s">
        <v>4094</v>
      </c>
      <c r="H1850" s="13" t="s">
        <v>4077</v>
      </c>
      <c r="I1850" s="13" t="s">
        <v>63</v>
      </c>
      <c r="J1850" s="17" t="s">
        <v>71</v>
      </c>
      <c r="K1850" s="17" t="s">
        <v>58</v>
      </c>
      <c r="L1850" s="18" t="s">
        <v>52</v>
      </c>
      <c r="M1850" s="19">
        <v>50.0</v>
      </c>
      <c r="N1850" s="19">
        <v>31.0</v>
      </c>
    </row>
    <row r="1851">
      <c r="A1851" s="12">
        <v>1849.0</v>
      </c>
      <c r="B1851" s="13" t="s">
        <v>2895</v>
      </c>
      <c r="C1851" s="14">
        <v>19.0</v>
      </c>
      <c r="D1851" s="15" t="s">
        <v>4060</v>
      </c>
      <c r="E1851" s="16" t="s">
        <v>52</v>
      </c>
      <c r="F1851" s="13" t="s">
        <v>193</v>
      </c>
      <c r="G1851" s="13" t="s">
        <v>4095</v>
      </c>
      <c r="H1851" s="13" t="s">
        <v>4070</v>
      </c>
      <c r="I1851" s="13" t="s">
        <v>63</v>
      </c>
      <c r="J1851" s="17" t="s">
        <v>71</v>
      </c>
      <c r="K1851" s="17" t="s">
        <v>58</v>
      </c>
      <c r="L1851" s="18" t="s">
        <v>52</v>
      </c>
      <c r="M1851" s="19">
        <v>50.0</v>
      </c>
      <c r="N1851" s="19">
        <v>31.0</v>
      </c>
    </row>
    <row r="1852">
      <c r="A1852" s="12">
        <v>1850.0</v>
      </c>
      <c r="B1852" s="13" t="s">
        <v>2895</v>
      </c>
      <c r="C1852" s="14">
        <v>20.0</v>
      </c>
      <c r="D1852" s="15" t="s">
        <v>4060</v>
      </c>
      <c r="E1852" s="16" t="s">
        <v>52</v>
      </c>
      <c r="F1852" s="13" t="s">
        <v>658</v>
      </c>
      <c r="G1852" s="13" t="s">
        <v>4096</v>
      </c>
      <c r="H1852" s="13" t="s">
        <v>4077</v>
      </c>
      <c r="I1852" s="13" t="s">
        <v>63</v>
      </c>
      <c r="J1852" s="17" t="s">
        <v>71</v>
      </c>
      <c r="K1852" s="17" t="s">
        <v>58</v>
      </c>
      <c r="L1852" s="18" t="s">
        <v>52</v>
      </c>
      <c r="M1852" s="19">
        <v>50.0</v>
      </c>
      <c r="N1852" s="19">
        <v>31.0</v>
      </c>
    </row>
    <row r="1853">
      <c r="A1853" s="12">
        <v>1851.0</v>
      </c>
      <c r="B1853" s="13" t="s">
        <v>2895</v>
      </c>
      <c r="C1853" s="14">
        <v>21.0</v>
      </c>
      <c r="D1853" s="15" t="s">
        <v>4097</v>
      </c>
      <c r="E1853" s="16" t="s">
        <v>52</v>
      </c>
      <c r="F1853" s="13" t="s">
        <v>4098</v>
      </c>
      <c r="G1853" s="13" t="s">
        <v>4099</v>
      </c>
      <c r="H1853" s="13" t="s">
        <v>4100</v>
      </c>
      <c r="I1853" s="13" t="s">
        <v>63</v>
      </c>
      <c r="J1853" s="17" t="s">
        <v>71</v>
      </c>
      <c r="K1853" s="17" t="s">
        <v>58</v>
      </c>
      <c r="L1853" s="18" t="s">
        <v>52</v>
      </c>
      <c r="M1853" s="19">
        <v>50.0</v>
      </c>
      <c r="N1853" s="19">
        <v>31.0</v>
      </c>
    </row>
    <row r="1854">
      <c r="A1854" s="12">
        <v>1852.0</v>
      </c>
      <c r="B1854" s="13" t="s">
        <v>2895</v>
      </c>
      <c r="C1854" s="14">
        <v>22.0</v>
      </c>
      <c r="D1854" s="15" t="s">
        <v>4054</v>
      </c>
      <c r="E1854" s="16" t="s">
        <v>52</v>
      </c>
      <c r="F1854" s="13" t="s">
        <v>3054</v>
      </c>
      <c r="G1854" s="13" t="s">
        <v>3055</v>
      </c>
      <c r="H1854" s="13" t="s">
        <v>4101</v>
      </c>
      <c r="I1854" s="13" t="s">
        <v>63</v>
      </c>
      <c r="J1854" s="17" t="s">
        <v>71</v>
      </c>
      <c r="K1854" s="17" t="s">
        <v>58</v>
      </c>
      <c r="L1854" s="18" t="s">
        <v>52</v>
      </c>
      <c r="M1854" s="19">
        <v>50.0</v>
      </c>
      <c r="N1854" s="19">
        <v>31.0</v>
      </c>
    </row>
    <row r="1855">
      <c r="A1855" s="12">
        <v>1853.0</v>
      </c>
      <c r="B1855" s="13" t="s">
        <v>2895</v>
      </c>
      <c r="C1855" s="14">
        <v>23.0</v>
      </c>
      <c r="D1855" s="15" t="s">
        <v>4054</v>
      </c>
      <c r="E1855" s="16" t="s">
        <v>52</v>
      </c>
      <c r="F1855" s="13" t="s">
        <v>81</v>
      </c>
      <c r="G1855" s="13" t="s">
        <v>4102</v>
      </c>
      <c r="H1855" s="13" t="s">
        <v>4103</v>
      </c>
      <c r="I1855" s="13" t="s">
        <v>63</v>
      </c>
      <c r="J1855" s="17" t="s">
        <v>71</v>
      </c>
      <c r="K1855" s="17" t="s">
        <v>58</v>
      </c>
      <c r="L1855" s="18" t="s">
        <v>52</v>
      </c>
      <c r="M1855" s="19">
        <v>50.0</v>
      </c>
      <c r="N1855" s="19">
        <v>31.0</v>
      </c>
    </row>
    <row r="1856">
      <c r="A1856" s="12">
        <v>1854.0</v>
      </c>
      <c r="B1856" s="13" t="s">
        <v>2895</v>
      </c>
      <c r="C1856" s="14">
        <v>24.0</v>
      </c>
      <c r="D1856" s="15" t="s">
        <v>4054</v>
      </c>
      <c r="E1856" s="16" t="s">
        <v>52</v>
      </c>
      <c r="F1856" s="13" t="s">
        <v>3079</v>
      </c>
      <c r="G1856" s="13" t="s">
        <v>3080</v>
      </c>
      <c r="H1856" s="13" t="s">
        <v>4104</v>
      </c>
      <c r="I1856" s="13" t="s">
        <v>63</v>
      </c>
      <c r="J1856" s="17" t="s">
        <v>71</v>
      </c>
      <c r="K1856" s="17" t="s">
        <v>58</v>
      </c>
      <c r="L1856" s="18" t="s">
        <v>52</v>
      </c>
      <c r="M1856" s="19">
        <v>50.0</v>
      </c>
      <c r="N1856" s="19">
        <v>31.0</v>
      </c>
    </row>
    <row r="1857">
      <c r="A1857" s="12">
        <v>1855.0</v>
      </c>
      <c r="B1857" s="13" t="s">
        <v>2895</v>
      </c>
      <c r="C1857" s="14">
        <v>25.0</v>
      </c>
      <c r="D1857" s="15" t="s">
        <v>4054</v>
      </c>
      <c r="E1857" s="16" t="s">
        <v>52</v>
      </c>
      <c r="F1857" s="13" t="s">
        <v>3295</v>
      </c>
      <c r="G1857" s="13" t="s">
        <v>4106</v>
      </c>
      <c r="H1857" s="13" t="s">
        <v>4107</v>
      </c>
      <c r="I1857" s="13" t="s">
        <v>63</v>
      </c>
      <c r="J1857" s="17" t="s">
        <v>71</v>
      </c>
      <c r="K1857" s="17" t="s">
        <v>58</v>
      </c>
      <c r="L1857" s="18" t="s">
        <v>52</v>
      </c>
      <c r="M1857" s="19">
        <v>50.0</v>
      </c>
      <c r="N1857" s="19">
        <v>31.0</v>
      </c>
    </row>
    <row r="1858">
      <c r="A1858" s="12">
        <v>1856.0</v>
      </c>
      <c r="B1858" s="13" t="s">
        <v>2895</v>
      </c>
      <c r="C1858" s="14">
        <v>26.0</v>
      </c>
      <c r="D1858" s="15" t="s">
        <v>4054</v>
      </c>
      <c r="E1858" s="16" t="s">
        <v>52</v>
      </c>
      <c r="F1858" s="13" t="s">
        <v>3351</v>
      </c>
      <c r="G1858" s="13" t="s">
        <v>4108</v>
      </c>
      <c r="H1858" s="13" t="s">
        <v>4109</v>
      </c>
      <c r="I1858" s="13" t="s">
        <v>63</v>
      </c>
      <c r="J1858" s="17" t="s">
        <v>71</v>
      </c>
      <c r="K1858" s="17" t="s">
        <v>58</v>
      </c>
      <c r="L1858" s="18" t="s">
        <v>52</v>
      </c>
      <c r="M1858" s="19">
        <v>50.0</v>
      </c>
      <c r="N1858" s="19">
        <v>31.0</v>
      </c>
    </row>
    <row r="1859">
      <c r="A1859" s="12">
        <v>1857.0</v>
      </c>
      <c r="B1859" s="13" t="s">
        <v>2895</v>
      </c>
      <c r="C1859" s="14">
        <v>27.0</v>
      </c>
      <c r="D1859" s="15" t="s">
        <v>4054</v>
      </c>
      <c r="E1859" s="16" t="s">
        <v>52</v>
      </c>
      <c r="F1859" s="13" t="s">
        <v>4112</v>
      </c>
      <c r="G1859" s="13" t="s">
        <v>4113</v>
      </c>
      <c r="H1859" s="13" t="s">
        <v>4114</v>
      </c>
      <c r="I1859" s="13" t="s">
        <v>63</v>
      </c>
      <c r="J1859" s="17" t="s">
        <v>71</v>
      </c>
      <c r="K1859" s="17" t="s">
        <v>58</v>
      </c>
      <c r="L1859" s="18" t="s">
        <v>52</v>
      </c>
      <c r="M1859" s="19">
        <v>50.0</v>
      </c>
      <c r="N1859" s="19">
        <v>31.0</v>
      </c>
    </row>
    <row r="1860">
      <c r="A1860" s="12">
        <v>1858.0</v>
      </c>
      <c r="B1860" s="13" t="s">
        <v>2895</v>
      </c>
      <c r="C1860" s="14">
        <v>28.0</v>
      </c>
      <c r="D1860" s="15" t="s">
        <v>4054</v>
      </c>
      <c r="E1860" s="16" t="s">
        <v>52</v>
      </c>
      <c r="F1860" s="13" t="s">
        <v>2883</v>
      </c>
      <c r="G1860" s="13" t="s">
        <v>4115</v>
      </c>
      <c r="H1860" s="13" t="s">
        <v>4117</v>
      </c>
      <c r="I1860" s="13" t="s">
        <v>63</v>
      </c>
      <c r="J1860" s="17" t="s">
        <v>71</v>
      </c>
      <c r="K1860" s="17" t="s">
        <v>58</v>
      </c>
      <c r="L1860" s="18" t="s">
        <v>52</v>
      </c>
      <c r="M1860" s="19">
        <v>50.0</v>
      </c>
      <c r="N1860" s="19">
        <v>31.0</v>
      </c>
    </row>
    <row r="1861">
      <c r="A1861" s="12">
        <v>1859.0</v>
      </c>
      <c r="B1861" s="13" t="s">
        <v>2895</v>
      </c>
      <c r="C1861" s="14">
        <v>29.0</v>
      </c>
      <c r="D1861" s="15" t="s">
        <v>4054</v>
      </c>
      <c r="E1861" s="16" t="s">
        <v>52</v>
      </c>
      <c r="F1861" s="13" t="s">
        <v>1690</v>
      </c>
      <c r="G1861" s="13" t="s">
        <v>1691</v>
      </c>
      <c r="H1861" s="13" t="s">
        <v>4118</v>
      </c>
      <c r="I1861" s="13" t="s">
        <v>63</v>
      </c>
      <c r="J1861" s="17" t="s">
        <v>71</v>
      </c>
      <c r="K1861" s="17" t="s">
        <v>58</v>
      </c>
      <c r="L1861" s="18" t="s">
        <v>52</v>
      </c>
      <c r="M1861" s="19">
        <v>50.0</v>
      </c>
      <c r="N1861" s="19">
        <v>31.0</v>
      </c>
    </row>
    <row r="1862">
      <c r="A1862" s="12">
        <v>1860.0</v>
      </c>
      <c r="B1862" s="13" t="s">
        <v>2895</v>
      </c>
      <c r="C1862" s="14">
        <v>30.0</v>
      </c>
      <c r="D1862" s="15" t="s">
        <v>4054</v>
      </c>
      <c r="E1862" s="16" t="s">
        <v>52</v>
      </c>
      <c r="F1862" s="13" t="s">
        <v>60</v>
      </c>
      <c r="G1862" s="13" t="s">
        <v>61</v>
      </c>
      <c r="H1862" s="13" t="s">
        <v>4119</v>
      </c>
      <c r="I1862" s="13" t="s">
        <v>63</v>
      </c>
      <c r="J1862" s="17" t="s">
        <v>71</v>
      </c>
      <c r="K1862" s="17" t="s">
        <v>58</v>
      </c>
      <c r="L1862" s="18" t="s">
        <v>52</v>
      </c>
      <c r="M1862" s="19">
        <v>50.0</v>
      </c>
      <c r="N1862" s="19">
        <v>31.0</v>
      </c>
    </row>
    <row r="1863">
      <c r="A1863" s="12">
        <v>1861.0</v>
      </c>
      <c r="B1863" s="13" t="s">
        <v>4121</v>
      </c>
      <c r="C1863" s="14">
        <v>1.0</v>
      </c>
      <c r="D1863" s="15" t="s">
        <v>4122</v>
      </c>
      <c r="E1863" s="16" t="s">
        <v>52</v>
      </c>
      <c r="F1863" s="13" t="s">
        <v>1284</v>
      </c>
      <c r="G1863" s="13" t="s">
        <v>4123</v>
      </c>
      <c r="H1863" s="13" t="s">
        <v>4124</v>
      </c>
      <c r="I1863" s="13" t="s">
        <v>63</v>
      </c>
      <c r="J1863" s="17" t="s">
        <v>71</v>
      </c>
      <c r="K1863" s="17" t="s">
        <v>58</v>
      </c>
      <c r="L1863" s="18" t="s">
        <v>52</v>
      </c>
      <c r="M1863" s="19">
        <v>51.0</v>
      </c>
      <c r="N1863" s="19">
        <v>31.0</v>
      </c>
    </row>
    <row r="1864">
      <c r="A1864" s="12">
        <v>1862.0</v>
      </c>
      <c r="B1864" s="13" t="s">
        <v>4121</v>
      </c>
      <c r="C1864" s="14">
        <v>2.0</v>
      </c>
      <c r="D1864" s="15" t="s">
        <v>4122</v>
      </c>
      <c r="E1864" s="16" t="s">
        <v>52</v>
      </c>
      <c r="F1864" s="13" t="s">
        <v>4126</v>
      </c>
      <c r="G1864" s="13" t="s">
        <v>61</v>
      </c>
      <c r="H1864" s="13" t="s">
        <v>4127</v>
      </c>
      <c r="I1864" s="13" t="s">
        <v>63</v>
      </c>
      <c r="J1864" s="17" t="s">
        <v>71</v>
      </c>
      <c r="K1864" s="17" t="s">
        <v>58</v>
      </c>
      <c r="L1864" s="18" t="s">
        <v>52</v>
      </c>
      <c r="M1864" s="19">
        <v>51.0</v>
      </c>
      <c r="N1864" s="19">
        <v>31.0</v>
      </c>
    </row>
    <row r="1865">
      <c r="A1865" s="12">
        <v>1863.0</v>
      </c>
      <c r="B1865" s="13" t="s">
        <v>4121</v>
      </c>
      <c r="C1865" s="14">
        <v>3.0</v>
      </c>
      <c r="D1865" s="15" t="s">
        <v>4122</v>
      </c>
      <c r="E1865" s="16" t="s">
        <v>52</v>
      </c>
      <c r="F1865" s="13" t="s">
        <v>4128</v>
      </c>
      <c r="G1865" s="13" t="s">
        <v>61</v>
      </c>
      <c r="H1865" s="13" t="s">
        <v>4127</v>
      </c>
      <c r="I1865" s="13" t="s">
        <v>63</v>
      </c>
      <c r="J1865" s="17" t="s">
        <v>71</v>
      </c>
      <c r="K1865" s="17" t="s">
        <v>58</v>
      </c>
      <c r="L1865" s="18" t="s">
        <v>52</v>
      </c>
      <c r="M1865" s="19">
        <v>51.0</v>
      </c>
      <c r="N1865" s="19">
        <v>31.0</v>
      </c>
    </row>
    <row r="1866">
      <c r="A1866" s="12">
        <v>1864.0</v>
      </c>
      <c r="B1866" s="13" t="s">
        <v>4121</v>
      </c>
      <c r="C1866" s="14">
        <v>4.0</v>
      </c>
      <c r="D1866" s="15" t="s">
        <v>4122</v>
      </c>
      <c r="E1866" s="16" t="s">
        <v>52</v>
      </c>
      <c r="F1866" s="13" t="s">
        <v>4130</v>
      </c>
      <c r="G1866" s="13" t="s">
        <v>61</v>
      </c>
      <c r="H1866" s="13" t="s">
        <v>4131</v>
      </c>
      <c r="I1866" s="13" t="s">
        <v>63</v>
      </c>
      <c r="J1866" s="17" t="s">
        <v>71</v>
      </c>
      <c r="K1866" s="17" t="s">
        <v>58</v>
      </c>
      <c r="L1866" s="18" t="s">
        <v>52</v>
      </c>
      <c r="M1866" s="19">
        <v>51.0</v>
      </c>
      <c r="N1866" s="19">
        <v>31.0</v>
      </c>
    </row>
    <row r="1867">
      <c r="A1867" s="12">
        <v>1865.0</v>
      </c>
      <c r="B1867" s="13" t="s">
        <v>4121</v>
      </c>
      <c r="C1867" s="14">
        <v>5.0</v>
      </c>
      <c r="D1867" s="15" t="s">
        <v>4122</v>
      </c>
      <c r="E1867" s="16" t="s">
        <v>52</v>
      </c>
      <c r="F1867" s="13" t="s">
        <v>4132</v>
      </c>
      <c r="G1867" s="13" t="s">
        <v>4133</v>
      </c>
      <c r="H1867" s="13" t="s">
        <v>4134</v>
      </c>
      <c r="I1867" s="13" t="s">
        <v>63</v>
      </c>
      <c r="J1867" s="17" t="s">
        <v>71</v>
      </c>
      <c r="K1867" s="17" t="s">
        <v>58</v>
      </c>
      <c r="L1867" s="18" t="s">
        <v>52</v>
      </c>
      <c r="M1867" s="19">
        <v>51.0</v>
      </c>
      <c r="N1867" s="19">
        <v>31.0</v>
      </c>
    </row>
    <row r="1868">
      <c r="A1868" s="12">
        <v>1866.0</v>
      </c>
      <c r="B1868" s="13" t="s">
        <v>4121</v>
      </c>
      <c r="C1868" s="14">
        <v>6.0</v>
      </c>
      <c r="D1868" s="15" t="s">
        <v>4122</v>
      </c>
      <c r="E1868" s="16" t="s">
        <v>52</v>
      </c>
      <c r="F1868" s="13" t="s">
        <v>4136</v>
      </c>
      <c r="G1868" s="13" t="s">
        <v>4137</v>
      </c>
      <c r="H1868" s="13" t="s">
        <v>4138</v>
      </c>
      <c r="I1868" s="13" t="s">
        <v>63</v>
      </c>
      <c r="J1868" s="17" t="s">
        <v>71</v>
      </c>
      <c r="K1868" s="17" t="s">
        <v>58</v>
      </c>
      <c r="L1868" s="18" t="s">
        <v>52</v>
      </c>
      <c r="M1868" s="19">
        <v>51.0</v>
      </c>
      <c r="N1868" s="19">
        <v>31.0</v>
      </c>
    </row>
    <row r="1869">
      <c r="A1869" s="12">
        <v>1867.0</v>
      </c>
      <c r="B1869" s="13" t="s">
        <v>4121</v>
      </c>
      <c r="C1869" s="14">
        <v>7.0</v>
      </c>
      <c r="D1869" s="15" t="s">
        <v>4122</v>
      </c>
      <c r="E1869" s="16" t="s">
        <v>52</v>
      </c>
      <c r="F1869" s="13" t="s">
        <v>4139</v>
      </c>
      <c r="G1869" s="13" t="s">
        <v>61</v>
      </c>
      <c r="H1869" s="13" t="s">
        <v>4140</v>
      </c>
      <c r="I1869" s="13" t="s">
        <v>63</v>
      </c>
      <c r="J1869" s="17" t="s">
        <v>71</v>
      </c>
      <c r="K1869" s="17" t="s">
        <v>58</v>
      </c>
      <c r="L1869" s="18" t="s">
        <v>52</v>
      </c>
      <c r="M1869" s="19">
        <v>51.0</v>
      </c>
      <c r="N1869" s="19">
        <v>31.0</v>
      </c>
    </row>
    <row r="1870">
      <c r="A1870" s="12">
        <v>1868.0</v>
      </c>
      <c r="B1870" s="13" t="s">
        <v>4121</v>
      </c>
      <c r="C1870" s="14">
        <v>8.0</v>
      </c>
      <c r="D1870" s="15" t="s">
        <v>4122</v>
      </c>
      <c r="E1870" s="16" t="s">
        <v>52</v>
      </c>
      <c r="F1870" s="13" t="s">
        <v>4141</v>
      </c>
      <c r="G1870" s="13" t="s">
        <v>4142</v>
      </c>
      <c r="H1870" s="13" t="s">
        <v>4143</v>
      </c>
      <c r="I1870" s="13" t="s">
        <v>63</v>
      </c>
      <c r="J1870" s="17" t="s">
        <v>71</v>
      </c>
      <c r="K1870" s="17" t="s">
        <v>58</v>
      </c>
      <c r="L1870" s="18" t="s">
        <v>52</v>
      </c>
      <c r="M1870" s="19">
        <v>51.0</v>
      </c>
      <c r="N1870" s="19">
        <v>31.0</v>
      </c>
    </row>
    <row r="1871">
      <c r="A1871" s="12">
        <v>1869.0</v>
      </c>
      <c r="B1871" s="13" t="s">
        <v>4121</v>
      </c>
      <c r="C1871" s="14">
        <v>9.0</v>
      </c>
      <c r="D1871" s="15" t="s">
        <v>4122</v>
      </c>
      <c r="E1871" s="16" t="s">
        <v>52</v>
      </c>
      <c r="F1871" s="13" t="s">
        <v>4144</v>
      </c>
      <c r="G1871" s="13" t="s">
        <v>4145</v>
      </c>
      <c r="H1871" s="13" t="s">
        <v>4146</v>
      </c>
      <c r="I1871" s="13" t="s">
        <v>63</v>
      </c>
      <c r="J1871" s="17" t="s">
        <v>71</v>
      </c>
      <c r="K1871" s="17" t="s">
        <v>58</v>
      </c>
      <c r="L1871" s="18" t="s">
        <v>52</v>
      </c>
      <c r="M1871" s="19">
        <v>51.0</v>
      </c>
      <c r="N1871" s="19">
        <v>31.0</v>
      </c>
    </row>
    <row r="1872">
      <c r="A1872" s="12">
        <v>1870.0</v>
      </c>
      <c r="B1872" s="13" t="s">
        <v>4121</v>
      </c>
      <c r="C1872" s="14">
        <v>10.0</v>
      </c>
      <c r="D1872" s="15" t="s">
        <v>4122</v>
      </c>
      <c r="E1872" s="16" t="s">
        <v>52</v>
      </c>
      <c r="F1872" s="13" t="s">
        <v>2432</v>
      </c>
      <c r="G1872" s="13" t="s">
        <v>4147</v>
      </c>
      <c r="H1872" s="13" t="s">
        <v>4148</v>
      </c>
      <c r="I1872" s="13" t="s">
        <v>63</v>
      </c>
      <c r="J1872" s="17" t="s">
        <v>71</v>
      </c>
      <c r="K1872" s="17" t="s">
        <v>58</v>
      </c>
      <c r="L1872" s="18" t="s">
        <v>52</v>
      </c>
      <c r="M1872" s="19">
        <v>51.0</v>
      </c>
      <c r="N1872" s="19">
        <v>31.0</v>
      </c>
    </row>
    <row r="1873">
      <c r="A1873" s="12">
        <v>1871.0</v>
      </c>
      <c r="B1873" s="13" t="s">
        <v>4121</v>
      </c>
      <c r="C1873" s="14">
        <v>11.0</v>
      </c>
      <c r="D1873" s="15" t="s">
        <v>4122</v>
      </c>
      <c r="E1873" s="16" t="s">
        <v>52</v>
      </c>
      <c r="F1873" s="13" t="s">
        <v>2928</v>
      </c>
      <c r="G1873" s="13" t="s">
        <v>4149</v>
      </c>
      <c r="H1873" s="13" t="s">
        <v>4150</v>
      </c>
      <c r="I1873" s="13" t="s">
        <v>63</v>
      </c>
      <c r="J1873" s="17" t="s">
        <v>71</v>
      </c>
      <c r="K1873" s="17" t="s">
        <v>58</v>
      </c>
      <c r="L1873" s="18" t="s">
        <v>52</v>
      </c>
      <c r="M1873" s="19">
        <v>51.0</v>
      </c>
      <c r="N1873" s="19">
        <v>31.0</v>
      </c>
    </row>
    <row r="1874">
      <c r="A1874" s="12">
        <v>1872.0</v>
      </c>
      <c r="B1874" s="13" t="s">
        <v>4121</v>
      </c>
      <c r="C1874" s="14">
        <v>12.0</v>
      </c>
      <c r="D1874" s="15" t="s">
        <v>4122</v>
      </c>
      <c r="E1874" s="16" t="s">
        <v>52</v>
      </c>
      <c r="F1874" s="13" t="s">
        <v>4151</v>
      </c>
      <c r="G1874" s="13" t="s">
        <v>4152</v>
      </c>
      <c r="H1874" s="13" t="s">
        <v>4153</v>
      </c>
      <c r="I1874" s="13" t="s">
        <v>63</v>
      </c>
      <c r="J1874" s="17" t="s">
        <v>71</v>
      </c>
      <c r="K1874" s="17" t="s">
        <v>58</v>
      </c>
      <c r="L1874" s="18" t="s">
        <v>52</v>
      </c>
      <c r="M1874" s="19">
        <v>51.0</v>
      </c>
      <c r="N1874" s="19">
        <v>31.0</v>
      </c>
    </row>
    <row r="1875">
      <c r="A1875" s="12">
        <v>1873.0</v>
      </c>
      <c r="B1875" s="13" t="s">
        <v>4121</v>
      </c>
      <c r="C1875" s="14">
        <v>13.0</v>
      </c>
      <c r="D1875" s="15" t="s">
        <v>4122</v>
      </c>
      <c r="E1875" s="16" t="s">
        <v>52</v>
      </c>
      <c r="F1875" s="13" t="s">
        <v>4154</v>
      </c>
      <c r="G1875" s="13" t="s">
        <v>4155</v>
      </c>
      <c r="H1875" s="13" t="s">
        <v>4156</v>
      </c>
      <c r="I1875" s="13" t="s">
        <v>63</v>
      </c>
      <c r="J1875" s="17" t="s">
        <v>71</v>
      </c>
      <c r="K1875" s="17" t="s">
        <v>58</v>
      </c>
      <c r="L1875" s="18" t="s">
        <v>52</v>
      </c>
      <c r="M1875" s="19">
        <v>51.0</v>
      </c>
      <c r="N1875" s="19">
        <v>31.0</v>
      </c>
    </row>
    <row r="1876">
      <c r="A1876" s="12">
        <v>1874.0</v>
      </c>
      <c r="B1876" s="13" t="s">
        <v>4121</v>
      </c>
      <c r="C1876" s="14">
        <v>14.0</v>
      </c>
      <c r="D1876" s="15" t="s">
        <v>4122</v>
      </c>
      <c r="E1876" s="16" t="s">
        <v>52</v>
      </c>
      <c r="F1876" s="13" t="s">
        <v>2445</v>
      </c>
      <c r="G1876" s="13" t="s">
        <v>4157</v>
      </c>
      <c r="H1876" s="13" t="s">
        <v>4158</v>
      </c>
      <c r="I1876" s="13" t="s">
        <v>63</v>
      </c>
      <c r="J1876" s="17" t="s">
        <v>71</v>
      </c>
      <c r="K1876" s="17" t="s">
        <v>58</v>
      </c>
      <c r="L1876" s="18" t="s">
        <v>52</v>
      </c>
      <c r="M1876" s="19">
        <v>51.0</v>
      </c>
      <c r="N1876" s="19">
        <v>31.0</v>
      </c>
    </row>
    <row r="1877">
      <c r="A1877" s="12">
        <v>1875.0</v>
      </c>
      <c r="B1877" s="13" t="s">
        <v>4121</v>
      </c>
      <c r="C1877" s="14">
        <v>15.0</v>
      </c>
      <c r="D1877" s="15" t="s">
        <v>4122</v>
      </c>
      <c r="E1877" s="16" t="s">
        <v>52</v>
      </c>
      <c r="F1877" s="13" t="s">
        <v>4159</v>
      </c>
      <c r="G1877" s="13" t="s">
        <v>4160</v>
      </c>
      <c r="H1877" s="13" t="s">
        <v>4161</v>
      </c>
      <c r="I1877" s="13" t="s">
        <v>63</v>
      </c>
      <c r="J1877" s="17" t="s">
        <v>71</v>
      </c>
      <c r="K1877" s="17" t="s">
        <v>58</v>
      </c>
      <c r="L1877" s="18" t="s">
        <v>52</v>
      </c>
      <c r="M1877" s="19">
        <v>51.0</v>
      </c>
      <c r="N1877" s="19">
        <v>31.0</v>
      </c>
    </row>
    <row r="1878">
      <c r="A1878" s="12">
        <v>1876.0</v>
      </c>
      <c r="B1878" s="13" t="s">
        <v>4121</v>
      </c>
      <c r="C1878" s="14">
        <v>16.0</v>
      </c>
      <c r="D1878" s="15" t="s">
        <v>4122</v>
      </c>
      <c r="E1878" s="16" t="s">
        <v>52</v>
      </c>
      <c r="F1878" s="13" t="s">
        <v>4162</v>
      </c>
      <c r="G1878" s="13" t="s">
        <v>4163</v>
      </c>
      <c r="H1878" s="13" t="s">
        <v>4164</v>
      </c>
      <c r="I1878" s="13" t="s">
        <v>63</v>
      </c>
      <c r="J1878" s="17" t="s">
        <v>71</v>
      </c>
      <c r="K1878" s="17" t="s">
        <v>58</v>
      </c>
      <c r="L1878" s="18" t="s">
        <v>52</v>
      </c>
      <c r="M1878" s="19">
        <v>51.0</v>
      </c>
      <c r="N1878" s="19">
        <v>31.0</v>
      </c>
    </row>
    <row r="1879">
      <c r="A1879" s="12">
        <v>1877.0</v>
      </c>
      <c r="B1879" s="13" t="s">
        <v>4121</v>
      </c>
      <c r="C1879" s="14">
        <v>17.0</v>
      </c>
      <c r="D1879" s="15" t="s">
        <v>4122</v>
      </c>
      <c r="E1879" s="16" t="s">
        <v>52</v>
      </c>
      <c r="F1879" s="13" t="s">
        <v>4165</v>
      </c>
      <c r="G1879" s="13" t="s">
        <v>4166</v>
      </c>
      <c r="H1879" s="13" t="s">
        <v>4167</v>
      </c>
      <c r="I1879" s="13" t="s">
        <v>63</v>
      </c>
      <c r="J1879" s="17" t="s">
        <v>71</v>
      </c>
      <c r="K1879" s="17" t="s">
        <v>58</v>
      </c>
      <c r="L1879" s="18" t="s">
        <v>52</v>
      </c>
      <c r="M1879" s="19">
        <v>51.0</v>
      </c>
      <c r="N1879" s="19">
        <v>31.0</v>
      </c>
    </row>
    <row r="1880">
      <c r="A1880" s="12">
        <v>1878.0</v>
      </c>
      <c r="B1880" s="13" t="s">
        <v>4121</v>
      </c>
      <c r="C1880" s="14">
        <v>18.0</v>
      </c>
      <c r="D1880" s="15" t="s">
        <v>4122</v>
      </c>
      <c r="E1880" s="16" t="s">
        <v>52</v>
      </c>
      <c r="F1880" s="13" t="s">
        <v>2601</v>
      </c>
      <c r="G1880" s="13" t="s">
        <v>4137</v>
      </c>
      <c r="H1880" s="13" t="s">
        <v>4168</v>
      </c>
      <c r="I1880" s="13" t="s">
        <v>63</v>
      </c>
      <c r="J1880" s="17" t="s">
        <v>71</v>
      </c>
      <c r="K1880" s="17" t="s">
        <v>58</v>
      </c>
      <c r="L1880" s="18" t="s">
        <v>52</v>
      </c>
      <c r="M1880" s="19">
        <v>51.0</v>
      </c>
      <c r="N1880" s="19">
        <v>31.0</v>
      </c>
    </row>
    <row r="1881">
      <c r="A1881" s="12">
        <v>1879.0</v>
      </c>
      <c r="B1881" s="13" t="s">
        <v>4121</v>
      </c>
      <c r="C1881" s="14">
        <v>19.0</v>
      </c>
      <c r="D1881" s="15" t="s">
        <v>4122</v>
      </c>
      <c r="E1881" s="16" t="s">
        <v>52</v>
      </c>
      <c r="F1881" s="13" t="s">
        <v>4169</v>
      </c>
      <c r="G1881" s="13" t="s">
        <v>4170</v>
      </c>
      <c r="H1881" s="13" t="s">
        <v>4171</v>
      </c>
      <c r="I1881" s="13" t="s">
        <v>63</v>
      </c>
      <c r="J1881" s="17" t="s">
        <v>71</v>
      </c>
      <c r="K1881" s="17" t="s">
        <v>58</v>
      </c>
      <c r="L1881" s="18" t="s">
        <v>52</v>
      </c>
      <c r="M1881" s="19">
        <v>51.0</v>
      </c>
      <c r="N1881" s="19">
        <v>31.0</v>
      </c>
    </row>
    <row r="1882">
      <c r="A1882" s="12">
        <v>1880.0</v>
      </c>
      <c r="B1882" s="13" t="s">
        <v>4121</v>
      </c>
      <c r="C1882" s="14">
        <v>20.0</v>
      </c>
      <c r="D1882" s="15" t="s">
        <v>4173</v>
      </c>
      <c r="E1882" s="16" t="s">
        <v>52</v>
      </c>
      <c r="F1882" s="13" t="s">
        <v>1896</v>
      </c>
      <c r="G1882" s="13" t="s">
        <v>4174</v>
      </c>
      <c r="H1882" s="13" t="s">
        <v>4175</v>
      </c>
      <c r="I1882" s="13" t="s">
        <v>63</v>
      </c>
      <c r="J1882" s="17" t="s">
        <v>71</v>
      </c>
      <c r="K1882" s="17" t="s">
        <v>58</v>
      </c>
      <c r="L1882" s="18" t="s">
        <v>52</v>
      </c>
      <c r="M1882" s="19">
        <v>51.0</v>
      </c>
      <c r="N1882" s="19">
        <v>31.0</v>
      </c>
    </row>
    <row r="1883">
      <c r="A1883" s="12">
        <v>1881.0</v>
      </c>
      <c r="B1883" s="13" t="s">
        <v>4121</v>
      </c>
      <c r="C1883" s="14">
        <v>21.0</v>
      </c>
      <c r="D1883" s="15" t="s">
        <v>4122</v>
      </c>
      <c r="E1883" s="16" t="s">
        <v>52</v>
      </c>
      <c r="F1883" s="13" t="s">
        <v>2239</v>
      </c>
      <c r="G1883" s="13" t="s">
        <v>415</v>
      </c>
      <c r="H1883" s="13" t="s">
        <v>415</v>
      </c>
      <c r="I1883" s="13" t="s">
        <v>416</v>
      </c>
      <c r="J1883" s="17" t="s">
        <v>418</v>
      </c>
      <c r="K1883" s="17" t="s">
        <v>420</v>
      </c>
      <c r="L1883" s="18" t="s">
        <v>52</v>
      </c>
      <c r="M1883" s="19">
        <v>51.0</v>
      </c>
      <c r="N1883" s="19">
        <v>41.0</v>
      </c>
    </row>
    <row r="1884">
      <c r="A1884" s="12">
        <v>1882.0</v>
      </c>
      <c r="B1884" s="13" t="s">
        <v>4121</v>
      </c>
      <c r="C1884" s="14">
        <v>22.0</v>
      </c>
      <c r="D1884" s="15" t="s">
        <v>4173</v>
      </c>
      <c r="E1884" s="16" t="s">
        <v>52</v>
      </c>
      <c r="F1884" s="13" t="s">
        <v>4176</v>
      </c>
      <c r="G1884" s="13" t="s">
        <v>415</v>
      </c>
      <c r="H1884" s="13" t="s">
        <v>415</v>
      </c>
      <c r="I1884" s="13" t="s">
        <v>416</v>
      </c>
      <c r="J1884" s="17" t="s">
        <v>418</v>
      </c>
      <c r="K1884" s="17" t="s">
        <v>420</v>
      </c>
      <c r="L1884" s="18" t="s">
        <v>52</v>
      </c>
      <c r="M1884" s="19">
        <v>51.0</v>
      </c>
      <c r="N1884" s="19">
        <v>41.0</v>
      </c>
    </row>
    <row r="1885">
      <c r="A1885" s="12">
        <v>1883.0</v>
      </c>
      <c r="B1885" s="13" t="s">
        <v>4121</v>
      </c>
      <c r="C1885" s="14">
        <v>23.0</v>
      </c>
      <c r="D1885" s="15" t="s">
        <v>4173</v>
      </c>
      <c r="E1885" s="16" t="s">
        <v>52</v>
      </c>
      <c r="F1885" s="13" t="s">
        <v>4177</v>
      </c>
      <c r="G1885" s="13" t="s">
        <v>415</v>
      </c>
      <c r="H1885" s="13" t="s">
        <v>415</v>
      </c>
      <c r="I1885" s="13" t="s">
        <v>416</v>
      </c>
      <c r="J1885" s="17" t="s">
        <v>418</v>
      </c>
      <c r="K1885" s="17" t="s">
        <v>420</v>
      </c>
      <c r="L1885" s="18" t="s">
        <v>52</v>
      </c>
      <c r="M1885" s="19">
        <v>51.0</v>
      </c>
      <c r="N1885" s="19">
        <v>41.0</v>
      </c>
    </row>
    <row r="1886">
      <c r="A1886" s="12">
        <v>1884.0</v>
      </c>
      <c r="B1886" s="13" t="s">
        <v>4121</v>
      </c>
      <c r="C1886" s="14">
        <v>24.0</v>
      </c>
      <c r="D1886" s="15" t="s">
        <v>4173</v>
      </c>
      <c r="E1886" s="16" t="s">
        <v>52</v>
      </c>
      <c r="F1886" s="13" t="s">
        <v>4178</v>
      </c>
      <c r="G1886" s="13" t="s">
        <v>415</v>
      </c>
      <c r="H1886" s="13" t="s">
        <v>415</v>
      </c>
      <c r="I1886" s="13" t="s">
        <v>416</v>
      </c>
      <c r="J1886" s="17" t="s">
        <v>418</v>
      </c>
      <c r="K1886" s="17" t="s">
        <v>420</v>
      </c>
      <c r="L1886" s="18" t="s">
        <v>52</v>
      </c>
      <c r="M1886" s="19">
        <v>51.0</v>
      </c>
      <c r="N1886" s="19">
        <v>41.0</v>
      </c>
    </row>
    <row r="1887">
      <c r="A1887" s="12">
        <v>1885.0</v>
      </c>
      <c r="B1887" s="13" t="s">
        <v>4121</v>
      </c>
      <c r="C1887" s="14">
        <v>25.0</v>
      </c>
      <c r="D1887" s="15" t="s">
        <v>4173</v>
      </c>
      <c r="E1887" s="16" t="s">
        <v>52</v>
      </c>
      <c r="F1887" s="13" t="s">
        <v>4179</v>
      </c>
      <c r="G1887" s="13" t="s">
        <v>415</v>
      </c>
      <c r="H1887" s="13" t="s">
        <v>415</v>
      </c>
      <c r="I1887" s="13" t="s">
        <v>416</v>
      </c>
      <c r="J1887" s="17" t="s">
        <v>418</v>
      </c>
      <c r="K1887" s="17" t="s">
        <v>420</v>
      </c>
      <c r="L1887" s="18" t="s">
        <v>52</v>
      </c>
      <c r="M1887" s="19">
        <v>51.0</v>
      </c>
      <c r="N1887" s="19">
        <v>41.0</v>
      </c>
    </row>
    <row r="1888">
      <c r="A1888" s="12">
        <v>1886.0</v>
      </c>
      <c r="B1888" s="13" t="s">
        <v>4121</v>
      </c>
      <c r="C1888" s="14">
        <v>26.0</v>
      </c>
      <c r="D1888" s="15" t="s">
        <v>4173</v>
      </c>
      <c r="E1888" s="16" t="s">
        <v>52</v>
      </c>
      <c r="F1888" s="13" t="s">
        <v>2643</v>
      </c>
      <c r="G1888" s="13" t="s">
        <v>415</v>
      </c>
      <c r="H1888" s="13" t="s">
        <v>415</v>
      </c>
      <c r="I1888" s="13" t="s">
        <v>416</v>
      </c>
      <c r="J1888" s="17" t="s">
        <v>418</v>
      </c>
      <c r="K1888" s="17" t="s">
        <v>420</v>
      </c>
      <c r="L1888" s="18" t="s">
        <v>52</v>
      </c>
      <c r="M1888" s="19">
        <v>51.0</v>
      </c>
      <c r="N1888" s="19">
        <v>41.0</v>
      </c>
    </row>
    <row r="1889">
      <c r="A1889" s="12">
        <v>1887.0</v>
      </c>
      <c r="B1889" s="13" t="s">
        <v>4121</v>
      </c>
      <c r="C1889" s="14">
        <v>27.0</v>
      </c>
      <c r="D1889" s="15" t="s">
        <v>4173</v>
      </c>
      <c r="E1889" s="16" t="s">
        <v>52</v>
      </c>
      <c r="F1889" s="13" t="s">
        <v>3796</v>
      </c>
      <c r="G1889" s="13" t="s">
        <v>415</v>
      </c>
      <c r="H1889" s="13" t="s">
        <v>415</v>
      </c>
      <c r="I1889" s="13" t="s">
        <v>416</v>
      </c>
      <c r="J1889" s="17" t="s">
        <v>418</v>
      </c>
      <c r="K1889" s="17" t="s">
        <v>420</v>
      </c>
      <c r="L1889" s="18" t="s">
        <v>52</v>
      </c>
      <c r="M1889" s="19">
        <v>51.0</v>
      </c>
      <c r="N1889" s="19">
        <v>41.0</v>
      </c>
    </row>
    <row r="1890">
      <c r="A1890" s="12">
        <v>1888.0</v>
      </c>
      <c r="B1890" s="13" t="s">
        <v>4121</v>
      </c>
      <c r="C1890" s="14">
        <v>28.0</v>
      </c>
      <c r="D1890" s="15" t="s">
        <v>4173</v>
      </c>
      <c r="E1890" s="16" t="s">
        <v>52</v>
      </c>
      <c r="F1890" s="13" t="s">
        <v>4180</v>
      </c>
      <c r="G1890" s="13" t="s">
        <v>415</v>
      </c>
      <c r="H1890" s="13" t="s">
        <v>415</v>
      </c>
      <c r="I1890" s="13" t="s">
        <v>416</v>
      </c>
      <c r="J1890" s="17" t="s">
        <v>418</v>
      </c>
      <c r="K1890" s="17" t="s">
        <v>420</v>
      </c>
      <c r="L1890" s="18" t="s">
        <v>52</v>
      </c>
      <c r="M1890" s="19">
        <v>51.0</v>
      </c>
      <c r="N1890" s="19">
        <v>41.0</v>
      </c>
    </row>
    <row r="1891">
      <c r="A1891" s="12">
        <v>1889.0</v>
      </c>
      <c r="B1891" s="13" t="s">
        <v>4121</v>
      </c>
      <c r="C1891" s="14">
        <v>29.0</v>
      </c>
      <c r="D1891" s="15" t="s">
        <v>4173</v>
      </c>
      <c r="E1891" s="16" t="s">
        <v>52</v>
      </c>
      <c r="F1891" s="13" t="s">
        <v>4181</v>
      </c>
      <c r="G1891" s="13" t="s">
        <v>415</v>
      </c>
      <c r="H1891" s="13" t="s">
        <v>415</v>
      </c>
      <c r="I1891" s="13" t="s">
        <v>416</v>
      </c>
      <c r="J1891" s="17" t="s">
        <v>418</v>
      </c>
      <c r="K1891" s="17" t="s">
        <v>420</v>
      </c>
      <c r="L1891" s="18" t="s">
        <v>52</v>
      </c>
      <c r="M1891" s="19">
        <v>51.0</v>
      </c>
      <c r="N1891" s="19">
        <v>41.0</v>
      </c>
    </row>
    <row r="1892">
      <c r="A1892" s="12">
        <v>1890.0</v>
      </c>
      <c r="B1892" s="13" t="s">
        <v>4121</v>
      </c>
      <c r="C1892" s="14">
        <v>30.0</v>
      </c>
      <c r="D1892" s="15" t="s">
        <v>4173</v>
      </c>
      <c r="E1892" s="16" t="s">
        <v>52</v>
      </c>
      <c r="F1892" s="13" t="s">
        <v>3132</v>
      </c>
      <c r="G1892" s="13" t="s">
        <v>415</v>
      </c>
      <c r="H1892" s="13" t="s">
        <v>415</v>
      </c>
      <c r="I1892" s="13" t="s">
        <v>416</v>
      </c>
      <c r="J1892" s="17" t="s">
        <v>418</v>
      </c>
      <c r="K1892" s="17" t="s">
        <v>420</v>
      </c>
      <c r="L1892" s="18" t="s">
        <v>52</v>
      </c>
      <c r="M1892" s="19">
        <v>51.0</v>
      </c>
      <c r="N1892" s="19">
        <v>41.0</v>
      </c>
    </row>
    <row r="1893">
      <c r="A1893" s="12">
        <v>1891.0</v>
      </c>
      <c r="B1893" s="13" t="s">
        <v>314</v>
      </c>
      <c r="C1893" s="14">
        <v>1.0</v>
      </c>
      <c r="D1893" s="15" t="s">
        <v>4183</v>
      </c>
      <c r="E1893" s="16" t="s">
        <v>221</v>
      </c>
      <c r="F1893" s="13" t="s">
        <v>320</v>
      </c>
      <c r="G1893" s="13" t="s">
        <v>1214</v>
      </c>
      <c r="H1893" s="13" t="s">
        <v>4184</v>
      </c>
      <c r="I1893" s="13" t="s">
        <v>56</v>
      </c>
      <c r="J1893" s="17" t="s">
        <v>57</v>
      </c>
      <c r="K1893" s="17" t="s">
        <v>58</v>
      </c>
      <c r="L1893" s="18" t="s">
        <v>52</v>
      </c>
      <c r="M1893" s="19">
        <v>52.0</v>
      </c>
      <c r="N1893" s="19">
        <v>10.0</v>
      </c>
    </row>
    <row r="1894">
      <c r="A1894" s="12">
        <v>1892.0</v>
      </c>
      <c r="B1894" s="13" t="s">
        <v>314</v>
      </c>
      <c r="C1894" s="14">
        <v>2.0</v>
      </c>
      <c r="D1894" s="15" t="s">
        <v>4183</v>
      </c>
      <c r="E1894" s="16" t="s">
        <v>221</v>
      </c>
      <c r="F1894" s="13" t="s">
        <v>535</v>
      </c>
      <c r="G1894" s="13" t="s">
        <v>61</v>
      </c>
      <c r="H1894" s="13" t="s">
        <v>4186</v>
      </c>
      <c r="I1894" s="13" t="s">
        <v>56</v>
      </c>
      <c r="J1894" s="17" t="s">
        <v>57</v>
      </c>
      <c r="K1894" s="17" t="s">
        <v>58</v>
      </c>
      <c r="L1894" s="18" t="s">
        <v>52</v>
      </c>
      <c r="M1894" s="19">
        <v>52.0</v>
      </c>
      <c r="N1894" s="19">
        <v>10.0</v>
      </c>
    </row>
    <row r="1895">
      <c r="A1895" s="12">
        <v>1893.0</v>
      </c>
      <c r="B1895" s="13" t="s">
        <v>314</v>
      </c>
      <c r="C1895" s="14">
        <v>3.0</v>
      </c>
      <c r="D1895" s="15" t="s">
        <v>4183</v>
      </c>
      <c r="E1895" s="16" t="s">
        <v>221</v>
      </c>
      <c r="F1895" s="13" t="s">
        <v>506</v>
      </c>
      <c r="G1895" s="13" t="s">
        <v>61</v>
      </c>
      <c r="H1895" s="13" t="s">
        <v>4188</v>
      </c>
      <c r="I1895" s="13" t="s">
        <v>56</v>
      </c>
      <c r="J1895" s="17" t="s">
        <v>67</v>
      </c>
      <c r="K1895" s="17" t="s">
        <v>58</v>
      </c>
      <c r="L1895" s="18" t="s">
        <v>52</v>
      </c>
      <c r="M1895" s="19">
        <v>52.0</v>
      </c>
      <c r="N1895" s="19">
        <v>20.0</v>
      </c>
    </row>
    <row r="1896">
      <c r="A1896" s="12">
        <v>1894.0</v>
      </c>
      <c r="B1896" s="13" t="s">
        <v>314</v>
      </c>
      <c r="C1896" s="14">
        <v>4.0</v>
      </c>
      <c r="D1896" s="15" t="s">
        <v>4183</v>
      </c>
      <c r="E1896" s="16" t="s">
        <v>221</v>
      </c>
      <c r="F1896" s="13" t="s">
        <v>592</v>
      </c>
      <c r="G1896" s="13" t="s">
        <v>61</v>
      </c>
      <c r="H1896" s="13" t="s">
        <v>4190</v>
      </c>
      <c r="I1896" s="13" t="s">
        <v>56</v>
      </c>
      <c r="J1896" s="17" t="s">
        <v>67</v>
      </c>
      <c r="K1896" s="17" t="s">
        <v>58</v>
      </c>
      <c r="L1896" s="18" t="s">
        <v>52</v>
      </c>
      <c r="M1896" s="19">
        <v>52.0</v>
      </c>
      <c r="N1896" s="19">
        <v>20.0</v>
      </c>
    </row>
    <row r="1897">
      <c r="A1897" s="12">
        <v>1895.0</v>
      </c>
      <c r="B1897" s="13" t="s">
        <v>314</v>
      </c>
      <c r="C1897" s="14">
        <v>5.0</v>
      </c>
      <c r="D1897" s="15" t="s">
        <v>4183</v>
      </c>
      <c r="E1897" s="16" t="s">
        <v>221</v>
      </c>
      <c r="F1897" s="13" t="s">
        <v>222</v>
      </c>
      <c r="G1897" s="13" t="s">
        <v>1026</v>
      </c>
      <c r="H1897" s="13" t="s">
        <v>4192</v>
      </c>
      <c r="I1897" s="13" t="s">
        <v>56</v>
      </c>
      <c r="J1897" s="17" t="s">
        <v>67</v>
      </c>
      <c r="K1897" s="17" t="s">
        <v>58</v>
      </c>
      <c r="L1897" s="18" t="s">
        <v>52</v>
      </c>
      <c r="M1897" s="19">
        <v>52.0</v>
      </c>
      <c r="N1897" s="19">
        <v>20.0</v>
      </c>
    </row>
    <row r="1898">
      <c r="A1898" s="12">
        <v>1896.0</v>
      </c>
      <c r="B1898" s="13" t="s">
        <v>314</v>
      </c>
      <c r="C1898" s="14">
        <v>6.0</v>
      </c>
      <c r="D1898" s="15" t="s">
        <v>4183</v>
      </c>
      <c r="E1898" s="16" t="s">
        <v>221</v>
      </c>
      <c r="F1898" s="13" t="s">
        <v>257</v>
      </c>
      <c r="G1898" s="13" t="s">
        <v>61</v>
      </c>
      <c r="H1898" s="13" t="s">
        <v>4193</v>
      </c>
      <c r="I1898" s="13" t="s">
        <v>56</v>
      </c>
      <c r="J1898" s="17" t="s">
        <v>71</v>
      </c>
      <c r="K1898" s="17" t="s">
        <v>58</v>
      </c>
      <c r="L1898" s="18" t="s">
        <v>52</v>
      </c>
      <c r="M1898" s="19">
        <v>52.0</v>
      </c>
      <c r="N1898" s="19">
        <v>30.0</v>
      </c>
    </row>
    <row r="1899">
      <c r="A1899" s="12">
        <v>1897.0</v>
      </c>
      <c r="B1899" s="13" t="s">
        <v>314</v>
      </c>
      <c r="C1899" s="14">
        <v>7.0</v>
      </c>
      <c r="D1899" s="15" t="s">
        <v>4183</v>
      </c>
      <c r="E1899" s="16" t="s">
        <v>221</v>
      </c>
      <c r="F1899" s="13" t="s">
        <v>544</v>
      </c>
      <c r="G1899" s="13" t="s">
        <v>61</v>
      </c>
      <c r="H1899" s="13" t="s">
        <v>4195</v>
      </c>
      <c r="I1899" s="13" t="s">
        <v>56</v>
      </c>
      <c r="J1899" s="17" t="s">
        <v>71</v>
      </c>
      <c r="K1899" s="17" t="s">
        <v>58</v>
      </c>
      <c r="L1899" s="18" t="s">
        <v>52</v>
      </c>
      <c r="M1899" s="19">
        <v>52.0</v>
      </c>
      <c r="N1899" s="19">
        <v>30.0</v>
      </c>
    </row>
    <row r="1900">
      <c r="A1900" s="12">
        <v>1898.0</v>
      </c>
      <c r="B1900" s="13" t="s">
        <v>314</v>
      </c>
      <c r="C1900" s="14">
        <v>8.0</v>
      </c>
      <c r="D1900" s="15" t="s">
        <v>4183</v>
      </c>
      <c r="E1900" s="16" t="s">
        <v>221</v>
      </c>
      <c r="F1900" s="13" t="s">
        <v>289</v>
      </c>
      <c r="G1900" s="13" t="s">
        <v>61</v>
      </c>
      <c r="H1900" s="13" t="s">
        <v>291</v>
      </c>
      <c r="I1900" s="13" t="s">
        <v>56</v>
      </c>
      <c r="J1900" s="17" t="s">
        <v>71</v>
      </c>
      <c r="K1900" s="17" t="s">
        <v>58</v>
      </c>
      <c r="L1900" s="18" t="s">
        <v>52</v>
      </c>
      <c r="M1900" s="19">
        <v>52.0</v>
      </c>
      <c r="N1900" s="19">
        <v>30.0</v>
      </c>
    </row>
    <row r="1901">
      <c r="A1901" s="12">
        <v>1899.0</v>
      </c>
      <c r="B1901" s="13" t="s">
        <v>314</v>
      </c>
      <c r="C1901" s="14">
        <v>9.0</v>
      </c>
      <c r="D1901" s="15" t="s">
        <v>4183</v>
      </c>
      <c r="E1901" s="16" t="s">
        <v>221</v>
      </c>
      <c r="F1901" s="13" t="s">
        <v>302</v>
      </c>
      <c r="G1901" s="13" t="s">
        <v>61</v>
      </c>
      <c r="H1901" s="13" t="s">
        <v>4196</v>
      </c>
      <c r="I1901" s="13" t="s">
        <v>56</v>
      </c>
      <c r="J1901" s="17" t="s">
        <v>71</v>
      </c>
      <c r="K1901" s="17" t="s">
        <v>58</v>
      </c>
      <c r="L1901" s="18" t="s">
        <v>52</v>
      </c>
      <c r="M1901" s="19">
        <v>52.0</v>
      </c>
      <c r="N1901" s="19">
        <v>30.0</v>
      </c>
    </row>
    <row r="1902">
      <c r="A1902" s="12">
        <v>1900.0</v>
      </c>
      <c r="B1902" s="13" t="s">
        <v>314</v>
      </c>
      <c r="C1902" s="14">
        <v>10.0</v>
      </c>
      <c r="D1902" s="15" t="s">
        <v>4183</v>
      </c>
      <c r="E1902" s="16" t="s">
        <v>221</v>
      </c>
      <c r="F1902" s="13" t="s">
        <v>403</v>
      </c>
      <c r="G1902" s="13" t="s">
        <v>61</v>
      </c>
      <c r="H1902" s="13" t="s">
        <v>4197</v>
      </c>
      <c r="I1902" s="13" t="s">
        <v>56</v>
      </c>
      <c r="J1902" s="17" t="s">
        <v>71</v>
      </c>
      <c r="K1902" s="17" t="s">
        <v>58</v>
      </c>
      <c r="L1902" s="18" t="s">
        <v>52</v>
      </c>
      <c r="M1902" s="19">
        <v>52.0</v>
      </c>
      <c r="N1902" s="19">
        <v>30.0</v>
      </c>
    </row>
    <row r="1903">
      <c r="A1903" s="12">
        <v>1901.0</v>
      </c>
      <c r="B1903" s="13" t="s">
        <v>314</v>
      </c>
      <c r="C1903" s="14">
        <v>11.0</v>
      </c>
      <c r="D1903" s="15" t="s">
        <v>4183</v>
      </c>
      <c r="E1903" s="16" t="s">
        <v>221</v>
      </c>
      <c r="F1903" s="13" t="s">
        <v>367</v>
      </c>
      <c r="G1903" s="13" t="s">
        <v>61</v>
      </c>
      <c r="H1903" s="13" t="s">
        <v>369</v>
      </c>
      <c r="I1903" s="13" t="s">
        <v>56</v>
      </c>
      <c r="J1903" s="17" t="s">
        <v>71</v>
      </c>
      <c r="K1903" s="17" t="s">
        <v>58</v>
      </c>
      <c r="L1903" s="18" t="s">
        <v>52</v>
      </c>
      <c r="M1903" s="19">
        <v>52.0</v>
      </c>
      <c r="N1903" s="19">
        <v>30.0</v>
      </c>
    </row>
    <row r="1904">
      <c r="A1904" s="12">
        <v>1902.0</v>
      </c>
      <c r="B1904" s="13" t="s">
        <v>314</v>
      </c>
      <c r="C1904" s="14">
        <v>12.0</v>
      </c>
      <c r="D1904" s="15" t="s">
        <v>4198</v>
      </c>
      <c r="E1904" s="16" t="s">
        <v>221</v>
      </c>
      <c r="F1904" s="13" t="s">
        <v>4199</v>
      </c>
      <c r="G1904" s="13" t="s">
        <v>4200</v>
      </c>
      <c r="H1904" s="13" t="s">
        <v>4201</v>
      </c>
      <c r="I1904" s="13" t="s">
        <v>63</v>
      </c>
      <c r="J1904" s="17" t="s">
        <v>71</v>
      </c>
      <c r="K1904" s="17" t="s">
        <v>58</v>
      </c>
      <c r="L1904" s="18" t="s">
        <v>52</v>
      </c>
      <c r="M1904" s="19">
        <v>52.0</v>
      </c>
      <c r="N1904" s="19">
        <v>31.0</v>
      </c>
    </row>
    <row r="1905">
      <c r="A1905" s="12">
        <v>1903.0</v>
      </c>
      <c r="B1905" s="13" t="s">
        <v>314</v>
      </c>
      <c r="C1905" s="14">
        <v>13.0</v>
      </c>
      <c r="D1905" s="15" t="s">
        <v>4198</v>
      </c>
      <c r="E1905" s="16" t="s">
        <v>221</v>
      </c>
      <c r="F1905" s="13" t="s">
        <v>735</v>
      </c>
      <c r="G1905" s="13" t="s">
        <v>932</v>
      </c>
      <c r="H1905" s="13" t="s">
        <v>933</v>
      </c>
      <c r="I1905" s="13" t="s">
        <v>63</v>
      </c>
      <c r="J1905" s="17" t="s">
        <v>71</v>
      </c>
      <c r="K1905" s="17" t="s">
        <v>58</v>
      </c>
      <c r="L1905" s="18" t="s">
        <v>52</v>
      </c>
      <c r="M1905" s="19">
        <v>52.0</v>
      </c>
      <c r="N1905" s="19">
        <v>31.0</v>
      </c>
    </row>
    <row r="1906">
      <c r="A1906" s="12">
        <v>1904.0</v>
      </c>
      <c r="B1906" s="13" t="s">
        <v>314</v>
      </c>
      <c r="C1906" s="14">
        <v>14.0</v>
      </c>
      <c r="D1906" s="15" t="s">
        <v>4198</v>
      </c>
      <c r="E1906" s="16" t="s">
        <v>221</v>
      </c>
      <c r="F1906" s="13" t="s">
        <v>704</v>
      </c>
      <c r="G1906" s="13" t="s">
        <v>4202</v>
      </c>
      <c r="H1906" s="13" t="s">
        <v>4203</v>
      </c>
      <c r="I1906" s="13" t="s">
        <v>63</v>
      </c>
      <c r="J1906" s="17" t="s">
        <v>71</v>
      </c>
      <c r="K1906" s="17" t="s">
        <v>58</v>
      </c>
      <c r="L1906" s="18" t="s">
        <v>52</v>
      </c>
      <c r="M1906" s="19">
        <v>52.0</v>
      </c>
      <c r="N1906" s="19">
        <v>31.0</v>
      </c>
    </row>
    <row r="1907">
      <c r="A1907" s="12">
        <v>1905.0</v>
      </c>
      <c r="B1907" s="13" t="s">
        <v>314</v>
      </c>
      <c r="C1907" s="14">
        <v>15.0</v>
      </c>
      <c r="D1907" s="15" t="s">
        <v>4183</v>
      </c>
      <c r="E1907" s="16" t="s">
        <v>221</v>
      </c>
      <c r="F1907" s="13" t="s">
        <v>716</v>
      </c>
      <c r="G1907" s="13" t="s">
        <v>937</v>
      </c>
      <c r="H1907" s="13" t="s">
        <v>4204</v>
      </c>
      <c r="I1907" s="13" t="s">
        <v>63</v>
      </c>
      <c r="J1907" s="17" t="s">
        <v>71</v>
      </c>
      <c r="K1907" s="17" t="s">
        <v>58</v>
      </c>
      <c r="L1907" s="18" t="s">
        <v>52</v>
      </c>
      <c r="M1907" s="19">
        <v>52.0</v>
      </c>
      <c r="N1907" s="19">
        <v>31.0</v>
      </c>
    </row>
    <row r="1908">
      <c r="A1908" s="12">
        <v>1906.0</v>
      </c>
      <c r="B1908" s="13" t="s">
        <v>314</v>
      </c>
      <c r="C1908" s="14">
        <v>16.0</v>
      </c>
      <c r="D1908" s="15" t="s">
        <v>4183</v>
      </c>
      <c r="E1908" s="16" t="s">
        <v>221</v>
      </c>
      <c r="F1908" s="13" t="s">
        <v>727</v>
      </c>
      <c r="G1908" s="13" t="s">
        <v>4205</v>
      </c>
      <c r="H1908" s="13" t="s">
        <v>4206</v>
      </c>
      <c r="I1908" s="13" t="s">
        <v>63</v>
      </c>
      <c r="J1908" s="17" t="s">
        <v>71</v>
      </c>
      <c r="K1908" s="17" t="s">
        <v>58</v>
      </c>
      <c r="L1908" s="18" t="s">
        <v>52</v>
      </c>
      <c r="M1908" s="19">
        <v>52.0</v>
      </c>
      <c r="N1908" s="19">
        <v>31.0</v>
      </c>
    </row>
    <row r="1909">
      <c r="A1909" s="12">
        <v>1907.0</v>
      </c>
      <c r="B1909" s="13" t="s">
        <v>314</v>
      </c>
      <c r="C1909" s="14">
        <v>17.0</v>
      </c>
      <c r="D1909" s="15" t="s">
        <v>4183</v>
      </c>
      <c r="E1909" s="16" t="s">
        <v>221</v>
      </c>
      <c r="F1909" s="13" t="s">
        <v>612</v>
      </c>
      <c r="G1909" s="13" t="s">
        <v>879</v>
      </c>
      <c r="H1909" s="13" t="s">
        <v>4207</v>
      </c>
      <c r="I1909" s="13" t="s">
        <v>63</v>
      </c>
      <c r="J1909" s="17" t="s">
        <v>71</v>
      </c>
      <c r="K1909" s="17" t="s">
        <v>58</v>
      </c>
      <c r="L1909" s="18" t="s">
        <v>253</v>
      </c>
      <c r="M1909" s="19">
        <v>52.0</v>
      </c>
      <c r="N1909" s="19">
        <v>31.0</v>
      </c>
    </row>
    <row r="1910">
      <c r="A1910" s="12">
        <v>1908.0</v>
      </c>
      <c r="B1910" s="13" t="s">
        <v>314</v>
      </c>
      <c r="C1910" s="14">
        <v>18.0</v>
      </c>
      <c r="D1910" s="15" t="s">
        <v>4183</v>
      </c>
      <c r="E1910" s="16" t="s">
        <v>221</v>
      </c>
      <c r="F1910" s="13" t="s">
        <v>451</v>
      </c>
      <c r="G1910" s="13" t="s">
        <v>61</v>
      </c>
      <c r="H1910" s="13" t="s">
        <v>4208</v>
      </c>
      <c r="I1910" s="13" t="s">
        <v>63</v>
      </c>
      <c r="J1910" s="17" t="s">
        <v>71</v>
      </c>
      <c r="K1910" s="17" t="s">
        <v>58</v>
      </c>
      <c r="L1910" s="18" t="s">
        <v>52</v>
      </c>
      <c r="M1910" s="19">
        <v>52.0</v>
      </c>
      <c r="N1910" s="19">
        <v>31.0</v>
      </c>
    </row>
    <row r="1911">
      <c r="A1911" s="12">
        <v>1909.0</v>
      </c>
      <c r="B1911" s="13" t="s">
        <v>314</v>
      </c>
      <c r="C1911" s="14">
        <v>19.0</v>
      </c>
      <c r="D1911" s="15" t="s">
        <v>4183</v>
      </c>
      <c r="E1911" s="16" t="s">
        <v>221</v>
      </c>
      <c r="F1911" s="13" t="s">
        <v>391</v>
      </c>
      <c r="G1911" s="13" t="s">
        <v>4209</v>
      </c>
      <c r="H1911" s="13" t="s">
        <v>4210</v>
      </c>
      <c r="I1911" s="13" t="s">
        <v>63</v>
      </c>
      <c r="J1911" s="17" t="s">
        <v>71</v>
      </c>
      <c r="K1911" s="17" t="s">
        <v>58</v>
      </c>
      <c r="L1911" s="18" t="s">
        <v>52</v>
      </c>
      <c r="M1911" s="19">
        <v>52.0</v>
      </c>
      <c r="N1911" s="19">
        <v>31.0</v>
      </c>
    </row>
    <row r="1912">
      <c r="A1912" s="12">
        <v>1910.0</v>
      </c>
      <c r="B1912" s="13" t="s">
        <v>314</v>
      </c>
      <c r="C1912" s="14">
        <v>20.0</v>
      </c>
      <c r="D1912" s="15" t="s">
        <v>4183</v>
      </c>
      <c r="E1912" s="16" t="s">
        <v>221</v>
      </c>
      <c r="F1912" s="13" t="s">
        <v>660</v>
      </c>
      <c r="G1912" s="13" t="s">
        <v>882</v>
      </c>
      <c r="H1912" s="13" t="s">
        <v>4211</v>
      </c>
      <c r="I1912" s="13" t="s">
        <v>63</v>
      </c>
      <c r="J1912" s="17" t="s">
        <v>71</v>
      </c>
      <c r="K1912" s="17" t="s">
        <v>58</v>
      </c>
      <c r="L1912" s="18" t="s">
        <v>52</v>
      </c>
      <c r="M1912" s="19">
        <v>52.0</v>
      </c>
      <c r="N1912" s="19">
        <v>31.0</v>
      </c>
    </row>
    <row r="1913">
      <c r="A1913" s="12">
        <v>1911.0</v>
      </c>
      <c r="B1913" s="13" t="s">
        <v>314</v>
      </c>
      <c r="C1913" s="14">
        <v>21.0</v>
      </c>
      <c r="D1913" s="15" t="s">
        <v>4183</v>
      </c>
      <c r="E1913" s="16" t="s">
        <v>221</v>
      </c>
      <c r="F1913" s="13" t="s">
        <v>672</v>
      </c>
      <c r="G1913" s="13" t="s">
        <v>4212</v>
      </c>
      <c r="H1913" s="13" t="s">
        <v>4213</v>
      </c>
      <c r="I1913" s="13" t="s">
        <v>63</v>
      </c>
      <c r="J1913" s="17" t="s">
        <v>71</v>
      </c>
      <c r="K1913" s="17" t="s">
        <v>58</v>
      </c>
      <c r="L1913" s="18" t="s">
        <v>52</v>
      </c>
      <c r="M1913" s="19">
        <v>52.0</v>
      </c>
      <c r="N1913" s="19">
        <v>31.0</v>
      </c>
    </row>
    <row r="1914">
      <c r="A1914" s="12">
        <v>1912.0</v>
      </c>
      <c r="B1914" s="13" t="s">
        <v>314</v>
      </c>
      <c r="C1914" s="14">
        <v>22.0</v>
      </c>
      <c r="D1914" s="15" t="s">
        <v>4183</v>
      </c>
      <c r="E1914" s="16" t="s">
        <v>221</v>
      </c>
      <c r="F1914" s="13" t="s">
        <v>570</v>
      </c>
      <c r="G1914" s="13" t="s">
        <v>817</v>
      </c>
      <c r="H1914" s="13" t="s">
        <v>4214</v>
      </c>
      <c r="I1914" s="13" t="s">
        <v>63</v>
      </c>
      <c r="J1914" s="17" t="s">
        <v>71</v>
      </c>
      <c r="K1914" s="17" t="s">
        <v>58</v>
      </c>
      <c r="L1914" s="18" t="s">
        <v>52</v>
      </c>
      <c r="M1914" s="19">
        <v>52.0</v>
      </c>
      <c r="N1914" s="19">
        <v>31.0</v>
      </c>
    </row>
    <row r="1915">
      <c r="A1915" s="12">
        <v>1913.0</v>
      </c>
      <c r="B1915" s="13" t="s">
        <v>314</v>
      </c>
      <c r="C1915" s="14">
        <v>23.0</v>
      </c>
      <c r="D1915" s="15" t="s">
        <v>4183</v>
      </c>
      <c r="E1915" s="16" t="s">
        <v>221</v>
      </c>
      <c r="F1915" s="13" t="s">
        <v>341</v>
      </c>
      <c r="G1915" s="13" t="s">
        <v>4215</v>
      </c>
      <c r="H1915" s="13" t="s">
        <v>4216</v>
      </c>
      <c r="I1915" s="13" t="s">
        <v>63</v>
      </c>
      <c r="J1915" s="17" t="s">
        <v>71</v>
      </c>
      <c r="K1915" s="17" t="s">
        <v>58</v>
      </c>
      <c r="L1915" s="18" t="s">
        <v>52</v>
      </c>
      <c r="M1915" s="19">
        <v>52.0</v>
      </c>
      <c r="N1915" s="19">
        <v>31.0</v>
      </c>
    </row>
    <row r="1916">
      <c r="A1916" s="12">
        <v>1914.0</v>
      </c>
      <c r="B1916" s="13" t="s">
        <v>314</v>
      </c>
      <c r="C1916" s="14">
        <v>24.0</v>
      </c>
      <c r="D1916" s="15" t="s">
        <v>4183</v>
      </c>
      <c r="E1916" s="16" t="s">
        <v>221</v>
      </c>
      <c r="F1916" s="13" t="s">
        <v>457</v>
      </c>
      <c r="G1916" s="13" t="s">
        <v>61</v>
      </c>
      <c r="H1916" s="13" t="s">
        <v>4217</v>
      </c>
      <c r="I1916" s="13" t="s">
        <v>63</v>
      </c>
      <c r="J1916" s="17" t="s">
        <v>71</v>
      </c>
      <c r="K1916" s="17" t="s">
        <v>58</v>
      </c>
      <c r="L1916" s="18" t="s">
        <v>52</v>
      </c>
      <c r="M1916" s="19">
        <v>52.0</v>
      </c>
      <c r="N1916" s="19">
        <v>31.0</v>
      </c>
    </row>
    <row r="1917">
      <c r="A1917" s="12">
        <v>1915.0</v>
      </c>
      <c r="B1917" s="13" t="s">
        <v>314</v>
      </c>
      <c r="C1917" s="14">
        <v>25.0</v>
      </c>
      <c r="D1917" s="15" t="s">
        <v>4183</v>
      </c>
      <c r="E1917" s="16" t="s">
        <v>221</v>
      </c>
      <c r="F1917" s="13" t="s">
        <v>722</v>
      </c>
      <c r="G1917" s="13" t="s">
        <v>780</v>
      </c>
      <c r="H1917" s="13" t="s">
        <v>781</v>
      </c>
      <c r="I1917" s="13" t="s">
        <v>63</v>
      </c>
      <c r="J1917" s="17" t="s">
        <v>71</v>
      </c>
      <c r="K1917" s="17" t="s">
        <v>58</v>
      </c>
      <c r="L1917" s="18" t="s">
        <v>52</v>
      </c>
      <c r="M1917" s="19">
        <v>52.0</v>
      </c>
      <c r="N1917" s="19">
        <v>31.0</v>
      </c>
    </row>
    <row r="1918">
      <c r="A1918" s="12">
        <v>1916.0</v>
      </c>
      <c r="B1918" s="13" t="s">
        <v>314</v>
      </c>
      <c r="C1918" s="14">
        <v>26.0</v>
      </c>
      <c r="D1918" s="15" t="s">
        <v>4183</v>
      </c>
      <c r="E1918" s="16" t="s">
        <v>221</v>
      </c>
      <c r="F1918" s="13" t="s">
        <v>334</v>
      </c>
      <c r="G1918" s="13" t="s">
        <v>61</v>
      </c>
      <c r="H1918" s="13" t="s">
        <v>4218</v>
      </c>
      <c r="I1918" s="13" t="s">
        <v>63</v>
      </c>
      <c r="J1918" s="17" t="s">
        <v>71</v>
      </c>
      <c r="K1918" s="17" t="s">
        <v>58</v>
      </c>
      <c r="L1918" s="18" t="s">
        <v>52</v>
      </c>
      <c r="M1918" s="19">
        <v>52.0</v>
      </c>
      <c r="N1918" s="19">
        <v>31.0</v>
      </c>
    </row>
    <row r="1919">
      <c r="A1919" s="12">
        <v>1917.0</v>
      </c>
      <c r="B1919" s="13" t="s">
        <v>314</v>
      </c>
      <c r="C1919" s="14">
        <v>27.0</v>
      </c>
      <c r="D1919" s="15" t="s">
        <v>4183</v>
      </c>
      <c r="E1919" s="16" t="s">
        <v>221</v>
      </c>
      <c r="F1919" s="13" t="s">
        <v>247</v>
      </c>
      <c r="G1919" s="13" t="s">
        <v>4219</v>
      </c>
      <c r="H1919" s="13" t="s">
        <v>4220</v>
      </c>
      <c r="I1919" s="13" t="s">
        <v>63</v>
      </c>
      <c r="J1919" s="17" t="s">
        <v>71</v>
      </c>
      <c r="K1919" s="17" t="s">
        <v>58</v>
      </c>
      <c r="L1919" s="18" t="s">
        <v>253</v>
      </c>
      <c r="M1919" s="19">
        <v>52.0</v>
      </c>
      <c r="N1919" s="19">
        <v>31.0</v>
      </c>
    </row>
    <row r="1920">
      <c r="A1920" s="12">
        <v>1918.0</v>
      </c>
      <c r="B1920" s="13" t="s">
        <v>314</v>
      </c>
      <c r="C1920" s="14">
        <v>28.0</v>
      </c>
      <c r="D1920" s="15" t="s">
        <v>4183</v>
      </c>
      <c r="E1920" s="16" t="s">
        <v>221</v>
      </c>
      <c r="F1920" s="13" t="s">
        <v>495</v>
      </c>
      <c r="G1920" s="13" t="s">
        <v>796</v>
      </c>
      <c r="H1920" s="13" t="s">
        <v>4221</v>
      </c>
      <c r="I1920" s="13" t="s">
        <v>63</v>
      </c>
      <c r="J1920" s="17" t="s">
        <v>71</v>
      </c>
      <c r="K1920" s="17" t="s">
        <v>58</v>
      </c>
      <c r="L1920" s="18" t="s">
        <v>52</v>
      </c>
      <c r="M1920" s="19">
        <v>52.0</v>
      </c>
      <c r="N1920" s="19">
        <v>31.0</v>
      </c>
    </row>
    <row r="1921">
      <c r="A1921" s="12">
        <v>1919.0</v>
      </c>
      <c r="B1921" s="13" t="s">
        <v>314</v>
      </c>
      <c r="C1921" s="14">
        <v>29.0</v>
      </c>
      <c r="D1921" s="15" t="s">
        <v>4183</v>
      </c>
      <c r="E1921" s="16" t="s">
        <v>221</v>
      </c>
      <c r="F1921" s="13" t="s">
        <v>4222</v>
      </c>
      <c r="G1921" s="13" t="s">
        <v>4223</v>
      </c>
      <c r="H1921" s="13" t="s">
        <v>4224</v>
      </c>
      <c r="I1921" s="13" t="s">
        <v>63</v>
      </c>
      <c r="J1921" s="17" t="s">
        <v>71</v>
      </c>
      <c r="K1921" s="17" t="s">
        <v>58</v>
      </c>
      <c r="L1921" s="18" t="s">
        <v>52</v>
      </c>
      <c r="M1921" s="19">
        <v>52.0</v>
      </c>
      <c r="N1921" s="19">
        <v>31.0</v>
      </c>
    </row>
    <row r="1922">
      <c r="A1922" s="12">
        <v>1920.0</v>
      </c>
      <c r="B1922" s="13" t="s">
        <v>314</v>
      </c>
      <c r="C1922" s="14">
        <v>30.0</v>
      </c>
      <c r="D1922" s="15" t="s">
        <v>4183</v>
      </c>
      <c r="E1922" s="16" t="s">
        <v>221</v>
      </c>
      <c r="F1922" s="13" t="s">
        <v>1643</v>
      </c>
      <c r="G1922" s="13" t="s">
        <v>4225</v>
      </c>
      <c r="H1922" s="13" t="s">
        <v>4226</v>
      </c>
      <c r="I1922" s="13" t="s">
        <v>63</v>
      </c>
      <c r="J1922" s="17" t="s">
        <v>71</v>
      </c>
      <c r="K1922" s="17" t="s">
        <v>58</v>
      </c>
      <c r="L1922" s="18" t="s">
        <v>52</v>
      </c>
      <c r="M1922" s="19">
        <v>52.0</v>
      </c>
      <c r="N1922" s="19">
        <v>31.0</v>
      </c>
    </row>
    <row r="1923">
      <c r="A1923" s="12">
        <v>1921.0</v>
      </c>
      <c r="B1923" s="13" t="s">
        <v>314</v>
      </c>
      <c r="C1923" s="14">
        <v>31.0</v>
      </c>
      <c r="D1923" s="15" t="s">
        <v>4183</v>
      </c>
      <c r="E1923" s="16" t="s">
        <v>221</v>
      </c>
      <c r="F1923" s="13" t="s">
        <v>541</v>
      </c>
      <c r="G1923" s="13" t="s">
        <v>944</v>
      </c>
      <c r="H1923" s="13" t="s">
        <v>4227</v>
      </c>
      <c r="I1923" s="13" t="s">
        <v>63</v>
      </c>
      <c r="J1923" s="17" t="s">
        <v>71</v>
      </c>
      <c r="K1923" s="17" t="s">
        <v>58</v>
      </c>
      <c r="L1923" s="18" t="s">
        <v>52</v>
      </c>
      <c r="M1923" s="19">
        <v>52.0</v>
      </c>
      <c r="N1923" s="19">
        <v>31.0</v>
      </c>
    </row>
    <row r="1924">
      <c r="A1924" s="12">
        <v>1922.0</v>
      </c>
      <c r="B1924" s="13" t="s">
        <v>314</v>
      </c>
      <c r="C1924" s="14">
        <v>32.0</v>
      </c>
      <c r="D1924" s="15" t="s">
        <v>4183</v>
      </c>
      <c r="E1924" s="16" t="s">
        <v>221</v>
      </c>
      <c r="F1924" s="13" t="s">
        <v>278</v>
      </c>
      <c r="G1924" s="13" t="s">
        <v>61</v>
      </c>
      <c r="H1924" s="13" t="s">
        <v>4228</v>
      </c>
      <c r="I1924" s="13" t="s">
        <v>63</v>
      </c>
      <c r="J1924" s="17" t="s">
        <v>71</v>
      </c>
      <c r="K1924" s="17" t="s">
        <v>58</v>
      </c>
      <c r="L1924" s="18" t="s">
        <v>52</v>
      </c>
      <c r="M1924" s="19">
        <v>52.0</v>
      </c>
      <c r="N1924" s="19">
        <v>31.0</v>
      </c>
    </row>
    <row r="1925">
      <c r="A1925" s="12">
        <v>1923.0</v>
      </c>
      <c r="B1925" s="13" t="s">
        <v>314</v>
      </c>
      <c r="C1925" s="14">
        <v>33.0</v>
      </c>
      <c r="D1925" s="15" t="s">
        <v>4183</v>
      </c>
      <c r="E1925" s="16" t="s">
        <v>221</v>
      </c>
      <c r="F1925" s="13" t="s">
        <v>501</v>
      </c>
      <c r="G1925" s="13" t="s">
        <v>798</v>
      </c>
      <c r="H1925" s="13" t="s">
        <v>1497</v>
      </c>
      <c r="I1925" s="13" t="s">
        <v>63</v>
      </c>
      <c r="J1925" s="17" t="s">
        <v>71</v>
      </c>
      <c r="K1925" s="17" t="s">
        <v>58</v>
      </c>
      <c r="L1925" s="18" t="s">
        <v>52</v>
      </c>
      <c r="M1925" s="19">
        <v>52.0</v>
      </c>
      <c r="N1925" s="19">
        <v>31.0</v>
      </c>
    </row>
    <row r="1926">
      <c r="A1926" s="12">
        <v>1924.0</v>
      </c>
      <c r="B1926" s="13" t="s">
        <v>314</v>
      </c>
      <c r="C1926" s="14">
        <v>34.0</v>
      </c>
      <c r="D1926" s="15" t="s">
        <v>4183</v>
      </c>
      <c r="E1926" s="16" t="s">
        <v>221</v>
      </c>
      <c r="F1926" s="13" t="s">
        <v>218</v>
      </c>
      <c r="G1926" s="13" t="s">
        <v>4229</v>
      </c>
      <c r="H1926" s="13" t="s">
        <v>4230</v>
      </c>
      <c r="I1926" s="13" t="s">
        <v>63</v>
      </c>
      <c r="J1926" s="17" t="s">
        <v>71</v>
      </c>
      <c r="K1926" s="17" t="s">
        <v>58</v>
      </c>
      <c r="L1926" s="18" t="s">
        <v>52</v>
      </c>
      <c r="M1926" s="19">
        <v>52.0</v>
      </c>
      <c r="N1926" s="19">
        <v>31.0</v>
      </c>
    </row>
    <row r="1927">
      <c r="A1927" s="12">
        <v>1925.0</v>
      </c>
      <c r="B1927" s="13" t="s">
        <v>314</v>
      </c>
      <c r="C1927" s="14">
        <v>35.0</v>
      </c>
      <c r="D1927" s="15" t="s">
        <v>4183</v>
      </c>
      <c r="E1927" s="16" t="s">
        <v>221</v>
      </c>
      <c r="F1927" s="13" t="s">
        <v>3321</v>
      </c>
      <c r="G1927" s="13" t="s">
        <v>4231</v>
      </c>
      <c r="H1927" s="13" t="s">
        <v>4232</v>
      </c>
      <c r="I1927" s="13" t="s">
        <v>63</v>
      </c>
      <c r="J1927" s="17" t="s">
        <v>71</v>
      </c>
      <c r="K1927" s="17" t="s">
        <v>58</v>
      </c>
      <c r="L1927" s="18" t="s">
        <v>52</v>
      </c>
      <c r="M1927" s="19">
        <v>52.0</v>
      </c>
      <c r="N1927" s="19">
        <v>31.0</v>
      </c>
    </row>
    <row r="1928">
      <c r="A1928" s="12">
        <v>1926.0</v>
      </c>
      <c r="B1928" s="13" t="s">
        <v>314</v>
      </c>
      <c r="C1928" s="14">
        <v>36.0</v>
      </c>
      <c r="D1928" s="15" t="s">
        <v>4183</v>
      </c>
      <c r="E1928" s="16" t="s">
        <v>221</v>
      </c>
      <c r="F1928" s="13" t="s">
        <v>744</v>
      </c>
      <c r="G1928" s="13" t="s">
        <v>1621</v>
      </c>
      <c r="H1928" s="13" t="s">
        <v>4234</v>
      </c>
      <c r="I1928" s="13" t="s">
        <v>63</v>
      </c>
      <c r="J1928" s="17" t="s">
        <v>71</v>
      </c>
      <c r="K1928" s="17" t="s">
        <v>58</v>
      </c>
      <c r="L1928" s="18" t="s">
        <v>52</v>
      </c>
      <c r="M1928" s="19">
        <v>52.0</v>
      </c>
      <c r="N1928" s="19">
        <v>31.0</v>
      </c>
    </row>
    <row r="1929">
      <c r="A1929" s="12">
        <v>1927.0</v>
      </c>
      <c r="B1929" s="13" t="s">
        <v>314</v>
      </c>
      <c r="C1929" s="14">
        <v>37.0</v>
      </c>
      <c r="D1929" s="15" t="s">
        <v>4183</v>
      </c>
      <c r="E1929" s="16" t="s">
        <v>221</v>
      </c>
      <c r="F1929" s="13" t="s">
        <v>4236</v>
      </c>
      <c r="G1929" s="13" t="s">
        <v>61</v>
      </c>
      <c r="H1929" s="13" t="s">
        <v>4237</v>
      </c>
      <c r="I1929" s="13" t="s">
        <v>63</v>
      </c>
      <c r="J1929" s="17" t="s">
        <v>71</v>
      </c>
      <c r="K1929" s="17" t="s">
        <v>58</v>
      </c>
      <c r="L1929" s="18" t="s">
        <v>52</v>
      </c>
      <c r="M1929" s="19">
        <v>52.0</v>
      </c>
      <c r="N1929" s="19">
        <v>31.0</v>
      </c>
    </row>
    <row r="1930">
      <c r="A1930" s="12">
        <v>1928.0</v>
      </c>
      <c r="B1930" s="13" t="s">
        <v>314</v>
      </c>
      <c r="C1930" s="14">
        <v>38.0</v>
      </c>
      <c r="D1930" s="15" t="s">
        <v>4183</v>
      </c>
      <c r="E1930" s="16" t="s">
        <v>221</v>
      </c>
      <c r="F1930" s="13" t="s">
        <v>552</v>
      </c>
      <c r="G1930" s="13" t="s">
        <v>870</v>
      </c>
      <c r="H1930" s="13" t="s">
        <v>4239</v>
      </c>
      <c r="I1930" s="13" t="s">
        <v>63</v>
      </c>
      <c r="J1930" s="17" t="s">
        <v>71</v>
      </c>
      <c r="K1930" s="17" t="s">
        <v>58</v>
      </c>
      <c r="L1930" s="18" t="s">
        <v>52</v>
      </c>
      <c r="M1930" s="19">
        <v>52.0</v>
      </c>
      <c r="N1930" s="19">
        <v>31.0</v>
      </c>
    </row>
    <row r="1931">
      <c r="A1931" s="12">
        <v>1929.0</v>
      </c>
      <c r="B1931" s="13" t="s">
        <v>314</v>
      </c>
      <c r="C1931" s="14">
        <v>39.0</v>
      </c>
      <c r="D1931" s="15" t="s">
        <v>4183</v>
      </c>
      <c r="E1931" s="16" t="s">
        <v>221</v>
      </c>
      <c r="F1931" s="13" t="s">
        <v>683</v>
      </c>
      <c r="G1931" s="13" t="s">
        <v>4241</v>
      </c>
      <c r="H1931" s="13" t="s">
        <v>4242</v>
      </c>
      <c r="I1931" s="13" t="s">
        <v>63</v>
      </c>
      <c r="J1931" s="17" t="s">
        <v>71</v>
      </c>
      <c r="K1931" s="17" t="s">
        <v>58</v>
      </c>
      <c r="L1931" s="18" t="s">
        <v>52</v>
      </c>
      <c r="M1931" s="19">
        <v>52.0</v>
      </c>
      <c r="N1931" s="19">
        <v>31.0</v>
      </c>
    </row>
    <row r="1932">
      <c r="A1932" s="12">
        <v>1930.0</v>
      </c>
      <c r="B1932" s="13" t="s">
        <v>314</v>
      </c>
      <c r="C1932" s="14">
        <v>40.0</v>
      </c>
      <c r="D1932" s="15" t="s">
        <v>4183</v>
      </c>
      <c r="E1932" s="16" t="s">
        <v>221</v>
      </c>
      <c r="F1932" s="13" t="s">
        <v>475</v>
      </c>
      <c r="G1932" s="13" t="s">
        <v>4243</v>
      </c>
      <c r="H1932" s="13" t="s">
        <v>4245</v>
      </c>
      <c r="I1932" s="13" t="s">
        <v>63</v>
      </c>
      <c r="J1932" s="17" t="s">
        <v>71</v>
      </c>
      <c r="K1932" s="17" t="s">
        <v>58</v>
      </c>
      <c r="L1932" s="18" t="s">
        <v>52</v>
      </c>
      <c r="M1932" s="19">
        <v>52.0</v>
      </c>
      <c r="N1932" s="19">
        <v>31.0</v>
      </c>
    </row>
    <row r="1933">
      <c r="A1933" s="12">
        <v>1931.0</v>
      </c>
      <c r="B1933" s="13" t="s">
        <v>314</v>
      </c>
      <c r="C1933" s="14">
        <v>41.0</v>
      </c>
      <c r="D1933" s="15" t="s">
        <v>4183</v>
      </c>
      <c r="E1933" s="16" t="s">
        <v>221</v>
      </c>
      <c r="F1933" s="13" t="s">
        <v>703</v>
      </c>
      <c r="G1933" s="13" t="s">
        <v>61</v>
      </c>
      <c r="H1933" s="13" t="s">
        <v>4246</v>
      </c>
      <c r="I1933" s="13" t="s">
        <v>63</v>
      </c>
      <c r="J1933" s="17" t="s">
        <v>71</v>
      </c>
      <c r="K1933" s="17" t="s">
        <v>58</v>
      </c>
      <c r="L1933" s="18" t="s">
        <v>52</v>
      </c>
      <c r="M1933" s="19">
        <v>52.0</v>
      </c>
      <c r="N1933" s="19">
        <v>31.0</v>
      </c>
    </row>
    <row r="1934">
      <c r="A1934" s="12">
        <v>1932.0</v>
      </c>
      <c r="B1934" s="13" t="s">
        <v>314</v>
      </c>
      <c r="C1934" s="14">
        <v>42.0</v>
      </c>
      <c r="D1934" s="15" t="s">
        <v>4183</v>
      </c>
      <c r="E1934" s="16" t="s">
        <v>221</v>
      </c>
      <c r="F1934" s="13" t="s">
        <v>724</v>
      </c>
      <c r="G1934" s="13" t="s">
        <v>61</v>
      </c>
      <c r="H1934" s="13" t="s">
        <v>1410</v>
      </c>
      <c r="I1934" s="13" t="s">
        <v>63</v>
      </c>
      <c r="J1934" s="17" t="s">
        <v>71</v>
      </c>
      <c r="K1934" s="17" t="s">
        <v>58</v>
      </c>
      <c r="L1934" s="18" t="s">
        <v>52</v>
      </c>
      <c r="M1934" s="19">
        <v>52.0</v>
      </c>
      <c r="N1934" s="19">
        <v>31.0</v>
      </c>
    </row>
    <row r="1935">
      <c r="A1935" s="12">
        <v>1933.0</v>
      </c>
      <c r="B1935" s="13" t="s">
        <v>314</v>
      </c>
      <c r="C1935" s="14">
        <v>43.0</v>
      </c>
      <c r="D1935" s="15" t="s">
        <v>4183</v>
      </c>
      <c r="E1935" s="16" t="s">
        <v>221</v>
      </c>
      <c r="F1935" s="13" t="s">
        <v>692</v>
      </c>
      <c r="G1935" s="13" t="s">
        <v>61</v>
      </c>
      <c r="H1935" s="13" t="s">
        <v>4248</v>
      </c>
      <c r="I1935" s="13" t="s">
        <v>63</v>
      </c>
      <c r="J1935" s="17" t="s">
        <v>71</v>
      </c>
      <c r="K1935" s="17" t="s">
        <v>58</v>
      </c>
      <c r="L1935" s="18" t="s">
        <v>52</v>
      </c>
      <c r="M1935" s="19">
        <v>52.0</v>
      </c>
      <c r="N1935" s="19">
        <v>31.0</v>
      </c>
    </row>
    <row r="1936">
      <c r="A1936" s="12">
        <v>1934.0</v>
      </c>
      <c r="B1936" s="13" t="s">
        <v>314</v>
      </c>
      <c r="C1936" s="14">
        <v>44.0</v>
      </c>
      <c r="D1936" s="15" t="s">
        <v>4183</v>
      </c>
      <c r="E1936" s="16" t="s">
        <v>221</v>
      </c>
      <c r="F1936" s="13" t="s">
        <v>731</v>
      </c>
      <c r="G1936" s="13" t="s">
        <v>61</v>
      </c>
      <c r="H1936" s="13" t="s">
        <v>4249</v>
      </c>
      <c r="I1936" s="13" t="s">
        <v>63</v>
      </c>
      <c r="J1936" s="17" t="s">
        <v>71</v>
      </c>
      <c r="K1936" s="17" t="s">
        <v>58</v>
      </c>
      <c r="L1936" s="18" t="s">
        <v>52</v>
      </c>
      <c r="M1936" s="19">
        <v>52.0</v>
      </c>
      <c r="N1936" s="19">
        <v>31.0</v>
      </c>
    </row>
    <row r="1937">
      <c r="A1937" s="12">
        <v>1935.0</v>
      </c>
      <c r="B1937" s="13" t="s">
        <v>314</v>
      </c>
      <c r="C1937" s="14">
        <v>45.0</v>
      </c>
      <c r="D1937" s="15" t="s">
        <v>4183</v>
      </c>
      <c r="E1937" s="16" t="s">
        <v>221</v>
      </c>
      <c r="F1937" s="13" t="s">
        <v>732</v>
      </c>
      <c r="G1937" s="13" t="s">
        <v>840</v>
      </c>
      <c r="H1937" s="13" t="s">
        <v>4250</v>
      </c>
      <c r="I1937" s="13" t="s">
        <v>63</v>
      </c>
      <c r="J1937" s="17" t="s">
        <v>71</v>
      </c>
      <c r="K1937" s="17" t="s">
        <v>58</v>
      </c>
      <c r="L1937" s="18" t="s">
        <v>52</v>
      </c>
      <c r="M1937" s="19">
        <v>52.0</v>
      </c>
      <c r="N1937" s="19">
        <v>31.0</v>
      </c>
    </row>
    <row r="1938">
      <c r="A1938" s="12">
        <v>1936.0</v>
      </c>
      <c r="B1938" s="13" t="s">
        <v>314</v>
      </c>
      <c r="C1938" s="14">
        <v>46.0</v>
      </c>
      <c r="D1938" s="15" t="s">
        <v>4183</v>
      </c>
      <c r="E1938" s="16" t="s">
        <v>221</v>
      </c>
      <c r="F1938" s="13" t="s">
        <v>2953</v>
      </c>
      <c r="G1938" s="13" t="s">
        <v>4251</v>
      </c>
      <c r="H1938" s="13" t="s">
        <v>4224</v>
      </c>
      <c r="I1938" s="13" t="s">
        <v>63</v>
      </c>
      <c r="J1938" s="17" t="s">
        <v>71</v>
      </c>
      <c r="K1938" s="17" t="s">
        <v>58</v>
      </c>
      <c r="L1938" s="18" t="s">
        <v>52</v>
      </c>
      <c r="M1938" s="19">
        <v>52.0</v>
      </c>
      <c r="N1938" s="19">
        <v>31.0</v>
      </c>
    </row>
    <row r="1939">
      <c r="A1939" s="12">
        <v>1937.0</v>
      </c>
      <c r="B1939" s="13" t="s">
        <v>314</v>
      </c>
      <c r="C1939" s="14">
        <v>47.0</v>
      </c>
      <c r="D1939" s="15" t="s">
        <v>4183</v>
      </c>
      <c r="E1939" s="16" t="s">
        <v>221</v>
      </c>
      <c r="F1939" s="13" t="s">
        <v>632</v>
      </c>
      <c r="G1939" s="13" t="s">
        <v>1054</v>
      </c>
      <c r="H1939" s="13" t="s">
        <v>4252</v>
      </c>
      <c r="I1939" s="13" t="s">
        <v>63</v>
      </c>
      <c r="J1939" s="17" t="s">
        <v>71</v>
      </c>
      <c r="K1939" s="17" t="s">
        <v>58</v>
      </c>
      <c r="L1939" s="18" t="s">
        <v>52</v>
      </c>
      <c r="M1939" s="19">
        <v>52.0</v>
      </c>
      <c r="N1939" s="19">
        <v>31.0</v>
      </c>
    </row>
    <row r="1940">
      <c r="A1940" s="12">
        <v>1938.0</v>
      </c>
      <c r="B1940" s="13" t="s">
        <v>314</v>
      </c>
      <c r="C1940" s="14">
        <v>48.0</v>
      </c>
      <c r="D1940" s="15" t="s">
        <v>4183</v>
      </c>
      <c r="E1940" s="16" t="s">
        <v>221</v>
      </c>
      <c r="F1940" s="13" t="s">
        <v>4253</v>
      </c>
      <c r="G1940" s="13" t="s">
        <v>4254</v>
      </c>
      <c r="H1940" s="13" t="s">
        <v>909</v>
      </c>
      <c r="I1940" s="13" t="s">
        <v>63</v>
      </c>
      <c r="J1940" s="17" t="s">
        <v>71</v>
      </c>
      <c r="K1940" s="17" t="s">
        <v>58</v>
      </c>
      <c r="L1940" s="18" t="s">
        <v>52</v>
      </c>
      <c r="M1940" s="19">
        <v>52.0</v>
      </c>
      <c r="N1940" s="19">
        <v>31.0</v>
      </c>
    </row>
    <row r="1941">
      <c r="A1941" s="12">
        <v>1939.0</v>
      </c>
      <c r="B1941" s="13" t="s">
        <v>314</v>
      </c>
      <c r="C1941" s="14">
        <v>49.0</v>
      </c>
      <c r="D1941" s="15" t="s">
        <v>4183</v>
      </c>
      <c r="E1941" s="16" t="s">
        <v>221</v>
      </c>
      <c r="F1941" s="13" t="s">
        <v>582</v>
      </c>
      <c r="G1941" s="13" t="s">
        <v>772</v>
      </c>
      <c r="H1941" s="13" t="s">
        <v>4255</v>
      </c>
      <c r="I1941" s="13" t="s">
        <v>63</v>
      </c>
      <c r="J1941" s="17" t="s">
        <v>71</v>
      </c>
      <c r="K1941" s="17" t="s">
        <v>58</v>
      </c>
      <c r="L1941" s="18" t="s">
        <v>52</v>
      </c>
      <c r="M1941" s="19">
        <v>52.0</v>
      </c>
      <c r="N1941" s="19">
        <v>31.0</v>
      </c>
    </row>
    <row r="1942">
      <c r="A1942" s="12">
        <v>1940.0</v>
      </c>
      <c r="B1942" s="13" t="s">
        <v>314</v>
      </c>
      <c r="C1942" s="14">
        <v>50.0</v>
      </c>
      <c r="D1942" s="15" t="s">
        <v>4183</v>
      </c>
      <c r="E1942" s="16" t="s">
        <v>221</v>
      </c>
      <c r="F1942" s="13" t="s">
        <v>104</v>
      </c>
      <c r="G1942" s="13" t="s">
        <v>61</v>
      </c>
      <c r="H1942" s="13" t="s">
        <v>4256</v>
      </c>
      <c r="I1942" s="13" t="s">
        <v>63</v>
      </c>
      <c r="J1942" s="17" t="s">
        <v>71</v>
      </c>
      <c r="K1942" s="17" t="s">
        <v>58</v>
      </c>
      <c r="L1942" s="18" t="s">
        <v>52</v>
      </c>
      <c r="M1942" s="19">
        <v>52.0</v>
      </c>
      <c r="N1942" s="19">
        <v>31.0</v>
      </c>
    </row>
    <row r="1943">
      <c r="A1943" s="12">
        <v>1941.0</v>
      </c>
      <c r="B1943" s="13" t="s">
        <v>4257</v>
      </c>
      <c r="C1943" s="14">
        <v>1.0</v>
      </c>
      <c r="D1943" s="15" t="s">
        <v>4258</v>
      </c>
      <c r="E1943" s="16" t="s">
        <v>52</v>
      </c>
      <c r="F1943" s="13" t="s">
        <v>4259</v>
      </c>
      <c r="G1943" s="13" t="s">
        <v>4260</v>
      </c>
      <c r="H1943" s="13" t="s">
        <v>4262</v>
      </c>
      <c r="I1943" s="13" t="s">
        <v>56</v>
      </c>
      <c r="J1943" s="17" t="s">
        <v>57</v>
      </c>
      <c r="K1943" s="17" t="s">
        <v>58</v>
      </c>
      <c r="L1943" s="18" t="s">
        <v>52</v>
      </c>
      <c r="M1943" s="19">
        <v>53.0</v>
      </c>
      <c r="N1943" s="19">
        <v>10.0</v>
      </c>
    </row>
    <row r="1944">
      <c r="A1944" s="12">
        <v>1942.0</v>
      </c>
      <c r="B1944" s="13" t="s">
        <v>4257</v>
      </c>
      <c r="C1944" s="14">
        <v>2.0</v>
      </c>
      <c r="D1944" s="15" t="s">
        <v>4263</v>
      </c>
      <c r="E1944" s="16" t="s">
        <v>52</v>
      </c>
      <c r="F1944" s="13" t="s">
        <v>360</v>
      </c>
      <c r="G1944" s="13" t="s">
        <v>61</v>
      </c>
      <c r="H1944" s="13" t="s">
        <v>4264</v>
      </c>
      <c r="I1944" s="13" t="s">
        <v>63</v>
      </c>
      <c r="J1944" s="17" t="s">
        <v>57</v>
      </c>
      <c r="K1944" s="17" t="s">
        <v>58</v>
      </c>
      <c r="L1944" s="18" t="s">
        <v>749</v>
      </c>
      <c r="M1944" s="19">
        <v>53.0</v>
      </c>
      <c r="N1944" s="19">
        <v>11.0</v>
      </c>
    </row>
    <row r="1945">
      <c r="A1945" s="12">
        <v>1943.0</v>
      </c>
      <c r="B1945" s="13" t="s">
        <v>4257</v>
      </c>
      <c r="C1945" s="14">
        <v>3.0</v>
      </c>
      <c r="D1945" s="15" t="s">
        <v>4258</v>
      </c>
      <c r="E1945" s="16" t="s">
        <v>52</v>
      </c>
      <c r="F1945" s="13" t="s">
        <v>4265</v>
      </c>
      <c r="G1945" s="13" t="s">
        <v>4266</v>
      </c>
      <c r="H1945" s="13" t="s">
        <v>4267</v>
      </c>
      <c r="I1945" s="13" t="s">
        <v>56</v>
      </c>
      <c r="J1945" s="17" t="s">
        <v>67</v>
      </c>
      <c r="K1945" s="17" t="s">
        <v>58</v>
      </c>
      <c r="L1945" s="18" t="s">
        <v>52</v>
      </c>
      <c r="M1945" s="19">
        <v>53.0</v>
      </c>
      <c r="N1945" s="19">
        <v>20.0</v>
      </c>
    </row>
    <row r="1946">
      <c r="A1946" s="12">
        <v>1944.0</v>
      </c>
      <c r="B1946" s="13" t="s">
        <v>4257</v>
      </c>
      <c r="C1946" s="14">
        <v>4.0</v>
      </c>
      <c r="D1946" s="15" t="s">
        <v>4258</v>
      </c>
      <c r="E1946" s="16" t="s">
        <v>52</v>
      </c>
      <c r="F1946" s="13" t="s">
        <v>708</v>
      </c>
      <c r="G1946" s="13" t="s">
        <v>61</v>
      </c>
      <c r="H1946" s="13" t="s">
        <v>4268</v>
      </c>
      <c r="I1946" s="13" t="s">
        <v>56</v>
      </c>
      <c r="J1946" s="17" t="s">
        <v>67</v>
      </c>
      <c r="K1946" s="17" t="s">
        <v>58</v>
      </c>
      <c r="L1946" s="18" t="s">
        <v>52</v>
      </c>
      <c r="M1946" s="19">
        <v>53.0</v>
      </c>
      <c r="N1946" s="19">
        <v>20.0</v>
      </c>
    </row>
    <row r="1947">
      <c r="A1947" s="12">
        <v>1945.0</v>
      </c>
      <c r="B1947" s="13" t="s">
        <v>4257</v>
      </c>
      <c r="C1947" s="14">
        <v>5.0</v>
      </c>
      <c r="D1947" s="15" t="s">
        <v>4258</v>
      </c>
      <c r="E1947" s="16" t="s">
        <v>52</v>
      </c>
      <c r="F1947" s="13" t="s">
        <v>2215</v>
      </c>
      <c r="G1947" s="13" t="s">
        <v>4269</v>
      </c>
      <c r="H1947" s="13" t="s">
        <v>4270</v>
      </c>
      <c r="I1947" s="13" t="s">
        <v>56</v>
      </c>
      <c r="J1947" s="17" t="s">
        <v>67</v>
      </c>
      <c r="K1947" s="17" t="s">
        <v>58</v>
      </c>
      <c r="L1947" s="18" t="s">
        <v>52</v>
      </c>
      <c r="M1947" s="19">
        <v>53.0</v>
      </c>
      <c r="N1947" s="19">
        <v>20.0</v>
      </c>
    </row>
    <row r="1948">
      <c r="A1948" s="12">
        <v>1946.0</v>
      </c>
      <c r="B1948" s="13" t="s">
        <v>4257</v>
      </c>
      <c r="C1948" s="14">
        <v>6.0</v>
      </c>
      <c r="D1948" s="15" t="s">
        <v>4258</v>
      </c>
      <c r="E1948" s="16" t="s">
        <v>52</v>
      </c>
      <c r="F1948" s="13" t="s">
        <v>2340</v>
      </c>
      <c r="G1948" s="13" t="s">
        <v>4271</v>
      </c>
      <c r="H1948" s="13" t="s">
        <v>4272</v>
      </c>
      <c r="I1948" s="13" t="s">
        <v>56</v>
      </c>
      <c r="J1948" s="17" t="s">
        <v>67</v>
      </c>
      <c r="K1948" s="17" t="s">
        <v>58</v>
      </c>
      <c r="L1948" s="18" t="s">
        <v>52</v>
      </c>
      <c r="M1948" s="19">
        <v>53.0</v>
      </c>
      <c r="N1948" s="19">
        <v>20.0</v>
      </c>
    </row>
    <row r="1949">
      <c r="A1949" s="12">
        <v>1947.0</v>
      </c>
      <c r="B1949" s="13" t="s">
        <v>4257</v>
      </c>
      <c r="C1949" s="14">
        <v>7.0</v>
      </c>
      <c r="D1949" s="15" t="s">
        <v>4258</v>
      </c>
      <c r="E1949" s="16" t="s">
        <v>52</v>
      </c>
      <c r="F1949" s="13" t="s">
        <v>4273</v>
      </c>
      <c r="G1949" s="13" t="s">
        <v>4274</v>
      </c>
      <c r="H1949" s="13" t="s">
        <v>4275</v>
      </c>
      <c r="I1949" s="13" t="s">
        <v>56</v>
      </c>
      <c r="J1949" s="17" t="s">
        <v>67</v>
      </c>
      <c r="K1949" s="17" t="s">
        <v>58</v>
      </c>
      <c r="L1949" s="18" t="s">
        <v>52</v>
      </c>
      <c r="M1949" s="19">
        <v>53.0</v>
      </c>
      <c r="N1949" s="19">
        <v>20.0</v>
      </c>
    </row>
    <row r="1950">
      <c r="A1950" s="12">
        <v>1948.0</v>
      </c>
      <c r="B1950" s="13" t="s">
        <v>4257</v>
      </c>
      <c r="C1950" s="14">
        <v>8.0</v>
      </c>
      <c r="D1950" s="15" t="s">
        <v>4258</v>
      </c>
      <c r="E1950" s="16" t="s">
        <v>52</v>
      </c>
      <c r="F1950" s="13" t="s">
        <v>570</v>
      </c>
      <c r="G1950" s="13" t="s">
        <v>817</v>
      </c>
      <c r="H1950" s="13" t="s">
        <v>4277</v>
      </c>
      <c r="I1950" s="13" t="s">
        <v>56</v>
      </c>
      <c r="J1950" s="17" t="s">
        <v>67</v>
      </c>
      <c r="K1950" s="17" t="s">
        <v>58</v>
      </c>
      <c r="L1950" s="18" t="s">
        <v>52</v>
      </c>
      <c r="M1950" s="19">
        <v>53.0</v>
      </c>
      <c r="N1950" s="19">
        <v>20.0</v>
      </c>
    </row>
    <row r="1951">
      <c r="A1951" s="12">
        <v>1949.0</v>
      </c>
      <c r="B1951" s="13" t="s">
        <v>4257</v>
      </c>
      <c r="C1951" s="14">
        <v>9.0</v>
      </c>
      <c r="D1951" s="15" t="s">
        <v>4258</v>
      </c>
      <c r="E1951" s="16" t="s">
        <v>52</v>
      </c>
      <c r="F1951" s="13" t="s">
        <v>2328</v>
      </c>
      <c r="G1951" s="13" t="s">
        <v>2329</v>
      </c>
      <c r="H1951" s="13" t="s">
        <v>4278</v>
      </c>
      <c r="I1951" s="13" t="s">
        <v>56</v>
      </c>
      <c r="J1951" s="17" t="s">
        <v>67</v>
      </c>
      <c r="K1951" s="17" t="s">
        <v>58</v>
      </c>
      <c r="L1951" s="18" t="s">
        <v>52</v>
      </c>
      <c r="M1951" s="19">
        <v>53.0</v>
      </c>
      <c r="N1951" s="19">
        <v>20.0</v>
      </c>
    </row>
    <row r="1952">
      <c r="A1952" s="12">
        <v>1950.0</v>
      </c>
      <c r="B1952" s="13" t="s">
        <v>4257</v>
      </c>
      <c r="C1952" s="14">
        <v>10.0</v>
      </c>
      <c r="D1952" s="15" t="s">
        <v>4258</v>
      </c>
      <c r="E1952" s="16" t="s">
        <v>52</v>
      </c>
      <c r="F1952" s="13" t="s">
        <v>4279</v>
      </c>
      <c r="G1952" s="13" t="s">
        <v>4280</v>
      </c>
      <c r="H1952" s="13" t="s">
        <v>4281</v>
      </c>
      <c r="I1952" s="13" t="s">
        <v>56</v>
      </c>
      <c r="J1952" s="17" t="s">
        <v>67</v>
      </c>
      <c r="K1952" s="17" t="s">
        <v>58</v>
      </c>
      <c r="L1952" s="18" t="s">
        <v>52</v>
      </c>
      <c r="M1952" s="19">
        <v>53.0</v>
      </c>
      <c r="N1952" s="19">
        <v>20.0</v>
      </c>
    </row>
    <row r="1953">
      <c r="A1953" s="12">
        <v>1951.0</v>
      </c>
      <c r="B1953" s="13" t="s">
        <v>4257</v>
      </c>
      <c r="C1953" s="14">
        <v>11.0</v>
      </c>
      <c r="D1953" s="15" t="s">
        <v>4258</v>
      </c>
      <c r="E1953" s="16" t="s">
        <v>52</v>
      </c>
      <c r="F1953" s="13" t="s">
        <v>4282</v>
      </c>
      <c r="G1953" s="13" t="s">
        <v>4283</v>
      </c>
      <c r="H1953" s="13" t="s">
        <v>4284</v>
      </c>
      <c r="I1953" s="13" t="s">
        <v>56</v>
      </c>
      <c r="J1953" s="17" t="s">
        <v>67</v>
      </c>
      <c r="K1953" s="17" t="s">
        <v>58</v>
      </c>
      <c r="L1953" s="18" t="s">
        <v>52</v>
      </c>
      <c r="M1953" s="19">
        <v>53.0</v>
      </c>
      <c r="N1953" s="19">
        <v>20.0</v>
      </c>
    </row>
    <row r="1954">
      <c r="A1954" s="12">
        <v>1952.0</v>
      </c>
      <c r="B1954" s="13" t="s">
        <v>4257</v>
      </c>
      <c r="C1954" s="14">
        <v>12.0</v>
      </c>
      <c r="D1954" s="15" t="s">
        <v>4258</v>
      </c>
      <c r="E1954" s="16" t="s">
        <v>52</v>
      </c>
      <c r="F1954" s="13" t="s">
        <v>4285</v>
      </c>
      <c r="G1954" s="13" t="s">
        <v>4286</v>
      </c>
      <c r="H1954" s="13" t="s">
        <v>4287</v>
      </c>
      <c r="I1954" s="13" t="s">
        <v>56</v>
      </c>
      <c r="J1954" s="17" t="s">
        <v>67</v>
      </c>
      <c r="K1954" s="17" t="s">
        <v>58</v>
      </c>
      <c r="L1954" s="18" t="s">
        <v>52</v>
      </c>
      <c r="M1954" s="19">
        <v>53.0</v>
      </c>
      <c r="N1954" s="19">
        <v>20.0</v>
      </c>
    </row>
    <row r="1955">
      <c r="A1955" s="12">
        <v>1953.0</v>
      </c>
      <c r="B1955" s="13" t="s">
        <v>4257</v>
      </c>
      <c r="C1955" s="14">
        <v>13.0</v>
      </c>
      <c r="D1955" s="15" t="s">
        <v>4258</v>
      </c>
      <c r="E1955" s="16" t="s">
        <v>52</v>
      </c>
      <c r="F1955" s="13" t="s">
        <v>403</v>
      </c>
      <c r="G1955" s="13" t="s">
        <v>61</v>
      </c>
      <c r="H1955" s="13" t="s">
        <v>4288</v>
      </c>
      <c r="I1955" s="13" t="s">
        <v>56</v>
      </c>
      <c r="J1955" s="17" t="s">
        <v>67</v>
      </c>
      <c r="K1955" s="17" t="s">
        <v>58</v>
      </c>
      <c r="L1955" s="18" t="s">
        <v>52</v>
      </c>
      <c r="M1955" s="19">
        <v>53.0</v>
      </c>
      <c r="N1955" s="19">
        <v>20.0</v>
      </c>
    </row>
    <row r="1956">
      <c r="A1956" s="12">
        <v>1954.0</v>
      </c>
      <c r="B1956" s="13" t="s">
        <v>4257</v>
      </c>
      <c r="C1956" s="14">
        <v>14.0</v>
      </c>
      <c r="D1956" s="15" t="s">
        <v>4263</v>
      </c>
      <c r="E1956" s="16" t="s">
        <v>52</v>
      </c>
      <c r="F1956" s="13" t="s">
        <v>706</v>
      </c>
      <c r="G1956" s="13" t="s">
        <v>61</v>
      </c>
      <c r="H1956" s="13" t="s">
        <v>4290</v>
      </c>
      <c r="I1956" s="13" t="s">
        <v>63</v>
      </c>
      <c r="J1956" s="17" t="s">
        <v>67</v>
      </c>
      <c r="K1956" s="17" t="s">
        <v>58</v>
      </c>
      <c r="L1956" s="18" t="s">
        <v>52</v>
      </c>
      <c r="M1956" s="19">
        <v>53.0</v>
      </c>
      <c r="N1956" s="19">
        <v>21.0</v>
      </c>
    </row>
    <row r="1957">
      <c r="A1957" s="12">
        <v>1955.0</v>
      </c>
      <c r="B1957" s="13" t="s">
        <v>4257</v>
      </c>
      <c r="C1957" s="14">
        <v>15.0</v>
      </c>
      <c r="D1957" s="15" t="s">
        <v>4263</v>
      </c>
      <c r="E1957" s="16" t="s">
        <v>52</v>
      </c>
      <c r="F1957" s="13" t="s">
        <v>1151</v>
      </c>
      <c r="G1957" s="13" t="s">
        <v>61</v>
      </c>
      <c r="H1957" s="13" t="s">
        <v>4291</v>
      </c>
      <c r="I1957" s="13" t="s">
        <v>63</v>
      </c>
      <c r="J1957" s="17" t="s">
        <v>67</v>
      </c>
      <c r="K1957" s="17" t="s">
        <v>58</v>
      </c>
      <c r="L1957" s="18" t="s">
        <v>52</v>
      </c>
      <c r="M1957" s="19">
        <v>53.0</v>
      </c>
      <c r="N1957" s="19">
        <v>21.0</v>
      </c>
    </row>
    <row r="1958">
      <c r="A1958" s="12">
        <v>1956.0</v>
      </c>
      <c r="B1958" s="13" t="s">
        <v>4257</v>
      </c>
      <c r="C1958" s="14">
        <v>16.0</v>
      </c>
      <c r="D1958" s="15" t="s">
        <v>4258</v>
      </c>
      <c r="E1958" s="16" t="s">
        <v>52</v>
      </c>
      <c r="F1958" s="13" t="s">
        <v>717</v>
      </c>
      <c r="G1958" s="13" t="s">
        <v>61</v>
      </c>
      <c r="H1958" s="13" t="s">
        <v>4292</v>
      </c>
      <c r="I1958" s="13" t="s">
        <v>56</v>
      </c>
      <c r="J1958" s="17" t="s">
        <v>71</v>
      </c>
      <c r="K1958" s="17" t="s">
        <v>58</v>
      </c>
      <c r="L1958" s="18" t="s">
        <v>52</v>
      </c>
      <c r="M1958" s="19">
        <v>53.0</v>
      </c>
      <c r="N1958" s="19">
        <v>30.0</v>
      </c>
    </row>
    <row r="1959">
      <c r="A1959" s="12">
        <v>1957.0</v>
      </c>
      <c r="B1959" s="13" t="s">
        <v>4257</v>
      </c>
      <c r="C1959" s="14">
        <v>17.0</v>
      </c>
      <c r="D1959" s="15" t="s">
        <v>4258</v>
      </c>
      <c r="E1959" s="16" t="s">
        <v>52</v>
      </c>
      <c r="F1959" s="13" t="s">
        <v>283</v>
      </c>
      <c r="G1959" s="13" t="s">
        <v>61</v>
      </c>
      <c r="H1959" s="13" t="s">
        <v>4293</v>
      </c>
      <c r="I1959" s="13" t="s">
        <v>56</v>
      </c>
      <c r="J1959" s="17" t="s">
        <v>71</v>
      </c>
      <c r="K1959" s="17" t="s">
        <v>58</v>
      </c>
      <c r="L1959" s="18" t="s">
        <v>52</v>
      </c>
      <c r="M1959" s="19">
        <v>53.0</v>
      </c>
      <c r="N1959" s="19">
        <v>30.0</v>
      </c>
    </row>
    <row r="1960">
      <c r="A1960" s="12">
        <v>1958.0</v>
      </c>
      <c r="B1960" s="13" t="s">
        <v>4257</v>
      </c>
      <c r="C1960" s="14">
        <v>18.0</v>
      </c>
      <c r="D1960" s="15" t="s">
        <v>4258</v>
      </c>
      <c r="E1960" s="16" t="s">
        <v>52</v>
      </c>
      <c r="F1960" s="13" t="s">
        <v>501</v>
      </c>
      <c r="G1960" s="13" t="s">
        <v>61</v>
      </c>
      <c r="H1960" s="13" t="s">
        <v>4294</v>
      </c>
      <c r="I1960" s="13" t="s">
        <v>56</v>
      </c>
      <c r="J1960" s="17" t="s">
        <v>71</v>
      </c>
      <c r="K1960" s="17" t="s">
        <v>58</v>
      </c>
      <c r="L1960" s="18" t="s">
        <v>52</v>
      </c>
      <c r="M1960" s="19">
        <v>53.0</v>
      </c>
      <c r="N1960" s="19">
        <v>30.0</v>
      </c>
    </row>
    <row r="1961">
      <c r="A1961" s="12">
        <v>1959.0</v>
      </c>
      <c r="B1961" s="13" t="s">
        <v>4257</v>
      </c>
      <c r="C1961" s="14">
        <v>19.0</v>
      </c>
      <c r="D1961" s="15" t="s">
        <v>4263</v>
      </c>
      <c r="E1961" s="16" t="s">
        <v>52</v>
      </c>
      <c r="F1961" s="13" t="s">
        <v>1073</v>
      </c>
      <c r="G1961" s="13" t="s">
        <v>4296</v>
      </c>
      <c r="H1961" s="13" t="s">
        <v>4297</v>
      </c>
      <c r="I1961" s="13" t="s">
        <v>63</v>
      </c>
      <c r="J1961" s="17" t="s">
        <v>71</v>
      </c>
      <c r="K1961" s="17" t="s">
        <v>58</v>
      </c>
      <c r="L1961" s="18" t="s">
        <v>52</v>
      </c>
      <c r="M1961" s="19">
        <v>53.0</v>
      </c>
      <c r="N1961" s="19">
        <v>31.0</v>
      </c>
    </row>
    <row r="1962">
      <c r="A1962" s="12">
        <v>1960.0</v>
      </c>
      <c r="B1962" s="13" t="s">
        <v>4257</v>
      </c>
      <c r="C1962" s="14">
        <v>20.0</v>
      </c>
      <c r="D1962" s="15" t="s">
        <v>4263</v>
      </c>
      <c r="E1962" s="16" t="s">
        <v>52</v>
      </c>
      <c r="F1962" s="13" t="s">
        <v>1643</v>
      </c>
      <c r="G1962" s="13" t="s">
        <v>4299</v>
      </c>
      <c r="H1962" s="13" t="s">
        <v>4300</v>
      </c>
      <c r="I1962" s="13" t="s">
        <v>63</v>
      </c>
      <c r="J1962" s="17" t="s">
        <v>71</v>
      </c>
      <c r="K1962" s="17" t="s">
        <v>58</v>
      </c>
      <c r="L1962" s="18" t="s">
        <v>52</v>
      </c>
      <c r="M1962" s="19">
        <v>53.0</v>
      </c>
      <c r="N1962" s="19">
        <v>31.0</v>
      </c>
    </row>
    <row r="1963">
      <c r="A1963" s="12">
        <v>1961.0</v>
      </c>
      <c r="B1963" s="13" t="s">
        <v>4257</v>
      </c>
      <c r="C1963" s="14">
        <v>21.0</v>
      </c>
      <c r="D1963" s="15" t="s">
        <v>4263</v>
      </c>
      <c r="E1963" s="16" t="s">
        <v>52</v>
      </c>
      <c r="F1963" s="13" t="s">
        <v>1826</v>
      </c>
      <c r="G1963" s="13" t="s">
        <v>1827</v>
      </c>
      <c r="H1963" s="13" t="s">
        <v>4301</v>
      </c>
      <c r="I1963" s="13" t="s">
        <v>63</v>
      </c>
      <c r="J1963" s="17" t="s">
        <v>71</v>
      </c>
      <c r="K1963" s="17" t="s">
        <v>58</v>
      </c>
      <c r="L1963" s="18" t="s">
        <v>52</v>
      </c>
      <c r="M1963" s="19">
        <v>53.0</v>
      </c>
      <c r="N1963" s="19">
        <v>31.0</v>
      </c>
    </row>
    <row r="1964">
      <c r="A1964" s="12">
        <v>1962.0</v>
      </c>
      <c r="B1964" s="13" t="s">
        <v>4257</v>
      </c>
      <c r="C1964" s="14">
        <v>22.0</v>
      </c>
      <c r="D1964" s="15" t="s">
        <v>4263</v>
      </c>
      <c r="E1964" s="16" t="s">
        <v>52</v>
      </c>
      <c r="F1964" s="13" t="s">
        <v>302</v>
      </c>
      <c r="G1964" s="13" t="s">
        <v>4304</v>
      </c>
      <c r="H1964" s="13" t="s">
        <v>4305</v>
      </c>
      <c r="I1964" s="13" t="s">
        <v>63</v>
      </c>
      <c r="J1964" s="17" t="s">
        <v>71</v>
      </c>
      <c r="K1964" s="17" t="s">
        <v>58</v>
      </c>
      <c r="L1964" s="18" t="s">
        <v>52</v>
      </c>
      <c r="M1964" s="19">
        <v>53.0</v>
      </c>
      <c r="N1964" s="19">
        <v>31.0</v>
      </c>
    </row>
    <row r="1965">
      <c r="A1965" s="12">
        <v>1963.0</v>
      </c>
      <c r="B1965" s="13" t="s">
        <v>4257</v>
      </c>
      <c r="C1965" s="14">
        <v>23.0</v>
      </c>
      <c r="D1965" s="15" t="s">
        <v>4263</v>
      </c>
      <c r="E1965" s="16" t="s">
        <v>52</v>
      </c>
      <c r="F1965" s="13" t="s">
        <v>2458</v>
      </c>
      <c r="G1965" s="13" t="s">
        <v>4306</v>
      </c>
      <c r="H1965" s="13" t="s">
        <v>4308</v>
      </c>
      <c r="I1965" s="13" t="s">
        <v>63</v>
      </c>
      <c r="J1965" s="17" t="s">
        <v>71</v>
      </c>
      <c r="K1965" s="17" t="s">
        <v>58</v>
      </c>
      <c r="L1965" s="18" t="s">
        <v>52</v>
      </c>
      <c r="M1965" s="19">
        <v>53.0</v>
      </c>
      <c r="N1965" s="19">
        <v>31.0</v>
      </c>
    </row>
    <row r="1966">
      <c r="A1966" s="12">
        <v>1964.0</v>
      </c>
      <c r="B1966" s="13" t="s">
        <v>4257</v>
      </c>
      <c r="C1966" s="14">
        <v>24.0</v>
      </c>
      <c r="D1966" s="15" t="s">
        <v>4263</v>
      </c>
      <c r="E1966" s="16" t="s">
        <v>52</v>
      </c>
      <c r="F1966" s="13" t="s">
        <v>530</v>
      </c>
      <c r="G1966" s="13" t="s">
        <v>4309</v>
      </c>
      <c r="H1966" s="13" t="s">
        <v>4310</v>
      </c>
      <c r="I1966" s="13" t="s">
        <v>63</v>
      </c>
      <c r="J1966" s="17" t="s">
        <v>71</v>
      </c>
      <c r="K1966" s="17" t="s">
        <v>58</v>
      </c>
      <c r="L1966" s="18" t="s">
        <v>52</v>
      </c>
      <c r="M1966" s="19">
        <v>53.0</v>
      </c>
      <c r="N1966" s="19">
        <v>31.0</v>
      </c>
    </row>
    <row r="1967">
      <c r="A1967" s="12">
        <v>1965.0</v>
      </c>
      <c r="B1967" s="13" t="s">
        <v>4257</v>
      </c>
      <c r="C1967" s="14">
        <v>25.0</v>
      </c>
      <c r="D1967" s="15" t="s">
        <v>4263</v>
      </c>
      <c r="E1967" s="16" t="s">
        <v>52</v>
      </c>
      <c r="F1967" s="13" t="s">
        <v>552</v>
      </c>
      <c r="G1967" s="13" t="s">
        <v>61</v>
      </c>
      <c r="H1967" s="13" t="s">
        <v>4312</v>
      </c>
      <c r="I1967" s="13" t="s">
        <v>63</v>
      </c>
      <c r="J1967" s="17" t="s">
        <v>71</v>
      </c>
      <c r="K1967" s="17" t="s">
        <v>58</v>
      </c>
      <c r="L1967" s="18" t="s">
        <v>52</v>
      </c>
      <c r="M1967" s="19">
        <v>53.0</v>
      </c>
      <c r="N1967" s="19">
        <v>31.0</v>
      </c>
    </row>
    <row r="1968">
      <c r="A1968" s="12">
        <v>1966.0</v>
      </c>
      <c r="B1968" s="13" t="s">
        <v>4257</v>
      </c>
      <c r="C1968" s="14">
        <v>26.0</v>
      </c>
      <c r="D1968" s="15" t="s">
        <v>4263</v>
      </c>
      <c r="E1968" s="16" t="s">
        <v>52</v>
      </c>
      <c r="F1968" s="13" t="s">
        <v>489</v>
      </c>
      <c r="G1968" s="13" t="s">
        <v>762</v>
      </c>
      <c r="H1968" s="13" t="s">
        <v>4314</v>
      </c>
      <c r="I1968" s="13" t="s">
        <v>63</v>
      </c>
      <c r="J1968" s="17" t="s">
        <v>71</v>
      </c>
      <c r="K1968" s="17" t="s">
        <v>58</v>
      </c>
      <c r="L1968" s="18" t="s">
        <v>52</v>
      </c>
      <c r="M1968" s="19">
        <v>53.0</v>
      </c>
      <c r="N1968" s="19">
        <v>31.0</v>
      </c>
    </row>
    <row r="1969">
      <c r="A1969" s="12">
        <v>1967.0</v>
      </c>
      <c r="B1969" s="13" t="s">
        <v>4257</v>
      </c>
      <c r="C1969" s="14">
        <v>27.0</v>
      </c>
      <c r="D1969" s="15" t="s">
        <v>4263</v>
      </c>
      <c r="E1969" s="16" t="s">
        <v>52</v>
      </c>
      <c r="F1969" s="13" t="s">
        <v>495</v>
      </c>
      <c r="G1969" s="13" t="s">
        <v>61</v>
      </c>
      <c r="H1969" s="13" t="s">
        <v>4316</v>
      </c>
      <c r="I1969" s="13" t="s">
        <v>63</v>
      </c>
      <c r="J1969" s="17" t="s">
        <v>71</v>
      </c>
      <c r="K1969" s="17" t="s">
        <v>58</v>
      </c>
      <c r="L1969" s="18" t="s">
        <v>52</v>
      </c>
      <c r="M1969" s="19">
        <v>53.0</v>
      </c>
      <c r="N1969" s="19">
        <v>31.0</v>
      </c>
    </row>
    <row r="1970">
      <c r="A1970" s="12">
        <v>1968.0</v>
      </c>
      <c r="B1970" s="13" t="s">
        <v>4257</v>
      </c>
      <c r="C1970" s="14">
        <v>28.0</v>
      </c>
      <c r="D1970" s="15" t="s">
        <v>4263</v>
      </c>
      <c r="E1970" s="16" t="s">
        <v>52</v>
      </c>
      <c r="F1970" s="13" t="s">
        <v>672</v>
      </c>
      <c r="G1970" s="13" t="s">
        <v>61</v>
      </c>
      <c r="H1970" s="13" t="s">
        <v>4317</v>
      </c>
      <c r="I1970" s="13" t="s">
        <v>63</v>
      </c>
      <c r="J1970" s="17" t="s">
        <v>71</v>
      </c>
      <c r="K1970" s="17" t="s">
        <v>58</v>
      </c>
      <c r="L1970" s="18" t="s">
        <v>52</v>
      </c>
      <c r="M1970" s="19">
        <v>53.0</v>
      </c>
      <c r="N1970" s="19">
        <v>31.0</v>
      </c>
    </row>
    <row r="1971">
      <c r="A1971" s="12">
        <v>1969.0</v>
      </c>
      <c r="B1971" s="13" t="s">
        <v>4257</v>
      </c>
      <c r="C1971" s="14">
        <v>29.0</v>
      </c>
      <c r="D1971" s="15" t="s">
        <v>4263</v>
      </c>
      <c r="E1971" s="16" t="s">
        <v>52</v>
      </c>
      <c r="F1971" s="13" t="s">
        <v>683</v>
      </c>
      <c r="G1971" s="13" t="s">
        <v>4241</v>
      </c>
      <c r="H1971" s="13" t="s">
        <v>4318</v>
      </c>
      <c r="I1971" s="13" t="s">
        <v>63</v>
      </c>
      <c r="J1971" s="17" t="s">
        <v>71</v>
      </c>
      <c r="K1971" s="17" t="s">
        <v>58</v>
      </c>
      <c r="L1971" s="18" t="s">
        <v>52</v>
      </c>
      <c r="M1971" s="19">
        <v>53.0</v>
      </c>
      <c r="N1971" s="19">
        <v>31.0</v>
      </c>
    </row>
    <row r="1972">
      <c r="A1972" s="12">
        <v>1970.0</v>
      </c>
      <c r="B1972" s="13" t="s">
        <v>4257</v>
      </c>
      <c r="C1972" s="14">
        <v>30.0</v>
      </c>
      <c r="D1972" s="15" t="s">
        <v>4263</v>
      </c>
      <c r="E1972" s="16" t="s">
        <v>52</v>
      </c>
      <c r="F1972" s="13" t="s">
        <v>692</v>
      </c>
      <c r="G1972" s="13" t="s">
        <v>4319</v>
      </c>
      <c r="H1972" s="13" t="s">
        <v>4320</v>
      </c>
      <c r="I1972" s="13" t="s">
        <v>63</v>
      </c>
      <c r="J1972" s="17" t="s">
        <v>71</v>
      </c>
      <c r="K1972" s="17" t="s">
        <v>58</v>
      </c>
      <c r="L1972" s="18" t="s">
        <v>52</v>
      </c>
      <c r="M1972" s="19">
        <v>53.0</v>
      </c>
      <c r="N1972" s="19">
        <v>31.0</v>
      </c>
    </row>
    <row r="1973">
      <c r="A1973" s="12">
        <v>1971.0</v>
      </c>
      <c r="B1973" s="13" t="s">
        <v>2236</v>
      </c>
      <c r="C1973" s="14">
        <v>1.0</v>
      </c>
      <c r="D1973" s="15" t="s">
        <v>4321</v>
      </c>
      <c r="E1973" s="16" t="s">
        <v>52</v>
      </c>
      <c r="F1973" s="13" t="s">
        <v>451</v>
      </c>
      <c r="G1973" s="13" t="s">
        <v>61</v>
      </c>
      <c r="H1973" s="13" t="s">
        <v>4208</v>
      </c>
      <c r="I1973" s="13" t="s">
        <v>63</v>
      </c>
      <c r="J1973" s="17" t="s">
        <v>57</v>
      </c>
      <c r="K1973" s="17" t="s">
        <v>58</v>
      </c>
      <c r="L1973" s="18" t="s">
        <v>52</v>
      </c>
      <c r="M1973" s="19">
        <v>54.0</v>
      </c>
      <c r="N1973" s="19">
        <v>11.0</v>
      </c>
    </row>
    <row r="1974">
      <c r="A1974" s="12">
        <v>1972.0</v>
      </c>
      <c r="B1974" s="13" t="s">
        <v>2236</v>
      </c>
      <c r="C1974" s="14">
        <v>2.0</v>
      </c>
      <c r="D1974" s="15" t="s">
        <v>4321</v>
      </c>
      <c r="E1974" s="16" t="s">
        <v>52</v>
      </c>
      <c r="F1974" s="13" t="s">
        <v>2359</v>
      </c>
      <c r="G1974" s="13" t="s">
        <v>61</v>
      </c>
      <c r="H1974" s="13" t="s">
        <v>4322</v>
      </c>
      <c r="I1974" s="13" t="s">
        <v>63</v>
      </c>
      <c r="J1974" s="17" t="s">
        <v>57</v>
      </c>
      <c r="K1974" s="17" t="s">
        <v>58</v>
      </c>
      <c r="L1974" s="18" t="s">
        <v>52</v>
      </c>
      <c r="M1974" s="19">
        <v>54.0</v>
      </c>
      <c r="N1974" s="19">
        <v>11.0</v>
      </c>
    </row>
    <row r="1975">
      <c r="A1975" s="12">
        <v>1973.0</v>
      </c>
      <c r="B1975" s="13" t="s">
        <v>2236</v>
      </c>
      <c r="C1975" s="14">
        <v>3.0</v>
      </c>
      <c r="D1975" s="15" t="s">
        <v>4321</v>
      </c>
      <c r="E1975" s="16" t="s">
        <v>52</v>
      </c>
      <c r="F1975" s="13" t="s">
        <v>1423</v>
      </c>
      <c r="G1975" s="13" t="s">
        <v>1594</v>
      </c>
      <c r="H1975" s="13" t="s">
        <v>4323</v>
      </c>
      <c r="I1975" s="13" t="s">
        <v>63</v>
      </c>
      <c r="J1975" s="17" t="s">
        <v>57</v>
      </c>
      <c r="K1975" s="17" t="s">
        <v>58</v>
      </c>
      <c r="L1975" s="18" t="s">
        <v>52</v>
      </c>
      <c r="M1975" s="19">
        <v>54.0</v>
      </c>
      <c r="N1975" s="19">
        <v>11.0</v>
      </c>
    </row>
    <row r="1976">
      <c r="A1976" s="12">
        <v>1974.0</v>
      </c>
      <c r="B1976" s="13" t="s">
        <v>2236</v>
      </c>
      <c r="C1976" s="14">
        <v>4.0</v>
      </c>
      <c r="D1976" s="15" t="s">
        <v>4324</v>
      </c>
      <c r="E1976" s="16" t="s">
        <v>52</v>
      </c>
      <c r="F1976" s="13" t="s">
        <v>2332</v>
      </c>
      <c r="G1976" s="13" t="s">
        <v>61</v>
      </c>
      <c r="H1976" s="13" t="s">
        <v>4325</v>
      </c>
      <c r="I1976" s="13" t="s">
        <v>63</v>
      </c>
      <c r="J1976" s="17" t="s">
        <v>57</v>
      </c>
      <c r="K1976" s="17" t="s">
        <v>58</v>
      </c>
      <c r="L1976" s="18" t="s">
        <v>52</v>
      </c>
      <c r="M1976" s="19">
        <v>54.0</v>
      </c>
      <c r="N1976" s="19">
        <v>11.0</v>
      </c>
    </row>
    <row r="1977">
      <c r="A1977" s="12">
        <v>1975.0</v>
      </c>
      <c r="B1977" s="13" t="s">
        <v>2236</v>
      </c>
      <c r="C1977" s="14">
        <v>5.0</v>
      </c>
      <c r="D1977" s="15" t="s">
        <v>4321</v>
      </c>
      <c r="E1977" s="16" t="s">
        <v>52</v>
      </c>
      <c r="F1977" s="13" t="s">
        <v>1428</v>
      </c>
      <c r="G1977" s="13" t="s">
        <v>61</v>
      </c>
      <c r="H1977" s="13" t="s">
        <v>4326</v>
      </c>
      <c r="I1977" s="13" t="s">
        <v>63</v>
      </c>
      <c r="J1977" s="17" t="s">
        <v>67</v>
      </c>
      <c r="K1977" s="17" t="s">
        <v>58</v>
      </c>
      <c r="L1977" s="18" t="s">
        <v>52</v>
      </c>
      <c r="M1977" s="19">
        <v>54.0</v>
      </c>
      <c r="N1977" s="19">
        <v>21.0</v>
      </c>
    </row>
    <row r="1978">
      <c r="A1978" s="12">
        <v>1976.0</v>
      </c>
      <c r="B1978" s="13" t="s">
        <v>2236</v>
      </c>
      <c r="C1978" s="14">
        <v>6.0</v>
      </c>
      <c r="D1978" s="15" t="s">
        <v>4321</v>
      </c>
      <c r="E1978" s="16" t="s">
        <v>52</v>
      </c>
      <c r="F1978" s="13" t="s">
        <v>2309</v>
      </c>
      <c r="G1978" s="13" t="s">
        <v>4327</v>
      </c>
      <c r="H1978" s="13" t="s">
        <v>4328</v>
      </c>
      <c r="I1978" s="13" t="s">
        <v>63</v>
      </c>
      <c r="J1978" s="17" t="s">
        <v>71</v>
      </c>
      <c r="K1978" s="17" t="s">
        <v>58</v>
      </c>
      <c r="L1978" s="18" t="s">
        <v>52</v>
      </c>
      <c r="M1978" s="19">
        <v>54.0</v>
      </c>
      <c r="N1978" s="19">
        <v>31.0</v>
      </c>
    </row>
    <row r="1979">
      <c r="A1979" s="12">
        <v>1977.0</v>
      </c>
      <c r="B1979" s="13" t="s">
        <v>2236</v>
      </c>
      <c r="C1979" s="14">
        <v>7.0</v>
      </c>
      <c r="D1979" s="15" t="s">
        <v>4321</v>
      </c>
      <c r="E1979" s="16" t="s">
        <v>52</v>
      </c>
      <c r="F1979" s="13" t="s">
        <v>1420</v>
      </c>
      <c r="G1979" s="13" t="s">
        <v>4329</v>
      </c>
      <c r="H1979" s="13" t="s">
        <v>4330</v>
      </c>
      <c r="I1979" s="13" t="s">
        <v>63</v>
      </c>
      <c r="J1979" s="17" t="s">
        <v>71</v>
      </c>
      <c r="K1979" s="17" t="s">
        <v>58</v>
      </c>
      <c r="L1979" s="18" t="s">
        <v>52</v>
      </c>
      <c r="M1979" s="19">
        <v>54.0</v>
      </c>
      <c r="N1979" s="19">
        <v>31.0</v>
      </c>
    </row>
    <row r="1980">
      <c r="A1980" s="12">
        <v>1978.0</v>
      </c>
      <c r="B1980" s="13" t="s">
        <v>2236</v>
      </c>
      <c r="C1980" s="14">
        <v>8.0</v>
      </c>
      <c r="D1980" s="15" t="s">
        <v>4321</v>
      </c>
      <c r="E1980" s="16" t="s">
        <v>52</v>
      </c>
      <c r="F1980" s="13" t="s">
        <v>2417</v>
      </c>
      <c r="G1980" s="13" t="s">
        <v>3193</v>
      </c>
      <c r="H1980" s="13" t="s">
        <v>4331</v>
      </c>
      <c r="I1980" s="13" t="s">
        <v>63</v>
      </c>
      <c r="J1980" s="17" t="s">
        <v>71</v>
      </c>
      <c r="K1980" s="17" t="s">
        <v>58</v>
      </c>
      <c r="L1980" s="18" t="s">
        <v>52</v>
      </c>
      <c r="M1980" s="19">
        <v>54.0</v>
      </c>
      <c r="N1980" s="19">
        <v>31.0</v>
      </c>
    </row>
    <row r="1981">
      <c r="A1981" s="12">
        <v>1979.0</v>
      </c>
      <c r="B1981" s="13" t="s">
        <v>2236</v>
      </c>
      <c r="C1981" s="14">
        <v>9.0</v>
      </c>
      <c r="D1981" s="15" t="s">
        <v>4321</v>
      </c>
      <c r="E1981" s="16" t="s">
        <v>52</v>
      </c>
      <c r="F1981" s="13" t="s">
        <v>1643</v>
      </c>
      <c r="G1981" s="13" t="s">
        <v>4225</v>
      </c>
      <c r="H1981" s="13" t="s">
        <v>4332</v>
      </c>
      <c r="I1981" s="13" t="s">
        <v>63</v>
      </c>
      <c r="J1981" s="17" t="s">
        <v>71</v>
      </c>
      <c r="K1981" s="17" t="s">
        <v>58</v>
      </c>
      <c r="L1981" s="18" t="s">
        <v>52</v>
      </c>
      <c r="M1981" s="19">
        <v>54.0</v>
      </c>
      <c r="N1981" s="19">
        <v>31.0</v>
      </c>
    </row>
    <row r="1982">
      <c r="A1982" s="12">
        <v>1980.0</v>
      </c>
      <c r="B1982" s="13" t="s">
        <v>2236</v>
      </c>
      <c r="C1982" s="14">
        <v>10.0</v>
      </c>
      <c r="D1982" s="15" t="s">
        <v>4321</v>
      </c>
      <c r="E1982" s="16" t="s">
        <v>52</v>
      </c>
      <c r="F1982" s="13" t="s">
        <v>2328</v>
      </c>
      <c r="G1982" s="13" t="s">
        <v>4333</v>
      </c>
      <c r="H1982" s="13" t="s">
        <v>4334</v>
      </c>
      <c r="I1982" s="13" t="s">
        <v>63</v>
      </c>
      <c r="J1982" s="17" t="s">
        <v>71</v>
      </c>
      <c r="K1982" s="17" t="s">
        <v>58</v>
      </c>
      <c r="L1982" s="18" t="s">
        <v>52</v>
      </c>
      <c r="M1982" s="19">
        <v>54.0</v>
      </c>
      <c r="N1982" s="19">
        <v>31.0</v>
      </c>
    </row>
    <row r="1983">
      <c r="A1983" s="12">
        <v>1981.0</v>
      </c>
      <c r="B1983" s="13" t="s">
        <v>2236</v>
      </c>
      <c r="C1983" s="14">
        <v>11.0</v>
      </c>
      <c r="D1983" s="15" t="s">
        <v>4321</v>
      </c>
      <c r="E1983" s="16" t="s">
        <v>52</v>
      </c>
      <c r="F1983" s="13" t="s">
        <v>1278</v>
      </c>
      <c r="G1983" s="13" t="s">
        <v>4335</v>
      </c>
      <c r="H1983" s="13" t="s">
        <v>4336</v>
      </c>
      <c r="I1983" s="13" t="s">
        <v>63</v>
      </c>
      <c r="J1983" s="17" t="s">
        <v>71</v>
      </c>
      <c r="K1983" s="17" t="s">
        <v>58</v>
      </c>
      <c r="L1983" s="18" t="s">
        <v>52</v>
      </c>
      <c r="M1983" s="19">
        <v>54.0</v>
      </c>
      <c r="N1983" s="19">
        <v>31.0</v>
      </c>
    </row>
    <row r="1984">
      <c r="A1984" s="12">
        <v>1982.0</v>
      </c>
      <c r="B1984" s="13" t="s">
        <v>2236</v>
      </c>
      <c r="C1984" s="14">
        <v>12.0</v>
      </c>
      <c r="D1984" s="15" t="s">
        <v>4321</v>
      </c>
      <c r="E1984" s="16" t="s">
        <v>52</v>
      </c>
      <c r="F1984" s="13" t="s">
        <v>1966</v>
      </c>
      <c r="G1984" s="13" t="s">
        <v>3017</v>
      </c>
      <c r="H1984" s="13" t="s">
        <v>4337</v>
      </c>
      <c r="I1984" s="13" t="s">
        <v>63</v>
      </c>
      <c r="J1984" s="17" t="s">
        <v>71</v>
      </c>
      <c r="K1984" s="17" t="s">
        <v>58</v>
      </c>
      <c r="L1984" s="18" t="s">
        <v>52</v>
      </c>
      <c r="M1984" s="19">
        <v>54.0</v>
      </c>
      <c r="N1984" s="19">
        <v>31.0</v>
      </c>
    </row>
    <row r="1985">
      <c r="A1985" s="12">
        <v>1983.0</v>
      </c>
      <c r="B1985" s="13" t="s">
        <v>2236</v>
      </c>
      <c r="C1985" s="14">
        <v>13.0</v>
      </c>
      <c r="D1985" s="15" t="s">
        <v>4321</v>
      </c>
      <c r="E1985" s="16" t="s">
        <v>52</v>
      </c>
      <c r="F1985" s="13" t="s">
        <v>1972</v>
      </c>
      <c r="G1985" s="13" t="s">
        <v>3039</v>
      </c>
      <c r="H1985" s="13" t="s">
        <v>3745</v>
      </c>
      <c r="I1985" s="13" t="s">
        <v>63</v>
      </c>
      <c r="J1985" s="17" t="s">
        <v>71</v>
      </c>
      <c r="K1985" s="17" t="s">
        <v>58</v>
      </c>
      <c r="L1985" s="18" t="s">
        <v>52</v>
      </c>
      <c r="M1985" s="19">
        <v>54.0</v>
      </c>
      <c r="N1985" s="19">
        <v>31.0</v>
      </c>
    </row>
    <row r="1986">
      <c r="A1986" s="12">
        <v>1984.0</v>
      </c>
      <c r="B1986" s="13" t="s">
        <v>2236</v>
      </c>
      <c r="C1986" s="14">
        <v>14.0</v>
      </c>
      <c r="D1986" s="15" t="s">
        <v>4321</v>
      </c>
      <c r="E1986" s="16" t="s">
        <v>52</v>
      </c>
      <c r="F1986" s="13" t="s">
        <v>1563</v>
      </c>
      <c r="G1986" s="13" t="s">
        <v>1565</v>
      </c>
      <c r="H1986" s="13" t="s">
        <v>1746</v>
      </c>
      <c r="I1986" s="13" t="s">
        <v>63</v>
      </c>
      <c r="J1986" s="17" t="s">
        <v>71</v>
      </c>
      <c r="K1986" s="17" t="s">
        <v>58</v>
      </c>
      <c r="L1986" s="18" t="s">
        <v>52</v>
      </c>
      <c r="M1986" s="19">
        <v>54.0</v>
      </c>
      <c r="N1986" s="19">
        <v>31.0</v>
      </c>
    </row>
    <row r="1987">
      <c r="A1987" s="12">
        <v>1985.0</v>
      </c>
      <c r="B1987" s="13" t="s">
        <v>2236</v>
      </c>
      <c r="C1987" s="14">
        <v>15.0</v>
      </c>
      <c r="D1987" s="15" t="s">
        <v>4321</v>
      </c>
      <c r="E1987" s="16" t="s">
        <v>52</v>
      </c>
      <c r="F1987" s="13" t="s">
        <v>3843</v>
      </c>
      <c r="G1987" s="13" t="s">
        <v>4338</v>
      </c>
      <c r="H1987" s="13" t="s">
        <v>4339</v>
      </c>
      <c r="I1987" s="13" t="s">
        <v>63</v>
      </c>
      <c r="J1987" s="17" t="s">
        <v>71</v>
      </c>
      <c r="K1987" s="17" t="s">
        <v>58</v>
      </c>
      <c r="L1987" s="18" t="s">
        <v>52</v>
      </c>
      <c r="M1987" s="19">
        <v>54.0</v>
      </c>
      <c r="N1987" s="19">
        <v>31.0</v>
      </c>
    </row>
    <row r="1988">
      <c r="A1988" s="12">
        <v>1986.0</v>
      </c>
      <c r="B1988" s="13" t="s">
        <v>2236</v>
      </c>
      <c r="C1988" s="14">
        <v>16.0</v>
      </c>
      <c r="D1988" s="15" t="s">
        <v>4321</v>
      </c>
      <c r="E1988" s="16" t="s">
        <v>52</v>
      </c>
      <c r="F1988" s="13" t="s">
        <v>706</v>
      </c>
      <c r="G1988" s="13" t="s">
        <v>4340</v>
      </c>
      <c r="H1988" s="13" t="s">
        <v>4341</v>
      </c>
      <c r="I1988" s="13" t="s">
        <v>63</v>
      </c>
      <c r="J1988" s="17" t="s">
        <v>71</v>
      </c>
      <c r="K1988" s="17" t="s">
        <v>58</v>
      </c>
      <c r="L1988" s="18" t="s">
        <v>52</v>
      </c>
      <c r="M1988" s="19">
        <v>54.0</v>
      </c>
      <c r="N1988" s="19">
        <v>31.0</v>
      </c>
    </row>
    <row r="1989">
      <c r="A1989" s="12">
        <v>1987.0</v>
      </c>
      <c r="B1989" s="13" t="s">
        <v>2236</v>
      </c>
      <c r="C1989" s="14">
        <v>17.0</v>
      </c>
      <c r="D1989" s="15" t="s">
        <v>4321</v>
      </c>
      <c r="E1989" s="16" t="s">
        <v>52</v>
      </c>
      <c r="F1989" s="13" t="s">
        <v>1769</v>
      </c>
      <c r="G1989" s="13" t="s">
        <v>4342</v>
      </c>
      <c r="H1989" s="13" t="s">
        <v>4343</v>
      </c>
      <c r="I1989" s="13" t="s">
        <v>63</v>
      </c>
      <c r="J1989" s="17" t="s">
        <v>71</v>
      </c>
      <c r="K1989" s="17" t="s">
        <v>58</v>
      </c>
      <c r="L1989" s="18" t="s">
        <v>52</v>
      </c>
      <c r="M1989" s="19">
        <v>54.0</v>
      </c>
      <c r="N1989" s="19">
        <v>31.0</v>
      </c>
    </row>
    <row r="1990">
      <c r="A1990" s="12">
        <v>1988.0</v>
      </c>
      <c r="B1990" s="13" t="s">
        <v>2236</v>
      </c>
      <c r="C1990" s="14">
        <v>18.0</v>
      </c>
      <c r="D1990" s="15" t="s">
        <v>4324</v>
      </c>
      <c r="E1990" s="16" t="s">
        <v>52</v>
      </c>
      <c r="F1990" s="13" t="s">
        <v>2340</v>
      </c>
      <c r="G1990" s="13" t="s">
        <v>2342</v>
      </c>
      <c r="H1990" s="13" t="s">
        <v>2343</v>
      </c>
      <c r="I1990" s="13" t="s">
        <v>63</v>
      </c>
      <c r="J1990" s="17" t="s">
        <v>71</v>
      </c>
      <c r="K1990" s="17" t="s">
        <v>58</v>
      </c>
      <c r="L1990" s="18" t="s">
        <v>52</v>
      </c>
      <c r="M1990" s="19">
        <v>54.0</v>
      </c>
      <c r="N1990" s="19">
        <v>31.0</v>
      </c>
    </row>
    <row r="1991">
      <c r="A1991" s="12">
        <v>1989.0</v>
      </c>
      <c r="B1991" s="13" t="s">
        <v>2236</v>
      </c>
      <c r="C1991" s="14">
        <v>19.0</v>
      </c>
      <c r="D1991" s="15" t="s">
        <v>4324</v>
      </c>
      <c r="E1991" s="16" t="s">
        <v>52</v>
      </c>
      <c r="F1991" s="13" t="s">
        <v>2953</v>
      </c>
      <c r="G1991" s="13" t="s">
        <v>4344</v>
      </c>
      <c r="H1991" s="13" t="s">
        <v>4345</v>
      </c>
      <c r="I1991" s="13" t="s">
        <v>63</v>
      </c>
      <c r="J1991" s="17" t="s">
        <v>71</v>
      </c>
      <c r="K1991" s="17" t="s">
        <v>58</v>
      </c>
      <c r="L1991" s="18" t="s">
        <v>52</v>
      </c>
      <c r="M1991" s="19">
        <v>54.0</v>
      </c>
      <c r="N1991" s="19">
        <v>31.0</v>
      </c>
    </row>
    <row r="1992">
      <c r="A1992" s="12">
        <v>1990.0</v>
      </c>
      <c r="B1992" s="13" t="s">
        <v>2236</v>
      </c>
      <c r="C1992" s="14">
        <v>20.0</v>
      </c>
      <c r="D1992" s="15" t="s">
        <v>4324</v>
      </c>
      <c r="E1992" s="16" t="s">
        <v>52</v>
      </c>
      <c r="F1992" s="13" t="s">
        <v>2322</v>
      </c>
      <c r="G1992" s="13" t="s">
        <v>4346</v>
      </c>
      <c r="H1992" s="13" t="s">
        <v>4347</v>
      </c>
      <c r="I1992" s="13" t="s">
        <v>63</v>
      </c>
      <c r="J1992" s="17" t="s">
        <v>71</v>
      </c>
      <c r="K1992" s="17" t="s">
        <v>58</v>
      </c>
      <c r="L1992" s="18" t="s">
        <v>52</v>
      </c>
      <c r="M1992" s="19">
        <v>54.0</v>
      </c>
      <c r="N1992" s="19">
        <v>31.0</v>
      </c>
    </row>
    <row r="1993">
      <c r="A1993" s="12">
        <v>1991.0</v>
      </c>
      <c r="B1993" s="13" t="s">
        <v>2236</v>
      </c>
      <c r="C1993" s="14">
        <v>21.0</v>
      </c>
      <c r="D1993" s="15" t="s">
        <v>4324</v>
      </c>
      <c r="E1993" s="16" t="s">
        <v>52</v>
      </c>
      <c r="F1993" s="13" t="s">
        <v>4348</v>
      </c>
      <c r="G1993" s="13" t="s">
        <v>4349</v>
      </c>
      <c r="H1993" s="13" t="s">
        <v>4350</v>
      </c>
      <c r="I1993" s="13" t="s">
        <v>63</v>
      </c>
      <c r="J1993" s="17" t="s">
        <v>71</v>
      </c>
      <c r="K1993" s="17" t="s">
        <v>58</v>
      </c>
      <c r="L1993" s="18" t="s">
        <v>52</v>
      </c>
      <c r="M1993" s="19">
        <v>54.0</v>
      </c>
      <c r="N1993" s="19">
        <v>31.0</v>
      </c>
    </row>
    <row r="1994">
      <c r="A1994" s="12">
        <v>1992.0</v>
      </c>
      <c r="B1994" s="13" t="s">
        <v>2236</v>
      </c>
      <c r="C1994" s="14">
        <v>22.0</v>
      </c>
      <c r="D1994" s="15" t="s">
        <v>4324</v>
      </c>
      <c r="E1994" s="16" t="s">
        <v>52</v>
      </c>
      <c r="F1994" s="13" t="s">
        <v>2344</v>
      </c>
      <c r="G1994" s="13" t="s">
        <v>2345</v>
      </c>
      <c r="H1994" s="13" t="s">
        <v>4352</v>
      </c>
      <c r="I1994" s="13" t="s">
        <v>63</v>
      </c>
      <c r="J1994" s="17" t="s">
        <v>71</v>
      </c>
      <c r="K1994" s="17" t="s">
        <v>58</v>
      </c>
      <c r="L1994" s="18" t="s">
        <v>52</v>
      </c>
      <c r="M1994" s="19">
        <v>54.0</v>
      </c>
      <c r="N1994" s="19">
        <v>31.0</v>
      </c>
    </row>
    <row r="1995">
      <c r="A1995" s="12">
        <v>1993.0</v>
      </c>
      <c r="B1995" s="13" t="s">
        <v>2236</v>
      </c>
      <c r="C1995" s="14">
        <v>23.0</v>
      </c>
      <c r="D1995" s="15" t="s">
        <v>4324</v>
      </c>
      <c r="E1995" s="16" t="s">
        <v>52</v>
      </c>
      <c r="F1995" s="13" t="s">
        <v>2347</v>
      </c>
      <c r="G1995" s="13" t="s">
        <v>4353</v>
      </c>
      <c r="H1995" s="13" t="s">
        <v>4354</v>
      </c>
      <c r="I1995" s="13" t="s">
        <v>63</v>
      </c>
      <c r="J1995" s="17" t="s">
        <v>71</v>
      </c>
      <c r="K1995" s="17" t="s">
        <v>58</v>
      </c>
      <c r="L1995" s="18" t="s">
        <v>52</v>
      </c>
      <c r="M1995" s="19">
        <v>54.0</v>
      </c>
      <c r="N1995" s="19">
        <v>31.0</v>
      </c>
    </row>
    <row r="1996">
      <c r="A1996" s="12">
        <v>1994.0</v>
      </c>
      <c r="B1996" s="13" t="s">
        <v>2236</v>
      </c>
      <c r="C1996" s="14">
        <v>24.0</v>
      </c>
      <c r="D1996" s="15" t="s">
        <v>4324</v>
      </c>
      <c r="E1996" s="16" t="s">
        <v>52</v>
      </c>
      <c r="F1996" s="13" t="s">
        <v>1431</v>
      </c>
      <c r="G1996" s="13" t="s">
        <v>61</v>
      </c>
      <c r="H1996" s="13" t="s">
        <v>4356</v>
      </c>
      <c r="I1996" s="13" t="s">
        <v>63</v>
      </c>
      <c r="J1996" s="17" t="s">
        <v>71</v>
      </c>
      <c r="K1996" s="17" t="s">
        <v>58</v>
      </c>
      <c r="L1996" s="18" t="s">
        <v>52</v>
      </c>
      <c r="M1996" s="19">
        <v>54.0</v>
      </c>
      <c r="N1996" s="19">
        <v>31.0</v>
      </c>
    </row>
    <row r="1997">
      <c r="A1997" s="12">
        <v>1995.0</v>
      </c>
      <c r="B1997" s="13" t="s">
        <v>2236</v>
      </c>
      <c r="C1997" s="14">
        <v>25.0</v>
      </c>
      <c r="D1997" s="15" t="s">
        <v>4324</v>
      </c>
      <c r="E1997" s="16" t="s">
        <v>52</v>
      </c>
      <c r="F1997" s="13" t="s">
        <v>2351</v>
      </c>
      <c r="G1997" s="13" t="s">
        <v>2352</v>
      </c>
      <c r="H1997" s="13" t="s">
        <v>4357</v>
      </c>
      <c r="I1997" s="13" t="s">
        <v>63</v>
      </c>
      <c r="J1997" s="17" t="s">
        <v>71</v>
      </c>
      <c r="K1997" s="17" t="s">
        <v>58</v>
      </c>
      <c r="L1997" s="18" t="s">
        <v>52</v>
      </c>
      <c r="M1997" s="19">
        <v>54.0</v>
      </c>
      <c r="N1997" s="19">
        <v>31.0</v>
      </c>
    </row>
    <row r="1998">
      <c r="A1998" s="12">
        <v>1996.0</v>
      </c>
      <c r="B1998" s="13" t="s">
        <v>2236</v>
      </c>
      <c r="C1998" s="14">
        <v>26.0</v>
      </c>
      <c r="D1998" s="15" t="s">
        <v>4324</v>
      </c>
      <c r="E1998" s="16" t="s">
        <v>52</v>
      </c>
      <c r="F1998" s="13" t="s">
        <v>4358</v>
      </c>
      <c r="G1998" s="13" t="s">
        <v>4359</v>
      </c>
      <c r="H1998" s="13" t="s">
        <v>4360</v>
      </c>
      <c r="I1998" s="13" t="s">
        <v>63</v>
      </c>
      <c r="J1998" s="17" t="s">
        <v>71</v>
      </c>
      <c r="K1998" s="17" t="s">
        <v>58</v>
      </c>
      <c r="L1998" s="18" t="s">
        <v>52</v>
      </c>
      <c r="M1998" s="19">
        <v>54.0</v>
      </c>
      <c r="N1998" s="19">
        <v>31.0</v>
      </c>
    </row>
    <row r="1999">
      <c r="A1999" s="12">
        <v>1997.0</v>
      </c>
      <c r="B1999" s="13" t="s">
        <v>2236</v>
      </c>
      <c r="C1999" s="14">
        <v>27.0</v>
      </c>
      <c r="D1999" s="15" t="s">
        <v>4324</v>
      </c>
      <c r="E1999" s="16" t="s">
        <v>52</v>
      </c>
      <c r="F1999" s="13" t="s">
        <v>1262</v>
      </c>
      <c r="G1999" s="13" t="s">
        <v>4361</v>
      </c>
      <c r="H1999" s="13" t="s">
        <v>4363</v>
      </c>
      <c r="I1999" s="13" t="s">
        <v>63</v>
      </c>
      <c r="J1999" s="17" t="s">
        <v>71</v>
      </c>
      <c r="K1999" s="17" t="s">
        <v>58</v>
      </c>
      <c r="L1999" s="18" t="s">
        <v>52</v>
      </c>
      <c r="M1999" s="19">
        <v>54.0</v>
      </c>
      <c r="N1999" s="19">
        <v>31.0</v>
      </c>
    </row>
    <row r="2000">
      <c r="A2000" s="12">
        <v>1998.0</v>
      </c>
      <c r="B2000" s="13" t="s">
        <v>2236</v>
      </c>
      <c r="C2000" s="14">
        <v>28.0</v>
      </c>
      <c r="D2000" s="15" t="s">
        <v>4324</v>
      </c>
      <c r="E2000" s="16" t="s">
        <v>52</v>
      </c>
      <c r="F2000" s="13" t="s">
        <v>1764</v>
      </c>
      <c r="G2000" s="13" t="s">
        <v>4365</v>
      </c>
      <c r="H2000" s="13" t="s">
        <v>4366</v>
      </c>
      <c r="I2000" s="13" t="s">
        <v>63</v>
      </c>
      <c r="J2000" s="17" t="s">
        <v>71</v>
      </c>
      <c r="K2000" s="17" t="s">
        <v>58</v>
      </c>
      <c r="L2000" s="18" t="s">
        <v>52</v>
      </c>
      <c r="M2000" s="19">
        <v>54.0</v>
      </c>
      <c r="N2000" s="19">
        <v>31.0</v>
      </c>
    </row>
    <row r="2001">
      <c r="A2001" s="12">
        <v>1999.0</v>
      </c>
      <c r="B2001" s="13" t="s">
        <v>2236</v>
      </c>
      <c r="C2001" s="14">
        <v>29.0</v>
      </c>
      <c r="D2001" s="15" t="s">
        <v>4324</v>
      </c>
      <c r="E2001" s="16" t="s">
        <v>52</v>
      </c>
      <c r="F2001" s="13" t="s">
        <v>717</v>
      </c>
      <c r="G2001" s="13" t="s">
        <v>4368</v>
      </c>
      <c r="H2001" s="13" t="s">
        <v>4369</v>
      </c>
      <c r="I2001" s="13" t="s">
        <v>63</v>
      </c>
      <c r="J2001" s="17" t="s">
        <v>71</v>
      </c>
      <c r="K2001" s="17" t="s">
        <v>58</v>
      </c>
      <c r="L2001" s="18" t="s">
        <v>52</v>
      </c>
      <c r="M2001" s="19">
        <v>54.0</v>
      </c>
      <c r="N2001" s="19">
        <v>31.0</v>
      </c>
    </row>
    <row r="2002">
      <c r="A2002" s="12">
        <v>2000.0</v>
      </c>
      <c r="B2002" s="13" t="s">
        <v>2236</v>
      </c>
      <c r="C2002" s="14">
        <v>30.0</v>
      </c>
      <c r="D2002" s="15" t="s">
        <v>4324</v>
      </c>
      <c r="E2002" s="16" t="s">
        <v>52</v>
      </c>
      <c r="F2002" s="13" t="s">
        <v>1759</v>
      </c>
      <c r="G2002" s="13" t="s">
        <v>4371</v>
      </c>
      <c r="H2002" s="13" t="s">
        <v>4372</v>
      </c>
      <c r="I2002" s="13" t="s">
        <v>63</v>
      </c>
      <c r="J2002" s="17" t="s">
        <v>71</v>
      </c>
      <c r="K2002" s="17" t="s">
        <v>58</v>
      </c>
      <c r="L2002" s="18" t="s">
        <v>52</v>
      </c>
      <c r="M2002" s="19">
        <v>54.0</v>
      </c>
      <c r="N2002" s="19">
        <v>31.0</v>
      </c>
    </row>
    <row r="2003">
      <c r="A2003" s="12">
        <v>2001.0</v>
      </c>
      <c r="B2003" s="13" t="s">
        <v>1643</v>
      </c>
      <c r="C2003" s="14">
        <v>1.0</v>
      </c>
      <c r="D2003" s="15" t="s">
        <v>4373</v>
      </c>
      <c r="E2003" s="16" t="s">
        <v>52</v>
      </c>
      <c r="F2003" s="13" t="s">
        <v>727</v>
      </c>
      <c r="G2003" s="13" t="s">
        <v>4375</v>
      </c>
      <c r="H2003" s="13" t="s">
        <v>4376</v>
      </c>
      <c r="I2003" s="13" t="s">
        <v>56</v>
      </c>
      <c r="J2003" s="17" t="s">
        <v>57</v>
      </c>
      <c r="K2003" s="17" t="s">
        <v>58</v>
      </c>
      <c r="L2003" s="18" t="s">
        <v>52</v>
      </c>
      <c r="M2003" s="19">
        <v>55.0</v>
      </c>
      <c r="N2003" s="19">
        <v>10.0</v>
      </c>
    </row>
    <row r="2004">
      <c r="A2004" s="12">
        <v>2002.0</v>
      </c>
      <c r="B2004" s="13" t="s">
        <v>1643</v>
      </c>
      <c r="C2004" s="14">
        <v>2.0</v>
      </c>
      <c r="D2004" s="15" t="s">
        <v>4377</v>
      </c>
      <c r="E2004" s="16" t="s">
        <v>52</v>
      </c>
      <c r="F2004" s="13" t="s">
        <v>724</v>
      </c>
      <c r="G2004" s="13" t="s">
        <v>1626</v>
      </c>
      <c r="H2004" s="13" t="s">
        <v>4378</v>
      </c>
      <c r="I2004" s="13" t="s">
        <v>56</v>
      </c>
      <c r="J2004" s="17" t="s">
        <v>57</v>
      </c>
      <c r="K2004" s="17" t="s">
        <v>58</v>
      </c>
      <c r="L2004" s="18" t="s">
        <v>52</v>
      </c>
      <c r="M2004" s="19">
        <v>55.0</v>
      </c>
      <c r="N2004" s="19">
        <v>10.0</v>
      </c>
    </row>
    <row r="2005">
      <c r="A2005" s="12">
        <v>2003.0</v>
      </c>
      <c r="B2005" s="13" t="s">
        <v>1643</v>
      </c>
      <c r="C2005" s="14">
        <v>3.0</v>
      </c>
      <c r="D2005" s="15" t="s">
        <v>4377</v>
      </c>
      <c r="E2005" s="16" t="s">
        <v>52</v>
      </c>
      <c r="F2005" s="13" t="s">
        <v>1351</v>
      </c>
      <c r="G2005" s="13" t="s">
        <v>61</v>
      </c>
      <c r="H2005" s="13" t="s">
        <v>4379</v>
      </c>
      <c r="I2005" s="13" t="s">
        <v>63</v>
      </c>
      <c r="J2005" s="17" t="s">
        <v>57</v>
      </c>
      <c r="K2005" s="17" t="s">
        <v>58</v>
      </c>
      <c r="L2005" s="18" t="s">
        <v>52</v>
      </c>
      <c r="M2005" s="19">
        <v>55.0</v>
      </c>
      <c r="N2005" s="19">
        <v>11.0</v>
      </c>
    </row>
    <row r="2006">
      <c r="A2006" s="12">
        <v>2004.0</v>
      </c>
      <c r="B2006" s="13" t="s">
        <v>1643</v>
      </c>
      <c r="C2006" s="14">
        <v>4.0</v>
      </c>
      <c r="D2006" s="15" t="s">
        <v>4373</v>
      </c>
      <c r="E2006" s="16" t="s">
        <v>52</v>
      </c>
      <c r="F2006" s="13" t="s">
        <v>283</v>
      </c>
      <c r="G2006" s="13" t="s">
        <v>4380</v>
      </c>
      <c r="H2006" s="13" t="s">
        <v>4381</v>
      </c>
      <c r="I2006" s="13" t="s">
        <v>56</v>
      </c>
      <c r="J2006" s="17" t="s">
        <v>67</v>
      </c>
      <c r="K2006" s="17" t="s">
        <v>58</v>
      </c>
      <c r="L2006" s="18" t="s">
        <v>52</v>
      </c>
      <c r="M2006" s="19">
        <v>55.0</v>
      </c>
      <c r="N2006" s="19">
        <v>20.0</v>
      </c>
    </row>
    <row r="2007">
      <c r="A2007" s="12">
        <v>2005.0</v>
      </c>
      <c r="B2007" s="13" t="s">
        <v>1643</v>
      </c>
      <c r="C2007" s="14">
        <v>5.0</v>
      </c>
      <c r="D2007" s="15" t="s">
        <v>4373</v>
      </c>
      <c r="E2007" s="16" t="s">
        <v>52</v>
      </c>
      <c r="F2007" s="13" t="s">
        <v>289</v>
      </c>
      <c r="G2007" s="13" t="s">
        <v>4382</v>
      </c>
      <c r="H2007" s="13" t="s">
        <v>4383</v>
      </c>
      <c r="I2007" s="13" t="s">
        <v>56</v>
      </c>
      <c r="J2007" s="17" t="s">
        <v>67</v>
      </c>
      <c r="K2007" s="17" t="s">
        <v>58</v>
      </c>
      <c r="L2007" s="18" t="s">
        <v>52</v>
      </c>
      <c r="M2007" s="19">
        <v>55.0</v>
      </c>
      <c r="N2007" s="19">
        <v>20.0</v>
      </c>
    </row>
    <row r="2008">
      <c r="A2008" s="12">
        <v>2006.0</v>
      </c>
      <c r="B2008" s="13" t="s">
        <v>1643</v>
      </c>
      <c r="C2008" s="14">
        <v>6.0</v>
      </c>
      <c r="D2008" s="15" t="s">
        <v>4377</v>
      </c>
      <c r="E2008" s="16" t="s">
        <v>52</v>
      </c>
      <c r="F2008" s="13" t="s">
        <v>1826</v>
      </c>
      <c r="G2008" s="13" t="s">
        <v>4384</v>
      </c>
      <c r="H2008" s="13" t="s">
        <v>4385</v>
      </c>
      <c r="I2008" s="13" t="s">
        <v>56</v>
      </c>
      <c r="J2008" s="17" t="s">
        <v>67</v>
      </c>
      <c r="K2008" s="17" t="s">
        <v>58</v>
      </c>
      <c r="L2008" s="18" t="s">
        <v>52</v>
      </c>
      <c r="M2008" s="19">
        <v>55.0</v>
      </c>
      <c r="N2008" s="19">
        <v>20.0</v>
      </c>
    </row>
    <row r="2009">
      <c r="A2009" s="12">
        <v>2007.0</v>
      </c>
      <c r="B2009" s="13" t="s">
        <v>1643</v>
      </c>
      <c r="C2009" s="14">
        <v>7.0</v>
      </c>
      <c r="D2009" s="15" t="s">
        <v>4386</v>
      </c>
      <c r="E2009" s="16" t="s">
        <v>52</v>
      </c>
      <c r="F2009" s="13" t="s">
        <v>658</v>
      </c>
      <c r="G2009" s="13" t="s">
        <v>4096</v>
      </c>
      <c r="H2009" s="13" t="s">
        <v>4387</v>
      </c>
      <c r="I2009" s="13" t="s">
        <v>56</v>
      </c>
      <c r="J2009" s="17" t="s">
        <v>71</v>
      </c>
      <c r="K2009" s="17" t="s">
        <v>58</v>
      </c>
      <c r="L2009" s="18" t="s">
        <v>253</v>
      </c>
      <c r="M2009" s="19">
        <v>55.0</v>
      </c>
      <c r="N2009" s="19">
        <v>30.0</v>
      </c>
    </row>
    <row r="2010">
      <c r="A2010" s="12">
        <v>2008.0</v>
      </c>
      <c r="B2010" s="13" t="s">
        <v>1643</v>
      </c>
      <c r="C2010" s="14">
        <v>8.0</v>
      </c>
      <c r="D2010" s="15" t="s">
        <v>4373</v>
      </c>
      <c r="E2010" s="16" t="s">
        <v>52</v>
      </c>
      <c r="F2010" s="13" t="s">
        <v>738</v>
      </c>
      <c r="G2010" s="13" t="s">
        <v>4094</v>
      </c>
      <c r="H2010" s="13" t="s">
        <v>4387</v>
      </c>
      <c r="I2010" s="13" t="s">
        <v>56</v>
      </c>
      <c r="J2010" s="17" t="s">
        <v>71</v>
      </c>
      <c r="K2010" s="17" t="s">
        <v>58</v>
      </c>
      <c r="L2010" s="18" t="s">
        <v>52</v>
      </c>
      <c r="M2010" s="19">
        <v>55.0</v>
      </c>
      <c r="N2010" s="19">
        <v>30.0</v>
      </c>
    </row>
    <row r="2011">
      <c r="A2011" s="12">
        <v>2009.0</v>
      </c>
      <c r="B2011" s="13" t="s">
        <v>1643</v>
      </c>
      <c r="C2011" s="14">
        <v>9.0</v>
      </c>
      <c r="D2011" s="15" t="s">
        <v>4373</v>
      </c>
      <c r="E2011" s="16" t="s">
        <v>52</v>
      </c>
      <c r="F2011" s="13" t="s">
        <v>257</v>
      </c>
      <c r="G2011" s="13" t="s">
        <v>4388</v>
      </c>
      <c r="H2011" s="13" t="s">
        <v>4389</v>
      </c>
      <c r="I2011" s="13" t="s">
        <v>56</v>
      </c>
      <c r="J2011" s="17" t="s">
        <v>71</v>
      </c>
      <c r="K2011" s="17" t="s">
        <v>58</v>
      </c>
      <c r="L2011" s="18" t="s">
        <v>52</v>
      </c>
      <c r="M2011" s="19">
        <v>55.0</v>
      </c>
      <c r="N2011" s="19">
        <v>30.0</v>
      </c>
    </row>
    <row r="2012">
      <c r="A2012" s="12">
        <v>2010.0</v>
      </c>
      <c r="B2012" s="13" t="s">
        <v>1643</v>
      </c>
      <c r="C2012" s="14">
        <v>10.0</v>
      </c>
      <c r="D2012" s="15" t="s">
        <v>4373</v>
      </c>
      <c r="E2012" s="16" t="s">
        <v>52</v>
      </c>
      <c r="F2012" s="13" t="s">
        <v>544</v>
      </c>
      <c r="G2012" s="13" t="s">
        <v>4390</v>
      </c>
      <c r="H2012" s="13" t="s">
        <v>4391</v>
      </c>
      <c r="I2012" s="13" t="s">
        <v>56</v>
      </c>
      <c r="J2012" s="17" t="s">
        <v>71</v>
      </c>
      <c r="K2012" s="17" t="s">
        <v>58</v>
      </c>
      <c r="L2012" s="18" t="s">
        <v>52</v>
      </c>
      <c r="M2012" s="19">
        <v>55.0</v>
      </c>
      <c r="N2012" s="19">
        <v>30.0</v>
      </c>
    </row>
    <row r="2013">
      <c r="A2013" s="12">
        <v>2011.0</v>
      </c>
      <c r="B2013" s="13" t="s">
        <v>1643</v>
      </c>
      <c r="C2013" s="14">
        <v>11.0</v>
      </c>
      <c r="D2013" s="15" t="s">
        <v>4377</v>
      </c>
      <c r="E2013" s="16" t="s">
        <v>52</v>
      </c>
      <c r="F2013" s="13" t="s">
        <v>651</v>
      </c>
      <c r="G2013" s="13" t="s">
        <v>4392</v>
      </c>
      <c r="H2013" s="13" t="s">
        <v>4393</v>
      </c>
      <c r="I2013" s="13" t="s">
        <v>56</v>
      </c>
      <c r="J2013" s="17" t="s">
        <v>71</v>
      </c>
      <c r="K2013" s="17" t="s">
        <v>58</v>
      </c>
      <c r="L2013" s="18" t="s">
        <v>52</v>
      </c>
      <c r="M2013" s="19">
        <v>55.0</v>
      </c>
      <c r="N2013" s="19">
        <v>30.0</v>
      </c>
    </row>
    <row r="2014">
      <c r="A2014" s="12">
        <v>2012.0</v>
      </c>
      <c r="B2014" s="13" t="s">
        <v>1643</v>
      </c>
      <c r="C2014" s="14">
        <v>12.0</v>
      </c>
      <c r="D2014" s="15" t="s">
        <v>4377</v>
      </c>
      <c r="E2014" s="16" t="s">
        <v>52</v>
      </c>
      <c r="F2014" s="13" t="s">
        <v>501</v>
      </c>
      <c r="G2014" s="13" t="s">
        <v>975</v>
      </c>
      <c r="H2014" s="13" t="s">
        <v>4394</v>
      </c>
      <c r="I2014" s="13" t="s">
        <v>56</v>
      </c>
      <c r="J2014" s="17" t="s">
        <v>71</v>
      </c>
      <c r="K2014" s="17" t="s">
        <v>58</v>
      </c>
      <c r="L2014" s="18" t="s">
        <v>52</v>
      </c>
      <c r="M2014" s="19">
        <v>55.0</v>
      </c>
      <c r="N2014" s="19">
        <v>30.0</v>
      </c>
    </row>
    <row r="2015">
      <c r="A2015" s="12">
        <v>2013.0</v>
      </c>
      <c r="B2015" s="13" t="s">
        <v>1643</v>
      </c>
      <c r="C2015" s="14">
        <v>13.0</v>
      </c>
      <c r="D2015" s="15" t="s">
        <v>4377</v>
      </c>
      <c r="E2015" s="16" t="s">
        <v>52</v>
      </c>
      <c r="F2015" s="13" t="s">
        <v>4236</v>
      </c>
      <c r="G2015" s="13" t="s">
        <v>4395</v>
      </c>
      <c r="H2015" s="13" t="s">
        <v>4396</v>
      </c>
      <c r="I2015" s="13" t="s">
        <v>56</v>
      </c>
      <c r="J2015" s="17" t="s">
        <v>71</v>
      </c>
      <c r="K2015" s="17" t="s">
        <v>58</v>
      </c>
      <c r="L2015" s="18" t="s">
        <v>52</v>
      </c>
      <c r="M2015" s="19">
        <v>55.0</v>
      </c>
      <c r="N2015" s="19">
        <v>30.0</v>
      </c>
    </row>
    <row r="2016">
      <c r="A2016" s="12">
        <v>2014.0</v>
      </c>
      <c r="B2016" s="13" t="s">
        <v>1643</v>
      </c>
      <c r="C2016" s="14">
        <v>14.0</v>
      </c>
      <c r="D2016" s="15" t="s">
        <v>4377</v>
      </c>
      <c r="E2016" s="16" t="s">
        <v>52</v>
      </c>
      <c r="F2016" s="13" t="s">
        <v>535</v>
      </c>
      <c r="G2016" s="13" t="s">
        <v>1515</v>
      </c>
      <c r="H2016" s="13" t="s">
        <v>1516</v>
      </c>
      <c r="I2016" s="13" t="s">
        <v>56</v>
      </c>
      <c r="J2016" s="17" t="s">
        <v>71</v>
      </c>
      <c r="K2016" s="17" t="s">
        <v>58</v>
      </c>
      <c r="L2016" s="18" t="s">
        <v>52</v>
      </c>
      <c r="M2016" s="19">
        <v>55.0</v>
      </c>
      <c r="N2016" s="19">
        <v>30.0</v>
      </c>
    </row>
    <row r="2017">
      <c r="A2017" s="12">
        <v>2015.0</v>
      </c>
      <c r="B2017" s="13" t="s">
        <v>1643</v>
      </c>
      <c r="C2017" s="14">
        <v>15.0</v>
      </c>
      <c r="D2017" s="15" t="s">
        <v>4377</v>
      </c>
      <c r="E2017" s="16" t="s">
        <v>52</v>
      </c>
      <c r="F2017" s="13" t="s">
        <v>731</v>
      </c>
      <c r="G2017" s="13" t="s">
        <v>4079</v>
      </c>
      <c r="H2017" s="13" t="s">
        <v>4397</v>
      </c>
      <c r="I2017" s="13" t="s">
        <v>56</v>
      </c>
      <c r="J2017" s="17" t="s">
        <v>71</v>
      </c>
      <c r="K2017" s="17" t="s">
        <v>58</v>
      </c>
      <c r="L2017" s="18" t="s">
        <v>52</v>
      </c>
      <c r="M2017" s="19">
        <v>55.0</v>
      </c>
      <c r="N2017" s="19">
        <v>30.0</v>
      </c>
    </row>
    <row r="2018">
      <c r="A2018" s="12">
        <v>2016.0</v>
      </c>
      <c r="B2018" s="13" t="s">
        <v>1643</v>
      </c>
      <c r="C2018" s="14">
        <v>16.0</v>
      </c>
      <c r="D2018" s="15" t="s">
        <v>4377</v>
      </c>
      <c r="E2018" s="16" t="s">
        <v>52</v>
      </c>
      <c r="F2018" s="13" t="s">
        <v>705</v>
      </c>
      <c r="G2018" s="13" t="s">
        <v>4090</v>
      </c>
      <c r="H2018" s="13" t="s">
        <v>4398</v>
      </c>
      <c r="I2018" s="13" t="s">
        <v>56</v>
      </c>
      <c r="J2018" s="17" t="s">
        <v>71</v>
      </c>
      <c r="K2018" s="17" t="s">
        <v>58</v>
      </c>
      <c r="L2018" s="18" t="s">
        <v>52</v>
      </c>
      <c r="M2018" s="19">
        <v>55.0</v>
      </c>
      <c r="N2018" s="19">
        <v>30.0</v>
      </c>
    </row>
    <row r="2019">
      <c r="A2019" s="12">
        <v>2017.0</v>
      </c>
      <c r="B2019" s="13" t="s">
        <v>1643</v>
      </c>
      <c r="C2019" s="14">
        <v>17.0</v>
      </c>
      <c r="D2019" s="15" t="s">
        <v>4377</v>
      </c>
      <c r="E2019" s="16" t="s">
        <v>52</v>
      </c>
      <c r="F2019" s="13" t="s">
        <v>4199</v>
      </c>
      <c r="G2019" s="13" t="s">
        <v>4399</v>
      </c>
      <c r="H2019" s="13" t="s">
        <v>4400</v>
      </c>
      <c r="I2019" s="13" t="s">
        <v>56</v>
      </c>
      <c r="J2019" s="17" t="s">
        <v>71</v>
      </c>
      <c r="K2019" s="17" t="s">
        <v>58</v>
      </c>
      <c r="L2019" s="18" t="s">
        <v>52</v>
      </c>
      <c r="M2019" s="19">
        <v>55.0</v>
      </c>
      <c r="N2019" s="19">
        <v>30.0</v>
      </c>
    </row>
    <row r="2020">
      <c r="A2020" s="12">
        <v>2018.0</v>
      </c>
      <c r="B2020" s="13" t="s">
        <v>1643</v>
      </c>
      <c r="C2020" s="14">
        <v>18.0</v>
      </c>
      <c r="D2020" s="15" t="s">
        <v>4377</v>
      </c>
      <c r="E2020" s="16" t="s">
        <v>52</v>
      </c>
      <c r="F2020" s="13" t="s">
        <v>302</v>
      </c>
      <c r="G2020" s="13" t="s">
        <v>4304</v>
      </c>
      <c r="H2020" s="13" t="s">
        <v>4381</v>
      </c>
      <c r="I2020" s="13" t="s">
        <v>56</v>
      </c>
      <c r="J2020" s="17" t="s">
        <v>71</v>
      </c>
      <c r="K2020" s="17" t="s">
        <v>58</v>
      </c>
      <c r="L2020" s="18" t="s">
        <v>52</v>
      </c>
      <c r="M2020" s="19">
        <v>55.0</v>
      </c>
      <c r="N2020" s="19">
        <v>30.0</v>
      </c>
    </row>
    <row r="2021">
      <c r="A2021" s="12">
        <v>2019.0</v>
      </c>
      <c r="B2021" s="13" t="s">
        <v>1643</v>
      </c>
      <c r="C2021" s="14">
        <v>19.0</v>
      </c>
      <c r="D2021" s="15" t="s">
        <v>4373</v>
      </c>
      <c r="E2021" s="16" t="s">
        <v>52</v>
      </c>
      <c r="F2021" s="13" t="s">
        <v>660</v>
      </c>
      <c r="G2021" s="13" t="s">
        <v>4401</v>
      </c>
      <c r="H2021" s="13" t="s">
        <v>4402</v>
      </c>
      <c r="I2021" s="13" t="s">
        <v>63</v>
      </c>
      <c r="J2021" s="17" t="s">
        <v>71</v>
      </c>
      <c r="K2021" s="17" t="s">
        <v>58</v>
      </c>
      <c r="L2021" s="18" t="s">
        <v>52</v>
      </c>
      <c r="M2021" s="19">
        <v>55.0</v>
      </c>
      <c r="N2021" s="19">
        <v>31.0</v>
      </c>
    </row>
    <row r="2022">
      <c r="A2022" s="12">
        <v>2020.0</v>
      </c>
      <c r="B2022" s="13" t="s">
        <v>1643</v>
      </c>
      <c r="C2022" s="14">
        <v>20.0</v>
      </c>
      <c r="D2022" s="15" t="s">
        <v>4373</v>
      </c>
      <c r="E2022" s="16" t="s">
        <v>52</v>
      </c>
      <c r="F2022" s="13" t="s">
        <v>672</v>
      </c>
      <c r="G2022" s="13" t="s">
        <v>843</v>
      </c>
      <c r="H2022" s="13" t="s">
        <v>4403</v>
      </c>
      <c r="I2022" s="13" t="s">
        <v>63</v>
      </c>
      <c r="J2022" s="17" t="s">
        <v>71</v>
      </c>
      <c r="K2022" s="17" t="s">
        <v>58</v>
      </c>
      <c r="L2022" s="18" t="s">
        <v>52</v>
      </c>
      <c r="M2022" s="19">
        <v>55.0</v>
      </c>
      <c r="N2022" s="19">
        <v>31.0</v>
      </c>
    </row>
    <row r="2023">
      <c r="A2023" s="12">
        <v>2021.0</v>
      </c>
      <c r="B2023" s="13" t="s">
        <v>1643</v>
      </c>
      <c r="C2023" s="14">
        <v>21.0</v>
      </c>
      <c r="D2023" s="15" t="s">
        <v>4373</v>
      </c>
      <c r="E2023" s="16" t="s">
        <v>52</v>
      </c>
      <c r="F2023" s="13" t="s">
        <v>552</v>
      </c>
      <c r="G2023" s="13" t="s">
        <v>4404</v>
      </c>
      <c r="H2023" s="13" t="s">
        <v>4405</v>
      </c>
      <c r="I2023" s="13" t="s">
        <v>63</v>
      </c>
      <c r="J2023" s="17" t="s">
        <v>71</v>
      </c>
      <c r="K2023" s="17" t="s">
        <v>58</v>
      </c>
      <c r="L2023" s="18" t="s">
        <v>52</v>
      </c>
      <c r="M2023" s="19">
        <v>55.0</v>
      </c>
      <c r="N2023" s="19">
        <v>31.0</v>
      </c>
    </row>
    <row r="2024">
      <c r="A2024" s="12">
        <v>2022.0</v>
      </c>
      <c r="B2024" s="13" t="s">
        <v>1643</v>
      </c>
      <c r="C2024" s="14">
        <v>22.0</v>
      </c>
      <c r="D2024" s="15" t="s">
        <v>4373</v>
      </c>
      <c r="E2024" s="16" t="s">
        <v>52</v>
      </c>
      <c r="F2024" s="13" t="s">
        <v>683</v>
      </c>
      <c r="G2024" s="13" t="s">
        <v>4406</v>
      </c>
      <c r="H2024" s="13" t="s">
        <v>4407</v>
      </c>
      <c r="I2024" s="13" t="s">
        <v>63</v>
      </c>
      <c r="J2024" s="17" t="s">
        <v>71</v>
      </c>
      <c r="K2024" s="17" t="s">
        <v>58</v>
      </c>
      <c r="L2024" s="18" t="s">
        <v>52</v>
      </c>
      <c r="M2024" s="19">
        <v>55.0</v>
      </c>
      <c r="N2024" s="19">
        <v>31.0</v>
      </c>
    </row>
    <row r="2025">
      <c r="A2025" s="12">
        <v>2023.0</v>
      </c>
      <c r="B2025" s="13" t="s">
        <v>1643</v>
      </c>
      <c r="C2025" s="14">
        <v>23.0</v>
      </c>
      <c r="D2025" s="15" t="s">
        <v>4377</v>
      </c>
      <c r="E2025" s="16" t="s">
        <v>52</v>
      </c>
      <c r="F2025" s="13" t="s">
        <v>451</v>
      </c>
      <c r="G2025" s="13" t="s">
        <v>61</v>
      </c>
      <c r="H2025" s="13" t="s">
        <v>4208</v>
      </c>
      <c r="I2025" s="13" t="s">
        <v>63</v>
      </c>
      <c r="J2025" s="17" t="s">
        <v>71</v>
      </c>
      <c r="K2025" s="17" t="s">
        <v>58</v>
      </c>
      <c r="L2025" s="18" t="s">
        <v>52</v>
      </c>
      <c r="M2025" s="19">
        <v>55.0</v>
      </c>
      <c r="N2025" s="19">
        <v>31.0</v>
      </c>
    </row>
    <row r="2026">
      <c r="A2026" s="12">
        <v>2024.0</v>
      </c>
      <c r="B2026" s="13" t="s">
        <v>1643</v>
      </c>
      <c r="C2026" s="14">
        <v>24.0</v>
      </c>
      <c r="D2026" s="15" t="s">
        <v>4377</v>
      </c>
      <c r="E2026" s="16" t="s">
        <v>52</v>
      </c>
      <c r="F2026" s="13" t="s">
        <v>457</v>
      </c>
      <c r="G2026" s="13" t="s">
        <v>4408</v>
      </c>
      <c r="H2026" s="13" t="s">
        <v>4409</v>
      </c>
      <c r="I2026" s="13" t="s">
        <v>63</v>
      </c>
      <c r="J2026" s="17" t="s">
        <v>71</v>
      </c>
      <c r="K2026" s="17" t="s">
        <v>58</v>
      </c>
      <c r="L2026" s="18" t="s">
        <v>52</v>
      </c>
      <c r="M2026" s="19">
        <v>55.0</v>
      </c>
      <c r="N2026" s="19">
        <v>31.0</v>
      </c>
    </row>
    <row r="2027">
      <c r="A2027" s="12">
        <v>2025.0</v>
      </c>
      <c r="B2027" s="13" t="s">
        <v>1643</v>
      </c>
      <c r="C2027" s="14">
        <v>25.0</v>
      </c>
      <c r="D2027" s="15" t="s">
        <v>4377</v>
      </c>
      <c r="E2027" s="16" t="s">
        <v>52</v>
      </c>
      <c r="F2027" s="13" t="s">
        <v>495</v>
      </c>
      <c r="G2027" s="13" t="s">
        <v>4410</v>
      </c>
      <c r="H2027" s="13" t="s">
        <v>4411</v>
      </c>
      <c r="I2027" s="13" t="s">
        <v>63</v>
      </c>
      <c r="J2027" s="17" t="s">
        <v>71</v>
      </c>
      <c r="K2027" s="17" t="s">
        <v>58</v>
      </c>
      <c r="L2027" s="18" t="s">
        <v>52</v>
      </c>
      <c r="M2027" s="19">
        <v>55.0</v>
      </c>
      <c r="N2027" s="19">
        <v>31.0</v>
      </c>
    </row>
    <row r="2028">
      <c r="A2028" s="12">
        <v>2026.0</v>
      </c>
      <c r="B2028" s="13" t="s">
        <v>1643</v>
      </c>
      <c r="C2028" s="14">
        <v>26.0</v>
      </c>
      <c r="D2028" s="15" t="s">
        <v>4377</v>
      </c>
      <c r="E2028" s="16" t="s">
        <v>52</v>
      </c>
      <c r="F2028" s="13" t="s">
        <v>4222</v>
      </c>
      <c r="G2028" s="13" t="s">
        <v>4223</v>
      </c>
      <c r="H2028" s="13" t="s">
        <v>4224</v>
      </c>
      <c r="I2028" s="13" t="s">
        <v>63</v>
      </c>
      <c r="J2028" s="17" t="s">
        <v>71</v>
      </c>
      <c r="K2028" s="17" t="s">
        <v>58</v>
      </c>
      <c r="L2028" s="18" t="s">
        <v>52</v>
      </c>
      <c r="M2028" s="19">
        <v>55.0</v>
      </c>
      <c r="N2028" s="19">
        <v>31.0</v>
      </c>
    </row>
    <row r="2029">
      <c r="A2029" s="12">
        <v>2027.0</v>
      </c>
      <c r="B2029" s="13" t="s">
        <v>1643</v>
      </c>
      <c r="C2029" s="14">
        <v>27.0</v>
      </c>
      <c r="D2029" s="15" t="s">
        <v>4377</v>
      </c>
      <c r="E2029" s="16" t="s">
        <v>52</v>
      </c>
      <c r="F2029" s="13" t="s">
        <v>3321</v>
      </c>
      <c r="G2029" s="13" t="s">
        <v>4412</v>
      </c>
      <c r="H2029" s="13" t="s">
        <v>4413</v>
      </c>
      <c r="I2029" s="13" t="s">
        <v>63</v>
      </c>
      <c r="J2029" s="17" t="s">
        <v>71</v>
      </c>
      <c r="K2029" s="17" t="s">
        <v>58</v>
      </c>
      <c r="L2029" s="18" t="s">
        <v>52</v>
      </c>
      <c r="M2029" s="19">
        <v>55.0</v>
      </c>
      <c r="N2029" s="19">
        <v>31.0</v>
      </c>
    </row>
    <row r="2030">
      <c r="A2030" s="12">
        <v>2028.0</v>
      </c>
      <c r="B2030" s="13" t="s">
        <v>1643</v>
      </c>
      <c r="C2030" s="14">
        <v>28.0</v>
      </c>
      <c r="D2030" s="15" t="s">
        <v>4377</v>
      </c>
      <c r="E2030" s="16" t="s">
        <v>52</v>
      </c>
      <c r="F2030" s="13" t="s">
        <v>703</v>
      </c>
      <c r="G2030" s="13" t="s">
        <v>4414</v>
      </c>
      <c r="H2030" s="13" t="s">
        <v>4415</v>
      </c>
      <c r="I2030" s="13" t="s">
        <v>63</v>
      </c>
      <c r="J2030" s="17" t="s">
        <v>71</v>
      </c>
      <c r="K2030" s="17" t="s">
        <v>58</v>
      </c>
      <c r="L2030" s="18" t="s">
        <v>52</v>
      </c>
      <c r="M2030" s="19">
        <v>55.0</v>
      </c>
      <c r="N2030" s="19">
        <v>31.0</v>
      </c>
    </row>
    <row r="2031">
      <c r="A2031" s="12">
        <v>2029.0</v>
      </c>
      <c r="B2031" s="13" t="s">
        <v>1643</v>
      </c>
      <c r="C2031" s="14">
        <v>29.0</v>
      </c>
      <c r="D2031" s="15" t="s">
        <v>4377</v>
      </c>
      <c r="E2031" s="16" t="s">
        <v>52</v>
      </c>
      <c r="F2031" s="13" t="s">
        <v>692</v>
      </c>
      <c r="G2031" s="13" t="s">
        <v>61</v>
      </c>
      <c r="H2031" s="13" t="s">
        <v>4248</v>
      </c>
      <c r="I2031" s="13" t="s">
        <v>63</v>
      </c>
      <c r="J2031" s="17" t="s">
        <v>71</v>
      </c>
      <c r="K2031" s="17" t="s">
        <v>58</v>
      </c>
      <c r="L2031" s="18" t="s">
        <v>52</v>
      </c>
      <c r="M2031" s="19">
        <v>55.0</v>
      </c>
      <c r="N2031" s="19">
        <v>31.0</v>
      </c>
    </row>
    <row r="2032">
      <c r="A2032" s="12">
        <v>2030.0</v>
      </c>
      <c r="B2032" s="13" t="s">
        <v>1643</v>
      </c>
      <c r="C2032" s="14">
        <v>30.0</v>
      </c>
      <c r="D2032" s="15" t="s">
        <v>4377</v>
      </c>
      <c r="E2032" s="16" t="s">
        <v>52</v>
      </c>
      <c r="F2032" s="13" t="s">
        <v>732</v>
      </c>
      <c r="G2032" s="13" t="s">
        <v>4416</v>
      </c>
      <c r="H2032" s="13" t="s">
        <v>4417</v>
      </c>
      <c r="I2032" s="13" t="s">
        <v>63</v>
      </c>
      <c r="J2032" s="17" t="s">
        <v>71</v>
      </c>
      <c r="K2032" s="17" t="s">
        <v>58</v>
      </c>
      <c r="L2032" s="18" t="s">
        <v>52</v>
      </c>
      <c r="M2032" s="19">
        <v>55.0</v>
      </c>
      <c r="N2032" s="19">
        <v>31.0</v>
      </c>
    </row>
    <row r="2033">
      <c r="A2033" s="12">
        <v>2031.0</v>
      </c>
      <c r="B2033" s="13" t="s">
        <v>738</v>
      </c>
      <c r="C2033" s="14">
        <v>1.0</v>
      </c>
      <c r="D2033" s="15" t="s">
        <v>4418</v>
      </c>
      <c r="E2033" s="16" t="s">
        <v>52</v>
      </c>
      <c r="F2033" s="13" t="s">
        <v>367</v>
      </c>
      <c r="G2033" s="13" t="s">
        <v>61</v>
      </c>
      <c r="H2033" s="13" t="s">
        <v>4419</v>
      </c>
      <c r="I2033" s="13" t="s">
        <v>63</v>
      </c>
      <c r="J2033" s="17" t="s">
        <v>57</v>
      </c>
      <c r="K2033" s="17" t="s">
        <v>58</v>
      </c>
      <c r="L2033" s="18" t="s">
        <v>52</v>
      </c>
      <c r="M2033" s="19">
        <v>56.0</v>
      </c>
      <c r="N2033" s="19">
        <v>11.0</v>
      </c>
    </row>
    <row r="2034">
      <c r="A2034" s="12">
        <v>2032.0</v>
      </c>
      <c r="B2034" s="13" t="s">
        <v>738</v>
      </c>
      <c r="C2034" s="14">
        <v>2.0</v>
      </c>
      <c r="D2034" s="15" t="s">
        <v>4418</v>
      </c>
      <c r="E2034" s="16" t="s">
        <v>52</v>
      </c>
      <c r="F2034" s="13" t="s">
        <v>544</v>
      </c>
      <c r="G2034" s="13" t="s">
        <v>2181</v>
      </c>
      <c r="H2034" s="13" t="s">
        <v>4422</v>
      </c>
      <c r="I2034" s="13" t="s">
        <v>63</v>
      </c>
      <c r="J2034" s="17" t="s">
        <v>57</v>
      </c>
      <c r="K2034" s="17" t="s">
        <v>58</v>
      </c>
      <c r="L2034" s="18" t="s">
        <v>52</v>
      </c>
      <c r="M2034" s="19">
        <v>56.0</v>
      </c>
      <c r="N2034" s="19">
        <v>11.0</v>
      </c>
    </row>
    <row r="2035">
      <c r="A2035" s="12">
        <v>2033.0</v>
      </c>
      <c r="B2035" s="13" t="s">
        <v>738</v>
      </c>
      <c r="C2035" s="14">
        <v>3.0</v>
      </c>
      <c r="D2035" s="15" t="s">
        <v>4418</v>
      </c>
      <c r="E2035" s="16" t="s">
        <v>52</v>
      </c>
      <c r="F2035" s="13" t="s">
        <v>265</v>
      </c>
      <c r="G2035" s="13" t="s">
        <v>2291</v>
      </c>
      <c r="H2035" s="13" t="s">
        <v>2292</v>
      </c>
      <c r="I2035" s="13" t="s">
        <v>63</v>
      </c>
      <c r="J2035" s="17" t="s">
        <v>57</v>
      </c>
      <c r="K2035" s="17" t="s">
        <v>58</v>
      </c>
      <c r="L2035" s="18" t="s">
        <v>52</v>
      </c>
      <c r="M2035" s="19">
        <v>56.0</v>
      </c>
      <c r="N2035" s="19">
        <v>11.0</v>
      </c>
    </row>
    <row r="2036">
      <c r="A2036" s="12">
        <v>2034.0</v>
      </c>
      <c r="B2036" s="13" t="s">
        <v>738</v>
      </c>
      <c r="C2036" s="14">
        <v>4.0</v>
      </c>
      <c r="D2036" s="15" t="s">
        <v>4418</v>
      </c>
      <c r="E2036" s="16" t="s">
        <v>52</v>
      </c>
      <c r="F2036" s="13" t="s">
        <v>735</v>
      </c>
      <c r="G2036" s="13" t="s">
        <v>61</v>
      </c>
      <c r="H2036" s="13" t="s">
        <v>4424</v>
      </c>
      <c r="I2036" s="13" t="s">
        <v>63</v>
      </c>
      <c r="J2036" s="17" t="s">
        <v>67</v>
      </c>
      <c r="K2036" s="17" t="s">
        <v>58</v>
      </c>
      <c r="L2036" s="18" t="s">
        <v>52</v>
      </c>
      <c r="M2036" s="19">
        <v>56.0</v>
      </c>
      <c r="N2036" s="19">
        <v>21.0</v>
      </c>
    </row>
    <row r="2037">
      <c r="A2037" s="12">
        <v>2035.0</v>
      </c>
      <c r="B2037" s="13" t="s">
        <v>738</v>
      </c>
      <c r="C2037" s="14">
        <v>5.0</v>
      </c>
      <c r="D2037" s="15" t="s">
        <v>4418</v>
      </c>
      <c r="E2037" s="16" t="s">
        <v>52</v>
      </c>
      <c r="F2037" s="13" t="s">
        <v>283</v>
      </c>
      <c r="G2037" s="13" t="s">
        <v>4425</v>
      </c>
      <c r="H2037" s="13" t="s">
        <v>4426</v>
      </c>
      <c r="I2037" s="13" t="s">
        <v>63</v>
      </c>
      <c r="J2037" s="17" t="s">
        <v>67</v>
      </c>
      <c r="K2037" s="17" t="s">
        <v>58</v>
      </c>
      <c r="L2037" s="18" t="s">
        <v>52</v>
      </c>
      <c r="M2037" s="19">
        <v>56.0</v>
      </c>
      <c r="N2037" s="19">
        <v>21.0</v>
      </c>
    </row>
    <row r="2038">
      <c r="A2038" s="12">
        <v>2036.0</v>
      </c>
      <c r="B2038" s="13" t="s">
        <v>738</v>
      </c>
      <c r="C2038" s="14">
        <v>6.0</v>
      </c>
      <c r="D2038" s="15" t="s">
        <v>4418</v>
      </c>
      <c r="E2038" s="16" t="s">
        <v>52</v>
      </c>
      <c r="F2038" s="13" t="s">
        <v>651</v>
      </c>
      <c r="G2038" s="13" t="s">
        <v>61</v>
      </c>
      <c r="H2038" s="13" t="s">
        <v>4427</v>
      </c>
      <c r="I2038" s="13" t="s">
        <v>63</v>
      </c>
      <c r="J2038" s="17" t="s">
        <v>71</v>
      </c>
      <c r="K2038" s="17" t="s">
        <v>58</v>
      </c>
      <c r="L2038" s="18" t="s">
        <v>52</v>
      </c>
      <c r="M2038" s="19">
        <v>56.0</v>
      </c>
      <c r="N2038" s="19">
        <v>31.0</v>
      </c>
    </row>
    <row r="2039">
      <c r="A2039" s="12">
        <v>2037.0</v>
      </c>
      <c r="B2039" s="13" t="s">
        <v>738</v>
      </c>
      <c r="C2039" s="14">
        <v>7.0</v>
      </c>
      <c r="D2039" s="15" t="s">
        <v>4418</v>
      </c>
      <c r="E2039" s="16" t="s">
        <v>52</v>
      </c>
      <c r="F2039" s="13" t="s">
        <v>727</v>
      </c>
      <c r="G2039" s="13" t="s">
        <v>4205</v>
      </c>
      <c r="H2039" s="13" t="s">
        <v>4206</v>
      </c>
      <c r="I2039" s="13" t="s">
        <v>63</v>
      </c>
      <c r="J2039" s="17" t="s">
        <v>71</v>
      </c>
      <c r="K2039" s="17" t="s">
        <v>58</v>
      </c>
      <c r="L2039" s="18" t="s">
        <v>52</v>
      </c>
      <c r="M2039" s="19">
        <v>56.0</v>
      </c>
      <c r="N2039" s="19">
        <v>31.0</v>
      </c>
    </row>
    <row r="2040">
      <c r="A2040" s="12">
        <v>2038.0</v>
      </c>
      <c r="B2040" s="13" t="s">
        <v>738</v>
      </c>
      <c r="C2040" s="14">
        <v>8.0</v>
      </c>
      <c r="D2040" s="15" t="s">
        <v>4418</v>
      </c>
      <c r="E2040" s="16" t="s">
        <v>52</v>
      </c>
      <c r="F2040" s="13" t="s">
        <v>658</v>
      </c>
      <c r="G2040" s="13" t="s">
        <v>61</v>
      </c>
      <c r="H2040" s="13" t="s">
        <v>4428</v>
      </c>
      <c r="I2040" s="13" t="s">
        <v>63</v>
      </c>
      <c r="J2040" s="17" t="s">
        <v>71</v>
      </c>
      <c r="K2040" s="17" t="s">
        <v>58</v>
      </c>
      <c r="L2040" s="18" t="s">
        <v>253</v>
      </c>
      <c r="M2040" s="19">
        <v>56.0</v>
      </c>
      <c r="N2040" s="19">
        <v>31.0</v>
      </c>
    </row>
    <row r="2041">
      <c r="A2041" s="12">
        <v>2039.0</v>
      </c>
      <c r="B2041" s="13" t="s">
        <v>738</v>
      </c>
      <c r="C2041" s="14">
        <v>9.0</v>
      </c>
      <c r="D2041" s="15" t="s">
        <v>4418</v>
      </c>
      <c r="E2041" s="16" t="s">
        <v>52</v>
      </c>
      <c r="F2041" s="13" t="s">
        <v>451</v>
      </c>
      <c r="G2041" s="13" t="s">
        <v>61</v>
      </c>
      <c r="H2041" s="13" t="s">
        <v>4208</v>
      </c>
      <c r="I2041" s="13" t="s">
        <v>63</v>
      </c>
      <c r="J2041" s="17" t="s">
        <v>71</v>
      </c>
      <c r="K2041" s="17" t="s">
        <v>58</v>
      </c>
      <c r="L2041" s="18" t="s">
        <v>52</v>
      </c>
      <c r="M2041" s="19">
        <v>56.0</v>
      </c>
      <c r="N2041" s="19">
        <v>31.0</v>
      </c>
    </row>
    <row r="2042">
      <c r="A2042" s="12">
        <v>2040.0</v>
      </c>
      <c r="B2042" s="13" t="s">
        <v>738</v>
      </c>
      <c r="C2042" s="14">
        <v>10.0</v>
      </c>
      <c r="D2042" s="15" t="s">
        <v>4418</v>
      </c>
      <c r="E2042" s="16" t="s">
        <v>52</v>
      </c>
      <c r="F2042" s="13" t="s">
        <v>660</v>
      </c>
      <c r="G2042" s="13" t="s">
        <v>882</v>
      </c>
      <c r="H2042" s="13" t="s">
        <v>4211</v>
      </c>
      <c r="I2042" s="13" t="s">
        <v>63</v>
      </c>
      <c r="J2042" s="17" t="s">
        <v>71</v>
      </c>
      <c r="K2042" s="17" t="s">
        <v>58</v>
      </c>
      <c r="L2042" s="18" t="s">
        <v>52</v>
      </c>
      <c r="M2042" s="19">
        <v>56.0</v>
      </c>
      <c r="N2042" s="19">
        <v>31.0</v>
      </c>
    </row>
    <row r="2043">
      <c r="A2043" s="12">
        <v>2041.0</v>
      </c>
      <c r="B2043" s="13" t="s">
        <v>738</v>
      </c>
      <c r="C2043" s="14">
        <v>11.0</v>
      </c>
      <c r="D2043" s="15" t="s">
        <v>4418</v>
      </c>
      <c r="E2043" s="16" t="s">
        <v>52</v>
      </c>
      <c r="F2043" s="13" t="s">
        <v>672</v>
      </c>
      <c r="G2043" s="13" t="s">
        <v>4212</v>
      </c>
      <c r="H2043" s="13" t="s">
        <v>4213</v>
      </c>
      <c r="I2043" s="13" t="s">
        <v>63</v>
      </c>
      <c r="J2043" s="17" t="s">
        <v>71</v>
      </c>
      <c r="K2043" s="17" t="s">
        <v>58</v>
      </c>
      <c r="L2043" s="18" t="s">
        <v>52</v>
      </c>
      <c r="M2043" s="19">
        <v>56.0</v>
      </c>
      <c r="N2043" s="19">
        <v>31.0</v>
      </c>
    </row>
    <row r="2044">
      <c r="A2044" s="12">
        <v>2042.0</v>
      </c>
      <c r="B2044" s="13" t="s">
        <v>738</v>
      </c>
      <c r="C2044" s="14">
        <v>12.0</v>
      </c>
      <c r="D2044" s="15" t="s">
        <v>4418</v>
      </c>
      <c r="E2044" s="16" t="s">
        <v>52</v>
      </c>
      <c r="F2044" s="13" t="s">
        <v>457</v>
      </c>
      <c r="G2044" s="13" t="s">
        <v>4408</v>
      </c>
      <c r="H2044" s="13" t="s">
        <v>4409</v>
      </c>
      <c r="I2044" s="13" t="s">
        <v>63</v>
      </c>
      <c r="J2044" s="17" t="s">
        <v>71</v>
      </c>
      <c r="K2044" s="17" t="s">
        <v>58</v>
      </c>
      <c r="L2044" s="18" t="s">
        <v>52</v>
      </c>
      <c r="M2044" s="19">
        <v>56.0</v>
      </c>
      <c r="N2044" s="19">
        <v>31.0</v>
      </c>
    </row>
    <row r="2045">
      <c r="A2045" s="12">
        <v>2043.0</v>
      </c>
      <c r="B2045" s="13" t="s">
        <v>738</v>
      </c>
      <c r="C2045" s="14">
        <v>13.0</v>
      </c>
      <c r="D2045" s="15" t="s">
        <v>4418</v>
      </c>
      <c r="E2045" s="16" t="s">
        <v>52</v>
      </c>
      <c r="F2045" s="13" t="s">
        <v>495</v>
      </c>
      <c r="G2045" s="13" t="s">
        <v>796</v>
      </c>
      <c r="H2045" s="13" t="s">
        <v>4221</v>
      </c>
      <c r="I2045" s="13" t="s">
        <v>63</v>
      </c>
      <c r="J2045" s="17" t="s">
        <v>71</v>
      </c>
      <c r="K2045" s="17" t="s">
        <v>58</v>
      </c>
      <c r="L2045" s="18" t="s">
        <v>52</v>
      </c>
      <c r="M2045" s="19">
        <v>56.0</v>
      </c>
      <c r="N2045" s="19">
        <v>31.0</v>
      </c>
    </row>
    <row r="2046">
      <c r="A2046" s="12">
        <v>2044.0</v>
      </c>
      <c r="B2046" s="13" t="s">
        <v>738</v>
      </c>
      <c r="C2046" s="14">
        <v>14.0</v>
      </c>
      <c r="D2046" s="15" t="s">
        <v>4418</v>
      </c>
      <c r="E2046" s="16" t="s">
        <v>52</v>
      </c>
      <c r="F2046" s="13" t="s">
        <v>4222</v>
      </c>
      <c r="G2046" s="13" t="s">
        <v>4223</v>
      </c>
      <c r="H2046" s="13" t="s">
        <v>4224</v>
      </c>
      <c r="I2046" s="13" t="s">
        <v>63</v>
      </c>
      <c r="J2046" s="17" t="s">
        <v>71</v>
      </c>
      <c r="K2046" s="17" t="s">
        <v>58</v>
      </c>
      <c r="L2046" s="18" t="s">
        <v>52</v>
      </c>
      <c r="M2046" s="19">
        <v>56.0</v>
      </c>
      <c r="N2046" s="19">
        <v>31.0</v>
      </c>
    </row>
    <row r="2047">
      <c r="A2047" s="12">
        <v>2045.0</v>
      </c>
      <c r="B2047" s="13" t="s">
        <v>738</v>
      </c>
      <c r="C2047" s="14">
        <v>15.0</v>
      </c>
      <c r="D2047" s="15" t="s">
        <v>4418</v>
      </c>
      <c r="E2047" s="16" t="s">
        <v>52</v>
      </c>
      <c r="F2047" s="13" t="s">
        <v>1643</v>
      </c>
      <c r="G2047" s="13" t="s">
        <v>61</v>
      </c>
      <c r="H2047" s="13" t="s">
        <v>4429</v>
      </c>
      <c r="I2047" s="13" t="s">
        <v>63</v>
      </c>
      <c r="J2047" s="17" t="s">
        <v>71</v>
      </c>
      <c r="K2047" s="17" t="s">
        <v>58</v>
      </c>
      <c r="L2047" s="18" t="s">
        <v>52</v>
      </c>
      <c r="M2047" s="19">
        <v>56.0</v>
      </c>
      <c r="N2047" s="19">
        <v>31.0</v>
      </c>
    </row>
    <row r="2048">
      <c r="A2048" s="12">
        <v>2046.0</v>
      </c>
      <c r="B2048" s="13" t="s">
        <v>738</v>
      </c>
      <c r="C2048" s="14">
        <v>16.0</v>
      </c>
      <c r="D2048" s="15" t="s">
        <v>4418</v>
      </c>
      <c r="E2048" s="16" t="s">
        <v>52</v>
      </c>
      <c r="F2048" s="13" t="s">
        <v>257</v>
      </c>
      <c r="G2048" s="13" t="s">
        <v>61</v>
      </c>
      <c r="H2048" s="13" t="s">
        <v>259</v>
      </c>
      <c r="I2048" s="13" t="s">
        <v>63</v>
      </c>
      <c r="J2048" s="17" t="s">
        <v>71</v>
      </c>
      <c r="K2048" s="17" t="s">
        <v>58</v>
      </c>
      <c r="L2048" s="18" t="s">
        <v>52</v>
      </c>
      <c r="M2048" s="19">
        <v>56.0</v>
      </c>
      <c r="N2048" s="19">
        <v>31.0</v>
      </c>
    </row>
    <row r="2049">
      <c r="A2049" s="12">
        <v>2047.0</v>
      </c>
      <c r="B2049" s="13" t="s">
        <v>738</v>
      </c>
      <c r="C2049" s="14">
        <v>17.0</v>
      </c>
      <c r="D2049" s="15" t="s">
        <v>4418</v>
      </c>
      <c r="E2049" s="16" t="s">
        <v>52</v>
      </c>
      <c r="F2049" s="13" t="s">
        <v>744</v>
      </c>
      <c r="G2049" s="13" t="s">
        <v>1621</v>
      </c>
      <c r="H2049" s="13" t="s">
        <v>1622</v>
      </c>
      <c r="I2049" s="13" t="s">
        <v>63</v>
      </c>
      <c r="J2049" s="17" t="s">
        <v>71</v>
      </c>
      <c r="K2049" s="17" t="s">
        <v>58</v>
      </c>
      <c r="L2049" s="18" t="s">
        <v>52</v>
      </c>
      <c r="M2049" s="19">
        <v>56.0</v>
      </c>
      <c r="N2049" s="19">
        <v>31.0</v>
      </c>
    </row>
    <row r="2050">
      <c r="A2050" s="12">
        <v>2048.0</v>
      </c>
      <c r="B2050" s="13" t="s">
        <v>738</v>
      </c>
      <c r="C2050" s="14">
        <v>18.0</v>
      </c>
      <c r="D2050" s="15" t="s">
        <v>4418</v>
      </c>
      <c r="E2050" s="16" t="s">
        <v>52</v>
      </c>
      <c r="F2050" s="13" t="s">
        <v>704</v>
      </c>
      <c r="G2050" s="13" t="s">
        <v>984</v>
      </c>
      <c r="H2050" s="13" t="s">
        <v>4430</v>
      </c>
      <c r="I2050" s="13" t="s">
        <v>63</v>
      </c>
      <c r="J2050" s="17" t="s">
        <v>71</v>
      </c>
      <c r="K2050" s="17" t="s">
        <v>58</v>
      </c>
      <c r="L2050" s="18" t="s">
        <v>52</v>
      </c>
      <c r="M2050" s="19">
        <v>56.0</v>
      </c>
      <c r="N2050" s="19">
        <v>31.0</v>
      </c>
    </row>
    <row r="2051">
      <c r="A2051" s="12">
        <v>2049.0</v>
      </c>
      <c r="B2051" s="13" t="s">
        <v>738</v>
      </c>
      <c r="C2051" s="14">
        <v>19.0</v>
      </c>
      <c r="D2051" s="15" t="s">
        <v>4418</v>
      </c>
      <c r="E2051" s="16" t="s">
        <v>52</v>
      </c>
      <c r="F2051" s="13" t="s">
        <v>535</v>
      </c>
      <c r="G2051" s="13" t="s">
        <v>784</v>
      </c>
      <c r="H2051" s="13" t="s">
        <v>4431</v>
      </c>
      <c r="I2051" s="13" t="s">
        <v>63</v>
      </c>
      <c r="J2051" s="17" t="s">
        <v>71</v>
      </c>
      <c r="K2051" s="17" t="s">
        <v>58</v>
      </c>
      <c r="L2051" s="18" t="s">
        <v>52</v>
      </c>
      <c r="M2051" s="19">
        <v>56.0</v>
      </c>
      <c r="N2051" s="19">
        <v>31.0</v>
      </c>
    </row>
    <row r="2052">
      <c r="A2052" s="12">
        <v>2050.0</v>
      </c>
      <c r="B2052" s="13" t="s">
        <v>738</v>
      </c>
      <c r="C2052" s="14">
        <v>20.0</v>
      </c>
      <c r="D2052" s="15" t="s">
        <v>4418</v>
      </c>
      <c r="E2052" s="16" t="s">
        <v>52</v>
      </c>
      <c r="F2052" s="13" t="s">
        <v>552</v>
      </c>
      <c r="G2052" s="13" t="s">
        <v>870</v>
      </c>
      <c r="H2052" s="13" t="s">
        <v>4239</v>
      </c>
      <c r="I2052" s="13" t="s">
        <v>63</v>
      </c>
      <c r="J2052" s="17" t="s">
        <v>71</v>
      </c>
      <c r="K2052" s="17" t="s">
        <v>58</v>
      </c>
      <c r="L2052" s="18" t="s">
        <v>52</v>
      </c>
      <c r="M2052" s="19">
        <v>56.0</v>
      </c>
      <c r="N2052" s="19">
        <v>31.0</v>
      </c>
    </row>
    <row r="2053">
      <c r="A2053" s="12">
        <v>2051.0</v>
      </c>
      <c r="B2053" s="13" t="s">
        <v>738</v>
      </c>
      <c r="C2053" s="14">
        <v>21.0</v>
      </c>
      <c r="D2053" s="15" t="s">
        <v>4418</v>
      </c>
      <c r="E2053" s="16" t="s">
        <v>52</v>
      </c>
      <c r="F2053" s="13" t="s">
        <v>703</v>
      </c>
      <c r="G2053" s="13" t="s">
        <v>4414</v>
      </c>
      <c r="H2053" s="13" t="s">
        <v>4415</v>
      </c>
      <c r="I2053" s="13" t="s">
        <v>63</v>
      </c>
      <c r="J2053" s="17" t="s">
        <v>71</v>
      </c>
      <c r="K2053" s="17" t="s">
        <v>58</v>
      </c>
      <c r="L2053" s="18" t="s">
        <v>52</v>
      </c>
      <c r="M2053" s="19">
        <v>56.0</v>
      </c>
      <c r="N2053" s="19">
        <v>31.0</v>
      </c>
    </row>
    <row r="2054">
      <c r="A2054" s="12">
        <v>2052.0</v>
      </c>
      <c r="B2054" s="13" t="s">
        <v>738</v>
      </c>
      <c r="C2054" s="14">
        <v>22.0</v>
      </c>
      <c r="D2054" s="15" t="s">
        <v>4418</v>
      </c>
      <c r="E2054" s="16" t="s">
        <v>52</v>
      </c>
      <c r="F2054" s="13" t="s">
        <v>692</v>
      </c>
      <c r="G2054" s="13" t="s">
        <v>4319</v>
      </c>
      <c r="H2054" s="13" t="s">
        <v>4320</v>
      </c>
      <c r="I2054" s="13" t="s">
        <v>63</v>
      </c>
      <c r="J2054" s="17" t="s">
        <v>71</v>
      </c>
      <c r="K2054" s="17" t="s">
        <v>58</v>
      </c>
      <c r="L2054" s="18" t="s">
        <v>52</v>
      </c>
      <c r="M2054" s="19">
        <v>56.0</v>
      </c>
      <c r="N2054" s="19">
        <v>31.0</v>
      </c>
    </row>
    <row r="2055">
      <c r="A2055" s="12">
        <v>2053.0</v>
      </c>
      <c r="B2055" s="13" t="s">
        <v>738</v>
      </c>
      <c r="C2055" s="14">
        <v>23.0</v>
      </c>
      <c r="D2055" s="15" t="s">
        <v>4418</v>
      </c>
      <c r="E2055" s="16" t="s">
        <v>52</v>
      </c>
      <c r="F2055" s="13" t="s">
        <v>731</v>
      </c>
      <c r="G2055" s="13" t="s">
        <v>4079</v>
      </c>
      <c r="H2055" s="13" t="s">
        <v>4432</v>
      </c>
      <c r="I2055" s="13" t="s">
        <v>63</v>
      </c>
      <c r="J2055" s="17" t="s">
        <v>71</v>
      </c>
      <c r="K2055" s="17" t="s">
        <v>58</v>
      </c>
      <c r="L2055" s="18" t="s">
        <v>52</v>
      </c>
      <c r="M2055" s="19">
        <v>56.0</v>
      </c>
      <c r="N2055" s="19">
        <v>31.0</v>
      </c>
    </row>
    <row r="2056">
      <c r="A2056" s="12">
        <v>2054.0</v>
      </c>
      <c r="B2056" s="13" t="s">
        <v>738</v>
      </c>
      <c r="C2056" s="14">
        <v>24.0</v>
      </c>
      <c r="D2056" s="15" t="s">
        <v>4418</v>
      </c>
      <c r="E2056" s="16" t="s">
        <v>52</v>
      </c>
      <c r="F2056" s="13" t="s">
        <v>289</v>
      </c>
      <c r="G2056" s="13" t="s">
        <v>61</v>
      </c>
      <c r="H2056" s="13" t="s">
        <v>291</v>
      </c>
      <c r="I2056" s="13" t="s">
        <v>63</v>
      </c>
      <c r="J2056" s="17" t="s">
        <v>71</v>
      </c>
      <c r="K2056" s="17" t="s">
        <v>58</v>
      </c>
      <c r="L2056" s="18" t="s">
        <v>52</v>
      </c>
      <c r="M2056" s="19">
        <v>56.0</v>
      </c>
      <c r="N2056" s="19">
        <v>31.0</v>
      </c>
    </row>
    <row r="2057">
      <c r="A2057" s="12">
        <v>2055.0</v>
      </c>
      <c r="B2057" s="13" t="s">
        <v>738</v>
      </c>
      <c r="C2057" s="14">
        <v>25.0</v>
      </c>
      <c r="D2057" s="15" t="s">
        <v>4418</v>
      </c>
      <c r="E2057" s="16" t="s">
        <v>52</v>
      </c>
      <c r="F2057" s="13" t="s">
        <v>705</v>
      </c>
      <c r="G2057" s="13" t="s">
        <v>61</v>
      </c>
      <c r="H2057" s="13" t="s">
        <v>4433</v>
      </c>
      <c r="I2057" s="13" t="s">
        <v>63</v>
      </c>
      <c r="J2057" s="17" t="s">
        <v>71</v>
      </c>
      <c r="K2057" s="17" t="s">
        <v>58</v>
      </c>
      <c r="L2057" s="18" t="s">
        <v>52</v>
      </c>
      <c r="M2057" s="19">
        <v>56.0</v>
      </c>
      <c r="N2057" s="19">
        <v>31.0</v>
      </c>
    </row>
    <row r="2058">
      <c r="A2058" s="12">
        <v>2056.0</v>
      </c>
      <c r="B2058" s="13" t="s">
        <v>738</v>
      </c>
      <c r="C2058" s="14">
        <v>26.0</v>
      </c>
      <c r="D2058" s="15" t="s">
        <v>4418</v>
      </c>
      <c r="E2058" s="16" t="s">
        <v>52</v>
      </c>
      <c r="F2058" s="13" t="s">
        <v>732</v>
      </c>
      <c r="G2058" s="13" t="s">
        <v>840</v>
      </c>
      <c r="H2058" s="13" t="s">
        <v>4250</v>
      </c>
      <c r="I2058" s="13" t="s">
        <v>63</v>
      </c>
      <c r="J2058" s="17" t="s">
        <v>71</v>
      </c>
      <c r="K2058" s="17" t="s">
        <v>58</v>
      </c>
      <c r="L2058" s="18" t="s">
        <v>52</v>
      </c>
      <c r="M2058" s="19">
        <v>56.0</v>
      </c>
      <c r="N2058" s="19">
        <v>31.0</v>
      </c>
    </row>
    <row r="2059">
      <c r="A2059" s="12">
        <v>2057.0</v>
      </c>
      <c r="B2059" s="13" t="s">
        <v>738</v>
      </c>
      <c r="C2059" s="14">
        <v>27.0</v>
      </c>
      <c r="D2059" s="15" t="s">
        <v>4418</v>
      </c>
      <c r="E2059" s="16" t="s">
        <v>52</v>
      </c>
      <c r="F2059" s="13" t="s">
        <v>4199</v>
      </c>
      <c r="G2059" s="13" t="s">
        <v>4434</v>
      </c>
      <c r="H2059" s="13" t="s">
        <v>4435</v>
      </c>
      <c r="I2059" s="13" t="s">
        <v>63</v>
      </c>
      <c r="J2059" s="17" t="s">
        <v>71</v>
      </c>
      <c r="K2059" s="17" t="s">
        <v>58</v>
      </c>
      <c r="L2059" s="18" t="s">
        <v>52</v>
      </c>
      <c r="M2059" s="19">
        <v>56.0</v>
      </c>
      <c r="N2059" s="19">
        <v>31.0</v>
      </c>
    </row>
    <row r="2060">
      <c r="A2060" s="12">
        <v>2058.0</v>
      </c>
      <c r="B2060" s="13" t="s">
        <v>738</v>
      </c>
      <c r="C2060" s="14">
        <v>28.0</v>
      </c>
      <c r="D2060" s="15" t="s">
        <v>4436</v>
      </c>
      <c r="E2060" s="16" t="s">
        <v>52</v>
      </c>
      <c r="F2060" s="13" t="s">
        <v>501</v>
      </c>
      <c r="G2060" s="13" t="s">
        <v>4437</v>
      </c>
      <c r="H2060" s="13" t="s">
        <v>4438</v>
      </c>
      <c r="I2060" s="13" t="s">
        <v>63</v>
      </c>
      <c r="J2060" s="17" t="s">
        <v>71</v>
      </c>
      <c r="K2060" s="17" t="s">
        <v>58</v>
      </c>
      <c r="L2060" s="18" t="s">
        <v>52</v>
      </c>
      <c r="M2060" s="19">
        <v>56.0</v>
      </c>
      <c r="N2060" s="19">
        <v>31.0</v>
      </c>
    </row>
    <row r="2061">
      <c r="A2061" s="12">
        <v>2059.0</v>
      </c>
      <c r="B2061" s="13" t="s">
        <v>738</v>
      </c>
      <c r="C2061" s="14">
        <v>29.0</v>
      </c>
      <c r="D2061" s="15" t="s">
        <v>4436</v>
      </c>
      <c r="E2061" s="16" t="s">
        <v>52</v>
      </c>
      <c r="F2061" s="13" t="s">
        <v>3321</v>
      </c>
      <c r="G2061" s="13" t="s">
        <v>4439</v>
      </c>
      <c r="H2061" s="13" t="s">
        <v>4440</v>
      </c>
      <c r="I2061" s="13" t="s">
        <v>63</v>
      </c>
      <c r="J2061" s="17" t="s">
        <v>71</v>
      </c>
      <c r="K2061" s="17" t="s">
        <v>58</v>
      </c>
      <c r="L2061" s="18" t="s">
        <v>52</v>
      </c>
      <c r="M2061" s="19">
        <v>56.0</v>
      </c>
      <c r="N2061" s="19">
        <v>31.0</v>
      </c>
    </row>
    <row r="2062">
      <c r="A2062" s="12">
        <v>2060.0</v>
      </c>
      <c r="B2062" s="13" t="s">
        <v>738</v>
      </c>
      <c r="C2062" s="14">
        <v>30.0</v>
      </c>
      <c r="D2062" s="15" t="s">
        <v>4436</v>
      </c>
      <c r="E2062" s="16" t="s">
        <v>52</v>
      </c>
      <c r="F2062" s="13" t="s">
        <v>314</v>
      </c>
      <c r="G2062" s="13" t="s">
        <v>61</v>
      </c>
      <c r="H2062" s="13" t="s">
        <v>4441</v>
      </c>
      <c r="I2062" s="13" t="s">
        <v>63</v>
      </c>
      <c r="J2062" s="17" t="s">
        <v>71</v>
      </c>
      <c r="K2062" s="17" t="s">
        <v>58</v>
      </c>
      <c r="L2062" s="18" t="s">
        <v>52</v>
      </c>
      <c r="M2062" s="19">
        <v>56.0</v>
      </c>
      <c r="N2062" s="19">
        <v>31.0</v>
      </c>
    </row>
    <row r="2063">
      <c r="A2063" s="12">
        <v>2061.0</v>
      </c>
      <c r="B2063" s="13" t="s">
        <v>94</v>
      </c>
      <c r="C2063" s="14">
        <v>1.0</v>
      </c>
      <c r="D2063" s="15" t="s">
        <v>4442</v>
      </c>
      <c r="E2063" s="16" t="s">
        <v>221</v>
      </c>
      <c r="F2063" s="13" t="s">
        <v>2545</v>
      </c>
      <c r="G2063" s="13" t="s">
        <v>4443</v>
      </c>
      <c r="H2063" s="13" t="s">
        <v>4444</v>
      </c>
      <c r="I2063" s="13" t="s">
        <v>63</v>
      </c>
      <c r="J2063" s="17" t="s">
        <v>57</v>
      </c>
      <c r="K2063" s="17" t="s">
        <v>58</v>
      </c>
      <c r="L2063" s="18" t="s">
        <v>52</v>
      </c>
      <c r="M2063" s="19">
        <v>57.0</v>
      </c>
      <c r="N2063" s="19">
        <v>11.0</v>
      </c>
    </row>
    <row r="2064">
      <c r="A2064" s="12">
        <v>2062.0</v>
      </c>
      <c r="B2064" s="13" t="s">
        <v>94</v>
      </c>
      <c r="C2064" s="14">
        <v>2.0</v>
      </c>
      <c r="D2064" s="15" t="s">
        <v>4442</v>
      </c>
      <c r="E2064" s="16" t="s">
        <v>221</v>
      </c>
      <c r="F2064" s="13" t="s">
        <v>4445</v>
      </c>
      <c r="G2064" s="13" t="s">
        <v>4446</v>
      </c>
      <c r="H2064" s="13" t="s">
        <v>4447</v>
      </c>
      <c r="I2064" s="13" t="s">
        <v>63</v>
      </c>
      <c r="J2064" s="17" t="s">
        <v>57</v>
      </c>
      <c r="K2064" s="17" t="s">
        <v>58</v>
      </c>
      <c r="L2064" s="18" t="s">
        <v>52</v>
      </c>
      <c r="M2064" s="19">
        <v>57.0</v>
      </c>
      <c r="N2064" s="19">
        <v>11.0</v>
      </c>
    </row>
    <row r="2065">
      <c r="A2065" s="12">
        <v>2063.0</v>
      </c>
      <c r="B2065" s="13" t="s">
        <v>94</v>
      </c>
      <c r="C2065" s="14">
        <v>3.0</v>
      </c>
      <c r="D2065" s="15" t="s">
        <v>4448</v>
      </c>
      <c r="E2065" s="16" t="s">
        <v>221</v>
      </c>
      <c r="F2065" s="13" t="s">
        <v>4449</v>
      </c>
      <c r="G2065" s="13" t="s">
        <v>4450</v>
      </c>
      <c r="H2065" s="13" t="s">
        <v>4451</v>
      </c>
      <c r="I2065" s="13" t="s">
        <v>63</v>
      </c>
      <c r="J2065" s="17" t="s">
        <v>57</v>
      </c>
      <c r="K2065" s="17" t="s">
        <v>58</v>
      </c>
      <c r="L2065" s="18" t="s">
        <v>52</v>
      </c>
      <c r="M2065" s="19">
        <v>57.0</v>
      </c>
      <c r="N2065" s="19">
        <v>11.0</v>
      </c>
    </row>
    <row r="2066">
      <c r="A2066" s="12">
        <v>2064.0</v>
      </c>
      <c r="B2066" s="13" t="s">
        <v>94</v>
      </c>
      <c r="C2066" s="14">
        <v>4.0</v>
      </c>
      <c r="D2066" s="15" t="s">
        <v>4448</v>
      </c>
      <c r="E2066" s="16" t="s">
        <v>221</v>
      </c>
      <c r="F2066" s="13" t="s">
        <v>4452</v>
      </c>
      <c r="G2066" s="13" t="s">
        <v>4453</v>
      </c>
      <c r="H2066" s="13" t="s">
        <v>4454</v>
      </c>
      <c r="I2066" s="13" t="s">
        <v>63</v>
      </c>
      <c r="J2066" s="17" t="s">
        <v>57</v>
      </c>
      <c r="K2066" s="17" t="s">
        <v>58</v>
      </c>
      <c r="L2066" s="18" t="s">
        <v>52</v>
      </c>
      <c r="M2066" s="19">
        <v>57.0</v>
      </c>
      <c r="N2066" s="19">
        <v>11.0</v>
      </c>
    </row>
    <row r="2067">
      <c r="A2067" s="12">
        <v>2065.0</v>
      </c>
      <c r="B2067" s="13" t="s">
        <v>94</v>
      </c>
      <c r="C2067" s="14">
        <v>5.0</v>
      </c>
      <c r="D2067" s="15" t="s">
        <v>4442</v>
      </c>
      <c r="E2067" s="16" t="s">
        <v>221</v>
      </c>
      <c r="F2067" s="13" t="s">
        <v>4455</v>
      </c>
      <c r="G2067" s="13" t="s">
        <v>4456</v>
      </c>
      <c r="H2067" s="13" t="s">
        <v>4457</v>
      </c>
      <c r="I2067" s="13" t="s">
        <v>56</v>
      </c>
      <c r="J2067" s="17" t="s">
        <v>67</v>
      </c>
      <c r="K2067" s="17" t="s">
        <v>58</v>
      </c>
      <c r="L2067" s="18" t="s">
        <v>52</v>
      </c>
      <c r="M2067" s="19">
        <v>57.0</v>
      </c>
      <c r="N2067" s="19">
        <v>20.0</v>
      </c>
    </row>
    <row r="2068">
      <c r="A2068" s="12">
        <v>2066.0</v>
      </c>
      <c r="B2068" s="13" t="s">
        <v>94</v>
      </c>
      <c r="C2068" s="14">
        <v>6.0</v>
      </c>
      <c r="D2068" s="15" t="s">
        <v>4442</v>
      </c>
      <c r="E2068" s="16" t="s">
        <v>221</v>
      </c>
      <c r="F2068" s="13" t="s">
        <v>1356</v>
      </c>
      <c r="G2068" s="13" t="s">
        <v>4458</v>
      </c>
      <c r="H2068" s="13" t="s">
        <v>4459</v>
      </c>
      <c r="I2068" s="13" t="s">
        <v>56</v>
      </c>
      <c r="J2068" s="17" t="s">
        <v>67</v>
      </c>
      <c r="K2068" s="17" t="s">
        <v>58</v>
      </c>
      <c r="L2068" s="18" t="s">
        <v>52</v>
      </c>
      <c r="M2068" s="19">
        <v>57.0</v>
      </c>
      <c r="N2068" s="19">
        <v>20.0</v>
      </c>
    </row>
    <row r="2069">
      <c r="A2069" s="12">
        <v>2067.0</v>
      </c>
      <c r="B2069" s="13" t="s">
        <v>94</v>
      </c>
      <c r="C2069" s="14">
        <v>7.0</v>
      </c>
      <c r="D2069" s="15" t="s">
        <v>4442</v>
      </c>
      <c r="E2069" s="16" t="s">
        <v>221</v>
      </c>
      <c r="F2069" s="13" t="s">
        <v>3528</v>
      </c>
      <c r="G2069" s="13" t="s">
        <v>4460</v>
      </c>
      <c r="H2069" s="13" t="s">
        <v>4461</v>
      </c>
      <c r="I2069" s="13" t="s">
        <v>56</v>
      </c>
      <c r="J2069" s="17" t="s">
        <v>67</v>
      </c>
      <c r="K2069" s="17" t="s">
        <v>58</v>
      </c>
      <c r="L2069" s="18" t="s">
        <v>52</v>
      </c>
      <c r="M2069" s="19">
        <v>57.0</v>
      </c>
      <c r="N2069" s="19">
        <v>20.0</v>
      </c>
    </row>
    <row r="2070">
      <c r="A2070" s="12">
        <v>2068.0</v>
      </c>
      <c r="B2070" s="13" t="s">
        <v>94</v>
      </c>
      <c r="C2070" s="14">
        <v>8.0</v>
      </c>
      <c r="D2070" s="15" t="s">
        <v>4448</v>
      </c>
      <c r="E2070" s="16" t="s">
        <v>221</v>
      </c>
      <c r="F2070" s="13" t="s">
        <v>3068</v>
      </c>
      <c r="G2070" s="13" t="s">
        <v>4464</v>
      </c>
      <c r="H2070" s="13" t="s">
        <v>4465</v>
      </c>
      <c r="I2070" s="13" t="s">
        <v>56</v>
      </c>
      <c r="J2070" s="17" t="s">
        <v>67</v>
      </c>
      <c r="K2070" s="17" t="s">
        <v>58</v>
      </c>
      <c r="L2070" s="18" t="s">
        <v>52</v>
      </c>
      <c r="M2070" s="19">
        <v>57.0</v>
      </c>
      <c r="N2070" s="19">
        <v>20.0</v>
      </c>
    </row>
    <row r="2071">
      <c r="A2071" s="12">
        <v>2069.0</v>
      </c>
      <c r="B2071" s="13" t="s">
        <v>94</v>
      </c>
      <c r="C2071" s="14">
        <v>9.0</v>
      </c>
      <c r="D2071" s="15" t="s">
        <v>4448</v>
      </c>
      <c r="E2071" s="16" t="s">
        <v>221</v>
      </c>
      <c r="F2071" s="13" t="s">
        <v>2895</v>
      </c>
      <c r="G2071" s="13" t="s">
        <v>2896</v>
      </c>
      <c r="H2071" s="13" t="s">
        <v>4466</v>
      </c>
      <c r="I2071" s="13" t="s">
        <v>56</v>
      </c>
      <c r="J2071" s="17" t="s">
        <v>67</v>
      </c>
      <c r="K2071" s="17" t="s">
        <v>58</v>
      </c>
      <c r="L2071" s="18" t="s">
        <v>52</v>
      </c>
      <c r="M2071" s="19">
        <v>57.0</v>
      </c>
      <c r="N2071" s="19">
        <v>20.0</v>
      </c>
    </row>
    <row r="2072">
      <c r="A2072" s="12">
        <v>2070.0</v>
      </c>
      <c r="B2072" s="13" t="s">
        <v>94</v>
      </c>
      <c r="C2072" s="14">
        <v>10.0</v>
      </c>
      <c r="D2072" s="15" t="s">
        <v>4448</v>
      </c>
      <c r="E2072" s="16" t="s">
        <v>221</v>
      </c>
      <c r="F2072" s="13" t="s">
        <v>1714</v>
      </c>
      <c r="G2072" s="13" t="s">
        <v>4467</v>
      </c>
      <c r="H2072" s="13" t="s">
        <v>4468</v>
      </c>
      <c r="I2072" s="13" t="s">
        <v>56</v>
      </c>
      <c r="J2072" s="17" t="s">
        <v>67</v>
      </c>
      <c r="K2072" s="17" t="s">
        <v>58</v>
      </c>
      <c r="L2072" s="18" t="s">
        <v>52</v>
      </c>
      <c r="M2072" s="19">
        <v>57.0</v>
      </c>
      <c r="N2072" s="19">
        <v>20.0</v>
      </c>
    </row>
    <row r="2073">
      <c r="A2073" s="12">
        <v>2071.0</v>
      </c>
      <c r="B2073" s="13" t="s">
        <v>94</v>
      </c>
      <c r="C2073" s="14">
        <v>11.0</v>
      </c>
      <c r="D2073" s="15" t="s">
        <v>4442</v>
      </c>
      <c r="E2073" s="16" t="s">
        <v>221</v>
      </c>
      <c r="F2073" s="13" t="s">
        <v>81</v>
      </c>
      <c r="G2073" s="13" t="s">
        <v>4469</v>
      </c>
      <c r="H2073" s="13" t="s">
        <v>4470</v>
      </c>
      <c r="I2073" s="13" t="s">
        <v>63</v>
      </c>
      <c r="J2073" s="17" t="s">
        <v>67</v>
      </c>
      <c r="K2073" s="17" t="s">
        <v>58</v>
      </c>
      <c r="L2073" s="18" t="s">
        <v>52</v>
      </c>
      <c r="M2073" s="19">
        <v>57.0</v>
      </c>
      <c r="N2073" s="19">
        <v>21.0</v>
      </c>
    </row>
    <row r="2074">
      <c r="A2074" s="12">
        <v>2072.0</v>
      </c>
      <c r="B2074" s="13" t="s">
        <v>94</v>
      </c>
      <c r="C2074" s="14">
        <v>12.0</v>
      </c>
      <c r="D2074" s="15" t="s">
        <v>4442</v>
      </c>
      <c r="E2074" s="16" t="s">
        <v>221</v>
      </c>
      <c r="F2074" s="13" t="s">
        <v>140</v>
      </c>
      <c r="G2074" s="13" t="s">
        <v>4471</v>
      </c>
      <c r="H2074" s="13" t="s">
        <v>4472</v>
      </c>
      <c r="I2074" s="13" t="s">
        <v>56</v>
      </c>
      <c r="J2074" s="17" t="s">
        <v>71</v>
      </c>
      <c r="K2074" s="17" t="s">
        <v>58</v>
      </c>
      <c r="L2074" s="18" t="s">
        <v>52</v>
      </c>
      <c r="M2074" s="19">
        <v>57.0</v>
      </c>
      <c r="N2074" s="19">
        <v>30.0</v>
      </c>
    </row>
    <row r="2075">
      <c r="A2075" s="12">
        <v>2073.0</v>
      </c>
      <c r="B2075" s="13" t="s">
        <v>94</v>
      </c>
      <c r="C2075" s="14">
        <v>13.0</v>
      </c>
      <c r="D2075" s="15" t="s">
        <v>4442</v>
      </c>
      <c r="E2075" s="16" t="s">
        <v>221</v>
      </c>
      <c r="F2075" s="13" t="s">
        <v>1738</v>
      </c>
      <c r="G2075" s="13" t="s">
        <v>61</v>
      </c>
      <c r="H2075" s="13" t="s">
        <v>4473</v>
      </c>
      <c r="I2075" s="13" t="s">
        <v>56</v>
      </c>
      <c r="J2075" s="17" t="s">
        <v>71</v>
      </c>
      <c r="K2075" s="17" t="s">
        <v>58</v>
      </c>
      <c r="L2075" s="18" t="s">
        <v>52</v>
      </c>
      <c r="M2075" s="19">
        <v>57.0</v>
      </c>
      <c r="N2075" s="19">
        <v>30.0</v>
      </c>
    </row>
    <row r="2076">
      <c r="A2076" s="12">
        <v>2074.0</v>
      </c>
      <c r="B2076" s="13" t="s">
        <v>94</v>
      </c>
      <c r="C2076" s="14">
        <v>14.0</v>
      </c>
      <c r="D2076" s="15" t="s">
        <v>4442</v>
      </c>
      <c r="E2076" s="16" t="s">
        <v>221</v>
      </c>
      <c r="F2076" s="13" t="s">
        <v>457</v>
      </c>
      <c r="G2076" s="13" t="s">
        <v>4474</v>
      </c>
      <c r="H2076" s="13" t="s">
        <v>4475</v>
      </c>
      <c r="I2076" s="13" t="s">
        <v>63</v>
      </c>
      <c r="J2076" s="17" t="s">
        <v>71</v>
      </c>
      <c r="K2076" s="17" t="s">
        <v>58</v>
      </c>
      <c r="L2076" s="18" t="s">
        <v>52</v>
      </c>
      <c r="M2076" s="19">
        <v>57.0</v>
      </c>
      <c r="N2076" s="19">
        <v>31.0</v>
      </c>
    </row>
    <row r="2077">
      <c r="A2077" s="12">
        <v>2075.0</v>
      </c>
      <c r="B2077" s="13" t="s">
        <v>94</v>
      </c>
      <c r="C2077" s="14">
        <v>15.0</v>
      </c>
      <c r="D2077" s="15" t="s">
        <v>4442</v>
      </c>
      <c r="E2077" s="16" t="s">
        <v>221</v>
      </c>
      <c r="F2077" s="13" t="s">
        <v>98</v>
      </c>
      <c r="G2077" s="13" t="s">
        <v>4476</v>
      </c>
      <c r="H2077" s="13" t="s">
        <v>4477</v>
      </c>
      <c r="I2077" s="13" t="s">
        <v>63</v>
      </c>
      <c r="J2077" s="17" t="s">
        <v>71</v>
      </c>
      <c r="K2077" s="17" t="s">
        <v>58</v>
      </c>
      <c r="L2077" s="18" t="s">
        <v>52</v>
      </c>
      <c r="M2077" s="19">
        <v>57.0</v>
      </c>
      <c r="N2077" s="19">
        <v>31.0</v>
      </c>
    </row>
    <row r="2078">
      <c r="A2078" s="12">
        <v>2076.0</v>
      </c>
      <c r="B2078" s="13" t="s">
        <v>94</v>
      </c>
      <c r="C2078" s="14">
        <v>16.0</v>
      </c>
      <c r="D2078" s="15" t="s">
        <v>4442</v>
      </c>
      <c r="E2078" s="16" t="s">
        <v>221</v>
      </c>
      <c r="F2078" s="13" t="s">
        <v>833</v>
      </c>
      <c r="G2078" s="13" t="s">
        <v>4478</v>
      </c>
      <c r="H2078" s="13" t="s">
        <v>4479</v>
      </c>
      <c r="I2078" s="13" t="s">
        <v>63</v>
      </c>
      <c r="J2078" s="17" t="s">
        <v>71</v>
      </c>
      <c r="K2078" s="17" t="s">
        <v>58</v>
      </c>
      <c r="L2078" s="18" t="s">
        <v>52</v>
      </c>
      <c r="M2078" s="19">
        <v>57.0</v>
      </c>
      <c r="N2078" s="19">
        <v>31.0</v>
      </c>
    </row>
    <row r="2079">
      <c r="A2079" s="12">
        <v>2077.0</v>
      </c>
      <c r="B2079" s="13" t="s">
        <v>94</v>
      </c>
      <c r="C2079" s="14">
        <v>17.0</v>
      </c>
      <c r="D2079" s="15" t="s">
        <v>4442</v>
      </c>
      <c r="E2079" s="16" t="s">
        <v>221</v>
      </c>
      <c r="F2079" s="13" t="s">
        <v>186</v>
      </c>
      <c r="G2079" s="13" t="s">
        <v>4480</v>
      </c>
      <c r="H2079" s="13" t="s">
        <v>4481</v>
      </c>
      <c r="I2079" s="13" t="s">
        <v>63</v>
      </c>
      <c r="J2079" s="17" t="s">
        <v>71</v>
      </c>
      <c r="K2079" s="17" t="s">
        <v>58</v>
      </c>
      <c r="L2079" s="18" t="s">
        <v>52</v>
      </c>
      <c r="M2079" s="19">
        <v>57.0</v>
      </c>
      <c r="N2079" s="19">
        <v>31.0</v>
      </c>
    </row>
    <row r="2080">
      <c r="A2080" s="12">
        <v>2078.0</v>
      </c>
      <c r="B2080" s="13" t="s">
        <v>94</v>
      </c>
      <c r="C2080" s="14">
        <v>18.0</v>
      </c>
      <c r="D2080" s="15" t="s">
        <v>4442</v>
      </c>
      <c r="E2080" s="16" t="s">
        <v>221</v>
      </c>
      <c r="F2080" s="13" t="s">
        <v>2793</v>
      </c>
      <c r="G2080" s="13" t="s">
        <v>4482</v>
      </c>
      <c r="H2080" s="13" t="s">
        <v>4483</v>
      </c>
      <c r="I2080" s="13" t="s">
        <v>63</v>
      </c>
      <c r="J2080" s="17" t="s">
        <v>71</v>
      </c>
      <c r="K2080" s="17" t="s">
        <v>58</v>
      </c>
      <c r="L2080" s="18" t="s">
        <v>52</v>
      </c>
      <c r="M2080" s="19">
        <v>57.0</v>
      </c>
      <c r="N2080" s="19">
        <v>31.0</v>
      </c>
    </row>
    <row r="2081">
      <c r="A2081" s="12">
        <v>2079.0</v>
      </c>
      <c r="B2081" s="13" t="s">
        <v>94</v>
      </c>
      <c r="C2081" s="14">
        <v>19.0</v>
      </c>
      <c r="D2081" s="15" t="s">
        <v>4442</v>
      </c>
      <c r="E2081" s="16" t="s">
        <v>221</v>
      </c>
      <c r="F2081" s="13" t="s">
        <v>109</v>
      </c>
      <c r="G2081" s="13" t="s">
        <v>61</v>
      </c>
      <c r="H2081" s="13" t="s">
        <v>4484</v>
      </c>
      <c r="I2081" s="13" t="s">
        <v>63</v>
      </c>
      <c r="J2081" s="17" t="s">
        <v>71</v>
      </c>
      <c r="K2081" s="17" t="s">
        <v>58</v>
      </c>
      <c r="L2081" s="18" t="s">
        <v>52</v>
      </c>
      <c r="M2081" s="19">
        <v>57.0</v>
      </c>
      <c r="N2081" s="19">
        <v>31.0</v>
      </c>
    </row>
    <row r="2082">
      <c r="A2082" s="12">
        <v>2080.0</v>
      </c>
      <c r="B2082" s="13" t="s">
        <v>94</v>
      </c>
      <c r="C2082" s="14">
        <v>20.0</v>
      </c>
      <c r="D2082" s="15" t="s">
        <v>4442</v>
      </c>
      <c r="E2082" s="16" t="s">
        <v>221</v>
      </c>
      <c r="F2082" s="13" t="s">
        <v>4084</v>
      </c>
      <c r="G2082" s="13" t="s">
        <v>4085</v>
      </c>
      <c r="H2082" s="13" t="s">
        <v>4485</v>
      </c>
      <c r="I2082" s="13" t="s">
        <v>63</v>
      </c>
      <c r="J2082" s="17" t="s">
        <v>71</v>
      </c>
      <c r="K2082" s="17" t="s">
        <v>58</v>
      </c>
      <c r="L2082" s="18" t="s">
        <v>52</v>
      </c>
      <c r="M2082" s="19">
        <v>57.0</v>
      </c>
      <c r="N2082" s="19">
        <v>31.0</v>
      </c>
    </row>
    <row r="2083">
      <c r="A2083" s="12">
        <v>2081.0</v>
      </c>
      <c r="B2083" s="13" t="s">
        <v>94</v>
      </c>
      <c r="C2083" s="14">
        <v>21.0</v>
      </c>
      <c r="D2083" s="15" t="s">
        <v>4442</v>
      </c>
      <c r="E2083" s="16" t="s">
        <v>221</v>
      </c>
      <c r="F2083" s="13" t="s">
        <v>4091</v>
      </c>
      <c r="G2083" s="13" t="s">
        <v>4487</v>
      </c>
      <c r="H2083" s="13" t="s">
        <v>4488</v>
      </c>
      <c r="I2083" s="13" t="s">
        <v>63</v>
      </c>
      <c r="J2083" s="17" t="s">
        <v>71</v>
      </c>
      <c r="K2083" s="17" t="s">
        <v>58</v>
      </c>
      <c r="L2083" s="18" t="s">
        <v>52</v>
      </c>
      <c r="M2083" s="19">
        <v>57.0</v>
      </c>
      <c r="N2083" s="19">
        <v>31.0</v>
      </c>
    </row>
    <row r="2084">
      <c r="A2084" s="12">
        <v>2082.0</v>
      </c>
      <c r="B2084" s="13" t="s">
        <v>94</v>
      </c>
      <c r="C2084" s="14">
        <v>22.0</v>
      </c>
      <c r="D2084" s="15" t="s">
        <v>4442</v>
      </c>
      <c r="E2084" s="16" t="s">
        <v>221</v>
      </c>
      <c r="F2084" s="13" t="s">
        <v>60</v>
      </c>
      <c r="G2084" s="13" t="s">
        <v>4489</v>
      </c>
      <c r="H2084" s="13" t="s">
        <v>4490</v>
      </c>
      <c r="I2084" s="13" t="s">
        <v>63</v>
      </c>
      <c r="J2084" s="17" t="s">
        <v>71</v>
      </c>
      <c r="K2084" s="17" t="s">
        <v>58</v>
      </c>
      <c r="L2084" s="18" t="s">
        <v>52</v>
      </c>
      <c r="M2084" s="19">
        <v>57.0</v>
      </c>
      <c r="N2084" s="19">
        <v>31.0</v>
      </c>
    </row>
    <row r="2085">
      <c r="A2085" s="12">
        <v>2083.0</v>
      </c>
      <c r="B2085" s="13" t="s">
        <v>94</v>
      </c>
      <c r="C2085" s="14">
        <v>23.0</v>
      </c>
      <c r="D2085" s="15" t="s">
        <v>4442</v>
      </c>
      <c r="E2085" s="16" t="s">
        <v>221</v>
      </c>
      <c r="F2085" s="13" t="s">
        <v>193</v>
      </c>
      <c r="G2085" s="13" t="s">
        <v>61</v>
      </c>
      <c r="H2085" s="13" t="s">
        <v>4491</v>
      </c>
      <c r="I2085" s="13" t="s">
        <v>63</v>
      </c>
      <c r="J2085" s="17" t="s">
        <v>71</v>
      </c>
      <c r="K2085" s="17" t="s">
        <v>58</v>
      </c>
      <c r="L2085" s="18" t="s">
        <v>52</v>
      </c>
      <c r="M2085" s="19">
        <v>57.0</v>
      </c>
      <c r="N2085" s="19">
        <v>31.0</v>
      </c>
    </row>
    <row r="2086">
      <c r="A2086" s="12">
        <v>2084.0</v>
      </c>
      <c r="B2086" s="13" t="s">
        <v>94</v>
      </c>
      <c r="C2086" s="14">
        <v>24.0</v>
      </c>
      <c r="D2086" s="15" t="s">
        <v>4442</v>
      </c>
      <c r="E2086" s="16" t="s">
        <v>221</v>
      </c>
      <c r="F2086" s="13" t="s">
        <v>2447</v>
      </c>
      <c r="G2086" s="13" t="s">
        <v>4492</v>
      </c>
      <c r="H2086" s="13" t="s">
        <v>4490</v>
      </c>
      <c r="I2086" s="13" t="s">
        <v>63</v>
      </c>
      <c r="J2086" s="17" t="s">
        <v>71</v>
      </c>
      <c r="K2086" s="17" t="s">
        <v>58</v>
      </c>
      <c r="L2086" s="18" t="s">
        <v>52</v>
      </c>
      <c r="M2086" s="19">
        <v>57.0</v>
      </c>
      <c r="N2086" s="19">
        <v>31.0</v>
      </c>
    </row>
    <row r="2087">
      <c r="A2087" s="12">
        <v>2085.0</v>
      </c>
      <c r="B2087" s="13" t="s">
        <v>94</v>
      </c>
      <c r="C2087" s="14">
        <v>25.0</v>
      </c>
      <c r="D2087" s="15" t="s">
        <v>4442</v>
      </c>
      <c r="E2087" s="16" t="s">
        <v>221</v>
      </c>
      <c r="F2087" s="13" t="s">
        <v>4493</v>
      </c>
      <c r="G2087" s="13" t="s">
        <v>4494</v>
      </c>
      <c r="H2087" s="13" t="s">
        <v>4495</v>
      </c>
      <c r="I2087" s="13" t="s">
        <v>63</v>
      </c>
      <c r="J2087" s="17" t="s">
        <v>71</v>
      </c>
      <c r="K2087" s="17" t="s">
        <v>58</v>
      </c>
      <c r="L2087" s="18" t="s">
        <v>52</v>
      </c>
      <c r="M2087" s="19">
        <v>57.0</v>
      </c>
      <c r="N2087" s="19">
        <v>31.0</v>
      </c>
    </row>
    <row r="2088">
      <c r="A2088" s="12">
        <v>2086.0</v>
      </c>
      <c r="B2088" s="13" t="s">
        <v>94</v>
      </c>
      <c r="C2088" s="14">
        <v>26.0</v>
      </c>
      <c r="D2088" s="15" t="s">
        <v>4442</v>
      </c>
      <c r="E2088" s="16" t="s">
        <v>221</v>
      </c>
      <c r="F2088" s="13" t="s">
        <v>2585</v>
      </c>
      <c r="G2088" s="13" t="s">
        <v>61</v>
      </c>
      <c r="H2088" s="13" t="s">
        <v>4496</v>
      </c>
      <c r="I2088" s="13" t="s">
        <v>63</v>
      </c>
      <c r="J2088" s="17" t="s">
        <v>71</v>
      </c>
      <c r="K2088" s="17" t="s">
        <v>58</v>
      </c>
      <c r="L2088" s="18" t="s">
        <v>52</v>
      </c>
      <c r="M2088" s="19">
        <v>57.0</v>
      </c>
      <c r="N2088" s="19">
        <v>31.0</v>
      </c>
    </row>
    <row r="2089">
      <c r="A2089" s="12">
        <v>2087.0</v>
      </c>
      <c r="B2089" s="13" t="s">
        <v>94</v>
      </c>
      <c r="C2089" s="14">
        <v>27.0</v>
      </c>
      <c r="D2089" s="15" t="s">
        <v>4442</v>
      </c>
      <c r="E2089" s="16" t="s">
        <v>221</v>
      </c>
      <c r="F2089" s="13" t="s">
        <v>2753</v>
      </c>
      <c r="G2089" s="13" t="s">
        <v>4497</v>
      </c>
      <c r="H2089" s="13" t="s">
        <v>4488</v>
      </c>
      <c r="I2089" s="13" t="s">
        <v>63</v>
      </c>
      <c r="J2089" s="17" t="s">
        <v>71</v>
      </c>
      <c r="K2089" s="17" t="s">
        <v>58</v>
      </c>
      <c r="L2089" s="18" t="s">
        <v>52</v>
      </c>
      <c r="M2089" s="19">
        <v>57.0</v>
      </c>
      <c r="N2089" s="19">
        <v>31.0</v>
      </c>
    </row>
    <row r="2090">
      <c r="A2090" s="12">
        <v>2088.0</v>
      </c>
      <c r="B2090" s="13" t="s">
        <v>94</v>
      </c>
      <c r="C2090" s="14">
        <v>28.0</v>
      </c>
      <c r="D2090" s="15" t="s">
        <v>4442</v>
      </c>
      <c r="E2090" s="16" t="s">
        <v>221</v>
      </c>
      <c r="F2090" s="13" t="s">
        <v>124</v>
      </c>
      <c r="G2090" s="13" t="s">
        <v>126</v>
      </c>
      <c r="H2090" s="13" t="s">
        <v>128</v>
      </c>
      <c r="I2090" s="13" t="s">
        <v>63</v>
      </c>
      <c r="J2090" s="17" t="s">
        <v>71</v>
      </c>
      <c r="K2090" s="17" t="s">
        <v>58</v>
      </c>
      <c r="L2090" s="18" t="s">
        <v>52</v>
      </c>
      <c r="M2090" s="19">
        <v>57.0</v>
      </c>
      <c r="N2090" s="19">
        <v>31.0</v>
      </c>
    </row>
    <row r="2091">
      <c r="A2091" s="12">
        <v>2089.0</v>
      </c>
      <c r="B2091" s="13" t="s">
        <v>94</v>
      </c>
      <c r="C2091" s="14">
        <v>29.0</v>
      </c>
      <c r="D2091" s="15" t="s">
        <v>4442</v>
      </c>
      <c r="E2091" s="16" t="s">
        <v>221</v>
      </c>
      <c r="F2091" s="13" t="s">
        <v>201</v>
      </c>
      <c r="G2091" s="13" t="s">
        <v>4498</v>
      </c>
      <c r="H2091" s="13" t="s">
        <v>4499</v>
      </c>
      <c r="I2091" s="13" t="s">
        <v>63</v>
      </c>
      <c r="J2091" s="17" t="s">
        <v>71</v>
      </c>
      <c r="K2091" s="17" t="s">
        <v>58</v>
      </c>
      <c r="L2091" s="18" t="s">
        <v>52</v>
      </c>
      <c r="M2091" s="19">
        <v>57.0</v>
      </c>
      <c r="N2091" s="19">
        <v>31.0</v>
      </c>
    </row>
    <row r="2092">
      <c r="A2092" s="12">
        <v>2090.0</v>
      </c>
      <c r="B2092" s="13" t="s">
        <v>94</v>
      </c>
      <c r="C2092" s="14">
        <v>30.0</v>
      </c>
      <c r="D2092" s="15" t="s">
        <v>4442</v>
      </c>
      <c r="E2092" s="16" t="s">
        <v>221</v>
      </c>
      <c r="F2092" s="13" t="s">
        <v>4500</v>
      </c>
      <c r="G2092" s="13" t="s">
        <v>4501</v>
      </c>
      <c r="H2092" s="13" t="s">
        <v>4502</v>
      </c>
      <c r="I2092" s="13" t="s">
        <v>63</v>
      </c>
      <c r="J2092" s="17" t="s">
        <v>71</v>
      </c>
      <c r="K2092" s="17" t="s">
        <v>58</v>
      </c>
      <c r="L2092" s="18" t="s">
        <v>52</v>
      </c>
      <c r="M2092" s="19">
        <v>57.0</v>
      </c>
      <c r="N2092" s="19">
        <v>31.0</v>
      </c>
    </row>
    <row r="2093">
      <c r="A2093" s="12">
        <v>2091.0</v>
      </c>
      <c r="B2093" s="13" t="s">
        <v>94</v>
      </c>
      <c r="C2093" s="14">
        <v>31.0</v>
      </c>
      <c r="D2093" s="15" t="s">
        <v>4442</v>
      </c>
      <c r="E2093" s="16" t="s">
        <v>221</v>
      </c>
      <c r="F2093" s="13" t="s">
        <v>444</v>
      </c>
      <c r="G2093" s="13" t="s">
        <v>4503</v>
      </c>
      <c r="H2093" s="13" t="s">
        <v>4504</v>
      </c>
      <c r="I2093" s="13" t="s">
        <v>63</v>
      </c>
      <c r="J2093" s="17" t="s">
        <v>71</v>
      </c>
      <c r="K2093" s="17" t="s">
        <v>58</v>
      </c>
      <c r="L2093" s="18" t="s">
        <v>52</v>
      </c>
      <c r="M2093" s="19">
        <v>57.0</v>
      </c>
      <c r="N2093" s="19">
        <v>31.0</v>
      </c>
    </row>
    <row r="2094">
      <c r="A2094" s="12">
        <v>2092.0</v>
      </c>
      <c r="B2094" s="13" t="s">
        <v>94</v>
      </c>
      <c r="C2094" s="14">
        <v>32.0</v>
      </c>
      <c r="D2094" s="15" t="s">
        <v>4442</v>
      </c>
      <c r="E2094" s="16" t="s">
        <v>221</v>
      </c>
      <c r="F2094" s="13" t="s">
        <v>206</v>
      </c>
      <c r="G2094" s="13" t="s">
        <v>4480</v>
      </c>
      <c r="H2094" s="13" t="s">
        <v>4481</v>
      </c>
      <c r="I2094" s="13" t="s">
        <v>63</v>
      </c>
      <c r="J2094" s="17" t="s">
        <v>71</v>
      </c>
      <c r="K2094" s="17" t="s">
        <v>58</v>
      </c>
      <c r="L2094" s="18" t="s">
        <v>52</v>
      </c>
      <c r="M2094" s="19">
        <v>57.0</v>
      </c>
      <c r="N2094" s="19">
        <v>31.0</v>
      </c>
    </row>
    <row r="2095">
      <c r="A2095" s="12">
        <v>2093.0</v>
      </c>
      <c r="B2095" s="13" t="s">
        <v>94</v>
      </c>
      <c r="C2095" s="14">
        <v>33.0</v>
      </c>
      <c r="D2095" s="15" t="s">
        <v>4442</v>
      </c>
      <c r="E2095" s="16" t="s">
        <v>221</v>
      </c>
      <c r="F2095" s="13" t="s">
        <v>4505</v>
      </c>
      <c r="G2095" s="13" t="s">
        <v>4506</v>
      </c>
      <c r="H2095" s="13" t="s">
        <v>4507</v>
      </c>
      <c r="I2095" s="13" t="s">
        <v>63</v>
      </c>
      <c r="J2095" s="17" t="s">
        <v>71</v>
      </c>
      <c r="K2095" s="17" t="s">
        <v>58</v>
      </c>
      <c r="L2095" s="18" t="s">
        <v>52</v>
      </c>
      <c r="M2095" s="19">
        <v>57.0</v>
      </c>
      <c r="N2095" s="19">
        <v>31.0</v>
      </c>
    </row>
    <row r="2096">
      <c r="A2096" s="12">
        <v>2094.0</v>
      </c>
      <c r="B2096" s="13" t="s">
        <v>94</v>
      </c>
      <c r="C2096" s="14">
        <v>34.0</v>
      </c>
      <c r="D2096" s="15" t="s">
        <v>4442</v>
      </c>
      <c r="E2096" s="16" t="s">
        <v>221</v>
      </c>
      <c r="F2096" s="13" t="s">
        <v>96</v>
      </c>
      <c r="G2096" s="13" t="s">
        <v>4508</v>
      </c>
      <c r="H2096" s="13" t="s">
        <v>4509</v>
      </c>
      <c r="I2096" s="13" t="s">
        <v>63</v>
      </c>
      <c r="J2096" s="17" t="s">
        <v>71</v>
      </c>
      <c r="K2096" s="17" t="s">
        <v>58</v>
      </c>
      <c r="L2096" s="18" t="s">
        <v>52</v>
      </c>
      <c r="M2096" s="19">
        <v>57.0</v>
      </c>
      <c r="N2096" s="19">
        <v>31.0</v>
      </c>
    </row>
    <row r="2097">
      <c r="A2097" s="12">
        <v>2095.0</v>
      </c>
      <c r="B2097" s="13" t="s">
        <v>94</v>
      </c>
      <c r="C2097" s="14">
        <v>35.0</v>
      </c>
      <c r="D2097" s="15" t="s">
        <v>4442</v>
      </c>
      <c r="E2097" s="16" t="s">
        <v>221</v>
      </c>
      <c r="F2097" s="13" t="s">
        <v>2542</v>
      </c>
      <c r="G2097" s="13" t="s">
        <v>4510</v>
      </c>
      <c r="H2097" s="13" t="s">
        <v>4511</v>
      </c>
      <c r="I2097" s="13" t="s">
        <v>63</v>
      </c>
      <c r="J2097" s="17" t="s">
        <v>71</v>
      </c>
      <c r="K2097" s="17" t="s">
        <v>58</v>
      </c>
      <c r="L2097" s="18" t="s">
        <v>52</v>
      </c>
      <c r="M2097" s="19">
        <v>57.0</v>
      </c>
      <c r="N2097" s="19">
        <v>31.0</v>
      </c>
    </row>
    <row r="2098">
      <c r="A2098" s="12">
        <v>2096.0</v>
      </c>
      <c r="B2098" s="13" t="s">
        <v>94</v>
      </c>
      <c r="C2098" s="14">
        <v>36.0</v>
      </c>
      <c r="D2098" s="15" t="s">
        <v>4448</v>
      </c>
      <c r="E2098" s="16" t="s">
        <v>221</v>
      </c>
      <c r="F2098" s="13" t="s">
        <v>4512</v>
      </c>
      <c r="G2098" s="13" t="s">
        <v>4513</v>
      </c>
      <c r="H2098" s="13" t="s">
        <v>4514</v>
      </c>
      <c r="I2098" s="13" t="s">
        <v>63</v>
      </c>
      <c r="J2098" s="17" t="s">
        <v>71</v>
      </c>
      <c r="K2098" s="17" t="s">
        <v>58</v>
      </c>
      <c r="L2098" s="18" t="s">
        <v>52</v>
      </c>
      <c r="M2098" s="19">
        <v>57.0</v>
      </c>
      <c r="N2098" s="19">
        <v>31.0</v>
      </c>
    </row>
    <row r="2099">
      <c r="A2099" s="12">
        <v>2097.0</v>
      </c>
      <c r="B2099" s="13" t="s">
        <v>94</v>
      </c>
      <c r="C2099" s="14">
        <v>37.0</v>
      </c>
      <c r="D2099" s="15" t="s">
        <v>4448</v>
      </c>
      <c r="E2099" s="16" t="s">
        <v>221</v>
      </c>
      <c r="F2099" s="13" t="s">
        <v>4515</v>
      </c>
      <c r="G2099" s="13" t="s">
        <v>4516</v>
      </c>
      <c r="H2099" s="13" t="s">
        <v>4517</v>
      </c>
      <c r="I2099" s="13" t="s">
        <v>63</v>
      </c>
      <c r="J2099" s="17" t="s">
        <v>71</v>
      </c>
      <c r="K2099" s="17" t="s">
        <v>58</v>
      </c>
      <c r="L2099" s="18" t="s">
        <v>52</v>
      </c>
      <c r="M2099" s="19">
        <v>57.0</v>
      </c>
      <c r="N2099" s="19">
        <v>31.0</v>
      </c>
    </row>
    <row r="2100">
      <c r="A2100" s="12">
        <v>2098.0</v>
      </c>
      <c r="B2100" s="13" t="s">
        <v>94</v>
      </c>
      <c r="C2100" s="14">
        <v>38.0</v>
      </c>
      <c r="D2100" s="15" t="s">
        <v>4448</v>
      </c>
      <c r="E2100" s="16" t="s">
        <v>221</v>
      </c>
      <c r="F2100" s="13" t="s">
        <v>101</v>
      </c>
      <c r="G2100" s="13" t="s">
        <v>3197</v>
      </c>
      <c r="H2100" s="13" t="s">
        <v>4518</v>
      </c>
      <c r="I2100" s="13" t="s">
        <v>63</v>
      </c>
      <c r="J2100" s="17" t="s">
        <v>71</v>
      </c>
      <c r="K2100" s="17" t="s">
        <v>58</v>
      </c>
      <c r="L2100" s="18" t="s">
        <v>52</v>
      </c>
      <c r="M2100" s="19">
        <v>57.0</v>
      </c>
      <c r="N2100" s="19">
        <v>31.0</v>
      </c>
    </row>
    <row r="2101">
      <c r="A2101" s="12">
        <v>2099.0</v>
      </c>
      <c r="B2101" s="13" t="s">
        <v>94</v>
      </c>
      <c r="C2101" s="14">
        <v>39.0</v>
      </c>
      <c r="D2101" s="15" t="s">
        <v>4448</v>
      </c>
      <c r="E2101" s="16" t="s">
        <v>221</v>
      </c>
      <c r="F2101" s="13" t="s">
        <v>107</v>
      </c>
      <c r="G2101" s="13" t="s">
        <v>61</v>
      </c>
      <c r="H2101" s="13" t="s">
        <v>108</v>
      </c>
      <c r="I2101" s="13" t="s">
        <v>63</v>
      </c>
      <c r="J2101" s="17" t="s">
        <v>71</v>
      </c>
      <c r="K2101" s="17" t="s">
        <v>58</v>
      </c>
      <c r="L2101" s="18" t="s">
        <v>52</v>
      </c>
      <c r="M2101" s="19">
        <v>57.0</v>
      </c>
      <c r="N2101" s="19">
        <v>31.0</v>
      </c>
    </row>
    <row r="2102">
      <c r="A2102" s="12">
        <v>2100.0</v>
      </c>
      <c r="B2102" s="13" t="s">
        <v>94</v>
      </c>
      <c r="C2102" s="14">
        <v>40.0</v>
      </c>
      <c r="D2102" s="15" t="s">
        <v>4448</v>
      </c>
      <c r="E2102" s="16" t="s">
        <v>221</v>
      </c>
      <c r="F2102" s="13" t="s">
        <v>2804</v>
      </c>
      <c r="G2102" s="13" t="s">
        <v>3426</v>
      </c>
      <c r="H2102" s="13" t="s">
        <v>4519</v>
      </c>
      <c r="I2102" s="13" t="s">
        <v>63</v>
      </c>
      <c r="J2102" s="17" t="s">
        <v>71</v>
      </c>
      <c r="K2102" s="17" t="s">
        <v>58</v>
      </c>
      <c r="L2102" s="18" t="s">
        <v>52</v>
      </c>
      <c r="M2102" s="19">
        <v>57.0</v>
      </c>
      <c r="N2102" s="19">
        <v>31.0</v>
      </c>
    </row>
    <row r="2103">
      <c r="A2103" s="12">
        <v>2101.0</v>
      </c>
      <c r="B2103" s="13" t="s">
        <v>94</v>
      </c>
      <c r="C2103" s="14">
        <v>41.0</v>
      </c>
      <c r="D2103" s="15" t="s">
        <v>4448</v>
      </c>
      <c r="E2103" s="16" t="s">
        <v>221</v>
      </c>
      <c r="F2103" s="13" t="s">
        <v>1690</v>
      </c>
      <c r="G2103" s="13" t="s">
        <v>1691</v>
      </c>
      <c r="H2103" s="13" t="s">
        <v>4520</v>
      </c>
      <c r="I2103" s="13" t="s">
        <v>63</v>
      </c>
      <c r="J2103" s="17" t="s">
        <v>71</v>
      </c>
      <c r="K2103" s="17" t="s">
        <v>58</v>
      </c>
      <c r="L2103" s="18" t="s">
        <v>52</v>
      </c>
      <c r="M2103" s="19">
        <v>57.0</v>
      </c>
      <c r="N2103" s="19">
        <v>31.0</v>
      </c>
    </row>
    <row r="2104">
      <c r="A2104" s="12">
        <v>2102.0</v>
      </c>
      <c r="B2104" s="13" t="s">
        <v>94</v>
      </c>
      <c r="C2104" s="14">
        <v>42.0</v>
      </c>
      <c r="D2104" s="15" t="s">
        <v>4448</v>
      </c>
      <c r="E2104" s="16" t="s">
        <v>221</v>
      </c>
      <c r="F2104" s="13" t="s">
        <v>1997</v>
      </c>
      <c r="G2104" s="13" t="s">
        <v>4523</v>
      </c>
      <c r="H2104" s="13" t="s">
        <v>4524</v>
      </c>
      <c r="I2104" s="13" t="s">
        <v>63</v>
      </c>
      <c r="J2104" s="17" t="s">
        <v>71</v>
      </c>
      <c r="K2104" s="17" t="s">
        <v>58</v>
      </c>
      <c r="L2104" s="18" t="s">
        <v>52</v>
      </c>
      <c r="M2104" s="19">
        <v>57.0</v>
      </c>
      <c r="N2104" s="19">
        <v>31.0</v>
      </c>
    </row>
    <row r="2105">
      <c r="A2105" s="12">
        <v>2103.0</v>
      </c>
      <c r="B2105" s="13" t="s">
        <v>94</v>
      </c>
      <c r="C2105" s="14">
        <v>43.0</v>
      </c>
      <c r="D2105" s="15" t="s">
        <v>4448</v>
      </c>
      <c r="E2105" s="16" t="s">
        <v>221</v>
      </c>
      <c r="F2105" s="13" t="s">
        <v>4526</v>
      </c>
      <c r="G2105" s="13" t="s">
        <v>4527</v>
      </c>
      <c r="H2105" s="13" t="s">
        <v>4528</v>
      </c>
      <c r="I2105" s="13" t="s">
        <v>63</v>
      </c>
      <c r="J2105" s="17" t="s">
        <v>71</v>
      </c>
      <c r="K2105" s="17" t="s">
        <v>58</v>
      </c>
      <c r="L2105" s="18" t="s">
        <v>52</v>
      </c>
      <c r="M2105" s="19">
        <v>57.0</v>
      </c>
      <c r="N2105" s="19">
        <v>31.0</v>
      </c>
    </row>
    <row r="2106">
      <c r="A2106" s="12">
        <v>2104.0</v>
      </c>
      <c r="B2106" s="13" t="s">
        <v>94</v>
      </c>
      <c r="C2106" s="14">
        <v>44.0</v>
      </c>
      <c r="D2106" s="15" t="s">
        <v>4448</v>
      </c>
      <c r="E2106" s="16" t="s">
        <v>221</v>
      </c>
      <c r="F2106" s="13" t="s">
        <v>68</v>
      </c>
      <c r="G2106" s="13" t="s">
        <v>69</v>
      </c>
      <c r="H2106" s="13" t="s">
        <v>4530</v>
      </c>
      <c r="I2106" s="13" t="s">
        <v>63</v>
      </c>
      <c r="J2106" s="17" t="s">
        <v>71</v>
      </c>
      <c r="K2106" s="17" t="s">
        <v>58</v>
      </c>
      <c r="L2106" s="18" t="s">
        <v>52</v>
      </c>
      <c r="M2106" s="19">
        <v>57.0</v>
      </c>
      <c r="N2106" s="19">
        <v>31.0</v>
      </c>
    </row>
    <row r="2107">
      <c r="A2107" s="12">
        <v>2105.0</v>
      </c>
      <c r="B2107" s="13" t="s">
        <v>94</v>
      </c>
      <c r="C2107" s="14">
        <v>45.0</v>
      </c>
      <c r="D2107" s="15" t="s">
        <v>4448</v>
      </c>
      <c r="E2107" s="16" t="s">
        <v>221</v>
      </c>
      <c r="F2107" s="13" t="s">
        <v>53</v>
      </c>
      <c r="G2107" s="13" t="s">
        <v>4531</v>
      </c>
      <c r="H2107" s="13" t="s">
        <v>4532</v>
      </c>
      <c r="I2107" s="13" t="s">
        <v>63</v>
      </c>
      <c r="J2107" s="17" t="s">
        <v>71</v>
      </c>
      <c r="K2107" s="17" t="s">
        <v>58</v>
      </c>
      <c r="L2107" s="18" t="s">
        <v>52</v>
      </c>
      <c r="M2107" s="19">
        <v>57.0</v>
      </c>
      <c r="N2107" s="19">
        <v>31.0</v>
      </c>
    </row>
    <row r="2108">
      <c r="A2108" s="12">
        <v>2106.0</v>
      </c>
      <c r="B2108" s="13" t="s">
        <v>94</v>
      </c>
      <c r="C2108" s="14">
        <v>46.0</v>
      </c>
      <c r="D2108" s="15" t="s">
        <v>4448</v>
      </c>
      <c r="E2108" s="16" t="s">
        <v>221</v>
      </c>
      <c r="F2108" s="13" t="s">
        <v>2065</v>
      </c>
      <c r="G2108" s="13" t="s">
        <v>4534</v>
      </c>
      <c r="H2108" s="13" t="s">
        <v>4535</v>
      </c>
      <c r="I2108" s="13" t="s">
        <v>63</v>
      </c>
      <c r="J2108" s="17" t="s">
        <v>71</v>
      </c>
      <c r="K2108" s="17" t="s">
        <v>58</v>
      </c>
      <c r="L2108" s="18" t="s">
        <v>52</v>
      </c>
      <c r="M2108" s="19">
        <v>57.0</v>
      </c>
      <c r="N2108" s="19">
        <v>31.0</v>
      </c>
    </row>
    <row r="2109">
      <c r="A2109" s="12">
        <v>2107.0</v>
      </c>
      <c r="B2109" s="13" t="s">
        <v>94</v>
      </c>
      <c r="C2109" s="14">
        <v>47.0</v>
      </c>
      <c r="D2109" s="15" t="s">
        <v>4448</v>
      </c>
      <c r="E2109" s="16" t="s">
        <v>221</v>
      </c>
      <c r="F2109" s="13" t="s">
        <v>1732</v>
      </c>
      <c r="G2109" s="13" t="s">
        <v>4536</v>
      </c>
      <c r="H2109" s="13" t="s">
        <v>4537</v>
      </c>
      <c r="I2109" s="13" t="s">
        <v>63</v>
      </c>
      <c r="J2109" s="17" t="s">
        <v>71</v>
      </c>
      <c r="K2109" s="17" t="s">
        <v>58</v>
      </c>
      <c r="L2109" s="18" t="s">
        <v>52</v>
      </c>
      <c r="M2109" s="19">
        <v>57.0</v>
      </c>
      <c r="N2109" s="19">
        <v>31.0</v>
      </c>
    </row>
    <row r="2110">
      <c r="A2110" s="12">
        <v>2108.0</v>
      </c>
      <c r="B2110" s="13" t="s">
        <v>94</v>
      </c>
      <c r="C2110" s="14">
        <v>48.0</v>
      </c>
      <c r="D2110" s="15" t="s">
        <v>4448</v>
      </c>
      <c r="E2110" s="16" t="s">
        <v>221</v>
      </c>
      <c r="F2110" s="13" t="s">
        <v>2756</v>
      </c>
      <c r="G2110" s="13" t="s">
        <v>4538</v>
      </c>
      <c r="H2110" s="13" t="s">
        <v>4539</v>
      </c>
      <c r="I2110" s="13" t="s">
        <v>63</v>
      </c>
      <c r="J2110" s="17" t="s">
        <v>71</v>
      </c>
      <c r="K2110" s="17" t="s">
        <v>58</v>
      </c>
      <c r="L2110" s="18" t="s">
        <v>52</v>
      </c>
      <c r="M2110" s="19">
        <v>57.0</v>
      </c>
      <c r="N2110" s="19">
        <v>31.0</v>
      </c>
    </row>
    <row r="2111">
      <c r="A2111" s="12">
        <v>2109.0</v>
      </c>
      <c r="B2111" s="13" t="s">
        <v>94</v>
      </c>
      <c r="C2111" s="14">
        <v>49.0</v>
      </c>
      <c r="D2111" s="15" t="s">
        <v>4448</v>
      </c>
      <c r="E2111" s="16" t="s">
        <v>221</v>
      </c>
      <c r="F2111" s="13" t="s">
        <v>1331</v>
      </c>
      <c r="G2111" s="13" t="s">
        <v>4540</v>
      </c>
      <c r="H2111" s="13" t="s">
        <v>4541</v>
      </c>
      <c r="I2111" s="13" t="s">
        <v>63</v>
      </c>
      <c r="J2111" s="17" t="s">
        <v>71</v>
      </c>
      <c r="K2111" s="17" t="s">
        <v>58</v>
      </c>
      <c r="L2111" s="18" t="s">
        <v>52</v>
      </c>
      <c r="M2111" s="19">
        <v>57.0</v>
      </c>
      <c r="N2111" s="19">
        <v>31.0</v>
      </c>
    </row>
    <row r="2112">
      <c r="A2112" s="12">
        <v>2110.0</v>
      </c>
      <c r="B2112" s="13" t="s">
        <v>94</v>
      </c>
      <c r="C2112" s="14">
        <v>50.0</v>
      </c>
      <c r="D2112" s="15" t="s">
        <v>4448</v>
      </c>
      <c r="E2112" s="16" t="s">
        <v>221</v>
      </c>
      <c r="F2112" s="13" t="s">
        <v>3079</v>
      </c>
      <c r="G2112" s="13" t="s">
        <v>3080</v>
      </c>
      <c r="H2112" s="13" t="s">
        <v>4542</v>
      </c>
      <c r="I2112" s="13" t="s">
        <v>63</v>
      </c>
      <c r="J2112" s="17" t="s">
        <v>71</v>
      </c>
      <c r="K2112" s="17" t="s">
        <v>58</v>
      </c>
      <c r="L2112" s="18" t="s">
        <v>52</v>
      </c>
      <c r="M2112" s="19">
        <v>57.0</v>
      </c>
      <c r="N2112" s="19">
        <v>31.0</v>
      </c>
    </row>
    <row r="2113">
      <c r="A2113" s="12">
        <v>2111.0</v>
      </c>
      <c r="B2113" s="13" t="s">
        <v>68</v>
      </c>
      <c r="C2113" s="14">
        <v>1.0</v>
      </c>
      <c r="D2113" s="15" t="s">
        <v>4543</v>
      </c>
      <c r="E2113" s="16" t="s">
        <v>52</v>
      </c>
      <c r="F2113" s="13" t="s">
        <v>413</v>
      </c>
      <c r="G2113" s="13" t="s">
        <v>61</v>
      </c>
      <c r="H2113" s="13" t="s">
        <v>4544</v>
      </c>
      <c r="I2113" s="13" t="s">
        <v>56</v>
      </c>
      <c r="J2113" s="17" t="s">
        <v>57</v>
      </c>
      <c r="K2113" s="17" t="s">
        <v>58</v>
      </c>
      <c r="L2113" s="18" t="s">
        <v>52</v>
      </c>
      <c r="M2113" s="19">
        <v>58.0</v>
      </c>
      <c r="N2113" s="19">
        <v>10.0</v>
      </c>
    </row>
    <row r="2114">
      <c r="A2114" s="12">
        <v>2112.0</v>
      </c>
      <c r="B2114" s="13" t="s">
        <v>68</v>
      </c>
      <c r="C2114" s="14">
        <v>2.0</v>
      </c>
      <c r="D2114" s="15" t="s">
        <v>4545</v>
      </c>
      <c r="E2114" s="16" t="s">
        <v>52</v>
      </c>
      <c r="F2114" s="13" t="s">
        <v>2883</v>
      </c>
      <c r="G2114" s="13" t="s">
        <v>4115</v>
      </c>
      <c r="H2114" s="13" t="s">
        <v>4117</v>
      </c>
      <c r="I2114" s="13" t="s">
        <v>63</v>
      </c>
      <c r="J2114" s="17" t="s">
        <v>57</v>
      </c>
      <c r="K2114" s="17" t="s">
        <v>58</v>
      </c>
      <c r="L2114" s="18" t="s">
        <v>52</v>
      </c>
      <c r="M2114" s="19">
        <v>58.0</v>
      </c>
      <c r="N2114" s="19">
        <v>11.0</v>
      </c>
    </row>
    <row r="2115">
      <c r="A2115" s="12">
        <v>2113.0</v>
      </c>
      <c r="B2115" s="13" t="s">
        <v>68</v>
      </c>
      <c r="C2115" s="14">
        <v>3.0</v>
      </c>
      <c r="D2115" s="15" t="s">
        <v>4546</v>
      </c>
      <c r="E2115" s="16" t="s">
        <v>52</v>
      </c>
      <c r="F2115" s="13" t="s">
        <v>78</v>
      </c>
      <c r="G2115" s="13" t="s">
        <v>4547</v>
      </c>
      <c r="H2115" s="13" t="s">
        <v>4548</v>
      </c>
      <c r="I2115" s="13" t="s">
        <v>63</v>
      </c>
      <c r="J2115" s="17" t="s">
        <v>57</v>
      </c>
      <c r="K2115" s="17" t="s">
        <v>58</v>
      </c>
      <c r="L2115" s="18" t="s">
        <v>52</v>
      </c>
      <c r="M2115" s="19">
        <v>58.0</v>
      </c>
      <c r="N2115" s="19">
        <v>11.0</v>
      </c>
    </row>
    <row r="2116">
      <c r="A2116" s="12">
        <v>2114.0</v>
      </c>
      <c r="B2116" s="13" t="s">
        <v>68</v>
      </c>
      <c r="C2116" s="14">
        <v>4.0</v>
      </c>
      <c r="D2116" s="15" t="s">
        <v>4549</v>
      </c>
      <c r="E2116" s="16" t="s">
        <v>52</v>
      </c>
      <c r="F2116" s="13" t="s">
        <v>1687</v>
      </c>
      <c r="G2116" s="13" t="s">
        <v>61</v>
      </c>
      <c r="H2116" s="13" t="s">
        <v>4550</v>
      </c>
      <c r="I2116" s="13" t="s">
        <v>63</v>
      </c>
      <c r="J2116" s="17" t="s">
        <v>57</v>
      </c>
      <c r="K2116" s="17" t="s">
        <v>58</v>
      </c>
      <c r="L2116" s="18" t="s">
        <v>52</v>
      </c>
      <c r="M2116" s="19">
        <v>58.0</v>
      </c>
      <c r="N2116" s="19">
        <v>11.0</v>
      </c>
    </row>
    <row r="2117">
      <c r="A2117" s="12">
        <v>2115.0</v>
      </c>
      <c r="B2117" s="13" t="s">
        <v>68</v>
      </c>
      <c r="C2117" s="14">
        <v>5.0</v>
      </c>
      <c r="D2117" s="15" t="s">
        <v>4543</v>
      </c>
      <c r="E2117" s="16" t="s">
        <v>52</v>
      </c>
      <c r="F2117" s="13" t="s">
        <v>1522</v>
      </c>
      <c r="G2117" s="13" t="s">
        <v>1909</v>
      </c>
      <c r="H2117" s="13" t="s">
        <v>4551</v>
      </c>
      <c r="I2117" s="13" t="s">
        <v>56</v>
      </c>
      <c r="J2117" s="17" t="s">
        <v>67</v>
      </c>
      <c r="K2117" s="17" t="s">
        <v>58</v>
      </c>
      <c r="L2117" s="18" t="s">
        <v>52</v>
      </c>
      <c r="M2117" s="19">
        <v>58.0</v>
      </c>
      <c r="N2117" s="19">
        <v>20.0</v>
      </c>
    </row>
    <row r="2118">
      <c r="A2118" s="12">
        <v>2116.0</v>
      </c>
      <c r="B2118" s="13" t="s">
        <v>68</v>
      </c>
      <c r="C2118" s="14">
        <v>6.0</v>
      </c>
      <c r="D2118" s="15" t="s">
        <v>4549</v>
      </c>
      <c r="E2118" s="16" t="s">
        <v>52</v>
      </c>
      <c r="F2118" s="13" t="s">
        <v>4112</v>
      </c>
      <c r="G2118" s="13" t="s">
        <v>61</v>
      </c>
      <c r="H2118" s="13" t="s">
        <v>4552</v>
      </c>
      <c r="I2118" s="13" t="s">
        <v>63</v>
      </c>
      <c r="J2118" s="17" t="s">
        <v>67</v>
      </c>
      <c r="K2118" s="17" t="s">
        <v>58</v>
      </c>
      <c r="L2118" s="18" t="s">
        <v>52</v>
      </c>
      <c r="M2118" s="19">
        <v>58.0</v>
      </c>
      <c r="N2118" s="19">
        <v>21.0</v>
      </c>
    </row>
    <row r="2119">
      <c r="A2119" s="12">
        <v>2117.0</v>
      </c>
      <c r="B2119" s="13" t="s">
        <v>68</v>
      </c>
      <c r="C2119" s="14">
        <v>7.0</v>
      </c>
      <c r="D2119" s="15" t="s">
        <v>4543</v>
      </c>
      <c r="E2119" s="16" t="s">
        <v>52</v>
      </c>
      <c r="F2119" s="13" t="s">
        <v>4553</v>
      </c>
      <c r="G2119" s="13" t="s">
        <v>4554</v>
      </c>
      <c r="H2119" s="13" t="s">
        <v>4555</v>
      </c>
      <c r="I2119" s="13" t="s">
        <v>56</v>
      </c>
      <c r="J2119" s="17" t="s">
        <v>71</v>
      </c>
      <c r="K2119" s="17" t="s">
        <v>58</v>
      </c>
      <c r="L2119" s="18" t="s">
        <v>52</v>
      </c>
      <c r="M2119" s="19">
        <v>58.0</v>
      </c>
      <c r="N2119" s="19">
        <v>30.0</v>
      </c>
    </row>
    <row r="2120">
      <c r="A2120" s="12">
        <v>2118.0</v>
      </c>
      <c r="B2120" s="13" t="s">
        <v>68</v>
      </c>
      <c r="C2120" s="14">
        <v>8.0</v>
      </c>
      <c r="D2120" s="15" t="s">
        <v>4545</v>
      </c>
      <c r="E2120" s="16" t="s">
        <v>52</v>
      </c>
      <c r="F2120" s="13" t="s">
        <v>2517</v>
      </c>
      <c r="G2120" s="13" t="s">
        <v>4556</v>
      </c>
      <c r="H2120" s="13" t="s">
        <v>4557</v>
      </c>
      <c r="I2120" s="13" t="s">
        <v>63</v>
      </c>
      <c r="J2120" s="17" t="s">
        <v>71</v>
      </c>
      <c r="K2120" s="17" t="s">
        <v>58</v>
      </c>
      <c r="L2120" s="18" t="s">
        <v>52</v>
      </c>
      <c r="M2120" s="19">
        <v>58.0</v>
      </c>
      <c r="N2120" s="19">
        <v>31.0</v>
      </c>
    </row>
    <row r="2121">
      <c r="A2121" s="12">
        <v>2119.0</v>
      </c>
      <c r="B2121" s="13" t="s">
        <v>68</v>
      </c>
      <c r="C2121" s="14">
        <v>9.0</v>
      </c>
      <c r="D2121" s="15" t="s">
        <v>4545</v>
      </c>
      <c r="E2121" s="16" t="s">
        <v>52</v>
      </c>
      <c r="F2121" s="13" t="s">
        <v>98</v>
      </c>
      <c r="G2121" s="13" t="s">
        <v>61</v>
      </c>
      <c r="H2121" s="13" t="s">
        <v>4558</v>
      </c>
      <c r="I2121" s="13" t="s">
        <v>63</v>
      </c>
      <c r="J2121" s="17" t="s">
        <v>71</v>
      </c>
      <c r="K2121" s="17" t="s">
        <v>58</v>
      </c>
      <c r="L2121" s="18" t="s">
        <v>52</v>
      </c>
      <c r="M2121" s="19">
        <v>58.0</v>
      </c>
      <c r="N2121" s="19">
        <v>31.0</v>
      </c>
    </row>
    <row r="2122">
      <c r="A2122" s="12">
        <v>2120.0</v>
      </c>
      <c r="B2122" s="13" t="s">
        <v>68</v>
      </c>
      <c r="C2122" s="14">
        <v>10.0</v>
      </c>
      <c r="D2122" s="15" t="s">
        <v>4545</v>
      </c>
      <c r="E2122" s="16" t="s">
        <v>52</v>
      </c>
      <c r="F2122" s="13" t="s">
        <v>101</v>
      </c>
      <c r="G2122" s="13" t="s">
        <v>3197</v>
      </c>
      <c r="H2122" s="13" t="s">
        <v>4559</v>
      </c>
      <c r="I2122" s="13" t="s">
        <v>63</v>
      </c>
      <c r="J2122" s="17" t="s">
        <v>71</v>
      </c>
      <c r="K2122" s="17" t="s">
        <v>58</v>
      </c>
      <c r="L2122" s="18" t="s">
        <v>52</v>
      </c>
      <c r="M2122" s="19">
        <v>58.0</v>
      </c>
      <c r="N2122" s="19">
        <v>31.0</v>
      </c>
    </row>
    <row r="2123">
      <c r="A2123" s="12">
        <v>2121.0</v>
      </c>
      <c r="B2123" s="13" t="s">
        <v>68</v>
      </c>
      <c r="C2123" s="14">
        <v>11.0</v>
      </c>
      <c r="D2123" s="15" t="s">
        <v>4545</v>
      </c>
      <c r="E2123" s="16" t="s">
        <v>52</v>
      </c>
      <c r="F2123" s="13" t="s">
        <v>4526</v>
      </c>
      <c r="G2123" s="13" t="s">
        <v>4527</v>
      </c>
      <c r="H2123" s="13" t="s">
        <v>4528</v>
      </c>
      <c r="I2123" s="13" t="s">
        <v>63</v>
      </c>
      <c r="J2123" s="17" t="s">
        <v>71</v>
      </c>
      <c r="K2123" s="17" t="s">
        <v>58</v>
      </c>
      <c r="L2123" s="18" t="s">
        <v>52</v>
      </c>
      <c r="M2123" s="19">
        <v>58.0</v>
      </c>
      <c r="N2123" s="19">
        <v>31.0</v>
      </c>
    </row>
    <row r="2124">
      <c r="A2124" s="12">
        <v>2122.0</v>
      </c>
      <c r="B2124" s="13" t="s">
        <v>68</v>
      </c>
      <c r="C2124" s="14">
        <v>12.0</v>
      </c>
      <c r="D2124" s="15" t="s">
        <v>4545</v>
      </c>
      <c r="E2124" s="16" t="s">
        <v>52</v>
      </c>
      <c r="F2124" s="13" t="s">
        <v>4455</v>
      </c>
      <c r="G2124" s="13" t="s">
        <v>4456</v>
      </c>
      <c r="H2124" s="13" t="s">
        <v>4560</v>
      </c>
      <c r="I2124" s="13" t="s">
        <v>63</v>
      </c>
      <c r="J2124" s="17" t="s">
        <v>71</v>
      </c>
      <c r="K2124" s="17" t="s">
        <v>58</v>
      </c>
      <c r="L2124" s="18" t="s">
        <v>52</v>
      </c>
      <c r="M2124" s="19">
        <v>58.0</v>
      </c>
      <c r="N2124" s="19">
        <v>31.0</v>
      </c>
    </row>
    <row r="2125">
      <c r="A2125" s="12">
        <v>2123.0</v>
      </c>
      <c r="B2125" s="13" t="s">
        <v>68</v>
      </c>
      <c r="C2125" s="14">
        <v>13.0</v>
      </c>
      <c r="D2125" s="15" t="s">
        <v>4545</v>
      </c>
      <c r="E2125" s="16" t="s">
        <v>52</v>
      </c>
      <c r="F2125" s="13" t="s">
        <v>4561</v>
      </c>
      <c r="G2125" s="13" t="s">
        <v>4562</v>
      </c>
      <c r="H2125" s="13" t="s">
        <v>4563</v>
      </c>
      <c r="I2125" s="13" t="s">
        <v>63</v>
      </c>
      <c r="J2125" s="17" t="s">
        <v>71</v>
      </c>
      <c r="K2125" s="17" t="s">
        <v>58</v>
      </c>
      <c r="L2125" s="18" t="s">
        <v>52</v>
      </c>
      <c r="M2125" s="19">
        <v>58.0</v>
      </c>
      <c r="N2125" s="19">
        <v>31.0</v>
      </c>
    </row>
    <row r="2126">
      <c r="A2126" s="12">
        <v>2124.0</v>
      </c>
      <c r="B2126" s="13" t="s">
        <v>68</v>
      </c>
      <c r="C2126" s="14">
        <v>14.0</v>
      </c>
      <c r="D2126" s="15" t="s">
        <v>4545</v>
      </c>
      <c r="E2126" s="16" t="s">
        <v>52</v>
      </c>
      <c r="F2126" s="13" t="s">
        <v>2787</v>
      </c>
      <c r="G2126" s="13" t="s">
        <v>4564</v>
      </c>
      <c r="H2126" s="13" t="s">
        <v>4565</v>
      </c>
      <c r="I2126" s="13" t="s">
        <v>63</v>
      </c>
      <c r="J2126" s="17" t="s">
        <v>71</v>
      </c>
      <c r="K2126" s="17" t="s">
        <v>58</v>
      </c>
      <c r="L2126" s="18" t="s">
        <v>52</v>
      </c>
      <c r="M2126" s="19">
        <v>58.0</v>
      </c>
      <c r="N2126" s="19">
        <v>31.0</v>
      </c>
    </row>
    <row r="2127">
      <c r="A2127" s="12">
        <v>2125.0</v>
      </c>
      <c r="B2127" s="13" t="s">
        <v>68</v>
      </c>
      <c r="C2127" s="14">
        <v>15.0</v>
      </c>
      <c r="D2127" s="15" t="s">
        <v>4546</v>
      </c>
      <c r="E2127" s="16" t="s">
        <v>52</v>
      </c>
      <c r="F2127" s="13" t="s">
        <v>4236</v>
      </c>
      <c r="G2127" s="13" t="s">
        <v>4566</v>
      </c>
      <c r="H2127" s="13" t="s">
        <v>4567</v>
      </c>
      <c r="I2127" s="13" t="s">
        <v>63</v>
      </c>
      <c r="J2127" s="17" t="s">
        <v>71</v>
      </c>
      <c r="K2127" s="17" t="s">
        <v>58</v>
      </c>
      <c r="L2127" s="18" t="s">
        <v>52</v>
      </c>
      <c r="M2127" s="19">
        <v>58.0</v>
      </c>
      <c r="N2127" s="19">
        <v>31.0</v>
      </c>
    </row>
    <row r="2128">
      <c r="A2128" s="12">
        <v>2126.0</v>
      </c>
      <c r="B2128" s="13" t="s">
        <v>68</v>
      </c>
      <c r="C2128" s="14">
        <v>16.0</v>
      </c>
      <c r="D2128" s="15" t="s">
        <v>4546</v>
      </c>
      <c r="E2128" s="16" t="s">
        <v>52</v>
      </c>
      <c r="F2128" s="13" t="s">
        <v>104</v>
      </c>
      <c r="G2128" s="13" t="s">
        <v>61</v>
      </c>
      <c r="H2128" s="13" t="s">
        <v>4568</v>
      </c>
      <c r="I2128" s="13" t="s">
        <v>63</v>
      </c>
      <c r="J2128" s="17" t="s">
        <v>71</v>
      </c>
      <c r="K2128" s="17" t="s">
        <v>58</v>
      </c>
      <c r="L2128" s="18" t="s">
        <v>52</v>
      </c>
      <c r="M2128" s="19">
        <v>58.0</v>
      </c>
      <c r="N2128" s="19">
        <v>31.0</v>
      </c>
    </row>
    <row r="2129">
      <c r="A2129" s="12">
        <v>2127.0</v>
      </c>
      <c r="B2129" s="13" t="s">
        <v>68</v>
      </c>
      <c r="C2129" s="14">
        <v>17.0</v>
      </c>
      <c r="D2129" s="15" t="s">
        <v>4546</v>
      </c>
      <c r="E2129" s="16" t="s">
        <v>52</v>
      </c>
      <c r="F2129" s="13" t="s">
        <v>107</v>
      </c>
      <c r="G2129" s="13" t="s">
        <v>61</v>
      </c>
      <c r="H2129" s="13" t="s">
        <v>108</v>
      </c>
      <c r="I2129" s="13" t="s">
        <v>63</v>
      </c>
      <c r="J2129" s="17" t="s">
        <v>71</v>
      </c>
      <c r="K2129" s="17" t="s">
        <v>58</v>
      </c>
      <c r="L2129" s="18" t="s">
        <v>52</v>
      </c>
      <c r="M2129" s="19">
        <v>58.0</v>
      </c>
      <c r="N2129" s="19">
        <v>31.0</v>
      </c>
    </row>
    <row r="2130">
      <c r="A2130" s="12">
        <v>2128.0</v>
      </c>
      <c r="B2130" s="13" t="s">
        <v>68</v>
      </c>
      <c r="C2130" s="14">
        <v>18.0</v>
      </c>
      <c r="D2130" s="15" t="s">
        <v>4546</v>
      </c>
      <c r="E2130" s="16" t="s">
        <v>52</v>
      </c>
      <c r="F2130" s="13" t="s">
        <v>64</v>
      </c>
      <c r="G2130" s="13" t="s">
        <v>65</v>
      </c>
      <c r="H2130" s="13" t="s">
        <v>4569</v>
      </c>
      <c r="I2130" s="13" t="s">
        <v>63</v>
      </c>
      <c r="J2130" s="17" t="s">
        <v>71</v>
      </c>
      <c r="K2130" s="17" t="s">
        <v>58</v>
      </c>
      <c r="L2130" s="18" t="s">
        <v>52</v>
      </c>
      <c r="M2130" s="19">
        <v>58.0</v>
      </c>
      <c r="N2130" s="19">
        <v>31.0</v>
      </c>
    </row>
    <row r="2131">
      <c r="A2131" s="12">
        <v>2129.0</v>
      </c>
      <c r="B2131" s="13" t="s">
        <v>68</v>
      </c>
      <c r="C2131" s="14">
        <v>19.0</v>
      </c>
      <c r="D2131" s="15" t="s">
        <v>4546</v>
      </c>
      <c r="E2131" s="16" t="s">
        <v>52</v>
      </c>
      <c r="F2131" s="13" t="s">
        <v>4570</v>
      </c>
      <c r="G2131" s="13" t="s">
        <v>4571</v>
      </c>
      <c r="H2131" s="13" t="s">
        <v>4572</v>
      </c>
      <c r="I2131" s="13" t="s">
        <v>63</v>
      </c>
      <c r="J2131" s="17" t="s">
        <v>71</v>
      </c>
      <c r="K2131" s="17" t="s">
        <v>58</v>
      </c>
      <c r="L2131" s="18" t="s">
        <v>52</v>
      </c>
      <c r="M2131" s="19">
        <v>58.0</v>
      </c>
      <c r="N2131" s="19">
        <v>31.0</v>
      </c>
    </row>
    <row r="2132">
      <c r="A2132" s="12">
        <v>2130.0</v>
      </c>
      <c r="B2132" s="13" t="s">
        <v>68</v>
      </c>
      <c r="C2132" s="14">
        <v>20.0</v>
      </c>
      <c r="D2132" s="15" t="s">
        <v>4546</v>
      </c>
      <c r="E2132" s="16" t="s">
        <v>52</v>
      </c>
      <c r="F2132" s="13" t="s">
        <v>50</v>
      </c>
      <c r="G2132" s="13" t="s">
        <v>1684</v>
      </c>
      <c r="H2132" s="13" t="s">
        <v>4573</v>
      </c>
      <c r="I2132" s="13" t="s">
        <v>63</v>
      </c>
      <c r="J2132" s="17" t="s">
        <v>71</v>
      </c>
      <c r="K2132" s="17" t="s">
        <v>58</v>
      </c>
      <c r="L2132" s="18" t="s">
        <v>52</v>
      </c>
      <c r="M2132" s="19">
        <v>58.0</v>
      </c>
      <c r="N2132" s="19">
        <v>31.0</v>
      </c>
    </row>
    <row r="2133">
      <c r="A2133" s="12">
        <v>2131.0</v>
      </c>
      <c r="B2133" s="13" t="s">
        <v>68</v>
      </c>
      <c r="C2133" s="14">
        <v>21.0</v>
      </c>
      <c r="D2133" s="15" t="s">
        <v>4543</v>
      </c>
      <c r="E2133" s="16" t="s">
        <v>52</v>
      </c>
      <c r="F2133" s="13" t="s">
        <v>4515</v>
      </c>
      <c r="G2133" s="13" t="s">
        <v>4574</v>
      </c>
      <c r="H2133" s="13" t="s">
        <v>4575</v>
      </c>
      <c r="I2133" s="13" t="s">
        <v>63</v>
      </c>
      <c r="J2133" s="17" t="s">
        <v>71</v>
      </c>
      <c r="K2133" s="17" t="s">
        <v>58</v>
      </c>
      <c r="L2133" s="18" t="s">
        <v>52</v>
      </c>
      <c r="M2133" s="19">
        <v>58.0</v>
      </c>
      <c r="N2133" s="19">
        <v>31.0</v>
      </c>
    </row>
    <row r="2134">
      <c r="A2134" s="12">
        <v>2132.0</v>
      </c>
      <c r="B2134" s="13" t="s">
        <v>68</v>
      </c>
      <c r="C2134" s="14">
        <v>22.0</v>
      </c>
      <c r="D2134" s="15" t="s">
        <v>4543</v>
      </c>
      <c r="E2134" s="16" t="s">
        <v>52</v>
      </c>
      <c r="F2134" s="13" t="s">
        <v>4576</v>
      </c>
      <c r="G2134" s="13" t="s">
        <v>61</v>
      </c>
      <c r="H2134" s="13" t="s">
        <v>4577</v>
      </c>
      <c r="I2134" s="13" t="s">
        <v>63</v>
      </c>
      <c r="J2134" s="17" t="s">
        <v>71</v>
      </c>
      <c r="K2134" s="17" t="s">
        <v>58</v>
      </c>
      <c r="L2134" s="18" t="s">
        <v>52</v>
      </c>
      <c r="M2134" s="19">
        <v>58.0</v>
      </c>
      <c r="N2134" s="19">
        <v>31.0</v>
      </c>
    </row>
    <row r="2135">
      <c r="A2135" s="12">
        <v>2133.0</v>
      </c>
      <c r="B2135" s="13" t="s">
        <v>68</v>
      </c>
      <c r="C2135" s="14">
        <v>23.0</v>
      </c>
      <c r="D2135" s="15" t="s">
        <v>4543</v>
      </c>
      <c r="E2135" s="16" t="s">
        <v>52</v>
      </c>
      <c r="F2135" s="13" t="s">
        <v>3446</v>
      </c>
      <c r="G2135" s="13" t="s">
        <v>4579</v>
      </c>
      <c r="H2135" s="13" t="s">
        <v>4580</v>
      </c>
      <c r="I2135" s="13" t="s">
        <v>63</v>
      </c>
      <c r="J2135" s="17" t="s">
        <v>71</v>
      </c>
      <c r="K2135" s="17" t="s">
        <v>58</v>
      </c>
      <c r="L2135" s="18" t="s">
        <v>52</v>
      </c>
      <c r="M2135" s="19">
        <v>58.0</v>
      </c>
      <c r="N2135" s="19">
        <v>31.0</v>
      </c>
    </row>
    <row r="2136">
      <c r="A2136" s="12">
        <v>2134.0</v>
      </c>
      <c r="B2136" s="13" t="s">
        <v>68</v>
      </c>
      <c r="C2136" s="14">
        <v>24.0</v>
      </c>
      <c r="D2136" s="15" t="s">
        <v>4549</v>
      </c>
      <c r="E2136" s="16" t="s">
        <v>52</v>
      </c>
      <c r="F2136" s="13" t="s">
        <v>4581</v>
      </c>
      <c r="G2136" s="13" t="s">
        <v>4582</v>
      </c>
      <c r="H2136" s="13" t="s">
        <v>4583</v>
      </c>
      <c r="I2136" s="13" t="s">
        <v>63</v>
      </c>
      <c r="J2136" s="17" t="s">
        <v>71</v>
      </c>
      <c r="K2136" s="17" t="s">
        <v>58</v>
      </c>
      <c r="L2136" s="18" t="s">
        <v>52</v>
      </c>
      <c r="M2136" s="19">
        <v>58.0</v>
      </c>
      <c r="N2136" s="19">
        <v>31.0</v>
      </c>
    </row>
    <row r="2137">
      <c r="A2137" s="12">
        <v>2135.0</v>
      </c>
      <c r="B2137" s="13" t="s">
        <v>68</v>
      </c>
      <c r="C2137" s="14">
        <v>25.0</v>
      </c>
      <c r="D2137" s="15" t="s">
        <v>4549</v>
      </c>
      <c r="E2137" s="16" t="s">
        <v>52</v>
      </c>
      <c r="F2137" s="13" t="s">
        <v>3351</v>
      </c>
      <c r="G2137" s="13" t="s">
        <v>61</v>
      </c>
      <c r="H2137" s="13" t="s">
        <v>4584</v>
      </c>
      <c r="I2137" s="13" t="s">
        <v>63</v>
      </c>
      <c r="J2137" s="17" t="s">
        <v>71</v>
      </c>
      <c r="K2137" s="17" t="s">
        <v>58</v>
      </c>
      <c r="L2137" s="18" t="s">
        <v>52</v>
      </c>
      <c r="M2137" s="19">
        <v>58.0</v>
      </c>
      <c r="N2137" s="19">
        <v>31.0</v>
      </c>
    </row>
    <row r="2138">
      <c r="A2138" s="12">
        <v>2136.0</v>
      </c>
      <c r="B2138" s="13" t="s">
        <v>68</v>
      </c>
      <c r="C2138" s="14">
        <v>26.0</v>
      </c>
      <c r="D2138" s="15" t="s">
        <v>4549</v>
      </c>
      <c r="E2138" s="16" t="s">
        <v>52</v>
      </c>
      <c r="F2138" s="13" t="s">
        <v>2024</v>
      </c>
      <c r="G2138" s="13" t="s">
        <v>61</v>
      </c>
      <c r="H2138" s="13" t="s">
        <v>4585</v>
      </c>
      <c r="I2138" s="13" t="s">
        <v>63</v>
      </c>
      <c r="J2138" s="17" t="s">
        <v>71</v>
      </c>
      <c r="K2138" s="17" t="s">
        <v>58</v>
      </c>
      <c r="L2138" s="18" t="s">
        <v>52</v>
      </c>
      <c r="M2138" s="19">
        <v>58.0</v>
      </c>
      <c r="N2138" s="19">
        <v>31.0</v>
      </c>
    </row>
    <row r="2139">
      <c r="A2139" s="12">
        <v>2137.0</v>
      </c>
      <c r="B2139" s="13" t="s">
        <v>68</v>
      </c>
      <c r="C2139" s="14">
        <v>27.0</v>
      </c>
      <c r="D2139" s="15" t="s">
        <v>4549</v>
      </c>
      <c r="E2139" s="16" t="s">
        <v>52</v>
      </c>
      <c r="F2139" s="13" t="s">
        <v>53</v>
      </c>
      <c r="G2139" s="13" t="s">
        <v>54</v>
      </c>
      <c r="H2139" s="13" t="s">
        <v>4586</v>
      </c>
      <c r="I2139" s="13" t="s">
        <v>63</v>
      </c>
      <c r="J2139" s="17" t="s">
        <v>71</v>
      </c>
      <c r="K2139" s="17" t="s">
        <v>58</v>
      </c>
      <c r="L2139" s="18" t="s">
        <v>52</v>
      </c>
      <c r="M2139" s="19">
        <v>58.0</v>
      </c>
      <c r="N2139" s="19">
        <v>31.0</v>
      </c>
    </row>
    <row r="2140">
      <c r="A2140" s="12">
        <v>2138.0</v>
      </c>
      <c r="B2140" s="13" t="s">
        <v>68</v>
      </c>
      <c r="C2140" s="14">
        <v>28.0</v>
      </c>
      <c r="D2140" s="15" t="s">
        <v>4549</v>
      </c>
      <c r="E2140" s="16" t="s">
        <v>52</v>
      </c>
      <c r="F2140" s="13" t="s">
        <v>4587</v>
      </c>
      <c r="G2140" s="13" t="s">
        <v>61</v>
      </c>
      <c r="H2140" s="13" t="s">
        <v>4588</v>
      </c>
      <c r="I2140" s="13" t="s">
        <v>63</v>
      </c>
      <c r="J2140" s="17" t="s">
        <v>71</v>
      </c>
      <c r="K2140" s="17" t="s">
        <v>58</v>
      </c>
      <c r="L2140" s="18" t="s">
        <v>52</v>
      </c>
      <c r="M2140" s="19">
        <v>58.0</v>
      </c>
      <c r="N2140" s="19">
        <v>31.0</v>
      </c>
    </row>
    <row r="2141">
      <c r="A2141" s="12">
        <v>2139.0</v>
      </c>
      <c r="B2141" s="13" t="s">
        <v>68</v>
      </c>
      <c r="C2141" s="14">
        <v>29.0</v>
      </c>
      <c r="D2141" s="15" t="s">
        <v>4549</v>
      </c>
      <c r="E2141" s="16" t="s">
        <v>52</v>
      </c>
      <c r="F2141" s="13" t="s">
        <v>2535</v>
      </c>
      <c r="G2141" s="13" t="s">
        <v>4589</v>
      </c>
      <c r="H2141" s="13" t="s">
        <v>4590</v>
      </c>
      <c r="I2141" s="13" t="s">
        <v>63</v>
      </c>
      <c r="J2141" s="17" t="s">
        <v>71</v>
      </c>
      <c r="K2141" s="17" t="s">
        <v>58</v>
      </c>
      <c r="L2141" s="18" t="s">
        <v>52</v>
      </c>
      <c r="M2141" s="19">
        <v>58.0</v>
      </c>
      <c r="N2141" s="19">
        <v>31.0</v>
      </c>
    </row>
    <row r="2142">
      <c r="A2142" s="12">
        <v>2140.0</v>
      </c>
      <c r="B2142" s="13" t="s">
        <v>68</v>
      </c>
      <c r="C2142" s="14">
        <v>30.0</v>
      </c>
      <c r="D2142" s="15" t="s">
        <v>4549</v>
      </c>
      <c r="E2142" s="16" t="s">
        <v>52</v>
      </c>
      <c r="F2142" s="13" t="s">
        <v>4592</v>
      </c>
      <c r="G2142" s="13" t="s">
        <v>61</v>
      </c>
      <c r="H2142" s="13" t="s">
        <v>4593</v>
      </c>
      <c r="I2142" s="13" t="s">
        <v>63</v>
      </c>
      <c r="J2142" s="17" t="s">
        <v>71</v>
      </c>
      <c r="K2142" s="17" t="s">
        <v>58</v>
      </c>
      <c r="L2142" s="18" t="s">
        <v>52</v>
      </c>
      <c r="M2142" s="19">
        <v>58.0</v>
      </c>
      <c r="N2142" s="19">
        <v>31.0</v>
      </c>
    </row>
    <row r="2143">
      <c r="A2143" s="12">
        <v>2141.0</v>
      </c>
      <c r="B2143" s="13" t="s">
        <v>4576</v>
      </c>
      <c r="C2143" s="14">
        <v>1.0</v>
      </c>
      <c r="D2143" s="15" t="s">
        <v>4594</v>
      </c>
      <c r="E2143" s="16" t="s">
        <v>52</v>
      </c>
      <c r="F2143" s="13" t="s">
        <v>2804</v>
      </c>
      <c r="G2143" s="13" t="s">
        <v>3426</v>
      </c>
      <c r="H2143" s="13" t="s">
        <v>4596</v>
      </c>
      <c r="I2143" s="13" t="s">
        <v>63</v>
      </c>
      <c r="J2143" s="17" t="s">
        <v>57</v>
      </c>
      <c r="K2143" s="17" t="s">
        <v>58</v>
      </c>
      <c r="L2143" s="18" t="s">
        <v>52</v>
      </c>
      <c r="M2143" s="19">
        <v>59.0</v>
      </c>
      <c r="N2143" s="19">
        <v>11.0</v>
      </c>
    </row>
    <row r="2144">
      <c r="A2144" s="12">
        <v>2142.0</v>
      </c>
      <c r="B2144" s="13" t="s">
        <v>4576</v>
      </c>
      <c r="C2144" s="14">
        <v>2.0</v>
      </c>
      <c r="D2144" s="15" t="s">
        <v>4597</v>
      </c>
      <c r="E2144" s="16" t="s">
        <v>52</v>
      </c>
      <c r="F2144" s="13" t="s">
        <v>4526</v>
      </c>
      <c r="G2144" s="13" t="s">
        <v>4527</v>
      </c>
      <c r="H2144" s="13" t="s">
        <v>4598</v>
      </c>
      <c r="I2144" s="13" t="s">
        <v>63</v>
      </c>
      <c r="J2144" s="17" t="s">
        <v>57</v>
      </c>
      <c r="K2144" s="17" t="s">
        <v>58</v>
      </c>
      <c r="L2144" s="18" t="s">
        <v>52</v>
      </c>
      <c r="M2144" s="19">
        <v>59.0</v>
      </c>
      <c r="N2144" s="19">
        <v>11.0</v>
      </c>
    </row>
    <row r="2145">
      <c r="A2145" s="12">
        <v>2143.0</v>
      </c>
      <c r="B2145" s="13" t="s">
        <v>4576</v>
      </c>
      <c r="C2145" s="14">
        <v>3.0</v>
      </c>
      <c r="D2145" s="15" t="s">
        <v>4594</v>
      </c>
      <c r="E2145" s="16" t="s">
        <v>52</v>
      </c>
      <c r="F2145" s="13" t="s">
        <v>4587</v>
      </c>
      <c r="G2145" s="13" t="s">
        <v>4600</v>
      </c>
      <c r="H2145" s="13" t="s">
        <v>4601</v>
      </c>
      <c r="I2145" s="13" t="s">
        <v>63</v>
      </c>
      <c r="J2145" s="17" t="s">
        <v>67</v>
      </c>
      <c r="K2145" s="17" t="s">
        <v>58</v>
      </c>
      <c r="L2145" s="18" t="s">
        <v>52</v>
      </c>
      <c r="M2145" s="19">
        <v>59.0</v>
      </c>
      <c r="N2145" s="19">
        <v>21.0</v>
      </c>
    </row>
    <row r="2146">
      <c r="A2146" s="12">
        <v>2144.0</v>
      </c>
      <c r="B2146" s="13" t="s">
        <v>4576</v>
      </c>
      <c r="C2146" s="14">
        <v>4.0</v>
      </c>
      <c r="D2146" s="15" t="s">
        <v>4597</v>
      </c>
      <c r="E2146" s="16" t="s">
        <v>52</v>
      </c>
      <c r="F2146" s="13" t="s">
        <v>2787</v>
      </c>
      <c r="G2146" s="13" t="s">
        <v>2788</v>
      </c>
      <c r="H2146" s="13" t="s">
        <v>4602</v>
      </c>
      <c r="I2146" s="13" t="s">
        <v>63</v>
      </c>
      <c r="J2146" s="17" t="s">
        <v>67</v>
      </c>
      <c r="K2146" s="17" t="s">
        <v>58</v>
      </c>
      <c r="L2146" s="18" t="s">
        <v>52</v>
      </c>
      <c r="M2146" s="19">
        <v>59.0</v>
      </c>
      <c r="N2146" s="19">
        <v>21.0</v>
      </c>
    </row>
    <row r="2147">
      <c r="A2147" s="12">
        <v>2145.0</v>
      </c>
      <c r="B2147" s="13" t="s">
        <v>4576</v>
      </c>
      <c r="C2147" s="14">
        <v>5.0</v>
      </c>
      <c r="D2147" s="15" t="s">
        <v>4594</v>
      </c>
      <c r="E2147" s="16" t="s">
        <v>52</v>
      </c>
      <c r="F2147" s="13" t="s">
        <v>4604</v>
      </c>
      <c r="G2147" s="13" t="s">
        <v>4605</v>
      </c>
      <c r="H2147" s="13" t="s">
        <v>4606</v>
      </c>
      <c r="I2147" s="13" t="s">
        <v>63</v>
      </c>
      <c r="J2147" s="17" t="s">
        <v>71</v>
      </c>
      <c r="K2147" s="17" t="s">
        <v>58</v>
      </c>
      <c r="L2147" s="18" t="s">
        <v>52</v>
      </c>
      <c r="M2147" s="19">
        <v>59.0</v>
      </c>
      <c r="N2147" s="19">
        <v>31.0</v>
      </c>
    </row>
    <row r="2148">
      <c r="A2148" s="12">
        <v>2146.0</v>
      </c>
      <c r="B2148" s="13" t="s">
        <v>4576</v>
      </c>
      <c r="C2148" s="14">
        <v>6.0</v>
      </c>
      <c r="D2148" s="15" t="s">
        <v>4594</v>
      </c>
      <c r="E2148" s="16" t="s">
        <v>52</v>
      </c>
      <c r="F2148" s="13" t="s">
        <v>2517</v>
      </c>
      <c r="G2148" s="13" t="s">
        <v>4608</v>
      </c>
      <c r="H2148" s="13" t="s">
        <v>4609</v>
      </c>
      <c r="I2148" s="13" t="s">
        <v>63</v>
      </c>
      <c r="J2148" s="17" t="s">
        <v>71</v>
      </c>
      <c r="K2148" s="17" t="s">
        <v>58</v>
      </c>
      <c r="L2148" s="18" t="s">
        <v>52</v>
      </c>
      <c r="M2148" s="19">
        <v>59.0</v>
      </c>
      <c r="N2148" s="19">
        <v>31.0</v>
      </c>
    </row>
    <row r="2149">
      <c r="A2149" s="12">
        <v>2147.0</v>
      </c>
      <c r="B2149" s="13" t="s">
        <v>4576</v>
      </c>
      <c r="C2149" s="14">
        <v>7.0</v>
      </c>
      <c r="D2149" s="15" t="s">
        <v>4594</v>
      </c>
      <c r="E2149" s="16" t="s">
        <v>52</v>
      </c>
      <c r="F2149" s="13" t="s">
        <v>60</v>
      </c>
      <c r="G2149" s="13" t="s">
        <v>4489</v>
      </c>
      <c r="H2149" s="13" t="s">
        <v>4610</v>
      </c>
      <c r="I2149" s="13" t="s">
        <v>63</v>
      </c>
      <c r="J2149" s="17" t="s">
        <v>71</v>
      </c>
      <c r="K2149" s="17" t="s">
        <v>58</v>
      </c>
      <c r="L2149" s="18" t="s">
        <v>52</v>
      </c>
      <c r="M2149" s="19">
        <v>59.0</v>
      </c>
      <c r="N2149" s="19">
        <v>31.0</v>
      </c>
    </row>
    <row r="2150">
      <c r="A2150" s="12">
        <v>2148.0</v>
      </c>
      <c r="B2150" s="13" t="s">
        <v>4576</v>
      </c>
      <c r="C2150" s="14">
        <v>8.0</v>
      </c>
      <c r="D2150" s="15" t="s">
        <v>4594</v>
      </c>
      <c r="E2150" s="16" t="s">
        <v>52</v>
      </c>
      <c r="F2150" s="13" t="s">
        <v>4581</v>
      </c>
      <c r="G2150" s="13" t="s">
        <v>4582</v>
      </c>
      <c r="H2150" s="13" t="s">
        <v>4611</v>
      </c>
      <c r="I2150" s="13" t="s">
        <v>63</v>
      </c>
      <c r="J2150" s="17" t="s">
        <v>71</v>
      </c>
      <c r="K2150" s="17" t="s">
        <v>58</v>
      </c>
      <c r="L2150" s="18" t="s">
        <v>52</v>
      </c>
      <c r="M2150" s="19">
        <v>59.0</v>
      </c>
      <c r="N2150" s="19">
        <v>31.0</v>
      </c>
    </row>
    <row r="2151">
      <c r="A2151" s="12">
        <v>2149.0</v>
      </c>
      <c r="B2151" s="13" t="s">
        <v>4576</v>
      </c>
      <c r="C2151" s="14">
        <v>9.0</v>
      </c>
      <c r="D2151" s="15" t="s">
        <v>4594</v>
      </c>
      <c r="E2151" s="16" t="s">
        <v>52</v>
      </c>
      <c r="F2151" s="13" t="s">
        <v>104</v>
      </c>
      <c r="G2151" s="13" t="s">
        <v>4612</v>
      </c>
      <c r="H2151" s="13" t="s">
        <v>4611</v>
      </c>
      <c r="I2151" s="13" t="s">
        <v>63</v>
      </c>
      <c r="J2151" s="17" t="s">
        <v>71</v>
      </c>
      <c r="K2151" s="17" t="s">
        <v>58</v>
      </c>
      <c r="L2151" s="18" t="s">
        <v>52</v>
      </c>
      <c r="M2151" s="19">
        <v>59.0</v>
      </c>
      <c r="N2151" s="19">
        <v>31.0</v>
      </c>
    </row>
    <row r="2152">
      <c r="A2152" s="12">
        <v>2150.0</v>
      </c>
      <c r="B2152" s="13" t="s">
        <v>4576</v>
      </c>
      <c r="C2152" s="14">
        <v>10.0</v>
      </c>
      <c r="D2152" s="15" t="s">
        <v>4594</v>
      </c>
      <c r="E2152" s="16" t="s">
        <v>52</v>
      </c>
      <c r="F2152" s="13" t="s">
        <v>186</v>
      </c>
      <c r="G2152" s="13" t="s">
        <v>4613</v>
      </c>
      <c r="H2152" s="13" t="s">
        <v>4606</v>
      </c>
      <c r="I2152" s="13" t="s">
        <v>63</v>
      </c>
      <c r="J2152" s="17" t="s">
        <v>71</v>
      </c>
      <c r="K2152" s="17" t="s">
        <v>58</v>
      </c>
      <c r="L2152" s="18" t="s">
        <v>52</v>
      </c>
      <c r="M2152" s="19">
        <v>59.0</v>
      </c>
      <c r="N2152" s="19">
        <v>31.0</v>
      </c>
    </row>
    <row r="2153">
      <c r="A2153" s="12">
        <v>2151.0</v>
      </c>
      <c r="B2153" s="13" t="s">
        <v>4576</v>
      </c>
      <c r="C2153" s="14">
        <v>11.0</v>
      </c>
      <c r="D2153" s="15" t="s">
        <v>4594</v>
      </c>
      <c r="E2153" s="16" t="s">
        <v>52</v>
      </c>
      <c r="F2153" s="13" t="s">
        <v>4112</v>
      </c>
      <c r="G2153" s="13" t="s">
        <v>61</v>
      </c>
      <c r="H2153" s="13" t="s">
        <v>4552</v>
      </c>
      <c r="I2153" s="13" t="s">
        <v>63</v>
      </c>
      <c r="J2153" s="17" t="s">
        <v>71</v>
      </c>
      <c r="K2153" s="17" t="s">
        <v>58</v>
      </c>
      <c r="L2153" s="18" t="s">
        <v>52</v>
      </c>
      <c r="M2153" s="19">
        <v>59.0</v>
      </c>
      <c r="N2153" s="19">
        <v>31.0</v>
      </c>
    </row>
    <row r="2154">
      <c r="A2154" s="12">
        <v>2152.0</v>
      </c>
      <c r="B2154" s="13" t="s">
        <v>4576</v>
      </c>
      <c r="C2154" s="14">
        <v>12.0</v>
      </c>
      <c r="D2154" s="15" t="s">
        <v>4594</v>
      </c>
      <c r="E2154" s="16" t="s">
        <v>52</v>
      </c>
      <c r="F2154" s="13" t="s">
        <v>2262</v>
      </c>
      <c r="G2154" s="13" t="s">
        <v>4614</v>
      </c>
      <c r="H2154" s="13" t="s">
        <v>4615</v>
      </c>
      <c r="I2154" s="13" t="s">
        <v>63</v>
      </c>
      <c r="J2154" s="17" t="s">
        <v>71</v>
      </c>
      <c r="K2154" s="17" t="s">
        <v>58</v>
      </c>
      <c r="L2154" s="18" t="s">
        <v>52</v>
      </c>
      <c r="M2154" s="19">
        <v>59.0</v>
      </c>
      <c r="N2154" s="19">
        <v>31.0</v>
      </c>
    </row>
    <row r="2155">
      <c r="A2155" s="12">
        <v>2153.0</v>
      </c>
      <c r="B2155" s="13" t="s">
        <v>4576</v>
      </c>
      <c r="C2155" s="14">
        <v>13.0</v>
      </c>
      <c r="D2155" s="15" t="s">
        <v>4594</v>
      </c>
      <c r="E2155" s="16" t="s">
        <v>52</v>
      </c>
      <c r="F2155" s="13" t="s">
        <v>1704</v>
      </c>
      <c r="G2155" s="13" t="s">
        <v>4617</v>
      </c>
      <c r="H2155" s="13" t="s">
        <v>4618</v>
      </c>
      <c r="I2155" s="13" t="s">
        <v>63</v>
      </c>
      <c r="J2155" s="17" t="s">
        <v>71</v>
      </c>
      <c r="K2155" s="17" t="s">
        <v>58</v>
      </c>
      <c r="L2155" s="18" t="s">
        <v>52</v>
      </c>
      <c r="M2155" s="19">
        <v>59.0</v>
      </c>
      <c r="N2155" s="19">
        <v>31.0</v>
      </c>
    </row>
    <row r="2156">
      <c r="A2156" s="12">
        <v>2154.0</v>
      </c>
      <c r="B2156" s="13" t="s">
        <v>4576</v>
      </c>
      <c r="C2156" s="14">
        <v>14.0</v>
      </c>
      <c r="D2156" s="15" t="s">
        <v>4594</v>
      </c>
      <c r="E2156" s="16" t="s">
        <v>52</v>
      </c>
      <c r="F2156" s="13" t="s">
        <v>2618</v>
      </c>
      <c r="G2156" s="13" t="s">
        <v>4619</v>
      </c>
      <c r="H2156" s="13" t="s">
        <v>4620</v>
      </c>
      <c r="I2156" s="13" t="s">
        <v>63</v>
      </c>
      <c r="J2156" s="17" t="s">
        <v>71</v>
      </c>
      <c r="K2156" s="17" t="s">
        <v>58</v>
      </c>
      <c r="L2156" s="18" t="s">
        <v>52</v>
      </c>
      <c r="M2156" s="19">
        <v>59.0</v>
      </c>
      <c r="N2156" s="19">
        <v>31.0</v>
      </c>
    </row>
    <row r="2157">
      <c r="A2157" s="12">
        <v>2155.0</v>
      </c>
      <c r="B2157" s="13" t="s">
        <v>4576</v>
      </c>
      <c r="C2157" s="14">
        <v>15.0</v>
      </c>
      <c r="D2157" s="15" t="s">
        <v>4594</v>
      </c>
      <c r="E2157" s="16" t="s">
        <v>52</v>
      </c>
      <c r="F2157" s="13" t="s">
        <v>206</v>
      </c>
      <c r="G2157" s="13" t="s">
        <v>4621</v>
      </c>
      <c r="H2157" s="13" t="s">
        <v>4606</v>
      </c>
      <c r="I2157" s="13" t="s">
        <v>63</v>
      </c>
      <c r="J2157" s="17" t="s">
        <v>71</v>
      </c>
      <c r="K2157" s="17" t="s">
        <v>58</v>
      </c>
      <c r="L2157" s="18" t="s">
        <v>52</v>
      </c>
      <c r="M2157" s="19">
        <v>59.0</v>
      </c>
      <c r="N2157" s="19">
        <v>31.0</v>
      </c>
    </row>
    <row r="2158">
      <c r="A2158" s="12">
        <v>2156.0</v>
      </c>
      <c r="B2158" s="13" t="s">
        <v>4576</v>
      </c>
      <c r="C2158" s="14">
        <v>16.0</v>
      </c>
      <c r="D2158" s="15" t="s">
        <v>4594</v>
      </c>
      <c r="E2158" s="16" t="s">
        <v>52</v>
      </c>
      <c r="F2158" s="13" t="s">
        <v>4505</v>
      </c>
      <c r="G2158" s="13" t="s">
        <v>4622</v>
      </c>
      <c r="H2158" s="13" t="s">
        <v>4623</v>
      </c>
      <c r="I2158" s="13" t="s">
        <v>63</v>
      </c>
      <c r="J2158" s="17" t="s">
        <v>71</v>
      </c>
      <c r="K2158" s="17" t="s">
        <v>58</v>
      </c>
      <c r="L2158" s="18" t="s">
        <v>52</v>
      </c>
      <c r="M2158" s="19">
        <v>59.0</v>
      </c>
      <c r="N2158" s="19">
        <v>31.0</v>
      </c>
    </row>
    <row r="2159">
      <c r="A2159" s="12">
        <v>2157.0</v>
      </c>
      <c r="B2159" s="13" t="s">
        <v>4576</v>
      </c>
      <c r="C2159" s="14">
        <v>17.0</v>
      </c>
      <c r="D2159" s="15" t="s">
        <v>4594</v>
      </c>
      <c r="E2159" s="16" t="s">
        <v>52</v>
      </c>
      <c r="F2159" s="13" t="s">
        <v>4570</v>
      </c>
      <c r="G2159" s="13" t="s">
        <v>4624</v>
      </c>
      <c r="H2159" s="13" t="s">
        <v>4625</v>
      </c>
      <c r="I2159" s="13" t="s">
        <v>63</v>
      </c>
      <c r="J2159" s="17" t="s">
        <v>71</v>
      </c>
      <c r="K2159" s="17" t="s">
        <v>58</v>
      </c>
      <c r="L2159" s="18" t="s">
        <v>52</v>
      </c>
      <c r="M2159" s="19">
        <v>59.0</v>
      </c>
      <c r="N2159" s="19">
        <v>31.0</v>
      </c>
    </row>
    <row r="2160">
      <c r="A2160" s="12">
        <v>2158.0</v>
      </c>
      <c r="B2160" s="13" t="s">
        <v>4576</v>
      </c>
      <c r="C2160" s="14">
        <v>18.0</v>
      </c>
      <c r="D2160" s="15" t="s">
        <v>4594</v>
      </c>
      <c r="E2160" s="16" t="s">
        <v>52</v>
      </c>
      <c r="F2160" s="13" t="s">
        <v>4626</v>
      </c>
      <c r="G2160" s="13" t="s">
        <v>61</v>
      </c>
      <c r="H2160" s="13" t="s">
        <v>4627</v>
      </c>
      <c r="I2160" s="13" t="s">
        <v>63</v>
      </c>
      <c r="J2160" s="17" t="s">
        <v>71</v>
      </c>
      <c r="K2160" s="17" t="s">
        <v>58</v>
      </c>
      <c r="L2160" s="18" t="s">
        <v>52</v>
      </c>
      <c r="M2160" s="19">
        <v>59.0</v>
      </c>
      <c r="N2160" s="19">
        <v>31.0</v>
      </c>
    </row>
    <row r="2161">
      <c r="A2161" s="12">
        <v>2159.0</v>
      </c>
      <c r="B2161" s="13" t="s">
        <v>4576</v>
      </c>
      <c r="C2161" s="14">
        <v>19.0</v>
      </c>
      <c r="D2161" s="15" t="s">
        <v>4628</v>
      </c>
      <c r="E2161" s="16" t="s">
        <v>52</v>
      </c>
      <c r="F2161" s="13" t="s">
        <v>68</v>
      </c>
      <c r="G2161" s="13" t="s">
        <v>4629</v>
      </c>
      <c r="H2161" s="13" t="s">
        <v>4630</v>
      </c>
      <c r="I2161" s="13" t="s">
        <v>63</v>
      </c>
      <c r="J2161" s="17" t="s">
        <v>71</v>
      </c>
      <c r="K2161" s="17" t="s">
        <v>58</v>
      </c>
      <c r="L2161" s="18" t="s">
        <v>52</v>
      </c>
      <c r="M2161" s="19">
        <v>59.0</v>
      </c>
      <c r="N2161" s="19">
        <v>31.0</v>
      </c>
    </row>
    <row r="2162">
      <c r="A2162" s="12">
        <v>2160.0</v>
      </c>
      <c r="B2162" s="13" t="s">
        <v>4576</v>
      </c>
      <c r="C2162" s="14">
        <v>20.0</v>
      </c>
      <c r="D2162" s="15" t="s">
        <v>4597</v>
      </c>
      <c r="E2162" s="16" t="s">
        <v>52</v>
      </c>
      <c r="F2162" s="13" t="s">
        <v>4236</v>
      </c>
      <c r="G2162" s="13" t="s">
        <v>4632</v>
      </c>
      <c r="H2162" s="13" t="s">
        <v>4633</v>
      </c>
      <c r="I2162" s="13" t="s">
        <v>63</v>
      </c>
      <c r="J2162" s="17" t="s">
        <v>71</v>
      </c>
      <c r="K2162" s="17" t="s">
        <v>58</v>
      </c>
      <c r="L2162" s="18" t="s">
        <v>52</v>
      </c>
      <c r="M2162" s="19">
        <v>59.0</v>
      </c>
      <c r="N2162" s="19">
        <v>31.0</v>
      </c>
    </row>
    <row r="2163">
      <c r="A2163" s="12">
        <v>2161.0</v>
      </c>
      <c r="B2163" s="13" t="s">
        <v>4576</v>
      </c>
      <c r="C2163" s="14">
        <v>21.0</v>
      </c>
      <c r="D2163" s="15" t="s">
        <v>4597</v>
      </c>
      <c r="E2163" s="16" t="s">
        <v>52</v>
      </c>
      <c r="F2163" s="13" t="s">
        <v>98</v>
      </c>
      <c r="G2163" s="13" t="s">
        <v>99</v>
      </c>
      <c r="H2163" s="13" t="s">
        <v>4635</v>
      </c>
      <c r="I2163" s="13" t="s">
        <v>63</v>
      </c>
      <c r="J2163" s="17" t="s">
        <v>71</v>
      </c>
      <c r="K2163" s="17" t="s">
        <v>58</v>
      </c>
      <c r="L2163" s="18" t="s">
        <v>52</v>
      </c>
      <c r="M2163" s="19">
        <v>59.0</v>
      </c>
      <c r="N2163" s="19">
        <v>31.0</v>
      </c>
    </row>
    <row r="2164">
      <c r="A2164" s="12">
        <v>2162.0</v>
      </c>
      <c r="B2164" s="13" t="s">
        <v>4576</v>
      </c>
      <c r="C2164" s="14">
        <v>22.0</v>
      </c>
      <c r="D2164" s="15" t="s">
        <v>4597</v>
      </c>
      <c r="E2164" s="16" t="s">
        <v>52</v>
      </c>
      <c r="F2164" s="13" t="s">
        <v>1643</v>
      </c>
      <c r="G2164" s="13" t="s">
        <v>4074</v>
      </c>
      <c r="H2164" s="13" t="s">
        <v>4636</v>
      </c>
      <c r="I2164" s="13" t="s">
        <v>63</v>
      </c>
      <c r="J2164" s="17" t="s">
        <v>71</v>
      </c>
      <c r="K2164" s="17" t="s">
        <v>58</v>
      </c>
      <c r="L2164" s="18" t="s">
        <v>52</v>
      </c>
      <c r="M2164" s="19">
        <v>59.0</v>
      </c>
      <c r="N2164" s="19">
        <v>31.0</v>
      </c>
    </row>
    <row r="2165">
      <c r="A2165" s="12">
        <v>2163.0</v>
      </c>
      <c r="B2165" s="13" t="s">
        <v>4576</v>
      </c>
      <c r="C2165" s="14">
        <v>23.0</v>
      </c>
      <c r="D2165" s="15" t="s">
        <v>4597</v>
      </c>
      <c r="E2165" s="16" t="s">
        <v>52</v>
      </c>
      <c r="F2165" s="13" t="s">
        <v>724</v>
      </c>
      <c r="G2165" s="13" t="s">
        <v>1626</v>
      </c>
      <c r="H2165" s="13" t="s">
        <v>4636</v>
      </c>
      <c r="I2165" s="13" t="s">
        <v>63</v>
      </c>
      <c r="J2165" s="17" t="s">
        <v>71</v>
      </c>
      <c r="K2165" s="17" t="s">
        <v>58</v>
      </c>
      <c r="L2165" s="18" t="s">
        <v>52</v>
      </c>
      <c r="M2165" s="19">
        <v>59.0</v>
      </c>
      <c r="N2165" s="19">
        <v>31.0</v>
      </c>
    </row>
    <row r="2166">
      <c r="A2166" s="12">
        <v>2164.0</v>
      </c>
      <c r="B2166" s="13" t="s">
        <v>4576</v>
      </c>
      <c r="C2166" s="14">
        <v>24.0</v>
      </c>
      <c r="D2166" s="15" t="s">
        <v>4597</v>
      </c>
      <c r="E2166" s="16" t="s">
        <v>52</v>
      </c>
      <c r="F2166" s="13" t="s">
        <v>731</v>
      </c>
      <c r="G2166" s="13" t="s">
        <v>4079</v>
      </c>
      <c r="H2166" s="13" t="s">
        <v>4636</v>
      </c>
      <c r="I2166" s="13" t="s">
        <v>63</v>
      </c>
      <c r="J2166" s="17" t="s">
        <v>71</v>
      </c>
      <c r="K2166" s="17" t="s">
        <v>58</v>
      </c>
      <c r="L2166" s="18" t="s">
        <v>52</v>
      </c>
      <c r="M2166" s="19">
        <v>59.0</v>
      </c>
      <c r="N2166" s="19">
        <v>31.0</v>
      </c>
    </row>
    <row r="2167">
      <c r="A2167" s="12">
        <v>2165.0</v>
      </c>
      <c r="B2167" s="13" t="s">
        <v>4576</v>
      </c>
      <c r="C2167" s="14">
        <v>25.0</v>
      </c>
      <c r="D2167" s="15" t="s">
        <v>4597</v>
      </c>
      <c r="E2167" s="16" t="s">
        <v>52</v>
      </c>
      <c r="F2167" s="13" t="s">
        <v>2953</v>
      </c>
      <c r="G2167" s="13" t="s">
        <v>4251</v>
      </c>
      <c r="H2167" s="13" t="s">
        <v>4637</v>
      </c>
      <c r="I2167" s="13" t="s">
        <v>63</v>
      </c>
      <c r="J2167" s="17" t="s">
        <v>71</v>
      </c>
      <c r="K2167" s="17" t="s">
        <v>58</v>
      </c>
      <c r="L2167" s="18" t="s">
        <v>52</v>
      </c>
      <c r="M2167" s="19">
        <v>59.0</v>
      </c>
      <c r="N2167" s="19">
        <v>31.0</v>
      </c>
    </row>
    <row r="2168">
      <c r="A2168" s="12">
        <v>2166.0</v>
      </c>
      <c r="B2168" s="13" t="s">
        <v>4576</v>
      </c>
      <c r="C2168" s="14">
        <v>26.0</v>
      </c>
      <c r="D2168" s="15" t="s">
        <v>4638</v>
      </c>
      <c r="E2168" s="16" t="s">
        <v>52</v>
      </c>
      <c r="F2168" s="13" t="s">
        <v>4553</v>
      </c>
      <c r="G2168" s="13" t="s">
        <v>4554</v>
      </c>
      <c r="H2168" s="13" t="s">
        <v>4555</v>
      </c>
      <c r="I2168" s="13" t="s">
        <v>63</v>
      </c>
      <c r="J2168" s="17" t="s">
        <v>71</v>
      </c>
      <c r="K2168" s="17" t="s">
        <v>58</v>
      </c>
      <c r="L2168" s="18" t="s">
        <v>52</v>
      </c>
      <c r="M2168" s="19">
        <v>59.0</v>
      </c>
      <c r="N2168" s="19">
        <v>31.0</v>
      </c>
    </row>
    <row r="2169">
      <c r="A2169" s="12">
        <v>2167.0</v>
      </c>
      <c r="B2169" s="13" t="s">
        <v>4576</v>
      </c>
      <c r="C2169" s="14">
        <v>27.0</v>
      </c>
      <c r="D2169" s="15" t="s">
        <v>4638</v>
      </c>
      <c r="E2169" s="16" t="s">
        <v>52</v>
      </c>
      <c r="F2169" s="13" t="s">
        <v>4515</v>
      </c>
      <c r="G2169" s="13" t="s">
        <v>4574</v>
      </c>
      <c r="H2169" s="13" t="s">
        <v>4575</v>
      </c>
      <c r="I2169" s="13" t="s">
        <v>63</v>
      </c>
      <c r="J2169" s="17" t="s">
        <v>71</v>
      </c>
      <c r="K2169" s="17" t="s">
        <v>58</v>
      </c>
      <c r="L2169" s="18" t="s">
        <v>52</v>
      </c>
      <c r="M2169" s="19">
        <v>59.0</v>
      </c>
      <c r="N2169" s="19">
        <v>31.0</v>
      </c>
    </row>
    <row r="2170">
      <c r="A2170" s="12">
        <v>2168.0</v>
      </c>
      <c r="B2170" s="13" t="s">
        <v>4576</v>
      </c>
      <c r="C2170" s="14">
        <v>28.0</v>
      </c>
      <c r="D2170" s="15" t="s">
        <v>4638</v>
      </c>
      <c r="E2170" s="16" t="s">
        <v>52</v>
      </c>
      <c r="F2170" s="13" t="s">
        <v>3446</v>
      </c>
      <c r="G2170" s="13" t="s">
        <v>4579</v>
      </c>
      <c r="H2170" s="13" t="s">
        <v>4580</v>
      </c>
      <c r="I2170" s="13" t="s">
        <v>63</v>
      </c>
      <c r="J2170" s="17" t="s">
        <v>71</v>
      </c>
      <c r="K2170" s="17" t="s">
        <v>58</v>
      </c>
      <c r="L2170" s="18" t="s">
        <v>52</v>
      </c>
      <c r="M2170" s="19">
        <v>59.0</v>
      </c>
      <c r="N2170" s="19">
        <v>31.0</v>
      </c>
    </row>
    <row r="2171">
      <c r="A2171" s="12">
        <v>2169.0</v>
      </c>
      <c r="B2171" s="13" t="s">
        <v>4576</v>
      </c>
      <c r="C2171" s="14">
        <v>29.0</v>
      </c>
      <c r="D2171" s="15" t="s">
        <v>4638</v>
      </c>
      <c r="E2171" s="16" t="s">
        <v>52</v>
      </c>
      <c r="F2171" s="13" t="s">
        <v>1522</v>
      </c>
      <c r="G2171" s="13" t="s">
        <v>1909</v>
      </c>
      <c r="H2171" s="13" t="s">
        <v>4639</v>
      </c>
      <c r="I2171" s="13" t="s">
        <v>63</v>
      </c>
      <c r="J2171" s="17" t="s">
        <v>71</v>
      </c>
      <c r="K2171" s="17" t="s">
        <v>58</v>
      </c>
      <c r="L2171" s="18" t="s">
        <v>52</v>
      </c>
      <c r="M2171" s="19">
        <v>59.0</v>
      </c>
      <c r="N2171" s="19">
        <v>31.0</v>
      </c>
    </row>
    <row r="2172">
      <c r="A2172" s="12">
        <v>2170.0</v>
      </c>
      <c r="B2172" s="13" t="s">
        <v>4576</v>
      </c>
      <c r="C2172" s="14">
        <v>30.0</v>
      </c>
      <c r="D2172" s="15" t="s">
        <v>4638</v>
      </c>
      <c r="E2172" s="16" t="s">
        <v>52</v>
      </c>
      <c r="F2172" s="13" t="s">
        <v>413</v>
      </c>
      <c r="G2172" s="13" t="s">
        <v>61</v>
      </c>
      <c r="H2172" s="13" t="s">
        <v>4640</v>
      </c>
      <c r="I2172" s="13" t="s">
        <v>63</v>
      </c>
      <c r="J2172" s="17" t="s">
        <v>71</v>
      </c>
      <c r="K2172" s="17" t="s">
        <v>58</v>
      </c>
      <c r="L2172" s="18" t="s">
        <v>52</v>
      </c>
      <c r="M2172" s="19">
        <v>59.0</v>
      </c>
      <c r="N2172" s="19">
        <v>31.0</v>
      </c>
    </row>
    <row r="2173">
      <c r="A2173" s="12">
        <v>2171.0</v>
      </c>
      <c r="B2173" s="13" t="s">
        <v>1714</v>
      </c>
      <c r="C2173" s="14">
        <v>1.0</v>
      </c>
      <c r="D2173" s="15" t="s">
        <v>4641</v>
      </c>
      <c r="E2173" s="16" t="s">
        <v>221</v>
      </c>
      <c r="F2173" s="13" t="s">
        <v>3453</v>
      </c>
      <c r="G2173" s="13" t="s">
        <v>3454</v>
      </c>
      <c r="H2173" s="13" t="s">
        <v>4642</v>
      </c>
      <c r="I2173" s="13" t="s">
        <v>63</v>
      </c>
      <c r="J2173" s="17" t="s">
        <v>57</v>
      </c>
      <c r="K2173" s="17" t="s">
        <v>58</v>
      </c>
      <c r="L2173" s="18" t="s">
        <v>52</v>
      </c>
      <c r="M2173" s="19">
        <v>60.0</v>
      </c>
      <c r="N2173" s="19">
        <v>11.0</v>
      </c>
    </row>
    <row r="2174">
      <c r="A2174" s="12">
        <v>2172.0</v>
      </c>
      <c r="B2174" s="13" t="s">
        <v>1714</v>
      </c>
      <c r="C2174" s="14">
        <v>2.0</v>
      </c>
      <c r="D2174" s="15" t="s">
        <v>4643</v>
      </c>
      <c r="E2174" s="16" t="s">
        <v>221</v>
      </c>
      <c r="F2174" s="13" t="s">
        <v>3809</v>
      </c>
      <c r="G2174" s="13" t="s">
        <v>4644</v>
      </c>
      <c r="H2174" s="13" t="s">
        <v>4645</v>
      </c>
      <c r="I2174" s="13" t="s">
        <v>56</v>
      </c>
      <c r="J2174" s="17" t="s">
        <v>67</v>
      </c>
      <c r="K2174" s="17" t="s">
        <v>58</v>
      </c>
      <c r="L2174" s="18" t="s">
        <v>52</v>
      </c>
      <c r="M2174" s="19">
        <v>60.0</v>
      </c>
      <c r="N2174" s="19">
        <v>20.0</v>
      </c>
    </row>
    <row r="2175">
      <c r="A2175" s="12">
        <v>2173.0</v>
      </c>
      <c r="B2175" s="13" t="s">
        <v>1714</v>
      </c>
      <c r="C2175" s="14">
        <v>3.0</v>
      </c>
      <c r="D2175" s="15" t="s">
        <v>4643</v>
      </c>
      <c r="E2175" s="16" t="s">
        <v>221</v>
      </c>
      <c r="F2175" s="13" t="s">
        <v>3634</v>
      </c>
      <c r="G2175" s="13" t="s">
        <v>3635</v>
      </c>
      <c r="H2175" s="13" t="s">
        <v>4646</v>
      </c>
      <c r="I2175" s="13" t="s">
        <v>56</v>
      </c>
      <c r="J2175" s="17" t="s">
        <v>67</v>
      </c>
      <c r="K2175" s="17" t="s">
        <v>58</v>
      </c>
      <c r="L2175" s="18" t="s">
        <v>52</v>
      </c>
      <c r="M2175" s="19">
        <v>60.0</v>
      </c>
      <c r="N2175" s="19">
        <v>20.0</v>
      </c>
    </row>
    <row r="2176">
      <c r="A2176" s="12">
        <v>2174.0</v>
      </c>
      <c r="B2176" s="13" t="s">
        <v>1714</v>
      </c>
      <c r="C2176" s="14">
        <v>4.0</v>
      </c>
      <c r="D2176" s="15" t="s">
        <v>4647</v>
      </c>
      <c r="E2176" s="16" t="s">
        <v>221</v>
      </c>
      <c r="F2176" s="13" t="s">
        <v>1255</v>
      </c>
      <c r="G2176" s="13" t="s">
        <v>3531</v>
      </c>
      <c r="H2176" s="13" t="s">
        <v>3532</v>
      </c>
      <c r="I2176" s="13" t="s">
        <v>63</v>
      </c>
      <c r="J2176" s="17" t="s">
        <v>67</v>
      </c>
      <c r="K2176" s="17" t="s">
        <v>58</v>
      </c>
      <c r="L2176" s="18" t="s">
        <v>52</v>
      </c>
      <c r="M2176" s="19">
        <v>60.0</v>
      </c>
      <c r="N2176" s="19">
        <v>21.0</v>
      </c>
    </row>
    <row r="2177">
      <c r="A2177" s="12">
        <v>2175.0</v>
      </c>
      <c r="B2177" s="13" t="s">
        <v>1714</v>
      </c>
      <c r="C2177" s="14">
        <v>5.0</v>
      </c>
      <c r="D2177" s="15" t="s">
        <v>4643</v>
      </c>
      <c r="E2177" s="16" t="s">
        <v>221</v>
      </c>
      <c r="F2177" s="13" t="s">
        <v>4452</v>
      </c>
      <c r="G2177" s="13" t="s">
        <v>4649</v>
      </c>
      <c r="H2177" s="13" t="s">
        <v>4650</v>
      </c>
      <c r="I2177" s="13" t="s">
        <v>56</v>
      </c>
      <c r="J2177" s="17" t="s">
        <v>71</v>
      </c>
      <c r="K2177" s="17" t="s">
        <v>58</v>
      </c>
      <c r="L2177" s="18" t="s">
        <v>52</v>
      </c>
      <c r="M2177" s="19">
        <v>60.0</v>
      </c>
      <c r="N2177" s="19">
        <v>30.0</v>
      </c>
    </row>
    <row r="2178">
      <c r="A2178" s="12">
        <v>2176.0</v>
      </c>
      <c r="B2178" s="13" t="s">
        <v>1714</v>
      </c>
      <c r="C2178" s="14">
        <v>6.0</v>
      </c>
      <c r="D2178" s="15" t="s">
        <v>4643</v>
      </c>
      <c r="E2178" s="16" t="s">
        <v>221</v>
      </c>
      <c r="F2178" s="13" t="s">
        <v>4500</v>
      </c>
      <c r="G2178" s="13" t="s">
        <v>61</v>
      </c>
      <c r="H2178" s="13" t="s">
        <v>4651</v>
      </c>
      <c r="I2178" s="13" t="s">
        <v>56</v>
      </c>
      <c r="J2178" s="17" t="s">
        <v>71</v>
      </c>
      <c r="K2178" s="17" t="s">
        <v>58</v>
      </c>
      <c r="L2178" s="18" t="s">
        <v>52</v>
      </c>
      <c r="M2178" s="19">
        <v>60.0</v>
      </c>
      <c r="N2178" s="19">
        <v>30.0</v>
      </c>
    </row>
    <row r="2179">
      <c r="A2179" s="12">
        <v>2177.0</v>
      </c>
      <c r="B2179" s="13" t="s">
        <v>1714</v>
      </c>
      <c r="C2179" s="14">
        <v>7.0</v>
      </c>
      <c r="D2179" s="15" t="s">
        <v>4652</v>
      </c>
      <c r="E2179" s="16" t="s">
        <v>221</v>
      </c>
      <c r="F2179" s="13" t="s">
        <v>894</v>
      </c>
      <c r="G2179" s="13" t="s">
        <v>3510</v>
      </c>
      <c r="H2179" s="13" t="s">
        <v>3511</v>
      </c>
      <c r="I2179" s="13" t="s">
        <v>56</v>
      </c>
      <c r="J2179" s="17" t="s">
        <v>71</v>
      </c>
      <c r="K2179" s="17" t="s">
        <v>58</v>
      </c>
      <c r="L2179" s="18" t="s">
        <v>52</v>
      </c>
      <c r="M2179" s="19">
        <v>60.0</v>
      </c>
      <c r="N2179" s="19">
        <v>30.0</v>
      </c>
    </row>
    <row r="2180">
      <c r="A2180" s="12">
        <v>2178.0</v>
      </c>
      <c r="B2180" s="13" t="s">
        <v>1714</v>
      </c>
      <c r="C2180" s="14">
        <v>8.0</v>
      </c>
      <c r="D2180" s="15" t="s">
        <v>4647</v>
      </c>
      <c r="E2180" s="16" t="s">
        <v>221</v>
      </c>
      <c r="F2180" s="13" t="s">
        <v>3498</v>
      </c>
      <c r="G2180" s="13" t="s">
        <v>3499</v>
      </c>
      <c r="H2180" s="13" t="s">
        <v>4653</v>
      </c>
      <c r="I2180" s="13" t="s">
        <v>63</v>
      </c>
      <c r="J2180" s="17" t="s">
        <v>71</v>
      </c>
      <c r="K2180" s="17" t="s">
        <v>58</v>
      </c>
      <c r="L2180" s="18" t="s">
        <v>52</v>
      </c>
      <c r="M2180" s="19">
        <v>60.0</v>
      </c>
      <c r="N2180" s="19">
        <v>31.0</v>
      </c>
    </row>
    <row r="2181">
      <c r="A2181" s="12">
        <v>2179.0</v>
      </c>
      <c r="B2181" s="13" t="s">
        <v>1714</v>
      </c>
      <c r="C2181" s="14">
        <v>9.0</v>
      </c>
      <c r="D2181" s="15" t="s">
        <v>4647</v>
      </c>
      <c r="E2181" s="16" t="s">
        <v>221</v>
      </c>
      <c r="F2181" s="13" t="s">
        <v>3502</v>
      </c>
      <c r="G2181" s="13" t="s">
        <v>4655</v>
      </c>
      <c r="H2181" s="13" t="s">
        <v>4656</v>
      </c>
      <c r="I2181" s="13" t="s">
        <v>63</v>
      </c>
      <c r="J2181" s="17" t="s">
        <v>71</v>
      </c>
      <c r="K2181" s="17" t="s">
        <v>58</v>
      </c>
      <c r="L2181" s="18" t="s">
        <v>52</v>
      </c>
      <c r="M2181" s="19">
        <v>60.0</v>
      </c>
      <c r="N2181" s="19">
        <v>31.0</v>
      </c>
    </row>
    <row r="2182">
      <c r="A2182" s="12">
        <v>2180.0</v>
      </c>
      <c r="B2182" s="13" t="s">
        <v>1714</v>
      </c>
      <c r="C2182" s="14">
        <v>10.0</v>
      </c>
      <c r="D2182" s="15" t="s">
        <v>4647</v>
      </c>
      <c r="E2182" s="16" t="s">
        <v>221</v>
      </c>
      <c r="F2182" s="13" t="s">
        <v>3467</v>
      </c>
      <c r="G2182" s="13" t="s">
        <v>4658</v>
      </c>
      <c r="H2182" s="13" t="s">
        <v>4659</v>
      </c>
      <c r="I2182" s="13" t="s">
        <v>63</v>
      </c>
      <c r="J2182" s="17" t="s">
        <v>71</v>
      </c>
      <c r="K2182" s="17" t="s">
        <v>58</v>
      </c>
      <c r="L2182" s="18" t="s">
        <v>52</v>
      </c>
      <c r="M2182" s="19">
        <v>60.0</v>
      </c>
      <c r="N2182" s="19">
        <v>31.0</v>
      </c>
    </row>
    <row r="2183">
      <c r="A2183" s="12">
        <v>2181.0</v>
      </c>
      <c r="B2183" s="13" t="s">
        <v>1714</v>
      </c>
      <c r="C2183" s="14">
        <v>11.0</v>
      </c>
      <c r="D2183" s="15" t="s">
        <v>4647</v>
      </c>
      <c r="E2183" s="16" t="s">
        <v>221</v>
      </c>
      <c r="F2183" s="13" t="s">
        <v>1174</v>
      </c>
      <c r="G2183" s="13" t="s">
        <v>3725</v>
      </c>
      <c r="H2183" s="13" t="s">
        <v>4660</v>
      </c>
      <c r="I2183" s="13" t="s">
        <v>63</v>
      </c>
      <c r="J2183" s="17" t="s">
        <v>71</v>
      </c>
      <c r="K2183" s="17" t="s">
        <v>58</v>
      </c>
      <c r="L2183" s="18" t="s">
        <v>52</v>
      </c>
      <c r="M2183" s="19">
        <v>60.0</v>
      </c>
      <c r="N2183" s="19">
        <v>31.0</v>
      </c>
    </row>
    <row r="2184">
      <c r="A2184" s="12">
        <v>2182.0</v>
      </c>
      <c r="B2184" s="13" t="s">
        <v>1714</v>
      </c>
      <c r="C2184" s="14">
        <v>12.0</v>
      </c>
      <c r="D2184" s="15" t="s">
        <v>4647</v>
      </c>
      <c r="E2184" s="16" t="s">
        <v>221</v>
      </c>
      <c r="F2184" s="13" t="s">
        <v>4661</v>
      </c>
      <c r="G2184" s="13" t="s">
        <v>4662</v>
      </c>
      <c r="H2184" s="13" t="s">
        <v>4663</v>
      </c>
      <c r="I2184" s="13" t="s">
        <v>63</v>
      </c>
      <c r="J2184" s="17" t="s">
        <v>71</v>
      </c>
      <c r="K2184" s="17" t="s">
        <v>58</v>
      </c>
      <c r="L2184" s="18" t="s">
        <v>52</v>
      </c>
      <c r="M2184" s="19">
        <v>60.0</v>
      </c>
      <c r="N2184" s="19">
        <v>31.0</v>
      </c>
    </row>
    <row r="2185">
      <c r="A2185" s="12">
        <v>2183.0</v>
      </c>
      <c r="B2185" s="13" t="s">
        <v>1714</v>
      </c>
      <c r="C2185" s="14">
        <v>13.0</v>
      </c>
      <c r="D2185" s="15" t="s">
        <v>4647</v>
      </c>
      <c r="E2185" s="16" t="s">
        <v>221</v>
      </c>
      <c r="F2185" s="13" t="s">
        <v>4664</v>
      </c>
      <c r="G2185" s="13" t="s">
        <v>4665</v>
      </c>
      <c r="H2185" s="13" t="s">
        <v>4666</v>
      </c>
      <c r="I2185" s="13" t="s">
        <v>63</v>
      </c>
      <c r="J2185" s="17" t="s">
        <v>71</v>
      </c>
      <c r="K2185" s="17" t="s">
        <v>58</v>
      </c>
      <c r="L2185" s="18" t="s">
        <v>52</v>
      </c>
      <c r="M2185" s="19">
        <v>60.0</v>
      </c>
      <c r="N2185" s="19">
        <v>31.0</v>
      </c>
    </row>
    <row r="2186">
      <c r="A2186" s="12">
        <v>2184.0</v>
      </c>
      <c r="B2186" s="13" t="s">
        <v>1714</v>
      </c>
      <c r="C2186" s="14">
        <v>14.0</v>
      </c>
      <c r="D2186" s="15" t="s">
        <v>4647</v>
      </c>
      <c r="E2186" s="16" t="s">
        <v>221</v>
      </c>
      <c r="F2186" s="13" t="s">
        <v>4667</v>
      </c>
      <c r="G2186" s="13" t="s">
        <v>4668</v>
      </c>
      <c r="H2186" s="13" t="s">
        <v>4669</v>
      </c>
      <c r="I2186" s="13" t="s">
        <v>63</v>
      </c>
      <c r="J2186" s="17" t="s">
        <v>71</v>
      </c>
      <c r="K2186" s="17" t="s">
        <v>58</v>
      </c>
      <c r="L2186" s="18" t="s">
        <v>52</v>
      </c>
      <c r="M2186" s="19">
        <v>60.0</v>
      </c>
      <c r="N2186" s="19">
        <v>31.0</v>
      </c>
    </row>
    <row r="2187">
      <c r="A2187" s="12">
        <v>2185.0</v>
      </c>
      <c r="B2187" s="13" t="s">
        <v>1714</v>
      </c>
      <c r="C2187" s="14">
        <v>15.0</v>
      </c>
      <c r="D2187" s="15" t="s">
        <v>4647</v>
      </c>
      <c r="E2187" s="16" t="s">
        <v>221</v>
      </c>
      <c r="F2187" s="13" t="s">
        <v>4670</v>
      </c>
      <c r="G2187" s="13" t="s">
        <v>4665</v>
      </c>
      <c r="H2187" s="13" t="s">
        <v>4666</v>
      </c>
      <c r="I2187" s="13" t="s">
        <v>63</v>
      </c>
      <c r="J2187" s="17" t="s">
        <v>71</v>
      </c>
      <c r="K2187" s="17" t="s">
        <v>58</v>
      </c>
      <c r="L2187" s="18" t="s">
        <v>52</v>
      </c>
      <c r="M2187" s="19">
        <v>60.0</v>
      </c>
      <c r="N2187" s="19">
        <v>31.0</v>
      </c>
    </row>
    <row r="2188">
      <c r="A2188" s="12">
        <v>2186.0</v>
      </c>
      <c r="B2188" s="13" t="s">
        <v>1714</v>
      </c>
      <c r="C2188" s="14">
        <v>16.0</v>
      </c>
      <c r="D2188" s="15" t="s">
        <v>4647</v>
      </c>
      <c r="E2188" s="16" t="s">
        <v>221</v>
      </c>
      <c r="F2188" s="13" t="s">
        <v>2424</v>
      </c>
      <c r="G2188" s="13" t="s">
        <v>61</v>
      </c>
      <c r="H2188" s="13" t="s">
        <v>4671</v>
      </c>
      <c r="I2188" s="13" t="s">
        <v>63</v>
      </c>
      <c r="J2188" s="17" t="s">
        <v>71</v>
      </c>
      <c r="K2188" s="17" t="s">
        <v>58</v>
      </c>
      <c r="L2188" s="18" t="s">
        <v>52</v>
      </c>
      <c r="M2188" s="19">
        <v>60.0</v>
      </c>
      <c r="N2188" s="19">
        <v>31.0</v>
      </c>
    </row>
    <row r="2189">
      <c r="A2189" s="12">
        <v>2187.0</v>
      </c>
      <c r="B2189" s="13" t="s">
        <v>1714</v>
      </c>
      <c r="C2189" s="14">
        <v>17.0</v>
      </c>
      <c r="D2189" s="15" t="s">
        <v>4647</v>
      </c>
      <c r="E2189" s="16" t="s">
        <v>221</v>
      </c>
      <c r="F2189" s="13" t="s">
        <v>512</v>
      </c>
      <c r="G2189" s="13" t="s">
        <v>4672</v>
      </c>
      <c r="H2189" s="13" t="s">
        <v>4673</v>
      </c>
      <c r="I2189" s="13" t="s">
        <v>63</v>
      </c>
      <c r="J2189" s="17" t="s">
        <v>71</v>
      </c>
      <c r="K2189" s="17" t="s">
        <v>58</v>
      </c>
      <c r="L2189" s="18" t="s">
        <v>52</v>
      </c>
      <c r="M2189" s="19">
        <v>60.0</v>
      </c>
      <c r="N2189" s="19">
        <v>31.0</v>
      </c>
    </row>
    <row r="2190">
      <c r="A2190" s="12">
        <v>2188.0</v>
      </c>
      <c r="B2190" s="13" t="s">
        <v>1714</v>
      </c>
      <c r="C2190" s="14">
        <v>18.0</v>
      </c>
      <c r="D2190" s="15" t="s">
        <v>4647</v>
      </c>
      <c r="E2190" s="16" t="s">
        <v>221</v>
      </c>
      <c r="F2190" s="13" t="s">
        <v>4674</v>
      </c>
      <c r="G2190" s="13" t="s">
        <v>4675</v>
      </c>
      <c r="H2190" s="13" t="s">
        <v>4676</v>
      </c>
      <c r="I2190" s="13" t="s">
        <v>63</v>
      </c>
      <c r="J2190" s="17" t="s">
        <v>71</v>
      </c>
      <c r="K2190" s="17" t="s">
        <v>58</v>
      </c>
      <c r="L2190" s="18" t="s">
        <v>52</v>
      </c>
      <c r="M2190" s="19">
        <v>60.0</v>
      </c>
      <c r="N2190" s="19">
        <v>31.0</v>
      </c>
    </row>
    <row r="2191">
      <c r="A2191" s="12">
        <v>2189.0</v>
      </c>
      <c r="B2191" s="13" t="s">
        <v>1714</v>
      </c>
      <c r="C2191" s="14">
        <v>19.0</v>
      </c>
      <c r="D2191" s="15" t="s">
        <v>4647</v>
      </c>
      <c r="E2191" s="16" t="s">
        <v>221</v>
      </c>
      <c r="F2191" s="13" t="s">
        <v>2484</v>
      </c>
      <c r="G2191" s="13" t="s">
        <v>4677</v>
      </c>
      <c r="H2191" s="13" t="s">
        <v>4678</v>
      </c>
      <c r="I2191" s="13" t="s">
        <v>63</v>
      </c>
      <c r="J2191" s="17" t="s">
        <v>71</v>
      </c>
      <c r="K2191" s="17" t="s">
        <v>58</v>
      </c>
      <c r="L2191" s="18" t="s">
        <v>52</v>
      </c>
      <c r="M2191" s="19">
        <v>60.0</v>
      </c>
      <c r="N2191" s="19">
        <v>31.0</v>
      </c>
    </row>
    <row r="2192">
      <c r="A2192" s="12">
        <v>2190.0</v>
      </c>
      <c r="B2192" s="13" t="s">
        <v>1714</v>
      </c>
      <c r="C2192" s="14">
        <v>20.0</v>
      </c>
      <c r="D2192" s="15" t="s">
        <v>4647</v>
      </c>
      <c r="E2192" s="16" t="s">
        <v>221</v>
      </c>
      <c r="F2192" s="13" t="s">
        <v>4679</v>
      </c>
      <c r="G2192" s="13" t="s">
        <v>4680</v>
      </c>
      <c r="H2192" s="13" t="s">
        <v>4681</v>
      </c>
      <c r="I2192" s="13" t="s">
        <v>63</v>
      </c>
      <c r="J2192" s="17" t="s">
        <v>71</v>
      </c>
      <c r="K2192" s="17" t="s">
        <v>58</v>
      </c>
      <c r="L2192" s="18" t="s">
        <v>52</v>
      </c>
      <c r="M2192" s="19">
        <v>60.0</v>
      </c>
      <c r="N2192" s="19">
        <v>31.0</v>
      </c>
    </row>
    <row r="2193">
      <c r="A2193" s="12">
        <v>2191.0</v>
      </c>
      <c r="B2193" s="13" t="s">
        <v>1714</v>
      </c>
      <c r="C2193" s="14">
        <v>21.0</v>
      </c>
      <c r="D2193" s="15" t="s">
        <v>4647</v>
      </c>
      <c r="E2193" s="16" t="s">
        <v>221</v>
      </c>
      <c r="F2193" s="13" t="s">
        <v>1290</v>
      </c>
      <c r="G2193" s="13" t="s">
        <v>4682</v>
      </c>
      <c r="H2193" s="13" t="s">
        <v>4683</v>
      </c>
      <c r="I2193" s="13" t="s">
        <v>63</v>
      </c>
      <c r="J2193" s="17" t="s">
        <v>71</v>
      </c>
      <c r="K2193" s="17" t="s">
        <v>58</v>
      </c>
      <c r="L2193" s="18" t="s">
        <v>52</v>
      </c>
      <c r="M2193" s="19">
        <v>60.0</v>
      </c>
      <c r="N2193" s="19">
        <v>31.0</v>
      </c>
    </row>
    <row r="2194">
      <c r="A2194" s="12">
        <v>2192.0</v>
      </c>
      <c r="B2194" s="13" t="s">
        <v>1714</v>
      </c>
      <c r="C2194" s="14">
        <v>22.0</v>
      </c>
      <c r="D2194" s="15" t="s">
        <v>4647</v>
      </c>
      <c r="E2194" s="16" t="s">
        <v>221</v>
      </c>
      <c r="F2194" s="13" t="s">
        <v>1826</v>
      </c>
      <c r="G2194" s="13" t="s">
        <v>4684</v>
      </c>
      <c r="H2194" s="13" t="s">
        <v>4685</v>
      </c>
      <c r="I2194" s="13" t="s">
        <v>63</v>
      </c>
      <c r="J2194" s="17" t="s">
        <v>71</v>
      </c>
      <c r="K2194" s="17" t="s">
        <v>58</v>
      </c>
      <c r="L2194" s="18" t="s">
        <v>52</v>
      </c>
      <c r="M2194" s="19">
        <v>60.0</v>
      </c>
      <c r="N2194" s="19">
        <v>31.0</v>
      </c>
    </row>
    <row r="2195">
      <c r="A2195" s="12">
        <v>2193.0</v>
      </c>
      <c r="B2195" s="13" t="s">
        <v>1714</v>
      </c>
      <c r="C2195" s="14">
        <v>23.0</v>
      </c>
      <c r="D2195" s="15" t="s">
        <v>4647</v>
      </c>
      <c r="E2195" s="16" t="s">
        <v>221</v>
      </c>
      <c r="F2195" s="13" t="s">
        <v>4034</v>
      </c>
      <c r="G2195" s="13" t="s">
        <v>4665</v>
      </c>
      <c r="H2195" s="13" t="s">
        <v>4666</v>
      </c>
      <c r="I2195" s="13" t="s">
        <v>63</v>
      </c>
      <c r="J2195" s="17" t="s">
        <v>71</v>
      </c>
      <c r="K2195" s="17" t="s">
        <v>58</v>
      </c>
      <c r="L2195" s="18" t="s">
        <v>52</v>
      </c>
      <c r="M2195" s="19">
        <v>60.0</v>
      </c>
      <c r="N2195" s="19">
        <v>31.0</v>
      </c>
    </row>
    <row r="2196">
      <c r="A2196" s="12">
        <v>2194.0</v>
      </c>
      <c r="B2196" s="13" t="s">
        <v>1714</v>
      </c>
      <c r="C2196" s="14">
        <v>24.0</v>
      </c>
      <c r="D2196" s="15" t="s">
        <v>4647</v>
      </c>
      <c r="E2196" s="16" t="s">
        <v>221</v>
      </c>
      <c r="F2196" s="13" t="s">
        <v>1376</v>
      </c>
      <c r="G2196" s="13" t="s">
        <v>4686</v>
      </c>
      <c r="H2196" s="13" t="s">
        <v>4687</v>
      </c>
      <c r="I2196" s="13" t="s">
        <v>63</v>
      </c>
      <c r="J2196" s="17" t="s">
        <v>71</v>
      </c>
      <c r="K2196" s="17" t="s">
        <v>58</v>
      </c>
      <c r="L2196" s="18" t="s">
        <v>52</v>
      </c>
      <c r="M2196" s="19">
        <v>60.0</v>
      </c>
      <c r="N2196" s="19">
        <v>31.0</v>
      </c>
    </row>
    <row r="2197">
      <c r="A2197" s="12">
        <v>2195.0</v>
      </c>
      <c r="B2197" s="13" t="s">
        <v>1714</v>
      </c>
      <c r="C2197" s="14">
        <v>25.0</v>
      </c>
      <c r="D2197" s="15" t="s">
        <v>4647</v>
      </c>
      <c r="E2197" s="16" t="s">
        <v>221</v>
      </c>
      <c r="F2197" s="13" t="s">
        <v>4688</v>
      </c>
      <c r="G2197" s="13" t="s">
        <v>4689</v>
      </c>
      <c r="H2197" s="13" t="s">
        <v>4690</v>
      </c>
      <c r="I2197" s="13" t="s">
        <v>63</v>
      </c>
      <c r="J2197" s="17" t="s">
        <v>71</v>
      </c>
      <c r="K2197" s="17" t="s">
        <v>58</v>
      </c>
      <c r="L2197" s="18" t="s">
        <v>52</v>
      </c>
      <c r="M2197" s="19">
        <v>60.0</v>
      </c>
      <c r="N2197" s="19">
        <v>31.0</v>
      </c>
    </row>
    <row r="2198">
      <c r="A2198" s="12">
        <v>2196.0</v>
      </c>
      <c r="B2198" s="13" t="s">
        <v>1714</v>
      </c>
      <c r="C2198" s="14">
        <v>26.0</v>
      </c>
      <c r="D2198" s="15" t="s">
        <v>4647</v>
      </c>
      <c r="E2198" s="16" t="s">
        <v>221</v>
      </c>
      <c r="F2198" s="13" t="s">
        <v>2796</v>
      </c>
      <c r="G2198" s="13" t="s">
        <v>4691</v>
      </c>
      <c r="H2198" s="13" t="s">
        <v>4692</v>
      </c>
      <c r="I2198" s="13" t="s">
        <v>63</v>
      </c>
      <c r="J2198" s="17" t="s">
        <v>71</v>
      </c>
      <c r="K2198" s="17" t="s">
        <v>58</v>
      </c>
      <c r="L2198" s="18" t="s">
        <v>52</v>
      </c>
      <c r="M2198" s="19">
        <v>60.0</v>
      </c>
      <c r="N2198" s="19">
        <v>31.0</v>
      </c>
    </row>
    <row r="2199">
      <c r="A2199" s="12">
        <v>2197.0</v>
      </c>
      <c r="B2199" s="13" t="s">
        <v>1714</v>
      </c>
      <c r="C2199" s="14">
        <v>27.0</v>
      </c>
      <c r="D2199" s="15" t="s">
        <v>4647</v>
      </c>
      <c r="E2199" s="16" t="s">
        <v>221</v>
      </c>
      <c r="F2199" s="13" t="s">
        <v>4694</v>
      </c>
      <c r="G2199" s="13" t="s">
        <v>4665</v>
      </c>
      <c r="H2199" s="13" t="s">
        <v>4666</v>
      </c>
      <c r="I2199" s="13" t="s">
        <v>63</v>
      </c>
      <c r="J2199" s="17" t="s">
        <v>71</v>
      </c>
      <c r="K2199" s="17" t="s">
        <v>58</v>
      </c>
      <c r="L2199" s="18" t="s">
        <v>52</v>
      </c>
      <c r="M2199" s="19">
        <v>60.0</v>
      </c>
      <c r="N2199" s="19">
        <v>31.0</v>
      </c>
    </row>
    <row r="2200">
      <c r="A2200" s="12">
        <v>2198.0</v>
      </c>
      <c r="B2200" s="13" t="s">
        <v>1714</v>
      </c>
      <c r="C2200" s="14">
        <v>28.0</v>
      </c>
      <c r="D2200" s="15" t="s">
        <v>4647</v>
      </c>
      <c r="E2200" s="16" t="s">
        <v>221</v>
      </c>
      <c r="F2200" s="13" t="s">
        <v>2039</v>
      </c>
      <c r="G2200" s="13" t="s">
        <v>4665</v>
      </c>
      <c r="H2200" s="13" t="s">
        <v>4666</v>
      </c>
      <c r="I2200" s="13" t="s">
        <v>63</v>
      </c>
      <c r="J2200" s="17" t="s">
        <v>71</v>
      </c>
      <c r="K2200" s="17" t="s">
        <v>58</v>
      </c>
      <c r="L2200" s="18" t="s">
        <v>52</v>
      </c>
      <c r="M2200" s="19">
        <v>60.0</v>
      </c>
      <c r="N2200" s="19">
        <v>31.0</v>
      </c>
    </row>
    <row r="2201">
      <c r="A2201" s="12">
        <v>2199.0</v>
      </c>
      <c r="B2201" s="13" t="s">
        <v>1714</v>
      </c>
      <c r="C2201" s="14">
        <v>29.0</v>
      </c>
      <c r="D2201" s="15" t="s">
        <v>4647</v>
      </c>
      <c r="E2201" s="16" t="s">
        <v>221</v>
      </c>
      <c r="F2201" s="13" t="s">
        <v>2042</v>
      </c>
      <c r="G2201" s="13" t="s">
        <v>4665</v>
      </c>
      <c r="H2201" s="13" t="s">
        <v>4666</v>
      </c>
      <c r="I2201" s="13" t="s">
        <v>63</v>
      </c>
      <c r="J2201" s="17" t="s">
        <v>71</v>
      </c>
      <c r="K2201" s="17" t="s">
        <v>58</v>
      </c>
      <c r="L2201" s="18" t="s">
        <v>52</v>
      </c>
      <c r="M2201" s="19">
        <v>60.0</v>
      </c>
      <c r="N2201" s="19">
        <v>31.0</v>
      </c>
    </row>
    <row r="2202">
      <c r="A2202" s="12">
        <v>2200.0</v>
      </c>
      <c r="B2202" s="13" t="s">
        <v>1714</v>
      </c>
      <c r="C2202" s="14">
        <v>30.0</v>
      </c>
      <c r="D2202" s="15" t="s">
        <v>4647</v>
      </c>
      <c r="E2202" s="16" t="s">
        <v>221</v>
      </c>
      <c r="F2202" s="13" t="s">
        <v>2477</v>
      </c>
      <c r="G2202" s="13" t="s">
        <v>4695</v>
      </c>
      <c r="H2202" s="13" t="s">
        <v>4697</v>
      </c>
      <c r="I2202" s="13" t="s">
        <v>63</v>
      </c>
      <c r="J2202" s="17" t="s">
        <v>71</v>
      </c>
      <c r="K2202" s="17" t="s">
        <v>58</v>
      </c>
      <c r="L2202" s="18" t="s">
        <v>52</v>
      </c>
      <c r="M2202" s="19">
        <v>60.0</v>
      </c>
      <c r="N2202" s="19">
        <v>31.0</v>
      </c>
    </row>
    <row r="2203">
      <c r="A2203" s="12">
        <v>2201.0</v>
      </c>
      <c r="B2203" s="13" t="s">
        <v>1714</v>
      </c>
      <c r="C2203" s="14">
        <v>31.0</v>
      </c>
      <c r="D2203" s="15" t="s">
        <v>4647</v>
      </c>
      <c r="E2203" s="16" t="s">
        <v>221</v>
      </c>
      <c r="F2203" s="13" t="s">
        <v>4698</v>
      </c>
      <c r="G2203" s="13" t="s">
        <v>4699</v>
      </c>
      <c r="H2203" s="13" t="s">
        <v>4700</v>
      </c>
      <c r="I2203" s="13" t="s">
        <v>63</v>
      </c>
      <c r="J2203" s="17" t="s">
        <v>71</v>
      </c>
      <c r="K2203" s="17" t="s">
        <v>58</v>
      </c>
      <c r="L2203" s="18" t="s">
        <v>52</v>
      </c>
      <c r="M2203" s="19">
        <v>60.0</v>
      </c>
      <c r="N2203" s="19">
        <v>31.0</v>
      </c>
    </row>
    <row r="2204">
      <c r="A2204" s="12">
        <v>2202.0</v>
      </c>
      <c r="B2204" s="13" t="s">
        <v>1714</v>
      </c>
      <c r="C2204" s="14">
        <v>32.0</v>
      </c>
      <c r="D2204" s="15" t="s">
        <v>4647</v>
      </c>
      <c r="E2204" s="16" t="s">
        <v>221</v>
      </c>
      <c r="F2204" s="13" t="s">
        <v>4701</v>
      </c>
      <c r="G2204" s="13" t="s">
        <v>4665</v>
      </c>
      <c r="H2204" s="13" t="s">
        <v>4666</v>
      </c>
      <c r="I2204" s="13" t="s">
        <v>63</v>
      </c>
      <c r="J2204" s="17" t="s">
        <v>71</v>
      </c>
      <c r="K2204" s="17" t="s">
        <v>58</v>
      </c>
      <c r="L2204" s="18" t="s">
        <v>52</v>
      </c>
      <c r="M2204" s="19">
        <v>60.0</v>
      </c>
      <c r="N2204" s="19">
        <v>31.0</v>
      </c>
    </row>
    <row r="2205">
      <c r="A2205" s="12">
        <v>2203.0</v>
      </c>
      <c r="B2205" s="13" t="s">
        <v>1714</v>
      </c>
      <c r="C2205" s="14">
        <v>33.0</v>
      </c>
      <c r="D2205" s="15" t="s">
        <v>4647</v>
      </c>
      <c r="E2205" s="16" t="s">
        <v>221</v>
      </c>
      <c r="F2205" s="13" t="s">
        <v>2095</v>
      </c>
      <c r="G2205" s="13" t="s">
        <v>2096</v>
      </c>
      <c r="H2205" s="13" t="s">
        <v>2098</v>
      </c>
      <c r="I2205" s="13" t="s">
        <v>63</v>
      </c>
      <c r="J2205" s="17" t="s">
        <v>71</v>
      </c>
      <c r="K2205" s="17" t="s">
        <v>58</v>
      </c>
      <c r="L2205" s="18" t="s">
        <v>52</v>
      </c>
      <c r="M2205" s="19">
        <v>60.0</v>
      </c>
      <c r="N2205" s="19">
        <v>31.0</v>
      </c>
    </row>
    <row r="2206">
      <c r="A2206" s="12">
        <v>2204.0</v>
      </c>
      <c r="B2206" s="13" t="s">
        <v>1714</v>
      </c>
      <c r="C2206" s="14">
        <v>34.0</v>
      </c>
      <c r="D2206" s="15" t="s">
        <v>4647</v>
      </c>
      <c r="E2206" s="16" t="s">
        <v>221</v>
      </c>
      <c r="F2206" s="13" t="s">
        <v>4702</v>
      </c>
      <c r="G2206" s="13" t="s">
        <v>4703</v>
      </c>
      <c r="H2206" s="13" t="s">
        <v>4704</v>
      </c>
      <c r="I2206" s="13" t="s">
        <v>63</v>
      </c>
      <c r="J2206" s="17" t="s">
        <v>71</v>
      </c>
      <c r="K2206" s="17" t="s">
        <v>58</v>
      </c>
      <c r="L2206" s="18" t="s">
        <v>52</v>
      </c>
      <c r="M2206" s="19">
        <v>60.0</v>
      </c>
      <c r="N2206" s="19">
        <v>31.0</v>
      </c>
    </row>
    <row r="2207">
      <c r="A2207" s="12">
        <v>2205.0</v>
      </c>
      <c r="B2207" s="13" t="s">
        <v>1714</v>
      </c>
      <c r="C2207" s="14">
        <v>35.0</v>
      </c>
      <c r="D2207" s="15" t="s">
        <v>4643</v>
      </c>
      <c r="E2207" s="16" t="s">
        <v>221</v>
      </c>
      <c r="F2207" s="13" t="s">
        <v>1162</v>
      </c>
      <c r="G2207" s="13" t="s">
        <v>1163</v>
      </c>
      <c r="H2207" s="13" t="s">
        <v>4705</v>
      </c>
      <c r="I2207" s="13" t="s">
        <v>63</v>
      </c>
      <c r="J2207" s="17" t="s">
        <v>71</v>
      </c>
      <c r="K2207" s="17" t="s">
        <v>58</v>
      </c>
      <c r="L2207" s="18" t="s">
        <v>52</v>
      </c>
      <c r="M2207" s="19">
        <v>60.0</v>
      </c>
      <c r="N2207" s="19">
        <v>31.0</v>
      </c>
    </row>
    <row r="2208">
      <c r="A2208" s="12">
        <v>2206.0</v>
      </c>
      <c r="B2208" s="13" t="s">
        <v>1714</v>
      </c>
      <c r="C2208" s="14">
        <v>36.0</v>
      </c>
      <c r="D2208" s="15" t="s">
        <v>4643</v>
      </c>
      <c r="E2208" s="16" t="s">
        <v>221</v>
      </c>
      <c r="F2208" s="13" t="s">
        <v>2570</v>
      </c>
      <c r="G2208" s="13" t="s">
        <v>4706</v>
      </c>
      <c r="H2208" s="13" t="s">
        <v>4707</v>
      </c>
      <c r="I2208" s="13" t="s">
        <v>63</v>
      </c>
      <c r="J2208" s="17" t="s">
        <v>71</v>
      </c>
      <c r="K2208" s="17" t="s">
        <v>58</v>
      </c>
      <c r="L2208" s="18" t="s">
        <v>52</v>
      </c>
      <c r="M2208" s="19">
        <v>60.0</v>
      </c>
      <c r="N2208" s="19">
        <v>31.0</v>
      </c>
    </row>
    <row r="2209">
      <c r="A2209" s="12">
        <v>2207.0</v>
      </c>
      <c r="B2209" s="13" t="s">
        <v>1714</v>
      </c>
      <c r="C2209" s="14">
        <v>37.0</v>
      </c>
      <c r="D2209" s="15" t="s">
        <v>4643</v>
      </c>
      <c r="E2209" s="16" t="s">
        <v>221</v>
      </c>
      <c r="F2209" s="13" t="s">
        <v>4084</v>
      </c>
      <c r="G2209" s="13" t="s">
        <v>4708</v>
      </c>
      <c r="H2209" s="13" t="s">
        <v>4709</v>
      </c>
      <c r="I2209" s="13" t="s">
        <v>63</v>
      </c>
      <c r="J2209" s="17" t="s">
        <v>71</v>
      </c>
      <c r="K2209" s="17" t="s">
        <v>58</v>
      </c>
      <c r="L2209" s="18" t="s">
        <v>52</v>
      </c>
      <c r="M2209" s="19">
        <v>60.0</v>
      </c>
      <c r="N2209" s="19">
        <v>31.0</v>
      </c>
    </row>
    <row r="2210">
      <c r="A2210" s="12">
        <v>2208.0</v>
      </c>
      <c r="B2210" s="13" t="s">
        <v>1714</v>
      </c>
      <c r="C2210" s="14">
        <v>38.0</v>
      </c>
      <c r="D2210" s="15" t="s">
        <v>4643</v>
      </c>
      <c r="E2210" s="16" t="s">
        <v>221</v>
      </c>
      <c r="F2210" s="13" t="s">
        <v>3477</v>
      </c>
      <c r="G2210" s="13" t="s">
        <v>61</v>
      </c>
      <c r="H2210" s="13" t="s">
        <v>4711</v>
      </c>
      <c r="I2210" s="13" t="s">
        <v>63</v>
      </c>
      <c r="J2210" s="17" t="s">
        <v>71</v>
      </c>
      <c r="K2210" s="17" t="s">
        <v>58</v>
      </c>
      <c r="L2210" s="18" t="s">
        <v>52</v>
      </c>
      <c r="M2210" s="19">
        <v>60.0</v>
      </c>
      <c r="N2210" s="19">
        <v>31.0</v>
      </c>
    </row>
    <row r="2211">
      <c r="A2211" s="12">
        <v>2209.0</v>
      </c>
      <c r="B2211" s="13" t="s">
        <v>1714</v>
      </c>
      <c r="C2211" s="14">
        <v>39.0</v>
      </c>
      <c r="D2211" s="15" t="s">
        <v>4643</v>
      </c>
      <c r="E2211" s="16" t="s">
        <v>221</v>
      </c>
      <c r="F2211" s="13" t="s">
        <v>1797</v>
      </c>
      <c r="G2211" s="13" t="s">
        <v>4712</v>
      </c>
      <c r="H2211" s="13" t="s">
        <v>4713</v>
      </c>
      <c r="I2211" s="13" t="s">
        <v>63</v>
      </c>
      <c r="J2211" s="17" t="s">
        <v>71</v>
      </c>
      <c r="K2211" s="17" t="s">
        <v>58</v>
      </c>
      <c r="L2211" s="18" t="s">
        <v>52</v>
      </c>
      <c r="M2211" s="19">
        <v>60.0</v>
      </c>
      <c r="N2211" s="19">
        <v>31.0</v>
      </c>
    </row>
    <row r="2212">
      <c r="A2212" s="12">
        <v>2210.0</v>
      </c>
      <c r="B2212" s="13" t="s">
        <v>1714</v>
      </c>
      <c r="C2212" s="14">
        <v>40.0</v>
      </c>
      <c r="D2212" s="15" t="s">
        <v>4643</v>
      </c>
      <c r="E2212" s="16" t="s">
        <v>221</v>
      </c>
      <c r="F2212" s="13" t="s">
        <v>1952</v>
      </c>
      <c r="G2212" s="13" t="s">
        <v>4714</v>
      </c>
      <c r="H2212" s="13" t="s">
        <v>4715</v>
      </c>
      <c r="I2212" s="13" t="s">
        <v>63</v>
      </c>
      <c r="J2212" s="17" t="s">
        <v>71</v>
      </c>
      <c r="K2212" s="17" t="s">
        <v>58</v>
      </c>
      <c r="L2212" s="18" t="s">
        <v>52</v>
      </c>
      <c r="M2212" s="19">
        <v>60.0</v>
      </c>
      <c r="N2212" s="19">
        <v>31.0</v>
      </c>
    </row>
    <row r="2213">
      <c r="A2213" s="12">
        <v>2211.0</v>
      </c>
      <c r="B2213" s="13" t="s">
        <v>1714</v>
      </c>
      <c r="C2213" s="14">
        <v>41.0</v>
      </c>
      <c r="D2213" s="15" t="s">
        <v>4643</v>
      </c>
      <c r="E2213" s="16" t="s">
        <v>221</v>
      </c>
      <c r="F2213" s="13" t="s">
        <v>150</v>
      </c>
      <c r="G2213" s="13" t="s">
        <v>151</v>
      </c>
      <c r="H2213" s="13" t="s">
        <v>4717</v>
      </c>
      <c r="I2213" s="13" t="s">
        <v>63</v>
      </c>
      <c r="J2213" s="17" t="s">
        <v>71</v>
      </c>
      <c r="K2213" s="17" t="s">
        <v>58</v>
      </c>
      <c r="L2213" s="18" t="s">
        <v>52</v>
      </c>
      <c r="M2213" s="19">
        <v>60.0</v>
      </c>
      <c r="N2213" s="19">
        <v>31.0</v>
      </c>
    </row>
    <row r="2214">
      <c r="A2214" s="12">
        <v>2212.0</v>
      </c>
      <c r="B2214" s="13" t="s">
        <v>1714</v>
      </c>
      <c r="C2214" s="14">
        <v>42.0</v>
      </c>
      <c r="D2214" s="15" t="s">
        <v>4643</v>
      </c>
      <c r="E2214" s="16" t="s">
        <v>221</v>
      </c>
      <c r="F2214" s="13" t="s">
        <v>231</v>
      </c>
      <c r="G2214" s="13" t="s">
        <v>4720</v>
      </c>
      <c r="H2214" s="13" t="s">
        <v>4721</v>
      </c>
      <c r="I2214" s="13" t="s">
        <v>63</v>
      </c>
      <c r="J2214" s="17" t="s">
        <v>71</v>
      </c>
      <c r="K2214" s="17" t="s">
        <v>58</v>
      </c>
      <c r="L2214" s="18" t="s">
        <v>52</v>
      </c>
      <c r="M2214" s="19">
        <v>60.0</v>
      </c>
      <c r="N2214" s="19">
        <v>31.0</v>
      </c>
    </row>
    <row r="2215">
      <c r="A2215" s="12">
        <v>2213.0</v>
      </c>
      <c r="B2215" s="13" t="s">
        <v>1714</v>
      </c>
      <c r="C2215" s="14">
        <v>43.0</v>
      </c>
      <c r="D2215" s="15" t="s">
        <v>4643</v>
      </c>
      <c r="E2215" s="16" t="s">
        <v>221</v>
      </c>
      <c r="F2215" s="13" t="s">
        <v>1669</v>
      </c>
      <c r="G2215" s="13" t="s">
        <v>1670</v>
      </c>
      <c r="H2215" s="13" t="s">
        <v>4722</v>
      </c>
      <c r="I2215" s="13" t="s">
        <v>63</v>
      </c>
      <c r="J2215" s="17" t="s">
        <v>71</v>
      </c>
      <c r="K2215" s="17" t="s">
        <v>58</v>
      </c>
      <c r="L2215" s="18" t="s">
        <v>52</v>
      </c>
      <c r="M2215" s="19">
        <v>60.0</v>
      </c>
      <c r="N2215" s="19">
        <v>31.0</v>
      </c>
    </row>
    <row r="2216">
      <c r="A2216" s="12">
        <v>2214.0</v>
      </c>
      <c r="B2216" s="13" t="s">
        <v>1714</v>
      </c>
      <c r="C2216" s="14">
        <v>44.0</v>
      </c>
      <c r="D2216" s="15" t="s">
        <v>4643</v>
      </c>
      <c r="E2216" s="16" t="s">
        <v>221</v>
      </c>
      <c r="F2216" s="13" t="s">
        <v>1331</v>
      </c>
      <c r="G2216" s="13" t="s">
        <v>4723</v>
      </c>
      <c r="H2216" s="13" t="s">
        <v>4724</v>
      </c>
      <c r="I2216" s="13" t="s">
        <v>63</v>
      </c>
      <c r="J2216" s="17" t="s">
        <v>71</v>
      </c>
      <c r="K2216" s="17" t="s">
        <v>58</v>
      </c>
      <c r="L2216" s="18" t="s">
        <v>52</v>
      </c>
      <c r="M2216" s="19">
        <v>60.0</v>
      </c>
      <c r="N2216" s="19">
        <v>31.0</v>
      </c>
    </row>
    <row r="2217">
      <c r="A2217" s="12">
        <v>2215.0</v>
      </c>
      <c r="B2217" s="13" t="s">
        <v>1714</v>
      </c>
      <c r="C2217" s="14">
        <v>45.0</v>
      </c>
      <c r="D2217" s="15" t="s">
        <v>4643</v>
      </c>
      <c r="E2217" s="16" t="s">
        <v>221</v>
      </c>
      <c r="F2217" s="13" t="s">
        <v>1315</v>
      </c>
      <c r="G2217" s="13" t="s">
        <v>4725</v>
      </c>
      <c r="H2217" s="13" t="s">
        <v>4726</v>
      </c>
      <c r="I2217" s="13" t="s">
        <v>63</v>
      </c>
      <c r="J2217" s="17" t="s">
        <v>71</v>
      </c>
      <c r="K2217" s="17" t="s">
        <v>58</v>
      </c>
      <c r="L2217" s="18" t="s">
        <v>52</v>
      </c>
      <c r="M2217" s="19">
        <v>60.0</v>
      </c>
      <c r="N2217" s="19">
        <v>31.0</v>
      </c>
    </row>
    <row r="2218">
      <c r="A2218" s="12">
        <v>2216.0</v>
      </c>
      <c r="B2218" s="13" t="s">
        <v>1714</v>
      </c>
      <c r="C2218" s="14">
        <v>46.0</v>
      </c>
      <c r="D2218" s="15" t="s">
        <v>4643</v>
      </c>
      <c r="E2218" s="16" t="s">
        <v>221</v>
      </c>
      <c r="F2218" s="13" t="s">
        <v>2902</v>
      </c>
      <c r="G2218" s="13" t="s">
        <v>4728</v>
      </c>
      <c r="H2218" s="13" t="s">
        <v>4729</v>
      </c>
      <c r="I2218" s="13" t="s">
        <v>63</v>
      </c>
      <c r="J2218" s="17" t="s">
        <v>71</v>
      </c>
      <c r="K2218" s="17" t="s">
        <v>58</v>
      </c>
      <c r="L2218" s="18" t="s">
        <v>52</v>
      </c>
      <c r="M2218" s="19">
        <v>60.0</v>
      </c>
      <c r="N2218" s="19">
        <v>31.0</v>
      </c>
    </row>
    <row r="2219">
      <c r="A2219" s="12">
        <v>2217.0</v>
      </c>
      <c r="B2219" s="13" t="s">
        <v>1714</v>
      </c>
      <c r="C2219" s="14">
        <v>47.0</v>
      </c>
      <c r="D2219" s="15" t="s">
        <v>4643</v>
      </c>
      <c r="E2219" s="16" t="s">
        <v>221</v>
      </c>
      <c r="F2219" s="13" t="s">
        <v>1319</v>
      </c>
      <c r="G2219" s="13" t="s">
        <v>4004</v>
      </c>
      <c r="H2219" s="13" t="s">
        <v>4730</v>
      </c>
      <c r="I2219" s="13" t="s">
        <v>63</v>
      </c>
      <c r="J2219" s="17" t="s">
        <v>71</v>
      </c>
      <c r="K2219" s="17" t="s">
        <v>58</v>
      </c>
      <c r="L2219" s="18" t="s">
        <v>52</v>
      </c>
      <c r="M2219" s="19">
        <v>60.0</v>
      </c>
      <c r="N2219" s="19">
        <v>31.0</v>
      </c>
    </row>
    <row r="2220">
      <c r="A2220" s="12">
        <v>2218.0</v>
      </c>
      <c r="B2220" s="13" t="s">
        <v>1714</v>
      </c>
      <c r="C2220" s="14">
        <v>48.0</v>
      </c>
      <c r="D2220" s="15" t="s">
        <v>4643</v>
      </c>
      <c r="E2220" s="16" t="s">
        <v>221</v>
      </c>
      <c r="F2220" s="13" t="s">
        <v>2591</v>
      </c>
      <c r="G2220" s="13" t="s">
        <v>3069</v>
      </c>
      <c r="H2220" s="13" t="s">
        <v>4731</v>
      </c>
      <c r="I2220" s="13" t="s">
        <v>63</v>
      </c>
      <c r="J2220" s="17" t="s">
        <v>71</v>
      </c>
      <c r="K2220" s="17" t="s">
        <v>58</v>
      </c>
      <c r="L2220" s="18" t="s">
        <v>52</v>
      </c>
      <c r="M2220" s="19">
        <v>60.0</v>
      </c>
      <c r="N2220" s="19">
        <v>31.0</v>
      </c>
    </row>
    <row r="2221">
      <c r="A2221" s="12">
        <v>2219.0</v>
      </c>
      <c r="B2221" s="13" t="s">
        <v>1714</v>
      </c>
      <c r="C2221" s="14">
        <v>49.0</v>
      </c>
      <c r="D2221" s="15" t="s">
        <v>4643</v>
      </c>
      <c r="E2221" s="16" t="s">
        <v>221</v>
      </c>
      <c r="F2221" s="13" t="s">
        <v>1884</v>
      </c>
      <c r="G2221" s="13" t="s">
        <v>4732</v>
      </c>
      <c r="H2221" s="13" t="s">
        <v>4733</v>
      </c>
      <c r="I2221" s="13" t="s">
        <v>63</v>
      </c>
      <c r="J2221" s="17" t="s">
        <v>71</v>
      </c>
      <c r="K2221" s="17" t="s">
        <v>58</v>
      </c>
      <c r="L2221" s="18" t="s">
        <v>52</v>
      </c>
      <c r="M2221" s="19">
        <v>60.0</v>
      </c>
      <c r="N2221" s="19">
        <v>31.0</v>
      </c>
    </row>
    <row r="2222">
      <c r="A2222" s="12">
        <v>2220.0</v>
      </c>
      <c r="B2222" s="13" t="s">
        <v>1714</v>
      </c>
      <c r="C2222" s="14">
        <v>50.0</v>
      </c>
      <c r="D2222" s="15" t="s">
        <v>4643</v>
      </c>
      <c r="E2222" s="16" t="s">
        <v>221</v>
      </c>
      <c r="F2222" s="13" t="s">
        <v>4734</v>
      </c>
      <c r="G2222" s="13" t="s">
        <v>4735</v>
      </c>
      <c r="H2222" s="13" t="s">
        <v>4736</v>
      </c>
      <c r="I2222" s="13" t="s">
        <v>63</v>
      </c>
      <c r="J2222" s="17" t="s">
        <v>71</v>
      </c>
      <c r="K2222" s="17" t="s">
        <v>58</v>
      </c>
      <c r="L2222" s="18" t="s">
        <v>52</v>
      </c>
      <c r="M2222" s="19">
        <v>60.0</v>
      </c>
      <c r="N2222" s="19">
        <v>31.0</v>
      </c>
    </row>
    <row r="2223">
      <c r="A2223" s="12">
        <v>2221.0</v>
      </c>
      <c r="B2223" s="13" t="s">
        <v>1714</v>
      </c>
      <c r="C2223" s="14">
        <v>51.0</v>
      </c>
      <c r="D2223" s="15" t="s">
        <v>4643</v>
      </c>
      <c r="E2223" s="16" t="s">
        <v>221</v>
      </c>
      <c r="F2223" s="13" t="s">
        <v>561</v>
      </c>
      <c r="G2223" s="13" t="s">
        <v>907</v>
      </c>
      <c r="H2223" s="13" t="s">
        <v>4738</v>
      </c>
      <c r="I2223" s="13" t="s">
        <v>63</v>
      </c>
      <c r="J2223" s="17" t="s">
        <v>71</v>
      </c>
      <c r="K2223" s="17" t="s">
        <v>58</v>
      </c>
      <c r="L2223" s="18" t="s">
        <v>52</v>
      </c>
      <c r="M2223" s="19">
        <v>60.0</v>
      </c>
      <c r="N2223" s="19">
        <v>31.0</v>
      </c>
    </row>
    <row r="2224">
      <c r="A2224" s="12">
        <v>2222.0</v>
      </c>
      <c r="B2224" s="13" t="s">
        <v>1714</v>
      </c>
      <c r="C2224" s="14">
        <v>52.0</v>
      </c>
      <c r="D2224" s="15" t="s">
        <v>4643</v>
      </c>
      <c r="E2224" s="16" t="s">
        <v>221</v>
      </c>
      <c r="F2224" s="13" t="s">
        <v>423</v>
      </c>
      <c r="G2224" s="13" t="s">
        <v>4739</v>
      </c>
      <c r="H2224" s="13" t="s">
        <v>4740</v>
      </c>
      <c r="I2224" s="13" t="s">
        <v>63</v>
      </c>
      <c r="J2224" s="17" t="s">
        <v>71</v>
      </c>
      <c r="K2224" s="17" t="s">
        <v>58</v>
      </c>
      <c r="L2224" s="18" t="s">
        <v>52</v>
      </c>
      <c r="M2224" s="19">
        <v>60.0</v>
      </c>
      <c r="N2224" s="19">
        <v>31.0</v>
      </c>
    </row>
    <row r="2225">
      <c r="A2225" s="12">
        <v>2223.0</v>
      </c>
      <c r="B2225" s="13" t="s">
        <v>1714</v>
      </c>
      <c r="C2225" s="14">
        <v>53.0</v>
      </c>
      <c r="D2225" s="15" t="s">
        <v>4643</v>
      </c>
      <c r="E2225" s="16" t="s">
        <v>221</v>
      </c>
      <c r="F2225" s="13" t="s">
        <v>3068</v>
      </c>
      <c r="G2225" s="13" t="s">
        <v>4464</v>
      </c>
      <c r="H2225" s="13" t="s">
        <v>4741</v>
      </c>
      <c r="I2225" s="13" t="s">
        <v>63</v>
      </c>
      <c r="J2225" s="17" t="s">
        <v>71</v>
      </c>
      <c r="K2225" s="17" t="s">
        <v>58</v>
      </c>
      <c r="L2225" s="18" t="s">
        <v>52</v>
      </c>
      <c r="M2225" s="19">
        <v>60.0</v>
      </c>
      <c r="N2225" s="19">
        <v>31.0</v>
      </c>
    </row>
    <row r="2226">
      <c r="A2226" s="12">
        <v>2224.0</v>
      </c>
      <c r="B2226" s="13" t="s">
        <v>1714</v>
      </c>
      <c r="C2226" s="14">
        <v>54.0</v>
      </c>
      <c r="D2226" s="15" t="s">
        <v>4643</v>
      </c>
      <c r="E2226" s="16" t="s">
        <v>221</v>
      </c>
      <c r="F2226" s="13" t="s">
        <v>193</v>
      </c>
      <c r="G2226" s="13" t="s">
        <v>4743</v>
      </c>
      <c r="H2226" s="13" t="s">
        <v>4744</v>
      </c>
      <c r="I2226" s="13" t="s">
        <v>63</v>
      </c>
      <c r="J2226" s="17" t="s">
        <v>71</v>
      </c>
      <c r="K2226" s="17" t="s">
        <v>58</v>
      </c>
      <c r="L2226" s="18" t="s">
        <v>52</v>
      </c>
      <c r="M2226" s="19">
        <v>60.0</v>
      </c>
      <c r="N2226" s="19">
        <v>31.0</v>
      </c>
    </row>
    <row r="2227">
      <c r="A2227" s="12">
        <v>2225.0</v>
      </c>
      <c r="B2227" s="13" t="s">
        <v>1714</v>
      </c>
      <c r="C2227" s="14">
        <v>55.0</v>
      </c>
      <c r="D2227" s="15" t="s">
        <v>4643</v>
      </c>
      <c r="E2227" s="16" t="s">
        <v>221</v>
      </c>
      <c r="F2227" s="13" t="s">
        <v>4055</v>
      </c>
      <c r="G2227" s="13" t="s">
        <v>4745</v>
      </c>
      <c r="H2227" s="13" t="s">
        <v>4746</v>
      </c>
      <c r="I2227" s="13" t="s">
        <v>63</v>
      </c>
      <c r="J2227" s="17" t="s">
        <v>71</v>
      </c>
      <c r="K2227" s="17" t="s">
        <v>58</v>
      </c>
      <c r="L2227" s="18" t="s">
        <v>52</v>
      </c>
      <c r="M2227" s="19">
        <v>60.0</v>
      </c>
      <c r="N2227" s="19">
        <v>31.0</v>
      </c>
    </row>
    <row r="2228">
      <c r="A2228" s="12">
        <v>2226.0</v>
      </c>
      <c r="B2228" s="13" t="s">
        <v>1714</v>
      </c>
      <c r="C2228" s="14">
        <v>56.0</v>
      </c>
      <c r="D2228" s="15" t="s">
        <v>4643</v>
      </c>
      <c r="E2228" s="16" t="s">
        <v>221</v>
      </c>
      <c r="F2228" s="13" t="s">
        <v>4747</v>
      </c>
      <c r="G2228" s="13" t="s">
        <v>4748</v>
      </c>
      <c r="H2228" s="13" t="s">
        <v>4749</v>
      </c>
      <c r="I2228" s="13" t="s">
        <v>63</v>
      </c>
      <c r="J2228" s="17" t="s">
        <v>71</v>
      </c>
      <c r="K2228" s="17" t="s">
        <v>58</v>
      </c>
      <c r="L2228" s="18" t="s">
        <v>52</v>
      </c>
      <c r="M2228" s="19">
        <v>60.0</v>
      </c>
      <c r="N2228" s="19">
        <v>31.0</v>
      </c>
    </row>
    <row r="2229">
      <c r="A2229" s="12">
        <v>2227.0</v>
      </c>
      <c r="B2229" s="13" t="s">
        <v>1714</v>
      </c>
      <c r="C2229" s="14">
        <v>57.0</v>
      </c>
      <c r="D2229" s="15" t="s">
        <v>4643</v>
      </c>
      <c r="E2229" s="16" t="s">
        <v>221</v>
      </c>
      <c r="F2229" s="13" t="s">
        <v>4279</v>
      </c>
      <c r="G2229" s="13" t="s">
        <v>4750</v>
      </c>
      <c r="H2229" s="13" t="s">
        <v>4751</v>
      </c>
      <c r="I2229" s="13" t="s">
        <v>63</v>
      </c>
      <c r="J2229" s="17" t="s">
        <v>71</v>
      </c>
      <c r="K2229" s="17" t="s">
        <v>58</v>
      </c>
      <c r="L2229" s="18" t="s">
        <v>52</v>
      </c>
      <c r="M2229" s="19">
        <v>60.0</v>
      </c>
      <c r="N2229" s="19">
        <v>31.0</v>
      </c>
    </row>
    <row r="2230">
      <c r="A2230" s="12">
        <v>2228.0</v>
      </c>
      <c r="B2230" s="13" t="s">
        <v>1714</v>
      </c>
      <c r="C2230" s="14">
        <v>58.0</v>
      </c>
      <c r="D2230" s="15" t="s">
        <v>4643</v>
      </c>
      <c r="E2230" s="16" t="s">
        <v>221</v>
      </c>
      <c r="F2230" s="13" t="s">
        <v>2735</v>
      </c>
      <c r="G2230" s="13" t="s">
        <v>4752</v>
      </c>
      <c r="H2230" s="13" t="s">
        <v>4753</v>
      </c>
      <c r="I2230" s="13" t="s">
        <v>63</v>
      </c>
      <c r="J2230" s="17" t="s">
        <v>71</v>
      </c>
      <c r="K2230" s="17" t="s">
        <v>58</v>
      </c>
      <c r="L2230" s="18" t="s">
        <v>52</v>
      </c>
      <c r="M2230" s="19">
        <v>60.0</v>
      </c>
      <c r="N2230" s="19">
        <v>31.0</v>
      </c>
    </row>
    <row r="2231">
      <c r="A2231" s="12">
        <v>2229.0</v>
      </c>
      <c r="B2231" s="13" t="s">
        <v>1714</v>
      </c>
      <c r="C2231" s="14">
        <v>59.0</v>
      </c>
      <c r="D2231" s="15" t="s">
        <v>4643</v>
      </c>
      <c r="E2231" s="16" t="s">
        <v>221</v>
      </c>
      <c r="F2231" s="13" t="s">
        <v>711</v>
      </c>
      <c r="G2231" s="13" t="s">
        <v>4754</v>
      </c>
      <c r="H2231" s="13" t="s">
        <v>4755</v>
      </c>
      <c r="I2231" s="13" t="s">
        <v>63</v>
      </c>
      <c r="J2231" s="17" t="s">
        <v>71</v>
      </c>
      <c r="K2231" s="17" t="s">
        <v>58</v>
      </c>
      <c r="L2231" s="18" t="s">
        <v>52</v>
      </c>
      <c r="M2231" s="19">
        <v>60.0</v>
      </c>
      <c r="N2231" s="19">
        <v>31.0</v>
      </c>
    </row>
    <row r="2232">
      <c r="A2232" s="12">
        <v>2230.0</v>
      </c>
      <c r="B2232" s="13" t="s">
        <v>1714</v>
      </c>
      <c r="C2232" s="14">
        <v>60.0</v>
      </c>
      <c r="D2232" s="15" t="s">
        <v>4643</v>
      </c>
      <c r="E2232" s="16" t="s">
        <v>221</v>
      </c>
      <c r="F2232" s="13" t="s">
        <v>4756</v>
      </c>
      <c r="G2232" s="13" t="s">
        <v>4757</v>
      </c>
      <c r="H2232" s="13" t="s">
        <v>4758</v>
      </c>
      <c r="I2232" s="13" t="s">
        <v>63</v>
      </c>
      <c r="J2232" s="17" t="s">
        <v>71</v>
      </c>
      <c r="K2232" s="17" t="s">
        <v>58</v>
      </c>
      <c r="L2232" s="18" t="s">
        <v>52</v>
      </c>
      <c r="M2232" s="19">
        <v>60.0</v>
      </c>
      <c r="N2232" s="19">
        <v>31.0</v>
      </c>
    </row>
    <row r="2233">
      <c r="A2233" s="12">
        <v>2231.0</v>
      </c>
      <c r="B2233" s="13" t="s">
        <v>1714</v>
      </c>
      <c r="C2233" s="14">
        <v>61.0</v>
      </c>
      <c r="D2233" s="15" t="s">
        <v>4643</v>
      </c>
      <c r="E2233" s="16" t="s">
        <v>221</v>
      </c>
      <c r="F2233" s="13" t="s">
        <v>2447</v>
      </c>
      <c r="G2233" s="13" t="s">
        <v>2448</v>
      </c>
      <c r="H2233" s="13" t="s">
        <v>4759</v>
      </c>
      <c r="I2233" s="13" t="s">
        <v>63</v>
      </c>
      <c r="J2233" s="17" t="s">
        <v>71</v>
      </c>
      <c r="K2233" s="17" t="s">
        <v>58</v>
      </c>
      <c r="L2233" s="18" t="s">
        <v>52</v>
      </c>
      <c r="M2233" s="19">
        <v>60.0</v>
      </c>
      <c r="N2233" s="19">
        <v>31.0</v>
      </c>
    </row>
    <row r="2234">
      <c r="A2234" s="12">
        <v>2232.0</v>
      </c>
      <c r="B2234" s="13" t="s">
        <v>1714</v>
      </c>
      <c r="C2234" s="14">
        <v>62.0</v>
      </c>
      <c r="D2234" s="15" t="s">
        <v>4643</v>
      </c>
      <c r="E2234" s="16" t="s">
        <v>221</v>
      </c>
      <c r="F2234" s="13" t="s">
        <v>2750</v>
      </c>
      <c r="G2234" s="13" t="s">
        <v>2751</v>
      </c>
      <c r="H2234" s="13" t="s">
        <v>2752</v>
      </c>
      <c r="I2234" s="13" t="s">
        <v>63</v>
      </c>
      <c r="J2234" s="17" t="s">
        <v>71</v>
      </c>
      <c r="K2234" s="17" t="s">
        <v>58</v>
      </c>
      <c r="L2234" s="18" t="s">
        <v>52</v>
      </c>
      <c r="M2234" s="19">
        <v>60.0</v>
      </c>
      <c r="N2234" s="19">
        <v>31.0</v>
      </c>
    </row>
    <row r="2235">
      <c r="A2235" s="12">
        <v>2233.0</v>
      </c>
      <c r="B2235" s="13" t="s">
        <v>1714</v>
      </c>
      <c r="C2235" s="14">
        <v>63.0</v>
      </c>
      <c r="D2235" s="15" t="s">
        <v>4643</v>
      </c>
      <c r="E2235" s="16" t="s">
        <v>221</v>
      </c>
      <c r="F2235" s="13" t="s">
        <v>160</v>
      </c>
      <c r="G2235" s="13" t="s">
        <v>61</v>
      </c>
      <c r="H2235" s="13" t="s">
        <v>4760</v>
      </c>
      <c r="I2235" s="13" t="s">
        <v>63</v>
      </c>
      <c r="J2235" s="17" t="s">
        <v>71</v>
      </c>
      <c r="K2235" s="17" t="s">
        <v>58</v>
      </c>
      <c r="L2235" s="18" t="s">
        <v>52</v>
      </c>
      <c r="M2235" s="19">
        <v>60.0</v>
      </c>
      <c r="N2235" s="19">
        <v>31.0</v>
      </c>
    </row>
    <row r="2236">
      <c r="A2236" s="12">
        <v>2234.0</v>
      </c>
      <c r="B2236" s="13" t="s">
        <v>1714</v>
      </c>
      <c r="C2236" s="14">
        <v>64.0</v>
      </c>
      <c r="D2236" s="15" t="s">
        <v>4643</v>
      </c>
      <c r="E2236" s="16" t="s">
        <v>221</v>
      </c>
      <c r="F2236" s="13" t="s">
        <v>2049</v>
      </c>
      <c r="G2236" s="13" t="s">
        <v>4761</v>
      </c>
      <c r="H2236" s="13" t="s">
        <v>4762</v>
      </c>
      <c r="I2236" s="13" t="s">
        <v>63</v>
      </c>
      <c r="J2236" s="17" t="s">
        <v>71</v>
      </c>
      <c r="K2236" s="17" t="s">
        <v>58</v>
      </c>
      <c r="L2236" s="18" t="s">
        <v>52</v>
      </c>
      <c r="M2236" s="19">
        <v>60.0</v>
      </c>
      <c r="N2236" s="19">
        <v>31.0</v>
      </c>
    </row>
    <row r="2237">
      <c r="A2237" s="12">
        <v>2235.0</v>
      </c>
      <c r="B2237" s="13" t="s">
        <v>1714</v>
      </c>
      <c r="C2237" s="14">
        <v>65.0</v>
      </c>
      <c r="D2237" s="15" t="s">
        <v>4643</v>
      </c>
      <c r="E2237" s="16" t="s">
        <v>221</v>
      </c>
      <c r="F2237" s="13" t="s">
        <v>2753</v>
      </c>
      <c r="G2237" s="13" t="s">
        <v>4763</v>
      </c>
      <c r="H2237" s="13" t="s">
        <v>4764</v>
      </c>
      <c r="I2237" s="13" t="s">
        <v>63</v>
      </c>
      <c r="J2237" s="17" t="s">
        <v>71</v>
      </c>
      <c r="K2237" s="17" t="s">
        <v>58</v>
      </c>
      <c r="L2237" s="18" t="s">
        <v>52</v>
      </c>
      <c r="M2237" s="19">
        <v>60.0</v>
      </c>
      <c r="N2237" s="19">
        <v>31.0</v>
      </c>
    </row>
    <row r="2238">
      <c r="A2238" s="12">
        <v>2236.0</v>
      </c>
      <c r="B2238" s="13" t="s">
        <v>1714</v>
      </c>
      <c r="C2238" s="14">
        <v>66.0</v>
      </c>
      <c r="D2238" s="15" t="s">
        <v>4643</v>
      </c>
      <c r="E2238" s="16" t="s">
        <v>221</v>
      </c>
      <c r="F2238" s="13" t="s">
        <v>4445</v>
      </c>
      <c r="G2238" s="13" t="s">
        <v>4765</v>
      </c>
      <c r="H2238" s="13" t="s">
        <v>4766</v>
      </c>
      <c r="I2238" s="13" t="s">
        <v>63</v>
      </c>
      <c r="J2238" s="17" t="s">
        <v>71</v>
      </c>
      <c r="K2238" s="17" t="s">
        <v>58</v>
      </c>
      <c r="L2238" s="18" t="s">
        <v>52</v>
      </c>
      <c r="M2238" s="19">
        <v>60.0</v>
      </c>
      <c r="N2238" s="19">
        <v>31.0</v>
      </c>
    </row>
    <row r="2239">
      <c r="A2239" s="12">
        <v>2237.0</v>
      </c>
      <c r="B2239" s="13" t="s">
        <v>1714</v>
      </c>
      <c r="C2239" s="14">
        <v>67.0</v>
      </c>
      <c r="D2239" s="15" t="s">
        <v>4643</v>
      </c>
      <c r="E2239" s="16" t="s">
        <v>221</v>
      </c>
      <c r="F2239" s="13" t="s">
        <v>4604</v>
      </c>
      <c r="G2239" s="13" t="s">
        <v>61</v>
      </c>
      <c r="H2239" s="13" t="s">
        <v>4768</v>
      </c>
      <c r="I2239" s="13" t="s">
        <v>63</v>
      </c>
      <c r="J2239" s="17" t="s">
        <v>71</v>
      </c>
      <c r="K2239" s="17" t="s">
        <v>58</v>
      </c>
      <c r="L2239" s="18" t="s">
        <v>52</v>
      </c>
      <c r="M2239" s="19">
        <v>60.0</v>
      </c>
      <c r="N2239" s="19">
        <v>31.0</v>
      </c>
    </row>
    <row r="2240">
      <c r="A2240" s="12">
        <v>2238.0</v>
      </c>
      <c r="B2240" s="13" t="s">
        <v>1714</v>
      </c>
      <c r="C2240" s="14">
        <v>68.0</v>
      </c>
      <c r="D2240" s="15" t="s">
        <v>4643</v>
      </c>
      <c r="E2240" s="16" t="s">
        <v>221</v>
      </c>
      <c r="F2240" s="13" t="s">
        <v>3733</v>
      </c>
      <c r="G2240" s="13" t="s">
        <v>4769</v>
      </c>
      <c r="H2240" s="13" t="s">
        <v>4770</v>
      </c>
      <c r="I2240" s="13" t="s">
        <v>63</v>
      </c>
      <c r="J2240" s="17" t="s">
        <v>71</v>
      </c>
      <c r="K2240" s="17" t="s">
        <v>58</v>
      </c>
      <c r="L2240" s="18" t="s">
        <v>52</v>
      </c>
      <c r="M2240" s="19">
        <v>60.0</v>
      </c>
      <c r="N2240" s="19">
        <v>31.0</v>
      </c>
    </row>
    <row r="2241">
      <c r="A2241" s="12">
        <v>2239.0</v>
      </c>
      <c r="B2241" s="13" t="s">
        <v>1714</v>
      </c>
      <c r="C2241" s="14">
        <v>69.0</v>
      </c>
      <c r="D2241" s="15" t="s">
        <v>4643</v>
      </c>
      <c r="E2241" s="16" t="s">
        <v>221</v>
      </c>
      <c r="F2241" s="13" t="s">
        <v>4771</v>
      </c>
      <c r="G2241" s="13" t="s">
        <v>4772</v>
      </c>
      <c r="H2241" s="13" t="s">
        <v>4773</v>
      </c>
      <c r="I2241" s="13" t="s">
        <v>63</v>
      </c>
      <c r="J2241" s="17" t="s">
        <v>71</v>
      </c>
      <c r="K2241" s="17" t="s">
        <v>58</v>
      </c>
      <c r="L2241" s="18" t="s">
        <v>52</v>
      </c>
      <c r="M2241" s="19">
        <v>60.0</v>
      </c>
      <c r="N2241" s="19">
        <v>31.0</v>
      </c>
    </row>
    <row r="2242">
      <c r="A2242" s="12">
        <v>2240.0</v>
      </c>
      <c r="B2242" s="13" t="s">
        <v>1714</v>
      </c>
      <c r="C2242" s="14">
        <v>70.0</v>
      </c>
      <c r="D2242" s="15" t="s">
        <v>4643</v>
      </c>
      <c r="E2242" s="16" t="s">
        <v>221</v>
      </c>
      <c r="F2242" s="13" t="s">
        <v>1293</v>
      </c>
      <c r="G2242" s="13" t="s">
        <v>61</v>
      </c>
      <c r="H2242" s="13" t="s">
        <v>4774</v>
      </c>
      <c r="I2242" s="13" t="s">
        <v>63</v>
      </c>
      <c r="J2242" s="17" t="s">
        <v>71</v>
      </c>
      <c r="K2242" s="17" t="s">
        <v>58</v>
      </c>
      <c r="L2242" s="18" t="s">
        <v>52</v>
      </c>
      <c r="M2242" s="19">
        <v>60.0</v>
      </c>
      <c r="N2242" s="19">
        <v>31.0</v>
      </c>
    </row>
    <row r="2243">
      <c r="A2243" s="12">
        <v>2241.0</v>
      </c>
      <c r="B2243" s="13" t="s">
        <v>1714</v>
      </c>
      <c r="C2243" s="14">
        <v>71.0</v>
      </c>
      <c r="D2243" s="15" t="s">
        <v>4643</v>
      </c>
      <c r="E2243" s="16" t="s">
        <v>221</v>
      </c>
      <c r="F2243" s="13" t="s">
        <v>1729</v>
      </c>
      <c r="G2243" s="13" t="s">
        <v>1730</v>
      </c>
      <c r="H2243" s="13" t="s">
        <v>4038</v>
      </c>
      <c r="I2243" s="13" t="s">
        <v>63</v>
      </c>
      <c r="J2243" s="17" t="s">
        <v>71</v>
      </c>
      <c r="K2243" s="17" t="s">
        <v>58</v>
      </c>
      <c r="L2243" s="18" t="s">
        <v>52</v>
      </c>
      <c r="M2243" s="19">
        <v>60.0</v>
      </c>
      <c r="N2243" s="19">
        <v>31.0</v>
      </c>
    </row>
    <row r="2244">
      <c r="A2244" s="12">
        <v>2242.0</v>
      </c>
      <c r="B2244" s="13" t="s">
        <v>1714</v>
      </c>
      <c r="C2244" s="14">
        <v>72.0</v>
      </c>
      <c r="D2244" s="15" t="s">
        <v>4643</v>
      </c>
      <c r="E2244" s="16" t="s">
        <v>221</v>
      </c>
      <c r="F2244" s="13" t="s">
        <v>78</v>
      </c>
      <c r="G2244" s="13" t="s">
        <v>4547</v>
      </c>
      <c r="H2244" s="13" t="s">
        <v>4548</v>
      </c>
      <c r="I2244" s="13" t="s">
        <v>63</v>
      </c>
      <c r="J2244" s="17" t="s">
        <v>71</v>
      </c>
      <c r="K2244" s="17" t="s">
        <v>58</v>
      </c>
      <c r="L2244" s="18" t="s">
        <v>52</v>
      </c>
      <c r="M2244" s="19">
        <v>60.0</v>
      </c>
      <c r="N2244" s="19">
        <v>31.0</v>
      </c>
    </row>
    <row r="2245">
      <c r="A2245" s="12">
        <v>2243.0</v>
      </c>
      <c r="B2245" s="13" t="s">
        <v>1714</v>
      </c>
      <c r="C2245" s="14">
        <v>73.0</v>
      </c>
      <c r="D2245" s="15" t="s">
        <v>4643</v>
      </c>
      <c r="E2245" s="16" t="s">
        <v>221</v>
      </c>
      <c r="F2245" s="13" t="s">
        <v>1574</v>
      </c>
      <c r="G2245" s="13" t="s">
        <v>4775</v>
      </c>
      <c r="H2245" s="13" t="s">
        <v>4776</v>
      </c>
      <c r="I2245" s="13" t="s">
        <v>63</v>
      </c>
      <c r="J2245" s="17" t="s">
        <v>71</v>
      </c>
      <c r="K2245" s="17" t="s">
        <v>58</v>
      </c>
      <c r="L2245" s="18" t="s">
        <v>52</v>
      </c>
      <c r="M2245" s="19">
        <v>60.0</v>
      </c>
      <c r="N2245" s="19">
        <v>31.0</v>
      </c>
    </row>
    <row r="2246">
      <c r="A2246" s="12">
        <v>2244.0</v>
      </c>
      <c r="B2246" s="13" t="s">
        <v>1714</v>
      </c>
      <c r="C2246" s="14">
        <v>74.0</v>
      </c>
      <c r="D2246" s="15" t="s">
        <v>4643</v>
      </c>
      <c r="E2246" s="16" t="s">
        <v>221</v>
      </c>
      <c r="F2246" s="13" t="s">
        <v>186</v>
      </c>
      <c r="G2246" s="13" t="s">
        <v>4777</v>
      </c>
      <c r="H2246" s="13" t="s">
        <v>4778</v>
      </c>
      <c r="I2246" s="13" t="s">
        <v>63</v>
      </c>
      <c r="J2246" s="17" t="s">
        <v>71</v>
      </c>
      <c r="K2246" s="17" t="s">
        <v>58</v>
      </c>
      <c r="L2246" s="18" t="s">
        <v>52</v>
      </c>
      <c r="M2246" s="19">
        <v>60.0</v>
      </c>
      <c r="N2246" s="19">
        <v>31.0</v>
      </c>
    </row>
    <row r="2247">
      <c r="A2247" s="12">
        <v>2245.0</v>
      </c>
      <c r="B2247" s="13" t="s">
        <v>1714</v>
      </c>
      <c r="C2247" s="14">
        <v>75.0</v>
      </c>
      <c r="D2247" s="15" t="s">
        <v>4643</v>
      </c>
      <c r="E2247" s="16" t="s">
        <v>221</v>
      </c>
      <c r="F2247" s="13" t="s">
        <v>64</v>
      </c>
      <c r="G2247" s="13" t="s">
        <v>4779</v>
      </c>
      <c r="H2247" s="13" t="s">
        <v>4780</v>
      </c>
      <c r="I2247" s="13" t="s">
        <v>63</v>
      </c>
      <c r="J2247" s="17" t="s">
        <v>71</v>
      </c>
      <c r="K2247" s="17" t="s">
        <v>58</v>
      </c>
      <c r="L2247" s="18" t="s">
        <v>52</v>
      </c>
      <c r="M2247" s="19">
        <v>60.0</v>
      </c>
      <c r="N2247" s="19">
        <v>31.0</v>
      </c>
    </row>
    <row r="2248">
      <c r="A2248" s="12">
        <v>2246.0</v>
      </c>
      <c r="B2248" s="13" t="s">
        <v>1714</v>
      </c>
      <c r="C2248" s="14">
        <v>76.0</v>
      </c>
      <c r="D2248" s="15" t="s">
        <v>4643</v>
      </c>
      <c r="E2248" s="16" t="s">
        <v>221</v>
      </c>
      <c r="F2248" s="13" t="s">
        <v>3295</v>
      </c>
      <c r="G2248" s="13" t="s">
        <v>61</v>
      </c>
      <c r="H2248" s="13" t="s">
        <v>4782</v>
      </c>
      <c r="I2248" s="13" t="s">
        <v>63</v>
      </c>
      <c r="J2248" s="17" t="s">
        <v>71</v>
      </c>
      <c r="K2248" s="17" t="s">
        <v>58</v>
      </c>
      <c r="L2248" s="18" t="s">
        <v>52</v>
      </c>
      <c r="M2248" s="19">
        <v>60.0</v>
      </c>
      <c r="N2248" s="19">
        <v>31.0</v>
      </c>
    </row>
    <row r="2249">
      <c r="A2249" s="12">
        <v>2247.0</v>
      </c>
      <c r="B2249" s="13" t="s">
        <v>1714</v>
      </c>
      <c r="C2249" s="14">
        <v>77.0</v>
      </c>
      <c r="D2249" s="15" t="s">
        <v>4643</v>
      </c>
      <c r="E2249" s="16" t="s">
        <v>221</v>
      </c>
      <c r="F2249" s="13" t="s">
        <v>2585</v>
      </c>
      <c r="G2249" s="13" t="s">
        <v>2586</v>
      </c>
      <c r="H2249" s="13" t="s">
        <v>4784</v>
      </c>
      <c r="I2249" s="13" t="s">
        <v>63</v>
      </c>
      <c r="J2249" s="17" t="s">
        <v>71</v>
      </c>
      <c r="K2249" s="17" t="s">
        <v>58</v>
      </c>
      <c r="L2249" s="18" t="s">
        <v>52</v>
      </c>
      <c r="M2249" s="19">
        <v>60.0</v>
      </c>
      <c r="N2249" s="19">
        <v>31.0</v>
      </c>
    </row>
    <row r="2250">
      <c r="A2250" s="12">
        <v>2248.0</v>
      </c>
      <c r="B2250" s="13" t="s">
        <v>1714</v>
      </c>
      <c r="C2250" s="14">
        <v>78.0</v>
      </c>
      <c r="D2250" s="15" t="s">
        <v>4643</v>
      </c>
      <c r="E2250" s="16" t="s">
        <v>221</v>
      </c>
      <c r="F2250" s="13" t="s">
        <v>124</v>
      </c>
      <c r="G2250" s="13" t="s">
        <v>3085</v>
      </c>
      <c r="H2250" s="13" t="s">
        <v>3163</v>
      </c>
      <c r="I2250" s="13" t="s">
        <v>63</v>
      </c>
      <c r="J2250" s="17" t="s">
        <v>71</v>
      </c>
      <c r="K2250" s="17" t="s">
        <v>58</v>
      </c>
      <c r="L2250" s="18" t="s">
        <v>52</v>
      </c>
      <c r="M2250" s="19">
        <v>60.0</v>
      </c>
      <c r="N2250" s="19">
        <v>31.0</v>
      </c>
    </row>
    <row r="2251">
      <c r="A2251" s="12">
        <v>2249.0</v>
      </c>
      <c r="B2251" s="13" t="s">
        <v>1714</v>
      </c>
      <c r="C2251" s="14">
        <v>79.0</v>
      </c>
      <c r="D2251" s="15" t="s">
        <v>4643</v>
      </c>
      <c r="E2251" s="16" t="s">
        <v>221</v>
      </c>
      <c r="F2251" s="13" t="s">
        <v>212</v>
      </c>
      <c r="G2251" s="13" t="s">
        <v>213</v>
      </c>
      <c r="H2251" s="13" t="s">
        <v>215</v>
      </c>
      <c r="I2251" s="13" t="s">
        <v>63</v>
      </c>
      <c r="J2251" s="17" t="s">
        <v>71</v>
      </c>
      <c r="K2251" s="17" t="s">
        <v>58</v>
      </c>
      <c r="L2251" s="18" t="s">
        <v>52</v>
      </c>
      <c r="M2251" s="19">
        <v>60.0</v>
      </c>
      <c r="N2251" s="19">
        <v>31.0</v>
      </c>
    </row>
    <row r="2252">
      <c r="A2252" s="12">
        <v>2250.0</v>
      </c>
      <c r="B2252" s="13" t="s">
        <v>1714</v>
      </c>
      <c r="C2252" s="14">
        <v>80.0</v>
      </c>
      <c r="D2252" s="15" t="s">
        <v>4643</v>
      </c>
      <c r="E2252" s="16" t="s">
        <v>221</v>
      </c>
      <c r="F2252" s="13" t="s">
        <v>1690</v>
      </c>
      <c r="G2252" s="13" t="s">
        <v>1691</v>
      </c>
      <c r="H2252" s="13" t="s">
        <v>4118</v>
      </c>
      <c r="I2252" s="13" t="s">
        <v>63</v>
      </c>
      <c r="J2252" s="17" t="s">
        <v>71</v>
      </c>
      <c r="K2252" s="17" t="s">
        <v>58</v>
      </c>
      <c r="L2252" s="18" t="s">
        <v>52</v>
      </c>
      <c r="M2252" s="19">
        <v>60.0</v>
      </c>
      <c r="N2252" s="19">
        <v>31.0</v>
      </c>
    </row>
    <row r="2253">
      <c r="A2253" s="12">
        <v>2251.0</v>
      </c>
      <c r="B2253" s="13" t="s">
        <v>1714</v>
      </c>
      <c r="C2253" s="14">
        <v>81.0</v>
      </c>
      <c r="D2253" s="15" t="s">
        <v>4643</v>
      </c>
      <c r="E2253" s="16" t="s">
        <v>221</v>
      </c>
      <c r="F2253" s="13" t="s">
        <v>53</v>
      </c>
      <c r="G2253" s="13" t="s">
        <v>4531</v>
      </c>
      <c r="H2253" s="13" t="s">
        <v>4532</v>
      </c>
      <c r="I2253" s="13" t="s">
        <v>63</v>
      </c>
      <c r="J2253" s="17" t="s">
        <v>71</v>
      </c>
      <c r="K2253" s="17" t="s">
        <v>58</v>
      </c>
      <c r="L2253" s="18" t="s">
        <v>52</v>
      </c>
      <c r="M2253" s="19">
        <v>60.0</v>
      </c>
      <c r="N2253" s="19">
        <v>31.0</v>
      </c>
    </row>
    <row r="2254">
      <c r="A2254" s="12">
        <v>2252.0</v>
      </c>
      <c r="B2254" s="13" t="s">
        <v>1714</v>
      </c>
      <c r="C2254" s="14">
        <v>82.0</v>
      </c>
      <c r="D2254" s="15" t="s">
        <v>4643</v>
      </c>
      <c r="E2254" s="16" t="s">
        <v>221</v>
      </c>
      <c r="F2254" s="13" t="s">
        <v>1103</v>
      </c>
      <c r="G2254" s="13" t="s">
        <v>4786</v>
      </c>
      <c r="H2254" s="13" t="s">
        <v>4787</v>
      </c>
      <c r="I2254" s="13" t="s">
        <v>63</v>
      </c>
      <c r="J2254" s="17" t="s">
        <v>71</v>
      </c>
      <c r="K2254" s="17" t="s">
        <v>58</v>
      </c>
      <c r="L2254" s="18" t="s">
        <v>52</v>
      </c>
      <c r="M2254" s="19">
        <v>60.0</v>
      </c>
      <c r="N2254" s="19">
        <v>31.0</v>
      </c>
    </row>
    <row r="2255">
      <c r="A2255" s="12">
        <v>2253.0</v>
      </c>
      <c r="B2255" s="13" t="s">
        <v>1714</v>
      </c>
      <c r="C2255" s="14">
        <v>83.0</v>
      </c>
      <c r="D2255" s="15" t="s">
        <v>4643</v>
      </c>
      <c r="E2255" s="16" t="s">
        <v>221</v>
      </c>
      <c r="F2255" s="13" t="s">
        <v>104</v>
      </c>
      <c r="G2255" s="13" t="s">
        <v>105</v>
      </c>
      <c r="H2255" s="13" t="s">
        <v>106</v>
      </c>
      <c r="I2255" s="13" t="s">
        <v>63</v>
      </c>
      <c r="J2255" s="17" t="s">
        <v>71</v>
      </c>
      <c r="K2255" s="17" t="s">
        <v>58</v>
      </c>
      <c r="L2255" s="18" t="s">
        <v>52</v>
      </c>
      <c r="M2255" s="19">
        <v>60.0</v>
      </c>
      <c r="N2255" s="19">
        <v>31.0</v>
      </c>
    </row>
    <row r="2256">
      <c r="A2256" s="12">
        <v>2254.0</v>
      </c>
      <c r="B2256" s="13" t="s">
        <v>1714</v>
      </c>
      <c r="C2256" s="14">
        <v>84.0</v>
      </c>
      <c r="D2256" s="15" t="s">
        <v>4643</v>
      </c>
      <c r="E2256" s="16" t="s">
        <v>221</v>
      </c>
      <c r="F2256" s="13" t="s">
        <v>1356</v>
      </c>
      <c r="G2256" s="13" t="s">
        <v>4458</v>
      </c>
      <c r="H2256" s="13" t="s">
        <v>4788</v>
      </c>
      <c r="I2256" s="13" t="s">
        <v>63</v>
      </c>
      <c r="J2256" s="17" t="s">
        <v>71</v>
      </c>
      <c r="K2256" s="17" t="s">
        <v>58</v>
      </c>
      <c r="L2256" s="18" t="s">
        <v>52</v>
      </c>
      <c r="M2256" s="19">
        <v>60.0</v>
      </c>
      <c r="N2256" s="19">
        <v>31.0</v>
      </c>
    </row>
    <row r="2257">
      <c r="A2257" s="12">
        <v>2255.0</v>
      </c>
      <c r="B2257" s="13" t="s">
        <v>1714</v>
      </c>
      <c r="C2257" s="14">
        <v>85.0</v>
      </c>
      <c r="D2257" s="15" t="s">
        <v>4643</v>
      </c>
      <c r="E2257" s="16" t="s">
        <v>221</v>
      </c>
      <c r="F2257" s="13" t="s">
        <v>457</v>
      </c>
      <c r="G2257" s="13" t="s">
        <v>4789</v>
      </c>
      <c r="H2257" s="13" t="s">
        <v>4790</v>
      </c>
      <c r="I2257" s="13" t="s">
        <v>63</v>
      </c>
      <c r="J2257" s="17" t="s">
        <v>71</v>
      </c>
      <c r="K2257" s="17" t="s">
        <v>58</v>
      </c>
      <c r="L2257" s="18" t="s">
        <v>52</v>
      </c>
      <c r="M2257" s="19">
        <v>60.0</v>
      </c>
      <c r="N2257" s="19">
        <v>31.0</v>
      </c>
    </row>
    <row r="2258">
      <c r="A2258" s="12">
        <v>2256.0</v>
      </c>
      <c r="B2258" s="13" t="s">
        <v>1714</v>
      </c>
      <c r="C2258" s="14">
        <v>86.0</v>
      </c>
      <c r="D2258" s="15" t="s">
        <v>4643</v>
      </c>
      <c r="E2258" s="16" t="s">
        <v>221</v>
      </c>
      <c r="F2258" s="13" t="s">
        <v>4526</v>
      </c>
      <c r="G2258" s="13" t="s">
        <v>4527</v>
      </c>
      <c r="H2258" s="13" t="s">
        <v>4528</v>
      </c>
      <c r="I2258" s="13" t="s">
        <v>63</v>
      </c>
      <c r="J2258" s="17" t="s">
        <v>71</v>
      </c>
      <c r="K2258" s="17" t="s">
        <v>58</v>
      </c>
      <c r="L2258" s="18" t="s">
        <v>52</v>
      </c>
      <c r="M2258" s="19">
        <v>60.0</v>
      </c>
      <c r="N2258" s="19">
        <v>31.0</v>
      </c>
    </row>
    <row r="2259">
      <c r="A2259" s="12">
        <v>2257.0</v>
      </c>
      <c r="B2259" s="13" t="s">
        <v>1714</v>
      </c>
      <c r="C2259" s="14">
        <v>87.0</v>
      </c>
      <c r="D2259" s="15" t="s">
        <v>4643</v>
      </c>
      <c r="E2259" s="16" t="s">
        <v>221</v>
      </c>
      <c r="F2259" s="13" t="s">
        <v>444</v>
      </c>
      <c r="G2259" s="13" t="s">
        <v>4503</v>
      </c>
      <c r="H2259" s="13" t="s">
        <v>4791</v>
      </c>
      <c r="I2259" s="13" t="s">
        <v>63</v>
      </c>
      <c r="J2259" s="17" t="s">
        <v>71</v>
      </c>
      <c r="K2259" s="17" t="s">
        <v>58</v>
      </c>
      <c r="L2259" s="18" t="s">
        <v>52</v>
      </c>
      <c r="M2259" s="19">
        <v>60.0</v>
      </c>
      <c r="N2259" s="19">
        <v>31.0</v>
      </c>
    </row>
    <row r="2260">
      <c r="A2260" s="12">
        <v>2258.0</v>
      </c>
      <c r="B2260" s="13" t="s">
        <v>1714</v>
      </c>
      <c r="C2260" s="14">
        <v>88.0</v>
      </c>
      <c r="D2260" s="15" t="s">
        <v>4643</v>
      </c>
      <c r="E2260" s="16" t="s">
        <v>221</v>
      </c>
      <c r="F2260" s="13" t="s">
        <v>115</v>
      </c>
      <c r="G2260" s="13" t="s">
        <v>4792</v>
      </c>
      <c r="H2260" s="13" t="s">
        <v>4793</v>
      </c>
      <c r="I2260" s="13" t="s">
        <v>63</v>
      </c>
      <c r="J2260" s="17" t="s">
        <v>71</v>
      </c>
      <c r="K2260" s="17" t="s">
        <v>58</v>
      </c>
      <c r="L2260" s="18" t="s">
        <v>52</v>
      </c>
      <c r="M2260" s="19">
        <v>60.0</v>
      </c>
      <c r="N2260" s="19">
        <v>31.0</v>
      </c>
    </row>
    <row r="2261">
      <c r="A2261" s="12">
        <v>2259.0</v>
      </c>
      <c r="B2261" s="13" t="s">
        <v>1714</v>
      </c>
      <c r="C2261" s="14">
        <v>89.0</v>
      </c>
      <c r="D2261" s="15" t="s">
        <v>4643</v>
      </c>
      <c r="E2261" s="16" t="s">
        <v>221</v>
      </c>
      <c r="F2261" s="13" t="s">
        <v>2957</v>
      </c>
      <c r="G2261" s="13" t="s">
        <v>4794</v>
      </c>
      <c r="H2261" s="13" t="s">
        <v>4795</v>
      </c>
      <c r="I2261" s="13" t="s">
        <v>63</v>
      </c>
      <c r="J2261" s="17" t="s">
        <v>71</v>
      </c>
      <c r="K2261" s="17" t="s">
        <v>58</v>
      </c>
      <c r="L2261" s="18" t="s">
        <v>52</v>
      </c>
      <c r="M2261" s="19">
        <v>60.0</v>
      </c>
      <c r="N2261" s="19">
        <v>31.0</v>
      </c>
    </row>
    <row r="2262">
      <c r="A2262" s="12">
        <v>2260.0</v>
      </c>
      <c r="B2262" s="13" t="s">
        <v>1714</v>
      </c>
      <c r="C2262" s="14">
        <v>90.0</v>
      </c>
      <c r="D2262" s="15" t="s">
        <v>4643</v>
      </c>
      <c r="E2262" s="16" t="s">
        <v>221</v>
      </c>
      <c r="F2262" s="13" t="s">
        <v>1997</v>
      </c>
      <c r="G2262" s="13" t="s">
        <v>4523</v>
      </c>
      <c r="H2262" s="13" t="s">
        <v>4524</v>
      </c>
      <c r="I2262" s="13" t="s">
        <v>63</v>
      </c>
      <c r="J2262" s="17" t="s">
        <v>71</v>
      </c>
      <c r="K2262" s="17" t="s">
        <v>58</v>
      </c>
      <c r="L2262" s="18" t="s">
        <v>52</v>
      </c>
      <c r="M2262" s="19">
        <v>60.0</v>
      </c>
      <c r="N2262" s="19">
        <v>31.0</v>
      </c>
    </row>
    <row r="2263">
      <c r="A2263" s="12">
        <v>2261.0</v>
      </c>
      <c r="B2263" s="13" t="s">
        <v>1714</v>
      </c>
      <c r="C2263" s="14">
        <v>91.0</v>
      </c>
      <c r="D2263" s="15" t="s">
        <v>4643</v>
      </c>
      <c r="E2263" s="16" t="s">
        <v>221</v>
      </c>
      <c r="F2263" s="13" t="s">
        <v>3022</v>
      </c>
      <c r="G2263" s="13" t="s">
        <v>3023</v>
      </c>
      <c r="H2263" s="13" t="s">
        <v>4797</v>
      </c>
      <c r="I2263" s="13" t="s">
        <v>63</v>
      </c>
      <c r="J2263" s="17" t="s">
        <v>71</v>
      </c>
      <c r="K2263" s="17" t="s">
        <v>58</v>
      </c>
      <c r="L2263" s="18" t="s">
        <v>52</v>
      </c>
      <c r="M2263" s="19">
        <v>60.0</v>
      </c>
      <c r="N2263" s="19">
        <v>31.0</v>
      </c>
    </row>
    <row r="2264">
      <c r="A2264" s="12">
        <v>2262.0</v>
      </c>
      <c r="B2264" s="13" t="s">
        <v>1714</v>
      </c>
      <c r="C2264" s="14">
        <v>92.0</v>
      </c>
      <c r="D2264" s="15" t="s">
        <v>4643</v>
      </c>
      <c r="E2264" s="16" t="s">
        <v>221</v>
      </c>
      <c r="F2264" s="13" t="s">
        <v>1335</v>
      </c>
      <c r="G2264" s="13" t="s">
        <v>4798</v>
      </c>
      <c r="H2264" s="13" t="s">
        <v>4799</v>
      </c>
      <c r="I2264" s="13" t="s">
        <v>63</v>
      </c>
      <c r="J2264" s="17" t="s">
        <v>71</v>
      </c>
      <c r="K2264" s="17" t="s">
        <v>58</v>
      </c>
      <c r="L2264" s="18" t="s">
        <v>52</v>
      </c>
      <c r="M2264" s="19">
        <v>60.0</v>
      </c>
      <c r="N2264" s="19">
        <v>31.0</v>
      </c>
    </row>
    <row r="2265">
      <c r="A2265" s="12">
        <v>2263.0</v>
      </c>
      <c r="B2265" s="13" t="s">
        <v>1714</v>
      </c>
      <c r="C2265" s="14">
        <v>93.0</v>
      </c>
      <c r="D2265" s="15" t="s">
        <v>4643</v>
      </c>
      <c r="E2265" s="16" t="s">
        <v>221</v>
      </c>
      <c r="F2265" s="13" t="s">
        <v>4800</v>
      </c>
      <c r="G2265" s="13" t="s">
        <v>4801</v>
      </c>
      <c r="H2265" s="13" t="s">
        <v>4802</v>
      </c>
      <c r="I2265" s="13" t="s">
        <v>63</v>
      </c>
      <c r="J2265" s="17" t="s">
        <v>71</v>
      </c>
      <c r="K2265" s="17" t="s">
        <v>58</v>
      </c>
      <c r="L2265" s="18" t="s">
        <v>52</v>
      </c>
      <c r="M2265" s="19">
        <v>60.0</v>
      </c>
      <c r="N2265" s="19">
        <v>31.0</v>
      </c>
    </row>
    <row r="2266">
      <c r="A2266" s="12">
        <v>2264.0</v>
      </c>
      <c r="B2266" s="13" t="s">
        <v>1714</v>
      </c>
      <c r="C2266" s="14">
        <v>94.0</v>
      </c>
      <c r="D2266" s="15" t="s">
        <v>4643</v>
      </c>
      <c r="E2266" s="16" t="s">
        <v>221</v>
      </c>
      <c r="F2266" s="13" t="s">
        <v>2523</v>
      </c>
      <c r="G2266" s="13" t="s">
        <v>4803</v>
      </c>
      <c r="H2266" s="13" t="s">
        <v>4804</v>
      </c>
      <c r="I2266" s="13" t="s">
        <v>63</v>
      </c>
      <c r="J2266" s="17" t="s">
        <v>71</v>
      </c>
      <c r="K2266" s="17" t="s">
        <v>58</v>
      </c>
      <c r="L2266" s="18" t="s">
        <v>52</v>
      </c>
      <c r="M2266" s="19">
        <v>60.0</v>
      </c>
      <c r="N2266" s="19">
        <v>31.0</v>
      </c>
    </row>
    <row r="2267">
      <c r="A2267" s="12">
        <v>2265.0</v>
      </c>
      <c r="B2267" s="13" t="s">
        <v>1714</v>
      </c>
      <c r="C2267" s="14">
        <v>95.0</v>
      </c>
      <c r="D2267" s="15" t="s">
        <v>4643</v>
      </c>
      <c r="E2267" s="16" t="s">
        <v>221</v>
      </c>
      <c r="F2267" s="13" t="s">
        <v>1843</v>
      </c>
      <c r="G2267" s="13" t="s">
        <v>4805</v>
      </c>
      <c r="H2267" s="13" t="s">
        <v>4806</v>
      </c>
      <c r="I2267" s="13" t="s">
        <v>63</v>
      </c>
      <c r="J2267" s="17" t="s">
        <v>71</v>
      </c>
      <c r="K2267" s="17" t="s">
        <v>58</v>
      </c>
      <c r="L2267" s="18" t="s">
        <v>52</v>
      </c>
      <c r="M2267" s="19">
        <v>60.0</v>
      </c>
      <c r="N2267" s="19">
        <v>31.0</v>
      </c>
    </row>
    <row r="2268">
      <c r="A2268" s="12">
        <v>2266.0</v>
      </c>
      <c r="B2268" s="13" t="s">
        <v>1714</v>
      </c>
      <c r="C2268" s="14">
        <v>96.0</v>
      </c>
      <c r="D2268" s="15" t="s">
        <v>4643</v>
      </c>
      <c r="E2268" s="16" t="s">
        <v>221</v>
      </c>
      <c r="F2268" s="13" t="s">
        <v>75</v>
      </c>
      <c r="G2268" s="13" t="s">
        <v>76</v>
      </c>
      <c r="H2268" s="13" t="s">
        <v>4807</v>
      </c>
      <c r="I2268" s="13" t="s">
        <v>63</v>
      </c>
      <c r="J2268" s="17" t="s">
        <v>71</v>
      </c>
      <c r="K2268" s="17" t="s">
        <v>58</v>
      </c>
      <c r="L2268" s="18" t="s">
        <v>52</v>
      </c>
      <c r="M2268" s="19">
        <v>60.0</v>
      </c>
      <c r="N2268" s="19">
        <v>31.0</v>
      </c>
    </row>
    <row r="2269">
      <c r="A2269" s="12">
        <v>2267.0</v>
      </c>
      <c r="B2269" s="13" t="s">
        <v>1714</v>
      </c>
      <c r="C2269" s="14">
        <v>97.0</v>
      </c>
      <c r="D2269" s="15" t="s">
        <v>4643</v>
      </c>
      <c r="E2269" s="16" t="s">
        <v>221</v>
      </c>
      <c r="F2269" s="13" t="s">
        <v>1297</v>
      </c>
      <c r="G2269" s="13" t="s">
        <v>1408</v>
      </c>
      <c r="H2269" s="13" t="s">
        <v>1409</v>
      </c>
      <c r="I2269" s="13" t="s">
        <v>63</v>
      </c>
      <c r="J2269" s="17" t="s">
        <v>71</v>
      </c>
      <c r="K2269" s="17" t="s">
        <v>58</v>
      </c>
      <c r="L2269" s="18" t="s">
        <v>52</v>
      </c>
      <c r="M2269" s="19">
        <v>60.0</v>
      </c>
      <c r="N2269" s="19">
        <v>31.0</v>
      </c>
    </row>
    <row r="2270">
      <c r="A2270" s="12">
        <v>2268.0</v>
      </c>
      <c r="B2270" s="13" t="s">
        <v>1714</v>
      </c>
      <c r="C2270" s="14">
        <v>98.0</v>
      </c>
      <c r="D2270" s="15" t="s">
        <v>4643</v>
      </c>
      <c r="E2270" s="16" t="s">
        <v>221</v>
      </c>
      <c r="F2270" s="13" t="s">
        <v>2895</v>
      </c>
      <c r="G2270" s="13" t="s">
        <v>2896</v>
      </c>
      <c r="H2270" s="13" t="s">
        <v>2897</v>
      </c>
      <c r="I2270" s="13" t="s">
        <v>63</v>
      </c>
      <c r="J2270" s="17" t="s">
        <v>71</v>
      </c>
      <c r="K2270" s="17" t="s">
        <v>58</v>
      </c>
      <c r="L2270" s="18" t="s">
        <v>52</v>
      </c>
      <c r="M2270" s="19">
        <v>60.0</v>
      </c>
      <c r="N2270" s="19">
        <v>31.0</v>
      </c>
    </row>
    <row r="2271">
      <c r="A2271" s="12">
        <v>2269.0</v>
      </c>
      <c r="B2271" s="13" t="s">
        <v>1714</v>
      </c>
      <c r="C2271" s="14">
        <v>99.0</v>
      </c>
      <c r="D2271" s="15" t="s">
        <v>4643</v>
      </c>
      <c r="E2271" s="16" t="s">
        <v>221</v>
      </c>
      <c r="F2271" s="13" t="s">
        <v>4236</v>
      </c>
      <c r="G2271" s="13" t="s">
        <v>4632</v>
      </c>
      <c r="H2271" s="13" t="s">
        <v>4809</v>
      </c>
      <c r="I2271" s="13" t="s">
        <v>63</v>
      </c>
      <c r="J2271" s="17" t="s">
        <v>71</v>
      </c>
      <c r="K2271" s="17" t="s">
        <v>58</v>
      </c>
      <c r="L2271" s="18" t="s">
        <v>52</v>
      </c>
      <c r="M2271" s="19">
        <v>60.0</v>
      </c>
      <c r="N2271" s="19">
        <v>31.0</v>
      </c>
    </row>
    <row r="2272">
      <c r="A2272" s="12">
        <v>2270.0</v>
      </c>
      <c r="B2272" s="13" t="s">
        <v>1714</v>
      </c>
      <c r="C2272" s="14">
        <v>100.0</v>
      </c>
      <c r="D2272" s="15" t="s">
        <v>4643</v>
      </c>
      <c r="E2272" s="16" t="s">
        <v>221</v>
      </c>
      <c r="F2272" s="13" t="s">
        <v>1272</v>
      </c>
      <c r="G2272" s="13" t="s">
        <v>4810</v>
      </c>
      <c r="H2272" s="13" t="s">
        <v>4736</v>
      </c>
      <c r="I2272" s="13" t="s">
        <v>63</v>
      </c>
      <c r="J2272" s="17" t="s">
        <v>71</v>
      </c>
      <c r="K2272" s="17" t="s">
        <v>58</v>
      </c>
      <c r="L2272" s="18" t="s">
        <v>52</v>
      </c>
      <c r="M2272" s="19">
        <v>60.0</v>
      </c>
      <c r="N2272" s="19">
        <v>31.0</v>
      </c>
    </row>
    <row r="2273">
      <c r="A2273" s="12">
        <v>2271.0</v>
      </c>
      <c r="B2273" s="13" t="s">
        <v>1714</v>
      </c>
      <c r="C2273" s="14">
        <v>101.0</v>
      </c>
      <c r="D2273" s="15" t="s">
        <v>4643</v>
      </c>
      <c r="E2273" s="16" t="s">
        <v>221</v>
      </c>
      <c r="F2273" s="13" t="s">
        <v>1693</v>
      </c>
      <c r="G2273" s="13" t="s">
        <v>4811</v>
      </c>
      <c r="H2273" s="13" t="s">
        <v>4812</v>
      </c>
      <c r="I2273" s="13" t="s">
        <v>63</v>
      </c>
      <c r="J2273" s="17" t="s">
        <v>71</v>
      </c>
      <c r="K2273" s="17" t="s">
        <v>58</v>
      </c>
      <c r="L2273" s="18" t="s">
        <v>52</v>
      </c>
      <c r="M2273" s="19">
        <v>60.0</v>
      </c>
      <c r="N2273" s="19">
        <v>31.0</v>
      </c>
    </row>
    <row r="2274">
      <c r="A2274" s="12">
        <v>2272.0</v>
      </c>
      <c r="B2274" s="13" t="s">
        <v>1714</v>
      </c>
      <c r="C2274" s="14">
        <v>102.0</v>
      </c>
      <c r="D2274" s="15" t="s">
        <v>4643</v>
      </c>
      <c r="E2274" s="16" t="s">
        <v>221</v>
      </c>
      <c r="F2274" s="13" t="s">
        <v>3461</v>
      </c>
      <c r="G2274" s="13" t="s">
        <v>3483</v>
      </c>
      <c r="H2274" s="13" t="s">
        <v>4813</v>
      </c>
      <c r="I2274" s="13" t="s">
        <v>63</v>
      </c>
      <c r="J2274" s="17" t="s">
        <v>71</v>
      </c>
      <c r="K2274" s="17" t="s">
        <v>58</v>
      </c>
      <c r="L2274" s="18" t="s">
        <v>52</v>
      </c>
      <c r="M2274" s="19">
        <v>60.0</v>
      </c>
      <c r="N2274" s="19">
        <v>31.0</v>
      </c>
    </row>
    <row r="2275">
      <c r="A2275" s="12">
        <v>2273.0</v>
      </c>
      <c r="B2275" s="13" t="s">
        <v>1714</v>
      </c>
      <c r="C2275" s="14">
        <v>103.0</v>
      </c>
      <c r="D2275" s="15" t="s">
        <v>4643</v>
      </c>
      <c r="E2275" s="16" t="s">
        <v>221</v>
      </c>
      <c r="F2275" s="13" t="s">
        <v>2804</v>
      </c>
      <c r="G2275" s="13" t="s">
        <v>4814</v>
      </c>
      <c r="H2275" s="13" t="s">
        <v>4815</v>
      </c>
      <c r="I2275" s="13" t="s">
        <v>63</v>
      </c>
      <c r="J2275" s="17" t="s">
        <v>71</v>
      </c>
      <c r="K2275" s="17" t="s">
        <v>58</v>
      </c>
      <c r="L2275" s="18" t="s">
        <v>52</v>
      </c>
      <c r="M2275" s="19">
        <v>60.0</v>
      </c>
      <c r="N2275" s="19">
        <v>31.0</v>
      </c>
    </row>
    <row r="2276">
      <c r="A2276" s="12">
        <v>2274.0</v>
      </c>
      <c r="B2276" s="13" t="s">
        <v>1714</v>
      </c>
      <c r="C2276" s="14">
        <v>104.0</v>
      </c>
      <c r="D2276" s="15" t="s">
        <v>4643</v>
      </c>
      <c r="E2276" s="16" t="s">
        <v>221</v>
      </c>
      <c r="F2276" s="13" t="s">
        <v>2756</v>
      </c>
      <c r="G2276" s="13" t="s">
        <v>4538</v>
      </c>
      <c r="H2276" s="13" t="s">
        <v>4539</v>
      </c>
      <c r="I2276" s="13" t="s">
        <v>63</v>
      </c>
      <c r="J2276" s="17" t="s">
        <v>71</v>
      </c>
      <c r="K2276" s="17" t="s">
        <v>58</v>
      </c>
      <c r="L2276" s="18" t="s">
        <v>52</v>
      </c>
      <c r="M2276" s="19">
        <v>60.0</v>
      </c>
      <c r="N2276" s="19">
        <v>31.0</v>
      </c>
    </row>
    <row r="2277">
      <c r="A2277" s="12">
        <v>2275.0</v>
      </c>
      <c r="B2277" s="13" t="s">
        <v>1714</v>
      </c>
      <c r="C2277" s="14">
        <v>105.0</v>
      </c>
      <c r="D2277" s="15" t="s">
        <v>4643</v>
      </c>
      <c r="E2277" s="16" t="s">
        <v>221</v>
      </c>
      <c r="F2277" s="13" t="s">
        <v>2545</v>
      </c>
      <c r="G2277" s="13" t="s">
        <v>4061</v>
      </c>
      <c r="H2277" s="13" t="s">
        <v>4816</v>
      </c>
      <c r="I2277" s="13" t="s">
        <v>63</v>
      </c>
      <c r="J2277" s="17" t="s">
        <v>71</v>
      </c>
      <c r="K2277" s="17" t="s">
        <v>58</v>
      </c>
      <c r="L2277" s="18" t="s">
        <v>52</v>
      </c>
      <c r="M2277" s="19">
        <v>60.0</v>
      </c>
      <c r="N2277" s="19">
        <v>31.0</v>
      </c>
    </row>
    <row r="2278">
      <c r="A2278" s="12">
        <v>2276.0</v>
      </c>
      <c r="B2278" s="13" t="s">
        <v>1714</v>
      </c>
      <c r="C2278" s="14">
        <v>106.0</v>
      </c>
      <c r="D2278" s="15" t="s">
        <v>4643</v>
      </c>
      <c r="E2278" s="16" t="s">
        <v>221</v>
      </c>
      <c r="F2278" s="13" t="s">
        <v>3495</v>
      </c>
      <c r="G2278" s="13" t="s">
        <v>3496</v>
      </c>
      <c r="H2278" s="13" t="s">
        <v>4817</v>
      </c>
      <c r="I2278" s="13" t="s">
        <v>63</v>
      </c>
      <c r="J2278" s="17" t="s">
        <v>71</v>
      </c>
      <c r="K2278" s="17" t="s">
        <v>58</v>
      </c>
      <c r="L2278" s="18" t="s">
        <v>52</v>
      </c>
      <c r="M2278" s="19">
        <v>60.0</v>
      </c>
      <c r="N2278" s="19">
        <v>31.0</v>
      </c>
    </row>
    <row r="2279">
      <c r="A2279" s="12">
        <v>2277.0</v>
      </c>
      <c r="B2279" s="13" t="s">
        <v>1714</v>
      </c>
      <c r="C2279" s="14">
        <v>107.0</v>
      </c>
      <c r="D2279" s="15" t="s">
        <v>4643</v>
      </c>
      <c r="E2279" s="16" t="s">
        <v>221</v>
      </c>
      <c r="F2279" s="13" t="s">
        <v>2878</v>
      </c>
      <c r="G2279" s="13" t="s">
        <v>4818</v>
      </c>
      <c r="H2279" s="13" t="s">
        <v>4819</v>
      </c>
      <c r="I2279" s="13" t="s">
        <v>63</v>
      </c>
      <c r="J2279" s="17" t="s">
        <v>71</v>
      </c>
      <c r="K2279" s="17" t="s">
        <v>58</v>
      </c>
      <c r="L2279" s="18" t="s">
        <v>52</v>
      </c>
      <c r="M2279" s="19">
        <v>60.0</v>
      </c>
      <c r="N2279" s="19">
        <v>31.0</v>
      </c>
    </row>
    <row r="2280">
      <c r="A2280" s="12">
        <v>2278.0</v>
      </c>
      <c r="B2280" s="13" t="s">
        <v>1714</v>
      </c>
      <c r="C2280" s="14">
        <v>108.0</v>
      </c>
      <c r="D2280" s="15" t="s">
        <v>4643</v>
      </c>
      <c r="E2280" s="16" t="s">
        <v>221</v>
      </c>
      <c r="F2280" s="13" t="s">
        <v>4820</v>
      </c>
      <c r="G2280" s="13" t="s">
        <v>4821</v>
      </c>
      <c r="H2280" s="13" t="s">
        <v>4822</v>
      </c>
      <c r="I2280" s="13" t="s">
        <v>63</v>
      </c>
      <c r="J2280" s="17" t="s">
        <v>71</v>
      </c>
      <c r="K2280" s="17" t="s">
        <v>58</v>
      </c>
      <c r="L2280" s="18" t="s">
        <v>52</v>
      </c>
      <c r="M2280" s="19">
        <v>60.0</v>
      </c>
      <c r="N2280" s="19">
        <v>31.0</v>
      </c>
    </row>
    <row r="2281">
      <c r="A2281" s="12">
        <v>2279.0</v>
      </c>
      <c r="B2281" s="13" t="s">
        <v>1714</v>
      </c>
      <c r="C2281" s="14">
        <v>109.0</v>
      </c>
      <c r="D2281" s="15" t="s">
        <v>4643</v>
      </c>
      <c r="E2281" s="16" t="s">
        <v>221</v>
      </c>
      <c r="F2281" s="13" t="s">
        <v>1724</v>
      </c>
      <c r="G2281" s="13" t="s">
        <v>4823</v>
      </c>
      <c r="H2281" s="13" t="s">
        <v>4824</v>
      </c>
      <c r="I2281" s="13" t="s">
        <v>63</v>
      </c>
      <c r="J2281" s="17" t="s">
        <v>71</v>
      </c>
      <c r="K2281" s="17" t="s">
        <v>58</v>
      </c>
      <c r="L2281" s="18" t="s">
        <v>52</v>
      </c>
      <c r="M2281" s="19">
        <v>60.0</v>
      </c>
      <c r="N2281" s="19">
        <v>31.0</v>
      </c>
    </row>
    <row r="2282">
      <c r="A2282" s="12">
        <v>2280.0</v>
      </c>
      <c r="B2282" s="13" t="s">
        <v>1714</v>
      </c>
      <c r="C2282" s="14">
        <v>110.0</v>
      </c>
      <c r="D2282" s="15" t="s">
        <v>4643</v>
      </c>
      <c r="E2282" s="16" t="s">
        <v>221</v>
      </c>
      <c r="F2282" s="13" t="s">
        <v>2773</v>
      </c>
      <c r="G2282" s="13" t="s">
        <v>4826</v>
      </c>
      <c r="H2282" s="13" t="s">
        <v>4827</v>
      </c>
      <c r="I2282" s="13" t="s">
        <v>63</v>
      </c>
      <c r="J2282" s="17" t="s">
        <v>71</v>
      </c>
      <c r="K2282" s="17" t="s">
        <v>58</v>
      </c>
      <c r="L2282" s="18" t="s">
        <v>52</v>
      </c>
      <c r="M2282" s="19">
        <v>60.0</v>
      </c>
      <c r="N2282" s="19">
        <v>31.0</v>
      </c>
    </row>
    <row r="2283">
      <c r="A2283" s="12">
        <v>2281.0</v>
      </c>
      <c r="B2283" s="13" t="s">
        <v>1714</v>
      </c>
      <c r="C2283" s="14">
        <v>111.0</v>
      </c>
      <c r="D2283" s="15" t="s">
        <v>4643</v>
      </c>
      <c r="E2283" s="16" t="s">
        <v>221</v>
      </c>
      <c r="F2283" s="13" t="s">
        <v>4829</v>
      </c>
      <c r="G2283" s="13" t="s">
        <v>4830</v>
      </c>
      <c r="H2283" s="13" t="s">
        <v>4831</v>
      </c>
      <c r="I2283" s="13" t="s">
        <v>63</v>
      </c>
      <c r="J2283" s="17" t="s">
        <v>71</v>
      </c>
      <c r="K2283" s="17" t="s">
        <v>58</v>
      </c>
      <c r="L2283" s="18" t="s">
        <v>52</v>
      </c>
      <c r="M2283" s="19">
        <v>60.0</v>
      </c>
      <c r="N2283" s="19">
        <v>31.0</v>
      </c>
    </row>
    <row r="2284">
      <c r="A2284" s="12">
        <v>2282.0</v>
      </c>
      <c r="B2284" s="13" t="s">
        <v>1714</v>
      </c>
      <c r="C2284" s="14">
        <v>112.0</v>
      </c>
      <c r="D2284" s="15" t="s">
        <v>4643</v>
      </c>
      <c r="E2284" s="16" t="s">
        <v>221</v>
      </c>
      <c r="F2284" s="13" t="s">
        <v>3520</v>
      </c>
      <c r="G2284" s="13" t="s">
        <v>4832</v>
      </c>
      <c r="H2284" s="13" t="s">
        <v>4833</v>
      </c>
      <c r="I2284" s="13" t="s">
        <v>63</v>
      </c>
      <c r="J2284" s="17" t="s">
        <v>71</v>
      </c>
      <c r="K2284" s="17" t="s">
        <v>58</v>
      </c>
      <c r="L2284" s="18" t="s">
        <v>52</v>
      </c>
      <c r="M2284" s="19">
        <v>60.0</v>
      </c>
      <c r="N2284" s="19">
        <v>31.0</v>
      </c>
    </row>
    <row r="2285">
      <c r="A2285" s="12">
        <v>2283.0</v>
      </c>
      <c r="B2285" s="13" t="s">
        <v>1714</v>
      </c>
      <c r="C2285" s="14">
        <v>113.0</v>
      </c>
      <c r="D2285" s="15" t="s">
        <v>4643</v>
      </c>
      <c r="E2285" s="16" t="s">
        <v>221</v>
      </c>
      <c r="F2285" s="13" t="s">
        <v>81</v>
      </c>
      <c r="G2285" s="13" t="s">
        <v>4469</v>
      </c>
      <c r="H2285" s="13" t="s">
        <v>4835</v>
      </c>
      <c r="I2285" s="13" t="s">
        <v>63</v>
      </c>
      <c r="J2285" s="17" t="s">
        <v>71</v>
      </c>
      <c r="K2285" s="17" t="s">
        <v>58</v>
      </c>
      <c r="L2285" s="18" t="s">
        <v>52</v>
      </c>
      <c r="M2285" s="19">
        <v>60.0</v>
      </c>
      <c r="N2285" s="19">
        <v>31.0</v>
      </c>
    </row>
    <row r="2286">
      <c r="A2286" s="12">
        <v>2284.0</v>
      </c>
      <c r="B2286" s="13" t="s">
        <v>1714</v>
      </c>
      <c r="C2286" s="14">
        <v>114.0</v>
      </c>
      <c r="D2286" s="15" t="s">
        <v>4643</v>
      </c>
      <c r="E2286" s="16" t="s">
        <v>221</v>
      </c>
      <c r="F2286" s="13" t="s">
        <v>4836</v>
      </c>
      <c r="G2286" s="13" t="s">
        <v>4837</v>
      </c>
      <c r="H2286" s="13" t="s">
        <v>4838</v>
      </c>
      <c r="I2286" s="13" t="s">
        <v>63</v>
      </c>
      <c r="J2286" s="17" t="s">
        <v>71</v>
      </c>
      <c r="K2286" s="17" t="s">
        <v>58</v>
      </c>
      <c r="L2286" s="18" t="s">
        <v>52</v>
      </c>
      <c r="M2286" s="19">
        <v>60.0</v>
      </c>
      <c r="N2286" s="19">
        <v>31.0</v>
      </c>
    </row>
    <row r="2287">
      <c r="A2287" s="12">
        <v>2285.0</v>
      </c>
      <c r="B2287" s="13" t="s">
        <v>1714</v>
      </c>
      <c r="C2287" s="14">
        <v>115.0</v>
      </c>
      <c r="D2287" s="15" t="s">
        <v>4643</v>
      </c>
      <c r="E2287" s="16" t="s">
        <v>221</v>
      </c>
      <c r="F2287" s="13" t="s">
        <v>3590</v>
      </c>
      <c r="G2287" s="13" t="s">
        <v>4839</v>
      </c>
      <c r="H2287" s="13" t="s">
        <v>4840</v>
      </c>
      <c r="I2287" s="13" t="s">
        <v>63</v>
      </c>
      <c r="J2287" s="17" t="s">
        <v>71</v>
      </c>
      <c r="K2287" s="17" t="s">
        <v>58</v>
      </c>
      <c r="L2287" s="18" t="s">
        <v>52</v>
      </c>
      <c r="M2287" s="19">
        <v>60.0</v>
      </c>
      <c r="N2287" s="19">
        <v>31.0</v>
      </c>
    </row>
    <row r="2288">
      <c r="A2288" s="12">
        <v>2286.0</v>
      </c>
      <c r="B2288" s="13" t="s">
        <v>1714</v>
      </c>
      <c r="C2288" s="14">
        <v>116.0</v>
      </c>
      <c r="D2288" s="15" t="s">
        <v>4643</v>
      </c>
      <c r="E2288" s="16" t="s">
        <v>221</v>
      </c>
      <c r="F2288" s="13" t="s">
        <v>4842</v>
      </c>
      <c r="G2288" s="13" t="s">
        <v>4843</v>
      </c>
      <c r="H2288" s="13" t="s">
        <v>4844</v>
      </c>
      <c r="I2288" s="13" t="s">
        <v>63</v>
      </c>
      <c r="J2288" s="17" t="s">
        <v>71</v>
      </c>
      <c r="K2288" s="17" t="s">
        <v>58</v>
      </c>
      <c r="L2288" s="18" t="s">
        <v>52</v>
      </c>
      <c r="M2288" s="19">
        <v>60.0</v>
      </c>
      <c r="N2288" s="19">
        <v>31.0</v>
      </c>
    </row>
    <row r="2289">
      <c r="A2289" s="12">
        <v>2287.0</v>
      </c>
      <c r="B2289" s="13" t="s">
        <v>1714</v>
      </c>
      <c r="C2289" s="14">
        <v>117.0</v>
      </c>
      <c r="D2289" s="15" t="s">
        <v>4643</v>
      </c>
      <c r="E2289" s="16" t="s">
        <v>221</v>
      </c>
      <c r="F2289" s="13" t="s">
        <v>2466</v>
      </c>
      <c r="G2289" s="13" t="s">
        <v>2467</v>
      </c>
      <c r="H2289" s="13" t="s">
        <v>4845</v>
      </c>
      <c r="I2289" s="13" t="s">
        <v>63</v>
      </c>
      <c r="J2289" s="17" t="s">
        <v>71</v>
      </c>
      <c r="K2289" s="17" t="s">
        <v>58</v>
      </c>
      <c r="L2289" s="18" t="s">
        <v>52</v>
      </c>
      <c r="M2289" s="19">
        <v>60.0</v>
      </c>
      <c r="N2289" s="19">
        <v>31.0</v>
      </c>
    </row>
    <row r="2290">
      <c r="A2290" s="12">
        <v>2288.0</v>
      </c>
      <c r="B2290" s="13" t="s">
        <v>1714</v>
      </c>
      <c r="C2290" s="14">
        <v>118.0</v>
      </c>
      <c r="D2290" s="15" t="s">
        <v>4643</v>
      </c>
      <c r="E2290" s="16" t="s">
        <v>221</v>
      </c>
      <c r="F2290" s="13" t="s">
        <v>4847</v>
      </c>
      <c r="G2290" s="13" t="s">
        <v>4848</v>
      </c>
      <c r="H2290" s="13" t="s">
        <v>4849</v>
      </c>
      <c r="I2290" s="13" t="s">
        <v>63</v>
      </c>
      <c r="J2290" s="17" t="s">
        <v>71</v>
      </c>
      <c r="K2290" s="17" t="s">
        <v>58</v>
      </c>
      <c r="L2290" s="18" t="s">
        <v>52</v>
      </c>
      <c r="M2290" s="19">
        <v>60.0</v>
      </c>
      <c r="N2290" s="19">
        <v>31.0</v>
      </c>
    </row>
    <row r="2291">
      <c r="A2291" s="12">
        <v>2289.0</v>
      </c>
      <c r="B2291" s="13" t="s">
        <v>1714</v>
      </c>
      <c r="C2291" s="14">
        <v>119.0</v>
      </c>
      <c r="D2291" s="15" t="s">
        <v>4643</v>
      </c>
      <c r="E2291" s="16" t="s">
        <v>221</v>
      </c>
      <c r="F2291" s="13" t="s">
        <v>4561</v>
      </c>
      <c r="G2291" s="13" t="s">
        <v>4562</v>
      </c>
      <c r="H2291" s="13" t="s">
        <v>4851</v>
      </c>
      <c r="I2291" s="13" t="s">
        <v>63</v>
      </c>
      <c r="J2291" s="17" t="s">
        <v>71</v>
      </c>
      <c r="K2291" s="17" t="s">
        <v>58</v>
      </c>
      <c r="L2291" s="18" t="s">
        <v>52</v>
      </c>
      <c r="M2291" s="19">
        <v>60.0</v>
      </c>
      <c r="N2291" s="19">
        <v>31.0</v>
      </c>
    </row>
    <row r="2292">
      <c r="A2292" s="12">
        <v>2290.0</v>
      </c>
      <c r="B2292" s="13" t="s">
        <v>1714</v>
      </c>
      <c r="C2292" s="14">
        <v>120.0</v>
      </c>
      <c r="D2292" s="15" t="s">
        <v>4643</v>
      </c>
      <c r="E2292" s="16" t="s">
        <v>221</v>
      </c>
      <c r="F2292" s="13" t="s">
        <v>4852</v>
      </c>
      <c r="G2292" s="13" t="s">
        <v>4853</v>
      </c>
      <c r="H2292" s="13" t="s">
        <v>4854</v>
      </c>
      <c r="I2292" s="13" t="s">
        <v>63</v>
      </c>
      <c r="J2292" s="17" t="s">
        <v>71</v>
      </c>
      <c r="K2292" s="17" t="s">
        <v>58</v>
      </c>
      <c r="L2292" s="18" t="s">
        <v>52</v>
      </c>
      <c r="M2292" s="19">
        <v>60.0</v>
      </c>
      <c r="N2292" s="19">
        <v>31.0</v>
      </c>
    </row>
    <row r="2293">
      <c r="A2293" s="12">
        <v>2291.0</v>
      </c>
      <c r="B2293" s="13" t="s">
        <v>1714</v>
      </c>
      <c r="C2293" s="14">
        <v>121.0</v>
      </c>
      <c r="D2293" s="15" t="s">
        <v>4643</v>
      </c>
      <c r="E2293" s="16" t="s">
        <v>221</v>
      </c>
      <c r="F2293" s="13" t="s">
        <v>4026</v>
      </c>
      <c r="G2293" s="13" t="s">
        <v>4027</v>
      </c>
      <c r="H2293" s="13" t="s">
        <v>4856</v>
      </c>
      <c r="I2293" s="13" t="s">
        <v>63</v>
      </c>
      <c r="J2293" s="17" t="s">
        <v>71</v>
      </c>
      <c r="K2293" s="17" t="s">
        <v>58</v>
      </c>
      <c r="L2293" s="18" t="s">
        <v>52</v>
      </c>
      <c r="M2293" s="19">
        <v>60.0</v>
      </c>
      <c r="N2293" s="19">
        <v>31.0</v>
      </c>
    </row>
    <row r="2294">
      <c r="A2294" s="12">
        <v>2292.0</v>
      </c>
      <c r="B2294" s="13" t="s">
        <v>1714</v>
      </c>
      <c r="C2294" s="14">
        <v>122.0</v>
      </c>
      <c r="D2294" s="15" t="s">
        <v>4643</v>
      </c>
      <c r="E2294" s="16" t="s">
        <v>221</v>
      </c>
      <c r="F2294" s="13" t="s">
        <v>1417</v>
      </c>
      <c r="G2294" s="13" t="s">
        <v>1418</v>
      </c>
      <c r="H2294" s="13" t="s">
        <v>4736</v>
      </c>
      <c r="I2294" s="13" t="s">
        <v>63</v>
      </c>
      <c r="J2294" s="17" t="s">
        <v>71</v>
      </c>
      <c r="K2294" s="17" t="s">
        <v>58</v>
      </c>
      <c r="L2294" s="18" t="s">
        <v>52</v>
      </c>
      <c r="M2294" s="19">
        <v>60.0</v>
      </c>
      <c r="N2294" s="19">
        <v>31.0</v>
      </c>
    </row>
    <row r="2295">
      <c r="A2295" s="12">
        <v>2293.0</v>
      </c>
      <c r="B2295" s="13" t="s">
        <v>1714</v>
      </c>
      <c r="C2295" s="14">
        <v>123.0</v>
      </c>
      <c r="D2295" s="15" t="s">
        <v>4641</v>
      </c>
      <c r="E2295" s="16" t="s">
        <v>221</v>
      </c>
      <c r="F2295" s="13" t="s">
        <v>2417</v>
      </c>
      <c r="G2295" s="13" t="s">
        <v>3696</v>
      </c>
      <c r="H2295" s="13" t="s">
        <v>4857</v>
      </c>
      <c r="I2295" s="13" t="s">
        <v>63</v>
      </c>
      <c r="J2295" s="17" t="s">
        <v>71</v>
      </c>
      <c r="K2295" s="17" t="s">
        <v>58</v>
      </c>
      <c r="L2295" s="18" t="s">
        <v>52</v>
      </c>
      <c r="M2295" s="19">
        <v>60.0</v>
      </c>
      <c r="N2295" s="19">
        <v>31.0</v>
      </c>
    </row>
    <row r="2296">
      <c r="A2296" s="12">
        <v>2294.0</v>
      </c>
      <c r="B2296" s="13" t="s">
        <v>1714</v>
      </c>
      <c r="C2296" s="14">
        <v>124.0</v>
      </c>
      <c r="D2296" s="15" t="s">
        <v>4641</v>
      </c>
      <c r="E2296" s="16" t="s">
        <v>221</v>
      </c>
      <c r="F2296" s="13" t="s">
        <v>3679</v>
      </c>
      <c r="G2296" s="13" t="s">
        <v>4858</v>
      </c>
      <c r="H2296" s="13" t="s">
        <v>4518</v>
      </c>
      <c r="I2296" s="13" t="s">
        <v>63</v>
      </c>
      <c r="J2296" s="17" t="s">
        <v>71</v>
      </c>
      <c r="K2296" s="17" t="s">
        <v>58</v>
      </c>
      <c r="L2296" s="18" t="s">
        <v>52</v>
      </c>
      <c r="M2296" s="19">
        <v>60.0</v>
      </c>
      <c r="N2296" s="19">
        <v>31.0</v>
      </c>
    </row>
    <row r="2297">
      <c r="A2297" s="12">
        <v>2295.0</v>
      </c>
      <c r="B2297" s="13" t="s">
        <v>1714</v>
      </c>
      <c r="C2297" s="14">
        <v>125.0</v>
      </c>
      <c r="D2297" s="15" t="s">
        <v>4641</v>
      </c>
      <c r="E2297" s="16" t="s">
        <v>221</v>
      </c>
      <c r="F2297" s="13" t="s">
        <v>3543</v>
      </c>
      <c r="G2297" s="13" t="s">
        <v>61</v>
      </c>
      <c r="H2297" s="13" t="s">
        <v>4859</v>
      </c>
      <c r="I2297" s="13" t="s">
        <v>63</v>
      </c>
      <c r="J2297" s="17" t="s">
        <v>71</v>
      </c>
      <c r="K2297" s="17" t="s">
        <v>58</v>
      </c>
      <c r="L2297" s="18" t="s">
        <v>52</v>
      </c>
      <c r="M2297" s="19">
        <v>60.0</v>
      </c>
      <c r="N2297" s="19">
        <v>31.0</v>
      </c>
    </row>
    <row r="2298">
      <c r="A2298" s="12">
        <v>2296.0</v>
      </c>
      <c r="B2298" s="13" t="s">
        <v>1714</v>
      </c>
      <c r="C2298" s="14">
        <v>126.0</v>
      </c>
      <c r="D2298" s="15" t="s">
        <v>4641</v>
      </c>
      <c r="E2298" s="16" t="s">
        <v>221</v>
      </c>
      <c r="F2298" s="13" t="s">
        <v>3640</v>
      </c>
      <c r="G2298" s="13" t="s">
        <v>3641</v>
      </c>
      <c r="H2298" s="13" t="s">
        <v>4860</v>
      </c>
      <c r="I2298" s="13" t="s">
        <v>63</v>
      </c>
      <c r="J2298" s="17" t="s">
        <v>71</v>
      </c>
      <c r="K2298" s="17" t="s">
        <v>58</v>
      </c>
      <c r="L2298" s="18" t="s">
        <v>52</v>
      </c>
      <c r="M2298" s="19">
        <v>60.0</v>
      </c>
      <c r="N2298" s="19">
        <v>31.0</v>
      </c>
    </row>
    <row r="2299">
      <c r="A2299" s="12">
        <v>2297.0</v>
      </c>
      <c r="B2299" s="13" t="s">
        <v>1714</v>
      </c>
      <c r="C2299" s="14">
        <v>127.0</v>
      </c>
      <c r="D2299" s="15" t="s">
        <v>4641</v>
      </c>
      <c r="E2299" s="16" t="s">
        <v>221</v>
      </c>
      <c r="F2299" s="13" t="s">
        <v>3643</v>
      </c>
      <c r="G2299" s="13" t="s">
        <v>4861</v>
      </c>
      <c r="H2299" s="13" t="s">
        <v>4862</v>
      </c>
      <c r="I2299" s="13" t="s">
        <v>63</v>
      </c>
      <c r="J2299" s="17" t="s">
        <v>71</v>
      </c>
      <c r="K2299" s="17" t="s">
        <v>58</v>
      </c>
      <c r="L2299" s="18" t="s">
        <v>52</v>
      </c>
      <c r="M2299" s="19">
        <v>60.0</v>
      </c>
      <c r="N2299" s="19">
        <v>31.0</v>
      </c>
    </row>
    <row r="2300">
      <c r="A2300" s="12">
        <v>2298.0</v>
      </c>
      <c r="B2300" s="13" t="s">
        <v>1714</v>
      </c>
      <c r="C2300" s="14">
        <v>128.0</v>
      </c>
      <c r="D2300" s="15" t="s">
        <v>4641</v>
      </c>
      <c r="E2300" s="16" t="s">
        <v>221</v>
      </c>
      <c r="F2300" s="13" t="s">
        <v>1475</v>
      </c>
      <c r="G2300" s="13" t="s">
        <v>1476</v>
      </c>
      <c r="H2300" s="13" t="s">
        <v>4863</v>
      </c>
      <c r="I2300" s="13" t="s">
        <v>63</v>
      </c>
      <c r="J2300" s="17" t="s">
        <v>71</v>
      </c>
      <c r="K2300" s="17" t="s">
        <v>58</v>
      </c>
      <c r="L2300" s="18" t="s">
        <v>52</v>
      </c>
      <c r="M2300" s="19">
        <v>60.0</v>
      </c>
      <c r="N2300" s="19">
        <v>31.0</v>
      </c>
    </row>
    <row r="2301">
      <c r="A2301" s="12">
        <v>2299.0</v>
      </c>
      <c r="B2301" s="13" t="s">
        <v>1714</v>
      </c>
      <c r="C2301" s="14">
        <v>129.0</v>
      </c>
      <c r="D2301" s="15" t="s">
        <v>4641</v>
      </c>
      <c r="E2301" s="16" t="s">
        <v>221</v>
      </c>
      <c r="F2301" s="13" t="s">
        <v>3348</v>
      </c>
      <c r="G2301" s="13" t="s">
        <v>4864</v>
      </c>
      <c r="H2301" s="13" t="s">
        <v>4865</v>
      </c>
      <c r="I2301" s="13" t="s">
        <v>63</v>
      </c>
      <c r="J2301" s="17" t="s">
        <v>71</v>
      </c>
      <c r="K2301" s="17" t="s">
        <v>58</v>
      </c>
      <c r="L2301" s="18" t="s">
        <v>52</v>
      </c>
      <c r="M2301" s="19">
        <v>60.0</v>
      </c>
      <c r="N2301" s="19">
        <v>31.0</v>
      </c>
    </row>
    <row r="2302">
      <c r="A2302" s="12">
        <v>2300.0</v>
      </c>
      <c r="B2302" s="13" t="s">
        <v>1714</v>
      </c>
      <c r="C2302" s="14">
        <v>130.0</v>
      </c>
      <c r="D2302" s="15" t="s">
        <v>4641</v>
      </c>
      <c r="E2302" s="16" t="s">
        <v>221</v>
      </c>
      <c r="F2302" s="13" t="s">
        <v>3328</v>
      </c>
      <c r="G2302" s="13" t="s">
        <v>3538</v>
      </c>
      <c r="H2302" s="13" t="s">
        <v>3539</v>
      </c>
      <c r="I2302" s="13" t="s">
        <v>63</v>
      </c>
      <c r="J2302" s="17" t="s">
        <v>71</v>
      </c>
      <c r="K2302" s="17" t="s">
        <v>58</v>
      </c>
      <c r="L2302" s="18" t="s">
        <v>52</v>
      </c>
      <c r="M2302" s="19">
        <v>60.0</v>
      </c>
      <c r="N2302" s="19">
        <v>31.0</v>
      </c>
    </row>
    <row r="2303">
      <c r="A2303" s="12">
        <v>2301.0</v>
      </c>
      <c r="B2303" s="13" t="s">
        <v>1714</v>
      </c>
      <c r="C2303" s="14">
        <v>131.0</v>
      </c>
      <c r="D2303" s="15" t="s">
        <v>4641</v>
      </c>
      <c r="E2303" s="16" t="s">
        <v>221</v>
      </c>
      <c r="F2303" s="13" t="s">
        <v>707</v>
      </c>
      <c r="G2303" s="13" t="s">
        <v>4866</v>
      </c>
      <c r="H2303" s="13" t="s">
        <v>4867</v>
      </c>
      <c r="I2303" s="13" t="s">
        <v>63</v>
      </c>
      <c r="J2303" s="17" t="s">
        <v>71</v>
      </c>
      <c r="K2303" s="17" t="s">
        <v>58</v>
      </c>
      <c r="L2303" s="18" t="s">
        <v>52</v>
      </c>
      <c r="M2303" s="19">
        <v>60.0</v>
      </c>
      <c r="N2303" s="19">
        <v>31.0</v>
      </c>
    </row>
    <row r="2304">
      <c r="A2304" s="12">
        <v>2302.0</v>
      </c>
      <c r="B2304" s="13" t="s">
        <v>1714</v>
      </c>
      <c r="C2304" s="14">
        <v>132.0</v>
      </c>
      <c r="D2304" s="15" t="s">
        <v>4641</v>
      </c>
      <c r="E2304" s="16" t="s">
        <v>221</v>
      </c>
      <c r="F2304" s="13" t="s">
        <v>4868</v>
      </c>
      <c r="G2304" s="13" t="s">
        <v>61</v>
      </c>
      <c r="H2304" s="13" t="s">
        <v>4869</v>
      </c>
      <c r="I2304" s="13" t="s">
        <v>63</v>
      </c>
      <c r="J2304" s="17" t="s">
        <v>71</v>
      </c>
      <c r="K2304" s="17" t="s">
        <v>58</v>
      </c>
      <c r="L2304" s="18" t="s">
        <v>52</v>
      </c>
      <c r="M2304" s="19">
        <v>60.0</v>
      </c>
      <c r="N2304" s="19">
        <v>31.0</v>
      </c>
    </row>
    <row r="2305">
      <c r="A2305" s="12">
        <v>2303.0</v>
      </c>
      <c r="B2305" s="13" t="s">
        <v>1714</v>
      </c>
      <c r="C2305" s="14">
        <v>133.0</v>
      </c>
      <c r="D2305" s="15" t="s">
        <v>4641</v>
      </c>
      <c r="E2305" s="16" t="s">
        <v>221</v>
      </c>
      <c r="F2305" s="13" t="s">
        <v>2883</v>
      </c>
      <c r="G2305" s="13" t="s">
        <v>4115</v>
      </c>
      <c r="H2305" s="13" t="s">
        <v>4870</v>
      </c>
      <c r="I2305" s="13" t="s">
        <v>63</v>
      </c>
      <c r="J2305" s="17" t="s">
        <v>71</v>
      </c>
      <c r="K2305" s="17" t="s">
        <v>58</v>
      </c>
      <c r="L2305" s="18" t="s">
        <v>52</v>
      </c>
      <c r="M2305" s="19">
        <v>60.0</v>
      </c>
      <c r="N2305" s="19">
        <v>31.0</v>
      </c>
    </row>
    <row r="2306">
      <c r="A2306" s="12">
        <v>2304.0</v>
      </c>
      <c r="B2306" s="13" t="s">
        <v>1714</v>
      </c>
      <c r="C2306" s="14">
        <v>134.0</v>
      </c>
      <c r="D2306" s="15" t="s">
        <v>4641</v>
      </c>
      <c r="E2306" s="16" t="s">
        <v>221</v>
      </c>
      <c r="F2306" s="13" t="s">
        <v>91</v>
      </c>
      <c r="G2306" s="13" t="s">
        <v>92</v>
      </c>
      <c r="H2306" s="13" t="s">
        <v>93</v>
      </c>
      <c r="I2306" s="13" t="s">
        <v>63</v>
      </c>
      <c r="J2306" s="17" t="s">
        <v>71</v>
      </c>
      <c r="K2306" s="17" t="s">
        <v>58</v>
      </c>
      <c r="L2306" s="18" t="s">
        <v>52</v>
      </c>
      <c r="M2306" s="19">
        <v>60.0</v>
      </c>
      <c r="N2306" s="19">
        <v>31.0</v>
      </c>
    </row>
    <row r="2307">
      <c r="A2307" s="12">
        <v>2305.0</v>
      </c>
      <c r="B2307" s="13" t="s">
        <v>1714</v>
      </c>
      <c r="C2307" s="14">
        <v>135.0</v>
      </c>
      <c r="D2307" s="15" t="s">
        <v>4641</v>
      </c>
      <c r="E2307" s="16" t="s">
        <v>221</v>
      </c>
      <c r="F2307" s="13" t="s">
        <v>50</v>
      </c>
      <c r="G2307" s="13" t="s">
        <v>61</v>
      </c>
      <c r="H2307" s="13" t="s">
        <v>4871</v>
      </c>
      <c r="I2307" s="13" t="s">
        <v>63</v>
      </c>
      <c r="J2307" s="17" t="s">
        <v>71</v>
      </c>
      <c r="K2307" s="17" t="s">
        <v>58</v>
      </c>
      <c r="L2307" s="18" t="s">
        <v>52</v>
      </c>
      <c r="M2307" s="19">
        <v>60.0</v>
      </c>
      <c r="N2307" s="19">
        <v>31.0</v>
      </c>
    </row>
    <row r="2308">
      <c r="A2308" s="12">
        <v>2306.0</v>
      </c>
      <c r="B2308" s="13" t="s">
        <v>1714</v>
      </c>
      <c r="C2308" s="14">
        <v>136.0</v>
      </c>
      <c r="D2308" s="15" t="s">
        <v>4641</v>
      </c>
      <c r="E2308" s="16" t="s">
        <v>221</v>
      </c>
      <c r="F2308" s="13" t="s">
        <v>140</v>
      </c>
      <c r="G2308" s="13" t="s">
        <v>141</v>
      </c>
      <c r="H2308" s="13" t="s">
        <v>4872</v>
      </c>
      <c r="I2308" s="13" t="s">
        <v>63</v>
      </c>
      <c r="J2308" s="17" t="s">
        <v>71</v>
      </c>
      <c r="K2308" s="17" t="s">
        <v>58</v>
      </c>
      <c r="L2308" s="18" t="s">
        <v>52</v>
      </c>
      <c r="M2308" s="19">
        <v>60.0</v>
      </c>
      <c r="N2308" s="19">
        <v>31.0</v>
      </c>
    </row>
    <row r="2309">
      <c r="A2309" s="12">
        <v>2307.0</v>
      </c>
      <c r="B2309" s="13" t="s">
        <v>1714</v>
      </c>
      <c r="C2309" s="14">
        <v>137.0</v>
      </c>
      <c r="D2309" s="15" t="s">
        <v>4641</v>
      </c>
      <c r="E2309" s="16" t="s">
        <v>221</v>
      </c>
      <c r="F2309" s="13" t="s">
        <v>107</v>
      </c>
      <c r="G2309" s="13" t="s">
        <v>4873</v>
      </c>
      <c r="H2309" s="13" t="s">
        <v>4874</v>
      </c>
      <c r="I2309" s="13" t="s">
        <v>63</v>
      </c>
      <c r="J2309" s="17" t="s">
        <v>71</v>
      </c>
      <c r="K2309" s="17" t="s">
        <v>58</v>
      </c>
      <c r="L2309" s="18" t="s">
        <v>52</v>
      </c>
      <c r="M2309" s="19">
        <v>60.0</v>
      </c>
      <c r="N2309" s="19">
        <v>31.0</v>
      </c>
    </row>
    <row r="2310">
      <c r="A2310" s="12">
        <v>2308.0</v>
      </c>
      <c r="B2310" s="13" t="s">
        <v>1714</v>
      </c>
      <c r="C2310" s="14">
        <v>138.0</v>
      </c>
      <c r="D2310" s="15" t="s">
        <v>4641</v>
      </c>
      <c r="E2310" s="16" t="s">
        <v>221</v>
      </c>
      <c r="F2310" s="13" t="s">
        <v>109</v>
      </c>
      <c r="G2310" s="13" t="s">
        <v>110</v>
      </c>
      <c r="H2310" s="13" t="s">
        <v>111</v>
      </c>
      <c r="I2310" s="13" t="s">
        <v>63</v>
      </c>
      <c r="J2310" s="17" t="s">
        <v>71</v>
      </c>
      <c r="K2310" s="17" t="s">
        <v>58</v>
      </c>
      <c r="L2310" s="18" t="s">
        <v>52</v>
      </c>
      <c r="M2310" s="19">
        <v>60.0</v>
      </c>
      <c r="N2310" s="19">
        <v>31.0</v>
      </c>
    </row>
    <row r="2311">
      <c r="A2311" s="12">
        <v>2309.0</v>
      </c>
      <c r="B2311" s="13" t="s">
        <v>1714</v>
      </c>
      <c r="C2311" s="14">
        <v>139.0</v>
      </c>
      <c r="D2311" s="15" t="s">
        <v>4641</v>
      </c>
      <c r="E2311" s="16" t="s">
        <v>221</v>
      </c>
      <c r="F2311" s="13" t="s">
        <v>1732</v>
      </c>
      <c r="G2311" s="13" t="s">
        <v>1733</v>
      </c>
      <c r="H2311" s="13" t="s">
        <v>4875</v>
      </c>
      <c r="I2311" s="13" t="s">
        <v>63</v>
      </c>
      <c r="J2311" s="17" t="s">
        <v>71</v>
      </c>
      <c r="K2311" s="17" t="s">
        <v>58</v>
      </c>
      <c r="L2311" s="18" t="s">
        <v>52</v>
      </c>
      <c r="M2311" s="19">
        <v>60.0</v>
      </c>
      <c r="N2311" s="19">
        <v>31.0</v>
      </c>
    </row>
    <row r="2312">
      <c r="A2312" s="12">
        <v>2310.0</v>
      </c>
      <c r="B2312" s="13" t="s">
        <v>1714</v>
      </c>
      <c r="C2312" s="14">
        <v>140.0</v>
      </c>
      <c r="D2312" s="15" t="s">
        <v>4641</v>
      </c>
      <c r="E2312" s="16" t="s">
        <v>221</v>
      </c>
      <c r="F2312" s="13" t="s">
        <v>94</v>
      </c>
      <c r="G2312" s="13" t="s">
        <v>61</v>
      </c>
      <c r="H2312" s="13" t="s">
        <v>4876</v>
      </c>
      <c r="I2312" s="13" t="s">
        <v>63</v>
      </c>
      <c r="J2312" s="17" t="s">
        <v>71</v>
      </c>
      <c r="K2312" s="17" t="s">
        <v>58</v>
      </c>
      <c r="L2312" s="18" t="s">
        <v>52</v>
      </c>
      <c r="M2312" s="19">
        <v>60.0</v>
      </c>
      <c r="N2312" s="19">
        <v>31.0</v>
      </c>
    </row>
    <row r="2313">
      <c r="A2313" s="12">
        <v>2311.0</v>
      </c>
      <c r="B2313" s="13" t="s">
        <v>1714</v>
      </c>
      <c r="C2313" s="14">
        <v>141.0</v>
      </c>
      <c r="D2313" s="15" t="s">
        <v>4641</v>
      </c>
      <c r="E2313" s="16" t="s">
        <v>221</v>
      </c>
      <c r="F2313" s="13" t="s">
        <v>96</v>
      </c>
      <c r="G2313" s="13" t="s">
        <v>4877</v>
      </c>
      <c r="H2313" s="13" t="s">
        <v>4878</v>
      </c>
      <c r="I2313" s="13" t="s">
        <v>63</v>
      </c>
      <c r="J2313" s="17" t="s">
        <v>71</v>
      </c>
      <c r="K2313" s="17" t="s">
        <v>58</v>
      </c>
      <c r="L2313" s="18" t="s">
        <v>52</v>
      </c>
      <c r="M2313" s="19">
        <v>60.0</v>
      </c>
      <c r="N2313" s="19">
        <v>31.0</v>
      </c>
    </row>
    <row r="2314">
      <c r="A2314" s="12">
        <v>2312.0</v>
      </c>
      <c r="B2314" s="13" t="s">
        <v>1714</v>
      </c>
      <c r="C2314" s="14">
        <v>142.0</v>
      </c>
      <c r="D2314" s="15" t="s">
        <v>4641</v>
      </c>
      <c r="E2314" s="16" t="s">
        <v>221</v>
      </c>
      <c r="F2314" s="13" t="s">
        <v>101</v>
      </c>
      <c r="G2314" s="13" t="s">
        <v>3197</v>
      </c>
      <c r="H2314" s="13" t="s">
        <v>4518</v>
      </c>
      <c r="I2314" s="13" t="s">
        <v>63</v>
      </c>
      <c r="J2314" s="17" t="s">
        <v>71</v>
      </c>
      <c r="K2314" s="17" t="s">
        <v>58</v>
      </c>
      <c r="L2314" s="18" t="s">
        <v>52</v>
      </c>
      <c r="M2314" s="19">
        <v>60.0</v>
      </c>
      <c r="N2314" s="19">
        <v>31.0</v>
      </c>
    </row>
    <row r="2315">
      <c r="A2315" s="12">
        <v>2313.0</v>
      </c>
      <c r="B2315" s="13" t="s">
        <v>1714</v>
      </c>
      <c r="C2315" s="14">
        <v>143.0</v>
      </c>
      <c r="D2315" s="15" t="s">
        <v>4641</v>
      </c>
      <c r="E2315" s="16" t="s">
        <v>221</v>
      </c>
      <c r="F2315" s="13" t="s">
        <v>68</v>
      </c>
      <c r="G2315" s="13" t="s">
        <v>61</v>
      </c>
      <c r="H2315" s="13" t="s">
        <v>4879</v>
      </c>
      <c r="I2315" s="13" t="s">
        <v>63</v>
      </c>
      <c r="J2315" s="17" t="s">
        <v>71</v>
      </c>
      <c r="K2315" s="17" t="s">
        <v>58</v>
      </c>
      <c r="L2315" s="18" t="s">
        <v>52</v>
      </c>
      <c r="M2315" s="19">
        <v>60.0</v>
      </c>
      <c r="N2315" s="19">
        <v>31.0</v>
      </c>
    </row>
    <row r="2316">
      <c r="A2316" s="12">
        <v>2314.0</v>
      </c>
      <c r="B2316" s="13" t="s">
        <v>1714</v>
      </c>
      <c r="C2316" s="14">
        <v>144.0</v>
      </c>
      <c r="D2316" s="15" t="s">
        <v>4641</v>
      </c>
      <c r="E2316" s="16" t="s">
        <v>221</v>
      </c>
      <c r="F2316" s="13" t="s">
        <v>2965</v>
      </c>
      <c r="G2316" s="13" t="s">
        <v>4880</v>
      </c>
      <c r="H2316" s="13" t="s">
        <v>4881</v>
      </c>
      <c r="I2316" s="13" t="s">
        <v>63</v>
      </c>
      <c r="J2316" s="17" t="s">
        <v>71</v>
      </c>
      <c r="K2316" s="17" t="s">
        <v>58</v>
      </c>
      <c r="L2316" s="18" t="s">
        <v>52</v>
      </c>
      <c r="M2316" s="19">
        <v>60.0</v>
      </c>
      <c r="N2316" s="19">
        <v>31.0</v>
      </c>
    </row>
    <row r="2317">
      <c r="A2317" s="12">
        <v>2315.0</v>
      </c>
      <c r="B2317" s="13" t="s">
        <v>1714</v>
      </c>
      <c r="C2317" s="14">
        <v>145.0</v>
      </c>
      <c r="D2317" s="15" t="s">
        <v>4641</v>
      </c>
      <c r="E2317" s="16" t="s">
        <v>221</v>
      </c>
      <c r="F2317" s="13" t="s">
        <v>2458</v>
      </c>
      <c r="G2317" s="13" t="s">
        <v>2459</v>
      </c>
      <c r="H2317" s="13" t="s">
        <v>4882</v>
      </c>
      <c r="I2317" s="13" t="s">
        <v>63</v>
      </c>
      <c r="J2317" s="17" t="s">
        <v>71</v>
      </c>
      <c r="K2317" s="17" t="s">
        <v>58</v>
      </c>
      <c r="L2317" s="18" t="s">
        <v>52</v>
      </c>
      <c r="M2317" s="19">
        <v>60.0</v>
      </c>
      <c r="N2317" s="19">
        <v>31.0</v>
      </c>
    </row>
    <row r="2318">
      <c r="A2318" s="12">
        <v>2316.0</v>
      </c>
      <c r="B2318" s="13" t="s">
        <v>1714</v>
      </c>
      <c r="C2318" s="14">
        <v>146.0</v>
      </c>
      <c r="D2318" s="15" t="s">
        <v>4641</v>
      </c>
      <c r="E2318" s="16" t="s">
        <v>221</v>
      </c>
      <c r="F2318" s="13" t="s">
        <v>4282</v>
      </c>
      <c r="G2318" s="13" t="s">
        <v>4883</v>
      </c>
      <c r="H2318" s="13" t="s">
        <v>4884</v>
      </c>
      <c r="I2318" s="13" t="s">
        <v>63</v>
      </c>
      <c r="J2318" s="17" t="s">
        <v>71</v>
      </c>
      <c r="K2318" s="17" t="s">
        <v>58</v>
      </c>
      <c r="L2318" s="18" t="s">
        <v>52</v>
      </c>
      <c r="M2318" s="19">
        <v>60.0</v>
      </c>
      <c r="N2318" s="19">
        <v>31.0</v>
      </c>
    </row>
    <row r="2319">
      <c r="A2319" s="12">
        <v>2317.0</v>
      </c>
      <c r="B2319" s="13" t="s">
        <v>1714</v>
      </c>
      <c r="C2319" s="14">
        <v>147.0</v>
      </c>
      <c r="D2319" s="15" t="s">
        <v>4641</v>
      </c>
      <c r="E2319" s="16" t="s">
        <v>221</v>
      </c>
      <c r="F2319" s="13" t="s">
        <v>2816</v>
      </c>
      <c r="G2319" s="13" t="s">
        <v>3772</v>
      </c>
      <c r="H2319" s="13" t="s">
        <v>4885</v>
      </c>
      <c r="I2319" s="13" t="s">
        <v>63</v>
      </c>
      <c r="J2319" s="17" t="s">
        <v>71</v>
      </c>
      <c r="K2319" s="17" t="s">
        <v>58</v>
      </c>
      <c r="L2319" s="18" t="s">
        <v>52</v>
      </c>
      <c r="M2319" s="19">
        <v>60.0</v>
      </c>
      <c r="N2319" s="19">
        <v>31.0</v>
      </c>
    </row>
    <row r="2320">
      <c r="A2320" s="12">
        <v>2318.0</v>
      </c>
      <c r="B2320" s="13" t="s">
        <v>1714</v>
      </c>
      <c r="C2320" s="14">
        <v>148.0</v>
      </c>
      <c r="D2320" s="15" t="s">
        <v>4641</v>
      </c>
      <c r="E2320" s="16" t="s">
        <v>221</v>
      </c>
      <c r="F2320" s="13" t="s">
        <v>2450</v>
      </c>
      <c r="G2320" s="13" t="s">
        <v>61</v>
      </c>
      <c r="H2320" s="13" t="s">
        <v>4886</v>
      </c>
      <c r="I2320" s="13" t="s">
        <v>63</v>
      </c>
      <c r="J2320" s="17" t="s">
        <v>71</v>
      </c>
      <c r="K2320" s="17" t="s">
        <v>58</v>
      </c>
      <c r="L2320" s="18" t="s">
        <v>52</v>
      </c>
      <c r="M2320" s="19">
        <v>60.0</v>
      </c>
      <c r="N2320" s="19">
        <v>31.0</v>
      </c>
    </row>
    <row r="2321">
      <c r="A2321" s="12">
        <v>2319.0</v>
      </c>
      <c r="B2321" s="13" t="s">
        <v>1714</v>
      </c>
      <c r="C2321" s="14">
        <v>149.0</v>
      </c>
      <c r="D2321" s="15" t="s">
        <v>4641</v>
      </c>
      <c r="E2321" s="16" t="s">
        <v>221</v>
      </c>
      <c r="F2321" s="13" t="s">
        <v>1512</v>
      </c>
      <c r="G2321" s="13" t="s">
        <v>61</v>
      </c>
      <c r="H2321" s="13" t="s">
        <v>4887</v>
      </c>
      <c r="I2321" s="13" t="s">
        <v>63</v>
      </c>
      <c r="J2321" s="17" t="s">
        <v>71</v>
      </c>
      <c r="K2321" s="17" t="s">
        <v>58</v>
      </c>
      <c r="L2321" s="18" t="s">
        <v>52</v>
      </c>
      <c r="M2321" s="19">
        <v>60.0</v>
      </c>
      <c r="N2321" s="19">
        <v>31.0</v>
      </c>
    </row>
    <row r="2322">
      <c r="A2322" s="12">
        <v>2320.0</v>
      </c>
      <c r="B2322" s="13" t="s">
        <v>1714</v>
      </c>
      <c r="C2322" s="14">
        <v>150.0</v>
      </c>
      <c r="D2322" s="15" t="s">
        <v>4641</v>
      </c>
      <c r="E2322" s="16" t="s">
        <v>221</v>
      </c>
      <c r="F2322" s="13" t="s">
        <v>1812</v>
      </c>
      <c r="G2322" s="13" t="s">
        <v>4888</v>
      </c>
      <c r="H2322" s="13" t="s">
        <v>4889</v>
      </c>
      <c r="I2322" s="13" t="s">
        <v>63</v>
      </c>
      <c r="J2322" s="17" t="s">
        <v>71</v>
      </c>
      <c r="K2322" s="17" t="s">
        <v>58</v>
      </c>
      <c r="L2322" s="18" t="s">
        <v>52</v>
      </c>
      <c r="M2322" s="19">
        <v>60.0</v>
      </c>
      <c r="N2322" s="19">
        <v>31.0</v>
      </c>
    </row>
    <row r="2323">
      <c r="A2323" s="12">
        <v>2321.0</v>
      </c>
      <c r="B2323" s="13" t="s">
        <v>1714</v>
      </c>
      <c r="C2323" s="14">
        <v>151.0</v>
      </c>
      <c r="D2323" s="15" t="s">
        <v>4641</v>
      </c>
      <c r="E2323" s="16" t="s">
        <v>221</v>
      </c>
      <c r="F2323" s="13" t="s">
        <v>4505</v>
      </c>
      <c r="G2323" s="13" t="s">
        <v>4506</v>
      </c>
      <c r="H2323" s="13" t="s">
        <v>4507</v>
      </c>
      <c r="I2323" s="13" t="s">
        <v>63</v>
      </c>
      <c r="J2323" s="17" t="s">
        <v>71</v>
      </c>
      <c r="K2323" s="17" t="s">
        <v>58</v>
      </c>
      <c r="L2323" s="18" t="s">
        <v>52</v>
      </c>
      <c r="M2323" s="19">
        <v>60.0</v>
      </c>
      <c r="N2323" s="19">
        <v>31.0</v>
      </c>
    </row>
    <row r="2324">
      <c r="A2324" s="12">
        <v>2322.0</v>
      </c>
      <c r="B2324" s="13" t="s">
        <v>1714</v>
      </c>
      <c r="C2324" s="14">
        <v>152.0</v>
      </c>
      <c r="D2324" s="15" t="s">
        <v>4641</v>
      </c>
      <c r="E2324" s="16" t="s">
        <v>221</v>
      </c>
      <c r="F2324" s="13" t="s">
        <v>4890</v>
      </c>
      <c r="G2324" s="13" t="s">
        <v>61</v>
      </c>
      <c r="H2324" s="13" t="s">
        <v>4891</v>
      </c>
      <c r="I2324" s="13" t="s">
        <v>63</v>
      </c>
      <c r="J2324" s="17" t="s">
        <v>71</v>
      </c>
      <c r="K2324" s="17" t="s">
        <v>58</v>
      </c>
      <c r="L2324" s="18" t="s">
        <v>52</v>
      </c>
      <c r="M2324" s="19">
        <v>60.0</v>
      </c>
      <c r="N2324" s="19">
        <v>31.0</v>
      </c>
    </row>
    <row r="2325">
      <c r="A2325" s="12">
        <v>2323.0</v>
      </c>
      <c r="B2325" s="13" t="s">
        <v>1714</v>
      </c>
      <c r="C2325" s="14">
        <v>153.0</v>
      </c>
      <c r="D2325" s="15" t="s">
        <v>4892</v>
      </c>
      <c r="E2325" s="16" t="s">
        <v>221</v>
      </c>
      <c r="F2325" s="13" t="s">
        <v>1738</v>
      </c>
      <c r="G2325" s="13" t="s">
        <v>61</v>
      </c>
      <c r="H2325" s="13" t="s">
        <v>4893</v>
      </c>
      <c r="I2325" s="13" t="s">
        <v>63</v>
      </c>
      <c r="J2325" s="17" t="s">
        <v>71</v>
      </c>
      <c r="K2325" s="17" t="s">
        <v>58</v>
      </c>
      <c r="L2325" s="18" t="s">
        <v>52</v>
      </c>
      <c r="M2325" s="19">
        <v>60.0</v>
      </c>
      <c r="N2325" s="19">
        <v>31.0</v>
      </c>
    </row>
    <row r="2326">
      <c r="A2326" s="12">
        <v>2324.0</v>
      </c>
      <c r="B2326" s="13" t="s">
        <v>1714</v>
      </c>
      <c r="C2326" s="14">
        <v>154.0</v>
      </c>
      <c r="D2326" s="15" t="s">
        <v>4892</v>
      </c>
      <c r="E2326" s="16" t="s">
        <v>221</v>
      </c>
      <c r="F2326" s="13" t="s">
        <v>2068</v>
      </c>
      <c r="G2326" s="13" t="s">
        <v>2069</v>
      </c>
      <c r="H2326" s="13" t="s">
        <v>2070</v>
      </c>
      <c r="I2326" s="13" t="s">
        <v>63</v>
      </c>
      <c r="J2326" s="17" t="s">
        <v>71</v>
      </c>
      <c r="K2326" s="17" t="s">
        <v>58</v>
      </c>
      <c r="L2326" s="18" t="s">
        <v>52</v>
      </c>
      <c r="M2326" s="19">
        <v>60.0</v>
      </c>
      <c r="N2326" s="19">
        <v>31.0</v>
      </c>
    </row>
    <row r="2327">
      <c r="A2327" s="12">
        <v>2325.0</v>
      </c>
      <c r="B2327" s="13" t="s">
        <v>1714</v>
      </c>
      <c r="C2327" s="14">
        <v>155.0</v>
      </c>
      <c r="D2327" s="15" t="s">
        <v>4892</v>
      </c>
      <c r="E2327" s="16" t="s">
        <v>221</v>
      </c>
      <c r="F2327" s="13" t="s">
        <v>1351</v>
      </c>
      <c r="G2327" s="13" t="s">
        <v>4894</v>
      </c>
      <c r="H2327" s="13" t="s">
        <v>4895</v>
      </c>
      <c r="I2327" s="13" t="s">
        <v>63</v>
      </c>
      <c r="J2327" s="17" t="s">
        <v>71</v>
      </c>
      <c r="K2327" s="17" t="s">
        <v>58</v>
      </c>
      <c r="L2327" s="18" t="s">
        <v>52</v>
      </c>
      <c r="M2327" s="19">
        <v>60.0</v>
      </c>
      <c r="N2327" s="19">
        <v>31.0</v>
      </c>
    </row>
    <row r="2328">
      <c r="A2328" s="12">
        <v>2326.0</v>
      </c>
      <c r="B2328" s="13" t="s">
        <v>1714</v>
      </c>
      <c r="C2328" s="14">
        <v>156.0</v>
      </c>
      <c r="D2328" s="15" t="s">
        <v>4892</v>
      </c>
      <c r="E2328" s="16" t="s">
        <v>221</v>
      </c>
      <c r="F2328" s="13" t="s">
        <v>4896</v>
      </c>
      <c r="G2328" s="13" t="s">
        <v>4897</v>
      </c>
      <c r="H2328" s="13" t="s">
        <v>4898</v>
      </c>
      <c r="I2328" s="13" t="s">
        <v>63</v>
      </c>
      <c r="J2328" s="17" t="s">
        <v>71</v>
      </c>
      <c r="K2328" s="17" t="s">
        <v>58</v>
      </c>
      <c r="L2328" s="18" t="s">
        <v>52</v>
      </c>
      <c r="M2328" s="19">
        <v>60.0</v>
      </c>
      <c r="N2328" s="19">
        <v>31.0</v>
      </c>
    </row>
    <row r="2329">
      <c r="A2329" s="12">
        <v>2327.0</v>
      </c>
      <c r="B2329" s="13" t="s">
        <v>1714</v>
      </c>
      <c r="C2329" s="14">
        <v>157.0</v>
      </c>
      <c r="D2329" s="15" t="s">
        <v>4899</v>
      </c>
      <c r="E2329" s="16" t="s">
        <v>221</v>
      </c>
      <c r="F2329" s="13" t="s">
        <v>1370</v>
      </c>
      <c r="G2329" s="13" t="s">
        <v>4900</v>
      </c>
      <c r="H2329" s="13" t="s">
        <v>4901</v>
      </c>
      <c r="I2329" s="13" t="s">
        <v>63</v>
      </c>
      <c r="J2329" s="17" t="s">
        <v>71</v>
      </c>
      <c r="K2329" s="17" t="s">
        <v>58</v>
      </c>
      <c r="L2329" s="18" t="s">
        <v>52</v>
      </c>
      <c r="M2329" s="19">
        <v>60.0</v>
      </c>
      <c r="N2329" s="19">
        <v>31.0</v>
      </c>
    </row>
    <row r="2330">
      <c r="A2330" s="12">
        <v>2328.0</v>
      </c>
      <c r="B2330" s="13" t="s">
        <v>1714</v>
      </c>
      <c r="C2330" s="14">
        <v>158.0</v>
      </c>
      <c r="D2330" s="15" t="s">
        <v>4899</v>
      </c>
      <c r="E2330" s="16" t="s">
        <v>221</v>
      </c>
      <c r="F2330" s="13" t="s">
        <v>4902</v>
      </c>
      <c r="G2330" s="13" t="s">
        <v>4903</v>
      </c>
      <c r="H2330" s="13" t="s">
        <v>4904</v>
      </c>
      <c r="I2330" s="13" t="s">
        <v>63</v>
      </c>
      <c r="J2330" s="17" t="s">
        <v>71</v>
      </c>
      <c r="K2330" s="17" t="s">
        <v>58</v>
      </c>
      <c r="L2330" s="18" t="s">
        <v>52</v>
      </c>
      <c r="M2330" s="19">
        <v>60.0</v>
      </c>
      <c r="N2330" s="19">
        <v>31.0</v>
      </c>
    </row>
    <row r="2331">
      <c r="A2331" s="12">
        <v>2329.0</v>
      </c>
      <c r="B2331" s="13" t="s">
        <v>1714</v>
      </c>
      <c r="C2331" s="14">
        <v>159.0</v>
      </c>
      <c r="D2331" s="15" t="s">
        <v>4906</v>
      </c>
      <c r="E2331" s="16" t="s">
        <v>221</v>
      </c>
      <c r="F2331" s="13" t="s">
        <v>3464</v>
      </c>
      <c r="G2331" s="13" t="s">
        <v>4907</v>
      </c>
      <c r="H2331" s="13" t="s">
        <v>4908</v>
      </c>
      <c r="I2331" s="13" t="s">
        <v>63</v>
      </c>
      <c r="J2331" s="17" t="s">
        <v>71</v>
      </c>
      <c r="K2331" s="17" t="s">
        <v>58</v>
      </c>
      <c r="L2331" s="18" t="s">
        <v>52</v>
      </c>
      <c r="M2331" s="19">
        <v>60.0</v>
      </c>
      <c r="N2331" s="19">
        <v>31.0</v>
      </c>
    </row>
    <row r="2332">
      <c r="A2332" s="12">
        <v>2330.0</v>
      </c>
      <c r="B2332" s="13" t="s">
        <v>1714</v>
      </c>
      <c r="C2332" s="14">
        <v>160.0</v>
      </c>
      <c r="D2332" s="15" t="s">
        <v>4906</v>
      </c>
      <c r="E2332" s="16" t="s">
        <v>221</v>
      </c>
      <c r="F2332" s="13" t="s">
        <v>3474</v>
      </c>
      <c r="G2332" s="13" t="s">
        <v>61</v>
      </c>
      <c r="H2332" s="13" t="s">
        <v>4909</v>
      </c>
      <c r="I2332" s="13" t="s">
        <v>63</v>
      </c>
      <c r="J2332" s="17" t="s">
        <v>71</v>
      </c>
      <c r="K2332" s="17" t="s">
        <v>58</v>
      </c>
      <c r="L2332" s="18" t="s">
        <v>52</v>
      </c>
      <c r="M2332" s="19">
        <v>60.0</v>
      </c>
      <c r="N2332" s="19">
        <v>31.0</v>
      </c>
    </row>
    <row r="2333">
      <c r="A2333" s="12">
        <v>2331.0</v>
      </c>
      <c r="B2333" s="13" t="s">
        <v>1714</v>
      </c>
      <c r="C2333" s="14">
        <v>161.0</v>
      </c>
      <c r="D2333" s="15" t="s">
        <v>4906</v>
      </c>
      <c r="E2333" s="16" t="s">
        <v>221</v>
      </c>
      <c r="F2333" s="13" t="s">
        <v>1665</v>
      </c>
      <c r="G2333" s="13" t="s">
        <v>1666</v>
      </c>
      <c r="H2333" s="13" t="s">
        <v>4910</v>
      </c>
      <c r="I2333" s="13" t="s">
        <v>63</v>
      </c>
      <c r="J2333" s="17" t="s">
        <v>71</v>
      </c>
      <c r="K2333" s="17" t="s">
        <v>58</v>
      </c>
      <c r="L2333" s="18" t="s">
        <v>52</v>
      </c>
      <c r="M2333" s="19">
        <v>60.0</v>
      </c>
      <c r="N2333" s="19">
        <v>31.0</v>
      </c>
    </row>
    <row r="2334">
      <c r="A2334" s="12">
        <v>2332.0</v>
      </c>
      <c r="B2334" s="13" t="s">
        <v>1714</v>
      </c>
      <c r="C2334" s="14">
        <v>162.0</v>
      </c>
      <c r="D2334" s="15" t="s">
        <v>4906</v>
      </c>
      <c r="E2334" s="16" t="s">
        <v>221</v>
      </c>
      <c r="F2334" s="13" t="s">
        <v>4911</v>
      </c>
      <c r="G2334" s="13" t="s">
        <v>4912</v>
      </c>
      <c r="H2334" s="13" t="s">
        <v>4913</v>
      </c>
      <c r="I2334" s="13" t="s">
        <v>63</v>
      </c>
      <c r="J2334" s="17" t="s">
        <v>71</v>
      </c>
      <c r="K2334" s="17" t="s">
        <v>58</v>
      </c>
      <c r="L2334" s="18" t="s">
        <v>52</v>
      </c>
      <c r="M2334" s="19">
        <v>60.0</v>
      </c>
      <c r="N2334" s="19">
        <v>31.0</v>
      </c>
    </row>
    <row r="2335">
      <c r="A2335" s="12">
        <v>2333.0</v>
      </c>
      <c r="B2335" s="13" t="s">
        <v>1714</v>
      </c>
      <c r="C2335" s="14">
        <v>163.0</v>
      </c>
      <c r="D2335" s="15" t="s">
        <v>4906</v>
      </c>
      <c r="E2335" s="16" t="s">
        <v>221</v>
      </c>
      <c r="F2335" s="13" t="s">
        <v>1701</v>
      </c>
      <c r="G2335" s="13" t="s">
        <v>4914</v>
      </c>
      <c r="H2335" s="13" t="s">
        <v>4915</v>
      </c>
      <c r="I2335" s="13" t="s">
        <v>63</v>
      </c>
      <c r="J2335" s="17" t="s">
        <v>71</v>
      </c>
      <c r="K2335" s="17" t="s">
        <v>58</v>
      </c>
      <c r="L2335" s="18" t="s">
        <v>52</v>
      </c>
      <c r="M2335" s="19">
        <v>60.0</v>
      </c>
      <c r="N2335" s="19">
        <v>31.0</v>
      </c>
    </row>
    <row r="2336">
      <c r="A2336" s="12">
        <v>2334.0</v>
      </c>
      <c r="B2336" s="13" t="s">
        <v>1714</v>
      </c>
      <c r="C2336" s="14">
        <v>164.0</v>
      </c>
      <c r="D2336" s="15" t="s">
        <v>4906</v>
      </c>
      <c r="E2336" s="16" t="s">
        <v>221</v>
      </c>
      <c r="F2336" s="13" t="s">
        <v>1677</v>
      </c>
      <c r="G2336" s="13" t="s">
        <v>1678</v>
      </c>
      <c r="H2336" s="13" t="s">
        <v>4916</v>
      </c>
      <c r="I2336" s="13" t="s">
        <v>63</v>
      </c>
      <c r="J2336" s="17" t="s">
        <v>71</v>
      </c>
      <c r="K2336" s="17" t="s">
        <v>58</v>
      </c>
      <c r="L2336" s="18" t="s">
        <v>52</v>
      </c>
      <c r="M2336" s="19">
        <v>60.0</v>
      </c>
      <c r="N2336" s="19">
        <v>31.0</v>
      </c>
    </row>
    <row r="2337">
      <c r="A2337" s="12">
        <v>2335.0</v>
      </c>
      <c r="B2337" s="13" t="s">
        <v>1714</v>
      </c>
      <c r="C2337" s="14">
        <v>165.0</v>
      </c>
      <c r="D2337" s="15" t="s">
        <v>4906</v>
      </c>
      <c r="E2337" s="16" t="s">
        <v>221</v>
      </c>
      <c r="F2337" s="13" t="s">
        <v>3485</v>
      </c>
      <c r="G2337" s="13" t="s">
        <v>3486</v>
      </c>
      <c r="H2337" s="13" t="s">
        <v>3487</v>
      </c>
      <c r="I2337" s="13" t="s">
        <v>63</v>
      </c>
      <c r="J2337" s="17" t="s">
        <v>71</v>
      </c>
      <c r="K2337" s="17" t="s">
        <v>58</v>
      </c>
      <c r="L2337" s="18" t="s">
        <v>52</v>
      </c>
      <c r="M2337" s="19">
        <v>60.0</v>
      </c>
      <c r="N2337" s="19">
        <v>31.0</v>
      </c>
    </row>
    <row r="2338">
      <c r="A2338" s="12">
        <v>2336.0</v>
      </c>
      <c r="B2338" s="13" t="s">
        <v>1714</v>
      </c>
      <c r="C2338" s="14">
        <v>166.0</v>
      </c>
      <c r="D2338" s="15" t="s">
        <v>4906</v>
      </c>
      <c r="E2338" s="16" t="s">
        <v>221</v>
      </c>
      <c r="F2338" s="13" t="s">
        <v>1722</v>
      </c>
      <c r="G2338" s="13" t="s">
        <v>61</v>
      </c>
      <c r="H2338" s="13" t="s">
        <v>3416</v>
      </c>
      <c r="I2338" s="13" t="s">
        <v>63</v>
      </c>
      <c r="J2338" s="17" t="s">
        <v>71</v>
      </c>
      <c r="K2338" s="17" t="s">
        <v>58</v>
      </c>
      <c r="L2338" s="18" t="s">
        <v>52</v>
      </c>
      <c r="M2338" s="19">
        <v>60.0</v>
      </c>
      <c r="N2338" s="19">
        <v>31.0</v>
      </c>
    </row>
    <row r="2339">
      <c r="A2339" s="12">
        <v>2337.0</v>
      </c>
      <c r="B2339" s="13" t="s">
        <v>1714</v>
      </c>
      <c r="C2339" s="14">
        <v>167.0</v>
      </c>
      <c r="D2339" s="15" t="s">
        <v>4906</v>
      </c>
      <c r="E2339" s="16" t="s">
        <v>221</v>
      </c>
      <c r="F2339" s="13" t="s">
        <v>2759</v>
      </c>
      <c r="G2339" s="13" t="s">
        <v>3508</v>
      </c>
      <c r="H2339" s="13" t="s">
        <v>4919</v>
      </c>
      <c r="I2339" s="13" t="s">
        <v>63</v>
      </c>
      <c r="J2339" s="17" t="s">
        <v>71</v>
      </c>
      <c r="K2339" s="17" t="s">
        <v>58</v>
      </c>
      <c r="L2339" s="18" t="s">
        <v>52</v>
      </c>
      <c r="M2339" s="19">
        <v>60.0</v>
      </c>
      <c r="N2339" s="19">
        <v>31.0</v>
      </c>
    </row>
    <row r="2340">
      <c r="A2340" s="12">
        <v>2338.0</v>
      </c>
      <c r="B2340" s="13" t="s">
        <v>1714</v>
      </c>
      <c r="C2340" s="14">
        <v>168.0</v>
      </c>
      <c r="D2340" s="15" t="s">
        <v>4906</v>
      </c>
      <c r="E2340" s="16" t="s">
        <v>221</v>
      </c>
      <c r="F2340" s="13" t="s">
        <v>4921</v>
      </c>
      <c r="G2340" s="13" t="s">
        <v>4922</v>
      </c>
      <c r="H2340" s="13" t="s">
        <v>4923</v>
      </c>
      <c r="I2340" s="13" t="s">
        <v>63</v>
      </c>
      <c r="J2340" s="17" t="s">
        <v>71</v>
      </c>
      <c r="K2340" s="17" t="s">
        <v>58</v>
      </c>
      <c r="L2340" s="18" t="s">
        <v>52</v>
      </c>
      <c r="M2340" s="19">
        <v>60.0</v>
      </c>
      <c r="N2340" s="19">
        <v>31.0</v>
      </c>
    </row>
    <row r="2341">
      <c r="A2341" s="12">
        <v>2339.0</v>
      </c>
      <c r="B2341" s="13" t="s">
        <v>1714</v>
      </c>
      <c r="C2341" s="14">
        <v>169.0</v>
      </c>
      <c r="D2341" s="15" t="s">
        <v>4906</v>
      </c>
      <c r="E2341" s="16" t="s">
        <v>221</v>
      </c>
      <c r="F2341" s="13" t="s">
        <v>2680</v>
      </c>
      <c r="G2341" s="13" t="s">
        <v>4925</v>
      </c>
      <c r="H2341" s="13" t="s">
        <v>3524</v>
      </c>
      <c r="I2341" s="13" t="s">
        <v>63</v>
      </c>
      <c r="J2341" s="17" t="s">
        <v>71</v>
      </c>
      <c r="K2341" s="17" t="s">
        <v>58</v>
      </c>
      <c r="L2341" s="18" t="s">
        <v>52</v>
      </c>
      <c r="M2341" s="19">
        <v>60.0</v>
      </c>
      <c r="N2341" s="19">
        <v>31.0</v>
      </c>
    </row>
    <row r="2342">
      <c r="A2342" s="12">
        <v>2340.0</v>
      </c>
      <c r="B2342" s="13" t="s">
        <v>1714</v>
      </c>
      <c r="C2342" s="14">
        <v>170.0</v>
      </c>
      <c r="D2342" s="15" t="s">
        <v>4906</v>
      </c>
      <c r="E2342" s="16" t="s">
        <v>221</v>
      </c>
      <c r="F2342" s="13" t="s">
        <v>201</v>
      </c>
      <c r="G2342" s="13" t="s">
        <v>4498</v>
      </c>
      <c r="H2342" s="13" t="s">
        <v>4927</v>
      </c>
      <c r="I2342" s="13" t="s">
        <v>63</v>
      </c>
      <c r="J2342" s="17" t="s">
        <v>71</v>
      </c>
      <c r="K2342" s="17" t="s">
        <v>58</v>
      </c>
      <c r="L2342" s="18" t="s">
        <v>52</v>
      </c>
      <c r="M2342" s="19">
        <v>60.0</v>
      </c>
      <c r="N2342" s="19">
        <v>31.0</v>
      </c>
    </row>
    <row r="2343">
      <c r="A2343" s="12">
        <v>2341.0</v>
      </c>
      <c r="B2343" s="13" t="s">
        <v>1714</v>
      </c>
      <c r="C2343" s="14">
        <v>171.0</v>
      </c>
      <c r="D2343" s="15" t="s">
        <v>4906</v>
      </c>
      <c r="E2343" s="16" t="s">
        <v>221</v>
      </c>
      <c r="F2343" s="13" t="s">
        <v>2475</v>
      </c>
      <c r="G2343" s="13" t="s">
        <v>3223</v>
      </c>
      <c r="H2343" s="13" t="s">
        <v>4928</v>
      </c>
      <c r="I2343" s="13" t="s">
        <v>63</v>
      </c>
      <c r="J2343" s="17" t="s">
        <v>71</v>
      </c>
      <c r="K2343" s="17" t="s">
        <v>58</v>
      </c>
      <c r="L2343" s="18" t="s">
        <v>52</v>
      </c>
      <c r="M2343" s="19">
        <v>60.0</v>
      </c>
      <c r="N2343" s="19">
        <v>31.0</v>
      </c>
    </row>
    <row r="2344">
      <c r="A2344" s="12">
        <v>2342.0</v>
      </c>
      <c r="B2344" s="13" t="s">
        <v>1714</v>
      </c>
      <c r="C2344" s="14">
        <v>172.0</v>
      </c>
      <c r="D2344" s="15" t="s">
        <v>4906</v>
      </c>
      <c r="E2344" s="16" t="s">
        <v>221</v>
      </c>
      <c r="F2344" s="13" t="s">
        <v>4929</v>
      </c>
      <c r="G2344" s="13" t="s">
        <v>4930</v>
      </c>
      <c r="H2344" s="13" t="s">
        <v>4931</v>
      </c>
      <c r="I2344" s="13" t="s">
        <v>63</v>
      </c>
      <c r="J2344" s="17" t="s">
        <v>71</v>
      </c>
      <c r="K2344" s="17" t="s">
        <v>58</v>
      </c>
      <c r="L2344" s="18" t="s">
        <v>52</v>
      </c>
      <c r="M2344" s="19">
        <v>60.0</v>
      </c>
      <c r="N2344" s="19">
        <v>31.0</v>
      </c>
    </row>
    <row r="2345">
      <c r="A2345" s="12">
        <v>2343.0</v>
      </c>
      <c r="B2345" s="13" t="s">
        <v>1714</v>
      </c>
      <c r="C2345" s="14">
        <v>173.0</v>
      </c>
      <c r="D2345" s="15" t="s">
        <v>4906</v>
      </c>
      <c r="E2345" s="16" t="s">
        <v>221</v>
      </c>
      <c r="F2345" s="13" t="s">
        <v>1402</v>
      </c>
      <c r="G2345" s="13" t="s">
        <v>3071</v>
      </c>
      <c r="H2345" s="13" t="s">
        <v>4933</v>
      </c>
      <c r="I2345" s="13" t="s">
        <v>63</v>
      </c>
      <c r="J2345" s="17" t="s">
        <v>71</v>
      </c>
      <c r="K2345" s="17" t="s">
        <v>58</v>
      </c>
      <c r="L2345" s="18" t="s">
        <v>52</v>
      </c>
      <c r="M2345" s="19">
        <v>60.0</v>
      </c>
      <c r="N2345" s="19">
        <v>31.0</v>
      </c>
    </row>
    <row r="2346">
      <c r="A2346" s="12">
        <v>2344.0</v>
      </c>
      <c r="B2346" s="13" t="s">
        <v>1714</v>
      </c>
      <c r="C2346" s="14">
        <v>174.0</v>
      </c>
      <c r="D2346" s="15" t="s">
        <v>4906</v>
      </c>
      <c r="E2346" s="16" t="s">
        <v>221</v>
      </c>
      <c r="F2346" s="13" t="s">
        <v>4934</v>
      </c>
      <c r="G2346" s="13" t="s">
        <v>4935</v>
      </c>
      <c r="H2346" s="13" t="s">
        <v>4936</v>
      </c>
      <c r="I2346" s="13" t="s">
        <v>63</v>
      </c>
      <c r="J2346" s="17" t="s">
        <v>71</v>
      </c>
      <c r="K2346" s="17" t="s">
        <v>58</v>
      </c>
      <c r="L2346" s="18" t="s">
        <v>52</v>
      </c>
      <c r="M2346" s="19">
        <v>60.0</v>
      </c>
      <c r="N2346" s="19">
        <v>31.0</v>
      </c>
    </row>
    <row r="2347">
      <c r="A2347" s="12">
        <v>2345.0</v>
      </c>
      <c r="B2347" s="13" t="s">
        <v>1714</v>
      </c>
      <c r="C2347" s="14">
        <v>175.0</v>
      </c>
      <c r="D2347" s="15" t="s">
        <v>4906</v>
      </c>
      <c r="E2347" s="16" t="s">
        <v>221</v>
      </c>
      <c r="F2347" s="13" t="s">
        <v>1487</v>
      </c>
      <c r="G2347" s="13" t="s">
        <v>4938</v>
      </c>
      <c r="H2347" s="13" t="s">
        <v>4939</v>
      </c>
      <c r="I2347" s="13" t="s">
        <v>63</v>
      </c>
      <c r="J2347" s="17" t="s">
        <v>71</v>
      </c>
      <c r="K2347" s="17" t="s">
        <v>58</v>
      </c>
      <c r="L2347" s="18" t="s">
        <v>52</v>
      </c>
      <c r="M2347" s="19">
        <v>60.0</v>
      </c>
      <c r="N2347" s="19">
        <v>31.0</v>
      </c>
    </row>
    <row r="2348">
      <c r="A2348" s="12">
        <v>2346.0</v>
      </c>
      <c r="B2348" s="13" t="s">
        <v>1714</v>
      </c>
      <c r="C2348" s="14">
        <v>176.0</v>
      </c>
      <c r="D2348" s="15" t="s">
        <v>4906</v>
      </c>
      <c r="E2348" s="16" t="s">
        <v>221</v>
      </c>
      <c r="F2348" s="13" t="s">
        <v>1526</v>
      </c>
      <c r="G2348" s="13" t="s">
        <v>4941</v>
      </c>
      <c r="H2348" s="13" t="s">
        <v>3524</v>
      </c>
      <c r="I2348" s="13" t="s">
        <v>63</v>
      </c>
      <c r="J2348" s="17" t="s">
        <v>71</v>
      </c>
      <c r="K2348" s="17" t="s">
        <v>58</v>
      </c>
      <c r="L2348" s="18" t="s">
        <v>52</v>
      </c>
      <c r="M2348" s="19">
        <v>60.0</v>
      </c>
      <c r="N2348" s="19">
        <v>31.0</v>
      </c>
    </row>
    <row r="2349">
      <c r="A2349" s="12">
        <v>2347.0</v>
      </c>
      <c r="B2349" s="13" t="s">
        <v>1714</v>
      </c>
      <c r="C2349" s="14">
        <v>177.0</v>
      </c>
      <c r="D2349" s="15" t="s">
        <v>4906</v>
      </c>
      <c r="E2349" s="16" t="s">
        <v>221</v>
      </c>
      <c r="F2349" s="13" t="s">
        <v>3456</v>
      </c>
      <c r="G2349" s="13" t="s">
        <v>4942</v>
      </c>
      <c r="H2349" s="13" t="s">
        <v>4943</v>
      </c>
      <c r="I2349" s="13" t="s">
        <v>63</v>
      </c>
      <c r="J2349" s="17" t="s">
        <v>71</v>
      </c>
      <c r="K2349" s="17" t="s">
        <v>58</v>
      </c>
      <c r="L2349" s="18" t="s">
        <v>52</v>
      </c>
      <c r="M2349" s="19">
        <v>60.0</v>
      </c>
      <c r="N2349" s="19">
        <v>31.0</v>
      </c>
    </row>
    <row r="2350">
      <c r="A2350" s="12">
        <v>2348.0</v>
      </c>
      <c r="B2350" s="13" t="s">
        <v>1714</v>
      </c>
      <c r="C2350" s="14">
        <v>178.0</v>
      </c>
      <c r="D2350" s="15" t="s">
        <v>4906</v>
      </c>
      <c r="E2350" s="16" t="s">
        <v>221</v>
      </c>
      <c r="F2350" s="13" t="s">
        <v>4944</v>
      </c>
      <c r="G2350" s="13" t="s">
        <v>4945</v>
      </c>
      <c r="H2350" s="13" t="s">
        <v>4946</v>
      </c>
      <c r="I2350" s="13" t="s">
        <v>63</v>
      </c>
      <c r="J2350" s="17" t="s">
        <v>71</v>
      </c>
      <c r="K2350" s="17" t="s">
        <v>58</v>
      </c>
      <c r="L2350" s="18" t="s">
        <v>52</v>
      </c>
      <c r="M2350" s="19">
        <v>60.0</v>
      </c>
      <c r="N2350" s="19">
        <v>31.0</v>
      </c>
    </row>
    <row r="2351">
      <c r="A2351" s="12">
        <v>2349.0</v>
      </c>
      <c r="B2351" s="13" t="s">
        <v>1714</v>
      </c>
      <c r="C2351" s="14">
        <v>179.0</v>
      </c>
      <c r="D2351" s="15" t="s">
        <v>4906</v>
      </c>
      <c r="E2351" s="16" t="s">
        <v>221</v>
      </c>
      <c r="F2351" s="13" t="s">
        <v>4947</v>
      </c>
      <c r="G2351" s="13" t="s">
        <v>4948</v>
      </c>
      <c r="H2351" s="13" t="s">
        <v>4949</v>
      </c>
      <c r="I2351" s="13" t="s">
        <v>63</v>
      </c>
      <c r="J2351" s="17" t="s">
        <v>71</v>
      </c>
      <c r="K2351" s="17" t="s">
        <v>58</v>
      </c>
      <c r="L2351" s="18" t="s">
        <v>52</v>
      </c>
      <c r="M2351" s="19">
        <v>60.0</v>
      </c>
      <c r="N2351" s="19">
        <v>31.0</v>
      </c>
    </row>
    <row r="2352">
      <c r="A2352" s="12">
        <v>2350.0</v>
      </c>
      <c r="B2352" s="13" t="s">
        <v>1714</v>
      </c>
      <c r="C2352" s="14">
        <v>180.0</v>
      </c>
      <c r="D2352" s="15" t="s">
        <v>4652</v>
      </c>
      <c r="E2352" s="16" t="s">
        <v>221</v>
      </c>
      <c r="F2352" s="13" t="s">
        <v>3033</v>
      </c>
      <c r="G2352" s="13" t="s">
        <v>3523</v>
      </c>
      <c r="H2352" s="13" t="s">
        <v>3524</v>
      </c>
      <c r="I2352" s="13" t="s">
        <v>63</v>
      </c>
      <c r="J2352" s="17" t="s">
        <v>71</v>
      </c>
      <c r="K2352" s="17" t="s">
        <v>58</v>
      </c>
      <c r="L2352" s="18" t="s">
        <v>52</v>
      </c>
      <c r="M2352" s="19">
        <v>60.0</v>
      </c>
      <c r="N2352" s="19">
        <v>31.0</v>
      </c>
    </row>
    <row r="2353">
      <c r="A2353" s="12">
        <v>2351.0</v>
      </c>
      <c r="B2353" s="13" t="s">
        <v>1714</v>
      </c>
      <c r="C2353" s="14">
        <v>181.0</v>
      </c>
      <c r="D2353" s="15" t="s">
        <v>4652</v>
      </c>
      <c r="E2353" s="16" t="s">
        <v>221</v>
      </c>
      <c r="F2353" s="13" t="s">
        <v>2262</v>
      </c>
      <c r="G2353" s="13" t="s">
        <v>4614</v>
      </c>
      <c r="H2353" s="13" t="s">
        <v>4950</v>
      </c>
      <c r="I2353" s="13" t="s">
        <v>63</v>
      </c>
      <c r="J2353" s="17" t="s">
        <v>71</v>
      </c>
      <c r="K2353" s="17" t="s">
        <v>58</v>
      </c>
      <c r="L2353" s="18" t="s">
        <v>52</v>
      </c>
      <c r="M2353" s="19">
        <v>60.0</v>
      </c>
      <c r="N2353" s="19">
        <v>31.0</v>
      </c>
    </row>
    <row r="2354">
      <c r="A2354" s="12">
        <v>2352.0</v>
      </c>
      <c r="B2354" s="13" t="s">
        <v>1714</v>
      </c>
      <c r="C2354" s="14">
        <v>182.0</v>
      </c>
      <c r="D2354" s="15" t="s">
        <v>4652</v>
      </c>
      <c r="E2354" s="16" t="s">
        <v>221</v>
      </c>
      <c r="F2354" s="13" t="s">
        <v>2657</v>
      </c>
      <c r="G2354" s="13" t="s">
        <v>3711</v>
      </c>
      <c r="H2354" s="13" t="s">
        <v>4951</v>
      </c>
      <c r="I2354" s="13" t="s">
        <v>63</v>
      </c>
      <c r="J2354" s="17" t="s">
        <v>71</v>
      </c>
      <c r="K2354" s="17" t="s">
        <v>58</v>
      </c>
      <c r="L2354" s="18" t="s">
        <v>52</v>
      </c>
      <c r="M2354" s="19">
        <v>60.0</v>
      </c>
      <c r="N2354" s="19">
        <v>31.0</v>
      </c>
    </row>
    <row r="2355">
      <c r="A2355" s="12">
        <v>2353.0</v>
      </c>
      <c r="B2355" s="13" t="s">
        <v>1714</v>
      </c>
      <c r="C2355" s="14">
        <v>183.0</v>
      </c>
      <c r="D2355" s="15" t="s">
        <v>4652</v>
      </c>
      <c r="E2355" s="16" t="s">
        <v>221</v>
      </c>
      <c r="F2355" s="13" t="s">
        <v>3517</v>
      </c>
      <c r="G2355" s="13" t="s">
        <v>3518</v>
      </c>
      <c r="H2355" s="13" t="s">
        <v>3519</v>
      </c>
      <c r="I2355" s="13" t="s">
        <v>63</v>
      </c>
      <c r="J2355" s="17" t="s">
        <v>71</v>
      </c>
      <c r="K2355" s="17" t="s">
        <v>58</v>
      </c>
      <c r="L2355" s="18" t="s">
        <v>52</v>
      </c>
      <c r="M2355" s="19">
        <v>60.0</v>
      </c>
      <c r="N2355" s="19">
        <v>31.0</v>
      </c>
    </row>
    <row r="2356">
      <c r="A2356" s="12">
        <v>2354.0</v>
      </c>
      <c r="B2356" s="13" t="s">
        <v>1714</v>
      </c>
      <c r="C2356" s="14">
        <v>184.0</v>
      </c>
      <c r="D2356" s="15" t="s">
        <v>4652</v>
      </c>
      <c r="E2356" s="16" t="s">
        <v>221</v>
      </c>
      <c r="F2356" s="13" t="s">
        <v>3450</v>
      </c>
      <c r="G2356" s="13" t="s">
        <v>3536</v>
      </c>
      <c r="H2356" s="13" t="s">
        <v>3537</v>
      </c>
      <c r="I2356" s="13" t="s">
        <v>63</v>
      </c>
      <c r="J2356" s="17" t="s">
        <v>71</v>
      </c>
      <c r="K2356" s="17" t="s">
        <v>58</v>
      </c>
      <c r="L2356" s="18" t="s">
        <v>52</v>
      </c>
      <c r="M2356" s="19">
        <v>60.0</v>
      </c>
      <c r="N2356" s="19">
        <v>31.0</v>
      </c>
    </row>
    <row r="2357">
      <c r="A2357" s="12">
        <v>2355.0</v>
      </c>
      <c r="B2357" s="13" t="s">
        <v>1714</v>
      </c>
      <c r="C2357" s="14">
        <v>185.0</v>
      </c>
      <c r="D2357" s="15" t="s">
        <v>4652</v>
      </c>
      <c r="E2357" s="16" t="s">
        <v>221</v>
      </c>
      <c r="F2357" s="13" t="s">
        <v>4952</v>
      </c>
      <c r="G2357" s="13" t="s">
        <v>4953</v>
      </c>
      <c r="H2357" s="13" t="s">
        <v>4954</v>
      </c>
      <c r="I2357" s="13" t="s">
        <v>63</v>
      </c>
      <c r="J2357" s="17" t="s">
        <v>71</v>
      </c>
      <c r="K2357" s="17" t="s">
        <v>58</v>
      </c>
      <c r="L2357" s="18" t="s">
        <v>52</v>
      </c>
      <c r="M2357" s="19">
        <v>60.0</v>
      </c>
      <c r="N2357" s="19">
        <v>31.0</v>
      </c>
    </row>
    <row r="2358">
      <c r="A2358" s="12">
        <v>2356.0</v>
      </c>
      <c r="B2358" s="13" t="s">
        <v>1714</v>
      </c>
      <c r="C2358" s="14">
        <v>186.0</v>
      </c>
      <c r="D2358" s="15" t="s">
        <v>4652</v>
      </c>
      <c r="E2358" s="16" t="s">
        <v>221</v>
      </c>
      <c r="F2358" s="13" t="s">
        <v>4955</v>
      </c>
      <c r="G2358" s="13" t="s">
        <v>4956</v>
      </c>
      <c r="H2358" s="13" t="s">
        <v>4957</v>
      </c>
      <c r="I2358" s="13" t="s">
        <v>63</v>
      </c>
      <c r="J2358" s="17" t="s">
        <v>71</v>
      </c>
      <c r="K2358" s="17" t="s">
        <v>58</v>
      </c>
      <c r="L2358" s="18" t="s">
        <v>52</v>
      </c>
      <c r="M2358" s="19">
        <v>60.0</v>
      </c>
      <c r="N2358" s="19">
        <v>31.0</v>
      </c>
    </row>
    <row r="2359">
      <c r="A2359" s="12">
        <v>2357.0</v>
      </c>
      <c r="B2359" s="13" t="s">
        <v>1714</v>
      </c>
      <c r="C2359" s="14">
        <v>187.0</v>
      </c>
      <c r="D2359" s="15" t="s">
        <v>4652</v>
      </c>
      <c r="E2359" s="16" t="s">
        <v>221</v>
      </c>
      <c r="F2359" s="13" t="s">
        <v>4959</v>
      </c>
      <c r="G2359" s="13" t="s">
        <v>4960</v>
      </c>
      <c r="H2359" s="13" t="s">
        <v>4961</v>
      </c>
      <c r="I2359" s="13" t="s">
        <v>63</v>
      </c>
      <c r="J2359" s="17" t="s">
        <v>71</v>
      </c>
      <c r="K2359" s="17" t="s">
        <v>58</v>
      </c>
      <c r="L2359" s="18" t="s">
        <v>52</v>
      </c>
      <c r="M2359" s="19">
        <v>60.0</v>
      </c>
      <c r="N2359" s="19">
        <v>31.0</v>
      </c>
    </row>
    <row r="2360">
      <c r="A2360" s="12">
        <v>2358.0</v>
      </c>
      <c r="B2360" s="13" t="s">
        <v>1714</v>
      </c>
      <c r="C2360" s="14">
        <v>188.0</v>
      </c>
      <c r="D2360" s="15" t="s">
        <v>4652</v>
      </c>
      <c r="E2360" s="16" t="s">
        <v>221</v>
      </c>
      <c r="F2360" s="13" t="s">
        <v>3408</v>
      </c>
      <c r="G2360" s="13" t="s">
        <v>3514</v>
      </c>
      <c r="H2360" s="13" t="s">
        <v>3515</v>
      </c>
      <c r="I2360" s="13" t="s">
        <v>63</v>
      </c>
      <c r="J2360" s="17" t="s">
        <v>71</v>
      </c>
      <c r="K2360" s="17" t="s">
        <v>58</v>
      </c>
      <c r="L2360" s="18" t="s">
        <v>52</v>
      </c>
      <c r="M2360" s="19">
        <v>60.0</v>
      </c>
      <c r="N2360" s="19">
        <v>31.0</v>
      </c>
    </row>
    <row r="2361">
      <c r="A2361" s="12">
        <v>2359.0</v>
      </c>
      <c r="B2361" s="13" t="s">
        <v>1714</v>
      </c>
      <c r="C2361" s="14">
        <v>189.0</v>
      </c>
      <c r="D2361" s="15" t="s">
        <v>4652</v>
      </c>
      <c r="E2361" s="16" t="s">
        <v>221</v>
      </c>
      <c r="F2361" s="13" t="s">
        <v>4493</v>
      </c>
      <c r="G2361" s="13" t="s">
        <v>4963</v>
      </c>
      <c r="H2361" s="13" t="s">
        <v>4964</v>
      </c>
      <c r="I2361" s="13" t="s">
        <v>63</v>
      </c>
      <c r="J2361" s="17" t="s">
        <v>71</v>
      </c>
      <c r="K2361" s="17" t="s">
        <v>58</v>
      </c>
      <c r="L2361" s="18" t="s">
        <v>52</v>
      </c>
      <c r="M2361" s="19">
        <v>60.0</v>
      </c>
      <c r="N2361" s="19">
        <v>31.0</v>
      </c>
    </row>
    <row r="2362">
      <c r="A2362" s="12">
        <v>2360.0</v>
      </c>
      <c r="B2362" s="13" t="s">
        <v>1714</v>
      </c>
      <c r="C2362" s="14">
        <v>190.0</v>
      </c>
      <c r="D2362" s="15" t="s">
        <v>4652</v>
      </c>
      <c r="E2362" s="16" t="s">
        <v>221</v>
      </c>
      <c r="F2362" s="13" t="s">
        <v>1119</v>
      </c>
      <c r="G2362" s="13" t="s">
        <v>1915</v>
      </c>
      <c r="H2362" s="13" t="s">
        <v>1916</v>
      </c>
      <c r="I2362" s="13" t="s">
        <v>63</v>
      </c>
      <c r="J2362" s="17" t="s">
        <v>71</v>
      </c>
      <c r="K2362" s="17" t="s">
        <v>58</v>
      </c>
      <c r="L2362" s="18" t="s">
        <v>52</v>
      </c>
      <c r="M2362" s="19">
        <v>60.0</v>
      </c>
      <c r="N2362" s="19">
        <v>31.0</v>
      </c>
    </row>
    <row r="2363">
      <c r="A2363" s="12">
        <v>2361.0</v>
      </c>
      <c r="B2363" s="13" t="s">
        <v>1714</v>
      </c>
      <c r="C2363" s="14">
        <v>191.0</v>
      </c>
      <c r="D2363" s="15" t="s">
        <v>4652</v>
      </c>
      <c r="E2363" s="16" t="s">
        <v>221</v>
      </c>
      <c r="F2363" s="13" t="s">
        <v>2793</v>
      </c>
      <c r="G2363" s="13" t="s">
        <v>4482</v>
      </c>
      <c r="H2363" s="13" t="s">
        <v>4965</v>
      </c>
      <c r="I2363" s="13" t="s">
        <v>63</v>
      </c>
      <c r="J2363" s="17" t="s">
        <v>71</v>
      </c>
      <c r="K2363" s="17" t="s">
        <v>58</v>
      </c>
      <c r="L2363" s="18" t="s">
        <v>52</v>
      </c>
      <c r="M2363" s="19">
        <v>60.0</v>
      </c>
      <c r="N2363" s="19">
        <v>31.0</v>
      </c>
    </row>
    <row r="2364">
      <c r="A2364" s="12">
        <v>2362.0</v>
      </c>
      <c r="B2364" s="13" t="s">
        <v>1714</v>
      </c>
      <c r="C2364" s="14">
        <v>192.0</v>
      </c>
      <c r="D2364" s="15" t="s">
        <v>4652</v>
      </c>
      <c r="E2364" s="16" t="s">
        <v>221</v>
      </c>
      <c r="F2364" s="13" t="s">
        <v>3598</v>
      </c>
      <c r="G2364" s="13" t="s">
        <v>3599</v>
      </c>
      <c r="H2364" s="13" t="s">
        <v>3986</v>
      </c>
      <c r="I2364" s="13" t="s">
        <v>63</v>
      </c>
      <c r="J2364" s="17" t="s">
        <v>71</v>
      </c>
      <c r="K2364" s="17" t="s">
        <v>58</v>
      </c>
      <c r="L2364" s="18" t="s">
        <v>52</v>
      </c>
      <c r="M2364" s="19">
        <v>60.0</v>
      </c>
      <c r="N2364" s="19">
        <v>31.0</v>
      </c>
    </row>
    <row r="2365">
      <c r="A2365" s="12">
        <v>2363.0</v>
      </c>
      <c r="B2365" s="13" t="s">
        <v>1714</v>
      </c>
      <c r="C2365" s="14">
        <v>193.0</v>
      </c>
      <c r="D2365" s="15" t="s">
        <v>4652</v>
      </c>
      <c r="E2365" s="16" t="s">
        <v>221</v>
      </c>
      <c r="F2365" s="13" t="s">
        <v>4966</v>
      </c>
      <c r="G2365" s="13" t="s">
        <v>3069</v>
      </c>
      <c r="H2365" s="13" t="s">
        <v>4967</v>
      </c>
      <c r="I2365" s="13" t="s">
        <v>63</v>
      </c>
      <c r="J2365" s="17" t="s">
        <v>71</v>
      </c>
      <c r="K2365" s="17" t="s">
        <v>58</v>
      </c>
      <c r="L2365" s="18" t="s">
        <v>52</v>
      </c>
      <c r="M2365" s="19">
        <v>60.0</v>
      </c>
      <c r="N2365" s="19">
        <v>31.0</v>
      </c>
    </row>
    <row r="2366">
      <c r="A2366" s="12">
        <v>2364.0</v>
      </c>
      <c r="B2366" s="13" t="s">
        <v>1714</v>
      </c>
      <c r="C2366" s="14">
        <v>194.0</v>
      </c>
      <c r="D2366" s="15" t="s">
        <v>4652</v>
      </c>
      <c r="E2366" s="16" t="s">
        <v>221</v>
      </c>
      <c r="F2366" s="13" t="s">
        <v>2053</v>
      </c>
      <c r="G2366" s="13" t="s">
        <v>1406</v>
      </c>
      <c r="H2366" s="13" t="s">
        <v>4968</v>
      </c>
      <c r="I2366" s="13" t="s">
        <v>63</v>
      </c>
      <c r="J2366" s="17" t="s">
        <v>71</v>
      </c>
      <c r="K2366" s="17" t="s">
        <v>58</v>
      </c>
      <c r="L2366" s="18" t="s">
        <v>52</v>
      </c>
      <c r="M2366" s="19">
        <v>60.0</v>
      </c>
      <c r="N2366" s="19">
        <v>31.0</v>
      </c>
    </row>
    <row r="2367">
      <c r="A2367" s="12">
        <v>2365.0</v>
      </c>
      <c r="B2367" s="13" t="s">
        <v>1714</v>
      </c>
      <c r="C2367" s="14">
        <v>195.0</v>
      </c>
      <c r="D2367" s="15" t="s">
        <v>4652</v>
      </c>
      <c r="E2367" s="16" t="s">
        <v>221</v>
      </c>
      <c r="F2367" s="13" t="s">
        <v>3412</v>
      </c>
      <c r="G2367" s="13" t="s">
        <v>4969</v>
      </c>
      <c r="H2367" s="13" t="s">
        <v>4970</v>
      </c>
      <c r="I2367" s="13" t="s">
        <v>63</v>
      </c>
      <c r="J2367" s="17" t="s">
        <v>71</v>
      </c>
      <c r="K2367" s="17" t="s">
        <v>58</v>
      </c>
      <c r="L2367" s="18" t="s">
        <v>52</v>
      </c>
      <c r="M2367" s="19">
        <v>60.0</v>
      </c>
      <c r="N2367" s="19">
        <v>31.0</v>
      </c>
    </row>
    <row r="2368">
      <c r="A2368" s="12">
        <v>2366.0</v>
      </c>
      <c r="B2368" s="13" t="s">
        <v>1714</v>
      </c>
      <c r="C2368" s="14">
        <v>196.0</v>
      </c>
      <c r="D2368" s="15" t="s">
        <v>4652</v>
      </c>
      <c r="E2368" s="16" t="s">
        <v>221</v>
      </c>
      <c r="F2368" s="13" t="s">
        <v>85</v>
      </c>
      <c r="G2368" s="13" t="s">
        <v>3571</v>
      </c>
      <c r="H2368" s="13" t="s">
        <v>4971</v>
      </c>
      <c r="I2368" s="13" t="s">
        <v>63</v>
      </c>
      <c r="J2368" s="17" t="s">
        <v>71</v>
      </c>
      <c r="K2368" s="17" t="s">
        <v>58</v>
      </c>
      <c r="L2368" s="18" t="s">
        <v>52</v>
      </c>
      <c r="M2368" s="19">
        <v>60.0</v>
      </c>
      <c r="N2368" s="19">
        <v>31.0</v>
      </c>
    </row>
    <row r="2369">
      <c r="A2369" s="12">
        <v>2367.0</v>
      </c>
      <c r="B2369" s="13" t="s">
        <v>1714</v>
      </c>
      <c r="C2369" s="14">
        <v>197.0</v>
      </c>
      <c r="D2369" s="15" t="s">
        <v>4652</v>
      </c>
      <c r="E2369" s="16" t="s">
        <v>221</v>
      </c>
      <c r="F2369" s="13" t="s">
        <v>3420</v>
      </c>
      <c r="G2369" s="13" t="s">
        <v>3421</v>
      </c>
      <c r="H2369" s="13" t="s">
        <v>3548</v>
      </c>
      <c r="I2369" s="13" t="s">
        <v>63</v>
      </c>
      <c r="J2369" s="17" t="s">
        <v>71</v>
      </c>
      <c r="K2369" s="17" t="s">
        <v>58</v>
      </c>
      <c r="L2369" s="18" t="s">
        <v>52</v>
      </c>
      <c r="M2369" s="19">
        <v>60.0</v>
      </c>
      <c r="N2369" s="19">
        <v>31.0</v>
      </c>
    </row>
    <row r="2370">
      <c r="A2370" s="12">
        <v>2368.0</v>
      </c>
      <c r="B2370" s="13" t="s">
        <v>1714</v>
      </c>
      <c r="C2370" s="14">
        <v>198.0</v>
      </c>
      <c r="D2370" s="15" t="s">
        <v>4652</v>
      </c>
      <c r="E2370" s="16" t="s">
        <v>221</v>
      </c>
      <c r="F2370" s="13" t="s">
        <v>1460</v>
      </c>
      <c r="G2370" s="13" t="s">
        <v>3488</v>
      </c>
      <c r="H2370" s="13" t="s">
        <v>3489</v>
      </c>
      <c r="I2370" s="13" t="s">
        <v>63</v>
      </c>
      <c r="J2370" s="17" t="s">
        <v>71</v>
      </c>
      <c r="K2370" s="17" t="s">
        <v>58</v>
      </c>
      <c r="L2370" s="18" t="s">
        <v>52</v>
      </c>
      <c r="M2370" s="19">
        <v>60.0</v>
      </c>
      <c r="N2370" s="19">
        <v>31.0</v>
      </c>
    </row>
    <row r="2371">
      <c r="A2371" s="12">
        <v>2369.0</v>
      </c>
      <c r="B2371" s="13" t="s">
        <v>1714</v>
      </c>
      <c r="C2371" s="14">
        <v>199.0</v>
      </c>
      <c r="D2371" s="15" t="s">
        <v>4652</v>
      </c>
      <c r="E2371" s="16" t="s">
        <v>221</v>
      </c>
      <c r="F2371" s="13" t="s">
        <v>3414</v>
      </c>
      <c r="G2371" s="13" t="s">
        <v>3480</v>
      </c>
      <c r="H2371" s="13" t="s">
        <v>4972</v>
      </c>
      <c r="I2371" s="13" t="s">
        <v>63</v>
      </c>
      <c r="J2371" s="17" t="s">
        <v>71</v>
      </c>
      <c r="K2371" s="17" t="s">
        <v>58</v>
      </c>
      <c r="L2371" s="18" t="s">
        <v>52</v>
      </c>
      <c r="M2371" s="19">
        <v>60.0</v>
      </c>
      <c r="N2371" s="19">
        <v>31.0</v>
      </c>
    </row>
    <row r="2372">
      <c r="A2372" s="12">
        <v>2370.0</v>
      </c>
      <c r="B2372" s="13" t="s">
        <v>1714</v>
      </c>
      <c r="C2372" s="14">
        <v>200.0</v>
      </c>
      <c r="D2372" s="15" t="s">
        <v>4652</v>
      </c>
      <c r="E2372" s="16" t="s">
        <v>221</v>
      </c>
      <c r="F2372" s="13" t="s">
        <v>4973</v>
      </c>
      <c r="G2372" s="13" t="s">
        <v>4974</v>
      </c>
      <c r="H2372" s="13" t="s">
        <v>4975</v>
      </c>
      <c r="I2372" s="13" t="s">
        <v>63</v>
      </c>
      <c r="J2372" s="17" t="s">
        <v>71</v>
      </c>
      <c r="K2372" s="17" t="s">
        <v>58</v>
      </c>
      <c r="L2372" s="18" t="s">
        <v>52</v>
      </c>
      <c r="M2372" s="19">
        <v>60.0</v>
      </c>
      <c r="N2372" s="19">
        <v>31.0</v>
      </c>
    </row>
    <row r="2373">
      <c r="A2373" s="12">
        <v>2371.0</v>
      </c>
      <c r="B2373" s="13" t="s">
        <v>1716</v>
      </c>
      <c r="C2373" s="14">
        <v>1.0</v>
      </c>
      <c r="D2373" s="15" t="s">
        <v>4976</v>
      </c>
      <c r="E2373" s="16" t="s">
        <v>221</v>
      </c>
      <c r="F2373" s="13" t="s">
        <v>3450</v>
      </c>
      <c r="G2373" s="13" t="s">
        <v>3536</v>
      </c>
      <c r="H2373" s="13" t="s">
        <v>4978</v>
      </c>
      <c r="I2373" s="13" t="s">
        <v>63</v>
      </c>
      <c r="J2373" s="17" t="s">
        <v>57</v>
      </c>
      <c r="K2373" s="17" t="s">
        <v>58</v>
      </c>
      <c r="L2373" s="18" t="s">
        <v>52</v>
      </c>
      <c r="M2373" s="19">
        <v>61.0</v>
      </c>
      <c r="N2373" s="19">
        <v>11.0</v>
      </c>
    </row>
    <row r="2374">
      <c r="A2374" s="12">
        <v>2372.0</v>
      </c>
      <c r="B2374" s="13" t="s">
        <v>1716</v>
      </c>
      <c r="C2374" s="14">
        <v>2.0</v>
      </c>
      <c r="D2374" s="15" t="s">
        <v>4980</v>
      </c>
      <c r="E2374" s="16" t="s">
        <v>221</v>
      </c>
      <c r="F2374" s="13" t="s">
        <v>1331</v>
      </c>
      <c r="G2374" s="13" t="s">
        <v>4723</v>
      </c>
      <c r="H2374" s="13" t="s">
        <v>4981</v>
      </c>
      <c r="I2374" s="13" t="s">
        <v>56</v>
      </c>
      <c r="J2374" s="17" t="s">
        <v>67</v>
      </c>
      <c r="K2374" s="17" t="s">
        <v>58</v>
      </c>
      <c r="L2374" s="18" t="s">
        <v>52</v>
      </c>
      <c r="M2374" s="19">
        <v>61.0</v>
      </c>
      <c r="N2374" s="19">
        <v>20.0</v>
      </c>
    </row>
    <row r="2375">
      <c r="A2375" s="12">
        <v>2373.0</v>
      </c>
      <c r="B2375" s="13" t="s">
        <v>1716</v>
      </c>
      <c r="C2375" s="14">
        <v>3.0</v>
      </c>
      <c r="D2375" s="15" t="s">
        <v>4980</v>
      </c>
      <c r="E2375" s="16" t="s">
        <v>221</v>
      </c>
      <c r="F2375" s="13" t="s">
        <v>2822</v>
      </c>
      <c r="G2375" s="13" t="s">
        <v>4983</v>
      </c>
      <c r="H2375" s="13" t="s">
        <v>4984</v>
      </c>
      <c r="I2375" s="13" t="s">
        <v>56</v>
      </c>
      <c r="J2375" s="17" t="s">
        <v>67</v>
      </c>
      <c r="K2375" s="17" t="s">
        <v>58</v>
      </c>
      <c r="L2375" s="18" t="s">
        <v>52</v>
      </c>
      <c r="M2375" s="19">
        <v>61.0</v>
      </c>
      <c r="N2375" s="19">
        <v>20.0</v>
      </c>
    </row>
    <row r="2376">
      <c r="A2376" s="12">
        <v>2374.0</v>
      </c>
      <c r="B2376" s="13" t="s">
        <v>1716</v>
      </c>
      <c r="C2376" s="14">
        <v>4.0</v>
      </c>
      <c r="D2376" s="15" t="s">
        <v>4980</v>
      </c>
      <c r="E2376" s="16" t="s">
        <v>221</v>
      </c>
      <c r="F2376" s="13" t="s">
        <v>1139</v>
      </c>
      <c r="G2376" s="13" t="s">
        <v>1140</v>
      </c>
      <c r="H2376" s="13" t="s">
        <v>4986</v>
      </c>
      <c r="I2376" s="13" t="s">
        <v>56</v>
      </c>
      <c r="J2376" s="17" t="s">
        <v>67</v>
      </c>
      <c r="K2376" s="17" t="s">
        <v>58</v>
      </c>
      <c r="L2376" s="18" t="s">
        <v>52</v>
      </c>
      <c r="M2376" s="19">
        <v>61.0</v>
      </c>
      <c r="N2376" s="19">
        <v>20.0</v>
      </c>
    </row>
    <row r="2377">
      <c r="A2377" s="12">
        <v>2375.0</v>
      </c>
      <c r="B2377" s="13" t="s">
        <v>1716</v>
      </c>
      <c r="C2377" s="14">
        <v>5.0</v>
      </c>
      <c r="D2377" s="15" t="s">
        <v>4980</v>
      </c>
      <c r="E2377" s="16" t="s">
        <v>221</v>
      </c>
      <c r="F2377" s="13" t="s">
        <v>2258</v>
      </c>
      <c r="G2377" s="13" t="s">
        <v>4987</v>
      </c>
      <c r="H2377" s="13" t="s">
        <v>4988</v>
      </c>
      <c r="I2377" s="13" t="s">
        <v>56</v>
      </c>
      <c r="J2377" s="17" t="s">
        <v>67</v>
      </c>
      <c r="K2377" s="17" t="s">
        <v>58</v>
      </c>
      <c r="L2377" s="18" t="s">
        <v>52</v>
      </c>
      <c r="M2377" s="19">
        <v>61.0</v>
      </c>
      <c r="N2377" s="19">
        <v>20.0</v>
      </c>
    </row>
    <row r="2378">
      <c r="A2378" s="12">
        <v>2376.0</v>
      </c>
      <c r="B2378" s="13" t="s">
        <v>1716</v>
      </c>
      <c r="C2378" s="14">
        <v>6.0</v>
      </c>
      <c r="D2378" s="15" t="s">
        <v>4990</v>
      </c>
      <c r="E2378" s="16" t="s">
        <v>221</v>
      </c>
      <c r="F2378" s="13" t="s">
        <v>3033</v>
      </c>
      <c r="G2378" s="13" t="s">
        <v>3523</v>
      </c>
      <c r="H2378" s="13" t="s">
        <v>3524</v>
      </c>
      <c r="I2378" s="13" t="s">
        <v>63</v>
      </c>
      <c r="J2378" s="17" t="s">
        <v>67</v>
      </c>
      <c r="K2378" s="17" t="s">
        <v>58</v>
      </c>
      <c r="L2378" s="18" t="s">
        <v>52</v>
      </c>
      <c r="M2378" s="19">
        <v>61.0</v>
      </c>
      <c r="N2378" s="19">
        <v>21.0</v>
      </c>
    </row>
    <row r="2379">
      <c r="A2379" s="12">
        <v>2377.0</v>
      </c>
      <c r="B2379" s="13" t="s">
        <v>1716</v>
      </c>
      <c r="C2379" s="14">
        <v>7.0</v>
      </c>
      <c r="D2379" s="15" t="s">
        <v>4990</v>
      </c>
      <c r="E2379" s="16" t="s">
        <v>221</v>
      </c>
      <c r="F2379" s="13" t="s">
        <v>2793</v>
      </c>
      <c r="G2379" s="13" t="s">
        <v>4482</v>
      </c>
      <c r="H2379" s="13" t="s">
        <v>4965</v>
      </c>
      <c r="I2379" s="13" t="s">
        <v>63</v>
      </c>
      <c r="J2379" s="17" t="s">
        <v>67</v>
      </c>
      <c r="K2379" s="17" t="s">
        <v>58</v>
      </c>
      <c r="L2379" s="18" t="s">
        <v>52</v>
      </c>
      <c r="M2379" s="19">
        <v>61.0</v>
      </c>
      <c r="N2379" s="19">
        <v>21.0</v>
      </c>
    </row>
    <row r="2380">
      <c r="A2380" s="12">
        <v>2378.0</v>
      </c>
      <c r="B2380" s="13" t="s">
        <v>1716</v>
      </c>
      <c r="C2380" s="14">
        <v>8.0</v>
      </c>
      <c r="D2380" s="15" t="s">
        <v>4980</v>
      </c>
      <c r="E2380" s="16" t="s">
        <v>221</v>
      </c>
      <c r="F2380" s="13" t="s">
        <v>1714</v>
      </c>
      <c r="G2380" s="13" t="s">
        <v>4993</v>
      </c>
      <c r="H2380" s="13" t="s">
        <v>4994</v>
      </c>
      <c r="I2380" s="13" t="s">
        <v>56</v>
      </c>
      <c r="J2380" s="17" t="s">
        <v>71</v>
      </c>
      <c r="K2380" s="17" t="s">
        <v>58</v>
      </c>
      <c r="L2380" s="18" t="s">
        <v>52</v>
      </c>
      <c r="M2380" s="19">
        <v>61.0</v>
      </c>
      <c r="N2380" s="19">
        <v>30.0</v>
      </c>
    </row>
    <row r="2381">
      <c r="A2381" s="12">
        <v>2379.0</v>
      </c>
      <c r="B2381" s="13" t="s">
        <v>1716</v>
      </c>
      <c r="C2381" s="14">
        <v>9.0</v>
      </c>
      <c r="D2381" s="15" t="s">
        <v>4980</v>
      </c>
      <c r="E2381" s="16" t="s">
        <v>221</v>
      </c>
      <c r="F2381" s="13" t="s">
        <v>2484</v>
      </c>
      <c r="G2381" s="13" t="s">
        <v>4677</v>
      </c>
      <c r="H2381" s="13" t="s">
        <v>4995</v>
      </c>
      <c r="I2381" s="13" t="s">
        <v>56</v>
      </c>
      <c r="J2381" s="17" t="s">
        <v>71</v>
      </c>
      <c r="K2381" s="17" t="s">
        <v>58</v>
      </c>
      <c r="L2381" s="18" t="s">
        <v>52</v>
      </c>
      <c r="M2381" s="19">
        <v>61.0</v>
      </c>
      <c r="N2381" s="19">
        <v>30.0</v>
      </c>
    </row>
    <row r="2382">
      <c r="A2382" s="12">
        <v>2380.0</v>
      </c>
      <c r="B2382" s="13" t="s">
        <v>1716</v>
      </c>
      <c r="C2382" s="14">
        <v>10.0</v>
      </c>
      <c r="D2382" s="15" t="s">
        <v>4980</v>
      </c>
      <c r="E2382" s="16" t="s">
        <v>221</v>
      </c>
      <c r="F2382" s="13" t="s">
        <v>2796</v>
      </c>
      <c r="G2382" s="13" t="s">
        <v>4996</v>
      </c>
      <c r="H2382" s="13" t="s">
        <v>4997</v>
      </c>
      <c r="I2382" s="13" t="s">
        <v>56</v>
      </c>
      <c r="J2382" s="17" t="s">
        <v>71</v>
      </c>
      <c r="K2382" s="17" t="s">
        <v>58</v>
      </c>
      <c r="L2382" s="18" t="s">
        <v>52</v>
      </c>
      <c r="M2382" s="19">
        <v>61.0</v>
      </c>
      <c r="N2382" s="19">
        <v>30.0</v>
      </c>
    </row>
    <row r="2383">
      <c r="A2383" s="12">
        <v>2381.0</v>
      </c>
      <c r="B2383" s="13" t="s">
        <v>1716</v>
      </c>
      <c r="C2383" s="14">
        <v>11.0</v>
      </c>
      <c r="D2383" s="15" t="s">
        <v>4976</v>
      </c>
      <c r="E2383" s="16" t="s">
        <v>221</v>
      </c>
      <c r="F2383" s="13" t="s">
        <v>4452</v>
      </c>
      <c r="G2383" s="13" t="s">
        <v>4453</v>
      </c>
      <c r="H2383" s="13" t="s">
        <v>4454</v>
      </c>
      <c r="I2383" s="13" t="s">
        <v>63</v>
      </c>
      <c r="J2383" s="17" t="s">
        <v>71</v>
      </c>
      <c r="K2383" s="17" t="s">
        <v>58</v>
      </c>
      <c r="L2383" s="18" t="s">
        <v>52</v>
      </c>
      <c r="M2383" s="19">
        <v>61.0</v>
      </c>
      <c r="N2383" s="19">
        <v>31.0</v>
      </c>
    </row>
    <row r="2384">
      <c r="A2384" s="12">
        <v>2382.0</v>
      </c>
      <c r="B2384" s="13" t="s">
        <v>1716</v>
      </c>
      <c r="C2384" s="14">
        <v>12.0</v>
      </c>
      <c r="D2384" s="15" t="s">
        <v>4976</v>
      </c>
      <c r="E2384" s="16" t="s">
        <v>221</v>
      </c>
      <c r="F2384" s="13" t="s">
        <v>4515</v>
      </c>
      <c r="G2384" s="13" t="s">
        <v>4516</v>
      </c>
      <c r="H2384" s="13" t="s">
        <v>4517</v>
      </c>
      <c r="I2384" s="13" t="s">
        <v>63</v>
      </c>
      <c r="J2384" s="17" t="s">
        <v>71</v>
      </c>
      <c r="K2384" s="17" t="s">
        <v>58</v>
      </c>
      <c r="L2384" s="18" t="s">
        <v>52</v>
      </c>
      <c r="M2384" s="19">
        <v>61.0</v>
      </c>
      <c r="N2384" s="19">
        <v>31.0</v>
      </c>
    </row>
    <row r="2385">
      <c r="A2385" s="12">
        <v>2383.0</v>
      </c>
      <c r="B2385" s="13" t="s">
        <v>1716</v>
      </c>
      <c r="C2385" s="14">
        <v>13.0</v>
      </c>
      <c r="D2385" s="15" t="s">
        <v>4976</v>
      </c>
      <c r="E2385" s="16" t="s">
        <v>221</v>
      </c>
      <c r="F2385" s="13" t="s">
        <v>3295</v>
      </c>
      <c r="G2385" s="13" t="s">
        <v>4999</v>
      </c>
      <c r="H2385" s="13" t="s">
        <v>5000</v>
      </c>
      <c r="I2385" s="13" t="s">
        <v>63</v>
      </c>
      <c r="J2385" s="17" t="s">
        <v>71</v>
      </c>
      <c r="K2385" s="17" t="s">
        <v>58</v>
      </c>
      <c r="L2385" s="18" t="s">
        <v>52</v>
      </c>
      <c r="M2385" s="19">
        <v>61.0</v>
      </c>
      <c r="N2385" s="19">
        <v>31.0</v>
      </c>
    </row>
    <row r="2386">
      <c r="A2386" s="12">
        <v>2384.0</v>
      </c>
      <c r="B2386" s="13" t="s">
        <v>1716</v>
      </c>
      <c r="C2386" s="14">
        <v>14.0</v>
      </c>
      <c r="D2386" s="15" t="s">
        <v>4976</v>
      </c>
      <c r="E2386" s="16" t="s">
        <v>221</v>
      </c>
      <c r="F2386" s="13" t="s">
        <v>68</v>
      </c>
      <c r="G2386" s="13" t="s">
        <v>69</v>
      </c>
      <c r="H2386" s="13" t="s">
        <v>4530</v>
      </c>
      <c r="I2386" s="13" t="s">
        <v>63</v>
      </c>
      <c r="J2386" s="17" t="s">
        <v>71</v>
      </c>
      <c r="K2386" s="17" t="s">
        <v>58</v>
      </c>
      <c r="L2386" s="18" t="s">
        <v>52</v>
      </c>
      <c r="M2386" s="19">
        <v>61.0</v>
      </c>
      <c r="N2386" s="19">
        <v>31.0</v>
      </c>
    </row>
    <row r="2387">
      <c r="A2387" s="12">
        <v>2385.0</v>
      </c>
      <c r="B2387" s="13" t="s">
        <v>1716</v>
      </c>
      <c r="C2387" s="14">
        <v>15.0</v>
      </c>
      <c r="D2387" s="15" t="s">
        <v>4976</v>
      </c>
      <c r="E2387" s="16" t="s">
        <v>221</v>
      </c>
      <c r="F2387" s="13" t="s">
        <v>4445</v>
      </c>
      <c r="G2387" s="13" t="s">
        <v>4446</v>
      </c>
      <c r="H2387" s="13" t="s">
        <v>4447</v>
      </c>
      <c r="I2387" s="13" t="s">
        <v>63</v>
      </c>
      <c r="J2387" s="17" t="s">
        <v>71</v>
      </c>
      <c r="K2387" s="17" t="s">
        <v>58</v>
      </c>
      <c r="L2387" s="18" t="s">
        <v>52</v>
      </c>
      <c r="M2387" s="19">
        <v>61.0</v>
      </c>
      <c r="N2387" s="19">
        <v>31.0</v>
      </c>
    </row>
    <row r="2388">
      <c r="A2388" s="12">
        <v>2386.0</v>
      </c>
      <c r="B2388" s="13" t="s">
        <v>1716</v>
      </c>
      <c r="C2388" s="14">
        <v>16.0</v>
      </c>
      <c r="D2388" s="15" t="s">
        <v>4976</v>
      </c>
      <c r="E2388" s="16" t="s">
        <v>221</v>
      </c>
      <c r="F2388" s="13" t="s">
        <v>1732</v>
      </c>
      <c r="G2388" s="13" t="s">
        <v>4536</v>
      </c>
      <c r="H2388" s="13" t="s">
        <v>4537</v>
      </c>
      <c r="I2388" s="13" t="s">
        <v>63</v>
      </c>
      <c r="J2388" s="17" t="s">
        <v>71</v>
      </c>
      <c r="K2388" s="17" t="s">
        <v>58</v>
      </c>
      <c r="L2388" s="18" t="s">
        <v>52</v>
      </c>
      <c r="M2388" s="19">
        <v>61.0</v>
      </c>
      <c r="N2388" s="19">
        <v>31.0</v>
      </c>
    </row>
    <row r="2389">
      <c r="A2389" s="12">
        <v>2387.0</v>
      </c>
      <c r="B2389" s="13" t="s">
        <v>1716</v>
      </c>
      <c r="C2389" s="14">
        <v>17.0</v>
      </c>
      <c r="D2389" s="15" t="s">
        <v>4976</v>
      </c>
      <c r="E2389" s="16" t="s">
        <v>221</v>
      </c>
      <c r="F2389" s="13" t="s">
        <v>94</v>
      </c>
      <c r="G2389" s="13" t="s">
        <v>61</v>
      </c>
      <c r="H2389" s="13" t="s">
        <v>95</v>
      </c>
      <c r="I2389" s="13" t="s">
        <v>63</v>
      </c>
      <c r="J2389" s="17" t="s">
        <v>71</v>
      </c>
      <c r="K2389" s="17" t="s">
        <v>58</v>
      </c>
      <c r="L2389" s="18" t="s">
        <v>52</v>
      </c>
      <c r="M2389" s="19">
        <v>61.0</v>
      </c>
      <c r="N2389" s="19">
        <v>31.0</v>
      </c>
    </row>
    <row r="2390">
      <c r="A2390" s="12">
        <v>2388.0</v>
      </c>
      <c r="B2390" s="13" t="s">
        <v>1716</v>
      </c>
      <c r="C2390" s="14">
        <v>18.0</v>
      </c>
      <c r="D2390" s="15" t="s">
        <v>4976</v>
      </c>
      <c r="E2390" s="16" t="s">
        <v>221</v>
      </c>
      <c r="F2390" s="13" t="s">
        <v>1738</v>
      </c>
      <c r="G2390" s="13" t="s">
        <v>61</v>
      </c>
      <c r="H2390" s="13" t="s">
        <v>4893</v>
      </c>
      <c r="I2390" s="13" t="s">
        <v>63</v>
      </c>
      <c r="J2390" s="17" t="s">
        <v>71</v>
      </c>
      <c r="K2390" s="17" t="s">
        <v>58</v>
      </c>
      <c r="L2390" s="18" t="s">
        <v>52</v>
      </c>
      <c r="M2390" s="19">
        <v>61.0</v>
      </c>
      <c r="N2390" s="19">
        <v>31.0</v>
      </c>
    </row>
    <row r="2391">
      <c r="A2391" s="12">
        <v>2389.0</v>
      </c>
      <c r="B2391" s="13" t="s">
        <v>1716</v>
      </c>
      <c r="C2391" s="14">
        <v>19.0</v>
      </c>
      <c r="D2391" s="15" t="s">
        <v>4976</v>
      </c>
      <c r="E2391" s="16" t="s">
        <v>221</v>
      </c>
      <c r="F2391" s="13" t="s">
        <v>4921</v>
      </c>
      <c r="G2391" s="13" t="s">
        <v>4922</v>
      </c>
      <c r="H2391" s="13" t="s">
        <v>5001</v>
      </c>
      <c r="I2391" s="13" t="s">
        <v>63</v>
      </c>
      <c r="J2391" s="17" t="s">
        <v>71</v>
      </c>
      <c r="K2391" s="17" t="s">
        <v>58</v>
      </c>
      <c r="L2391" s="18" t="s">
        <v>52</v>
      </c>
      <c r="M2391" s="19">
        <v>61.0</v>
      </c>
      <c r="N2391" s="19">
        <v>31.0</v>
      </c>
    </row>
    <row r="2392">
      <c r="A2392" s="12">
        <v>2390.0</v>
      </c>
      <c r="B2392" s="13" t="s">
        <v>1716</v>
      </c>
      <c r="C2392" s="14">
        <v>20.0</v>
      </c>
      <c r="D2392" s="15" t="s">
        <v>4976</v>
      </c>
      <c r="E2392" s="16" t="s">
        <v>221</v>
      </c>
      <c r="F2392" s="13" t="s">
        <v>5002</v>
      </c>
      <c r="G2392" s="13" t="s">
        <v>5003</v>
      </c>
      <c r="H2392" s="13" t="s">
        <v>5004</v>
      </c>
      <c r="I2392" s="13" t="s">
        <v>63</v>
      </c>
      <c r="J2392" s="17" t="s">
        <v>71</v>
      </c>
      <c r="K2392" s="17" t="s">
        <v>58</v>
      </c>
      <c r="L2392" s="18" t="s">
        <v>52</v>
      </c>
      <c r="M2392" s="19">
        <v>61.0</v>
      </c>
      <c r="N2392" s="19">
        <v>31.0</v>
      </c>
    </row>
    <row r="2393">
      <c r="A2393" s="12">
        <v>2391.0</v>
      </c>
      <c r="B2393" s="13" t="s">
        <v>1716</v>
      </c>
      <c r="C2393" s="14">
        <v>21.0</v>
      </c>
      <c r="D2393" s="15" t="s">
        <v>4976</v>
      </c>
      <c r="E2393" s="16" t="s">
        <v>221</v>
      </c>
      <c r="F2393" s="13" t="s">
        <v>4756</v>
      </c>
      <c r="G2393" s="13" t="s">
        <v>5005</v>
      </c>
      <c r="H2393" s="13" t="s">
        <v>5006</v>
      </c>
      <c r="I2393" s="13" t="s">
        <v>63</v>
      </c>
      <c r="J2393" s="17" t="s">
        <v>71</v>
      </c>
      <c r="K2393" s="17" t="s">
        <v>58</v>
      </c>
      <c r="L2393" s="18" t="s">
        <v>52</v>
      </c>
      <c r="M2393" s="19">
        <v>61.0</v>
      </c>
      <c r="N2393" s="19">
        <v>31.0</v>
      </c>
    </row>
    <row r="2394">
      <c r="A2394" s="12">
        <v>2392.0</v>
      </c>
      <c r="B2394" s="13" t="s">
        <v>1716</v>
      </c>
      <c r="C2394" s="14">
        <v>22.0</v>
      </c>
      <c r="D2394" s="15" t="s">
        <v>4976</v>
      </c>
      <c r="E2394" s="16" t="s">
        <v>221</v>
      </c>
      <c r="F2394" s="13" t="s">
        <v>2883</v>
      </c>
      <c r="G2394" s="13" t="s">
        <v>4115</v>
      </c>
      <c r="H2394" s="13" t="s">
        <v>4117</v>
      </c>
      <c r="I2394" s="13" t="s">
        <v>63</v>
      </c>
      <c r="J2394" s="17" t="s">
        <v>71</v>
      </c>
      <c r="K2394" s="17" t="s">
        <v>58</v>
      </c>
      <c r="L2394" s="18" t="s">
        <v>52</v>
      </c>
      <c r="M2394" s="19">
        <v>61.0</v>
      </c>
      <c r="N2394" s="19">
        <v>31.0</v>
      </c>
    </row>
    <row r="2395">
      <c r="A2395" s="12">
        <v>2393.0</v>
      </c>
      <c r="B2395" s="13" t="s">
        <v>1716</v>
      </c>
      <c r="C2395" s="14">
        <v>23.0</v>
      </c>
      <c r="D2395" s="15" t="s">
        <v>4976</v>
      </c>
      <c r="E2395" s="16" t="s">
        <v>221</v>
      </c>
      <c r="F2395" s="13" t="s">
        <v>2753</v>
      </c>
      <c r="G2395" s="13" t="s">
        <v>4763</v>
      </c>
      <c r="H2395" s="13" t="s">
        <v>4764</v>
      </c>
      <c r="I2395" s="13" t="s">
        <v>63</v>
      </c>
      <c r="J2395" s="17" t="s">
        <v>71</v>
      </c>
      <c r="K2395" s="17" t="s">
        <v>58</v>
      </c>
      <c r="L2395" s="18" t="s">
        <v>52</v>
      </c>
      <c r="M2395" s="19">
        <v>61.0</v>
      </c>
      <c r="N2395" s="19">
        <v>31.0</v>
      </c>
    </row>
    <row r="2396">
      <c r="A2396" s="12">
        <v>2394.0</v>
      </c>
      <c r="B2396" s="13" t="s">
        <v>1716</v>
      </c>
      <c r="C2396" s="14">
        <v>24.0</v>
      </c>
      <c r="D2396" s="15" t="s">
        <v>4976</v>
      </c>
      <c r="E2396" s="16" t="s">
        <v>221</v>
      </c>
      <c r="F2396" s="13" t="s">
        <v>4771</v>
      </c>
      <c r="G2396" s="13" t="s">
        <v>4772</v>
      </c>
      <c r="H2396" s="13" t="s">
        <v>5007</v>
      </c>
      <c r="I2396" s="13" t="s">
        <v>63</v>
      </c>
      <c r="J2396" s="17" t="s">
        <v>71</v>
      </c>
      <c r="K2396" s="17" t="s">
        <v>58</v>
      </c>
      <c r="L2396" s="18" t="s">
        <v>52</v>
      </c>
      <c r="M2396" s="19">
        <v>61.0</v>
      </c>
      <c r="N2396" s="19">
        <v>31.0</v>
      </c>
    </row>
    <row r="2397">
      <c r="A2397" s="12">
        <v>2395.0</v>
      </c>
      <c r="B2397" s="13" t="s">
        <v>1716</v>
      </c>
      <c r="C2397" s="14">
        <v>25.0</v>
      </c>
      <c r="D2397" s="15" t="s">
        <v>4976</v>
      </c>
      <c r="E2397" s="16" t="s">
        <v>221</v>
      </c>
      <c r="F2397" s="13" t="s">
        <v>124</v>
      </c>
      <c r="G2397" s="13" t="s">
        <v>126</v>
      </c>
      <c r="H2397" s="13" t="s">
        <v>128</v>
      </c>
      <c r="I2397" s="13" t="s">
        <v>63</v>
      </c>
      <c r="J2397" s="17" t="s">
        <v>71</v>
      </c>
      <c r="K2397" s="17" t="s">
        <v>58</v>
      </c>
      <c r="L2397" s="18" t="s">
        <v>52</v>
      </c>
      <c r="M2397" s="19">
        <v>61.0</v>
      </c>
      <c r="N2397" s="19">
        <v>31.0</v>
      </c>
    </row>
    <row r="2398">
      <c r="A2398" s="12">
        <v>2396.0</v>
      </c>
      <c r="B2398" s="13" t="s">
        <v>1716</v>
      </c>
      <c r="C2398" s="14">
        <v>26.0</v>
      </c>
      <c r="D2398" s="15" t="s">
        <v>4976</v>
      </c>
      <c r="E2398" s="16" t="s">
        <v>221</v>
      </c>
      <c r="F2398" s="13" t="s">
        <v>140</v>
      </c>
      <c r="G2398" s="13" t="s">
        <v>4471</v>
      </c>
      <c r="H2398" s="13" t="s">
        <v>5008</v>
      </c>
      <c r="I2398" s="13" t="s">
        <v>63</v>
      </c>
      <c r="J2398" s="17" t="s">
        <v>71</v>
      </c>
      <c r="K2398" s="17" t="s">
        <v>58</v>
      </c>
      <c r="L2398" s="18" t="s">
        <v>52</v>
      </c>
      <c r="M2398" s="19">
        <v>61.0</v>
      </c>
      <c r="N2398" s="19">
        <v>31.0</v>
      </c>
    </row>
    <row r="2399">
      <c r="A2399" s="12">
        <v>2397.0</v>
      </c>
      <c r="B2399" s="13" t="s">
        <v>1716</v>
      </c>
      <c r="C2399" s="14">
        <v>27.0</v>
      </c>
      <c r="D2399" s="15" t="s">
        <v>4976</v>
      </c>
      <c r="E2399" s="16" t="s">
        <v>221</v>
      </c>
      <c r="F2399" s="13" t="s">
        <v>107</v>
      </c>
      <c r="G2399" s="13" t="s">
        <v>61</v>
      </c>
      <c r="H2399" s="13" t="s">
        <v>108</v>
      </c>
      <c r="I2399" s="13" t="s">
        <v>63</v>
      </c>
      <c r="J2399" s="17" t="s">
        <v>71</v>
      </c>
      <c r="K2399" s="17" t="s">
        <v>58</v>
      </c>
      <c r="L2399" s="18" t="s">
        <v>52</v>
      </c>
      <c r="M2399" s="19">
        <v>61.0</v>
      </c>
      <c r="N2399" s="19">
        <v>31.0</v>
      </c>
    </row>
    <row r="2400">
      <c r="A2400" s="12">
        <v>2398.0</v>
      </c>
      <c r="B2400" s="13" t="s">
        <v>1716</v>
      </c>
      <c r="C2400" s="14">
        <v>28.0</v>
      </c>
      <c r="D2400" s="15" t="s">
        <v>4976</v>
      </c>
      <c r="E2400" s="16" t="s">
        <v>221</v>
      </c>
      <c r="F2400" s="13" t="s">
        <v>1356</v>
      </c>
      <c r="G2400" s="13" t="s">
        <v>4458</v>
      </c>
      <c r="H2400" s="13" t="s">
        <v>4788</v>
      </c>
      <c r="I2400" s="13" t="s">
        <v>63</v>
      </c>
      <c r="J2400" s="17" t="s">
        <v>71</v>
      </c>
      <c r="K2400" s="17" t="s">
        <v>58</v>
      </c>
      <c r="L2400" s="18" t="s">
        <v>52</v>
      </c>
      <c r="M2400" s="19">
        <v>61.0</v>
      </c>
      <c r="N2400" s="19">
        <v>31.0</v>
      </c>
    </row>
    <row r="2401">
      <c r="A2401" s="12">
        <v>2399.0</v>
      </c>
      <c r="B2401" s="13" t="s">
        <v>1716</v>
      </c>
      <c r="C2401" s="14">
        <v>29.0</v>
      </c>
      <c r="D2401" s="15" t="s">
        <v>4976</v>
      </c>
      <c r="E2401" s="16" t="s">
        <v>221</v>
      </c>
      <c r="F2401" s="13" t="s">
        <v>3068</v>
      </c>
      <c r="G2401" s="13" t="s">
        <v>4464</v>
      </c>
      <c r="H2401" s="13" t="s">
        <v>4741</v>
      </c>
      <c r="I2401" s="13" t="s">
        <v>63</v>
      </c>
      <c r="J2401" s="17" t="s">
        <v>71</v>
      </c>
      <c r="K2401" s="17" t="s">
        <v>58</v>
      </c>
      <c r="L2401" s="18" t="s">
        <v>52</v>
      </c>
      <c r="M2401" s="19">
        <v>61.0</v>
      </c>
      <c r="N2401" s="19">
        <v>31.0</v>
      </c>
    </row>
    <row r="2402">
      <c r="A2402" s="12">
        <v>2400.0</v>
      </c>
      <c r="B2402" s="13" t="s">
        <v>1716</v>
      </c>
      <c r="C2402" s="14">
        <v>30.0</v>
      </c>
      <c r="D2402" s="15" t="s">
        <v>4976</v>
      </c>
      <c r="E2402" s="16" t="s">
        <v>221</v>
      </c>
      <c r="F2402" s="13" t="s">
        <v>4679</v>
      </c>
      <c r="G2402" s="13" t="s">
        <v>5011</v>
      </c>
      <c r="H2402" s="13" t="s">
        <v>5013</v>
      </c>
      <c r="I2402" s="13" t="s">
        <v>63</v>
      </c>
      <c r="J2402" s="17" t="s">
        <v>71</v>
      </c>
      <c r="K2402" s="17" t="s">
        <v>58</v>
      </c>
      <c r="L2402" s="18" t="s">
        <v>52</v>
      </c>
      <c r="M2402" s="19">
        <v>61.0</v>
      </c>
      <c r="N2402" s="19">
        <v>31.0</v>
      </c>
    </row>
    <row r="2403">
      <c r="A2403" s="12">
        <v>2401.0</v>
      </c>
      <c r="B2403" s="13" t="s">
        <v>1716</v>
      </c>
      <c r="C2403" s="14">
        <v>31.0</v>
      </c>
      <c r="D2403" s="15" t="s">
        <v>4976</v>
      </c>
      <c r="E2403" s="16" t="s">
        <v>221</v>
      </c>
      <c r="F2403" s="13" t="s">
        <v>2895</v>
      </c>
      <c r="G2403" s="13" t="s">
        <v>2896</v>
      </c>
      <c r="H2403" s="13" t="s">
        <v>5014</v>
      </c>
      <c r="I2403" s="13" t="s">
        <v>63</v>
      </c>
      <c r="J2403" s="17" t="s">
        <v>71</v>
      </c>
      <c r="K2403" s="17" t="s">
        <v>58</v>
      </c>
      <c r="L2403" s="18" t="s">
        <v>52</v>
      </c>
      <c r="M2403" s="19">
        <v>61.0</v>
      </c>
      <c r="N2403" s="19">
        <v>31.0</v>
      </c>
    </row>
    <row r="2404">
      <c r="A2404" s="12">
        <v>2402.0</v>
      </c>
      <c r="B2404" s="13" t="s">
        <v>1716</v>
      </c>
      <c r="C2404" s="14">
        <v>32.0</v>
      </c>
      <c r="D2404" s="15" t="s">
        <v>4976</v>
      </c>
      <c r="E2404" s="16" t="s">
        <v>221</v>
      </c>
      <c r="F2404" s="13" t="s">
        <v>2466</v>
      </c>
      <c r="G2404" s="13" t="s">
        <v>2467</v>
      </c>
      <c r="H2404" s="13" t="s">
        <v>4845</v>
      </c>
      <c r="I2404" s="13" t="s">
        <v>63</v>
      </c>
      <c r="J2404" s="17" t="s">
        <v>71</v>
      </c>
      <c r="K2404" s="17" t="s">
        <v>58</v>
      </c>
      <c r="L2404" s="18" t="s">
        <v>52</v>
      </c>
      <c r="M2404" s="19">
        <v>61.0</v>
      </c>
      <c r="N2404" s="19">
        <v>31.0</v>
      </c>
    </row>
    <row r="2405">
      <c r="A2405" s="12">
        <v>2403.0</v>
      </c>
      <c r="B2405" s="13" t="s">
        <v>1716</v>
      </c>
      <c r="C2405" s="14">
        <v>33.0</v>
      </c>
      <c r="D2405" s="15" t="s">
        <v>5017</v>
      </c>
      <c r="E2405" s="16" t="s">
        <v>221</v>
      </c>
      <c r="F2405" s="13" t="s">
        <v>3528</v>
      </c>
      <c r="G2405" s="13" t="s">
        <v>4460</v>
      </c>
      <c r="H2405" s="13" t="s">
        <v>5018</v>
      </c>
      <c r="I2405" s="13" t="s">
        <v>63</v>
      </c>
      <c r="J2405" s="17" t="s">
        <v>71</v>
      </c>
      <c r="K2405" s="17" t="s">
        <v>58</v>
      </c>
      <c r="L2405" s="18" t="s">
        <v>52</v>
      </c>
      <c r="M2405" s="19">
        <v>61.0</v>
      </c>
      <c r="N2405" s="19">
        <v>31.0</v>
      </c>
    </row>
    <row r="2406">
      <c r="A2406" s="12">
        <v>2404.0</v>
      </c>
      <c r="B2406" s="13" t="s">
        <v>1716</v>
      </c>
      <c r="C2406" s="14">
        <v>34.0</v>
      </c>
      <c r="D2406" s="15" t="s">
        <v>5017</v>
      </c>
      <c r="E2406" s="16" t="s">
        <v>221</v>
      </c>
      <c r="F2406" s="13" t="s">
        <v>1402</v>
      </c>
      <c r="G2406" s="13" t="s">
        <v>3071</v>
      </c>
      <c r="H2406" s="13" t="s">
        <v>4933</v>
      </c>
      <c r="I2406" s="13" t="s">
        <v>63</v>
      </c>
      <c r="J2406" s="17" t="s">
        <v>71</v>
      </c>
      <c r="K2406" s="17" t="s">
        <v>58</v>
      </c>
      <c r="L2406" s="18" t="s">
        <v>52</v>
      </c>
      <c r="M2406" s="19">
        <v>61.0</v>
      </c>
      <c r="N2406" s="19">
        <v>31.0</v>
      </c>
    </row>
    <row r="2407">
      <c r="A2407" s="12">
        <v>2405.0</v>
      </c>
      <c r="B2407" s="13" t="s">
        <v>1716</v>
      </c>
      <c r="C2407" s="14">
        <v>35.0</v>
      </c>
      <c r="D2407" s="15" t="s">
        <v>5017</v>
      </c>
      <c r="E2407" s="16" t="s">
        <v>221</v>
      </c>
      <c r="F2407" s="13" t="s">
        <v>2053</v>
      </c>
      <c r="G2407" s="13" t="s">
        <v>1406</v>
      </c>
      <c r="H2407" s="13" t="s">
        <v>5021</v>
      </c>
      <c r="I2407" s="13" t="s">
        <v>63</v>
      </c>
      <c r="J2407" s="17" t="s">
        <v>71</v>
      </c>
      <c r="K2407" s="17" t="s">
        <v>58</v>
      </c>
      <c r="L2407" s="18" t="s">
        <v>52</v>
      </c>
      <c r="M2407" s="19">
        <v>61.0</v>
      </c>
      <c r="N2407" s="19">
        <v>31.0</v>
      </c>
    </row>
    <row r="2408">
      <c r="A2408" s="12">
        <v>2406.0</v>
      </c>
      <c r="B2408" s="13" t="s">
        <v>1716</v>
      </c>
      <c r="C2408" s="14">
        <v>36.0</v>
      </c>
      <c r="D2408" s="15" t="s">
        <v>4990</v>
      </c>
      <c r="E2408" s="16" t="s">
        <v>221</v>
      </c>
      <c r="F2408" s="13" t="s">
        <v>457</v>
      </c>
      <c r="G2408" s="13" t="s">
        <v>4789</v>
      </c>
      <c r="H2408" s="13" t="s">
        <v>4790</v>
      </c>
      <c r="I2408" s="13" t="s">
        <v>63</v>
      </c>
      <c r="J2408" s="17" t="s">
        <v>71</v>
      </c>
      <c r="K2408" s="17" t="s">
        <v>58</v>
      </c>
      <c r="L2408" s="18" t="s">
        <v>52</v>
      </c>
      <c r="M2408" s="19">
        <v>61.0</v>
      </c>
      <c r="N2408" s="19">
        <v>31.0</v>
      </c>
    </row>
    <row r="2409">
      <c r="A2409" s="12">
        <v>2407.0</v>
      </c>
      <c r="B2409" s="13" t="s">
        <v>1716</v>
      </c>
      <c r="C2409" s="14">
        <v>37.0</v>
      </c>
      <c r="D2409" s="15" t="s">
        <v>4990</v>
      </c>
      <c r="E2409" s="16" t="s">
        <v>221</v>
      </c>
      <c r="F2409" s="13" t="s">
        <v>2385</v>
      </c>
      <c r="G2409" s="13" t="s">
        <v>5023</v>
      </c>
      <c r="H2409" s="13" t="s">
        <v>5024</v>
      </c>
      <c r="I2409" s="13" t="s">
        <v>63</v>
      </c>
      <c r="J2409" s="17" t="s">
        <v>71</v>
      </c>
      <c r="K2409" s="17" t="s">
        <v>58</v>
      </c>
      <c r="L2409" s="18" t="s">
        <v>52</v>
      </c>
      <c r="M2409" s="19">
        <v>61.0</v>
      </c>
      <c r="N2409" s="19">
        <v>31.0</v>
      </c>
    </row>
    <row r="2410">
      <c r="A2410" s="12">
        <v>2408.0</v>
      </c>
      <c r="B2410" s="13" t="s">
        <v>1716</v>
      </c>
      <c r="C2410" s="14">
        <v>38.0</v>
      </c>
      <c r="D2410" s="15" t="s">
        <v>4990</v>
      </c>
      <c r="E2410" s="16" t="s">
        <v>221</v>
      </c>
      <c r="F2410" s="13" t="s">
        <v>3502</v>
      </c>
      <c r="G2410" s="13" t="s">
        <v>3503</v>
      </c>
      <c r="H2410" s="13" t="s">
        <v>5026</v>
      </c>
      <c r="I2410" s="13" t="s">
        <v>63</v>
      </c>
      <c r="J2410" s="17" t="s">
        <v>71</v>
      </c>
      <c r="K2410" s="17" t="s">
        <v>58</v>
      </c>
      <c r="L2410" s="18" t="s">
        <v>52</v>
      </c>
      <c r="M2410" s="19">
        <v>61.0</v>
      </c>
      <c r="N2410" s="19">
        <v>31.0</v>
      </c>
    </row>
    <row r="2411">
      <c r="A2411" s="12">
        <v>2409.0</v>
      </c>
      <c r="B2411" s="13" t="s">
        <v>1716</v>
      </c>
      <c r="C2411" s="14">
        <v>39.0</v>
      </c>
      <c r="D2411" s="15" t="s">
        <v>4990</v>
      </c>
      <c r="E2411" s="16" t="s">
        <v>221</v>
      </c>
      <c r="F2411" s="13" t="s">
        <v>3464</v>
      </c>
      <c r="G2411" s="13" t="s">
        <v>4907</v>
      </c>
      <c r="H2411" s="13" t="s">
        <v>4908</v>
      </c>
      <c r="I2411" s="13" t="s">
        <v>63</v>
      </c>
      <c r="J2411" s="17" t="s">
        <v>71</v>
      </c>
      <c r="K2411" s="17" t="s">
        <v>58</v>
      </c>
      <c r="L2411" s="18" t="s">
        <v>52</v>
      </c>
      <c r="M2411" s="19">
        <v>61.0</v>
      </c>
      <c r="N2411" s="19">
        <v>31.0</v>
      </c>
    </row>
    <row r="2412">
      <c r="A2412" s="12">
        <v>2410.0</v>
      </c>
      <c r="B2412" s="13" t="s">
        <v>1716</v>
      </c>
      <c r="C2412" s="14">
        <v>40.0</v>
      </c>
      <c r="D2412" s="15" t="s">
        <v>4990</v>
      </c>
      <c r="E2412" s="16" t="s">
        <v>221</v>
      </c>
      <c r="F2412" s="13" t="s">
        <v>3453</v>
      </c>
      <c r="G2412" s="13" t="s">
        <v>61</v>
      </c>
      <c r="H2412" s="13" t="s">
        <v>5027</v>
      </c>
      <c r="I2412" s="13" t="s">
        <v>63</v>
      </c>
      <c r="J2412" s="17" t="s">
        <v>71</v>
      </c>
      <c r="K2412" s="17" t="s">
        <v>58</v>
      </c>
      <c r="L2412" s="18" t="s">
        <v>52</v>
      </c>
      <c r="M2412" s="19">
        <v>61.0</v>
      </c>
      <c r="N2412" s="19">
        <v>31.0</v>
      </c>
    </row>
    <row r="2413">
      <c r="A2413" s="12">
        <v>2411.0</v>
      </c>
      <c r="B2413" s="13" t="s">
        <v>1716</v>
      </c>
      <c r="C2413" s="14">
        <v>41.0</v>
      </c>
      <c r="D2413" s="15" t="s">
        <v>4990</v>
      </c>
      <c r="E2413" s="16" t="s">
        <v>221</v>
      </c>
      <c r="F2413" s="13" t="s">
        <v>1174</v>
      </c>
      <c r="G2413" s="13" t="s">
        <v>2704</v>
      </c>
      <c r="H2413" s="13" t="s">
        <v>5028</v>
      </c>
      <c r="I2413" s="13" t="s">
        <v>63</v>
      </c>
      <c r="J2413" s="17" t="s">
        <v>71</v>
      </c>
      <c r="K2413" s="17" t="s">
        <v>58</v>
      </c>
      <c r="L2413" s="18" t="s">
        <v>52</v>
      </c>
      <c r="M2413" s="19">
        <v>61.0</v>
      </c>
      <c r="N2413" s="19">
        <v>31.0</v>
      </c>
    </row>
    <row r="2414">
      <c r="A2414" s="12">
        <v>2412.0</v>
      </c>
      <c r="B2414" s="13" t="s">
        <v>1716</v>
      </c>
      <c r="C2414" s="14">
        <v>42.0</v>
      </c>
      <c r="D2414" s="15" t="s">
        <v>4990</v>
      </c>
      <c r="E2414" s="16" t="s">
        <v>221</v>
      </c>
      <c r="F2414" s="13" t="s">
        <v>109</v>
      </c>
      <c r="G2414" s="13" t="s">
        <v>110</v>
      </c>
      <c r="H2414" s="13" t="s">
        <v>111</v>
      </c>
      <c r="I2414" s="13" t="s">
        <v>63</v>
      </c>
      <c r="J2414" s="17" t="s">
        <v>71</v>
      </c>
      <c r="K2414" s="17" t="s">
        <v>58</v>
      </c>
      <c r="L2414" s="18" t="s">
        <v>52</v>
      </c>
      <c r="M2414" s="19">
        <v>61.0</v>
      </c>
      <c r="N2414" s="19">
        <v>31.0</v>
      </c>
    </row>
    <row r="2415">
      <c r="A2415" s="12">
        <v>2413.0</v>
      </c>
      <c r="B2415" s="13" t="s">
        <v>1716</v>
      </c>
      <c r="C2415" s="14">
        <v>43.0</v>
      </c>
      <c r="D2415" s="15" t="s">
        <v>4990</v>
      </c>
      <c r="E2415" s="16" t="s">
        <v>221</v>
      </c>
      <c r="F2415" s="13" t="s">
        <v>1159</v>
      </c>
      <c r="G2415" s="13" t="s">
        <v>1680</v>
      </c>
      <c r="H2415" s="13" t="s">
        <v>5029</v>
      </c>
      <c r="I2415" s="13" t="s">
        <v>63</v>
      </c>
      <c r="J2415" s="17" t="s">
        <v>71</v>
      </c>
      <c r="K2415" s="17" t="s">
        <v>58</v>
      </c>
      <c r="L2415" s="18" t="s">
        <v>52</v>
      </c>
      <c r="M2415" s="19">
        <v>61.0</v>
      </c>
      <c r="N2415" s="19">
        <v>31.0</v>
      </c>
    </row>
    <row r="2416">
      <c r="A2416" s="12">
        <v>2414.0</v>
      </c>
      <c r="B2416" s="13" t="s">
        <v>1716</v>
      </c>
      <c r="C2416" s="14">
        <v>44.0</v>
      </c>
      <c r="D2416" s="15" t="s">
        <v>4990</v>
      </c>
      <c r="E2416" s="16" t="s">
        <v>221</v>
      </c>
      <c r="F2416" s="13" t="s">
        <v>3471</v>
      </c>
      <c r="G2416" s="13" t="s">
        <v>5030</v>
      </c>
      <c r="H2416" s="13" t="s">
        <v>5028</v>
      </c>
      <c r="I2416" s="13" t="s">
        <v>63</v>
      </c>
      <c r="J2416" s="17" t="s">
        <v>71</v>
      </c>
      <c r="K2416" s="17" t="s">
        <v>58</v>
      </c>
      <c r="L2416" s="18" t="s">
        <v>52</v>
      </c>
      <c r="M2416" s="19">
        <v>61.0</v>
      </c>
      <c r="N2416" s="19">
        <v>31.0</v>
      </c>
    </row>
    <row r="2417">
      <c r="A2417" s="12">
        <v>2415.0</v>
      </c>
      <c r="B2417" s="13" t="s">
        <v>1716</v>
      </c>
      <c r="C2417" s="14">
        <v>45.0</v>
      </c>
      <c r="D2417" s="15" t="s">
        <v>4990</v>
      </c>
      <c r="E2417" s="16" t="s">
        <v>221</v>
      </c>
      <c r="F2417" s="13" t="s">
        <v>3474</v>
      </c>
      <c r="G2417" s="13" t="s">
        <v>61</v>
      </c>
      <c r="H2417" s="13" t="s">
        <v>4909</v>
      </c>
      <c r="I2417" s="13" t="s">
        <v>63</v>
      </c>
      <c r="J2417" s="17" t="s">
        <v>71</v>
      </c>
      <c r="K2417" s="17" t="s">
        <v>58</v>
      </c>
      <c r="L2417" s="18" t="s">
        <v>52</v>
      </c>
      <c r="M2417" s="19">
        <v>61.0</v>
      </c>
      <c r="N2417" s="19">
        <v>31.0</v>
      </c>
    </row>
    <row r="2418">
      <c r="A2418" s="12">
        <v>2416.0</v>
      </c>
      <c r="B2418" s="13" t="s">
        <v>1716</v>
      </c>
      <c r="C2418" s="14">
        <v>46.0</v>
      </c>
      <c r="D2418" s="15" t="s">
        <v>4990</v>
      </c>
      <c r="E2418" s="16" t="s">
        <v>221</v>
      </c>
      <c r="F2418" s="13" t="s">
        <v>2262</v>
      </c>
      <c r="G2418" s="13" t="s">
        <v>4614</v>
      </c>
      <c r="H2418" s="13" t="s">
        <v>5028</v>
      </c>
      <c r="I2418" s="13" t="s">
        <v>63</v>
      </c>
      <c r="J2418" s="17" t="s">
        <v>71</v>
      </c>
      <c r="K2418" s="17" t="s">
        <v>58</v>
      </c>
      <c r="L2418" s="18" t="s">
        <v>52</v>
      </c>
      <c r="M2418" s="19">
        <v>61.0</v>
      </c>
      <c r="N2418" s="19">
        <v>31.0</v>
      </c>
    </row>
    <row r="2419">
      <c r="A2419" s="12">
        <v>2417.0</v>
      </c>
      <c r="B2419" s="13" t="s">
        <v>1716</v>
      </c>
      <c r="C2419" s="14">
        <v>47.0</v>
      </c>
      <c r="D2419" s="15" t="s">
        <v>4990</v>
      </c>
      <c r="E2419" s="16" t="s">
        <v>221</v>
      </c>
      <c r="F2419" s="13" t="s">
        <v>1952</v>
      </c>
      <c r="G2419" s="13" t="s">
        <v>4714</v>
      </c>
      <c r="H2419" s="13" t="s">
        <v>4715</v>
      </c>
      <c r="I2419" s="13" t="s">
        <v>63</v>
      </c>
      <c r="J2419" s="17" t="s">
        <v>71</v>
      </c>
      <c r="K2419" s="17" t="s">
        <v>58</v>
      </c>
      <c r="L2419" s="18" t="s">
        <v>52</v>
      </c>
      <c r="M2419" s="19">
        <v>61.0</v>
      </c>
      <c r="N2419" s="19">
        <v>31.0</v>
      </c>
    </row>
    <row r="2420">
      <c r="A2420" s="12">
        <v>2418.0</v>
      </c>
      <c r="B2420" s="13" t="s">
        <v>1716</v>
      </c>
      <c r="C2420" s="14">
        <v>48.0</v>
      </c>
      <c r="D2420" s="15" t="s">
        <v>4990</v>
      </c>
      <c r="E2420" s="16" t="s">
        <v>221</v>
      </c>
      <c r="F2420" s="13" t="s">
        <v>4500</v>
      </c>
      <c r="G2420" s="13" t="s">
        <v>61</v>
      </c>
      <c r="H2420" s="13" t="s">
        <v>4651</v>
      </c>
      <c r="I2420" s="13" t="s">
        <v>63</v>
      </c>
      <c r="J2420" s="17" t="s">
        <v>71</v>
      </c>
      <c r="K2420" s="17" t="s">
        <v>58</v>
      </c>
      <c r="L2420" s="18" t="s">
        <v>52</v>
      </c>
      <c r="M2420" s="19">
        <v>61.0</v>
      </c>
      <c r="N2420" s="19">
        <v>31.0</v>
      </c>
    </row>
    <row r="2421">
      <c r="A2421" s="12">
        <v>2419.0</v>
      </c>
      <c r="B2421" s="13" t="s">
        <v>1716</v>
      </c>
      <c r="C2421" s="14">
        <v>49.0</v>
      </c>
      <c r="D2421" s="15" t="s">
        <v>4990</v>
      </c>
      <c r="E2421" s="16" t="s">
        <v>221</v>
      </c>
      <c r="F2421" s="13" t="s">
        <v>1677</v>
      </c>
      <c r="G2421" s="13" t="s">
        <v>5031</v>
      </c>
      <c r="H2421" s="13" t="s">
        <v>5032</v>
      </c>
      <c r="I2421" s="13" t="s">
        <v>63</v>
      </c>
      <c r="J2421" s="17" t="s">
        <v>71</v>
      </c>
      <c r="K2421" s="17" t="s">
        <v>58</v>
      </c>
      <c r="L2421" s="18" t="s">
        <v>52</v>
      </c>
      <c r="M2421" s="19">
        <v>61.0</v>
      </c>
      <c r="N2421" s="19">
        <v>31.0</v>
      </c>
    </row>
    <row r="2422">
      <c r="A2422" s="12">
        <v>2420.0</v>
      </c>
      <c r="B2422" s="13" t="s">
        <v>1716</v>
      </c>
      <c r="C2422" s="14">
        <v>50.0</v>
      </c>
      <c r="D2422" s="15" t="s">
        <v>4990</v>
      </c>
      <c r="E2422" s="16" t="s">
        <v>221</v>
      </c>
      <c r="F2422" s="13" t="s">
        <v>4952</v>
      </c>
      <c r="G2422" s="13" t="s">
        <v>4953</v>
      </c>
      <c r="H2422" s="13" t="s">
        <v>5033</v>
      </c>
      <c r="I2422" s="13" t="s">
        <v>63</v>
      </c>
      <c r="J2422" s="17" t="s">
        <v>71</v>
      </c>
      <c r="K2422" s="17" t="s">
        <v>58</v>
      </c>
      <c r="L2422" s="18" t="s">
        <v>52</v>
      </c>
      <c r="M2422" s="19">
        <v>61.0</v>
      </c>
      <c r="N2422" s="19">
        <v>31.0</v>
      </c>
    </row>
    <row r="2423">
      <c r="A2423" s="12">
        <v>2421.0</v>
      </c>
      <c r="B2423" s="13" t="s">
        <v>1716</v>
      </c>
      <c r="C2423" s="14">
        <v>51.0</v>
      </c>
      <c r="D2423" s="15" t="s">
        <v>4990</v>
      </c>
      <c r="E2423" s="16" t="s">
        <v>221</v>
      </c>
      <c r="F2423" s="13" t="s">
        <v>2570</v>
      </c>
      <c r="G2423" s="13" t="s">
        <v>4706</v>
      </c>
      <c r="H2423" s="13" t="s">
        <v>4707</v>
      </c>
      <c r="I2423" s="13" t="s">
        <v>63</v>
      </c>
      <c r="J2423" s="17" t="s">
        <v>71</v>
      </c>
      <c r="K2423" s="17" t="s">
        <v>58</v>
      </c>
      <c r="L2423" s="18" t="s">
        <v>52</v>
      </c>
      <c r="M2423" s="19">
        <v>61.0</v>
      </c>
      <c r="N2423" s="19">
        <v>31.0</v>
      </c>
    </row>
    <row r="2424">
      <c r="A2424" s="12">
        <v>2422.0</v>
      </c>
      <c r="B2424" s="13" t="s">
        <v>1716</v>
      </c>
      <c r="C2424" s="14">
        <v>52.0</v>
      </c>
      <c r="D2424" s="15" t="s">
        <v>4990</v>
      </c>
      <c r="E2424" s="16" t="s">
        <v>221</v>
      </c>
      <c r="F2424" s="13" t="s">
        <v>1255</v>
      </c>
      <c r="G2424" s="13" t="s">
        <v>3531</v>
      </c>
      <c r="H2424" s="13" t="s">
        <v>5034</v>
      </c>
      <c r="I2424" s="13" t="s">
        <v>63</v>
      </c>
      <c r="J2424" s="17" t="s">
        <v>71</v>
      </c>
      <c r="K2424" s="17" t="s">
        <v>58</v>
      </c>
      <c r="L2424" s="18" t="s">
        <v>52</v>
      </c>
      <c r="M2424" s="19">
        <v>61.0</v>
      </c>
      <c r="N2424" s="19">
        <v>31.0</v>
      </c>
    </row>
    <row r="2425">
      <c r="A2425" s="12">
        <v>2423.0</v>
      </c>
      <c r="B2425" s="13" t="s">
        <v>1716</v>
      </c>
      <c r="C2425" s="14">
        <v>53.0</v>
      </c>
      <c r="D2425" s="15" t="s">
        <v>4990</v>
      </c>
      <c r="E2425" s="16" t="s">
        <v>221</v>
      </c>
      <c r="F2425" s="13" t="s">
        <v>96</v>
      </c>
      <c r="G2425" s="13" t="s">
        <v>61</v>
      </c>
      <c r="H2425" s="13" t="s">
        <v>97</v>
      </c>
      <c r="I2425" s="13" t="s">
        <v>63</v>
      </c>
      <c r="J2425" s="17" t="s">
        <v>71</v>
      </c>
      <c r="K2425" s="17" t="s">
        <v>58</v>
      </c>
      <c r="L2425" s="18" t="s">
        <v>52</v>
      </c>
      <c r="M2425" s="19">
        <v>61.0</v>
      </c>
      <c r="N2425" s="19">
        <v>31.0</v>
      </c>
    </row>
    <row r="2426">
      <c r="A2426" s="12">
        <v>2424.0</v>
      </c>
      <c r="B2426" s="13" t="s">
        <v>1716</v>
      </c>
      <c r="C2426" s="14">
        <v>54.0</v>
      </c>
      <c r="D2426" s="15" t="s">
        <v>4990</v>
      </c>
      <c r="E2426" s="16" t="s">
        <v>221</v>
      </c>
      <c r="F2426" s="13" t="s">
        <v>3533</v>
      </c>
      <c r="G2426" s="13" t="s">
        <v>3534</v>
      </c>
      <c r="H2426" s="13" t="s">
        <v>5035</v>
      </c>
      <c r="I2426" s="13" t="s">
        <v>63</v>
      </c>
      <c r="J2426" s="17" t="s">
        <v>71</v>
      </c>
      <c r="K2426" s="17" t="s">
        <v>58</v>
      </c>
      <c r="L2426" s="18" t="s">
        <v>52</v>
      </c>
      <c r="M2426" s="19">
        <v>61.0</v>
      </c>
      <c r="N2426" s="19">
        <v>31.0</v>
      </c>
    </row>
    <row r="2427">
      <c r="A2427" s="12">
        <v>2425.0</v>
      </c>
      <c r="B2427" s="13" t="s">
        <v>1716</v>
      </c>
      <c r="C2427" s="14">
        <v>55.0</v>
      </c>
      <c r="D2427" s="15" t="s">
        <v>4990</v>
      </c>
      <c r="E2427" s="16" t="s">
        <v>221</v>
      </c>
      <c r="F2427" s="13" t="s">
        <v>1217</v>
      </c>
      <c r="G2427" s="13" t="s">
        <v>5036</v>
      </c>
      <c r="H2427" s="13" t="s">
        <v>5037</v>
      </c>
      <c r="I2427" s="13" t="s">
        <v>63</v>
      </c>
      <c r="J2427" s="17" t="s">
        <v>71</v>
      </c>
      <c r="K2427" s="17" t="s">
        <v>58</v>
      </c>
      <c r="L2427" s="18" t="s">
        <v>52</v>
      </c>
      <c r="M2427" s="19">
        <v>61.0</v>
      </c>
      <c r="N2427" s="19">
        <v>31.0</v>
      </c>
    </row>
    <row r="2428">
      <c r="A2428" s="12">
        <v>2426.0</v>
      </c>
      <c r="B2428" s="13" t="s">
        <v>1716</v>
      </c>
      <c r="C2428" s="14">
        <v>56.0</v>
      </c>
      <c r="D2428" s="15" t="s">
        <v>4990</v>
      </c>
      <c r="E2428" s="16" t="s">
        <v>221</v>
      </c>
      <c r="F2428" s="13" t="s">
        <v>1103</v>
      </c>
      <c r="G2428" s="13" t="s">
        <v>4786</v>
      </c>
      <c r="H2428" s="13" t="s">
        <v>4787</v>
      </c>
      <c r="I2428" s="13" t="s">
        <v>63</v>
      </c>
      <c r="J2428" s="17" t="s">
        <v>71</v>
      </c>
      <c r="K2428" s="17" t="s">
        <v>58</v>
      </c>
      <c r="L2428" s="18" t="s">
        <v>52</v>
      </c>
      <c r="M2428" s="19">
        <v>61.0</v>
      </c>
      <c r="N2428" s="19">
        <v>31.0</v>
      </c>
    </row>
    <row r="2429">
      <c r="A2429" s="12">
        <v>2427.0</v>
      </c>
      <c r="B2429" s="13" t="s">
        <v>1716</v>
      </c>
      <c r="C2429" s="14">
        <v>57.0</v>
      </c>
      <c r="D2429" s="15" t="s">
        <v>4990</v>
      </c>
      <c r="E2429" s="16" t="s">
        <v>221</v>
      </c>
      <c r="F2429" s="13" t="s">
        <v>3059</v>
      </c>
      <c r="G2429" s="13" t="s">
        <v>5038</v>
      </c>
      <c r="H2429" s="13" t="s">
        <v>5039</v>
      </c>
      <c r="I2429" s="13" t="s">
        <v>63</v>
      </c>
      <c r="J2429" s="17" t="s">
        <v>71</v>
      </c>
      <c r="K2429" s="17" t="s">
        <v>58</v>
      </c>
      <c r="L2429" s="18" t="s">
        <v>52</v>
      </c>
      <c r="M2429" s="19">
        <v>61.0</v>
      </c>
      <c r="N2429" s="19">
        <v>31.0</v>
      </c>
    </row>
    <row r="2430">
      <c r="A2430" s="12">
        <v>2428.0</v>
      </c>
      <c r="B2430" s="13" t="s">
        <v>1716</v>
      </c>
      <c r="C2430" s="14">
        <v>58.0</v>
      </c>
      <c r="D2430" s="15" t="s">
        <v>4990</v>
      </c>
      <c r="E2430" s="16" t="s">
        <v>221</v>
      </c>
      <c r="F2430" s="13" t="s">
        <v>1722</v>
      </c>
      <c r="G2430" s="13" t="s">
        <v>61</v>
      </c>
      <c r="H2430" s="13" t="s">
        <v>3416</v>
      </c>
      <c r="I2430" s="13" t="s">
        <v>63</v>
      </c>
      <c r="J2430" s="17" t="s">
        <v>71</v>
      </c>
      <c r="K2430" s="17" t="s">
        <v>58</v>
      </c>
      <c r="L2430" s="18" t="s">
        <v>52</v>
      </c>
      <c r="M2430" s="19">
        <v>61.0</v>
      </c>
      <c r="N2430" s="19">
        <v>31.0</v>
      </c>
    </row>
    <row r="2431">
      <c r="A2431" s="12">
        <v>2429.0</v>
      </c>
      <c r="B2431" s="13" t="s">
        <v>1716</v>
      </c>
      <c r="C2431" s="14">
        <v>59.0</v>
      </c>
      <c r="D2431" s="15" t="s">
        <v>4990</v>
      </c>
      <c r="E2431" s="16" t="s">
        <v>221</v>
      </c>
      <c r="F2431" s="13" t="s">
        <v>1475</v>
      </c>
      <c r="G2431" s="13" t="s">
        <v>1476</v>
      </c>
      <c r="H2431" s="13" t="s">
        <v>4863</v>
      </c>
      <c r="I2431" s="13" t="s">
        <v>63</v>
      </c>
      <c r="J2431" s="17" t="s">
        <v>71</v>
      </c>
      <c r="K2431" s="17" t="s">
        <v>58</v>
      </c>
      <c r="L2431" s="18" t="s">
        <v>52</v>
      </c>
      <c r="M2431" s="19">
        <v>61.0</v>
      </c>
      <c r="N2431" s="19">
        <v>31.0</v>
      </c>
    </row>
    <row r="2432">
      <c r="A2432" s="12">
        <v>2430.0</v>
      </c>
      <c r="B2432" s="13" t="s">
        <v>1716</v>
      </c>
      <c r="C2432" s="14">
        <v>60.0</v>
      </c>
      <c r="D2432" s="15" t="s">
        <v>4990</v>
      </c>
      <c r="E2432" s="16" t="s">
        <v>221</v>
      </c>
      <c r="F2432" s="13" t="s">
        <v>2591</v>
      </c>
      <c r="G2432" s="13" t="s">
        <v>3069</v>
      </c>
      <c r="H2432" s="13" t="s">
        <v>4731</v>
      </c>
      <c r="I2432" s="13" t="s">
        <v>63</v>
      </c>
      <c r="J2432" s="17" t="s">
        <v>71</v>
      </c>
      <c r="K2432" s="17" t="s">
        <v>58</v>
      </c>
      <c r="L2432" s="18" t="s">
        <v>52</v>
      </c>
      <c r="M2432" s="19">
        <v>61.0</v>
      </c>
      <c r="N2432" s="19">
        <v>31.0</v>
      </c>
    </row>
    <row r="2433">
      <c r="A2433" s="12">
        <v>2431.0</v>
      </c>
      <c r="B2433" s="13" t="s">
        <v>1716</v>
      </c>
      <c r="C2433" s="14">
        <v>61.0</v>
      </c>
      <c r="D2433" s="15" t="s">
        <v>4990</v>
      </c>
      <c r="E2433" s="16" t="s">
        <v>221</v>
      </c>
      <c r="F2433" s="13" t="s">
        <v>3408</v>
      </c>
      <c r="G2433" s="13" t="s">
        <v>3514</v>
      </c>
      <c r="H2433" s="13" t="s">
        <v>3515</v>
      </c>
      <c r="I2433" s="13" t="s">
        <v>63</v>
      </c>
      <c r="J2433" s="17" t="s">
        <v>71</v>
      </c>
      <c r="K2433" s="17" t="s">
        <v>58</v>
      </c>
      <c r="L2433" s="18" t="s">
        <v>52</v>
      </c>
      <c r="M2433" s="19">
        <v>61.0</v>
      </c>
      <c r="N2433" s="19">
        <v>31.0</v>
      </c>
    </row>
    <row r="2434">
      <c r="A2434" s="12">
        <v>2432.0</v>
      </c>
      <c r="B2434" s="13" t="s">
        <v>1716</v>
      </c>
      <c r="C2434" s="14">
        <v>62.0</v>
      </c>
      <c r="D2434" s="15" t="s">
        <v>4990</v>
      </c>
      <c r="E2434" s="16" t="s">
        <v>221</v>
      </c>
      <c r="F2434" s="13" t="s">
        <v>4734</v>
      </c>
      <c r="G2434" s="13" t="s">
        <v>4735</v>
      </c>
      <c r="H2434" s="13" t="s">
        <v>4736</v>
      </c>
      <c r="I2434" s="13" t="s">
        <v>63</v>
      </c>
      <c r="J2434" s="17" t="s">
        <v>71</v>
      </c>
      <c r="K2434" s="17" t="s">
        <v>58</v>
      </c>
      <c r="L2434" s="18" t="s">
        <v>52</v>
      </c>
      <c r="M2434" s="19">
        <v>61.0</v>
      </c>
      <c r="N2434" s="19">
        <v>31.0</v>
      </c>
    </row>
    <row r="2435">
      <c r="A2435" s="12">
        <v>2433.0</v>
      </c>
      <c r="B2435" s="13" t="s">
        <v>1716</v>
      </c>
      <c r="C2435" s="14">
        <v>63.0</v>
      </c>
      <c r="D2435" s="15" t="s">
        <v>4990</v>
      </c>
      <c r="E2435" s="16" t="s">
        <v>221</v>
      </c>
      <c r="F2435" s="13" t="s">
        <v>2013</v>
      </c>
      <c r="G2435" s="13" t="s">
        <v>61</v>
      </c>
      <c r="H2435" s="13" t="s">
        <v>5040</v>
      </c>
      <c r="I2435" s="13" t="s">
        <v>63</v>
      </c>
      <c r="J2435" s="17" t="s">
        <v>71</v>
      </c>
      <c r="K2435" s="17" t="s">
        <v>58</v>
      </c>
      <c r="L2435" s="18" t="s">
        <v>52</v>
      </c>
      <c r="M2435" s="19">
        <v>61.0</v>
      </c>
      <c r="N2435" s="19">
        <v>31.0</v>
      </c>
    </row>
    <row r="2436">
      <c r="A2436" s="12">
        <v>2434.0</v>
      </c>
      <c r="B2436" s="13" t="s">
        <v>1716</v>
      </c>
      <c r="C2436" s="14">
        <v>64.0</v>
      </c>
      <c r="D2436" s="15" t="s">
        <v>4990</v>
      </c>
      <c r="E2436" s="16" t="s">
        <v>221</v>
      </c>
      <c r="F2436" s="13" t="s">
        <v>1315</v>
      </c>
      <c r="G2436" s="13" t="s">
        <v>4725</v>
      </c>
      <c r="H2436" s="13" t="s">
        <v>4726</v>
      </c>
      <c r="I2436" s="13" t="s">
        <v>63</v>
      </c>
      <c r="J2436" s="17" t="s">
        <v>71</v>
      </c>
      <c r="K2436" s="17" t="s">
        <v>58</v>
      </c>
      <c r="L2436" s="18" t="s">
        <v>52</v>
      </c>
      <c r="M2436" s="19">
        <v>61.0</v>
      </c>
      <c r="N2436" s="19">
        <v>31.0</v>
      </c>
    </row>
    <row r="2437">
      <c r="A2437" s="12">
        <v>2435.0</v>
      </c>
      <c r="B2437" s="13" t="s">
        <v>1716</v>
      </c>
      <c r="C2437" s="14">
        <v>65.0</v>
      </c>
      <c r="D2437" s="15" t="s">
        <v>4990</v>
      </c>
      <c r="E2437" s="16" t="s">
        <v>221</v>
      </c>
      <c r="F2437" s="13" t="s">
        <v>1370</v>
      </c>
      <c r="G2437" s="13" t="s">
        <v>1628</v>
      </c>
      <c r="H2437" s="13" t="s">
        <v>5041</v>
      </c>
      <c r="I2437" s="13" t="s">
        <v>63</v>
      </c>
      <c r="J2437" s="17" t="s">
        <v>71</v>
      </c>
      <c r="K2437" s="17" t="s">
        <v>58</v>
      </c>
      <c r="L2437" s="18" t="s">
        <v>52</v>
      </c>
      <c r="M2437" s="19">
        <v>61.0</v>
      </c>
      <c r="N2437" s="19">
        <v>31.0</v>
      </c>
    </row>
    <row r="2438">
      <c r="A2438" s="12">
        <v>2436.0</v>
      </c>
      <c r="B2438" s="13" t="s">
        <v>1716</v>
      </c>
      <c r="C2438" s="14">
        <v>66.0</v>
      </c>
      <c r="D2438" s="15" t="s">
        <v>4990</v>
      </c>
      <c r="E2438" s="16" t="s">
        <v>221</v>
      </c>
      <c r="F2438" s="13" t="s">
        <v>3339</v>
      </c>
      <c r="G2438" s="13" t="s">
        <v>3340</v>
      </c>
      <c r="H2438" s="13" t="s">
        <v>5028</v>
      </c>
      <c r="I2438" s="13" t="s">
        <v>63</v>
      </c>
      <c r="J2438" s="17" t="s">
        <v>71</v>
      </c>
      <c r="K2438" s="17" t="s">
        <v>58</v>
      </c>
      <c r="L2438" s="18" t="s">
        <v>52</v>
      </c>
      <c r="M2438" s="19">
        <v>61.0</v>
      </c>
      <c r="N2438" s="19">
        <v>31.0</v>
      </c>
    </row>
    <row r="2439">
      <c r="A2439" s="12">
        <v>2437.0</v>
      </c>
      <c r="B2439" s="13" t="s">
        <v>1716</v>
      </c>
      <c r="C2439" s="14">
        <v>67.0</v>
      </c>
      <c r="D2439" s="15" t="s">
        <v>4990</v>
      </c>
      <c r="E2439" s="16" t="s">
        <v>221</v>
      </c>
      <c r="F2439" s="13" t="s">
        <v>193</v>
      </c>
      <c r="G2439" s="13" t="s">
        <v>4743</v>
      </c>
      <c r="H2439" s="13" t="s">
        <v>4744</v>
      </c>
      <c r="I2439" s="13" t="s">
        <v>63</v>
      </c>
      <c r="J2439" s="17" t="s">
        <v>71</v>
      </c>
      <c r="K2439" s="17" t="s">
        <v>58</v>
      </c>
      <c r="L2439" s="18" t="s">
        <v>52</v>
      </c>
      <c r="M2439" s="19">
        <v>61.0</v>
      </c>
      <c r="N2439" s="19">
        <v>31.0</v>
      </c>
    </row>
    <row r="2440">
      <c r="A2440" s="12">
        <v>2438.0</v>
      </c>
      <c r="B2440" s="13" t="s">
        <v>1716</v>
      </c>
      <c r="C2440" s="14">
        <v>68.0</v>
      </c>
      <c r="D2440" s="15" t="s">
        <v>4990</v>
      </c>
      <c r="E2440" s="16" t="s">
        <v>221</v>
      </c>
      <c r="F2440" s="13" t="s">
        <v>4493</v>
      </c>
      <c r="G2440" s="13" t="s">
        <v>5044</v>
      </c>
      <c r="H2440" s="13" t="s">
        <v>5045</v>
      </c>
      <c r="I2440" s="13" t="s">
        <v>63</v>
      </c>
      <c r="J2440" s="17" t="s">
        <v>71</v>
      </c>
      <c r="K2440" s="17" t="s">
        <v>58</v>
      </c>
      <c r="L2440" s="18" t="s">
        <v>52</v>
      </c>
      <c r="M2440" s="19">
        <v>61.0</v>
      </c>
      <c r="N2440" s="19">
        <v>31.0</v>
      </c>
    </row>
    <row r="2441">
      <c r="A2441" s="12">
        <v>2439.0</v>
      </c>
      <c r="B2441" s="13" t="s">
        <v>1716</v>
      </c>
      <c r="C2441" s="14">
        <v>69.0</v>
      </c>
      <c r="D2441" s="15" t="s">
        <v>4990</v>
      </c>
      <c r="E2441" s="16" t="s">
        <v>221</v>
      </c>
      <c r="F2441" s="13" t="s">
        <v>4279</v>
      </c>
      <c r="G2441" s="13" t="s">
        <v>4750</v>
      </c>
      <c r="H2441" s="13" t="s">
        <v>4751</v>
      </c>
      <c r="I2441" s="13" t="s">
        <v>63</v>
      </c>
      <c r="J2441" s="17" t="s">
        <v>71</v>
      </c>
      <c r="K2441" s="17" t="s">
        <v>58</v>
      </c>
      <c r="L2441" s="18" t="s">
        <v>52</v>
      </c>
      <c r="M2441" s="19">
        <v>61.0</v>
      </c>
      <c r="N2441" s="19">
        <v>31.0</v>
      </c>
    </row>
    <row r="2442">
      <c r="A2442" s="12">
        <v>2440.0</v>
      </c>
      <c r="B2442" s="13" t="s">
        <v>1716</v>
      </c>
      <c r="C2442" s="14">
        <v>70.0</v>
      </c>
      <c r="D2442" s="15" t="s">
        <v>4990</v>
      </c>
      <c r="E2442" s="16" t="s">
        <v>221</v>
      </c>
      <c r="F2442" s="13" t="s">
        <v>2735</v>
      </c>
      <c r="G2442" s="13" t="s">
        <v>4752</v>
      </c>
      <c r="H2442" s="13" t="s">
        <v>4753</v>
      </c>
      <c r="I2442" s="13" t="s">
        <v>63</v>
      </c>
      <c r="J2442" s="17" t="s">
        <v>71</v>
      </c>
      <c r="K2442" s="17" t="s">
        <v>58</v>
      </c>
      <c r="L2442" s="18" t="s">
        <v>52</v>
      </c>
      <c r="M2442" s="19">
        <v>61.0</v>
      </c>
      <c r="N2442" s="19">
        <v>31.0</v>
      </c>
    </row>
    <row r="2443">
      <c r="A2443" s="12">
        <v>2441.0</v>
      </c>
      <c r="B2443" s="13" t="s">
        <v>1716</v>
      </c>
      <c r="C2443" s="14">
        <v>71.0</v>
      </c>
      <c r="D2443" s="15" t="s">
        <v>4990</v>
      </c>
      <c r="E2443" s="16" t="s">
        <v>221</v>
      </c>
      <c r="F2443" s="13" t="s">
        <v>711</v>
      </c>
      <c r="G2443" s="13" t="s">
        <v>4754</v>
      </c>
      <c r="H2443" s="13" t="s">
        <v>4755</v>
      </c>
      <c r="I2443" s="13" t="s">
        <v>63</v>
      </c>
      <c r="J2443" s="17" t="s">
        <v>71</v>
      </c>
      <c r="K2443" s="17" t="s">
        <v>58</v>
      </c>
      <c r="L2443" s="18" t="s">
        <v>52</v>
      </c>
      <c r="M2443" s="19">
        <v>61.0</v>
      </c>
      <c r="N2443" s="19">
        <v>31.0</v>
      </c>
    </row>
    <row r="2444">
      <c r="A2444" s="12">
        <v>2442.0</v>
      </c>
      <c r="B2444" s="13" t="s">
        <v>1716</v>
      </c>
      <c r="C2444" s="14">
        <v>72.0</v>
      </c>
      <c r="D2444" s="15" t="s">
        <v>4990</v>
      </c>
      <c r="E2444" s="16" t="s">
        <v>221</v>
      </c>
      <c r="F2444" s="13" t="s">
        <v>4868</v>
      </c>
      <c r="G2444" s="13" t="s">
        <v>61</v>
      </c>
      <c r="H2444" s="13" t="s">
        <v>4869</v>
      </c>
      <c r="I2444" s="13" t="s">
        <v>63</v>
      </c>
      <c r="J2444" s="17" t="s">
        <v>71</v>
      </c>
      <c r="K2444" s="17" t="s">
        <v>58</v>
      </c>
      <c r="L2444" s="18" t="s">
        <v>52</v>
      </c>
      <c r="M2444" s="19">
        <v>61.0</v>
      </c>
      <c r="N2444" s="19">
        <v>31.0</v>
      </c>
    </row>
    <row r="2445">
      <c r="A2445" s="12">
        <v>2443.0</v>
      </c>
      <c r="B2445" s="13" t="s">
        <v>1716</v>
      </c>
      <c r="C2445" s="14">
        <v>73.0</v>
      </c>
      <c r="D2445" s="15" t="s">
        <v>4990</v>
      </c>
      <c r="E2445" s="16" t="s">
        <v>221</v>
      </c>
      <c r="F2445" s="13" t="s">
        <v>2750</v>
      </c>
      <c r="G2445" s="13" t="s">
        <v>2751</v>
      </c>
      <c r="H2445" s="13" t="s">
        <v>2752</v>
      </c>
      <c r="I2445" s="13" t="s">
        <v>63</v>
      </c>
      <c r="J2445" s="17" t="s">
        <v>71</v>
      </c>
      <c r="K2445" s="17" t="s">
        <v>58</v>
      </c>
      <c r="L2445" s="18" t="s">
        <v>52</v>
      </c>
      <c r="M2445" s="19">
        <v>61.0</v>
      </c>
      <c r="N2445" s="19">
        <v>31.0</v>
      </c>
    </row>
    <row r="2446">
      <c r="A2446" s="12">
        <v>2444.0</v>
      </c>
      <c r="B2446" s="13" t="s">
        <v>1716</v>
      </c>
      <c r="C2446" s="14">
        <v>74.0</v>
      </c>
      <c r="D2446" s="15" t="s">
        <v>4990</v>
      </c>
      <c r="E2446" s="16" t="s">
        <v>221</v>
      </c>
      <c r="F2446" s="13" t="s">
        <v>2680</v>
      </c>
      <c r="G2446" s="13" t="s">
        <v>4925</v>
      </c>
      <c r="H2446" s="13" t="s">
        <v>3524</v>
      </c>
      <c r="I2446" s="13" t="s">
        <v>63</v>
      </c>
      <c r="J2446" s="17" t="s">
        <v>71</v>
      </c>
      <c r="K2446" s="17" t="s">
        <v>58</v>
      </c>
      <c r="L2446" s="18" t="s">
        <v>52</v>
      </c>
      <c r="M2446" s="19">
        <v>61.0</v>
      </c>
      <c r="N2446" s="19">
        <v>31.0</v>
      </c>
    </row>
    <row r="2447">
      <c r="A2447" s="12">
        <v>2445.0</v>
      </c>
      <c r="B2447" s="13" t="s">
        <v>1716</v>
      </c>
      <c r="C2447" s="14">
        <v>75.0</v>
      </c>
      <c r="D2447" s="15" t="s">
        <v>4990</v>
      </c>
      <c r="E2447" s="16" t="s">
        <v>221</v>
      </c>
      <c r="F2447" s="13" t="s">
        <v>160</v>
      </c>
      <c r="G2447" s="13" t="s">
        <v>61</v>
      </c>
      <c r="H2447" s="13" t="s">
        <v>4760</v>
      </c>
      <c r="I2447" s="13" t="s">
        <v>63</v>
      </c>
      <c r="J2447" s="17" t="s">
        <v>71</v>
      </c>
      <c r="K2447" s="17" t="s">
        <v>58</v>
      </c>
      <c r="L2447" s="18" t="s">
        <v>52</v>
      </c>
      <c r="M2447" s="19">
        <v>61.0</v>
      </c>
      <c r="N2447" s="19">
        <v>31.0</v>
      </c>
    </row>
    <row r="2448">
      <c r="A2448" s="12">
        <v>2446.0</v>
      </c>
      <c r="B2448" s="13" t="s">
        <v>1716</v>
      </c>
      <c r="C2448" s="14">
        <v>76.0</v>
      </c>
      <c r="D2448" s="15" t="s">
        <v>4990</v>
      </c>
      <c r="E2448" s="16" t="s">
        <v>221</v>
      </c>
      <c r="F2448" s="13" t="s">
        <v>2049</v>
      </c>
      <c r="G2448" s="13" t="s">
        <v>4761</v>
      </c>
      <c r="H2448" s="13" t="s">
        <v>4762</v>
      </c>
      <c r="I2448" s="13" t="s">
        <v>63</v>
      </c>
      <c r="J2448" s="17" t="s">
        <v>71</v>
      </c>
      <c r="K2448" s="17" t="s">
        <v>58</v>
      </c>
      <c r="L2448" s="18" t="s">
        <v>52</v>
      </c>
      <c r="M2448" s="19">
        <v>61.0</v>
      </c>
      <c r="N2448" s="19">
        <v>31.0</v>
      </c>
    </row>
    <row r="2449">
      <c r="A2449" s="12">
        <v>2447.0</v>
      </c>
      <c r="B2449" s="13" t="s">
        <v>1716</v>
      </c>
      <c r="C2449" s="14">
        <v>77.0</v>
      </c>
      <c r="D2449" s="15" t="s">
        <v>4990</v>
      </c>
      <c r="E2449" s="16" t="s">
        <v>221</v>
      </c>
      <c r="F2449" s="13" t="s">
        <v>4604</v>
      </c>
      <c r="G2449" s="13" t="s">
        <v>61</v>
      </c>
      <c r="H2449" s="13" t="s">
        <v>4768</v>
      </c>
      <c r="I2449" s="13" t="s">
        <v>63</v>
      </c>
      <c r="J2449" s="17" t="s">
        <v>71</v>
      </c>
      <c r="K2449" s="17" t="s">
        <v>58</v>
      </c>
      <c r="L2449" s="18" t="s">
        <v>52</v>
      </c>
      <c r="M2449" s="19">
        <v>61.0</v>
      </c>
      <c r="N2449" s="19">
        <v>31.0</v>
      </c>
    </row>
    <row r="2450">
      <c r="A2450" s="12">
        <v>2448.0</v>
      </c>
      <c r="B2450" s="13" t="s">
        <v>1716</v>
      </c>
      <c r="C2450" s="14">
        <v>78.0</v>
      </c>
      <c r="D2450" s="15" t="s">
        <v>4990</v>
      </c>
      <c r="E2450" s="16" t="s">
        <v>221</v>
      </c>
      <c r="F2450" s="13" t="s">
        <v>2072</v>
      </c>
      <c r="G2450" s="13" t="s">
        <v>5050</v>
      </c>
      <c r="H2450" s="13" t="s">
        <v>4736</v>
      </c>
      <c r="I2450" s="13" t="s">
        <v>63</v>
      </c>
      <c r="J2450" s="17" t="s">
        <v>71</v>
      </c>
      <c r="K2450" s="17" t="s">
        <v>58</v>
      </c>
      <c r="L2450" s="18" t="s">
        <v>52</v>
      </c>
      <c r="M2450" s="19">
        <v>61.0</v>
      </c>
      <c r="N2450" s="19">
        <v>31.0</v>
      </c>
    </row>
    <row r="2451">
      <c r="A2451" s="12">
        <v>2449.0</v>
      </c>
      <c r="B2451" s="13" t="s">
        <v>1716</v>
      </c>
      <c r="C2451" s="14">
        <v>79.0</v>
      </c>
      <c r="D2451" s="15" t="s">
        <v>4990</v>
      </c>
      <c r="E2451" s="16" t="s">
        <v>221</v>
      </c>
      <c r="F2451" s="13" t="s">
        <v>91</v>
      </c>
      <c r="G2451" s="13" t="s">
        <v>92</v>
      </c>
      <c r="H2451" s="13" t="s">
        <v>93</v>
      </c>
      <c r="I2451" s="13" t="s">
        <v>63</v>
      </c>
      <c r="J2451" s="17" t="s">
        <v>71</v>
      </c>
      <c r="K2451" s="17" t="s">
        <v>58</v>
      </c>
      <c r="L2451" s="18" t="s">
        <v>52</v>
      </c>
      <c r="M2451" s="19">
        <v>61.0</v>
      </c>
      <c r="N2451" s="19">
        <v>31.0</v>
      </c>
    </row>
    <row r="2452">
      <c r="A2452" s="12">
        <v>2450.0</v>
      </c>
      <c r="B2452" s="13" t="s">
        <v>1716</v>
      </c>
      <c r="C2452" s="14">
        <v>80.0</v>
      </c>
      <c r="D2452" s="15" t="s">
        <v>4990</v>
      </c>
      <c r="E2452" s="16" t="s">
        <v>221</v>
      </c>
      <c r="F2452" s="13" t="s">
        <v>78</v>
      </c>
      <c r="G2452" s="13" t="s">
        <v>4547</v>
      </c>
      <c r="H2452" s="13" t="s">
        <v>4548</v>
      </c>
      <c r="I2452" s="13" t="s">
        <v>63</v>
      </c>
      <c r="J2452" s="17" t="s">
        <v>71</v>
      </c>
      <c r="K2452" s="17" t="s">
        <v>58</v>
      </c>
      <c r="L2452" s="18" t="s">
        <v>52</v>
      </c>
      <c r="M2452" s="19">
        <v>61.0</v>
      </c>
      <c r="N2452" s="19">
        <v>31.0</v>
      </c>
    </row>
    <row r="2453">
      <c r="A2453" s="12">
        <v>2451.0</v>
      </c>
      <c r="B2453" s="13" t="s">
        <v>1716</v>
      </c>
      <c r="C2453" s="14">
        <v>81.0</v>
      </c>
      <c r="D2453" s="15" t="s">
        <v>4990</v>
      </c>
      <c r="E2453" s="16" t="s">
        <v>221</v>
      </c>
      <c r="F2453" s="13" t="s">
        <v>50</v>
      </c>
      <c r="G2453" s="13" t="s">
        <v>5051</v>
      </c>
      <c r="H2453" s="13" t="s">
        <v>5052</v>
      </c>
      <c r="I2453" s="13" t="s">
        <v>63</v>
      </c>
      <c r="J2453" s="17" t="s">
        <v>71</v>
      </c>
      <c r="K2453" s="17" t="s">
        <v>58</v>
      </c>
      <c r="L2453" s="18" t="s">
        <v>52</v>
      </c>
      <c r="M2453" s="19">
        <v>61.0</v>
      </c>
      <c r="N2453" s="19">
        <v>31.0</v>
      </c>
    </row>
    <row r="2454">
      <c r="A2454" s="12">
        <v>2452.0</v>
      </c>
      <c r="B2454" s="13" t="s">
        <v>1716</v>
      </c>
      <c r="C2454" s="14">
        <v>82.0</v>
      </c>
      <c r="D2454" s="15" t="s">
        <v>4990</v>
      </c>
      <c r="E2454" s="16" t="s">
        <v>221</v>
      </c>
      <c r="F2454" s="13" t="s">
        <v>1319</v>
      </c>
      <c r="G2454" s="13" t="s">
        <v>4004</v>
      </c>
      <c r="H2454" s="13" t="s">
        <v>4730</v>
      </c>
      <c r="I2454" s="13" t="s">
        <v>63</v>
      </c>
      <c r="J2454" s="17" t="s">
        <v>71</v>
      </c>
      <c r="K2454" s="17" t="s">
        <v>58</v>
      </c>
      <c r="L2454" s="18" t="s">
        <v>52</v>
      </c>
      <c r="M2454" s="19">
        <v>61.0</v>
      </c>
      <c r="N2454" s="19">
        <v>31.0</v>
      </c>
    </row>
    <row r="2455">
      <c r="A2455" s="12">
        <v>2453.0</v>
      </c>
      <c r="B2455" s="13" t="s">
        <v>1716</v>
      </c>
      <c r="C2455" s="14">
        <v>83.0</v>
      </c>
      <c r="D2455" s="15" t="s">
        <v>4990</v>
      </c>
      <c r="E2455" s="16" t="s">
        <v>221</v>
      </c>
      <c r="F2455" s="13" t="s">
        <v>186</v>
      </c>
      <c r="G2455" s="13" t="s">
        <v>4777</v>
      </c>
      <c r="H2455" s="13" t="s">
        <v>4778</v>
      </c>
      <c r="I2455" s="13" t="s">
        <v>63</v>
      </c>
      <c r="J2455" s="17" t="s">
        <v>71</v>
      </c>
      <c r="K2455" s="17" t="s">
        <v>58</v>
      </c>
      <c r="L2455" s="18" t="s">
        <v>52</v>
      </c>
      <c r="M2455" s="19">
        <v>61.0</v>
      </c>
      <c r="N2455" s="19">
        <v>31.0</v>
      </c>
    </row>
    <row r="2456">
      <c r="A2456" s="12">
        <v>2454.0</v>
      </c>
      <c r="B2456" s="13" t="s">
        <v>1716</v>
      </c>
      <c r="C2456" s="14">
        <v>84.0</v>
      </c>
      <c r="D2456" s="15" t="s">
        <v>4990</v>
      </c>
      <c r="E2456" s="16" t="s">
        <v>221</v>
      </c>
      <c r="F2456" s="13" t="s">
        <v>64</v>
      </c>
      <c r="G2456" s="13" t="s">
        <v>4779</v>
      </c>
      <c r="H2456" s="13" t="s">
        <v>4780</v>
      </c>
      <c r="I2456" s="13" t="s">
        <v>63</v>
      </c>
      <c r="J2456" s="17" t="s">
        <v>71</v>
      </c>
      <c r="K2456" s="17" t="s">
        <v>58</v>
      </c>
      <c r="L2456" s="18" t="s">
        <v>52</v>
      </c>
      <c r="M2456" s="19">
        <v>61.0</v>
      </c>
      <c r="N2456" s="19">
        <v>31.0</v>
      </c>
    </row>
    <row r="2457">
      <c r="A2457" s="12">
        <v>2455.0</v>
      </c>
      <c r="B2457" s="13" t="s">
        <v>1716</v>
      </c>
      <c r="C2457" s="14">
        <v>85.0</v>
      </c>
      <c r="D2457" s="15" t="s">
        <v>4990</v>
      </c>
      <c r="E2457" s="16" t="s">
        <v>221</v>
      </c>
      <c r="F2457" s="13" t="s">
        <v>2585</v>
      </c>
      <c r="G2457" s="13" t="s">
        <v>2586</v>
      </c>
      <c r="H2457" s="13" t="s">
        <v>4784</v>
      </c>
      <c r="I2457" s="13" t="s">
        <v>63</v>
      </c>
      <c r="J2457" s="17" t="s">
        <v>71</v>
      </c>
      <c r="K2457" s="17" t="s">
        <v>58</v>
      </c>
      <c r="L2457" s="18" t="s">
        <v>52</v>
      </c>
      <c r="M2457" s="19">
        <v>61.0</v>
      </c>
      <c r="N2457" s="19">
        <v>31.0</v>
      </c>
    </row>
    <row r="2458">
      <c r="A2458" s="12">
        <v>2456.0</v>
      </c>
      <c r="B2458" s="13" t="s">
        <v>1716</v>
      </c>
      <c r="C2458" s="14">
        <v>86.0</v>
      </c>
      <c r="D2458" s="15" t="s">
        <v>4990</v>
      </c>
      <c r="E2458" s="16" t="s">
        <v>221</v>
      </c>
      <c r="F2458" s="13" t="s">
        <v>201</v>
      </c>
      <c r="G2458" s="13" t="s">
        <v>5053</v>
      </c>
      <c r="H2458" s="13" t="s">
        <v>5054</v>
      </c>
      <c r="I2458" s="13" t="s">
        <v>63</v>
      </c>
      <c r="J2458" s="17" t="s">
        <v>71</v>
      </c>
      <c r="K2458" s="17" t="s">
        <v>58</v>
      </c>
      <c r="L2458" s="18" t="s">
        <v>52</v>
      </c>
      <c r="M2458" s="19">
        <v>61.0</v>
      </c>
      <c r="N2458" s="19">
        <v>31.0</v>
      </c>
    </row>
    <row r="2459">
      <c r="A2459" s="12">
        <v>2457.0</v>
      </c>
      <c r="B2459" s="13" t="s">
        <v>1716</v>
      </c>
      <c r="C2459" s="14">
        <v>87.0</v>
      </c>
      <c r="D2459" s="15" t="s">
        <v>4990</v>
      </c>
      <c r="E2459" s="16" t="s">
        <v>221</v>
      </c>
      <c r="F2459" s="13" t="s">
        <v>212</v>
      </c>
      <c r="G2459" s="13" t="s">
        <v>5055</v>
      </c>
      <c r="H2459" s="13" t="s">
        <v>5056</v>
      </c>
      <c r="I2459" s="13" t="s">
        <v>63</v>
      </c>
      <c r="J2459" s="17" t="s">
        <v>71</v>
      </c>
      <c r="K2459" s="17" t="s">
        <v>58</v>
      </c>
      <c r="L2459" s="18" t="s">
        <v>52</v>
      </c>
      <c r="M2459" s="19">
        <v>61.0</v>
      </c>
      <c r="N2459" s="19">
        <v>31.0</v>
      </c>
    </row>
    <row r="2460">
      <c r="A2460" s="12">
        <v>2458.0</v>
      </c>
      <c r="B2460" s="13" t="s">
        <v>1716</v>
      </c>
      <c r="C2460" s="14">
        <v>88.0</v>
      </c>
      <c r="D2460" s="15" t="s">
        <v>4990</v>
      </c>
      <c r="E2460" s="16" t="s">
        <v>221</v>
      </c>
      <c r="F2460" s="13" t="s">
        <v>1690</v>
      </c>
      <c r="G2460" s="13" t="s">
        <v>1691</v>
      </c>
      <c r="H2460" s="13" t="s">
        <v>4118</v>
      </c>
      <c r="I2460" s="13" t="s">
        <v>63</v>
      </c>
      <c r="J2460" s="17" t="s">
        <v>71</v>
      </c>
      <c r="K2460" s="17" t="s">
        <v>58</v>
      </c>
      <c r="L2460" s="18" t="s">
        <v>52</v>
      </c>
      <c r="M2460" s="19">
        <v>61.0</v>
      </c>
      <c r="N2460" s="19">
        <v>31.0</v>
      </c>
    </row>
    <row r="2461">
      <c r="A2461" s="12">
        <v>2459.0</v>
      </c>
      <c r="B2461" s="13" t="s">
        <v>1716</v>
      </c>
      <c r="C2461" s="14">
        <v>89.0</v>
      </c>
      <c r="D2461" s="15" t="s">
        <v>4990</v>
      </c>
      <c r="E2461" s="16" t="s">
        <v>221</v>
      </c>
      <c r="F2461" s="13" t="s">
        <v>53</v>
      </c>
      <c r="G2461" s="13" t="s">
        <v>4531</v>
      </c>
      <c r="H2461" s="13" t="s">
        <v>4532</v>
      </c>
      <c r="I2461" s="13" t="s">
        <v>63</v>
      </c>
      <c r="J2461" s="17" t="s">
        <v>71</v>
      </c>
      <c r="K2461" s="17" t="s">
        <v>58</v>
      </c>
      <c r="L2461" s="18" t="s">
        <v>52</v>
      </c>
      <c r="M2461" s="19">
        <v>61.0</v>
      </c>
      <c r="N2461" s="19">
        <v>31.0</v>
      </c>
    </row>
    <row r="2462">
      <c r="A2462" s="12">
        <v>2460.0</v>
      </c>
      <c r="B2462" s="13" t="s">
        <v>1716</v>
      </c>
      <c r="C2462" s="14">
        <v>90.0</v>
      </c>
      <c r="D2462" s="15" t="s">
        <v>4990</v>
      </c>
      <c r="E2462" s="16" t="s">
        <v>221</v>
      </c>
      <c r="F2462" s="13" t="s">
        <v>104</v>
      </c>
      <c r="G2462" s="13" t="s">
        <v>105</v>
      </c>
      <c r="H2462" s="13" t="s">
        <v>106</v>
      </c>
      <c r="I2462" s="13" t="s">
        <v>63</v>
      </c>
      <c r="J2462" s="17" t="s">
        <v>71</v>
      </c>
      <c r="K2462" s="17" t="s">
        <v>58</v>
      </c>
      <c r="L2462" s="18" t="s">
        <v>52</v>
      </c>
      <c r="M2462" s="19">
        <v>61.0</v>
      </c>
      <c r="N2462" s="19">
        <v>31.0</v>
      </c>
    </row>
    <row r="2463">
      <c r="A2463" s="12">
        <v>2461.0</v>
      </c>
      <c r="B2463" s="13" t="s">
        <v>1716</v>
      </c>
      <c r="C2463" s="14">
        <v>91.0</v>
      </c>
      <c r="D2463" s="15" t="s">
        <v>4990</v>
      </c>
      <c r="E2463" s="16" t="s">
        <v>221</v>
      </c>
      <c r="F2463" s="13" t="s">
        <v>2475</v>
      </c>
      <c r="G2463" s="13" t="s">
        <v>3182</v>
      </c>
      <c r="H2463" s="13" t="s">
        <v>5057</v>
      </c>
      <c r="I2463" s="13" t="s">
        <v>63</v>
      </c>
      <c r="J2463" s="17" t="s">
        <v>71</v>
      </c>
      <c r="K2463" s="17" t="s">
        <v>58</v>
      </c>
      <c r="L2463" s="18" t="s">
        <v>52</v>
      </c>
      <c r="M2463" s="19">
        <v>61.0</v>
      </c>
      <c r="N2463" s="19">
        <v>31.0</v>
      </c>
    </row>
    <row r="2464">
      <c r="A2464" s="12">
        <v>2462.0</v>
      </c>
      <c r="B2464" s="13" t="s">
        <v>1716</v>
      </c>
      <c r="C2464" s="14">
        <v>92.0</v>
      </c>
      <c r="D2464" s="15" t="s">
        <v>4990</v>
      </c>
      <c r="E2464" s="16" t="s">
        <v>221</v>
      </c>
      <c r="F2464" s="13" t="s">
        <v>101</v>
      </c>
      <c r="G2464" s="13" t="s">
        <v>3197</v>
      </c>
      <c r="H2464" s="13" t="s">
        <v>4518</v>
      </c>
      <c r="I2464" s="13" t="s">
        <v>63</v>
      </c>
      <c r="J2464" s="17" t="s">
        <v>71</v>
      </c>
      <c r="K2464" s="17" t="s">
        <v>58</v>
      </c>
      <c r="L2464" s="18" t="s">
        <v>52</v>
      </c>
      <c r="M2464" s="19">
        <v>61.0</v>
      </c>
      <c r="N2464" s="19">
        <v>31.0</v>
      </c>
    </row>
    <row r="2465">
      <c r="A2465" s="12">
        <v>2463.0</v>
      </c>
      <c r="B2465" s="13" t="s">
        <v>1716</v>
      </c>
      <c r="C2465" s="14">
        <v>93.0</v>
      </c>
      <c r="D2465" s="15" t="s">
        <v>4990</v>
      </c>
      <c r="E2465" s="16" t="s">
        <v>221</v>
      </c>
      <c r="F2465" s="13" t="s">
        <v>1997</v>
      </c>
      <c r="G2465" s="13" t="s">
        <v>4523</v>
      </c>
      <c r="H2465" s="13" t="s">
        <v>4524</v>
      </c>
      <c r="I2465" s="13" t="s">
        <v>63</v>
      </c>
      <c r="J2465" s="17" t="s">
        <v>71</v>
      </c>
      <c r="K2465" s="17" t="s">
        <v>58</v>
      </c>
      <c r="L2465" s="18" t="s">
        <v>52</v>
      </c>
      <c r="M2465" s="19">
        <v>61.0</v>
      </c>
      <c r="N2465" s="19">
        <v>31.0</v>
      </c>
    </row>
    <row r="2466">
      <c r="A2466" s="12">
        <v>2464.0</v>
      </c>
      <c r="B2466" s="13" t="s">
        <v>1716</v>
      </c>
      <c r="C2466" s="14">
        <v>94.0</v>
      </c>
      <c r="D2466" s="15" t="s">
        <v>4990</v>
      </c>
      <c r="E2466" s="16" t="s">
        <v>221</v>
      </c>
      <c r="F2466" s="13" t="s">
        <v>1297</v>
      </c>
      <c r="G2466" s="13" t="s">
        <v>1408</v>
      </c>
      <c r="H2466" s="13" t="s">
        <v>1409</v>
      </c>
      <c r="I2466" s="13" t="s">
        <v>63</v>
      </c>
      <c r="J2466" s="17" t="s">
        <v>71</v>
      </c>
      <c r="K2466" s="17" t="s">
        <v>58</v>
      </c>
      <c r="L2466" s="18" t="s">
        <v>52</v>
      </c>
      <c r="M2466" s="19">
        <v>61.0</v>
      </c>
      <c r="N2466" s="19">
        <v>31.0</v>
      </c>
    </row>
    <row r="2467">
      <c r="A2467" s="12">
        <v>2465.0</v>
      </c>
      <c r="B2467" s="13" t="s">
        <v>1716</v>
      </c>
      <c r="C2467" s="14">
        <v>95.0</v>
      </c>
      <c r="D2467" s="15" t="s">
        <v>4990</v>
      </c>
      <c r="E2467" s="16" t="s">
        <v>221</v>
      </c>
      <c r="F2467" s="13" t="s">
        <v>1272</v>
      </c>
      <c r="G2467" s="13" t="s">
        <v>4810</v>
      </c>
      <c r="H2467" s="13" t="s">
        <v>4736</v>
      </c>
      <c r="I2467" s="13" t="s">
        <v>63</v>
      </c>
      <c r="J2467" s="17" t="s">
        <v>71</v>
      </c>
      <c r="K2467" s="17" t="s">
        <v>58</v>
      </c>
      <c r="L2467" s="18" t="s">
        <v>52</v>
      </c>
      <c r="M2467" s="19">
        <v>61.0</v>
      </c>
      <c r="N2467" s="19">
        <v>31.0</v>
      </c>
    </row>
    <row r="2468">
      <c r="A2468" s="12">
        <v>2466.0</v>
      </c>
      <c r="B2468" s="13" t="s">
        <v>1716</v>
      </c>
      <c r="C2468" s="14">
        <v>96.0</v>
      </c>
      <c r="D2468" s="15" t="s">
        <v>4990</v>
      </c>
      <c r="E2468" s="16" t="s">
        <v>221</v>
      </c>
      <c r="F2468" s="13" t="s">
        <v>1288</v>
      </c>
      <c r="G2468" s="13" t="s">
        <v>1907</v>
      </c>
      <c r="H2468" s="13" t="s">
        <v>1908</v>
      </c>
      <c r="I2468" s="13" t="s">
        <v>63</v>
      </c>
      <c r="J2468" s="17" t="s">
        <v>71</v>
      </c>
      <c r="K2468" s="17" t="s">
        <v>58</v>
      </c>
      <c r="L2468" s="18" t="s">
        <v>52</v>
      </c>
      <c r="M2468" s="19">
        <v>61.0</v>
      </c>
      <c r="N2468" s="19">
        <v>31.0</v>
      </c>
    </row>
    <row r="2469">
      <c r="A2469" s="12">
        <v>2467.0</v>
      </c>
      <c r="B2469" s="13" t="s">
        <v>1716</v>
      </c>
      <c r="C2469" s="14">
        <v>97.0</v>
      </c>
      <c r="D2469" s="15" t="s">
        <v>4990</v>
      </c>
      <c r="E2469" s="16" t="s">
        <v>221</v>
      </c>
      <c r="F2469" s="13" t="s">
        <v>1526</v>
      </c>
      <c r="G2469" s="13" t="s">
        <v>4941</v>
      </c>
      <c r="H2469" s="13" t="s">
        <v>3524</v>
      </c>
      <c r="I2469" s="13" t="s">
        <v>63</v>
      </c>
      <c r="J2469" s="17" t="s">
        <v>71</v>
      </c>
      <c r="K2469" s="17" t="s">
        <v>58</v>
      </c>
      <c r="L2469" s="18" t="s">
        <v>52</v>
      </c>
      <c r="M2469" s="19">
        <v>61.0</v>
      </c>
      <c r="N2469" s="19">
        <v>31.0</v>
      </c>
    </row>
    <row r="2470">
      <c r="A2470" s="12">
        <v>2468.0</v>
      </c>
      <c r="B2470" s="13" t="s">
        <v>1716</v>
      </c>
      <c r="C2470" s="14">
        <v>98.0</v>
      </c>
      <c r="D2470" s="15" t="s">
        <v>4990</v>
      </c>
      <c r="E2470" s="16" t="s">
        <v>221</v>
      </c>
      <c r="F2470" s="13" t="s">
        <v>4829</v>
      </c>
      <c r="G2470" s="13" t="s">
        <v>5058</v>
      </c>
      <c r="H2470" s="13" t="s">
        <v>5060</v>
      </c>
      <c r="I2470" s="13" t="s">
        <v>63</v>
      </c>
      <c r="J2470" s="17" t="s">
        <v>71</v>
      </c>
      <c r="K2470" s="17" t="s">
        <v>58</v>
      </c>
      <c r="L2470" s="18" t="s">
        <v>52</v>
      </c>
      <c r="M2470" s="19">
        <v>61.0</v>
      </c>
      <c r="N2470" s="19">
        <v>31.0</v>
      </c>
    </row>
    <row r="2471">
      <c r="A2471" s="12">
        <v>2469.0</v>
      </c>
      <c r="B2471" s="13" t="s">
        <v>1716</v>
      </c>
      <c r="C2471" s="14">
        <v>99.0</v>
      </c>
      <c r="D2471" s="15" t="s">
        <v>4990</v>
      </c>
      <c r="E2471" s="16" t="s">
        <v>221</v>
      </c>
      <c r="F2471" s="13" t="s">
        <v>4561</v>
      </c>
      <c r="G2471" s="13" t="s">
        <v>4562</v>
      </c>
      <c r="H2471" s="13" t="s">
        <v>4851</v>
      </c>
      <c r="I2471" s="13" t="s">
        <v>63</v>
      </c>
      <c r="J2471" s="17" t="s">
        <v>71</v>
      </c>
      <c r="K2471" s="17" t="s">
        <v>58</v>
      </c>
      <c r="L2471" s="18" t="s">
        <v>52</v>
      </c>
      <c r="M2471" s="19">
        <v>61.0</v>
      </c>
      <c r="N2471" s="19">
        <v>31.0</v>
      </c>
    </row>
    <row r="2472">
      <c r="A2472" s="12">
        <v>2470.0</v>
      </c>
      <c r="B2472" s="13" t="s">
        <v>1716</v>
      </c>
      <c r="C2472" s="14">
        <v>100.0</v>
      </c>
      <c r="D2472" s="15" t="s">
        <v>4990</v>
      </c>
      <c r="E2472" s="16" t="s">
        <v>221</v>
      </c>
      <c r="F2472" s="13" t="s">
        <v>1417</v>
      </c>
      <c r="G2472" s="13" t="s">
        <v>1418</v>
      </c>
      <c r="H2472" s="13" t="s">
        <v>4736</v>
      </c>
      <c r="I2472" s="13" t="s">
        <v>63</v>
      </c>
      <c r="J2472" s="17" t="s">
        <v>71</v>
      </c>
      <c r="K2472" s="17" t="s">
        <v>58</v>
      </c>
      <c r="L2472" s="18" t="s">
        <v>52</v>
      </c>
      <c r="M2472" s="19">
        <v>61.0</v>
      </c>
      <c r="N2472" s="19">
        <v>31.0</v>
      </c>
    </row>
    <row r="2473">
      <c r="A2473" s="12">
        <v>2471.0</v>
      </c>
      <c r="B2473" s="13" t="s">
        <v>1716</v>
      </c>
      <c r="C2473" s="14">
        <v>101.0</v>
      </c>
      <c r="D2473" s="15" t="s">
        <v>4990</v>
      </c>
      <c r="E2473" s="16" t="s">
        <v>221</v>
      </c>
      <c r="F2473" s="13" t="s">
        <v>740</v>
      </c>
      <c r="G2473" s="13" t="s">
        <v>5064</v>
      </c>
      <c r="H2473" s="13" t="s">
        <v>5065</v>
      </c>
      <c r="I2473" s="13" t="s">
        <v>63</v>
      </c>
      <c r="J2473" s="17" t="s">
        <v>71</v>
      </c>
      <c r="K2473" s="17" t="s">
        <v>58</v>
      </c>
      <c r="L2473" s="18" t="s">
        <v>52</v>
      </c>
      <c r="M2473" s="19">
        <v>61.0</v>
      </c>
      <c r="N2473" s="19">
        <v>31.0</v>
      </c>
    </row>
    <row r="2474">
      <c r="A2474" s="12">
        <v>2472.0</v>
      </c>
      <c r="B2474" s="13" t="s">
        <v>1716</v>
      </c>
      <c r="C2474" s="14">
        <v>102.0</v>
      </c>
      <c r="D2474" s="15" t="s">
        <v>4990</v>
      </c>
      <c r="E2474" s="16" t="s">
        <v>221</v>
      </c>
      <c r="F2474" s="13" t="s">
        <v>3485</v>
      </c>
      <c r="G2474" s="13" t="s">
        <v>3486</v>
      </c>
      <c r="H2474" s="13" t="s">
        <v>3487</v>
      </c>
      <c r="I2474" s="13" t="s">
        <v>63</v>
      </c>
      <c r="J2474" s="17" t="s">
        <v>71</v>
      </c>
      <c r="K2474" s="17" t="s">
        <v>58</v>
      </c>
      <c r="L2474" s="18" t="s">
        <v>52</v>
      </c>
      <c r="M2474" s="19">
        <v>61.0</v>
      </c>
      <c r="N2474" s="19">
        <v>31.0</v>
      </c>
    </row>
    <row r="2475">
      <c r="A2475" s="12">
        <v>2473.0</v>
      </c>
      <c r="B2475" s="13" t="s">
        <v>1716</v>
      </c>
      <c r="C2475" s="14">
        <v>103.0</v>
      </c>
      <c r="D2475" s="15" t="s">
        <v>4990</v>
      </c>
      <c r="E2475" s="16" t="s">
        <v>221</v>
      </c>
      <c r="F2475" s="13" t="s">
        <v>2816</v>
      </c>
      <c r="G2475" s="13" t="s">
        <v>5067</v>
      </c>
      <c r="H2475" s="13" t="s">
        <v>5068</v>
      </c>
      <c r="I2475" s="13" t="s">
        <v>63</v>
      </c>
      <c r="J2475" s="17" t="s">
        <v>71</v>
      </c>
      <c r="K2475" s="17" t="s">
        <v>58</v>
      </c>
      <c r="L2475" s="18" t="s">
        <v>52</v>
      </c>
      <c r="M2475" s="19">
        <v>61.0</v>
      </c>
      <c r="N2475" s="19">
        <v>31.0</v>
      </c>
    </row>
    <row r="2476">
      <c r="A2476" s="12">
        <v>2474.0</v>
      </c>
      <c r="B2476" s="13" t="s">
        <v>1716</v>
      </c>
      <c r="C2476" s="14">
        <v>104.0</v>
      </c>
      <c r="D2476" s="15" t="s">
        <v>4980</v>
      </c>
      <c r="E2476" s="16" t="s">
        <v>221</v>
      </c>
      <c r="F2476" s="13" t="s">
        <v>3467</v>
      </c>
      <c r="G2476" s="13" t="s">
        <v>3468</v>
      </c>
      <c r="H2476" s="13" t="s">
        <v>5070</v>
      </c>
      <c r="I2476" s="13" t="s">
        <v>63</v>
      </c>
      <c r="J2476" s="17" t="s">
        <v>71</v>
      </c>
      <c r="K2476" s="17" t="s">
        <v>58</v>
      </c>
      <c r="L2476" s="18" t="s">
        <v>52</v>
      </c>
      <c r="M2476" s="19">
        <v>61.0</v>
      </c>
      <c r="N2476" s="19">
        <v>31.0</v>
      </c>
    </row>
    <row r="2477">
      <c r="A2477" s="12">
        <v>2475.0</v>
      </c>
      <c r="B2477" s="13" t="s">
        <v>1716</v>
      </c>
      <c r="C2477" s="14">
        <v>105.0</v>
      </c>
      <c r="D2477" s="15" t="s">
        <v>4980</v>
      </c>
      <c r="E2477" s="16" t="s">
        <v>221</v>
      </c>
      <c r="F2477" s="13" t="s">
        <v>2520</v>
      </c>
      <c r="G2477" s="13" t="s">
        <v>3331</v>
      </c>
      <c r="H2477" s="13" t="s">
        <v>5072</v>
      </c>
      <c r="I2477" s="13" t="s">
        <v>63</v>
      </c>
      <c r="J2477" s="17" t="s">
        <v>71</v>
      </c>
      <c r="K2477" s="17" t="s">
        <v>58</v>
      </c>
      <c r="L2477" s="18" t="s">
        <v>52</v>
      </c>
      <c r="M2477" s="19">
        <v>61.0</v>
      </c>
      <c r="N2477" s="19">
        <v>31.0</v>
      </c>
    </row>
    <row r="2478">
      <c r="A2478" s="12">
        <v>2476.0</v>
      </c>
      <c r="B2478" s="13" t="s">
        <v>1716</v>
      </c>
      <c r="C2478" s="14">
        <v>106.0</v>
      </c>
      <c r="D2478" s="15" t="s">
        <v>4980</v>
      </c>
      <c r="E2478" s="16" t="s">
        <v>221</v>
      </c>
      <c r="F2478" s="13" t="s">
        <v>1665</v>
      </c>
      <c r="G2478" s="13" t="s">
        <v>4665</v>
      </c>
      <c r="H2478" s="13" t="s">
        <v>4666</v>
      </c>
      <c r="I2478" s="13" t="s">
        <v>63</v>
      </c>
      <c r="J2478" s="17" t="s">
        <v>71</v>
      </c>
      <c r="K2478" s="17" t="s">
        <v>58</v>
      </c>
      <c r="L2478" s="18" t="s">
        <v>52</v>
      </c>
      <c r="M2478" s="19">
        <v>61.0</v>
      </c>
      <c r="N2478" s="19">
        <v>31.0</v>
      </c>
    </row>
    <row r="2479">
      <c r="A2479" s="12">
        <v>2477.0</v>
      </c>
      <c r="B2479" s="13" t="s">
        <v>1716</v>
      </c>
      <c r="C2479" s="14">
        <v>107.0</v>
      </c>
      <c r="D2479" s="15" t="s">
        <v>4980</v>
      </c>
      <c r="E2479" s="16" t="s">
        <v>221</v>
      </c>
      <c r="F2479" s="13" t="s">
        <v>3477</v>
      </c>
      <c r="G2479" s="13" t="s">
        <v>61</v>
      </c>
      <c r="H2479" s="13" t="s">
        <v>5075</v>
      </c>
      <c r="I2479" s="13" t="s">
        <v>63</v>
      </c>
      <c r="J2479" s="17" t="s">
        <v>71</v>
      </c>
      <c r="K2479" s="17" t="s">
        <v>58</v>
      </c>
      <c r="L2479" s="18" t="s">
        <v>52</v>
      </c>
      <c r="M2479" s="19">
        <v>61.0</v>
      </c>
      <c r="N2479" s="19">
        <v>31.0</v>
      </c>
    </row>
    <row r="2480">
      <c r="A2480" s="12">
        <v>2478.0</v>
      </c>
      <c r="B2480" s="13" t="s">
        <v>1716</v>
      </c>
      <c r="C2480" s="14">
        <v>108.0</v>
      </c>
      <c r="D2480" s="15" t="s">
        <v>4980</v>
      </c>
      <c r="E2480" s="16" t="s">
        <v>221</v>
      </c>
      <c r="F2480" s="13" t="s">
        <v>4911</v>
      </c>
      <c r="G2480" s="13" t="s">
        <v>4912</v>
      </c>
      <c r="H2480" s="13" t="s">
        <v>5077</v>
      </c>
      <c r="I2480" s="13" t="s">
        <v>63</v>
      </c>
      <c r="J2480" s="17" t="s">
        <v>71</v>
      </c>
      <c r="K2480" s="17" t="s">
        <v>58</v>
      </c>
      <c r="L2480" s="18" t="s">
        <v>52</v>
      </c>
      <c r="M2480" s="19">
        <v>61.0</v>
      </c>
      <c r="N2480" s="19">
        <v>31.0</v>
      </c>
    </row>
    <row r="2481">
      <c r="A2481" s="12">
        <v>2479.0</v>
      </c>
      <c r="B2481" s="13" t="s">
        <v>1716</v>
      </c>
      <c r="C2481" s="14">
        <v>109.0</v>
      </c>
      <c r="D2481" s="15" t="s">
        <v>4980</v>
      </c>
      <c r="E2481" s="16" t="s">
        <v>221</v>
      </c>
      <c r="F2481" s="13" t="s">
        <v>3517</v>
      </c>
      <c r="G2481" s="13" t="s">
        <v>5079</v>
      </c>
      <c r="H2481" s="13" t="s">
        <v>5080</v>
      </c>
      <c r="I2481" s="13" t="s">
        <v>63</v>
      </c>
      <c r="J2481" s="17" t="s">
        <v>71</v>
      </c>
      <c r="K2481" s="17" t="s">
        <v>58</v>
      </c>
      <c r="L2481" s="18" t="s">
        <v>52</v>
      </c>
      <c r="M2481" s="19">
        <v>61.0</v>
      </c>
      <c r="N2481" s="19">
        <v>31.0</v>
      </c>
    </row>
    <row r="2482">
      <c r="A2482" s="12">
        <v>2480.0</v>
      </c>
      <c r="B2482" s="13" t="s">
        <v>1716</v>
      </c>
      <c r="C2482" s="14">
        <v>110.0</v>
      </c>
      <c r="D2482" s="15" t="s">
        <v>4980</v>
      </c>
      <c r="E2482" s="16" t="s">
        <v>221</v>
      </c>
      <c r="F2482" s="13" t="s">
        <v>1701</v>
      </c>
      <c r="G2482" s="13" t="s">
        <v>4914</v>
      </c>
      <c r="H2482" s="13" t="s">
        <v>4915</v>
      </c>
      <c r="I2482" s="13" t="s">
        <v>63</v>
      </c>
      <c r="J2482" s="17" t="s">
        <v>71</v>
      </c>
      <c r="K2482" s="17" t="s">
        <v>58</v>
      </c>
      <c r="L2482" s="18" t="s">
        <v>52</v>
      </c>
      <c r="M2482" s="19">
        <v>61.0</v>
      </c>
      <c r="N2482" s="19">
        <v>31.0</v>
      </c>
    </row>
    <row r="2483">
      <c r="A2483" s="12">
        <v>2481.0</v>
      </c>
      <c r="B2483" s="13" t="s">
        <v>1716</v>
      </c>
      <c r="C2483" s="14">
        <v>111.0</v>
      </c>
      <c r="D2483" s="15" t="s">
        <v>4980</v>
      </c>
      <c r="E2483" s="16" t="s">
        <v>221</v>
      </c>
      <c r="F2483" s="13" t="s">
        <v>1669</v>
      </c>
      <c r="G2483" s="13" t="s">
        <v>5081</v>
      </c>
      <c r="H2483" s="13" t="s">
        <v>5082</v>
      </c>
      <c r="I2483" s="13" t="s">
        <v>63</v>
      </c>
      <c r="J2483" s="17" t="s">
        <v>71</v>
      </c>
      <c r="K2483" s="17" t="s">
        <v>58</v>
      </c>
      <c r="L2483" s="18" t="s">
        <v>52</v>
      </c>
      <c r="M2483" s="19">
        <v>61.0</v>
      </c>
      <c r="N2483" s="19">
        <v>31.0</v>
      </c>
    </row>
    <row r="2484">
      <c r="A2484" s="12">
        <v>2482.0</v>
      </c>
      <c r="B2484" s="13" t="s">
        <v>1716</v>
      </c>
      <c r="C2484" s="14">
        <v>112.0</v>
      </c>
      <c r="D2484" s="15" t="s">
        <v>4980</v>
      </c>
      <c r="E2484" s="16" t="s">
        <v>221</v>
      </c>
      <c r="F2484" s="13" t="s">
        <v>4664</v>
      </c>
      <c r="G2484" s="13" t="s">
        <v>4665</v>
      </c>
      <c r="H2484" s="13" t="s">
        <v>4666</v>
      </c>
      <c r="I2484" s="13" t="s">
        <v>63</v>
      </c>
      <c r="J2484" s="17" t="s">
        <v>71</v>
      </c>
      <c r="K2484" s="17" t="s">
        <v>58</v>
      </c>
      <c r="L2484" s="18" t="s">
        <v>52</v>
      </c>
      <c r="M2484" s="19">
        <v>61.0</v>
      </c>
      <c r="N2484" s="19">
        <v>31.0</v>
      </c>
    </row>
    <row r="2485">
      <c r="A2485" s="12">
        <v>2483.0</v>
      </c>
      <c r="B2485" s="13" t="s">
        <v>1716</v>
      </c>
      <c r="C2485" s="14">
        <v>113.0</v>
      </c>
      <c r="D2485" s="15" t="s">
        <v>4980</v>
      </c>
      <c r="E2485" s="16" t="s">
        <v>221</v>
      </c>
      <c r="F2485" s="13" t="s">
        <v>1884</v>
      </c>
      <c r="G2485" s="13" t="s">
        <v>4732</v>
      </c>
      <c r="H2485" s="13" t="s">
        <v>5083</v>
      </c>
      <c r="I2485" s="13" t="s">
        <v>63</v>
      </c>
      <c r="J2485" s="17" t="s">
        <v>71</v>
      </c>
      <c r="K2485" s="17" t="s">
        <v>58</v>
      </c>
      <c r="L2485" s="18" t="s">
        <v>52</v>
      </c>
      <c r="M2485" s="19">
        <v>61.0</v>
      </c>
      <c r="N2485" s="19">
        <v>31.0</v>
      </c>
    </row>
    <row r="2486">
      <c r="A2486" s="12">
        <v>2484.0</v>
      </c>
      <c r="B2486" s="13" t="s">
        <v>1716</v>
      </c>
      <c r="C2486" s="14">
        <v>114.0</v>
      </c>
      <c r="D2486" s="15" t="s">
        <v>4980</v>
      </c>
      <c r="E2486" s="16" t="s">
        <v>221</v>
      </c>
      <c r="F2486" s="13" t="s">
        <v>3410</v>
      </c>
      <c r="G2486" s="13" t="s">
        <v>5084</v>
      </c>
      <c r="H2486" s="13" t="s">
        <v>5085</v>
      </c>
      <c r="I2486" s="13" t="s">
        <v>63</v>
      </c>
      <c r="J2486" s="17" t="s">
        <v>71</v>
      </c>
      <c r="K2486" s="17" t="s">
        <v>58</v>
      </c>
      <c r="L2486" s="18" t="s">
        <v>52</v>
      </c>
      <c r="M2486" s="19">
        <v>61.0</v>
      </c>
      <c r="N2486" s="19">
        <v>31.0</v>
      </c>
    </row>
    <row r="2487">
      <c r="A2487" s="12">
        <v>2485.0</v>
      </c>
      <c r="B2487" s="13" t="s">
        <v>1716</v>
      </c>
      <c r="C2487" s="14">
        <v>115.0</v>
      </c>
      <c r="D2487" s="15" t="s">
        <v>4980</v>
      </c>
      <c r="E2487" s="16" t="s">
        <v>221</v>
      </c>
      <c r="F2487" s="13" t="s">
        <v>4068</v>
      </c>
      <c r="G2487" s="13" t="s">
        <v>5086</v>
      </c>
      <c r="H2487" s="13" t="s">
        <v>5087</v>
      </c>
      <c r="I2487" s="13" t="s">
        <v>63</v>
      </c>
      <c r="J2487" s="17" t="s">
        <v>71</v>
      </c>
      <c r="K2487" s="17" t="s">
        <v>58</v>
      </c>
      <c r="L2487" s="18" t="s">
        <v>52</v>
      </c>
      <c r="M2487" s="19">
        <v>61.0</v>
      </c>
      <c r="N2487" s="19">
        <v>31.0</v>
      </c>
    </row>
    <row r="2488">
      <c r="A2488" s="12">
        <v>2486.0</v>
      </c>
      <c r="B2488" s="13" t="s">
        <v>1716</v>
      </c>
      <c r="C2488" s="14">
        <v>116.0</v>
      </c>
      <c r="D2488" s="15" t="s">
        <v>4980</v>
      </c>
      <c r="E2488" s="16" t="s">
        <v>221</v>
      </c>
      <c r="F2488" s="13" t="s">
        <v>3640</v>
      </c>
      <c r="G2488" s="13" t="s">
        <v>3641</v>
      </c>
      <c r="H2488" s="13" t="s">
        <v>3642</v>
      </c>
      <c r="I2488" s="13" t="s">
        <v>63</v>
      </c>
      <c r="J2488" s="17" t="s">
        <v>71</v>
      </c>
      <c r="K2488" s="17" t="s">
        <v>58</v>
      </c>
      <c r="L2488" s="18" t="s">
        <v>52</v>
      </c>
      <c r="M2488" s="19">
        <v>61.0</v>
      </c>
      <c r="N2488" s="19">
        <v>31.0</v>
      </c>
    </row>
    <row r="2489">
      <c r="A2489" s="12">
        <v>2487.0</v>
      </c>
      <c r="B2489" s="13" t="s">
        <v>1716</v>
      </c>
      <c r="C2489" s="14">
        <v>117.0</v>
      </c>
      <c r="D2489" s="15" t="s">
        <v>4980</v>
      </c>
      <c r="E2489" s="16" t="s">
        <v>221</v>
      </c>
      <c r="F2489" s="13" t="s">
        <v>3643</v>
      </c>
      <c r="G2489" s="13" t="s">
        <v>5088</v>
      </c>
      <c r="H2489" s="13" t="s">
        <v>5089</v>
      </c>
      <c r="I2489" s="13" t="s">
        <v>63</v>
      </c>
      <c r="J2489" s="17" t="s">
        <v>71</v>
      </c>
      <c r="K2489" s="17" t="s">
        <v>58</v>
      </c>
      <c r="L2489" s="18" t="s">
        <v>52</v>
      </c>
      <c r="M2489" s="19">
        <v>61.0</v>
      </c>
      <c r="N2489" s="19">
        <v>31.0</v>
      </c>
    </row>
    <row r="2490">
      <c r="A2490" s="12">
        <v>2488.0</v>
      </c>
      <c r="B2490" s="13" t="s">
        <v>1716</v>
      </c>
      <c r="C2490" s="14">
        <v>118.0</v>
      </c>
      <c r="D2490" s="15" t="s">
        <v>4980</v>
      </c>
      <c r="E2490" s="16" t="s">
        <v>221</v>
      </c>
      <c r="F2490" s="13" t="s">
        <v>3498</v>
      </c>
      <c r="G2490" s="13" t="s">
        <v>3499</v>
      </c>
      <c r="H2490" s="13" t="s">
        <v>5090</v>
      </c>
      <c r="I2490" s="13" t="s">
        <v>63</v>
      </c>
      <c r="J2490" s="17" t="s">
        <v>71</v>
      </c>
      <c r="K2490" s="17" t="s">
        <v>58</v>
      </c>
      <c r="L2490" s="18" t="s">
        <v>52</v>
      </c>
      <c r="M2490" s="19">
        <v>61.0</v>
      </c>
      <c r="N2490" s="19">
        <v>31.0</v>
      </c>
    </row>
    <row r="2491">
      <c r="A2491" s="12">
        <v>2489.0</v>
      </c>
      <c r="B2491" s="13" t="s">
        <v>1716</v>
      </c>
      <c r="C2491" s="14">
        <v>119.0</v>
      </c>
      <c r="D2491" s="15" t="s">
        <v>4980</v>
      </c>
      <c r="E2491" s="16" t="s">
        <v>221</v>
      </c>
      <c r="F2491" s="13" t="s">
        <v>4959</v>
      </c>
      <c r="G2491" s="13" t="s">
        <v>5091</v>
      </c>
      <c r="H2491" s="13" t="s">
        <v>5092</v>
      </c>
      <c r="I2491" s="13" t="s">
        <v>63</v>
      </c>
      <c r="J2491" s="17" t="s">
        <v>71</v>
      </c>
      <c r="K2491" s="17" t="s">
        <v>58</v>
      </c>
      <c r="L2491" s="18" t="s">
        <v>52</v>
      </c>
      <c r="M2491" s="19">
        <v>61.0</v>
      </c>
      <c r="N2491" s="19">
        <v>31.0</v>
      </c>
    </row>
    <row r="2492">
      <c r="A2492" s="12">
        <v>2490.0</v>
      </c>
      <c r="B2492" s="13" t="s">
        <v>1716</v>
      </c>
      <c r="C2492" s="14">
        <v>120.0</v>
      </c>
      <c r="D2492" s="15" t="s">
        <v>4980</v>
      </c>
      <c r="E2492" s="16" t="s">
        <v>221</v>
      </c>
      <c r="F2492" s="13" t="s">
        <v>2759</v>
      </c>
      <c r="G2492" s="13" t="s">
        <v>3508</v>
      </c>
      <c r="H2492" s="13" t="s">
        <v>5093</v>
      </c>
      <c r="I2492" s="13" t="s">
        <v>63</v>
      </c>
      <c r="J2492" s="17" t="s">
        <v>71</v>
      </c>
      <c r="K2492" s="17" t="s">
        <v>58</v>
      </c>
      <c r="L2492" s="18" t="s">
        <v>52</v>
      </c>
      <c r="M2492" s="19">
        <v>61.0</v>
      </c>
      <c r="N2492" s="19">
        <v>31.0</v>
      </c>
    </row>
    <row r="2493">
      <c r="A2493" s="12">
        <v>2491.0</v>
      </c>
      <c r="B2493" s="13" t="s">
        <v>1716</v>
      </c>
      <c r="C2493" s="14">
        <v>121.0</v>
      </c>
      <c r="D2493" s="15" t="s">
        <v>4980</v>
      </c>
      <c r="E2493" s="16" t="s">
        <v>221</v>
      </c>
      <c r="F2493" s="13" t="s">
        <v>5094</v>
      </c>
      <c r="G2493" s="13" t="s">
        <v>5095</v>
      </c>
      <c r="H2493" s="13" t="s">
        <v>5096</v>
      </c>
      <c r="I2493" s="13" t="s">
        <v>63</v>
      </c>
      <c r="J2493" s="17" t="s">
        <v>71</v>
      </c>
      <c r="K2493" s="17" t="s">
        <v>58</v>
      </c>
      <c r="L2493" s="18" t="s">
        <v>52</v>
      </c>
      <c r="M2493" s="19">
        <v>61.0</v>
      </c>
      <c r="N2493" s="19">
        <v>31.0</v>
      </c>
    </row>
    <row r="2494">
      <c r="A2494" s="12">
        <v>2492.0</v>
      </c>
      <c r="B2494" s="13" t="s">
        <v>1716</v>
      </c>
      <c r="C2494" s="14">
        <v>122.0</v>
      </c>
      <c r="D2494" s="15" t="s">
        <v>4980</v>
      </c>
      <c r="E2494" s="16" t="s">
        <v>221</v>
      </c>
      <c r="F2494" s="13" t="s">
        <v>3348</v>
      </c>
      <c r="G2494" s="13" t="s">
        <v>3349</v>
      </c>
      <c r="H2494" s="13" t="s">
        <v>5097</v>
      </c>
      <c r="I2494" s="13" t="s">
        <v>63</v>
      </c>
      <c r="J2494" s="17" t="s">
        <v>71</v>
      </c>
      <c r="K2494" s="17" t="s">
        <v>58</v>
      </c>
      <c r="L2494" s="18" t="s">
        <v>52</v>
      </c>
      <c r="M2494" s="19">
        <v>61.0</v>
      </c>
      <c r="N2494" s="19">
        <v>31.0</v>
      </c>
    </row>
    <row r="2495">
      <c r="A2495" s="12">
        <v>2493.0</v>
      </c>
      <c r="B2495" s="13" t="s">
        <v>1716</v>
      </c>
      <c r="C2495" s="14">
        <v>123.0</v>
      </c>
      <c r="D2495" s="15" t="s">
        <v>4980</v>
      </c>
      <c r="E2495" s="16" t="s">
        <v>221</v>
      </c>
      <c r="F2495" s="13" t="s">
        <v>3328</v>
      </c>
      <c r="G2495" s="13" t="s">
        <v>3538</v>
      </c>
      <c r="H2495" s="13" t="s">
        <v>5098</v>
      </c>
      <c r="I2495" s="13" t="s">
        <v>63</v>
      </c>
      <c r="J2495" s="17" t="s">
        <v>71</v>
      </c>
      <c r="K2495" s="17" t="s">
        <v>58</v>
      </c>
      <c r="L2495" s="18" t="s">
        <v>52</v>
      </c>
      <c r="M2495" s="19">
        <v>61.0</v>
      </c>
      <c r="N2495" s="19">
        <v>31.0</v>
      </c>
    </row>
    <row r="2496">
      <c r="A2496" s="12">
        <v>2494.0</v>
      </c>
      <c r="B2496" s="13" t="s">
        <v>1716</v>
      </c>
      <c r="C2496" s="14">
        <v>124.0</v>
      </c>
      <c r="D2496" s="15" t="s">
        <v>4980</v>
      </c>
      <c r="E2496" s="16" t="s">
        <v>221</v>
      </c>
      <c r="F2496" s="13" t="s">
        <v>894</v>
      </c>
      <c r="G2496" s="13" t="s">
        <v>3510</v>
      </c>
      <c r="H2496" s="13" t="s">
        <v>5099</v>
      </c>
      <c r="I2496" s="13" t="s">
        <v>63</v>
      </c>
      <c r="J2496" s="17" t="s">
        <v>71</v>
      </c>
      <c r="K2496" s="17" t="s">
        <v>58</v>
      </c>
      <c r="L2496" s="18" t="s">
        <v>52</v>
      </c>
      <c r="M2496" s="19">
        <v>61.0</v>
      </c>
      <c r="N2496" s="19">
        <v>31.0</v>
      </c>
    </row>
    <row r="2497">
      <c r="A2497" s="12">
        <v>2495.0</v>
      </c>
      <c r="B2497" s="13" t="s">
        <v>1716</v>
      </c>
      <c r="C2497" s="14">
        <v>125.0</v>
      </c>
      <c r="D2497" s="15" t="s">
        <v>4980</v>
      </c>
      <c r="E2497" s="16" t="s">
        <v>221</v>
      </c>
      <c r="F2497" s="13" t="s">
        <v>3543</v>
      </c>
      <c r="G2497" s="13" t="s">
        <v>5100</v>
      </c>
      <c r="H2497" s="13" t="s">
        <v>5101</v>
      </c>
      <c r="I2497" s="13" t="s">
        <v>63</v>
      </c>
      <c r="J2497" s="17" t="s">
        <v>71</v>
      </c>
      <c r="K2497" s="17" t="s">
        <v>58</v>
      </c>
      <c r="L2497" s="18" t="s">
        <v>52</v>
      </c>
      <c r="M2497" s="19">
        <v>61.0</v>
      </c>
      <c r="N2497" s="19">
        <v>31.0</v>
      </c>
    </row>
    <row r="2498">
      <c r="A2498" s="12">
        <v>2496.0</v>
      </c>
      <c r="B2498" s="13" t="s">
        <v>1716</v>
      </c>
      <c r="C2498" s="14">
        <v>126.0</v>
      </c>
      <c r="D2498" s="15" t="s">
        <v>4980</v>
      </c>
      <c r="E2498" s="16" t="s">
        <v>221</v>
      </c>
      <c r="F2498" s="13" t="s">
        <v>4670</v>
      </c>
      <c r="G2498" s="13" t="s">
        <v>5102</v>
      </c>
      <c r="H2498" s="13" t="s">
        <v>5103</v>
      </c>
      <c r="I2498" s="13" t="s">
        <v>63</v>
      </c>
      <c r="J2498" s="17" t="s">
        <v>71</v>
      </c>
      <c r="K2498" s="17" t="s">
        <v>58</v>
      </c>
      <c r="L2498" s="18" t="s">
        <v>52</v>
      </c>
      <c r="M2498" s="19">
        <v>61.0</v>
      </c>
      <c r="N2498" s="19">
        <v>31.0</v>
      </c>
    </row>
    <row r="2499">
      <c r="A2499" s="12">
        <v>2497.0</v>
      </c>
      <c r="B2499" s="13" t="s">
        <v>1716</v>
      </c>
      <c r="C2499" s="14">
        <v>127.0</v>
      </c>
      <c r="D2499" s="15" t="s">
        <v>4980</v>
      </c>
      <c r="E2499" s="16" t="s">
        <v>221</v>
      </c>
      <c r="F2499" s="13" t="s">
        <v>2424</v>
      </c>
      <c r="G2499" s="13" t="s">
        <v>5104</v>
      </c>
      <c r="H2499" s="13" t="s">
        <v>5105</v>
      </c>
      <c r="I2499" s="13" t="s">
        <v>63</v>
      </c>
      <c r="J2499" s="17" t="s">
        <v>71</v>
      </c>
      <c r="K2499" s="17" t="s">
        <v>58</v>
      </c>
      <c r="L2499" s="18" t="s">
        <v>52</v>
      </c>
      <c r="M2499" s="19">
        <v>61.0</v>
      </c>
      <c r="N2499" s="19">
        <v>31.0</v>
      </c>
    </row>
    <row r="2500">
      <c r="A2500" s="12">
        <v>2498.0</v>
      </c>
      <c r="B2500" s="13" t="s">
        <v>1716</v>
      </c>
      <c r="C2500" s="14">
        <v>128.0</v>
      </c>
      <c r="D2500" s="15" t="s">
        <v>4980</v>
      </c>
      <c r="E2500" s="16" t="s">
        <v>221</v>
      </c>
      <c r="F2500" s="13" t="s">
        <v>4747</v>
      </c>
      <c r="G2500" s="13" t="s">
        <v>5106</v>
      </c>
      <c r="H2500" s="13" t="s">
        <v>5107</v>
      </c>
      <c r="I2500" s="13" t="s">
        <v>63</v>
      </c>
      <c r="J2500" s="17" t="s">
        <v>71</v>
      </c>
      <c r="K2500" s="17" t="s">
        <v>58</v>
      </c>
      <c r="L2500" s="18" t="s">
        <v>52</v>
      </c>
      <c r="M2500" s="19">
        <v>61.0</v>
      </c>
      <c r="N2500" s="19">
        <v>31.0</v>
      </c>
    </row>
    <row r="2501">
      <c r="A2501" s="12">
        <v>2499.0</v>
      </c>
      <c r="B2501" s="13" t="s">
        <v>1716</v>
      </c>
      <c r="C2501" s="14">
        <v>129.0</v>
      </c>
      <c r="D2501" s="15" t="s">
        <v>4980</v>
      </c>
      <c r="E2501" s="16" t="s">
        <v>221</v>
      </c>
      <c r="F2501" s="13" t="s">
        <v>512</v>
      </c>
      <c r="G2501" s="13" t="s">
        <v>4672</v>
      </c>
      <c r="H2501" s="13" t="s">
        <v>4673</v>
      </c>
      <c r="I2501" s="13" t="s">
        <v>63</v>
      </c>
      <c r="J2501" s="17" t="s">
        <v>71</v>
      </c>
      <c r="K2501" s="17" t="s">
        <v>58</v>
      </c>
      <c r="L2501" s="18" t="s">
        <v>52</v>
      </c>
      <c r="M2501" s="19">
        <v>61.0</v>
      </c>
      <c r="N2501" s="19">
        <v>31.0</v>
      </c>
    </row>
    <row r="2502">
      <c r="A2502" s="12">
        <v>2500.0</v>
      </c>
      <c r="B2502" s="13" t="s">
        <v>1716</v>
      </c>
      <c r="C2502" s="14">
        <v>130.0</v>
      </c>
      <c r="D2502" s="15" t="s">
        <v>4980</v>
      </c>
      <c r="E2502" s="16" t="s">
        <v>221</v>
      </c>
      <c r="F2502" s="13" t="s">
        <v>707</v>
      </c>
      <c r="G2502" s="13" t="s">
        <v>5109</v>
      </c>
      <c r="H2502" s="13" t="s">
        <v>5110</v>
      </c>
      <c r="I2502" s="13" t="s">
        <v>63</v>
      </c>
      <c r="J2502" s="17" t="s">
        <v>71</v>
      </c>
      <c r="K2502" s="17" t="s">
        <v>58</v>
      </c>
      <c r="L2502" s="18" t="s">
        <v>52</v>
      </c>
      <c r="M2502" s="19">
        <v>61.0</v>
      </c>
      <c r="N2502" s="19">
        <v>31.0</v>
      </c>
    </row>
    <row r="2503">
      <c r="A2503" s="12">
        <v>2501.0</v>
      </c>
      <c r="B2503" s="13" t="s">
        <v>1716</v>
      </c>
      <c r="C2503" s="14">
        <v>131.0</v>
      </c>
      <c r="D2503" s="15" t="s">
        <v>4980</v>
      </c>
      <c r="E2503" s="16" t="s">
        <v>221</v>
      </c>
      <c r="F2503" s="13" t="s">
        <v>2447</v>
      </c>
      <c r="G2503" s="13" t="s">
        <v>4492</v>
      </c>
      <c r="H2503" s="13" t="s">
        <v>4490</v>
      </c>
      <c r="I2503" s="13" t="s">
        <v>63</v>
      </c>
      <c r="J2503" s="17" t="s">
        <v>71</v>
      </c>
      <c r="K2503" s="17" t="s">
        <v>58</v>
      </c>
      <c r="L2503" s="18" t="s">
        <v>52</v>
      </c>
      <c r="M2503" s="19">
        <v>61.0</v>
      </c>
      <c r="N2503" s="19">
        <v>31.0</v>
      </c>
    </row>
    <row r="2504">
      <c r="A2504" s="12">
        <v>2502.0</v>
      </c>
      <c r="B2504" s="13" t="s">
        <v>1716</v>
      </c>
      <c r="C2504" s="14">
        <v>132.0</v>
      </c>
      <c r="D2504" s="15" t="s">
        <v>4980</v>
      </c>
      <c r="E2504" s="16" t="s">
        <v>221</v>
      </c>
      <c r="F2504" s="13" t="s">
        <v>4674</v>
      </c>
      <c r="G2504" s="13" t="s">
        <v>4675</v>
      </c>
      <c r="H2504" s="13" t="s">
        <v>4676</v>
      </c>
      <c r="I2504" s="13" t="s">
        <v>63</v>
      </c>
      <c r="J2504" s="17" t="s">
        <v>71</v>
      </c>
      <c r="K2504" s="17" t="s">
        <v>58</v>
      </c>
      <c r="L2504" s="18" t="s">
        <v>52</v>
      </c>
      <c r="M2504" s="19">
        <v>61.0</v>
      </c>
      <c r="N2504" s="19">
        <v>31.0</v>
      </c>
    </row>
    <row r="2505">
      <c r="A2505" s="12">
        <v>2503.0</v>
      </c>
      <c r="B2505" s="13" t="s">
        <v>1716</v>
      </c>
      <c r="C2505" s="14">
        <v>133.0</v>
      </c>
      <c r="D2505" s="15" t="s">
        <v>4980</v>
      </c>
      <c r="E2505" s="16" t="s">
        <v>221</v>
      </c>
      <c r="F2505" s="13" t="s">
        <v>1293</v>
      </c>
      <c r="G2505" s="13" t="s">
        <v>5111</v>
      </c>
      <c r="H2505" s="13" t="s">
        <v>4490</v>
      </c>
      <c r="I2505" s="13" t="s">
        <v>63</v>
      </c>
      <c r="J2505" s="17" t="s">
        <v>71</v>
      </c>
      <c r="K2505" s="17" t="s">
        <v>58</v>
      </c>
      <c r="L2505" s="18" t="s">
        <v>52</v>
      </c>
      <c r="M2505" s="19">
        <v>61.0</v>
      </c>
      <c r="N2505" s="19">
        <v>31.0</v>
      </c>
    </row>
    <row r="2506">
      <c r="A2506" s="12">
        <v>2504.0</v>
      </c>
      <c r="B2506" s="13" t="s">
        <v>1716</v>
      </c>
      <c r="C2506" s="14">
        <v>134.0</v>
      </c>
      <c r="D2506" s="15" t="s">
        <v>4980</v>
      </c>
      <c r="E2506" s="16" t="s">
        <v>221</v>
      </c>
      <c r="F2506" s="13" t="s">
        <v>1729</v>
      </c>
      <c r="G2506" s="13" t="s">
        <v>1730</v>
      </c>
      <c r="H2506" s="13" t="s">
        <v>4488</v>
      </c>
      <c r="I2506" s="13" t="s">
        <v>63</v>
      </c>
      <c r="J2506" s="17" t="s">
        <v>71</v>
      </c>
      <c r="K2506" s="17" t="s">
        <v>58</v>
      </c>
      <c r="L2506" s="18" t="s">
        <v>52</v>
      </c>
      <c r="M2506" s="19">
        <v>61.0</v>
      </c>
      <c r="N2506" s="19">
        <v>31.0</v>
      </c>
    </row>
    <row r="2507">
      <c r="A2507" s="12">
        <v>2505.0</v>
      </c>
      <c r="B2507" s="13" t="s">
        <v>1716</v>
      </c>
      <c r="C2507" s="14">
        <v>135.0</v>
      </c>
      <c r="D2507" s="15" t="s">
        <v>4980</v>
      </c>
      <c r="E2507" s="16" t="s">
        <v>221</v>
      </c>
      <c r="F2507" s="13" t="s">
        <v>60</v>
      </c>
      <c r="G2507" s="13" t="s">
        <v>4489</v>
      </c>
      <c r="H2507" s="13" t="s">
        <v>4490</v>
      </c>
      <c r="I2507" s="13" t="s">
        <v>63</v>
      </c>
      <c r="J2507" s="17" t="s">
        <v>71</v>
      </c>
      <c r="K2507" s="17" t="s">
        <v>58</v>
      </c>
      <c r="L2507" s="18" t="s">
        <v>52</v>
      </c>
      <c r="M2507" s="19">
        <v>61.0</v>
      </c>
      <c r="N2507" s="19">
        <v>31.0</v>
      </c>
    </row>
    <row r="2508">
      <c r="A2508" s="12">
        <v>2506.0</v>
      </c>
      <c r="B2508" s="13" t="s">
        <v>1716</v>
      </c>
      <c r="C2508" s="14">
        <v>136.0</v>
      </c>
      <c r="D2508" s="15" t="s">
        <v>4980</v>
      </c>
      <c r="E2508" s="16" t="s">
        <v>221</v>
      </c>
      <c r="F2508" s="13" t="s">
        <v>1290</v>
      </c>
      <c r="G2508" s="13" t="s">
        <v>4682</v>
      </c>
      <c r="H2508" s="13" t="s">
        <v>4683</v>
      </c>
      <c r="I2508" s="13" t="s">
        <v>63</v>
      </c>
      <c r="J2508" s="17" t="s">
        <v>71</v>
      </c>
      <c r="K2508" s="17" t="s">
        <v>58</v>
      </c>
      <c r="L2508" s="18" t="s">
        <v>52</v>
      </c>
      <c r="M2508" s="19">
        <v>61.0</v>
      </c>
      <c r="N2508" s="19">
        <v>31.0</v>
      </c>
    </row>
    <row r="2509">
      <c r="A2509" s="12">
        <v>2507.0</v>
      </c>
      <c r="B2509" s="13" t="s">
        <v>1716</v>
      </c>
      <c r="C2509" s="14">
        <v>137.0</v>
      </c>
      <c r="D2509" s="15" t="s">
        <v>4980</v>
      </c>
      <c r="E2509" s="16" t="s">
        <v>221</v>
      </c>
      <c r="F2509" s="13" t="s">
        <v>4661</v>
      </c>
      <c r="G2509" s="13" t="s">
        <v>4662</v>
      </c>
      <c r="H2509" s="13" t="s">
        <v>4663</v>
      </c>
      <c r="I2509" s="13" t="s">
        <v>63</v>
      </c>
      <c r="J2509" s="17" t="s">
        <v>71</v>
      </c>
      <c r="K2509" s="17" t="s">
        <v>58</v>
      </c>
      <c r="L2509" s="18" t="s">
        <v>52</v>
      </c>
      <c r="M2509" s="19">
        <v>61.0</v>
      </c>
      <c r="N2509" s="19">
        <v>31.0</v>
      </c>
    </row>
    <row r="2510">
      <c r="A2510" s="12">
        <v>2508.0</v>
      </c>
      <c r="B2510" s="13" t="s">
        <v>1716</v>
      </c>
      <c r="C2510" s="14">
        <v>138.0</v>
      </c>
      <c r="D2510" s="15" t="s">
        <v>4980</v>
      </c>
      <c r="E2510" s="16" t="s">
        <v>221</v>
      </c>
      <c r="F2510" s="13" t="s">
        <v>1384</v>
      </c>
      <c r="G2510" s="13" t="s">
        <v>5112</v>
      </c>
      <c r="H2510" s="13" t="s">
        <v>5113</v>
      </c>
      <c r="I2510" s="13" t="s">
        <v>63</v>
      </c>
      <c r="J2510" s="17" t="s">
        <v>71</v>
      </c>
      <c r="K2510" s="17" t="s">
        <v>58</v>
      </c>
      <c r="L2510" s="18" t="s">
        <v>52</v>
      </c>
      <c r="M2510" s="19">
        <v>61.0</v>
      </c>
      <c r="N2510" s="19">
        <v>31.0</v>
      </c>
    </row>
    <row r="2511">
      <c r="A2511" s="12">
        <v>2509.0</v>
      </c>
      <c r="B2511" s="13" t="s">
        <v>1716</v>
      </c>
      <c r="C2511" s="14">
        <v>139.0</v>
      </c>
      <c r="D2511" s="15" t="s">
        <v>4980</v>
      </c>
      <c r="E2511" s="16" t="s">
        <v>221</v>
      </c>
      <c r="F2511" s="13" t="s">
        <v>1826</v>
      </c>
      <c r="G2511" s="13" t="s">
        <v>4684</v>
      </c>
      <c r="H2511" s="13" t="s">
        <v>4685</v>
      </c>
      <c r="I2511" s="13" t="s">
        <v>63</v>
      </c>
      <c r="J2511" s="17" t="s">
        <v>71</v>
      </c>
      <c r="K2511" s="17" t="s">
        <v>58</v>
      </c>
      <c r="L2511" s="18" t="s">
        <v>52</v>
      </c>
      <c r="M2511" s="19">
        <v>61.0</v>
      </c>
      <c r="N2511" s="19">
        <v>31.0</v>
      </c>
    </row>
    <row r="2512">
      <c r="A2512" s="12">
        <v>2510.0</v>
      </c>
      <c r="B2512" s="13" t="s">
        <v>1716</v>
      </c>
      <c r="C2512" s="14">
        <v>140.0</v>
      </c>
      <c r="D2512" s="15" t="s">
        <v>4980</v>
      </c>
      <c r="E2512" s="16" t="s">
        <v>221</v>
      </c>
      <c r="F2512" s="13" t="s">
        <v>4034</v>
      </c>
      <c r="G2512" s="13" t="s">
        <v>5114</v>
      </c>
      <c r="H2512" s="13" t="s">
        <v>5115</v>
      </c>
      <c r="I2512" s="13" t="s">
        <v>63</v>
      </c>
      <c r="J2512" s="17" t="s">
        <v>71</v>
      </c>
      <c r="K2512" s="17" t="s">
        <v>58</v>
      </c>
      <c r="L2512" s="18" t="s">
        <v>52</v>
      </c>
      <c r="M2512" s="19">
        <v>61.0</v>
      </c>
      <c r="N2512" s="19">
        <v>31.0</v>
      </c>
    </row>
    <row r="2513">
      <c r="A2513" s="12">
        <v>2511.0</v>
      </c>
      <c r="B2513" s="13" t="s">
        <v>1716</v>
      </c>
      <c r="C2513" s="14">
        <v>141.0</v>
      </c>
      <c r="D2513" s="15" t="s">
        <v>4980</v>
      </c>
      <c r="E2513" s="16" t="s">
        <v>221</v>
      </c>
      <c r="F2513" s="13" t="s">
        <v>1335</v>
      </c>
      <c r="G2513" s="13" t="s">
        <v>4007</v>
      </c>
      <c r="H2513" s="13" t="s">
        <v>5116</v>
      </c>
      <c r="I2513" s="13" t="s">
        <v>63</v>
      </c>
      <c r="J2513" s="17" t="s">
        <v>71</v>
      </c>
      <c r="K2513" s="17" t="s">
        <v>58</v>
      </c>
      <c r="L2513" s="18" t="s">
        <v>52</v>
      </c>
      <c r="M2513" s="19">
        <v>61.0</v>
      </c>
      <c r="N2513" s="19">
        <v>31.0</v>
      </c>
    </row>
    <row r="2514">
      <c r="A2514" s="12">
        <v>2512.0</v>
      </c>
      <c r="B2514" s="13" t="s">
        <v>1716</v>
      </c>
      <c r="C2514" s="14">
        <v>142.0</v>
      </c>
      <c r="D2514" s="15" t="s">
        <v>4980</v>
      </c>
      <c r="E2514" s="16" t="s">
        <v>221</v>
      </c>
      <c r="F2514" s="13" t="s">
        <v>4800</v>
      </c>
      <c r="G2514" s="13" t="s">
        <v>4801</v>
      </c>
      <c r="H2514" s="13" t="s">
        <v>5117</v>
      </c>
      <c r="I2514" s="13" t="s">
        <v>63</v>
      </c>
      <c r="J2514" s="17" t="s">
        <v>71</v>
      </c>
      <c r="K2514" s="17" t="s">
        <v>58</v>
      </c>
      <c r="L2514" s="18" t="s">
        <v>52</v>
      </c>
      <c r="M2514" s="19">
        <v>61.0</v>
      </c>
      <c r="N2514" s="19">
        <v>31.0</v>
      </c>
    </row>
    <row r="2515">
      <c r="A2515" s="12">
        <v>2513.0</v>
      </c>
      <c r="B2515" s="13" t="s">
        <v>1716</v>
      </c>
      <c r="C2515" s="14">
        <v>143.0</v>
      </c>
      <c r="D2515" s="15" t="s">
        <v>4980</v>
      </c>
      <c r="E2515" s="16" t="s">
        <v>221</v>
      </c>
      <c r="F2515" s="13" t="s">
        <v>4929</v>
      </c>
      <c r="G2515" s="13" t="s">
        <v>4930</v>
      </c>
      <c r="H2515" s="13" t="s">
        <v>4931</v>
      </c>
      <c r="I2515" s="13" t="s">
        <v>63</v>
      </c>
      <c r="J2515" s="17" t="s">
        <v>71</v>
      </c>
      <c r="K2515" s="17" t="s">
        <v>58</v>
      </c>
      <c r="L2515" s="18" t="s">
        <v>52</v>
      </c>
      <c r="M2515" s="19">
        <v>61.0</v>
      </c>
      <c r="N2515" s="19">
        <v>31.0</v>
      </c>
    </row>
    <row r="2516">
      <c r="A2516" s="12">
        <v>2514.0</v>
      </c>
      <c r="B2516" s="13" t="s">
        <v>1716</v>
      </c>
      <c r="C2516" s="14">
        <v>144.0</v>
      </c>
      <c r="D2516" s="15" t="s">
        <v>4980</v>
      </c>
      <c r="E2516" s="16" t="s">
        <v>221</v>
      </c>
      <c r="F2516" s="13" t="s">
        <v>1376</v>
      </c>
      <c r="G2516" s="13" t="s">
        <v>5118</v>
      </c>
      <c r="H2516" s="13" t="s">
        <v>5119</v>
      </c>
      <c r="I2516" s="13" t="s">
        <v>63</v>
      </c>
      <c r="J2516" s="17" t="s">
        <v>71</v>
      </c>
      <c r="K2516" s="17" t="s">
        <v>58</v>
      </c>
      <c r="L2516" s="18" t="s">
        <v>52</v>
      </c>
      <c r="M2516" s="19">
        <v>61.0</v>
      </c>
      <c r="N2516" s="19">
        <v>31.0</v>
      </c>
    </row>
    <row r="2517">
      <c r="A2517" s="12">
        <v>2515.0</v>
      </c>
      <c r="B2517" s="13" t="s">
        <v>1716</v>
      </c>
      <c r="C2517" s="14">
        <v>145.0</v>
      </c>
      <c r="D2517" s="15" t="s">
        <v>4980</v>
      </c>
      <c r="E2517" s="16" t="s">
        <v>221</v>
      </c>
      <c r="F2517" s="13" t="s">
        <v>4966</v>
      </c>
      <c r="G2517" s="13" t="s">
        <v>5120</v>
      </c>
      <c r="H2517" s="13" t="s">
        <v>5121</v>
      </c>
      <c r="I2517" s="13" t="s">
        <v>63</v>
      </c>
      <c r="J2517" s="17" t="s">
        <v>71</v>
      </c>
      <c r="K2517" s="17" t="s">
        <v>58</v>
      </c>
      <c r="L2517" s="18" t="s">
        <v>52</v>
      </c>
      <c r="M2517" s="19">
        <v>61.0</v>
      </c>
      <c r="N2517" s="19">
        <v>31.0</v>
      </c>
    </row>
    <row r="2518">
      <c r="A2518" s="12">
        <v>2516.0</v>
      </c>
      <c r="B2518" s="13" t="s">
        <v>1716</v>
      </c>
      <c r="C2518" s="14">
        <v>146.0</v>
      </c>
      <c r="D2518" s="15" t="s">
        <v>4980</v>
      </c>
      <c r="E2518" s="16" t="s">
        <v>221</v>
      </c>
      <c r="F2518" s="13" t="s">
        <v>4688</v>
      </c>
      <c r="G2518" s="13" t="s">
        <v>4689</v>
      </c>
      <c r="H2518" s="13" t="s">
        <v>5122</v>
      </c>
      <c r="I2518" s="13" t="s">
        <v>63</v>
      </c>
      <c r="J2518" s="17" t="s">
        <v>71</v>
      </c>
      <c r="K2518" s="17" t="s">
        <v>58</v>
      </c>
      <c r="L2518" s="18" t="s">
        <v>52</v>
      </c>
      <c r="M2518" s="19">
        <v>61.0</v>
      </c>
      <c r="N2518" s="19">
        <v>31.0</v>
      </c>
    </row>
    <row r="2519">
      <c r="A2519" s="12">
        <v>2517.0</v>
      </c>
      <c r="B2519" s="13" t="s">
        <v>1716</v>
      </c>
      <c r="C2519" s="14">
        <v>147.0</v>
      </c>
      <c r="D2519" s="15" t="s">
        <v>4980</v>
      </c>
      <c r="E2519" s="16" t="s">
        <v>221</v>
      </c>
      <c r="F2519" s="13" t="s">
        <v>4694</v>
      </c>
      <c r="G2519" s="13" t="s">
        <v>4665</v>
      </c>
      <c r="H2519" s="13" t="s">
        <v>4666</v>
      </c>
      <c r="I2519" s="13" t="s">
        <v>63</v>
      </c>
      <c r="J2519" s="17" t="s">
        <v>71</v>
      </c>
      <c r="K2519" s="17" t="s">
        <v>58</v>
      </c>
      <c r="L2519" s="18" t="s">
        <v>52</v>
      </c>
      <c r="M2519" s="19">
        <v>61.0</v>
      </c>
      <c r="N2519" s="19">
        <v>31.0</v>
      </c>
    </row>
    <row r="2520">
      <c r="A2520" s="12">
        <v>2518.0</v>
      </c>
      <c r="B2520" s="13" t="s">
        <v>1716</v>
      </c>
      <c r="C2520" s="14">
        <v>148.0</v>
      </c>
      <c r="D2520" s="15" t="s">
        <v>4980</v>
      </c>
      <c r="E2520" s="16" t="s">
        <v>221</v>
      </c>
      <c r="F2520" s="13" t="s">
        <v>2039</v>
      </c>
      <c r="G2520" s="13" t="s">
        <v>2040</v>
      </c>
      <c r="H2520" s="13" t="s">
        <v>5123</v>
      </c>
      <c r="I2520" s="13" t="s">
        <v>63</v>
      </c>
      <c r="J2520" s="17" t="s">
        <v>71</v>
      </c>
      <c r="K2520" s="17" t="s">
        <v>58</v>
      </c>
      <c r="L2520" s="18" t="s">
        <v>52</v>
      </c>
      <c r="M2520" s="19">
        <v>61.0</v>
      </c>
      <c r="N2520" s="19">
        <v>31.0</v>
      </c>
    </row>
    <row r="2521">
      <c r="A2521" s="12">
        <v>2519.0</v>
      </c>
      <c r="B2521" s="13" t="s">
        <v>1716</v>
      </c>
      <c r="C2521" s="14">
        <v>149.0</v>
      </c>
      <c r="D2521" s="15" t="s">
        <v>4980</v>
      </c>
      <c r="E2521" s="16" t="s">
        <v>221</v>
      </c>
      <c r="F2521" s="13" t="s">
        <v>4934</v>
      </c>
      <c r="G2521" s="13" t="s">
        <v>5124</v>
      </c>
      <c r="H2521" s="13" t="s">
        <v>5125</v>
      </c>
      <c r="I2521" s="13" t="s">
        <v>63</v>
      </c>
      <c r="J2521" s="17" t="s">
        <v>71</v>
      </c>
      <c r="K2521" s="17" t="s">
        <v>58</v>
      </c>
      <c r="L2521" s="18" t="s">
        <v>52</v>
      </c>
      <c r="M2521" s="19">
        <v>61.0</v>
      </c>
      <c r="N2521" s="19">
        <v>31.0</v>
      </c>
    </row>
    <row r="2522">
      <c r="A2522" s="12">
        <v>2520.0</v>
      </c>
      <c r="B2522" s="13" t="s">
        <v>1716</v>
      </c>
      <c r="C2522" s="14">
        <v>150.0</v>
      </c>
      <c r="D2522" s="15" t="s">
        <v>4980</v>
      </c>
      <c r="E2522" s="16" t="s">
        <v>221</v>
      </c>
      <c r="F2522" s="13" t="s">
        <v>3439</v>
      </c>
      <c r="G2522" s="13" t="s">
        <v>5126</v>
      </c>
      <c r="H2522" s="13" t="s">
        <v>5127</v>
      </c>
      <c r="I2522" s="13" t="s">
        <v>63</v>
      </c>
      <c r="J2522" s="17" t="s">
        <v>71</v>
      </c>
      <c r="K2522" s="17" t="s">
        <v>58</v>
      </c>
      <c r="L2522" s="18" t="s">
        <v>52</v>
      </c>
      <c r="M2522" s="19">
        <v>61.0</v>
      </c>
      <c r="N2522" s="19">
        <v>31.0</v>
      </c>
    </row>
    <row r="2523">
      <c r="A2523" s="12">
        <v>2521.0</v>
      </c>
      <c r="B2523" s="13" t="s">
        <v>2424</v>
      </c>
      <c r="C2523" s="14">
        <v>1.0</v>
      </c>
      <c r="D2523" s="15" t="s">
        <v>5128</v>
      </c>
      <c r="E2523" s="16" t="s">
        <v>52</v>
      </c>
      <c r="F2523" s="13" t="s">
        <v>1884</v>
      </c>
      <c r="G2523" s="13" t="s">
        <v>4732</v>
      </c>
      <c r="H2523" s="13" t="s">
        <v>5083</v>
      </c>
      <c r="I2523" s="13" t="s">
        <v>63</v>
      </c>
      <c r="J2523" s="17" t="s">
        <v>57</v>
      </c>
      <c r="K2523" s="17" t="s">
        <v>58</v>
      </c>
      <c r="L2523" s="18" t="s">
        <v>52</v>
      </c>
      <c r="M2523" s="19">
        <v>62.0</v>
      </c>
      <c r="N2523" s="19">
        <v>11.0</v>
      </c>
    </row>
    <row r="2524">
      <c r="A2524" s="12">
        <v>2522.0</v>
      </c>
      <c r="B2524" s="13" t="s">
        <v>2424</v>
      </c>
      <c r="C2524" s="14">
        <v>2.0</v>
      </c>
      <c r="D2524" s="15" t="s">
        <v>5128</v>
      </c>
      <c r="E2524" s="16" t="s">
        <v>52</v>
      </c>
      <c r="F2524" s="13" t="s">
        <v>3505</v>
      </c>
      <c r="G2524" s="13" t="s">
        <v>5129</v>
      </c>
      <c r="H2524" s="13" t="s">
        <v>5130</v>
      </c>
      <c r="I2524" s="13" t="s">
        <v>56</v>
      </c>
      <c r="J2524" s="17" t="s">
        <v>67</v>
      </c>
      <c r="K2524" s="17" t="s">
        <v>58</v>
      </c>
      <c r="L2524" s="18" t="s">
        <v>52</v>
      </c>
      <c r="M2524" s="19">
        <v>62.0</v>
      </c>
      <c r="N2524" s="19">
        <v>20.0</v>
      </c>
    </row>
    <row r="2525">
      <c r="A2525" s="12">
        <v>2523.0</v>
      </c>
      <c r="B2525" s="13" t="s">
        <v>2424</v>
      </c>
      <c r="C2525" s="14">
        <v>3.0</v>
      </c>
      <c r="D2525" s="15" t="s">
        <v>5128</v>
      </c>
      <c r="E2525" s="16" t="s">
        <v>52</v>
      </c>
      <c r="F2525" s="13" t="s">
        <v>4934</v>
      </c>
      <c r="G2525" s="13" t="s">
        <v>5131</v>
      </c>
      <c r="H2525" s="13" t="s">
        <v>5132</v>
      </c>
      <c r="I2525" s="13" t="s">
        <v>63</v>
      </c>
      <c r="J2525" s="17" t="s">
        <v>67</v>
      </c>
      <c r="K2525" s="17" t="s">
        <v>58</v>
      </c>
      <c r="L2525" s="18" t="s">
        <v>52</v>
      </c>
      <c r="M2525" s="19">
        <v>62.0</v>
      </c>
      <c r="N2525" s="19">
        <v>21.0</v>
      </c>
    </row>
    <row r="2526">
      <c r="A2526" s="12">
        <v>2524.0</v>
      </c>
      <c r="B2526" s="13" t="s">
        <v>2424</v>
      </c>
      <c r="C2526" s="14">
        <v>4.0</v>
      </c>
      <c r="D2526" s="15" t="s">
        <v>5128</v>
      </c>
      <c r="E2526" s="16" t="s">
        <v>52</v>
      </c>
      <c r="F2526" s="13" t="s">
        <v>4694</v>
      </c>
      <c r="G2526" s="13" t="s">
        <v>5134</v>
      </c>
      <c r="H2526" s="13" t="s">
        <v>5135</v>
      </c>
      <c r="I2526" s="13" t="s">
        <v>63</v>
      </c>
      <c r="J2526" s="17" t="s">
        <v>67</v>
      </c>
      <c r="K2526" s="17" t="s">
        <v>58</v>
      </c>
      <c r="L2526" s="18" t="s">
        <v>52</v>
      </c>
      <c r="M2526" s="19">
        <v>62.0</v>
      </c>
      <c r="N2526" s="19">
        <v>21.0</v>
      </c>
    </row>
    <row r="2527">
      <c r="A2527" s="12">
        <v>2525.0</v>
      </c>
      <c r="B2527" s="13" t="s">
        <v>2424</v>
      </c>
      <c r="C2527" s="14">
        <v>5.0</v>
      </c>
      <c r="D2527" s="15" t="s">
        <v>5136</v>
      </c>
      <c r="E2527" s="16" t="s">
        <v>52</v>
      </c>
      <c r="F2527" s="13" t="s">
        <v>3059</v>
      </c>
      <c r="G2527" s="13" t="s">
        <v>5137</v>
      </c>
      <c r="H2527" s="13" t="s">
        <v>5138</v>
      </c>
      <c r="I2527" s="13" t="s">
        <v>56</v>
      </c>
      <c r="J2527" s="17" t="s">
        <v>71</v>
      </c>
      <c r="K2527" s="17" t="s">
        <v>58</v>
      </c>
      <c r="L2527" s="18" t="s">
        <v>52</v>
      </c>
      <c r="M2527" s="19">
        <v>62.0</v>
      </c>
      <c r="N2527" s="19">
        <v>30.0</v>
      </c>
    </row>
    <row r="2528">
      <c r="A2528" s="12">
        <v>2526.0</v>
      </c>
      <c r="B2528" s="13" t="s">
        <v>2424</v>
      </c>
      <c r="C2528" s="14">
        <v>6.0</v>
      </c>
      <c r="D2528" s="15" t="s">
        <v>5128</v>
      </c>
      <c r="E2528" s="16" t="s">
        <v>52</v>
      </c>
      <c r="F2528" s="13" t="s">
        <v>3498</v>
      </c>
      <c r="G2528" s="13" t="s">
        <v>5139</v>
      </c>
      <c r="H2528" s="13" t="s">
        <v>5140</v>
      </c>
      <c r="I2528" s="13" t="s">
        <v>56</v>
      </c>
      <c r="J2528" s="17" t="s">
        <v>71</v>
      </c>
      <c r="K2528" s="17" t="s">
        <v>58</v>
      </c>
      <c r="L2528" s="18" t="s">
        <v>52</v>
      </c>
      <c r="M2528" s="19">
        <v>62.0</v>
      </c>
      <c r="N2528" s="19">
        <v>30.0</v>
      </c>
    </row>
    <row r="2529">
      <c r="A2529" s="12">
        <v>2527.0</v>
      </c>
      <c r="B2529" s="13" t="s">
        <v>2424</v>
      </c>
      <c r="C2529" s="14">
        <v>7.0</v>
      </c>
      <c r="D2529" s="15" t="s">
        <v>5136</v>
      </c>
      <c r="E2529" s="16" t="s">
        <v>52</v>
      </c>
      <c r="F2529" s="13" t="s">
        <v>4526</v>
      </c>
      <c r="G2529" s="13" t="s">
        <v>4527</v>
      </c>
      <c r="H2529" s="13" t="s">
        <v>5141</v>
      </c>
      <c r="I2529" s="13" t="s">
        <v>63</v>
      </c>
      <c r="J2529" s="17" t="s">
        <v>71</v>
      </c>
      <c r="K2529" s="17" t="s">
        <v>58</v>
      </c>
      <c r="L2529" s="18" t="s">
        <v>52</v>
      </c>
      <c r="M2529" s="19">
        <v>62.0</v>
      </c>
      <c r="N2529" s="19">
        <v>31.0</v>
      </c>
    </row>
    <row r="2530">
      <c r="A2530" s="12">
        <v>2528.0</v>
      </c>
      <c r="B2530" s="13" t="s">
        <v>2424</v>
      </c>
      <c r="C2530" s="14">
        <v>8.0</v>
      </c>
      <c r="D2530" s="15" t="s">
        <v>5136</v>
      </c>
      <c r="E2530" s="16" t="s">
        <v>52</v>
      </c>
      <c r="F2530" s="13" t="s">
        <v>4959</v>
      </c>
      <c r="G2530" s="13" t="s">
        <v>4960</v>
      </c>
      <c r="H2530" s="13" t="s">
        <v>5142</v>
      </c>
      <c r="I2530" s="13" t="s">
        <v>63</v>
      </c>
      <c r="J2530" s="17" t="s">
        <v>71</v>
      </c>
      <c r="K2530" s="17" t="s">
        <v>58</v>
      </c>
      <c r="L2530" s="18" t="s">
        <v>52</v>
      </c>
      <c r="M2530" s="19">
        <v>62.0</v>
      </c>
      <c r="N2530" s="19">
        <v>31.0</v>
      </c>
    </row>
    <row r="2531">
      <c r="A2531" s="12">
        <v>2529.0</v>
      </c>
      <c r="B2531" s="13" t="s">
        <v>2424</v>
      </c>
      <c r="C2531" s="14">
        <v>9.0</v>
      </c>
      <c r="D2531" s="15" t="s">
        <v>5136</v>
      </c>
      <c r="E2531" s="16" t="s">
        <v>52</v>
      </c>
      <c r="F2531" s="13" t="s">
        <v>3502</v>
      </c>
      <c r="G2531" s="13" t="s">
        <v>3503</v>
      </c>
      <c r="H2531" s="13" t="s">
        <v>5143</v>
      </c>
      <c r="I2531" s="13" t="s">
        <v>63</v>
      </c>
      <c r="J2531" s="17" t="s">
        <v>71</v>
      </c>
      <c r="K2531" s="17" t="s">
        <v>58</v>
      </c>
      <c r="L2531" s="18" t="s">
        <v>52</v>
      </c>
      <c r="M2531" s="19">
        <v>62.0</v>
      </c>
      <c r="N2531" s="19">
        <v>31.0</v>
      </c>
    </row>
    <row r="2532">
      <c r="A2532" s="12">
        <v>2530.0</v>
      </c>
      <c r="B2532" s="13" t="s">
        <v>2424</v>
      </c>
      <c r="C2532" s="14">
        <v>10.0</v>
      </c>
      <c r="D2532" s="15" t="s">
        <v>5136</v>
      </c>
      <c r="E2532" s="16" t="s">
        <v>52</v>
      </c>
      <c r="F2532" s="13" t="s">
        <v>3450</v>
      </c>
      <c r="G2532" s="13" t="s">
        <v>5144</v>
      </c>
      <c r="H2532" s="13" t="s">
        <v>5145</v>
      </c>
      <c r="I2532" s="13" t="s">
        <v>63</v>
      </c>
      <c r="J2532" s="17" t="s">
        <v>71</v>
      </c>
      <c r="K2532" s="17" t="s">
        <v>58</v>
      </c>
      <c r="L2532" s="18" t="s">
        <v>52</v>
      </c>
      <c r="M2532" s="19">
        <v>62.0</v>
      </c>
      <c r="N2532" s="19">
        <v>31.0</v>
      </c>
    </row>
    <row r="2533">
      <c r="A2533" s="12">
        <v>2531.0</v>
      </c>
      <c r="B2533" s="13" t="s">
        <v>2424</v>
      </c>
      <c r="C2533" s="14">
        <v>11.0</v>
      </c>
      <c r="D2533" s="15" t="s">
        <v>5136</v>
      </c>
      <c r="E2533" s="16" t="s">
        <v>52</v>
      </c>
      <c r="F2533" s="13" t="s">
        <v>2262</v>
      </c>
      <c r="G2533" s="13" t="s">
        <v>5147</v>
      </c>
      <c r="H2533" s="13" t="s">
        <v>5148</v>
      </c>
      <c r="I2533" s="13" t="s">
        <v>63</v>
      </c>
      <c r="J2533" s="17" t="s">
        <v>71</v>
      </c>
      <c r="K2533" s="17" t="s">
        <v>58</v>
      </c>
      <c r="L2533" s="18" t="s">
        <v>52</v>
      </c>
      <c r="M2533" s="19">
        <v>62.0</v>
      </c>
      <c r="N2533" s="19">
        <v>31.0</v>
      </c>
    </row>
    <row r="2534">
      <c r="A2534" s="12">
        <v>2532.0</v>
      </c>
      <c r="B2534" s="13" t="s">
        <v>2424</v>
      </c>
      <c r="C2534" s="14">
        <v>12.0</v>
      </c>
      <c r="D2534" s="15" t="s">
        <v>5128</v>
      </c>
      <c r="E2534" s="16" t="s">
        <v>52</v>
      </c>
      <c r="F2534" s="13" t="s">
        <v>3423</v>
      </c>
      <c r="G2534" s="13" t="s">
        <v>5149</v>
      </c>
      <c r="H2534" s="13" t="s">
        <v>5150</v>
      </c>
      <c r="I2534" s="13" t="s">
        <v>63</v>
      </c>
      <c r="J2534" s="17" t="s">
        <v>71</v>
      </c>
      <c r="K2534" s="17" t="s">
        <v>58</v>
      </c>
      <c r="L2534" s="18" t="s">
        <v>52</v>
      </c>
      <c r="M2534" s="19">
        <v>62.0</v>
      </c>
      <c r="N2534" s="19">
        <v>31.0</v>
      </c>
    </row>
    <row r="2535">
      <c r="A2535" s="12">
        <v>2533.0</v>
      </c>
      <c r="B2535" s="13" t="s">
        <v>2424</v>
      </c>
      <c r="C2535" s="14">
        <v>13.0</v>
      </c>
      <c r="D2535" s="15" t="s">
        <v>5128</v>
      </c>
      <c r="E2535" s="16" t="s">
        <v>52</v>
      </c>
      <c r="F2535" s="13" t="s">
        <v>2804</v>
      </c>
      <c r="G2535" s="13" t="s">
        <v>4814</v>
      </c>
      <c r="H2535" s="13" t="s">
        <v>5152</v>
      </c>
      <c r="I2535" s="13" t="s">
        <v>63</v>
      </c>
      <c r="J2535" s="17" t="s">
        <v>71</v>
      </c>
      <c r="K2535" s="17" t="s">
        <v>58</v>
      </c>
      <c r="L2535" s="18" t="s">
        <v>52</v>
      </c>
      <c r="M2535" s="19">
        <v>62.0</v>
      </c>
      <c r="N2535" s="19">
        <v>31.0</v>
      </c>
    </row>
    <row r="2536">
      <c r="A2536" s="12">
        <v>2534.0</v>
      </c>
      <c r="B2536" s="13" t="s">
        <v>2424</v>
      </c>
      <c r="C2536" s="14">
        <v>14.0</v>
      </c>
      <c r="D2536" s="15" t="s">
        <v>5128</v>
      </c>
      <c r="E2536" s="16" t="s">
        <v>52</v>
      </c>
      <c r="F2536" s="13" t="s">
        <v>2793</v>
      </c>
      <c r="G2536" s="13" t="s">
        <v>4482</v>
      </c>
      <c r="H2536" s="13" t="s">
        <v>5153</v>
      </c>
      <c r="I2536" s="13" t="s">
        <v>63</v>
      </c>
      <c r="J2536" s="17" t="s">
        <v>71</v>
      </c>
      <c r="K2536" s="17" t="s">
        <v>58</v>
      </c>
      <c r="L2536" s="18" t="s">
        <v>52</v>
      </c>
      <c r="M2536" s="19">
        <v>62.0</v>
      </c>
      <c r="N2536" s="19">
        <v>31.0</v>
      </c>
    </row>
    <row r="2537">
      <c r="A2537" s="12">
        <v>2535.0</v>
      </c>
      <c r="B2537" s="13" t="s">
        <v>2424</v>
      </c>
      <c r="C2537" s="14">
        <v>15.0</v>
      </c>
      <c r="D2537" s="15" t="s">
        <v>5128</v>
      </c>
      <c r="E2537" s="16" t="s">
        <v>52</v>
      </c>
      <c r="F2537" s="13" t="s">
        <v>3453</v>
      </c>
      <c r="G2537" s="13" t="s">
        <v>5154</v>
      </c>
      <c r="H2537" s="13" t="s">
        <v>5155</v>
      </c>
      <c r="I2537" s="13" t="s">
        <v>63</v>
      </c>
      <c r="J2537" s="17" t="s">
        <v>71</v>
      </c>
      <c r="K2537" s="17" t="s">
        <v>58</v>
      </c>
      <c r="L2537" s="18" t="s">
        <v>52</v>
      </c>
      <c r="M2537" s="19">
        <v>62.0</v>
      </c>
      <c r="N2537" s="19">
        <v>31.0</v>
      </c>
    </row>
    <row r="2538">
      <c r="A2538" s="12">
        <v>2536.0</v>
      </c>
      <c r="B2538" s="13" t="s">
        <v>2424</v>
      </c>
      <c r="C2538" s="14">
        <v>16.0</v>
      </c>
      <c r="D2538" s="15" t="s">
        <v>5128</v>
      </c>
      <c r="E2538" s="16" t="s">
        <v>52</v>
      </c>
      <c r="F2538" s="13" t="s">
        <v>3339</v>
      </c>
      <c r="G2538" s="13" t="s">
        <v>3340</v>
      </c>
      <c r="H2538" s="13" t="s">
        <v>5156</v>
      </c>
      <c r="I2538" s="13" t="s">
        <v>63</v>
      </c>
      <c r="J2538" s="17" t="s">
        <v>71</v>
      </c>
      <c r="K2538" s="17" t="s">
        <v>58</v>
      </c>
      <c r="L2538" s="18" t="s">
        <v>52</v>
      </c>
      <c r="M2538" s="19">
        <v>62.0</v>
      </c>
      <c r="N2538" s="19">
        <v>31.0</v>
      </c>
    </row>
    <row r="2539">
      <c r="A2539" s="12">
        <v>2537.0</v>
      </c>
      <c r="B2539" s="13" t="s">
        <v>2424</v>
      </c>
      <c r="C2539" s="14">
        <v>17.0</v>
      </c>
      <c r="D2539" s="15" t="s">
        <v>5128</v>
      </c>
      <c r="E2539" s="16" t="s">
        <v>52</v>
      </c>
      <c r="F2539" s="13" t="s">
        <v>4800</v>
      </c>
      <c r="G2539" s="13" t="s">
        <v>1784</v>
      </c>
      <c r="H2539" s="13" t="s">
        <v>5157</v>
      </c>
      <c r="I2539" s="13" t="s">
        <v>63</v>
      </c>
      <c r="J2539" s="17" t="s">
        <v>71</v>
      </c>
      <c r="K2539" s="17" t="s">
        <v>58</v>
      </c>
      <c r="L2539" s="18" t="s">
        <v>52</v>
      </c>
      <c r="M2539" s="19">
        <v>62.0</v>
      </c>
      <c r="N2539" s="19">
        <v>31.0</v>
      </c>
    </row>
    <row r="2540">
      <c r="A2540" s="12">
        <v>2538.0</v>
      </c>
      <c r="B2540" s="13" t="s">
        <v>2424</v>
      </c>
      <c r="C2540" s="14">
        <v>18.0</v>
      </c>
      <c r="D2540" s="15" t="s">
        <v>5128</v>
      </c>
      <c r="E2540" s="16" t="s">
        <v>52</v>
      </c>
      <c r="F2540" s="13" t="s">
        <v>1162</v>
      </c>
      <c r="G2540" s="13" t="s">
        <v>1313</v>
      </c>
      <c r="H2540" s="13" t="s">
        <v>5158</v>
      </c>
      <c r="I2540" s="13" t="s">
        <v>63</v>
      </c>
      <c r="J2540" s="17" t="s">
        <v>71</v>
      </c>
      <c r="K2540" s="17" t="s">
        <v>58</v>
      </c>
      <c r="L2540" s="18" t="s">
        <v>52</v>
      </c>
      <c r="M2540" s="19">
        <v>62.0</v>
      </c>
      <c r="N2540" s="19">
        <v>31.0</v>
      </c>
    </row>
    <row r="2541">
      <c r="A2541" s="12">
        <v>2539.0</v>
      </c>
      <c r="B2541" s="13" t="s">
        <v>2424</v>
      </c>
      <c r="C2541" s="14">
        <v>19.0</v>
      </c>
      <c r="D2541" s="15" t="s">
        <v>5128</v>
      </c>
      <c r="E2541" s="16" t="s">
        <v>52</v>
      </c>
      <c r="F2541" s="13" t="s">
        <v>4842</v>
      </c>
      <c r="G2541" s="13" t="s">
        <v>5159</v>
      </c>
      <c r="H2541" s="13" t="s">
        <v>5161</v>
      </c>
      <c r="I2541" s="13" t="s">
        <v>63</v>
      </c>
      <c r="J2541" s="17" t="s">
        <v>71</v>
      </c>
      <c r="K2541" s="17" t="s">
        <v>58</v>
      </c>
      <c r="L2541" s="18" t="s">
        <v>52</v>
      </c>
      <c r="M2541" s="19">
        <v>62.0</v>
      </c>
      <c r="N2541" s="19">
        <v>31.0</v>
      </c>
    </row>
    <row r="2542">
      <c r="A2542" s="12">
        <v>2540.0</v>
      </c>
      <c r="B2542" s="13" t="s">
        <v>2424</v>
      </c>
      <c r="C2542" s="14">
        <v>20.0</v>
      </c>
      <c r="D2542" s="15" t="s">
        <v>5128</v>
      </c>
      <c r="E2542" s="16" t="s">
        <v>52</v>
      </c>
      <c r="F2542" s="13" t="s">
        <v>1512</v>
      </c>
      <c r="G2542" s="13" t="s">
        <v>61</v>
      </c>
      <c r="H2542" s="13" t="s">
        <v>5163</v>
      </c>
      <c r="I2542" s="13" t="s">
        <v>63</v>
      </c>
      <c r="J2542" s="17" t="s">
        <v>71</v>
      </c>
      <c r="K2542" s="17" t="s">
        <v>58</v>
      </c>
      <c r="L2542" s="18" t="s">
        <v>52</v>
      </c>
      <c r="M2542" s="19">
        <v>62.0</v>
      </c>
      <c r="N2542" s="19">
        <v>31.0</v>
      </c>
    </row>
    <row r="2543">
      <c r="A2543" s="12">
        <v>2541.0</v>
      </c>
      <c r="B2543" s="13" t="s">
        <v>2424</v>
      </c>
      <c r="C2543" s="14">
        <v>21.0</v>
      </c>
      <c r="D2543" s="15" t="s">
        <v>5128</v>
      </c>
      <c r="E2543" s="16" t="s">
        <v>52</v>
      </c>
      <c r="F2543" s="13" t="s">
        <v>3410</v>
      </c>
      <c r="G2543" s="13" t="s">
        <v>5084</v>
      </c>
      <c r="H2543" s="13" t="s">
        <v>5165</v>
      </c>
      <c r="I2543" s="13" t="s">
        <v>63</v>
      </c>
      <c r="J2543" s="17" t="s">
        <v>71</v>
      </c>
      <c r="K2543" s="17" t="s">
        <v>58</v>
      </c>
      <c r="L2543" s="18" t="s">
        <v>52</v>
      </c>
      <c r="M2543" s="19">
        <v>62.0</v>
      </c>
      <c r="N2543" s="19">
        <v>31.0</v>
      </c>
    </row>
    <row r="2544">
      <c r="A2544" s="12">
        <v>2542.0</v>
      </c>
      <c r="B2544" s="13" t="s">
        <v>2424</v>
      </c>
      <c r="C2544" s="14">
        <v>22.0</v>
      </c>
      <c r="D2544" s="15" t="s">
        <v>5128</v>
      </c>
      <c r="E2544" s="16" t="s">
        <v>52</v>
      </c>
      <c r="F2544" s="13" t="s">
        <v>3485</v>
      </c>
      <c r="G2544" s="13" t="s">
        <v>61</v>
      </c>
      <c r="H2544" s="13" t="s">
        <v>5167</v>
      </c>
      <c r="I2544" s="13" t="s">
        <v>63</v>
      </c>
      <c r="J2544" s="17" t="s">
        <v>71</v>
      </c>
      <c r="K2544" s="17" t="s">
        <v>58</v>
      </c>
      <c r="L2544" s="18" t="s">
        <v>52</v>
      </c>
      <c r="M2544" s="19">
        <v>62.0</v>
      </c>
      <c r="N2544" s="19">
        <v>31.0</v>
      </c>
    </row>
    <row r="2545">
      <c r="A2545" s="12">
        <v>2543.0</v>
      </c>
      <c r="B2545" s="13" t="s">
        <v>2424</v>
      </c>
      <c r="C2545" s="14">
        <v>23.0</v>
      </c>
      <c r="D2545" s="15" t="s">
        <v>5128</v>
      </c>
      <c r="E2545" s="16" t="s">
        <v>52</v>
      </c>
      <c r="F2545" s="13" t="s">
        <v>1722</v>
      </c>
      <c r="G2545" s="13" t="s">
        <v>5168</v>
      </c>
      <c r="H2545" s="13" t="s">
        <v>5169</v>
      </c>
      <c r="I2545" s="13" t="s">
        <v>63</v>
      </c>
      <c r="J2545" s="17" t="s">
        <v>71</v>
      </c>
      <c r="K2545" s="17" t="s">
        <v>58</v>
      </c>
      <c r="L2545" s="18" t="s">
        <v>52</v>
      </c>
      <c r="M2545" s="19">
        <v>62.0</v>
      </c>
      <c r="N2545" s="19">
        <v>31.0</v>
      </c>
    </row>
    <row r="2546">
      <c r="A2546" s="12">
        <v>2544.0</v>
      </c>
      <c r="B2546" s="13" t="s">
        <v>2424</v>
      </c>
      <c r="C2546" s="14">
        <v>24.0</v>
      </c>
      <c r="D2546" s="15" t="s">
        <v>5128</v>
      </c>
      <c r="E2546" s="16" t="s">
        <v>52</v>
      </c>
      <c r="F2546" s="13" t="s">
        <v>3528</v>
      </c>
      <c r="G2546" s="13" t="s">
        <v>4460</v>
      </c>
      <c r="H2546" s="13" t="s">
        <v>5171</v>
      </c>
      <c r="I2546" s="13" t="s">
        <v>63</v>
      </c>
      <c r="J2546" s="17" t="s">
        <v>71</v>
      </c>
      <c r="K2546" s="17" t="s">
        <v>58</v>
      </c>
      <c r="L2546" s="18" t="s">
        <v>52</v>
      </c>
      <c r="M2546" s="19">
        <v>62.0</v>
      </c>
      <c r="N2546" s="19">
        <v>31.0</v>
      </c>
    </row>
    <row r="2547">
      <c r="A2547" s="12">
        <v>2545.0</v>
      </c>
      <c r="B2547" s="13" t="s">
        <v>2424</v>
      </c>
      <c r="C2547" s="14">
        <v>25.0</v>
      </c>
      <c r="D2547" s="15" t="s">
        <v>5128</v>
      </c>
      <c r="E2547" s="16" t="s">
        <v>52</v>
      </c>
      <c r="F2547" s="13" t="s">
        <v>5172</v>
      </c>
      <c r="G2547" s="13" t="s">
        <v>61</v>
      </c>
      <c r="H2547" s="13" t="s">
        <v>5173</v>
      </c>
      <c r="I2547" s="13" t="s">
        <v>63</v>
      </c>
      <c r="J2547" s="17" t="s">
        <v>71</v>
      </c>
      <c r="K2547" s="17" t="s">
        <v>58</v>
      </c>
      <c r="L2547" s="18" t="s">
        <v>52</v>
      </c>
      <c r="M2547" s="19">
        <v>62.0</v>
      </c>
      <c r="N2547" s="19">
        <v>31.0</v>
      </c>
    </row>
    <row r="2548">
      <c r="A2548" s="12">
        <v>2546.0</v>
      </c>
      <c r="B2548" s="13" t="s">
        <v>2424</v>
      </c>
      <c r="C2548" s="14">
        <v>26.0</v>
      </c>
      <c r="D2548" s="15" t="s">
        <v>5128</v>
      </c>
      <c r="E2548" s="16" t="s">
        <v>52</v>
      </c>
      <c r="F2548" s="13" t="s">
        <v>2851</v>
      </c>
      <c r="G2548" s="13" t="s">
        <v>5174</v>
      </c>
      <c r="H2548" s="13" t="s">
        <v>5175</v>
      </c>
      <c r="I2548" s="13" t="s">
        <v>63</v>
      </c>
      <c r="J2548" s="17" t="s">
        <v>71</v>
      </c>
      <c r="K2548" s="17" t="s">
        <v>58</v>
      </c>
      <c r="L2548" s="18" t="s">
        <v>52</v>
      </c>
      <c r="M2548" s="19">
        <v>62.0</v>
      </c>
      <c r="N2548" s="19">
        <v>31.0</v>
      </c>
    </row>
    <row r="2549">
      <c r="A2549" s="12">
        <v>2547.0</v>
      </c>
      <c r="B2549" s="13" t="s">
        <v>2424</v>
      </c>
      <c r="C2549" s="14">
        <v>27.0</v>
      </c>
      <c r="D2549" s="15" t="s">
        <v>5128</v>
      </c>
      <c r="E2549" s="16" t="s">
        <v>52</v>
      </c>
      <c r="F2549" s="13" t="s">
        <v>1677</v>
      </c>
      <c r="G2549" s="13" t="s">
        <v>5176</v>
      </c>
      <c r="H2549" s="13" t="s">
        <v>5177</v>
      </c>
      <c r="I2549" s="13" t="s">
        <v>63</v>
      </c>
      <c r="J2549" s="17" t="s">
        <v>71</v>
      </c>
      <c r="K2549" s="17" t="s">
        <v>58</v>
      </c>
      <c r="L2549" s="18" t="s">
        <v>52</v>
      </c>
      <c r="M2549" s="19">
        <v>62.0</v>
      </c>
      <c r="N2549" s="19">
        <v>31.0</v>
      </c>
    </row>
    <row r="2550">
      <c r="A2550" s="12">
        <v>2548.0</v>
      </c>
      <c r="B2550" s="13" t="s">
        <v>2424</v>
      </c>
      <c r="C2550" s="14">
        <v>28.0</v>
      </c>
      <c r="D2550" s="15" t="s">
        <v>5128</v>
      </c>
      <c r="E2550" s="16" t="s">
        <v>52</v>
      </c>
      <c r="F2550" s="13" t="s">
        <v>1255</v>
      </c>
      <c r="G2550" s="13" t="s">
        <v>5178</v>
      </c>
      <c r="H2550" s="13" t="s">
        <v>5179</v>
      </c>
      <c r="I2550" s="13" t="s">
        <v>63</v>
      </c>
      <c r="J2550" s="17" t="s">
        <v>71</v>
      </c>
      <c r="K2550" s="17" t="s">
        <v>58</v>
      </c>
      <c r="L2550" s="18" t="s">
        <v>52</v>
      </c>
      <c r="M2550" s="19">
        <v>62.0</v>
      </c>
      <c r="N2550" s="19">
        <v>31.0</v>
      </c>
    </row>
    <row r="2551">
      <c r="A2551" s="12">
        <v>2549.0</v>
      </c>
      <c r="B2551" s="13" t="s">
        <v>2424</v>
      </c>
      <c r="C2551" s="14">
        <v>29.0</v>
      </c>
      <c r="D2551" s="15" t="s">
        <v>5128</v>
      </c>
      <c r="E2551" s="16" t="s">
        <v>52</v>
      </c>
      <c r="F2551" s="13" t="s">
        <v>3533</v>
      </c>
      <c r="G2551" s="13" t="s">
        <v>5181</v>
      </c>
      <c r="H2551" s="13" t="s">
        <v>5182</v>
      </c>
      <c r="I2551" s="13" t="s">
        <v>63</v>
      </c>
      <c r="J2551" s="17" t="s">
        <v>71</v>
      </c>
      <c r="K2551" s="17" t="s">
        <v>58</v>
      </c>
      <c r="L2551" s="18" t="s">
        <v>52</v>
      </c>
      <c r="M2551" s="19">
        <v>62.0</v>
      </c>
      <c r="N2551" s="19">
        <v>31.0</v>
      </c>
    </row>
    <row r="2552">
      <c r="A2552" s="12">
        <v>2550.0</v>
      </c>
      <c r="B2552" s="13" t="s">
        <v>2424</v>
      </c>
      <c r="C2552" s="14">
        <v>30.0</v>
      </c>
      <c r="D2552" s="15" t="s">
        <v>5128</v>
      </c>
      <c r="E2552" s="16" t="s">
        <v>52</v>
      </c>
      <c r="F2552" s="13" t="s">
        <v>3464</v>
      </c>
      <c r="G2552" s="13" t="s">
        <v>3465</v>
      </c>
      <c r="H2552" s="13" t="s">
        <v>5184</v>
      </c>
      <c r="I2552" s="13" t="s">
        <v>63</v>
      </c>
      <c r="J2552" s="17" t="s">
        <v>71</v>
      </c>
      <c r="K2552" s="17" t="s">
        <v>58</v>
      </c>
      <c r="L2552" s="18" t="s">
        <v>52</v>
      </c>
      <c r="M2552" s="19">
        <v>62.0</v>
      </c>
      <c r="N2552" s="19">
        <v>31.0</v>
      </c>
    </row>
    <row r="2553">
      <c r="A2553" s="12">
        <v>2551.0</v>
      </c>
      <c r="B2553" s="13" t="s">
        <v>3498</v>
      </c>
      <c r="C2553" s="14">
        <v>1.0</v>
      </c>
      <c r="D2553" s="15" t="s">
        <v>5185</v>
      </c>
      <c r="E2553" s="16" t="s">
        <v>52</v>
      </c>
      <c r="F2553" s="13" t="s">
        <v>3339</v>
      </c>
      <c r="G2553" s="13" t="s">
        <v>61</v>
      </c>
      <c r="H2553" s="13" t="s">
        <v>5186</v>
      </c>
      <c r="I2553" s="13" t="s">
        <v>56</v>
      </c>
      <c r="J2553" s="17" t="s">
        <v>57</v>
      </c>
      <c r="K2553" s="17" t="s">
        <v>58</v>
      </c>
      <c r="L2553" s="18" t="s">
        <v>52</v>
      </c>
      <c r="M2553" s="19">
        <v>63.0</v>
      </c>
      <c r="N2553" s="19">
        <v>10.0</v>
      </c>
    </row>
    <row r="2554">
      <c r="A2554" s="12">
        <v>2552.0</v>
      </c>
      <c r="B2554" s="13" t="s">
        <v>3498</v>
      </c>
      <c r="C2554" s="14">
        <v>2.0</v>
      </c>
      <c r="D2554" s="15" t="s">
        <v>5185</v>
      </c>
      <c r="E2554" s="16" t="s">
        <v>52</v>
      </c>
      <c r="F2554" s="13" t="s">
        <v>4934</v>
      </c>
      <c r="G2554" s="13" t="s">
        <v>61</v>
      </c>
      <c r="H2554" s="13" t="s">
        <v>5187</v>
      </c>
      <c r="I2554" s="13" t="s">
        <v>56</v>
      </c>
      <c r="J2554" s="17" t="s">
        <v>57</v>
      </c>
      <c r="K2554" s="17" t="s">
        <v>58</v>
      </c>
      <c r="L2554" s="18" t="s">
        <v>52</v>
      </c>
      <c r="M2554" s="19">
        <v>63.0</v>
      </c>
      <c r="N2554" s="19">
        <v>10.0</v>
      </c>
    </row>
    <row r="2555">
      <c r="A2555" s="12">
        <v>2553.0</v>
      </c>
      <c r="B2555" s="13" t="s">
        <v>3498</v>
      </c>
      <c r="C2555" s="14">
        <v>3.0</v>
      </c>
      <c r="D2555" s="15" t="s">
        <v>5185</v>
      </c>
      <c r="E2555" s="16" t="s">
        <v>52</v>
      </c>
      <c r="F2555" s="13" t="s">
        <v>4694</v>
      </c>
      <c r="G2555" s="13" t="s">
        <v>61</v>
      </c>
      <c r="H2555" s="13" t="s">
        <v>5188</v>
      </c>
      <c r="I2555" s="13" t="s">
        <v>56</v>
      </c>
      <c r="J2555" s="17" t="s">
        <v>57</v>
      </c>
      <c r="K2555" s="17" t="s">
        <v>58</v>
      </c>
      <c r="L2555" s="18" t="s">
        <v>52</v>
      </c>
      <c r="M2555" s="19">
        <v>63.0</v>
      </c>
      <c r="N2555" s="19">
        <v>10.0</v>
      </c>
    </row>
    <row r="2556">
      <c r="A2556" s="12">
        <v>2554.0</v>
      </c>
      <c r="B2556" s="13" t="s">
        <v>3498</v>
      </c>
      <c r="C2556" s="14">
        <v>4.0</v>
      </c>
      <c r="D2556" s="15" t="s">
        <v>5185</v>
      </c>
      <c r="E2556" s="16" t="s">
        <v>52</v>
      </c>
      <c r="F2556" s="13" t="s">
        <v>1884</v>
      </c>
      <c r="G2556" s="13" t="s">
        <v>61</v>
      </c>
      <c r="H2556" s="13" t="s">
        <v>5189</v>
      </c>
      <c r="I2556" s="13" t="s">
        <v>56</v>
      </c>
      <c r="J2556" s="17" t="s">
        <v>67</v>
      </c>
      <c r="K2556" s="17" t="s">
        <v>58</v>
      </c>
      <c r="L2556" s="18" t="s">
        <v>52</v>
      </c>
      <c r="M2556" s="19">
        <v>63.0</v>
      </c>
      <c r="N2556" s="19">
        <v>20.0</v>
      </c>
    </row>
    <row r="2557">
      <c r="A2557" s="12">
        <v>2555.0</v>
      </c>
      <c r="B2557" s="13" t="s">
        <v>3498</v>
      </c>
      <c r="C2557" s="14">
        <v>5.0</v>
      </c>
      <c r="D2557" s="15" t="s">
        <v>5185</v>
      </c>
      <c r="E2557" s="16" t="s">
        <v>52</v>
      </c>
      <c r="F2557" s="13" t="s">
        <v>2385</v>
      </c>
      <c r="G2557" s="13" t="s">
        <v>5190</v>
      </c>
      <c r="H2557" s="13" t="s">
        <v>5191</v>
      </c>
      <c r="I2557" s="13" t="s">
        <v>56</v>
      </c>
      <c r="J2557" s="17" t="s">
        <v>67</v>
      </c>
      <c r="K2557" s="17" t="s">
        <v>58</v>
      </c>
      <c r="L2557" s="18" t="s">
        <v>52</v>
      </c>
      <c r="M2557" s="19">
        <v>63.0</v>
      </c>
      <c r="N2557" s="19">
        <v>20.0</v>
      </c>
    </row>
    <row r="2558">
      <c r="A2558" s="12">
        <v>2556.0</v>
      </c>
      <c r="B2558" s="13" t="s">
        <v>3498</v>
      </c>
      <c r="C2558" s="14">
        <v>6.0</v>
      </c>
      <c r="D2558" s="15" t="s">
        <v>5185</v>
      </c>
      <c r="E2558" s="16" t="s">
        <v>52</v>
      </c>
      <c r="F2558" s="13" t="s">
        <v>1512</v>
      </c>
      <c r="G2558" s="13" t="s">
        <v>61</v>
      </c>
      <c r="H2558" s="13" t="s">
        <v>5163</v>
      </c>
      <c r="I2558" s="13" t="s">
        <v>56</v>
      </c>
      <c r="J2558" s="17" t="s">
        <v>67</v>
      </c>
      <c r="K2558" s="17" t="s">
        <v>58</v>
      </c>
      <c r="L2558" s="18" t="s">
        <v>52</v>
      </c>
      <c r="M2558" s="19">
        <v>63.0</v>
      </c>
      <c r="N2558" s="19">
        <v>20.0</v>
      </c>
    </row>
    <row r="2559">
      <c r="A2559" s="12">
        <v>2557.0</v>
      </c>
      <c r="B2559" s="13" t="s">
        <v>3498</v>
      </c>
      <c r="C2559" s="14">
        <v>7.0</v>
      </c>
      <c r="D2559" s="15" t="s">
        <v>5185</v>
      </c>
      <c r="E2559" s="16" t="s">
        <v>52</v>
      </c>
      <c r="F2559" s="13" t="s">
        <v>2424</v>
      </c>
      <c r="G2559" s="13" t="s">
        <v>5192</v>
      </c>
      <c r="H2559" s="13" t="s">
        <v>5193</v>
      </c>
      <c r="I2559" s="13" t="s">
        <v>56</v>
      </c>
      <c r="J2559" s="17" t="s">
        <v>67</v>
      </c>
      <c r="K2559" s="17" t="s">
        <v>58</v>
      </c>
      <c r="L2559" s="18" t="s">
        <v>52</v>
      </c>
      <c r="M2559" s="19">
        <v>63.0</v>
      </c>
      <c r="N2559" s="19">
        <v>20.0</v>
      </c>
    </row>
    <row r="2560">
      <c r="A2560" s="12">
        <v>2558.0</v>
      </c>
      <c r="B2560" s="13" t="s">
        <v>3498</v>
      </c>
      <c r="C2560" s="14">
        <v>8.0</v>
      </c>
      <c r="D2560" s="15" t="s">
        <v>5185</v>
      </c>
      <c r="E2560" s="16" t="s">
        <v>52</v>
      </c>
      <c r="F2560" s="13" t="s">
        <v>5194</v>
      </c>
      <c r="G2560" s="13" t="s">
        <v>5195</v>
      </c>
      <c r="H2560" s="13" t="s">
        <v>5196</v>
      </c>
      <c r="I2560" s="13" t="s">
        <v>56</v>
      </c>
      <c r="J2560" s="17" t="s">
        <v>67</v>
      </c>
      <c r="K2560" s="17" t="s">
        <v>58</v>
      </c>
      <c r="L2560" s="18" t="s">
        <v>52</v>
      </c>
      <c r="M2560" s="19">
        <v>63.0</v>
      </c>
      <c r="N2560" s="19">
        <v>20.0</v>
      </c>
    </row>
    <row r="2561">
      <c r="A2561" s="12">
        <v>2559.0</v>
      </c>
      <c r="B2561" s="13" t="s">
        <v>3498</v>
      </c>
      <c r="C2561" s="14">
        <v>9.0</v>
      </c>
      <c r="D2561" s="15" t="s">
        <v>5185</v>
      </c>
      <c r="E2561" s="16" t="s">
        <v>52</v>
      </c>
      <c r="F2561" s="13" t="s">
        <v>3467</v>
      </c>
      <c r="G2561" s="13" t="s">
        <v>3468</v>
      </c>
      <c r="H2561" s="13" t="s">
        <v>5197</v>
      </c>
      <c r="I2561" s="13" t="s">
        <v>56</v>
      </c>
      <c r="J2561" s="17" t="s">
        <v>71</v>
      </c>
      <c r="K2561" s="17" t="s">
        <v>58</v>
      </c>
      <c r="L2561" s="18" t="s">
        <v>52</v>
      </c>
      <c r="M2561" s="19">
        <v>63.0</v>
      </c>
      <c r="N2561" s="19">
        <v>30.0</v>
      </c>
    </row>
    <row r="2562">
      <c r="A2562" s="12">
        <v>2560.0</v>
      </c>
      <c r="B2562" s="13" t="s">
        <v>3498</v>
      </c>
      <c r="C2562" s="14">
        <v>10.0</v>
      </c>
      <c r="D2562" s="15" t="s">
        <v>5185</v>
      </c>
      <c r="E2562" s="16" t="s">
        <v>52</v>
      </c>
      <c r="F2562" s="13" t="s">
        <v>2759</v>
      </c>
      <c r="G2562" s="13" t="s">
        <v>61</v>
      </c>
      <c r="H2562" s="13" t="s">
        <v>5198</v>
      </c>
      <c r="I2562" s="13" t="s">
        <v>56</v>
      </c>
      <c r="J2562" s="17" t="s">
        <v>71</v>
      </c>
      <c r="K2562" s="17" t="s">
        <v>58</v>
      </c>
      <c r="L2562" s="18" t="s">
        <v>52</v>
      </c>
      <c r="M2562" s="19">
        <v>63.0</v>
      </c>
      <c r="N2562" s="19">
        <v>30.0</v>
      </c>
    </row>
    <row r="2563">
      <c r="A2563" s="12">
        <v>2561.0</v>
      </c>
      <c r="B2563" s="13" t="s">
        <v>3498</v>
      </c>
      <c r="C2563" s="14">
        <v>11.0</v>
      </c>
      <c r="D2563" s="15" t="s">
        <v>5185</v>
      </c>
      <c r="E2563" s="16" t="s">
        <v>52</v>
      </c>
      <c r="F2563" s="13" t="s">
        <v>2804</v>
      </c>
      <c r="G2563" s="13" t="s">
        <v>4814</v>
      </c>
      <c r="H2563" s="13" t="s">
        <v>5199</v>
      </c>
      <c r="I2563" s="13" t="s">
        <v>56</v>
      </c>
      <c r="J2563" s="17" t="s">
        <v>71</v>
      </c>
      <c r="K2563" s="17" t="s">
        <v>58</v>
      </c>
      <c r="L2563" s="18" t="s">
        <v>52</v>
      </c>
      <c r="M2563" s="19">
        <v>63.0</v>
      </c>
      <c r="N2563" s="19">
        <v>30.0</v>
      </c>
    </row>
    <row r="2564">
      <c r="A2564" s="12">
        <v>2562.0</v>
      </c>
      <c r="B2564" s="13" t="s">
        <v>3498</v>
      </c>
      <c r="C2564" s="14">
        <v>12.0</v>
      </c>
      <c r="D2564" s="15" t="s">
        <v>5185</v>
      </c>
      <c r="E2564" s="16" t="s">
        <v>52</v>
      </c>
      <c r="F2564" s="13" t="s">
        <v>2793</v>
      </c>
      <c r="G2564" s="13" t="s">
        <v>4482</v>
      </c>
      <c r="H2564" s="13" t="s">
        <v>5200</v>
      </c>
      <c r="I2564" s="13" t="s">
        <v>56</v>
      </c>
      <c r="J2564" s="17" t="s">
        <v>71</v>
      </c>
      <c r="K2564" s="17" t="s">
        <v>58</v>
      </c>
      <c r="L2564" s="18" t="s">
        <v>52</v>
      </c>
      <c r="M2564" s="19">
        <v>63.0</v>
      </c>
      <c r="N2564" s="19">
        <v>30.0</v>
      </c>
    </row>
    <row r="2565">
      <c r="A2565" s="12">
        <v>2563.0</v>
      </c>
      <c r="B2565" s="13" t="s">
        <v>3498</v>
      </c>
      <c r="C2565" s="14">
        <v>13.0</v>
      </c>
      <c r="D2565" s="15" t="s">
        <v>5185</v>
      </c>
      <c r="E2565" s="16" t="s">
        <v>52</v>
      </c>
      <c r="F2565" s="13" t="s">
        <v>1159</v>
      </c>
      <c r="G2565" s="13" t="s">
        <v>5202</v>
      </c>
      <c r="H2565" s="13" t="s">
        <v>5203</v>
      </c>
      <c r="I2565" s="13" t="s">
        <v>56</v>
      </c>
      <c r="J2565" s="17" t="s">
        <v>71</v>
      </c>
      <c r="K2565" s="17" t="s">
        <v>58</v>
      </c>
      <c r="L2565" s="18" t="s">
        <v>52</v>
      </c>
      <c r="M2565" s="19">
        <v>63.0</v>
      </c>
      <c r="N2565" s="19">
        <v>30.0</v>
      </c>
    </row>
    <row r="2566">
      <c r="A2566" s="12">
        <v>2564.0</v>
      </c>
      <c r="B2566" s="13" t="s">
        <v>3498</v>
      </c>
      <c r="C2566" s="14">
        <v>14.0</v>
      </c>
      <c r="D2566" s="15" t="s">
        <v>5185</v>
      </c>
      <c r="E2566" s="16" t="s">
        <v>52</v>
      </c>
      <c r="F2566" s="13" t="s">
        <v>3471</v>
      </c>
      <c r="G2566" s="13" t="s">
        <v>5204</v>
      </c>
      <c r="H2566" s="13" t="s">
        <v>5205</v>
      </c>
      <c r="I2566" s="13" t="s">
        <v>56</v>
      </c>
      <c r="J2566" s="17" t="s">
        <v>71</v>
      </c>
      <c r="K2566" s="17" t="s">
        <v>58</v>
      </c>
      <c r="L2566" s="18" t="s">
        <v>52</v>
      </c>
      <c r="M2566" s="19">
        <v>63.0</v>
      </c>
      <c r="N2566" s="19">
        <v>30.0</v>
      </c>
    </row>
    <row r="2567">
      <c r="A2567" s="12">
        <v>2565.0</v>
      </c>
      <c r="B2567" s="13" t="s">
        <v>3498</v>
      </c>
      <c r="C2567" s="14">
        <v>15.0</v>
      </c>
      <c r="D2567" s="15" t="s">
        <v>5185</v>
      </c>
      <c r="E2567" s="16" t="s">
        <v>52</v>
      </c>
      <c r="F2567" s="13" t="s">
        <v>1701</v>
      </c>
      <c r="G2567" s="13" t="s">
        <v>5206</v>
      </c>
      <c r="H2567" s="13" t="s">
        <v>5207</v>
      </c>
      <c r="I2567" s="13" t="s">
        <v>56</v>
      </c>
      <c r="J2567" s="17" t="s">
        <v>71</v>
      </c>
      <c r="K2567" s="17" t="s">
        <v>58</v>
      </c>
      <c r="L2567" s="18" t="s">
        <v>52</v>
      </c>
      <c r="M2567" s="19">
        <v>63.0</v>
      </c>
      <c r="N2567" s="19">
        <v>30.0</v>
      </c>
    </row>
    <row r="2568">
      <c r="A2568" s="12">
        <v>2566.0</v>
      </c>
      <c r="B2568" s="13" t="s">
        <v>3498</v>
      </c>
      <c r="C2568" s="14">
        <v>16.0</v>
      </c>
      <c r="D2568" s="15" t="s">
        <v>5185</v>
      </c>
      <c r="E2568" s="16" t="s">
        <v>52</v>
      </c>
      <c r="F2568" s="13" t="s">
        <v>3528</v>
      </c>
      <c r="G2568" s="13" t="s">
        <v>3529</v>
      </c>
      <c r="H2568" s="13" t="s">
        <v>5208</v>
      </c>
      <c r="I2568" s="13" t="s">
        <v>63</v>
      </c>
      <c r="J2568" s="17" t="s">
        <v>71</v>
      </c>
      <c r="K2568" s="17" t="s">
        <v>58</v>
      </c>
      <c r="L2568" s="18" t="s">
        <v>52</v>
      </c>
      <c r="M2568" s="19">
        <v>63.0</v>
      </c>
      <c r="N2568" s="19">
        <v>31.0</v>
      </c>
    </row>
    <row r="2569">
      <c r="A2569" s="12">
        <v>2567.0</v>
      </c>
      <c r="B2569" s="13" t="s">
        <v>3498</v>
      </c>
      <c r="C2569" s="14">
        <v>17.0</v>
      </c>
      <c r="D2569" s="15" t="s">
        <v>5185</v>
      </c>
      <c r="E2569" s="16" t="s">
        <v>52</v>
      </c>
      <c r="F2569" s="13" t="s">
        <v>4670</v>
      </c>
      <c r="G2569" s="13" t="s">
        <v>61</v>
      </c>
      <c r="H2569" s="13" t="s">
        <v>5209</v>
      </c>
      <c r="I2569" s="13" t="s">
        <v>63</v>
      </c>
      <c r="J2569" s="17" t="s">
        <v>71</v>
      </c>
      <c r="K2569" s="17" t="s">
        <v>58</v>
      </c>
      <c r="L2569" s="18" t="s">
        <v>52</v>
      </c>
      <c r="M2569" s="19">
        <v>63.0</v>
      </c>
      <c r="N2569" s="19">
        <v>31.0</v>
      </c>
    </row>
    <row r="2570">
      <c r="A2570" s="12">
        <v>2568.0</v>
      </c>
      <c r="B2570" s="13" t="s">
        <v>3498</v>
      </c>
      <c r="C2570" s="14">
        <v>18.0</v>
      </c>
      <c r="D2570" s="15" t="s">
        <v>5185</v>
      </c>
      <c r="E2570" s="16" t="s">
        <v>52</v>
      </c>
      <c r="F2570" s="13" t="s">
        <v>4911</v>
      </c>
      <c r="G2570" s="13" t="s">
        <v>5210</v>
      </c>
      <c r="H2570" s="13" t="s">
        <v>5211</v>
      </c>
      <c r="I2570" s="13" t="s">
        <v>63</v>
      </c>
      <c r="J2570" s="17" t="s">
        <v>71</v>
      </c>
      <c r="K2570" s="17" t="s">
        <v>58</v>
      </c>
      <c r="L2570" s="18" t="s">
        <v>52</v>
      </c>
      <c r="M2570" s="19">
        <v>63.0</v>
      </c>
      <c r="N2570" s="19">
        <v>31.0</v>
      </c>
    </row>
    <row r="2571">
      <c r="A2571" s="12">
        <v>2569.0</v>
      </c>
      <c r="B2571" s="13" t="s">
        <v>3498</v>
      </c>
      <c r="C2571" s="14">
        <v>19.0</v>
      </c>
      <c r="D2571" s="15" t="s">
        <v>5212</v>
      </c>
      <c r="E2571" s="16" t="s">
        <v>52</v>
      </c>
      <c r="F2571" s="13" t="s">
        <v>2796</v>
      </c>
      <c r="G2571" s="13" t="s">
        <v>4691</v>
      </c>
      <c r="H2571" s="13" t="s">
        <v>5213</v>
      </c>
      <c r="I2571" s="13" t="s">
        <v>63</v>
      </c>
      <c r="J2571" s="17" t="s">
        <v>71</v>
      </c>
      <c r="K2571" s="17" t="s">
        <v>58</v>
      </c>
      <c r="L2571" s="18" t="s">
        <v>52</v>
      </c>
      <c r="M2571" s="19">
        <v>63.0</v>
      </c>
      <c r="N2571" s="19">
        <v>31.0</v>
      </c>
    </row>
    <row r="2572">
      <c r="A2572" s="12">
        <v>2570.0</v>
      </c>
      <c r="B2572" s="13" t="s">
        <v>3498</v>
      </c>
      <c r="C2572" s="14">
        <v>20.0</v>
      </c>
      <c r="D2572" s="15" t="s">
        <v>5212</v>
      </c>
      <c r="E2572" s="16" t="s">
        <v>52</v>
      </c>
      <c r="F2572" s="13" t="s">
        <v>3453</v>
      </c>
      <c r="G2572" s="13" t="s">
        <v>61</v>
      </c>
      <c r="H2572" s="13" t="s">
        <v>5027</v>
      </c>
      <c r="I2572" s="13" t="s">
        <v>63</v>
      </c>
      <c r="J2572" s="17" t="s">
        <v>71</v>
      </c>
      <c r="K2572" s="17" t="s">
        <v>58</v>
      </c>
      <c r="L2572" s="18" t="s">
        <v>52</v>
      </c>
      <c r="M2572" s="19">
        <v>63.0</v>
      </c>
      <c r="N2572" s="19">
        <v>31.0</v>
      </c>
    </row>
    <row r="2573">
      <c r="A2573" s="12">
        <v>2571.0</v>
      </c>
      <c r="B2573" s="13" t="s">
        <v>3498</v>
      </c>
      <c r="C2573" s="14">
        <v>21.0</v>
      </c>
      <c r="D2573" s="15" t="s">
        <v>5212</v>
      </c>
      <c r="E2573" s="16" t="s">
        <v>52</v>
      </c>
      <c r="F2573" s="13" t="s">
        <v>1174</v>
      </c>
      <c r="G2573" s="13" t="s">
        <v>2704</v>
      </c>
      <c r="H2573" s="13" t="s">
        <v>5214</v>
      </c>
      <c r="I2573" s="13" t="s">
        <v>63</v>
      </c>
      <c r="J2573" s="17" t="s">
        <v>71</v>
      </c>
      <c r="K2573" s="17" t="s">
        <v>58</v>
      </c>
      <c r="L2573" s="18" t="s">
        <v>52</v>
      </c>
      <c r="M2573" s="19">
        <v>63.0</v>
      </c>
      <c r="N2573" s="19">
        <v>31.0</v>
      </c>
    </row>
    <row r="2574">
      <c r="A2574" s="12">
        <v>2572.0</v>
      </c>
      <c r="B2574" s="13" t="s">
        <v>3498</v>
      </c>
      <c r="C2574" s="14">
        <v>22.0</v>
      </c>
      <c r="D2574" s="15" t="s">
        <v>5212</v>
      </c>
      <c r="E2574" s="16" t="s">
        <v>52</v>
      </c>
      <c r="F2574" s="13" t="s">
        <v>1714</v>
      </c>
      <c r="G2574" s="13" t="s">
        <v>61</v>
      </c>
      <c r="H2574" s="13" t="s">
        <v>5215</v>
      </c>
      <c r="I2574" s="13" t="s">
        <v>63</v>
      </c>
      <c r="J2574" s="17" t="s">
        <v>71</v>
      </c>
      <c r="K2574" s="17" t="s">
        <v>58</v>
      </c>
      <c r="L2574" s="18" t="s">
        <v>52</v>
      </c>
      <c r="M2574" s="19">
        <v>63.0</v>
      </c>
      <c r="N2574" s="19">
        <v>31.0</v>
      </c>
    </row>
    <row r="2575">
      <c r="A2575" s="12">
        <v>2573.0</v>
      </c>
      <c r="B2575" s="13" t="s">
        <v>3498</v>
      </c>
      <c r="C2575" s="14">
        <v>23.0</v>
      </c>
      <c r="D2575" s="15" t="s">
        <v>5212</v>
      </c>
      <c r="E2575" s="16" t="s">
        <v>52</v>
      </c>
      <c r="F2575" s="13" t="s">
        <v>2262</v>
      </c>
      <c r="G2575" s="13" t="s">
        <v>5147</v>
      </c>
      <c r="H2575" s="13" t="s">
        <v>5216</v>
      </c>
      <c r="I2575" s="13" t="s">
        <v>63</v>
      </c>
      <c r="J2575" s="17" t="s">
        <v>71</v>
      </c>
      <c r="K2575" s="17" t="s">
        <v>58</v>
      </c>
      <c r="L2575" s="18" t="s">
        <v>52</v>
      </c>
      <c r="M2575" s="19">
        <v>63.0</v>
      </c>
      <c r="N2575" s="19">
        <v>31.0</v>
      </c>
    </row>
    <row r="2576">
      <c r="A2576" s="12">
        <v>2574.0</v>
      </c>
      <c r="B2576" s="13" t="s">
        <v>3498</v>
      </c>
      <c r="C2576" s="14">
        <v>24.0</v>
      </c>
      <c r="D2576" s="15" t="s">
        <v>5212</v>
      </c>
      <c r="E2576" s="16" t="s">
        <v>52</v>
      </c>
      <c r="F2576" s="13" t="s">
        <v>1665</v>
      </c>
      <c r="G2576" s="13" t="s">
        <v>61</v>
      </c>
      <c r="H2576" s="13" t="s">
        <v>5217</v>
      </c>
      <c r="I2576" s="13" t="s">
        <v>63</v>
      </c>
      <c r="J2576" s="17" t="s">
        <v>71</v>
      </c>
      <c r="K2576" s="17" t="s">
        <v>58</v>
      </c>
      <c r="L2576" s="18" t="s">
        <v>52</v>
      </c>
      <c r="M2576" s="19">
        <v>63.0</v>
      </c>
      <c r="N2576" s="19">
        <v>31.0</v>
      </c>
    </row>
    <row r="2577">
      <c r="A2577" s="12">
        <v>2575.0</v>
      </c>
      <c r="B2577" s="13" t="s">
        <v>3498</v>
      </c>
      <c r="C2577" s="14">
        <v>25.0</v>
      </c>
      <c r="D2577" s="15" t="s">
        <v>5212</v>
      </c>
      <c r="E2577" s="16" t="s">
        <v>52</v>
      </c>
      <c r="F2577" s="13" t="s">
        <v>1952</v>
      </c>
      <c r="G2577" s="13" t="s">
        <v>61</v>
      </c>
      <c r="H2577" s="13" t="s">
        <v>5218</v>
      </c>
      <c r="I2577" s="13" t="s">
        <v>63</v>
      </c>
      <c r="J2577" s="17" t="s">
        <v>71</v>
      </c>
      <c r="K2577" s="17" t="s">
        <v>58</v>
      </c>
      <c r="L2577" s="18" t="s">
        <v>52</v>
      </c>
      <c r="M2577" s="19">
        <v>63.0</v>
      </c>
      <c r="N2577" s="19">
        <v>31.0</v>
      </c>
    </row>
    <row r="2578">
      <c r="A2578" s="12">
        <v>2576.0</v>
      </c>
      <c r="B2578" s="13" t="s">
        <v>3498</v>
      </c>
      <c r="C2578" s="14">
        <v>26.0</v>
      </c>
      <c r="D2578" s="15" t="s">
        <v>5212</v>
      </c>
      <c r="E2578" s="16" t="s">
        <v>52</v>
      </c>
      <c r="F2578" s="13" t="s">
        <v>2657</v>
      </c>
      <c r="G2578" s="13" t="s">
        <v>61</v>
      </c>
      <c r="H2578" s="13" t="s">
        <v>5220</v>
      </c>
      <c r="I2578" s="13" t="s">
        <v>63</v>
      </c>
      <c r="J2578" s="17" t="s">
        <v>71</v>
      </c>
      <c r="K2578" s="17" t="s">
        <v>58</v>
      </c>
      <c r="L2578" s="18" t="s">
        <v>52</v>
      </c>
      <c r="M2578" s="19">
        <v>63.0</v>
      </c>
      <c r="N2578" s="19">
        <v>31.0</v>
      </c>
    </row>
    <row r="2579">
      <c r="A2579" s="12">
        <v>2577.0</v>
      </c>
      <c r="B2579" s="13" t="s">
        <v>3498</v>
      </c>
      <c r="C2579" s="14">
        <v>27.0</v>
      </c>
      <c r="D2579" s="15" t="s">
        <v>5212</v>
      </c>
      <c r="E2579" s="16" t="s">
        <v>52</v>
      </c>
      <c r="F2579" s="13" t="s">
        <v>1716</v>
      </c>
      <c r="G2579" s="13" t="s">
        <v>61</v>
      </c>
      <c r="H2579" s="13" t="s">
        <v>5222</v>
      </c>
      <c r="I2579" s="13" t="s">
        <v>63</v>
      </c>
      <c r="J2579" s="17" t="s">
        <v>71</v>
      </c>
      <c r="K2579" s="17" t="s">
        <v>58</v>
      </c>
      <c r="L2579" s="18" t="s">
        <v>52</v>
      </c>
      <c r="M2579" s="19">
        <v>63.0</v>
      </c>
      <c r="N2579" s="19">
        <v>31.0</v>
      </c>
    </row>
    <row r="2580">
      <c r="A2580" s="12">
        <v>2578.0</v>
      </c>
      <c r="B2580" s="13" t="s">
        <v>3498</v>
      </c>
      <c r="C2580" s="14">
        <v>28.0</v>
      </c>
      <c r="D2580" s="15" t="s">
        <v>5212</v>
      </c>
      <c r="E2580" s="16" t="s">
        <v>52</v>
      </c>
      <c r="F2580" s="13" t="s">
        <v>1669</v>
      </c>
      <c r="G2580" s="13" t="s">
        <v>61</v>
      </c>
      <c r="H2580" s="13" t="s">
        <v>5224</v>
      </c>
      <c r="I2580" s="13" t="s">
        <v>63</v>
      </c>
      <c r="J2580" s="17" t="s">
        <v>71</v>
      </c>
      <c r="K2580" s="17" t="s">
        <v>58</v>
      </c>
      <c r="L2580" s="18" t="s">
        <v>52</v>
      </c>
      <c r="M2580" s="19">
        <v>63.0</v>
      </c>
      <c r="N2580" s="19">
        <v>31.0</v>
      </c>
    </row>
    <row r="2581">
      <c r="A2581" s="12">
        <v>2579.0</v>
      </c>
      <c r="B2581" s="13" t="s">
        <v>3498</v>
      </c>
      <c r="C2581" s="14">
        <v>29.0</v>
      </c>
      <c r="D2581" s="15" t="s">
        <v>5212</v>
      </c>
      <c r="E2581" s="16" t="s">
        <v>52</v>
      </c>
      <c r="F2581" s="13" t="s">
        <v>3450</v>
      </c>
      <c r="G2581" s="13" t="s">
        <v>61</v>
      </c>
      <c r="H2581" s="13" t="s">
        <v>5226</v>
      </c>
      <c r="I2581" s="13" t="s">
        <v>63</v>
      </c>
      <c r="J2581" s="17" t="s">
        <v>71</v>
      </c>
      <c r="K2581" s="17" t="s">
        <v>58</v>
      </c>
      <c r="L2581" s="18" t="s">
        <v>52</v>
      </c>
      <c r="M2581" s="19">
        <v>63.0</v>
      </c>
      <c r="N2581" s="19">
        <v>31.0</v>
      </c>
    </row>
    <row r="2582">
      <c r="A2582" s="12">
        <v>2580.0</v>
      </c>
      <c r="B2582" s="13" t="s">
        <v>3498</v>
      </c>
      <c r="C2582" s="14">
        <v>30.0</v>
      </c>
      <c r="D2582" s="15" t="s">
        <v>5212</v>
      </c>
      <c r="E2582" s="16" t="s">
        <v>52</v>
      </c>
      <c r="F2582" s="13" t="s">
        <v>4664</v>
      </c>
      <c r="G2582" s="13" t="s">
        <v>5227</v>
      </c>
      <c r="H2582" s="13" t="s">
        <v>5228</v>
      </c>
      <c r="I2582" s="13" t="s">
        <v>63</v>
      </c>
      <c r="J2582" s="17" t="s">
        <v>71</v>
      </c>
      <c r="K2582" s="17" t="s">
        <v>58</v>
      </c>
      <c r="L2582" s="18" t="s">
        <v>52</v>
      </c>
      <c r="M2582" s="19">
        <v>63.0</v>
      </c>
      <c r="N2582" s="19">
        <v>31.0</v>
      </c>
    </row>
    <row r="2583">
      <c r="A2583" s="12">
        <v>2581.0</v>
      </c>
      <c r="B2583" s="13" t="s">
        <v>2072</v>
      </c>
      <c r="C2583" s="14">
        <v>1.0</v>
      </c>
      <c r="D2583" s="15" t="s">
        <v>5229</v>
      </c>
      <c r="E2583" s="16" t="s">
        <v>52</v>
      </c>
      <c r="F2583" s="13" t="s">
        <v>4929</v>
      </c>
      <c r="G2583" s="13" t="s">
        <v>61</v>
      </c>
      <c r="H2583" s="13" t="s">
        <v>5231</v>
      </c>
      <c r="I2583" s="13" t="s">
        <v>56</v>
      </c>
      <c r="J2583" s="17" t="s">
        <v>57</v>
      </c>
      <c r="K2583" s="17" t="s">
        <v>58</v>
      </c>
      <c r="L2583" s="18" t="s">
        <v>52</v>
      </c>
      <c r="M2583" s="19">
        <v>64.0</v>
      </c>
      <c r="N2583" s="19">
        <v>10.0</v>
      </c>
    </row>
    <row r="2584">
      <c r="A2584" s="12">
        <v>2582.0</v>
      </c>
      <c r="B2584" s="13" t="s">
        <v>2072</v>
      </c>
      <c r="C2584" s="14">
        <v>2.0</v>
      </c>
      <c r="D2584" s="15" t="s">
        <v>5229</v>
      </c>
      <c r="E2584" s="16" t="s">
        <v>52</v>
      </c>
      <c r="F2584" s="13" t="s">
        <v>1487</v>
      </c>
      <c r="G2584" s="13" t="s">
        <v>61</v>
      </c>
      <c r="H2584" s="13" t="s">
        <v>5232</v>
      </c>
      <c r="I2584" s="13" t="s">
        <v>56</v>
      </c>
      <c r="J2584" s="17" t="s">
        <v>57</v>
      </c>
      <c r="K2584" s="17" t="s">
        <v>58</v>
      </c>
      <c r="L2584" s="18" t="s">
        <v>52</v>
      </c>
      <c r="M2584" s="19">
        <v>64.0</v>
      </c>
      <c r="N2584" s="19">
        <v>10.0</v>
      </c>
    </row>
    <row r="2585">
      <c r="A2585" s="12">
        <v>2583.0</v>
      </c>
      <c r="B2585" s="13" t="s">
        <v>2072</v>
      </c>
      <c r="C2585" s="14">
        <v>3.0</v>
      </c>
      <c r="D2585" s="15" t="s">
        <v>5229</v>
      </c>
      <c r="E2585" s="16" t="s">
        <v>52</v>
      </c>
      <c r="F2585" s="13" t="s">
        <v>2039</v>
      </c>
      <c r="G2585" s="13" t="s">
        <v>2040</v>
      </c>
      <c r="H2585" s="13" t="s">
        <v>5233</v>
      </c>
      <c r="I2585" s="13" t="s">
        <v>56</v>
      </c>
      <c r="J2585" s="17" t="s">
        <v>57</v>
      </c>
      <c r="K2585" s="17" t="s">
        <v>58</v>
      </c>
      <c r="L2585" s="18" t="s">
        <v>52</v>
      </c>
      <c r="M2585" s="19">
        <v>64.0</v>
      </c>
      <c r="N2585" s="19">
        <v>10.0</v>
      </c>
    </row>
    <row r="2586">
      <c r="A2586" s="12">
        <v>2584.0</v>
      </c>
      <c r="B2586" s="13" t="s">
        <v>2072</v>
      </c>
      <c r="C2586" s="14">
        <v>4.0</v>
      </c>
      <c r="D2586" s="15" t="s">
        <v>5234</v>
      </c>
      <c r="E2586" s="16" t="s">
        <v>52</v>
      </c>
      <c r="F2586" s="13" t="s">
        <v>4034</v>
      </c>
      <c r="G2586" s="13" t="s">
        <v>5235</v>
      </c>
      <c r="H2586" s="13" t="s">
        <v>5236</v>
      </c>
      <c r="I2586" s="13" t="s">
        <v>56</v>
      </c>
      <c r="J2586" s="17" t="s">
        <v>57</v>
      </c>
      <c r="K2586" s="17" t="s">
        <v>58</v>
      </c>
      <c r="L2586" s="18" t="s">
        <v>52</v>
      </c>
      <c r="M2586" s="19">
        <v>64.0</v>
      </c>
      <c r="N2586" s="19">
        <v>10.0</v>
      </c>
    </row>
    <row r="2587">
      <c r="A2587" s="12">
        <v>2585.0</v>
      </c>
      <c r="B2587" s="13" t="s">
        <v>2072</v>
      </c>
      <c r="C2587" s="14">
        <v>5.0</v>
      </c>
      <c r="D2587" s="15" t="s">
        <v>5229</v>
      </c>
      <c r="E2587" s="16" t="s">
        <v>52</v>
      </c>
      <c r="F2587" s="13" t="s">
        <v>4688</v>
      </c>
      <c r="G2587" s="13" t="s">
        <v>5237</v>
      </c>
      <c r="H2587" s="13" t="s">
        <v>5238</v>
      </c>
      <c r="I2587" s="13" t="s">
        <v>63</v>
      </c>
      <c r="J2587" s="17" t="s">
        <v>57</v>
      </c>
      <c r="K2587" s="17" t="s">
        <v>58</v>
      </c>
      <c r="L2587" s="18" t="s">
        <v>52</v>
      </c>
      <c r="M2587" s="19">
        <v>64.0</v>
      </c>
      <c r="N2587" s="19">
        <v>11.0</v>
      </c>
    </row>
    <row r="2588">
      <c r="A2588" s="12">
        <v>2586.0</v>
      </c>
      <c r="B2588" s="13" t="s">
        <v>2072</v>
      </c>
      <c r="C2588" s="14">
        <v>6.0</v>
      </c>
      <c r="D2588" s="15" t="s">
        <v>5229</v>
      </c>
      <c r="E2588" s="16" t="s">
        <v>52</v>
      </c>
      <c r="F2588" s="13" t="s">
        <v>2417</v>
      </c>
      <c r="G2588" s="13" t="s">
        <v>3696</v>
      </c>
      <c r="H2588" s="13" t="s">
        <v>5239</v>
      </c>
      <c r="I2588" s="13" t="s">
        <v>56</v>
      </c>
      <c r="J2588" s="17" t="s">
        <v>67</v>
      </c>
      <c r="K2588" s="17" t="s">
        <v>58</v>
      </c>
      <c r="L2588" s="18" t="s">
        <v>52</v>
      </c>
      <c r="M2588" s="19">
        <v>64.0</v>
      </c>
      <c r="N2588" s="19">
        <v>20.0</v>
      </c>
    </row>
    <row r="2589">
      <c r="A2589" s="12">
        <v>2587.0</v>
      </c>
      <c r="B2589" s="13" t="s">
        <v>2072</v>
      </c>
      <c r="C2589" s="14">
        <v>7.0</v>
      </c>
      <c r="D2589" s="15" t="s">
        <v>5229</v>
      </c>
      <c r="E2589" s="16" t="s">
        <v>52</v>
      </c>
      <c r="F2589" s="13" t="s">
        <v>3533</v>
      </c>
      <c r="G2589" s="13" t="s">
        <v>61</v>
      </c>
      <c r="H2589" s="13" t="s">
        <v>5240</v>
      </c>
      <c r="I2589" s="13" t="s">
        <v>56</v>
      </c>
      <c r="J2589" s="17" t="s">
        <v>67</v>
      </c>
      <c r="K2589" s="17" t="s">
        <v>58</v>
      </c>
      <c r="L2589" s="18" t="s">
        <v>52</v>
      </c>
      <c r="M2589" s="19">
        <v>64.0</v>
      </c>
      <c r="N2589" s="19">
        <v>20.0</v>
      </c>
    </row>
    <row r="2590">
      <c r="A2590" s="12">
        <v>2588.0</v>
      </c>
      <c r="B2590" s="13" t="s">
        <v>2072</v>
      </c>
      <c r="C2590" s="14">
        <v>8.0</v>
      </c>
      <c r="D2590" s="15" t="s">
        <v>5229</v>
      </c>
      <c r="E2590" s="16" t="s">
        <v>52</v>
      </c>
      <c r="F2590" s="13" t="s">
        <v>1555</v>
      </c>
      <c r="G2590" s="13" t="s">
        <v>5241</v>
      </c>
      <c r="H2590" s="13" t="s">
        <v>5242</v>
      </c>
      <c r="I2590" s="13" t="s">
        <v>56</v>
      </c>
      <c r="J2590" s="17" t="s">
        <v>67</v>
      </c>
      <c r="K2590" s="17" t="s">
        <v>58</v>
      </c>
      <c r="L2590" s="18" t="s">
        <v>52</v>
      </c>
      <c r="M2590" s="19">
        <v>64.0</v>
      </c>
      <c r="N2590" s="19">
        <v>20.0</v>
      </c>
    </row>
    <row r="2591">
      <c r="A2591" s="12">
        <v>2589.0</v>
      </c>
      <c r="B2591" s="13" t="s">
        <v>2072</v>
      </c>
      <c r="C2591" s="14">
        <v>9.0</v>
      </c>
      <c r="D2591" s="15" t="s">
        <v>5229</v>
      </c>
      <c r="E2591" s="16" t="s">
        <v>52</v>
      </c>
      <c r="F2591" s="13" t="s">
        <v>1946</v>
      </c>
      <c r="G2591" s="13" t="s">
        <v>5243</v>
      </c>
      <c r="H2591" s="13" t="s">
        <v>5244</v>
      </c>
      <c r="I2591" s="13" t="s">
        <v>56</v>
      </c>
      <c r="J2591" s="17" t="s">
        <v>67</v>
      </c>
      <c r="K2591" s="17" t="s">
        <v>58</v>
      </c>
      <c r="L2591" s="18" t="s">
        <v>52</v>
      </c>
      <c r="M2591" s="19">
        <v>64.0</v>
      </c>
      <c r="N2591" s="19">
        <v>20.0</v>
      </c>
    </row>
    <row r="2592">
      <c r="A2592" s="12">
        <v>2590.0</v>
      </c>
      <c r="B2592" s="13" t="s">
        <v>2072</v>
      </c>
      <c r="C2592" s="14">
        <v>10.0</v>
      </c>
      <c r="D2592" s="15" t="s">
        <v>5229</v>
      </c>
      <c r="E2592" s="16" t="s">
        <v>52</v>
      </c>
      <c r="F2592" s="13" t="s">
        <v>1402</v>
      </c>
      <c r="G2592" s="13" t="s">
        <v>61</v>
      </c>
      <c r="H2592" s="13" t="s">
        <v>5245</v>
      </c>
      <c r="I2592" s="13" t="s">
        <v>56</v>
      </c>
      <c r="J2592" s="17" t="s">
        <v>71</v>
      </c>
      <c r="K2592" s="17" t="s">
        <v>58</v>
      </c>
      <c r="L2592" s="18" t="s">
        <v>52</v>
      </c>
      <c r="M2592" s="19">
        <v>64.0</v>
      </c>
      <c r="N2592" s="19">
        <v>30.0</v>
      </c>
    </row>
    <row r="2593">
      <c r="A2593" s="12">
        <v>2591.0</v>
      </c>
      <c r="B2593" s="13" t="s">
        <v>2072</v>
      </c>
      <c r="C2593" s="14">
        <v>11.0</v>
      </c>
      <c r="D2593" s="15" t="s">
        <v>5234</v>
      </c>
      <c r="E2593" s="16" t="s">
        <v>52</v>
      </c>
      <c r="F2593" s="13" t="s">
        <v>2042</v>
      </c>
      <c r="G2593" s="13" t="s">
        <v>61</v>
      </c>
      <c r="H2593" s="13" t="s">
        <v>5246</v>
      </c>
      <c r="I2593" s="13" t="s">
        <v>56</v>
      </c>
      <c r="J2593" s="17" t="s">
        <v>71</v>
      </c>
      <c r="K2593" s="17" t="s">
        <v>58</v>
      </c>
      <c r="L2593" s="18" t="s">
        <v>52</v>
      </c>
      <c r="M2593" s="19">
        <v>64.0</v>
      </c>
      <c r="N2593" s="19">
        <v>30.0</v>
      </c>
    </row>
    <row r="2594">
      <c r="A2594" s="12">
        <v>2592.0</v>
      </c>
      <c r="B2594" s="13" t="s">
        <v>2072</v>
      </c>
      <c r="C2594" s="14">
        <v>12.0</v>
      </c>
      <c r="D2594" s="15" t="s">
        <v>5229</v>
      </c>
      <c r="E2594" s="16" t="s">
        <v>52</v>
      </c>
      <c r="F2594" s="13" t="s">
        <v>953</v>
      </c>
      <c r="G2594" s="13" t="s">
        <v>5247</v>
      </c>
      <c r="H2594" s="13" t="s">
        <v>5248</v>
      </c>
      <c r="I2594" s="13" t="s">
        <v>63</v>
      </c>
      <c r="J2594" s="17" t="s">
        <v>71</v>
      </c>
      <c r="K2594" s="17" t="s">
        <v>58</v>
      </c>
      <c r="L2594" s="18" t="s">
        <v>52</v>
      </c>
      <c r="M2594" s="19">
        <v>64.0</v>
      </c>
      <c r="N2594" s="19">
        <v>31.0</v>
      </c>
    </row>
    <row r="2595">
      <c r="A2595" s="12">
        <v>2593.0</v>
      </c>
      <c r="B2595" s="13" t="s">
        <v>2072</v>
      </c>
      <c r="C2595" s="14">
        <v>13.0</v>
      </c>
      <c r="D2595" s="15" t="s">
        <v>5229</v>
      </c>
      <c r="E2595" s="16" t="s">
        <v>52</v>
      </c>
      <c r="F2595" s="13" t="s">
        <v>5094</v>
      </c>
      <c r="G2595" s="13" t="s">
        <v>5249</v>
      </c>
      <c r="H2595" s="13" t="s">
        <v>5250</v>
      </c>
      <c r="I2595" s="13" t="s">
        <v>63</v>
      </c>
      <c r="J2595" s="17" t="s">
        <v>71</v>
      </c>
      <c r="K2595" s="17" t="s">
        <v>58</v>
      </c>
      <c r="L2595" s="18" t="s">
        <v>52</v>
      </c>
      <c r="M2595" s="19">
        <v>64.0</v>
      </c>
      <c r="N2595" s="19">
        <v>31.0</v>
      </c>
    </row>
    <row r="2596">
      <c r="A2596" s="12">
        <v>2594.0</v>
      </c>
      <c r="B2596" s="13" t="s">
        <v>2072</v>
      </c>
      <c r="C2596" s="14">
        <v>14.0</v>
      </c>
      <c r="D2596" s="15" t="s">
        <v>5229</v>
      </c>
      <c r="E2596" s="16" t="s">
        <v>52</v>
      </c>
      <c r="F2596" s="13" t="s">
        <v>1171</v>
      </c>
      <c r="G2596" s="13" t="s">
        <v>2028</v>
      </c>
      <c r="H2596" s="13" t="s">
        <v>5251</v>
      </c>
      <c r="I2596" s="13" t="s">
        <v>63</v>
      </c>
      <c r="J2596" s="17" t="s">
        <v>71</v>
      </c>
      <c r="K2596" s="17" t="s">
        <v>58</v>
      </c>
      <c r="L2596" s="18" t="s">
        <v>52</v>
      </c>
      <c r="M2596" s="19">
        <v>64.0</v>
      </c>
      <c r="N2596" s="19">
        <v>31.0</v>
      </c>
    </row>
    <row r="2597">
      <c r="A2597" s="12">
        <v>2595.0</v>
      </c>
      <c r="B2597" s="13" t="s">
        <v>2072</v>
      </c>
      <c r="C2597" s="14">
        <v>15.0</v>
      </c>
      <c r="D2597" s="15" t="s">
        <v>5229</v>
      </c>
      <c r="E2597" s="16" t="s">
        <v>52</v>
      </c>
      <c r="F2597" s="13" t="s">
        <v>2520</v>
      </c>
      <c r="G2597" s="13" t="s">
        <v>3331</v>
      </c>
      <c r="H2597" s="13" t="s">
        <v>5252</v>
      </c>
      <c r="I2597" s="13" t="s">
        <v>63</v>
      </c>
      <c r="J2597" s="17" t="s">
        <v>71</v>
      </c>
      <c r="K2597" s="17" t="s">
        <v>58</v>
      </c>
      <c r="L2597" s="18" t="s">
        <v>52</v>
      </c>
      <c r="M2597" s="19">
        <v>64.0</v>
      </c>
      <c r="N2597" s="19">
        <v>31.0</v>
      </c>
    </row>
    <row r="2598">
      <c r="A2598" s="12">
        <v>2596.0</v>
      </c>
      <c r="B2598" s="13" t="s">
        <v>2072</v>
      </c>
      <c r="C2598" s="14">
        <v>16.0</v>
      </c>
      <c r="D2598" s="15" t="s">
        <v>5229</v>
      </c>
      <c r="E2598" s="16" t="s">
        <v>52</v>
      </c>
      <c r="F2598" s="13" t="s">
        <v>1484</v>
      </c>
      <c r="G2598" s="13" t="s">
        <v>1485</v>
      </c>
      <c r="H2598" s="13" t="s">
        <v>5253</v>
      </c>
      <c r="I2598" s="13" t="s">
        <v>63</v>
      </c>
      <c r="J2598" s="17" t="s">
        <v>71</v>
      </c>
      <c r="K2598" s="17" t="s">
        <v>58</v>
      </c>
      <c r="L2598" s="18" t="s">
        <v>52</v>
      </c>
      <c r="M2598" s="19">
        <v>64.0</v>
      </c>
      <c r="N2598" s="19">
        <v>31.0</v>
      </c>
    </row>
    <row r="2599">
      <c r="A2599" s="12">
        <v>2597.0</v>
      </c>
      <c r="B2599" s="13" t="s">
        <v>2072</v>
      </c>
      <c r="C2599" s="14">
        <v>17.0</v>
      </c>
      <c r="D2599" s="15" t="s">
        <v>5229</v>
      </c>
      <c r="E2599" s="16" t="s">
        <v>52</v>
      </c>
      <c r="F2599" s="13" t="s">
        <v>4944</v>
      </c>
      <c r="G2599" s="13" t="s">
        <v>5254</v>
      </c>
      <c r="H2599" s="13" t="s">
        <v>5255</v>
      </c>
      <c r="I2599" s="13" t="s">
        <v>63</v>
      </c>
      <c r="J2599" s="17" t="s">
        <v>71</v>
      </c>
      <c r="K2599" s="17" t="s">
        <v>58</v>
      </c>
      <c r="L2599" s="18" t="s">
        <v>52</v>
      </c>
      <c r="M2599" s="19">
        <v>64.0</v>
      </c>
      <c r="N2599" s="19">
        <v>31.0</v>
      </c>
    </row>
    <row r="2600">
      <c r="A2600" s="12">
        <v>2598.0</v>
      </c>
      <c r="B2600" s="13" t="s">
        <v>2072</v>
      </c>
      <c r="C2600" s="14">
        <v>18.0</v>
      </c>
      <c r="D2600" s="15" t="s">
        <v>5229</v>
      </c>
      <c r="E2600" s="16" t="s">
        <v>52</v>
      </c>
      <c r="F2600" s="13" t="s">
        <v>888</v>
      </c>
      <c r="G2600" s="13" t="s">
        <v>5256</v>
      </c>
      <c r="H2600" s="13" t="s">
        <v>5257</v>
      </c>
      <c r="I2600" s="13" t="s">
        <v>63</v>
      </c>
      <c r="J2600" s="17" t="s">
        <v>71</v>
      </c>
      <c r="K2600" s="17" t="s">
        <v>58</v>
      </c>
      <c r="L2600" s="18" t="s">
        <v>52</v>
      </c>
      <c r="M2600" s="19">
        <v>64.0</v>
      </c>
      <c r="N2600" s="19">
        <v>31.0</v>
      </c>
    </row>
    <row r="2601">
      <c r="A2601" s="12">
        <v>2599.0</v>
      </c>
      <c r="B2601" s="13" t="s">
        <v>2072</v>
      </c>
      <c r="C2601" s="14">
        <v>19.0</v>
      </c>
      <c r="D2601" s="15" t="s">
        <v>5229</v>
      </c>
      <c r="E2601" s="16" t="s">
        <v>52</v>
      </c>
      <c r="F2601" s="13" t="s">
        <v>1716</v>
      </c>
      <c r="G2601" s="13" t="s">
        <v>61</v>
      </c>
      <c r="H2601" s="13" t="s">
        <v>3516</v>
      </c>
      <c r="I2601" s="13" t="s">
        <v>63</v>
      </c>
      <c r="J2601" s="17" t="s">
        <v>71</v>
      </c>
      <c r="K2601" s="17" t="s">
        <v>58</v>
      </c>
      <c r="L2601" s="18" t="s">
        <v>52</v>
      </c>
      <c r="M2601" s="19">
        <v>64.0</v>
      </c>
      <c r="N2601" s="19">
        <v>31.0</v>
      </c>
    </row>
    <row r="2602">
      <c r="A2602" s="12">
        <v>2600.0</v>
      </c>
      <c r="B2602" s="13" t="s">
        <v>2072</v>
      </c>
      <c r="C2602" s="14">
        <v>20.0</v>
      </c>
      <c r="D2602" s="15" t="s">
        <v>5229</v>
      </c>
      <c r="E2602" s="16" t="s">
        <v>52</v>
      </c>
      <c r="F2602" s="13" t="s">
        <v>1356</v>
      </c>
      <c r="G2602" s="13" t="s">
        <v>61</v>
      </c>
      <c r="H2602" s="13" t="s">
        <v>5258</v>
      </c>
      <c r="I2602" s="13" t="s">
        <v>63</v>
      </c>
      <c r="J2602" s="17" t="s">
        <v>71</v>
      </c>
      <c r="K2602" s="17" t="s">
        <v>58</v>
      </c>
      <c r="L2602" s="18" t="s">
        <v>52</v>
      </c>
      <c r="M2602" s="19">
        <v>64.0</v>
      </c>
      <c r="N2602" s="19">
        <v>31.0</v>
      </c>
    </row>
    <row r="2603">
      <c r="A2603" s="12">
        <v>2601.0</v>
      </c>
      <c r="B2603" s="13" t="s">
        <v>2072</v>
      </c>
      <c r="C2603" s="14">
        <v>21.0</v>
      </c>
      <c r="D2603" s="15" t="s">
        <v>5229</v>
      </c>
      <c r="E2603" s="16" t="s">
        <v>52</v>
      </c>
      <c r="F2603" s="13" t="s">
        <v>4701</v>
      </c>
      <c r="G2603" s="13" t="s">
        <v>5259</v>
      </c>
      <c r="H2603" s="13" t="s">
        <v>5260</v>
      </c>
      <c r="I2603" s="13" t="s">
        <v>63</v>
      </c>
      <c r="J2603" s="17" t="s">
        <v>71</v>
      </c>
      <c r="K2603" s="17" t="s">
        <v>58</v>
      </c>
      <c r="L2603" s="18" t="s">
        <v>52</v>
      </c>
      <c r="M2603" s="19">
        <v>64.0</v>
      </c>
      <c r="N2603" s="19">
        <v>31.0</v>
      </c>
    </row>
    <row r="2604">
      <c r="A2604" s="12">
        <v>2602.0</v>
      </c>
      <c r="B2604" s="13" t="s">
        <v>2072</v>
      </c>
      <c r="C2604" s="14">
        <v>22.0</v>
      </c>
      <c r="D2604" s="15" t="s">
        <v>5229</v>
      </c>
      <c r="E2604" s="16" t="s">
        <v>52</v>
      </c>
      <c r="F2604" s="13" t="s">
        <v>3436</v>
      </c>
      <c r="G2604" s="13" t="s">
        <v>5261</v>
      </c>
      <c r="H2604" s="13" t="s">
        <v>5262</v>
      </c>
      <c r="I2604" s="13" t="s">
        <v>63</v>
      </c>
      <c r="J2604" s="17" t="s">
        <v>71</v>
      </c>
      <c r="K2604" s="17" t="s">
        <v>58</v>
      </c>
      <c r="L2604" s="18" t="s">
        <v>52</v>
      </c>
      <c r="M2604" s="19">
        <v>64.0</v>
      </c>
      <c r="N2604" s="19">
        <v>31.0</v>
      </c>
    </row>
    <row r="2605">
      <c r="A2605" s="12">
        <v>2603.0</v>
      </c>
      <c r="B2605" s="13" t="s">
        <v>2072</v>
      </c>
      <c r="C2605" s="14">
        <v>23.0</v>
      </c>
      <c r="D2605" s="15" t="s">
        <v>5229</v>
      </c>
      <c r="E2605" s="16" t="s">
        <v>52</v>
      </c>
      <c r="F2605" s="13" t="s">
        <v>2657</v>
      </c>
      <c r="G2605" s="13" t="s">
        <v>3711</v>
      </c>
      <c r="H2605" s="13" t="s">
        <v>5263</v>
      </c>
      <c r="I2605" s="13" t="s">
        <v>63</v>
      </c>
      <c r="J2605" s="17" t="s">
        <v>71</v>
      </c>
      <c r="K2605" s="17" t="s">
        <v>58</v>
      </c>
      <c r="L2605" s="18" t="s">
        <v>52</v>
      </c>
      <c r="M2605" s="19">
        <v>64.0</v>
      </c>
      <c r="N2605" s="19">
        <v>31.0</v>
      </c>
    </row>
    <row r="2606">
      <c r="A2606" s="12">
        <v>2604.0</v>
      </c>
      <c r="B2606" s="13" t="s">
        <v>2072</v>
      </c>
      <c r="C2606" s="14">
        <v>24.0</v>
      </c>
      <c r="D2606" s="15" t="s">
        <v>5229</v>
      </c>
      <c r="E2606" s="16" t="s">
        <v>52</v>
      </c>
      <c r="F2606" s="13" t="s">
        <v>1574</v>
      </c>
      <c r="G2606" s="13" t="s">
        <v>4775</v>
      </c>
      <c r="H2606" s="13" t="s">
        <v>5264</v>
      </c>
      <c r="I2606" s="13" t="s">
        <v>63</v>
      </c>
      <c r="J2606" s="17" t="s">
        <v>71</v>
      </c>
      <c r="K2606" s="17" t="s">
        <v>58</v>
      </c>
      <c r="L2606" s="18" t="s">
        <v>52</v>
      </c>
      <c r="M2606" s="19">
        <v>64.0</v>
      </c>
      <c r="N2606" s="19">
        <v>31.0</v>
      </c>
    </row>
    <row r="2607">
      <c r="A2607" s="12">
        <v>2605.0</v>
      </c>
      <c r="B2607" s="13" t="s">
        <v>2072</v>
      </c>
      <c r="C2607" s="14">
        <v>25.0</v>
      </c>
      <c r="D2607" s="15" t="s">
        <v>5229</v>
      </c>
      <c r="E2607" s="16" t="s">
        <v>52</v>
      </c>
      <c r="F2607" s="13" t="s">
        <v>1119</v>
      </c>
      <c r="G2607" s="13" t="s">
        <v>1915</v>
      </c>
      <c r="H2607" s="13" t="s">
        <v>1916</v>
      </c>
      <c r="I2607" s="13" t="s">
        <v>63</v>
      </c>
      <c r="J2607" s="17" t="s">
        <v>71</v>
      </c>
      <c r="K2607" s="17" t="s">
        <v>58</v>
      </c>
      <c r="L2607" s="18" t="s">
        <v>52</v>
      </c>
      <c r="M2607" s="19">
        <v>64.0</v>
      </c>
      <c r="N2607" s="19">
        <v>31.0</v>
      </c>
    </row>
    <row r="2608">
      <c r="A2608" s="12">
        <v>2606.0</v>
      </c>
      <c r="B2608" s="13" t="s">
        <v>2072</v>
      </c>
      <c r="C2608" s="14">
        <v>26.0</v>
      </c>
      <c r="D2608" s="15" t="s">
        <v>5234</v>
      </c>
      <c r="E2608" s="16" t="s">
        <v>52</v>
      </c>
      <c r="F2608" s="13" t="s">
        <v>530</v>
      </c>
      <c r="G2608" s="13" t="s">
        <v>4309</v>
      </c>
      <c r="H2608" s="13" t="s">
        <v>5265</v>
      </c>
      <c r="I2608" s="13" t="s">
        <v>63</v>
      </c>
      <c r="J2608" s="17" t="s">
        <v>71</v>
      </c>
      <c r="K2608" s="17" t="s">
        <v>58</v>
      </c>
      <c r="L2608" s="18" t="s">
        <v>52</v>
      </c>
      <c r="M2608" s="19">
        <v>64.0</v>
      </c>
      <c r="N2608" s="19">
        <v>31.0</v>
      </c>
    </row>
    <row r="2609">
      <c r="A2609" s="12">
        <v>2607.0</v>
      </c>
      <c r="B2609" s="13" t="s">
        <v>2072</v>
      </c>
      <c r="C2609" s="14">
        <v>27.0</v>
      </c>
      <c r="D2609" s="15" t="s">
        <v>5234</v>
      </c>
      <c r="E2609" s="16" t="s">
        <v>52</v>
      </c>
      <c r="F2609" s="13" t="s">
        <v>5002</v>
      </c>
      <c r="G2609" s="13" t="s">
        <v>5266</v>
      </c>
      <c r="H2609" s="13" t="s">
        <v>5267</v>
      </c>
      <c r="I2609" s="13" t="s">
        <v>63</v>
      </c>
      <c r="J2609" s="17" t="s">
        <v>71</v>
      </c>
      <c r="K2609" s="17" t="s">
        <v>58</v>
      </c>
      <c r="L2609" s="18" t="s">
        <v>52</v>
      </c>
      <c r="M2609" s="19">
        <v>64.0</v>
      </c>
      <c r="N2609" s="19">
        <v>31.0</v>
      </c>
    </row>
    <row r="2610">
      <c r="A2610" s="12">
        <v>2608.0</v>
      </c>
      <c r="B2610" s="13" t="s">
        <v>2072</v>
      </c>
      <c r="C2610" s="14">
        <v>28.0</v>
      </c>
      <c r="D2610" s="15" t="s">
        <v>5234</v>
      </c>
      <c r="E2610" s="16" t="s">
        <v>52</v>
      </c>
      <c r="F2610" s="13" t="s">
        <v>1677</v>
      </c>
      <c r="G2610" s="13" t="s">
        <v>5268</v>
      </c>
      <c r="H2610" s="13" t="s">
        <v>5269</v>
      </c>
      <c r="I2610" s="13" t="s">
        <v>63</v>
      </c>
      <c r="J2610" s="17" t="s">
        <v>71</v>
      </c>
      <c r="K2610" s="17" t="s">
        <v>58</v>
      </c>
      <c r="L2610" s="18" t="s">
        <v>52</v>
      </c>
      <c r="M2610" s="19">
        <v>64.0</v>
      </c>
      <c r="N2610" s="19">
        <v>31.0</v>
      </c>
    </row>
    <row r="2611">
      <c r="A2611" s="12">
        <v>2609.0</v>
      </c>
      <c r="B2611" s="13" t="s">
        <v>2072</v>
      </c>
      <c r="C2611" s="14">
        <v>29.0</v>
      </c>
      <c r="D2611" s="15" t="s">
        <v>5234</v>
      </c>
      <c r="E2611" s="16" t="s">
        <v>52</v>
      </c>
      <c r="F2611" s="13" t="s">
        <v>1335</v>
      </c>
      <c r="G2611" s="13" t="s">
        <v>4007</v>
      </c>
      <c r="H2611" s="13" t="s">
        <v>4008</v>
      </c>
      <c r="I2611" s="13" t="s">
        <v>63</v>
      </c>
      <c r="J2611" s="17" t="s">
        <v>71</v>
      </c>
      <c r="K2611" s="17" t="s">
        <v>58</v>
      </c>
      <c r="L2611" s="18" t="s">
        <v>52</v>
      </c>
      <c r="M2611" s="19">
        <v>64.0</v>
      </c>
      <c r="N2611" s="19">
        <v>31.0</v>
      </c>
    </row>
    <row r="2612">
      <c r="A2612" s="12">
        <v>2610.0</v>
      </c>
      <c r="B2612" s="13" t="s">
        <v>2072</v>
      </c>
      <c r="C2612" s="14">
        <v>30.0</v>
      </c>
      <c r="D2612" s="15" t="s">
        <v>5234</v>
      </c>
      <c r="E2612" s="16" t="s">
        <v>52</v>
      </c>
      <c r="F2612" s="13" t="s">
        <v>3861</v>
      </c>
      <c r="G2612" s="13" t="s">
        <v>3862</v>
      </c>
      <c r="H2612" s="13" t="s">
        <v>5271</v>
      </c>
      <c r="I2612" s="13" t="s">
        <v>63</v>
      </c>
      <c r="J2612" s="17" t="s">
        <v>71</v>
      </c>
      <c r="K2612" s="17" t="s">
        <v>58</v>
      </c>
      <c r="L2612" s="18" t="s">
        <v>52</v>
      </c>
      <c r="M2612" s="19">
        <v>64.0</v>
      </c>
      <c r="N2612" s="19">
        <v>31.0</v>
      </c>
    </row>
    <row r="2613">
      <c r="A2613" s="12">
        <v>2611.0</v>
      </c>
      <c r="B2613" s="13" t="s">
        <v>4911</v>
      </c>
      <c r="C2613" s="14">
        <v>1.0</v>
      </c>
      <c r="D2613" s="15" t="s">
        <v>5272</v>
      </c>
      <c r="E2613" s="16" t="s">
        <v>52</v>
      </c>
      <c r="F2613" s="13" t="s">
        <v>3471</v>
      </c>
      <c r="G2613" s="13" t="s">
        <v>3731</v>
      </c>
      <c r="H2613" s="13" t="s">
        <v>5274</v>
      </c>
      <c r="I2613" s="13" t="s">
        <v>63</v>
      </c>
      <c r="J2613" s="17" t="s">
        <v>57</v>
      </c>
      <c r="K2613" s="17" t="s">
        <v>58</v>
      </c>
      <c r="L2613" s="18" t="s">
        <v>52</v>
      </c>
      <c r="M2613" s="19">
        <v>65.0</v>
      </c>
      <c r="N2613" s="19">
        <v>11.0</v>
      </c>
    </row>
    <row r="2614">
      <c r="A2614" s="12">
        <v>2612.0</v>
      </c>
      <c r="B2614" s="13" t="s">
        <v>4911</v>
      </c>
      <c r="C2614" s="14">
        <v>2.0</v>
      </c>
      <c r="D2614" s="15" t="s">
        <v>5272</v>
      </c>
      <c r="E2614" s="16" t="s">
        <v>52</v>
      </c>
      <c r="F2614" s="13" t="s">
        <v>1677</v>
      </c>
      <c r="G2614" s="13" t="s">
        <v>61</v>
      </c>
      <c r="H2614" s="13" t="s">
        <v>5275</v>
      </c>
      <c r="I2614" s="13" t="s">
        <v>63</v>
      </c>
      <c r="J2614" s="17" t="s">
        <v>57</v>
      </c>
      <c r="K2614" s="17" t="s">
        <v>58</v>
      </c>
      <c r="L2614" s="18" t="s">
        <v>52</v>
      </c>
      <c r="M2614" s="19">
        <v>65.0</v>
      </c>
      <c r="N2614" s="19">
        <v>11.0</v>
      </c>
    </row>
    <row r="2615">
      <c r="A2615" s="12">
        <v>2613.0</v>
      </c>
      <c r="B2615" s="13" t="s">
        <v>4911</v>
      </c>
      <c r="C2615" s="14">
        <v>3.0</v>
      </c>
      <c r="D2615" s="15" t="s">
        <v>5272</v>
      </c>
      <c r="E2615" s="16" t="s">
        <v>52</v>
      </c>
      <c r="F2615" s="13" t="s">
        <v>2262</v>
      </c>
      <c r="G2615" s="13" t="s">
        <v>5147</v>
      </c>
      <c r="H2615" s="13" t="s">
        <v>5277</v>
      </c>
      <c r="I2615" s="13" t="s">
        <v>63</v>
      </c>
      <c r="J2615" s="17" t="s">
        <v>57</v>
      </c>
      <c r="K2615" s="17" t="s">
        <v>58</v>
      </c>
      <c r="L2615" s="18" t="s">
        <v>52</v>
      </c>
      <c r="M2615" s="19">
        <v>65.0</v>
      </c>
      <c r="N2615" s="19">
        <v>11.0</v>
      </c>
    </row>
    <row r="2616">
      <c r="A2616" s="12">
        <v>2614.0</v>
      </c>
      <c r="B2616" s="13" t="s">
        <v>4911</v>
      </c>
      <c r="C2616" s="14">
        <v>4.0</v>
      </c>
      <c r="D2616" s="15" t="s">
        <v>5278</v>
      </c>
      <c r="E2616" s="16" t="s">
        <v>52</v>
      </c>
      <c r="F2616" s="13" t="s">
        <v>1669</v>
      </c>
      <c r="G2616" s="13" t="s">
        <v>61</v>
      </c>
      <c r="H2616" s="13" t="s">
        <v>5279</v>
      </c>
      <c r="I2616" s="13" t="s">
        <v>63</v>
      </c>
      <c r="J2616" s="17" t="s">
        <v>57</v>
      </c>
      <c r="K2616" s="17" t="s">
        <v>58</v>
      </c>
      <c r="L2616" s="18" t="s">
        <v>52</v>
      </c>
      <c r="M2616" s="19">
        <v>65.0</v>
      </c>
      <c r="N2616" s="19">
        <v>11.0</v>
      </c>
    </row>
    <row r="2617">
      <c r="A2617" s="12">
        <v>2615.0</v>
      </c>
      <c r="B2617" s="13" t="s">
        <v>4911</v>
      </c>
      <c r="C2617" s="14">
        <v>5.0</v>
      </c>
      <c r="D2617" s="15" t="s">
        <v>5278</v>
      </c>
      <c r="E2617" s="16" t="s">
        <v>52</v>
      </c>
      <c r="F2617" s="13" t="s">
        <v>1255</v>
      </c>
      <c r="G2617" s="13" t="s">
        <v>1256</v>
      </c>
      <c r="H2617" s="13" t="s">
        <v>5280</v>
      </c>
      <c r="I2617" s="13" t="s">
        <v>56</v>
      </c>
      <c r="J2617" s="17" t="s">
        <v>67</v>
      </c>
      <c r="K2617" s="17" t="s">
        <v>58</v>
      </c>
      <c r="L2617" s="18" t="s">
        <v>52</v>
      </c>
      <c r="M2617" s="19">
        <v>65.0</v>
      </c>
      <c r="N2617" s="19">
        <v>20.0</v>
      </c>
    </row>
    <row r="2618">
      <c r="A2618" s="12">
        <v>2616.0</v>
      </c>
      <c r="B2618" s="13" t="s">
        <v>4911</v>
      </c>
      <c r="C2618" s="14">
        <v>6.0</v>
      </c>
      <c r="D2618" s="15" t="s">
        <v>5272</v>
      </c>
      <c r="E2618" s="16" t="s">
        <v>52</v>
      </c>
      <c r="F2618" s="13" t="s">
        <v>2657</v>
      </c>
      <c r="G2618" s="13" t="s">
        <v>5281</v>
      </c>
      <c r="H2618" s="13" t="s">
        <v>5282</v>
      </c>
      <c r="I2618" s="13" t="s">
        <v>63</v>
      </c>
      <c r="J2618" s="17" t="s">
        <v>71</v>
      </c>
      <c r="K2618" s="17" t="s">
        <v>58</v>
      </c>
      <c r="L2618" s="18" t="s">
        <v>52</v>
      </c>
      <c r="M2618" s="19">
        <v>65.0</v>
      </c>
      <c r="N2618" s="19">
        <v>31.0</v>
      </c>
    </row>
    <row r="2619">
      <c r="A2619" s="12">
        <v>2617.0</v>
      </c>
      <c r="B2619" s="13" t="s">
        <v>4911</v>
      </c>
      <c r="C2619" s="14">
        <v>7.0</v>
      </c>
      <c r="D2619" s="15" t="s">
        <v>5272</v>
      </c>
      <c r="E2619" s="16" t="s">
        <v>52</v>
      </c>
      <c r="F2619" s="13" t="s">
        <v>3450</v>
      </c>
      <c r="G2619" s="13" t="s">
        <v>3451</v>
      </c>
      <c r="H2619" s="13" t="s">
        <v>5284</v>
      </c>
      <c r="I2619" s="13" t="s">
        <v>63</v>
      </c>
      <c r="J2619" s="17" t="s">
        <v>71</v>
      </c>
      <c r="K2619" s="17" t="s">
        <v>58</v>
      </c>
      <c r="L2619" s="18" t="s">
        <v>52</v>
      </c>
      <c r="M2619" s="19">
        <v>65.0</v>
      </c>
      <c r="N2619" s="19">
        <v>31.0</v>
      </c>
    </row>
    <row r="2620">
      <c r="A2620" s="12">
        <v>2618.0</v>
      </c>
      <c r="B2620" s="13" t="s">
        <v>4911</v>
      </c>
      <c r="C2620" s="14">
        <v>8.0</v>
      </c>
      <c r="D2620" s="15" t="s">
        <v>5272</v>
      </c>
      <c r="E2620" s="16" t="s">
        <v>52</v>
      </c>
      <c r="F2620" s="13" t="s">
        <v>3533</v>
      </c>
      <c r="G2620" s="13" t="s">
        <v>5286</v>
      </c>
      <c r="H2620" s="13" t="s">
        <v>5287</v>
      </c>
      <c r="I2620" s="13" t="s">
        <v>63</v>
      </c>
      <c r="J2620" s="17" t="s">
        <v>71</v>
      </c>
      <c r="K2620" s="17" t="s">
        <v>58</v>
      </c>
      <c r="L2620" s="18" t="s">
        <v>52</v>
      </c>
      <c r="M2620" s="19">
        <v>65.0</v>
      </c>
      <c r="N2620" s="19">
        <v>31.0</v>
      </c>
    </row>
    <row r="2621">
      <c r="A2621" s="12">
        <v>2619.0</v>
      </c>
      <c r="B2621" s="13" t="s">
        <v>4911</v>
      </c>
      <c r="C2621" s="14">
        <v>9.0</v>
      </c>
      <c r="D2621" s="15" t="s">
        <v>5272</v>
      </c>
      <c r="E2621" s="16" t="s">
        <v>52</v>
      </c>
      <c r="F2621" s="13" t="s">
        <v>3474</v>
      </c>
      <c r="G2621" s="13" t="s">
        <v>5288</v>
      </c>
      <c r="H2621" s="13" t="s">
        <v>5289</v>
      </c>
      <c r="I2621" s="13" t="s">
        <v>63</v>
      </c>
      <c r="J2621" s="17" t="s">
        <v>71</v>
      </c>
      <c r="K2621" s="17" t="s">
        <v>58</v>
      </c>
      <c r="L2621" s="18" t="s">
        <v>52</v>
      </c>
      <c r="M2621" s="19">
        <v>65.0</v>
      </c>
      <c r="N2621" s="19">
        <v>31.0</v>
      </c>
    </row>
    <row r="2622">
      <c r="A2622" s="12">
        <v>2620.0</v>
      </c>
      <c r="B2622" s="13" t="s">
        <v>4911</v>
      </c>
      <c r="C2622" s="14">
        <v>10.0</v>
      </c>
      <c r="D2622" s="15" t="s">
        <v>5272</v>
      </c>
      <c r="E2622" s="16" t="s">
        <v>52</v>
      </c>
      <c r="F2622" s="13" t="s">
        <v>2385</v>
      </c>
      <c r="G2622" s="13" t="s">
        <v>5190</v>
      </c>
      <c r="H2622" s="13" t="s">
        <v>5290</v>
      </c>
      <c r="I2622" s="13" t="s">
        <v>63</v>
      </c>
      <c r="J2622" s="17" t="s">
        <v>71</v>
      </c>
      <c r="K2622" s="17" t="s">
        <v>58</v>
      </c>
      <c r="L2622" s="18" t="s">
        <v>52</v>
      </c>
      <c r="M2622" s="19">
        <v>65.0</v>
      </c>
      <c r="N2622" s="19">
        <v>31.0</v>
      </c>
    </row>
    <row r="2623">
      <c r="A2623" s="12">
        <v>2621.0</v>
      </c>
      <c r="B2623" s="13" t="s">
        <v>4911</v>
      </c>
      <c r="C2623" s="14">
        <v>11.0</v>
      </c>
      <c r="D2623" s="15" t="s">
        <v>5272</v>
      </c>
      <c r="E2623" s="16" t="s">
        <v>52</v>
      </c>
      <c r="F2623" s="13" t="s">
        <v>1714</v>
      </c>
      <c r="G2623" s="13" t="s">
        <v>4467</v>
      </c>
      <c r="H2623" s="13" t="s">
        <v>5291</v>
      </c>
      <c r="I2623" s="13" t="s">
        <v>63</v>
      </c>
      <c r="J2623" s="17" t="s">
        <v>71</v>
      </c>
      <c r="K2623" s="17" t="s">
        <v>58</v>
      </c>
      <c r="L2623" s="18" t="s">
        <v>52</v>
      </c>
      <c r="M2623" s="19">
        <v>65.0</v>
      </c>
      <c r="N2623" s="19">
        <v>31.0</v>
      </c>
    </row>
    <row r="2624">
      <c r="A2624" s="12">
        <v>2622.0</v>
      </c>
      <c r="B2624" s="13" t="s">
        <v>4911</v>
      </c>
      <c r="C2624" s="14">
        <v>12.0</v>
      </c>
      <c r="D2624" s="15" t="s">
        <v>5272</v>
      </c>
      <c r="E2624" s="16" t="s">
        <v>52</v>
      </c>
      <c r="F2624" s="13" t="s">
        <v>4934</v>
      </c>
      <c r="G2624" s="13" t="s">
        <v>5124</v>
      </c>
      <c r="H2624" s="13" t="s">
        <v>5292</v>
      </c>
      <c r="I2624" s="13" t="s">
        <v>63</v>
      </c>
      <c r="J2624" s="17" t="s">
        <v>71</v>
      </c>
      <c r="K2624" s="17" t="s">
        <v>58</v>
      </c>
      <c r="L2624" s="18" t="s">
        <v>52</v>
      </c>
      <c r="M2624" s="19">
        <v>65.0</v>
      </c>
      <c r="N2624" s="19">
        <v>31.0</v>
      </c>
    </row>
    <row r="2625">
      <c r="A2625" s="12">
        <v>2623.0</v>
      </c>
      <c r="B2625" s="13" t="s">
        <v>4911</v>
      </c>
      <c r="C2625" s="14">
        <v>13.0</v>
      </c>
      <c r="D2625" s="15" t="s">
        <v>5272</v>
      </c>
      <c r="E2625" s="16" t="s">
        <v>52</v>
      </c>
      <c r="F2625" s="13" t="s">
        <v>4921</v>
      </c>
      <c r="G2625" s="13" t="s">
        <v>4922</v>
      </c>
      <c r="H2625" s="13" t="s">
        <v>5293</v>
      </c>
      <c r="I2625" s="13" t="s">
        <v>63</v>
      </c>
      <c r="J2625" s="17" t="s">
        <v>71</v>
      </c>
      <c r="K2625" s="17" t="s">
        <v>58</v>
      </c>
      <c r="L2625" s="18" t="s">
        <v>52</v>
      </c>
      <c r="M2625" s="19">
        <v>65.0</v>
      </c>
      <c r="N2625" s="19">
        <v>31.0</v>
      </c>
    </row>
    <row r="2626">
      <c r="A2626" s="12">
        <v>2624.0</v>
      </c>
      <c r="B2626" s="13" t="s">
        <v>4911</v>
      </c>
      <c r="C2626" s="14">
        <v>14.0</v>
      </c>
      <c r="D2626" s="15" t="s">
        <v>5272</v>
      </c>
      <c r="E2626" s="16" t="s">
        <v>52</v>
      </c>
      <c r="F2626" s="13" t="s">
        <v>4698</v>
      </c>
      <c r="G2626" s="13" t="s">
        <v>4699</v>
      </c>
      <c r="H2626" s="13" t="s">
        <v>5294</v>
      </c>
      <c r="I2626" s="13" t="s">
        <v>63</v>
      </c>
      <c r="J2626" s="17" t="s">
        <v>71</v>
      </c>
      <c r="K2626" s="17" t="s">
        <v>58</v>
      </c>
      <c r="L2626" s="18" t="s">
        <v>52</v>
      </c>
      <c r="M2626" s="19">
        <v>65.0</v>
      </c>
      <c r="N2626" s="19">
        <v>31.0</v>
      </c>
    </row>
    <row r="2627">
      <c r="A2627" s="12">
        <v>2625.0</v>
      </c>
      <c r="B2627" s="13" t="s">
        <v>4911</v>
      </c>
      <c r="C2627" s="14">
        <v>15.0</v>
      </c>
      <c r="D2627" s="15" t="s">
        <v>5272</v>
      </c>
      <c r="E2627" s="16" t="s">
        <v>52</v>
      </c>
      <c r="F2627" s="13" t="s">
        <v>1420</v>
      </c>
      <c r="G2627" s="13" t="s">
        <v>5295</v>
      </c>
      <c r="H2627" s="13" t="s">
        <v>5296</v>
      </c>
      <c r="I2627" s="13" t="s">
        <v>63</v>
      </c>
      <c r="J2627" s="17" t="s">
        <v>71</v>
      </c>
      <c r="K2627" s="17" t="s">
        <v>58</v>
      </c>
      <c r="L2627" s="18" t="s">
        <v>52</v>
      </c>
      <c r="M2627" s="19">
        <v>65.0</v>
      </c>
      <c r="N2627" s="19">
        <v>31.0</v>
      </c>
    </row>
    <row r="2628">
      <c r="A2628" s="12">
        <v>2626.0</v>
      </c>
      <c r="B2628" s="13" t="s">
        <v>4911</v>
      </c>
      <c r="C2628" s="14">
        <v>16.0</v>
      </c>
      <c r="D2628" s="15" t="s">
        <v>5272</v>
      </c>
      <c r="E2628" s="16" t="s">
        <v>52</v>
      </c>
      <c r="F2628" s="13" t="s">
        <v>3464</v>
      </c>
      <c r="G2628" s="13" t="s">
        <v>4907</v>
      </c>
      <c r="H2628" s="13" t="s">
        <v>5297</v>
      </c>
      <c r="I2628" s="13" t="s">
        <v>63</v>
      </c>
      <c r="J2628" s="17" t="s">
        <v>71</v>
      </c>
      <c r="K2628" s="17" t="s">
        <v>58</v>
      </c>
      <c r="L2628" s="18" t="s">
        <v>52</v>
      </c>
      <c r="M2628" s="19">
        <v>65.0</v>
      </c>
      <c r="N2628" s="19">
        <v>31.0</v>
      </c>
    </row>
    <row r="2629">
      <c r="A2629" s="12">
        <v>2627.0</v>
      </c>
      <c r="B2629" s="13" t="s">
        <v>4911</v>
      </c>
      <c r="C2629" s="14">
        <v>17.0</v>
      </c>
      <c r="D2629" s="15" t="s">
        <v>5272</v>
      </c>
      <c r="E2629" s="16" t="s">
        <v>52</v>
      </c>
      <c r="F2629" s="13" t="s">
        <v>2204</v>
      </c>
      <c r="G2629" s="13" t="s">
        <v>5298</v>
      </c>
      <c r="H2629" s="13" t="s">
        <v>5299</v>
      </c>
      <c r="I2629" s="13" t="s">
        <v>63</v>
      </c>
      <c r="J2629" s="17" t="s">
        <v>71</v>
      </c>
      <c r="K2629" s="17" t="s">
        <v>58</v>
      </c>
      <c r="L2629" s="18" t="s">
        <v>52</v>
      </c>
      <c r="M2629" s="19">
        <v>65.0</v>
      </c>
      <c r="N2629" s="19">
        <v>31.0</v>
      </c>
    </row>
    <row r="2630">
      <c r="A2630" s="12">
        <v>2628.0</v>
      </c>
      <c r="B2630" s="13" t="s">
        <v>4911</v>
      </c>
      <c r="C2630" s="14">
        <v>18.0</v>
      </c>
      <c r="D2630" s="15" t="s">
        <v>5272</v>
      </c>
      <c r="E2630" s="16" t="s">
        <v>52</v>
      </c>
      <c r="F2630" s="13" t="s">
        <v>4515</v>
      </c>
      <c r="G2630" s="13" t="s">
        <v>4574</v>
      </c>
      <c r="H2630" s="13" t="s">
        <v>5300</v>
      </c>
      <c r="I2630" s="13" t="s">
        <v>63</v>
      </c>
      <c r="J2630" s="17" t="s">
        <v>71</v>
      </c>
      <c r="K2630" s="17" t="s">
        <v>58</v>
      </c>
      <c r="L2630" s="18" t="s">
        <v>52</v>
      </c>
      <c r="M2630" s="19">
        <v>65.0</v>
      </c>
      <c r="N2630" s="19">
        <v>31.0</v>
      </c>
    </row>
    <row r="2631">
      <c r="A2631" s="12">
        <v>2629.0</v>
      </c>
      <c r="B2631" s="13" t="s">
        <v>4911</v>
      </c>
      <c r="C2631" s="14">
        <v>19.0</v>
      </c>
      <c r="D2631" s="15" t="s">
        <v>5272</v>
      </c>
      <c r="E2631" s="16" t="s">
        <v>52</v>
      </c>
      <c r="F2631" s="13" t="s">
        <v>3456</v>
      </c>
      <c r="G2631" s="13" t="s">
        <v>5301</v>
      </c>
      <c r="H2631" s="13" t="s">
        <v>5302</v>
      </c>
      <c r="I2631" s="13" t="s">
        <v>63</v>
      </c>
      <c r="J2631" s="17" t="s">
        <v>71</v>
      </c>
      <c r="K2631" s="17" t="s">
        <v>58</v>
      </c>
      <c r="L2631" s="18" t="s">
        <v>52</v>
      </c>
      <c r="M2631" s="19">
        <v>65.0</v>
      </c>
      <c r="N2631" s="19">
        <v>31.0</v>
      </c>
    </row>
    <row r="2632">
      <c r="A2632" s="12">
        <v>2630.0</v>
      </c>
      <c r="B2632" s="13" t="s">
        <v>4911</v>
      </c>
      <c r="C2632" s="14">
        <v>20.0</v>
      </c>
      <c r="D2632" s="15" t="s">
        <v>5272</v>
      </c>
      <c r="E2632" s="16" t="s">
        <v>52</v>
      </c>
      <c r="F2632" s="13" t="s">
        <v>3520</v>
      </c>
      <c r="G2632" s="13" t="s">
        <v>5303</v>
      </c>
      <c r="H2632" s="13" t="s">
        <v>5304</v>
      </c>
      <c r="I2632" s="13" t="s">
        <v>63</v>
      </c>
      <c r="J2632" s="17" t="s">
        <v>71</v>
      </c>
      <c r="K2632" s="17" t="s">
        <v>58</v>
      </c>
      <c r="L2632" s="18" t="s">
        <v>52</v>
      </c>
      <c r="M2632" s="19">
        <v>65.0</v>
      </c>
      <c r="N2632" s="19">
        <v>31.0</v>
      </c>
    </row>
    <row r="2633">
      <c r="A2633" s="12">
        <v>2631.0</v>
      </c>
      <c r="B2633" s="13" t="s">
        <v>4911</v>
      </c>
      <c r="C2633" s="14">
        <v>21.0</v>
      </c>
      <c r="D2633" s="15" t="s">
        <v>5272</v>
      </c>
      <c r="E2633" s="16" t="s">
        <v>52</v>
      </c>
      <c r="F2633" s="13" t="s">
        <v>1322</v>
      </c>
      <c r="G2633" s="13" t="s">
        <v>2731</v>
      </c>
      <c r="H2633" s="13" t="s">
        <v>5305</v>
      </c>
      <c r="I2633" s="13" t="s">
        <v>63</v>
      </c>
      <c r="J2633" s="17" t="s">
        <v>71</v>
      </c>
      <c r="K2633" s="17" t="s">
        <v>58</v>
      </c>
      <c r="L2633" s="18" t="s">
        <v>52</v>
      </c>
      <c r="M2633" s="19">
        <v>65.0</v>
      </c>
      <c r="N2633" s="19">
        <v>31.0</v>
      </c>
    </row>
    <row r="2634">
      <c r="A2634" s="12">
        <v>2632.0</v>
      </c>
      <c r="B2634" s="13" t="s">
        <v>4911</v>
      </c>
      <c r="C2634" s="14">
        <v>22.0</v>
      </c>
      <c r="D2634" s="15" t="s">
        <v>5272</v>
      </c>
      <c r="E2634" s="16" t="s">
        <v>52</v>
      </c>
      <c r="F2634" s="13" t="s">
        <v>2666</v>
      </c>
      <c r="G2634" s="13" t="s">
        <v>2667</v>
      </c>
      <c r="H2634" s="13" t="s">
        <v>5306</v>
      </c>
      <c r="I2634" s="13" t="s">
        <v>63</v>
      </c>
      <c r="J2634" s="17" t="s">
        <v>71</v>
      </c>
      <c r="K2634" s="17" t="s">
        <v>58</v>
      </c>
      <c r="L2634" s="18" t="s">
        <v>52</v>
      </c>
      <c r="M2634" s="19">
        <v>65.0</v>
      </c>
      <c r="N2634" s="19">
        <v>31.0</v>
      </c>
    </row>
    <row r="2635">
      <c r="A2635" s="12">
        <v>2633.0</v>
      </c>
      <c r="B2635" s="13" t="s">
        <v>4911</v>
      </c>
      <c r="C2635" s="14">
        <v>23.0</v>
      </c>
      <c r="D2635" s="15" t="s">
        <v>5272</v>
      </c>
      <c r="E2635" s="16" t="s">
        <v>52</v>
      </c>
      <c r="F2635" s="13" t="s">
        <v>1174</v>
      </c>
      <c r="G2635" s="13" t="s">
        <v>3725</v>
      </c>
      <c r="H2635" s="13" t="s">
        <v>5307</v>
      </c>
      <c r="I2635" s="13" t="s">
        <v>63</v>
      </c>
      <c r="J2635" s="17" t="s">
        <v>71</v>
      </c>
      <c r="K2635" s="17" t="s">
        <v>58</v>
      </c>
      <c r="L2635" s="18" t="s">
        <v>52</v>
      </c>
      <c r="M2635" s="19">
        <v>65.0</v>
      </c>
      <c r="N2635" s="19">
        <v>31.0</v>
      </c>
    </row>
    <row r="2636">
      <c r="A2636" s="12">
        <v>2634.0</v>
      </c>
      <c r="B2636" s="13" t="s">
        <v>4911</v>
      </c>
      <c r="C2636" s="14">
        <v>24.0</v>
      </c>
      <c r="D2636" s="15" t="s">
        <v>5278</v>
      </c>
      <c r="E2636" s="16" t="s">
        <v>52</v>
      </c>
      <c r="F2636" s="13" t="s">
        <v>836</v>
      </c>
      <c r="G2636" s="13" t="s">
        <v>5308</v>
      </c>
      <c r="H2636" s="13" t="s">
        <v>5309</v>
      </c>
      <c r="I2636" s="13" t="s">
        <v>63</v>
      </c>
      <c r="J2636" s="17" t="s">
        <v>71</v>
      </c>
      <c r="K2636" s="17" t="s">
        <v>58</v>
      </c>
      <c r="L2636" s="18" t="s">
        <v>52</v>
      </c>
      <c r="M2636" s="19">
        <v>65.0</v>
      </c>
      <c r="N2636" s="19">
        <v>31.0</v>
      </c>
    </row>
    <row r="2637">
      <c r="A2637" s="12">
        <v>2635.0</v>
      </c>
      <c r="B2637" s="13" t="s">
        <v>4911</v>
      </c>
      <c r="C2637" s="14">
        <v>25.0</v>
      </c>
      <c r="D2637" s="15" t="s">
        <v>5278</v>
      </c>
      <c r="E2637" s="16" t="s">
        <v>52</v>
      </c>
      <c r="F2637" s="13" t="s">
        <v>4526</v>
      </c>
      <c r="G2637" s="13" t="s">
        <v>4527</v>
      </c>
      <c r="H2637" s="13" t="s">
        <v>5310</v>
      </c>
      <c r="I2637" s="13" t="s">
        <v>63</v>
      </c>
      <c r="J2637" s="17" t="s">
        <v>71</v>
      </c>
      <c r="K2637" s="17" t="s">
        <v>58</v>
      </c>
      <c r="L2637" s="18" t="s">
        <v>52</v>
      </c>
      <c r="M2637" s="19">
        <v>65.0</v>
      </c>
      <c r="N2637" s="19">
        <v>31.0</v>
      </c>
    </row>
    <row r="2638">
      <c r="A2638" s="12">
        <v>2636.0</v>
      </c>
      <c r="B2638" s="13" t="s">
        <v>4911</v>
      </c>
      <c r="C2638" s="14">
        <v>26.0</v>
      </c>
      <c r="D2638" s="15" t="s">
        <v>5278</v>
      </c>
      <c r="E2638" s="16" t="s">
        <v>52</v>
      </c>
      <c r="F2638" s="13" t="s">
        <v>3453</v>
      </c>
      <c r="G2638" s="13" t="s">
        <v>61</v>
      </c>
      <c r="H2638" s="13" t="s">
        <v>5311</v>
      </c>
      <c r="I2638" s="13" t="s">
        <v>63</v>
      </c>
      <c r="J2638" s="17" t="s">
        <v>71</v>
      </c>
      <c r="K2638" s="17" t="s">
        <v>58</v>
      </c>
      <c r="L2638" s="18" t="s">
        <v>52</v>
      </c>
      <c r="M2638" s="19">
        <v>65.0</v>
      </c>
      <c r="N2638" s="19">
        <v>31.0</v>
      </c>
    </row>
    <row r="2639">
      <c r="A2639" s="12">
        <v>2637.0</v>
      </c>
      <c r="B2639" s="13" t="s">
        <v>4911</v>
      </c>
      <c r="C2639" s="14">
        <v>27.0</v>
      </c>
      <c r="D2639" s="15" t="s">
        <v>5278</v>
      </c>
      <c r="E2639" s="16" t="s">
        <v>52</v>
      </c>
      <c r="F2639" s="13" t="s">
        <v>5312</v>
      </c>
      <c r="G2639" s="13" t="s">
        <v>5313</v>
      </c>
      <c r="H2639" s="13" t="s">
        <v>5314</v>
      </c>
      <c r="I2639" s="13" t="s">
        <v>63</v>
      </c>
      <c r="J2639" s="17" t="s">
        <v>71</v>
      </c>
      <c r="K2639" s="17" t="s">
        <v>58</v>
      </c>
      <c r="L2639" s="18" t="s">
        <v>52</v>
      </c>
      <c r="M2639" s="19">
        <v>65.0</v>
      </c>
      <c r="N2639" s="19">
        <v>31.0</v>
      </c>
    </row>
    <row r="2640">
      <c r="A2640" s="12">
        <v>2638.0</v>
      </c>
      <c r="B2640" s="13" t="s">
        <v>4911</v>
      </c>
      <c r="C2640" s="14">
        <v>28.0</v>
      </c>
      <c r="D2640" s="15" t="s">
        <v>5278</v>
      </c>
      <c r="E2640" s="16" t="s">
        <v>52</v>
      </c>
      <c r="F2640" s="13" t="s">
        <v>5315</v>
      </c>
      <c r="G2640" s="13" t="s">
        <v>5316</v>
      </c>
      <c r="H2640" s="13" t="s">
        <v>5317</v>
      </c>
      <c r="I2640" s="13" t="s">
        <v>63</v>
      </c>
      <c r="J2640" s="17" t="s">
        <v>71</v>
      </c>
      <c r="K2640" s="17" t="s">
        <v>58</v>
      </c>
      <c r="L2640" s="18" t="s">
        <v>52</v>
      </c>
      <c r="M2640" s="19">
        <v>65.0</v>
      </c>
      <c r="N2640" s="19">
        <v>31.0</v>
      </c>
    </row>
    <row r="2641">
      <c r="A2641" s="12">
        <v>2639.0</v>
      </c>
      <c r="B2641" s="13" t="s">
        <v>4911</v>
      </c>
      <c r="C2641" s="14">
        <v>29.0</v>
      </c>
      <c r="D2641" s="15" t="s">
        <v>5278</v>
      </c>
      <c r="E2641" s="16" t="s">
        <v>52</v>
      </c>
      <c r="F2641" s="13" t="s">
        <v>3439</v>
      </c>
      <c r="G2641" s="13" t="s">
        <v>5318</v>
      </c>
      <c r="H2641" s="13" t="s">
        <v>5319</v>
      </c>
      <c r="I2641" s="13" t="s">
        <v>63</v>
      </c>
      <c r="J2641" s="17" t="s">
        <v>71</v>
      </c>
      <c r="K2641" s="17" t="s">
        <v>58</v>
      </c>
      <c r="L2641" s="18" t="s">
        <v>52</v>
      </c>
      <c r="M2641" s="19">
        <v>65.0</v>
      </c>
      <c r="N2641" s="19">
        <v>31.0</v>
      </c>
    </row>
    <row r="2642">
      <c r="A2642" s="12">
        <v>2640.0</v>
      </c>
      <c r="B2642" s="13" t="s">
        <v>4911</v>
      </c>
      <c r="C2642" s="14">
        <v>30.0</v>
      </c>
      <c r="D2642" s="15" t="s">
        <v>5278</v>
      </c>
      <c r="E2642" s="16" t="s">
        <v>52</v>
      </c>
      <c r="F2642" s="13" t="s">
        <v>2680</v>
      </c>
      <c r="G2642" s="13" t="s">
        <v>5320</v>
      </c>
      <c r="H2642" s="13" t="s">
        <v>5321</v>
      </c>
      <c r="I2642" s="13" t="s">
        <v>63</v>
      </c>
      <c r="J2642" s="17" t="s">
        <v>71</v>
      </c>
      <c r="K2642" s="17" t="s">
        <v>58</v>
      </c>
      <c r="L2642" s="18" t="s">
        <v>52</v>
      </c>
      <c r="M2642" s="19">
        <v>65.0</v>
      </c>
      <c r="N2642" s="19">
        <v>31.0</v>
      </c>
    </row>
    <row r="2643">
      <c r="A2643" s="12">
        <v>2641.0</v>
      </c>
      <c r="B2643" s="13" t="s">
        <v>5322</v>
      </c>
      <c r="C2643" s="14">
        <v>1.0</v>
      </c>
      <c r="D2643" s="15" t="s">
        <v>5323</v>
      </c>
      <c r="E2643" s="16" t="s">
        <v>221</v>
      </c>
      <c r="F2643" s="13" t="s">
        <v>193</v>
      </c>
      <c r="G2643" s="13" t="s">
        <v>4743</v>
      </c>
      <c r="H2643" s="13" t="s">
        <v>4744</v>
      </c>
      <c r="I2643" s="13" t="s">
        <v>63</v>
      </c>
      <c r="J2643" s="17" t="s">
        <v>57</v>
      </c>
      <c r="K2643" s="17" t="s">
        <v>58</v>
      </c>
      <c r="L2643" s="18" t="s">
        <v>52</v>
      </c>
      <c r="M2643" s="19">
        <v>66.0</v>
      </c>
      <c r="N2643" s="19">
        <v>11.0</v>
      </c>
    </row>
    <row r="2644">
      <c r="A2644" s="12">
        <v>2642.0</v>
      </c>
      <c r="B2644" s="13" t="s">
        <v>5322</v>
      </c>
      <c r="C2644" s="14">
        <v>2.0</v>
      </c>
      <c r="D2644" s="15" t="s">
        <v>5323</v>
      </c>
      <c r="E2644" s="16" t="s">
        <v>221</v>
      </c>
      <c r="F2644" s="13" t="s">
        <v>81</v>
      </c>
      <c r="G2644" s="13" t="s">
        <v>4469</v>
      </c>
      <c r="H2644" s="13" t="s">
        <v>4835</v>
      </c>
      <c r="I2644" s="13" t="s">
        <v>63</v>
      </c>
      <c r="J2644" s="17" t="s">
        <v>67</v>
      </c>
      <c r="K2644" s="17" t="s">
        <v>58</v>
      </c>
      <c r="L2644" s="18" t="s">
        <v>52</v>
      </c>
      <c r="M2644" s="19">
        <v>66.0</v>
      </c>
      <c r="N2644" s="19">
        <v>21.0</v>
      </c>
    </row>
    <row r="2645">
      <c r="A2645" s="12">
        <v>2643.0</v>
      </c>
      <c r="B2645" s="13" t="s">
        <v>5322</v>
      </c>
      <c r="C2645" s="14">
        <v>3.0</v>
      </c>
      <c r="D2645" s="15" t="s">
        <v>5324</v>
      </c>
      <c r="E2645" s="16" t="s">
        <v>221</v>
      </c>
      <c r="F2645" s="13" t="s">
        <v>3054</v>
      </c>
      <c r="G2645" s="13" t="s">
        <v>5325</v>
      </c>
      <c r="H2645" s="13" t="s">
        <v>5326</v>
      </c>
      <c r="I2645" s="13" t="s">
        <v>63</v>
      </c>
      <c r="J2645" s="17" t="s">
        <v>67</v>
      </c>
      <c r="K2645" s="17" t="s">
        <v>58</v>
      </c>
      <c r="L2645" s="18" t="s">
        <v>52</v>
      </c>
      <c r="M2645" s="19">
        <v>66.0</v>
      </c>
      <c r="N2645" s="19">
        <v>21.0</v>
      </c>
    </row>
    <row r="2646">
      <c r="A2646" s="12">
        <v>2644.0</v>
      </c>
      <c r="B2646" s="13" t="s">
        <v>5322</v>
      </c>
      <c r="C2646" s="14">
        <v>4.0</v>
      </c>
      <c r="D2646" s="15" t="s">
        <v>5327</v>
      </c>
      <c r="E2646" s="16" t="s">
        <v>221</v>
      </c>
      <c r="F2646" s="13" t="s">
        <v>3533</v>
      </c>
      <c r="G2646" s="13" t="s">
        <v>3534</v>
      </c>
      <c r="H2646" s="13" t="s">
        <v>5035</v>
      </c>
      <c r="I2646" s="13" t="s">
        <v>63</v>
      </c>
      <c r="J2646" s="17" t="s">
        <v>71</v>
      </c>
      <c r="K2646" s="17" t="s">
        <v>58</v>
      </c>
      <c r="L2646" s="18" t="s">
        <v>52</v>
      </c>
      <c r="M2646" s="19">
        <v>66.0</v>
      </c>
      <c r="N2646" s="19">
        <v>31.0</v>
      </c>
    </row>
    <row r="2647">
      <c r="A2647" s="12">
        <v>2645.0</v>
      </c>
      <c r="B2647" s="13" t="s">
        <v>5322</v>
      </c>
      <c r="C2647" s="14">
        <v>5.0</v>
      </c>
      <c r="D2647" s="15" t="s">
        <v>5327</v>
      </c>
      <c r="E2647" s="16" t="s">
        <v>221</v>
      </c>
      <c r="F2647" s="13" t="s">
        <v>4452</v>
      </c>
      <c r="G2647" s="13" t="s">
        <v>4649</v>
      </c>
      <c r="H2647" s="13" t="s">
        <v>4650</v>
      </c>
      <c r="I2647" s="13" t="s">
        <v>63</v>
      </c>
      <c r="J2647" s="17" t="s">
        <v>71</v>
      </c>
      <c r="K2647" s="17" t="s">
        <v>58</v>
      </c>
      <c r="L2647" s="18" t="s">
        <v>52</v>
      </c>
      <c r="M2647" s="19">
        <v>66.0</v>
      </c>
      <c r="N2647" s="19">
        <v>31.0</v>
      </c>
    </row>
    <row r="2648">
      <c r="A2648" s="12">
        <v>2646.0</v>
      </c>
      <c r="B2648" s="13" t="s">
        <v>5322</v>
      </c>
      <c r="C2648" s="14">
        <v>6.0</v>
      </c>
      <c r="D2648" s="15" t="s">
        <v>5327</v>
      </c>
      <c r="E2648" s="16" t="s">
        <v>221</v>
      </c>
      <c r="F2648" s="13" t="s">
        <v>1716</v>
      </c>
      <c r="G2648" s="13" t="s">
        <v>1717</v>
      </c>
      <c r="H2648" s="13" t="s">
        <v>5328</v>
      </c>
      <c r="I2648" s="13" t="s">
        <v>63</v>
      </c>
      <c r="J2648" s="17" t="s">
        <v>71</v>
      </c>
      <c r="K2648" s="17" t="s">
        <v>58</v>
      </c>
      <c r="L2648" s="18" t="s">
        <v>52</v>
      </c>
      <c r="M2648" s="19">
        <v>66.0</v>
      </c>
      <c r="N2648" s="19">
        <v>31.0</v>
      </c>
    </row>
    <row r="2649">
      <c r="A2649" s="12">
        <v>2647.0</v>
      </c>
      <c r="B2649" s="13" t="s">
        <v>5322</v>
      </c>
      <c r="C2649" s="14">
        <v>7.0</v>
      </c>
      <c r="D2649" s="15" t="s">
        <v>5327</v>
      </c>
      <c r="E2649" s="16" t="s">
        <v>221</v>
      </c>
      <c r="F2649" s="13" t="s">
        <v>3059</v>
      </c>
      <c r="G2649" s="13" t="s">
        <v>5038</v>
      </c>
      <c r="H2649" s="13" t="s">
        <v>5039</v>
      </c>
      <c r="I2649" s="13" t="s">
        <v>63</v>
      </c>
      <c r="J2649" s="17" t="s">
        <v>71</v>
      </c>
      <c r="K2649" s="17" t="s">
        <v>58</v>
      </c>
      <c r="L2649" s="18" t="s">
        <v>52</v>
      </c>
      <c r="M2649" s="19">
        <v>66.0</v>
      </c>
      <c r="N2649" s="19">
        <v>31.0</v>
      </c>
    </row>
    <row r="2650">
      <c r="A2650" s="12">
        <v>2648.0</v>
      </c>
      <c r="B2650" s="13" t="s">
        <v>5322</v>
      </c>
      <c r="C2650" s="14">
        <v>8.0</v>
      </c>
      <c r="D2650" s="15" t="s">
        <v>5323</v>
      </c>
      <c r="E2650" s="16" t="s">
        <v>221</v>
      </c>
      <c r="F2650" s="13" t="s">
        <v>4771</v>
      </c>
      <c r="G2650" s="13" t="s">
        <v>4772</v>
      </c>
      <c r="H2650" s="13" t="s">
        <v>5007</v>
      </c>
      <c r="I2650" s="13" t="s">
        <v>63</v>
      </c>
      <c r="J2650" s="17" t="s">
        <v>71</v>
      </c>
      <c r="K2650" s="17" t="s">
        <v>58</v>
      </c>
      <c r="L2650" s="18" t="s">
        <v>52</v>
      </c>
      <c r="M2650" s="19">
        <v>66.0</v>
      </c>
      <c r="N2650" s="19">
        <v>31.0</v>
      </c>
    </row>
    <row r="2651">
      <c r="A2651" s="12">
        <v>2649.0</v>
      </c>
      <c r="B2651" s="13" t="s">
        <v>5322</v>
      </c>
      <c r="C2651" s="14">
        <v>9.0</v>
      </c>
      <c r="D2651" s="15" t="s">
        <v>5323</v>
      </c>
      <c r="E2651" s="16" t="s">
        <v>221</v>
      </c>
      <c r="F2651" s="13" t="s">
        <v>457</v>
      </c>
      <c r="G2651" s="13" t="s">
        <v>4789</v>
      </c>
      <c r="H2651" s="13" t="s">
        <v>4790</v>
      </c>
      <c r="I2651" s="13" t="s">
        <v>63</v>
      </c>
      <c r="J2651" s="17" t="s">
        <v>71</v>
      </c>
      <c r="K2651" s="17" t="s">
        <v>58</v>
      </c>
      <c r="L2651" s="18" t="s">
        <v>52</v>
      </c>
      <c r="M2651" s="19">
        <v>66.0</v>
      </c>
      <c r="N2651" s="19">
        <v>31.0</v>
      </c>
    </row>
    <row r="2652">
      <c r="A2652" s="12">
        <v>2650.0</v>
      </c>
      <c r="B2652" s="13" t="s">
        <v>5322</v>
      </c>
      <c r="C2652" s="14">
        <v>10.0</v>
      </c>
      <c r="D2652" s="15" t="s">
        <v>5323</v>
      </c>
      <c r="E2652" s="16" t="s">
        <v>221</v>
      </c>
      <c r="F2652" s="13" t="s">
        <v>4512</v>
      </c>
      <c r="G2652" s="13" t="s">
        <v>4513</v>
      </c>
      <c r="H2652" s="13" t="s">
        <v>4514</v>
      </c>
      <c r="I2652" s="13" t="s">
        <v>63</v>
      </c>
      <c r="J2652" s="17" t="s">
        <v>71</v>
      </c>
      <c r="K2652" s="17" t="s">
        <v>58</v>
      </c>
      <c r="L2652" s="18" t="s">
        <v>52</v>
      </c>
      <c r="M2652" s="19">
        <v>66.0</v>
      </c>
      <c r="N2652" s="19">
        <v>31.0</v>
      </c>
    </row>
    <row r="2653">
      <c r="A2653" s="12">
        <v>2651.0</v>
      </c>
      <c r="B2653" s="13" t="s">
        <v>5322</v>
      </c>
      <c r="C2653" s="14">
        <v>11.0</v>
      </c>
      <c r="D2653" s="15" t="s">
        <v>5323</v>
      </c>
      <c r="E2653" s="16" t="s">
        <v>221</v>
      </c>
      <c r="F2653" s="13" t="s">
        <v>2614</v>
      </c>
      <c r="G2653" s="13" t="s">
        <v>5329</v>
      </c>
      <c r="H2653" s="13" t="s">
        <v>5330</v>
      </c>
      <c r="I2653" s="13" t="s">
        <v>63</v>
      </c>
      <c r="J2653" s="17" t="s">
        <v>71</v>
      </c>
      <c r="K2653" s="17" t="s">
        <v>58</v>
      </c>
      <c r="L2653" s="18" t="s">
        <v>52</v>
      </c>
      <c r="M2653" s="19">
        <v>66.0</v>
      </c>
      <c r="N2653" s="19">
        <v>31.0</v>
      </c>
    </row>
    <row r="2654">
      <c r="A2654" s="12">
        <v>2652.0</v>
      </c>
      <c r="B2654" s="13" t="s">
        <v>5322</v>
      </c>
      <c r="C2654" s="14">
        <v>12.0</v>
      </c>
      <c r="D2654" s="15" t="s">
        <v>5323</v>
      </c>
      <c r="E2654" s="16" t="s">
        <v>221</v>
      </c>
      <c r="F2654" s="13" t="s">
        <v>4449</v>
      </c>
      <c r="G2654" s="13" t="s">
        <v>4450</v>
      </c>
      <c r="H2654" s="13" t="s">
        <v>4451</v>
      </c>
      <c r="I2654" s="13" t="s">
        <v>63</v>
      </c>
      <c r="J2654" s="17" t="s">
        <v>71</v>
      </c>
      <c r="K2654" s="17" t="s">
        <v>58</v>
      </c>
      <c r="L2654" s="18" t="s">
        <v>52</v>
      </c>
      <c r="M2654" s="19">
        <v>66.0</v>
      </c>
      <c r="N2654" s="19">
        <v>31.0</v>
      </c>
    </row>
    <row r="2655">
      <c r="A2655" s="12">
        <v>2653.0</v>
      </c>
      <c r="B2655" s="13" t="s">
        <v>5322</v>
      </c>
      <c r="C2655" s="14">
        <v>13.0</v>
      </c>
      <c r="D2655" s="15" t="s">
        <v>5323</v>
      </c>
      <c r="E2655" s="16" t="s">
        <v>221</v>
      </c>
      <c r="F2655" s="13" t="s">
        <v>101</v>
      </c>
      <c r="G2655" s="13" t="s">
        <v>3197</v>
      </c>
      <c r="H2655" s="13" t="s">
        <v>4518</v>
      </c>
      <c r="I2655" s="13" t="s">
        <v>63</v>
      </c>
      <c r="J2655" s="17" t="s">
        <v>71</v>
      </c>
      <c r="K2655" s="17" t="s">
        <v>58</v>
      </c>
      <c r="L2655" s="18" t="s">
        <v>52</v>
      </c>
      <c r="M2655" s="19">
        <v>66.0</v>
      </c>
      <c r="N2655" s="19">
        <v>31.0</v>
      </c>
    </row>
    <row r="2656">
      <c r="A2656" s="12">
        <v>2654.0</v>
      </c>
      <c r="B2656" s="13" t="s">
        <v>5322</v>
      </c>
      <c r="C2656" s="14">
        <v>14.0</v>
      </c>
      <c r="D2656" s="15" t="s">
        <v>5323</v>
      </c>
      <c r="E2656" s="16" t="s">
        <v>221</v>
      </c>
      <c r="F2656" s="13" t="s">
        <v>2804</v>
      </c>
      <c r="G2656" s="13" t="s">
        <v>3426</v>
      </c>
      <c r="H2656" s="13" t="s">
        <v>4519</v>
      </c>
      <c r="I2656" s="13" t="s">
        <v>63</v>
      </c>
      <c r="J2656" s="17" t="s">
        <v>71</v>
      </c>
      <c r="K2656" s="17" t="s">
        <v>58</v>
      </c>
      <c r="L2656" s="18" t="s">
        <v>52</v>
      </c>
      <c r="M2656" s="19">
        <v>66.0</v>
      </c>
      <c r="N2656" s="19">
        <v>31.0</v>
      </c>
    </row>
    <row r="2657">
      <c r="A2657" s="12">
        <v>2655.0</v>
      </c>
      <c r="B2657" s="13" t="s">
        <v>5322</v>
      </c>
      <c r="C2657" s="14">
        <v>15.0</v>
      </c>
      <c r="D2657" s="15" t="s">
        <v>5323</v>
      </c>
      <c r="E2657" s="16" t="s">
        <v>221</v>
      </c>
      <c r="F2657" s="13" t="s">
        <v>1690</v>
      </c>
      <c r="G2657" s="13" t="s">
        <v>1691</v>
      </c>
      <c r="H2657" s="13" t="s">
        <v>4520</v>
      </c>
      <c r="I2657" s="13" t="s">
        <v>63</v>
      </c>
      <c r="J2657" s="17" t="s">
        <v>71</v>
      </c>
      <c r="K2657" s="17" t="s">
        <v>58</v>
      </c>
      <c r="L2657" s="18" t="s">
        <v>52</v>
      </c>
      <c r="M2657" s="19">
        <v>66.0</v>
      </c>
      <c r="N2657" s="19">
        <v>31.0</v>
      </c>
    </row>
    <row r="2658">
      <c r="A2658" s="12">
        <v>2656.0</v>
      </c>
      <c r="B2658" s="13" t="s">
        <v>5322</v>
      </c>
      <c r="C2658" s="14">
        <v>16.0</v>
      </c>
      <c r="D2658" s="15" t="s">
        <v>5323</v>
      </c>
      <c r="E2658" s="16" t="s">
        <v>221</v>
      </c>
      <c r="F2658" s="13" t="s">
        <v>109</v>
      </c>
      <c r="G2658" s="13" t="s">
        <v>110</v>
      </c>
      <c r="H2658" s="13" t="s">
        <v>111</v>
      </c>
      <c r="I2658" s="13" t="s">
        <v>63</v>
      </c>
      <c r="J2658" s="17" t="s">
        <v>71</v>
      </c>
      <c r="K2658" s="17" t="s">
        <v>58</v>
      </c>
      <c r="L2658" s="18" t="s">
        <v>52</v>
      </c>
      <c r="M2658" s="19">
        <v>66.0</v>
      </c>
      <c r="N2658" s="19">
        <v>31.0</v>
      </c>
    </row>
    <row r="2659">
      <c r="A2659" s="12">
        <v>2657.0</v>
      </c>
      <c r="B2659" s="13" t="s">
        <v>5322</v>
      </c>
      <c r="C2659" s="14">
        <v>17.0</v>
      </c>
      <c r="D2659" s="15" t="s">
        <v>5323</v>
      </c>
      <c r="E2659" s="16" t="s">
        <v>221</v>
      </c>
      <c r="F2659" s="13" t="s">
        <v>4526</v>
      </c>
      <c r="G2659" s="13" t="s">
        <v>4527</v>
      </c>
      <c r="H2659" s="13" t="s">
        <v>4528</v>
      </c>
      <c r="I2659" s="13" t="s">
        <v>63</v>
      </c>
      <c r="J2659" s="17" t="s">
        <v>71</v>
      </c>
      <c r="K2659" s="17" t="s">
        <v>58</v>
      </c>
      <c r="L2659" s="18" t="s">
        <v>52</v>
      </c>
      <c r="M2659" s="19">
        <v>66.0</v>
      </c>
      <c r="N2659" s="19">
        <v>31.0</v>
      </c>
    </row>
    <row r="2660">
      <c r="A2660" s="12">
        <v>2658.0</v>
      </c>
      <c r="B2660" s="13" t="s">
        <v>5322</v>
      </c>
      <c r="C2660" s="14">
        <v>18.0</v>
      </c>
      <c r="D2660" s="15" t="s">
        <v>5323</v>
      </c>
      <c r="E2660" s="16" t="s">
        <v>221</v>
      </c>
      <c r="F2660" s="13" t="s">
        <v>4091</v>
      </c>
      <c r="G2660" s="13" t="s">
        <v>4487</v>
      </c>
      <c r="H2660" s="13" t="s">
        <v>4488</v>
      </c>
      <c r="I2660" s="13" t="s">
        <v>63</v>
      </c>
      <c r="J2660" s="17" t="s">
        <v>71</v>
      </c>
      <c r="K2660" s="17" t="s">
        <v>58</v>
      </c>
      <c r="L2660" s="18" t="s">
        <v>52</v>
      </c>
      <c r="M2660" s="19">
        <v>66.0</v>
      </c>
      <c r="N2660" s="19">
        <v>31.0</v>
      </c>
    </row>
    <row r="2661">
      <c r="A2661" s="12">
        <v>2659.0</v>
      </c>
      <c r="B2661" s="13" t="s">
        <v>5322</v>
      </c>
      <c r="C2661" s="14">
        <v>19.0</v>
      </c>
      <c r="D2661" s="15" t="s">
        <v>5323</v>
      </c>
      <c r="E2661" s="16" t="s">
        <v>221</v>
      </c>
      <c r="F2661" s="13" t="s">
        <v>2591</v>
      </c>
      <c r="G2661" s="13" t="s">
        <v>3069</v>
      </c>
      <c r="H2661" s="13" t="s">
        <v>4731</v>
      </c>
      <c r="I2661" s="13" t="s">
        <v>63</v>
      </c>
      <c r="J2661" s="17" t="s">
        <v>71</v>
      </c>
      <c r="K2661" s="17" t="s">
        <v>58</v>
      </c>
      <c r="L2661" s="18" t="s">
        <v>52</v>
      </c>
      <c r="M2661" s="19">
        <v>66.0</v>
      </c>
      <c r="N2661" s="19">
        <v>31.0</v>
      </c>
    </row>
    <row r="2662">
      <c r="A2662" s="12">
        <v>2660.0</v>
      </c>
      <c r="B2662" s="13" t="s">
        <v>5322</v>
      </c>
      <c r="C2662" s="14">
        <v>20.0</v>
      </c>
      <c r="D2662" s="15" t="s">
        <v>5323</v>
      </c>
      <c r="E2662" s="16" t="s">
        <v>221</v>
      </c>
      <c r="F2662" s="13" t="s">
        <v>1677</v>
      </c>
      <c r="G2662" s="13" t="s">
        <v>5031</v>
      </c>
      <c r="H2662" s="13" t="s">
        <v>5032</v>
      </c>
      <c r="I2662" s="13" t="s">
        <v>63</v>
      </c>
      <c r="J2662" s="17" t="s">
        <v>71</v>
      </c>
      <c r="K2662" s="17" t="s">
        <v>58</v>
      </c>
      <c r="L2662" s="18" t="s">
        <v>52</v>
      </c>
      <c r="M2662" s="19">
        <v>66.0</v>
      </c>
      <c r="N2662" s="19">
        <v>31.0</v>
      </c>
    </row>
    <row r="2663">
      <c r="A2663" s="12">
        <v>2661.0</v>
      </c>
      <c r="B2663" s="13" t="s">
        <v>5322</v>
      </c>
      <c r="C2663" s="14">
        <v>21.0</v>
      </c>
      <c r="D2663" s="15" t="s">
        <v>5323</v>
      </c>
      <c r="E2663" s="16" t="s">
        <v>221</v>
      </c>
      <c r="F2663" s="13" t="s">
        <v>2585</v>
      </c>
      <c r="G2663" s="13" t="s">
        <v>2586</v>
      </c>
      <c r="H2663" s="13" t="s">
        <v>4784</v>
      </c>
      <c r="I2663" s="13" t="s">
        <v>63</v>
      </c>
      <c r="J2663" s="17" t="s">
        <v>71</v>
      </c>
      <c r="K2663" s="17" t="s">
        <v>58</v>
      </c>
      <c r="L2663" s="18" t="s">
        <v>52</v>
      </c>
      <c r="M2663" s="19">
        <v>66.0</v>
      </c>
      <c r="N2663" s="19">
        <v>31.0</v>
      </c>
    </row>
    <row r="2664">
      <c r="A2664" s="12">
        <v>2662.0</v>
      </c>
      <c r="B2664" s="13" t="s">
        <v>5322</v>
      </c>
      <c r="C2664" s="14">
        <v>22.0</v>
      </c>
      <c r="D2664" s="15" t="s">
        <v>5323</v>
      </c>
      <c r="E2664" s="16" t="s">
        <v>221</v>
      </c>
      <c r="F2664" s="13" t="s">
        <v>4493</v>
      </c>
      <c r="G2664" s="13" t="s">
        <v>61</v>
      </c>
      <c r="H2664" s="13" t="s">
        <v>5334</v>
      </c>
      <c r="I2664" s="13" t="s">
        <v>63</v>
      </c>
      <c r="J2664" s="17" t="s">
        <v>71</v>
      </c>
      <c r="K2664" s="17" t="s">
        <v>58</v>
      </c>
      <c r="L2664" s="18" t="s">
        <v>52</v>
      </c>
      <c r="M2664" s="19">
        <v>66.0</v>
      </c>
      <c r="N2664" s="19">
        <v>31.0</v>
      </c>
    </row>
    <row r="2665">
      <c r="A2665" s="12">
        <v>2663.0</v>
      </c>
      <c r="B2665" s="13" t="s">
        <v>5322</v>
      </c>
      <c r="C2665" s="14">
        <v>23.0</v>
      </c>
      <c r="D2665" s="15" t="s">
        <v>5323</v>
      </c>
      <c r="E2665" s="16" t="s">
        <v>221</v>
      </c>
      <c r="F2665" s="13" t="s">
        <v>53</v>
      </c>
      <c r="G2665" s="13" t="s">
        <v>4531</v>
      </c>
      <c r="H2665" s="13" t="s">
        <v>4532</v>
      </c>
      <c r="I2665" s="13" t="s">
        <v>63</v>
      </c>
      <c r="J2665" s="17" t="s">
        <v>71</v>
      </c>
      <c r="K2665" s="17" t="s">
        <v>58</v>
      </c>
      <c r="L2665" s="18" t="s">
        <v>52</v>
      </c>
      <c r="M2665" s="19">
        <v>66.0</v>
      </c>
      <c r="N2665" s="19">
        <v>31.0</v>
      </c>
    </row>
    <row r="2666">
      <c r="A2666" s="12">
        <v>2664.0</v>
      </c>
      <c r="B2666" s="13" t="s">
        <v>5322</v>
      </c>
      <c r="C2666" s="14">
        <v>24.0</v>
      </c>
      <c r="D2666" s="15" t="s">
        <v>5323</v>
      </c>
      <c r="E2666" s="16" t="s">
        <v>221</v>
      </c>
      <c r="F2666" s="13" t="s">
        <v>2753</v>
      </c>
      <c r="G2666" s="13" t="s">
        <v>4497</v>
      </c>
      <c r="H2666" s="13" t="s">
        <v>4488</v>
      </c>
      <c r="I2666" s="13" t="s">
        <v>63</v>
      </c>
      <c r="J2666" s="17" t="s">
        <v>71</v>
      </c>
      <c r="K2666" s="17" t="s">
        <v>58</v>
      </c>
      <c r="L2666" s="18" t="s">
        <v>52</v>
      </c>
      <c r="M2666" s="19">
        <v>66.0</v>
      </c>
      <c r="N2666" s="19">
        <v>31.0</v>
      </c>
    </row>
    <row r="2667">
      <c r="A2667" s="12">
        <v>2665.0</v>
      </c>
      <c r="B2667" s="13" t="s">
        <v>5322</v>
      </c>
      <c r="C2667" s="14">
        <v>25.0</v>
      </c>
      <c r="D2667" s="15" t="s">
        <v>5323</v>
      </c>
      <c r="E2667" s="16" t="s">
        <v>221</v>
      </c>
      <c r="F2667" s="13" t="s">
        <v>561</v>
      </c>
      <c r="G2667" s="13" t="s">
        <v>907</v>
      </c>
      <c r="H2667" s="13" t="s">
        <v>4738</v>
      </c>
      <c r="I2667" s="13" t="s">
        <v>63</v>
      </c>
      <c r="J2667" s="17" t="s">
        <v>71</v>
      </c>
      <c r="K2667" s="17" t="s">
        <v>58</v>
      </c>
      <c r="L2667" s="18" t="s">
        <v>52</v>
      </c>
      <c r="M2667" s="19">
        <v>66.0</v>
      </c>
      <c r="N2667" s="19">
        <v>31.0</v>
      </c>
    </row>
    <row r="2668">
      <c r="A2668" s="12">
        <v>2666.0</v>
      </c>
      <c r="B2668" s="13" t="s">
        <v>5322</v>
      </c>
      <c r="C2668" s="14">
        <v>26.0</v>
      </c>
      <c r="D2668" s="15" t="s">
        <v>5323</v>
      </c>
      <c r="E2668" s="16" t="s">
        <v>221</v>
      </c>
      <c r="F2668" s="13" t="s">
        <v>2756</v>
      </c>
      <c r="G2668" s="13" t="s">
        <v>4538</v>
      </c>
      <c r="H2668" s="13" t="s">
        <v>4539</v>
      </c>
      <c r="I2668" s="13" t="s">
        <v>63</v>
      </c>
      <c r="J2668" s="17" t="s">
        <v>71</v>
      </c>
      <c r="K2668" s="17" t="s">
        <v>58</v>
      </c>
      <c r="L2668" s="18" t="s">
        <v>52</v>
      </c>
      <c r="M2668" s="19">
        <v>66.0</v>
      </c>
      <c r="N2668" s="19">
        <v>31.0</v>
      </c>
    </row>
    <row r="2669">
      <c r="A2669" s="12">
        <v>2667.0</v>
      </c>
      <c r="B2669" s="13" t="s">
        <v>5322</v>
      </c>
      <c r="C2669" s="14">
        <v>27.0</v>
      </c>
      <c r="D2669" s="15" t="s">
        <v>5323</v>
      </c>
      <c r="E2669" s="16" t="s">
        <v>221</v>
      </c>
      <c r="F2669" s="13" t="s">
        <v>423</v>
      </c>
      <c r="G2669" s="13" t="s">
        <v>4739</v>
      </c>
      <c r="H2669" s="13" t="s">
        <v>4740</v>
      </c>
      <c r="I2669" s="13" t="s">
        <v>63</v>
      </c>
      <c r="J2669" s="17" t="s">
        <v>71</v>
      </c>
      <c r="K2669" s="17" t="s">
        <v>58</v>
      </c>
      <c r="L2669" s="18" t="s">
        <v>52</v>
      </c>
      <c r="M2669" s="19">
        <v>66.0</v>
      </c>
      <c r="N2669" s="19">
        <v>31.0</v>
      </c>
    </row>
    <row r="2670">
      <c r="A2670" s="12">
        <v>2668.0</v>
      </c>
      <c r="B2670" s="13" t="s">
        <v>5322</v>
      </c>
      <c r="C2670" s="14">
        <v>28.0</v>
      </c>
      <c r="D2670" s="15" t="s">
        <v>5323</v>
      </c>
      <c r="E2670" s="16" t="s">
        <v>221</v>
      </c>
      <c r="F2670" s="13" t="s">
        <v>3079</v>
      </c>
      <c r="G2670" s="13" t="s">
        <v>3080</v>
      </c>
      <c r="H2670" s="13" t="s">
        <v>4542</v>
      </c>
      <c r="I2670" s="13" t="s">
        <v>63</v>
      </c>
      <c r="J2670" s="17" t="s">
        <v>71</v>
      </c>
      <c r="K2670" s="17" t="s">
        <v>58</v>
      </c>
      <c r="L2670" s="18" t="s">
        <v>52</v>
      </c>
      <c r="M2670" s="19">
        <v>66.0</v>
      </c>
      <c r="N2670" s="19">
        <v>31.0</v>
      </c>
    </row>
    <row r="2671">
      <c r="A2671" s="12">
        <v>2669.0</v>
      </c>
      <c r="B2671" s="13" t="s">
        <v>5322</v>
      </c>
      <c r="C2671" s="14">
        <v>29.0</v>
      </c>
      <c r="D2671" s="15" t="s">
        <v>5323</v>
      </c>
      <c r="E2671" s="16" t="s">
        <v>221</v>
      </c>
      <c r="F2671" s="13" t="s">
        <v>2680</v>
      </c>
      <c r="G2671" s="13" t="s">
        <v>4925</v>
      </c>
      <c r="H2671" s="13" t="s">
        <v>3524</v>
      </c>
      <c r="I2671" s="13" t="s">
        <v>63</v>
      </c>
      <c r="J2671" s="17" t="s">
        <v>71</v>
      </c>
      <c r="K2671" s="17" t="s">
        <v>58</v>
      </c>
      <c r="L2671" s="18" t="s">
        <v>52</v>
      </c>
      <c r="M2671" s="19">
        <v>66.0</v>
      </c>
      <c r="N2671" s="19">
        <v>31.0</v>
      </c>
    </row>
    <row r="2672">
      <c r="A2672" s="12">
        <v>2670.0</v>
      </c>
      <c r="B2672" s="13" t="s">
        <v>5322</v>
      </c>
      <c r="C2672" s="14">
        <v>30.0</v>
      </c>
      <c r="D2672" s="15" t="s">
        <v>5323</v>
      </c>
      <c r="E2672" s="16" t="s">
        <v>221</v>
      </c>
      <c r="F2672" s="13" t="s">
        <v>174</v>
      </c>
      <c r="G2672" s="13" t="s">
        <v>5338</v>
      </c>
      <c r="H2672" s="13" t="s">
        <v>5339</v>
      </c>
      <c r="I2672" s="13" t="s">
        <v>63</v>
      </c>
      <c r="J2672" s="17" t="s">
        <v>71</v>
      </c>
      <c r="K2672" s="17" t="s">
        <v>58</v>
      </c>
      <c r="L2672" s="18" t="s">
        <v>52</v>
      </c>
      <c r="M2672" s="19">
        <v>66.0</v>
      </c>
      <c r="N2672" s="19">
        <v>31.0</v>
      </c>
    </row>
    <row r="2673">
      <c r="A2673" s="12">
        <v>2671.0</v>
      </c>
      <c r="B2673" s="13" t="s">
        <v>5322</v>
      </c>
      <c r="C2673" s="14">
        <v>31.0</v>
      </c>
      <c r="D2673" s="15" t="s">
        <v>5323</v>
      </c>
      <c r="E2673" s="16" t="s">
        <v>221</v>
      </c>
      <c r="F2673" s="13" t="s">
        <v>96</v>
      </c>
      <c r="G2673" s="13" t="s">
        <v>61</v>
      </c>
      <c r="H2673" s="13" t="s">
        <v>97</v>
      </c>
      <c r="I2673" s="13" t="s">
        <v>63</v>
      </c>
      <c r="J2673" s="17" t="s">
        <v>71</v>
      </c>
      <c r="K2673" s="17" t="s">
        <v>58</v>
      </c>
      <c r="L2673" s="18" t="s">
        <v>52</v>
      </c>
      <c r="M2673" s="19">
        <v>66.0</v>
      </c>
      <c r="N2673" s="19">
        <v>31.0</v>
      </c>
    </row>
    <row r="2674">
      <c r="A2674" s="12">
        <v>2672.0</v>
      </c>
      <c r="B2674" s="13" t="s">
        <v>5322</v>
      </c>
      <c r="C2674" s="14">
        <v>32.0</v>
      </c>
      <c r="D2674" s="15" t="s">
        <v>5323</v>
      </c>
      <c r="E2674" s="16" t="s">
        <v>221</v>
      </c>
      <c r="F2674" s="13" t="s">
        <v>75</v>
      </c>
      <c r="G2674" s="13" t="s">
        <v>76</v>
      </c>
      <c r="H2674" s="13" t="s">
        <v>77</v>
      </c>
      <c r="I2674" s="13" t="s">
        <v>63</v>
      </c>
      <c r="J2674" s="17" t="s">
        <v>71</v>
      </c>
      <c r="K2674" s="17" t="s">
        <v>58</v>
      </c>
      <c r="L2674" s="18" t="s">
        <v>52</v>
      </c>
      <c r="M2674" s="19">
        <v>66.0</v>
      </c>
      <c r="N2674" s="19">
        <v>31.0</v>
      </c>
    </row>
    <row r="2675">
      <c r="A2675" s="12">
        <v>2673.0</v>
      </c>
      <c r="B2675" s="13" t="s">
        <v>5322</v>
      </c>
      <c r="C2675" s="14">
        <v>33.0</v>
      </c>
      <c r="D2675" s="15" t="s">
        <v>5323</v>
      </c>
      <c r="E2675" s="16" t="s">
        <v>221</v>
      </c>
      <c r="F2675" s="13" t="s">
        <v>1174</v>
      </c>
      <c r="G2675" s="13" t="s">
        <v>2704</v>
      </c>
      <c r="H2675" s="13" t="s">
        <v>5028</v>
      </c>
      <c r="I2675" s="13" t="s">
        <v>63</v>
      </c>
      <c r="J2675" s="17" t="s">
        <v>71</v>
      </c>
      <c r="K2675" s="17" t="s">
        <v>58</v>
      </c>
      <c r="L2675" s="18" t="s">
        <v>52</v>
      </c>
      <c r="M2675" s="19">
        <v>66.0</v>
      </c>
      <c r="N2675" s="19">
        <v>31.0</v>
      </c>
    </row>
    <row r="2676">
      <c r="A2676" s="12">
        <v>2674.0</v>
      </c>
      <c r="B2676" s="13" t="s">
        <v>5322</v>
      </c>
      <c r="C2676" s="14">
        <v>34.0</v>
      </c>
      <c r="D2676" s="15" t="s">
        <v>5323</v>
      </c>
      <c r="E2676" s="16" t="s">
        <v>221</v>
      </c>
      <c r="F2676" s="13" t="s">
        <v>3339</v>
      </c>
      <c r="G2676" s="13" t="s">
        <v>3340</v>
      </c>
      <c r="H2676" s="13" t="s">
        <v>5028</v>
      </c>
      <c r="I2676" s="13" t="s">
        <v>63</v>
      </c>
      <c r="J2676" s="17" t="s">
        <v>71</v>
      </c>
      <c r="K2676" s="17" t="s">
        <v>58</v>
      </c>
      <c r="L2676" s="18" t="s">
        <v>52</v>
      </c>
      <c r="M2676" s="19">
        <v>66.0</v>
      </c>
      <c r="N2676" s="19">
        <v>31.0</v>
      </c>
    </row>
    <row r="2677">
      <c r="A2677" s="12">
        <v>2675.0</v>
      </c>
      <c r="B2677" s="13" t="s">
        <v>5322</v>
      </c>
      <c r="C2677" s="14">
        <v>35.0</v>
      </c>
      <c r="D2677" s="15" t="s">
        <v>5323</v>
      </c>
      <c r="E2677" s="16" t="s">
        <v>221</v>
      </c>
      <c r="F2677" s="13" t="s">
        <v>2773</v>
      </c>
      <c r="G2677" s="13" t="s">
        <v>4826</v>
      </c>
      <c r="H2677" s="13" t="s">
        <v>4827</v>
      </c>
      <c r="I2677" s="13" t="s">
        <v>63</v>
      </c>
      <c r="J2677" s="17" t="s">
        <v>71</v>
      </c>
      <c r="K2677" s="17" t="s">
        <v>58</v>
      </c>
      <c r="L2677" s="18" t="s">
        <v>52</v>
      </c>
      <c r="M2677" s="19">
        <v>66.0</v>
      </c>
      <c r="N2677" s="19">
        <v>31.0</v>
      </c>
    </row>
    <row r="2678">
      <c r="A2678" s="12">
        <v>2676.0</v>
      </c>
      <c r="B2678" s="13" t="s">
        <v>5322</v>
      </c>
      <c r="C2678" s="14">
        <v>36.0</v>
      </c>
      <c r="D2678" s="15" t="s">
        <v>5323</v>
      </c>
      <c r="E2678" s="16" t="s">
        <v>221</v>
      </c>
      <c r="F2678" s="13" t="s">
        <v>3471</v>
      </c>
      <c r="G2678" s="13" t="s">
        <v>5030</v>
      </c>
      <c r="H2678" s="13" t="s">
        <v>5028</v>
      </c>
      <c r="I2678" s="13" t="s">
        <v>63</v>
      </c>
      <c r="J2678" s="17" t="s">
        <v>71</v>
      </c>
      <c r="K2678" s="17" t="s">
        <v>58</v>
      </c>
      <c r="L2678" s="18" t="s">
        <v>52</v>
      </c>
      <c r="M2678" s="19">
        <v>66.0</v>
      </c>
      <c r="N2678" s="19">
        <v>31.0</v>
      </c>
    </row>
    <row r="2679">
      <c r="A2679" s="12">
        <v>2677.0</v>
      </c>
      <c r="B2679" s="13" t="s">
        <v>5322</v>
      </c>
      <c r="C2679" s="14">
        <v>37.0</v>
      </c>
      <c r="D2679" s="15" t="s">
        <v>5323</v>
      </c>
      <c r="E2679" s="16" t="s">
        <v>221</v>
      </c>
      <c r="F2679" s="13" t="s">
        <v>1103</v>
      </c>
      <c r="G2679" s="13" t="s">
        <v>4786</v>
      </c>
      <c r="H2679" s="13" t="s">
        <v>4787</v>
      </c>
      <c r="I2679" s="13" t="s">
        <v>63</v>
      </c>
      <c r="J2679" s="17" t="s">
        <v>71</v>
      </c>
      <c r="K2679" s="17" t="s">
        <v>58</v>
      </c>
      <c r="L2679" s="18" t="s">
        <v>52</v>
      </c>
      <c r="M2679" s="19">
        <v>66.0</v>
      </c>
      <c r="N2679" s="19">
        <v>31.0</v>
      </c>
    </row>
    <row r="2680">
      <c r="A2680" s="12">
        <v>2678.0</v>
      </c>
      <c r="B2680" s="13" t="s">
        <v>5322</v>
      </c>
      <c r="C2680" s="14">
        <v>38.0</v>
      </c>
      <c r="D2680" s="15" t="s">
        <v>5323</v>
      </c>
      <c r="E2680" s="16" t="s">
        <v>221</v>
      </c>
      <c r="F2680" s="13" t="s">
        <v>2750</v>
      </c>
      <c r="G2680" s="13" t="s">
        <v>2751</v>
      </c>
      <c r="H2680" s="13" t="s">
        <v>2752</v>
      </c>
      <c r="I2680" s="13" t="s">
        <v>63</v>
      </c>
      <c r="J2680" s="17" t="s">
        <v>71</v>
      </c>
      <c r="K2680" s="17" t="s">
        <v>58</v>
      </c>
      <c r="L2680" s="18" t="s">
        <v>52</v>
      </c>
      <c r="M2680" s="19">
        <v>66.0</v>
      </c>
      <c r="N2680" s="19">
        <v>31.0</v>
      </c>
    </row>
    <row r="2681">
      <c r="A2681" s="12">
        <v>2679.0</v>
      </c>
      <c r="B2681" s="13" t="s">
        <v>5322</v>
      </c>
      <c r="C2681" s="14">
        <v>39.0</v>
      </c>
      <c r="D2681" s="15" t="s">
        <v>5323</v>
      </c>
      <c r="E2681" s="16" t="s">
        <v>221</v>
      </c>
      <c r="F2681" s="13" t="s">
        <v>3809</v>
      </c>
      <c r="G2681" s="13" t="s">
        <v>4644</v>
      </c>
      <c r="H2681" s="13" t="s">
        <v>4645</v>
      </c>
      <c r="I2681" s="13" t="s">
        <v>63</v>
      </c>
      <c r="J2681" s="17" t="s">
        <v>71</v>
      </c>
      <c r="K2681" s="17" t="s">
        <v>58</v>
      </c>
      <c r="L2681" s="18" t="s">
        <v>52</v>
      </c>
      <c r="M2681" s="19">
        <v>66.0</v>
      </c>
      <c r="N2681" s="19">
        <v>31.0</v>
      </c>
    </row>
    <row r="2682">
      <c r="A2682" s="12">
        <v>2680.0</v>
      </c>
      <c r="B2682" s="13" t="s">
        <v>5322</v>
      </c>
      <c r="C2682" s="14">
        <v>40.0</v>
      </c>
      <c r="D2682" s="15" t="s">
        <v>5323</v>
      </c>
      <c r="E2682" s="16" t="s">
        <v>221</v>
      </c>
      <c r="F2682" s="13" t="s">
        <v>3543</v>
      </c>
      <c r="G2682" s="13" t="s">
        <v>61</v>
      </c>
      <c r="H2682" s="13" t="s">
        <v>4859</v>
      </c>
      <c r="I2682" s="13" t="s">
        <v>63</v>
      </c>
      <c r="J2682" s="17" t="s">
        <v>71</v>
      </c>
      <c r="K2682" s="17" t="s">
        <v>58</v>
      </c>
      <c r="L2682" s="18" t="s">
        <v>52</v>
      </c>
      <c r="M2682" s="19">
        <v>66.0</v>
      </c>
      <c r="N2682" s="19">
        <v>31.0</v>
      </c>
    </row>
    <row r="2683">
      <c r="A2683" s="12">
        <v>2681.0</v>
      </c>
      <c r="B2683" s="13" t="s">
        <v>5322</v>
      </c>
      <c r="C2683" s="14">
        <v>41.0</v>
      </c>
      <c r="D2683" s="15" t="s">
        <v>5323</v>
      </c>
      <c r="E2683" s="16" t="s">
        <v>221</v>
      </c>
      <c r="F2683" s="13" t="s">
        <v>91</v>
      </c>
      <c r="G2683" s="13" t="s">
        <v>92</v>
      </c>
      <c r="H2683" s="13" t="s">
        <v>93</v>
      </c>
      <c r="I2683" s="13" t="s">
        <v>63</v>
      </c>
      <c r="J2683" s="17" t="s">
        <v>71</v>
      </c>
      <c r="K2683" s="17" t="s">
        <v>58</v>
      </c>
      <c r="L2683" s="18" t="s">
        <v>52</v>
      </c>
      <c r="M2683" s="19">
        <v>66.0</v>
      </c>
      <c r="N2683" s="19">
        <v>31.0</v>
      </c>
    </row>
    <row r="2684">
      <c r="A2684" s="12">
        <v>2682.0</v>
      </c>
      <c r="B2684" s="13" t="s">
        <v>5322</v>
      </c>
      <c r="C2684" s="14">
        <v>42.0</v>
      </c>
      <c r="D2684" s="15" t="s">
        <v>5323</v>
      </c>
      <c r="E2684" s="16" t="s">
        <v>221</v>
      </c>
      <c r="F2684" s="13" t="s">
        <v>64</v>
      </c>
      <c r="G2684" s="13" t="s">
        <v>4779</v>
      </c>
      <c r="H2684" s="13" t="s">
        <v>4780</v>
      </c>
      <c r="I2684" s="13" t="s">
        <v>63</v>
      </c>
      <c r="J2684" s="17" t="s">
        <v>71</v>
      </c>
      <c r="K2684" s="17" t="s">
        <v>58</v>
      </c>
      <c r="L2684" s="18" t="s">
        <v>52</v>
      </c>
      <c r="M2684" s="19">
        <v>66.0</v>
      </c>
      <c r="N2684" s="19">
        <v>31.0</v>
      </c>
    </row>
    <row r="2685">
      <c r="A2685" s="12">
        <v>2683.0</v>
      </c>
      <c r="B2685" s="13" t="s">
        <v>5322</v>
      </c>
      <c r="C2685" s="14">
        <v>43.0</v>
      </c>
      <c r="D2685" s="15" t="s">
        <v>5323</v>
      </c>
      <c r="E2685" s="16" t="s">
        <v>221</v>
      </c>
      <c r="F2685" s="13" t="s">
        <v>4581</v>
      </c>
      <c r="G2685" s="13" t="s">
        <v>5346</v>
      </c>
      <c r="H2685" s="13" t="s">
        <v>5348</v>
      </c>
      <c r="I2685" s="13" t="s">
        <v>63</v>
      </c>
      <c r="J2685" s="17" t="s">
        <v>71</v>
      </c>
      <c r="K2685" s="17" t="s">
        <v>58</v>
      </c>
      <c r="L2685" s="18" t="s">
        <v>52</v>
      </c>
      <c r="M2685" s="19">
        <v>66.0</v>
      </c>
      <c r="N2685" s="19">
        <v>31.0</v>
      </c>
    </row>
    <row r="2686">
      <c r="A2686" s="12">
        <v>2684.0</v>
      </c>
      <c r="B2686" s="13" t="s">
        <v>5322</v>
      </c>
      <c r="C2686" s="14">
        <v>44.0</v>
      </c>
      <c r="D2686" s="15" t="s">
        <v>5323</v>
      </c>
      <c r="E2686" s="16" t="s">
        <v>221</v>
      </c>
      <c r="F2686" s="13" t="s">
        <v>160</v>
      </c>
      <c r="G2686" s="13" t="s">
        <v>61</v>
      </c>
      <c r="H2686" s="13" t="s">
        <v>4760</v>
      </c>
      <c r="I2686" s="13" t="s">
        <v>63</v>
      </c>
      <c r="J2686" s="17" t="s">
        <v>71</v>
      </c>
      <c r="K2686" s="17" t="s">
        <v>58</v>
      </c>
      <c r="L2686" s="18" t="s">
        <v>52</v>
      </c>
      <c r="M2686" s="19">
        <v>66.0</v>
      </c>
      <c r="N2686" s="19">
        <v>31.0</v>
      </c>
    </row>
    <row r="2687">
      <c r="A2687" s="12">
        <v>2685.0</v>
      </c>
      <c r="B2687" s="13" t="s">
        <v>5322</v>
      </c>
      <c r="C2687" s="14">
        <v>45.0</v>
      </c>
      <c r="D2687" s="15" t="s">
        <v>5323</v>
      </c>
      <c r="E2687" s="16" t="s">
        <v>221</v>
      </c>
      <c r="F2687" s="13" t="s">
        <v>2072</v>
      </c>
      <c r="G2687" s="13" t="s">
        <v>5050</v>
      </c>
      <c r="H2687" s="13" t="s">
        <v>4736</v>
      </c>
      <c r="I2687" s="13" t="s">
        <v>63</v>
      </c>
      <c r="J2687" s="17" t="s">
        <v>71</v>
      </c>
      <c r="K2687" s="17" t="s">
        <v>58</v>
      </c>
      <c r="L2687" s="18" t="s">
        <v>52</v>
      </c>
      <c r="M2687" s="19">
        <v>66.0</v>
      </c>
      <c r="N2687" s="19">
        <v>31.0</v>
      </c>
    </row>
    <row r="2688">
      <c r="A2688" s="12">
        <v>2686.0</v>
      </c>
      <c r="B2688" s="13" t="s">
        <v>5322</v>
      </c>
      <c r="C2688" s="14">
        <v>46.0</v>
      </c>
      <c r="D2688" s="15" t="s">
        <v>5323</v>
      </c>
      <c r="E2688" s="16" t="s">
        <v>221</v>
      </c>
      <c r="F2688" s="13" t="s">
        <v>104</v>
      </c>
      <c r="G2688" s="13" t="s">
        <v>105</v>
      </c>
      <c r="H2688" s="13" t="s">
        <v>106</v>
      </c>
      <c r="I2688" s="13" t="s">
        <v>63</v>
      </c>
      <c r="J2688" s="17" t="s">
        <v>71</v>
      </c>
      <c r="K2688" s="17" t="s">
        <v>58</v>
      </c>
      <c r="L2688" s="18" t="s">
        <v>52</v>
      </c>
      <c r="M2688" s="19">
        <v>66.0</v>
      </c>
      <c r="N2688" s="19">
        <v>31.0</v>
      </c>
    </row>
    <row r="2689">
      <c r="A2689" s="12">
        <v>2687.0</v>
      </c>
      <c r="B2689" s="13" t="s">
        <v>5322</v>
      </c>
      <c r="C2689" s="14">
        <v>47.0</v>
      </c>
      <c r="D2689" s="15" t="s">
        <v>5323</v>
      </c>
      <c r="E2689" s="16" t="s">
        <v>221</v>
      </c>
      <c r="F2689" s="13" t="s">
        <v>4279</v>
      </c>
      <c r="G2689" s="13" t="s">
        <v>4750</v>
      </c>
      <c r="H2689" s="13" t="s">
        <v>4751</v>
      </c>
      <c r="I2689" s="13" t="s">
        <v>63</v>
      </c>
      <c r="J2689" s="17" t="s">
        <v>71</v>
      </c>
      <c r="K2689" s="17" t="s">
        <v>58</v>
      </c>
      <c r="L2689" s="18" t="s">
        <v>52</v>
      </c>
      <c r="M2689" s="19">
        <v>66.0</v>
      </c>
      <c r="N2689" s="19">
        <v>31.0</v>
      </c>
    </row>
    <row r="2690">
      <c r="A2690" s="12">
        <v>2688.0</v>
      </c>
      <c r="B2690" s="13" t="s">
        <v>5322</v>
      </c>
      <c r="C2690" s="14">
        <v>48.0</v>
      </c>
      <c r="D2690" s="15" t="s">
        <v>5323</v>
      </c>
      <c r="E2690" s="16" t="s">
        <v>221</v>
      </c>
      <c r="F2690" s="13" t="s">
        <v>2735</v>
      </c>
      <c r="G2690" s="13" t="s">
        <v>4752</v>
      </c>
      <c r="H2690" s="13" t="s">
        <v>4753</v>
      </c>
      <c r="I2690" s="13" t="s">
        <v>63</v>
      </c>
      <c r="J2690" s="17" t="s">
        <v>71</v>
      </c>
      <c r="K2690" s="17" t="s">
        <v>58</v>
      </c>
      <c r="L2690" s="18" t="s">
        <v>52</v>
      </c>
      <c r="M2690" s="19">
        <v>66.0</v>
      </c>
      <c r="N2690" s="19">
        <v>31.0</v>
      </c>
    </row>
    <row r="2691">
      <c r="A2691" s="12">
        <v>2689.0</v>
      </c>
      <c r="B2691" s="13" t="s">
        <v>5322</v>
      </c>
      <c r="C2691" s="14">
        <v>49.0</v>
      </c>
      <c r="D2691" s="15" t="s">
        <v>5323</v>
      </c>
      <c r="E2691" s="16" t="s">
        <v>221</v>
      </c>
      <c r="F2691" s="13" t="s">
        <v>711</v>
      </c>
      <c r="G2691" s="13" t="s">
        <v>4754</v>
      </c>
      <c r="H2691" s="13" t="s">
        <v>4755</v>
      </c>
      <c r="I2691" s="13" t="s">
        <v>63</v>
      </c>
      <c r="J2691" s="17" t="s">
        <v>71</v>
      </c>
      <c r="K2691" s="17" t="s">
        <v>58</v>
      </c>
      <c r="L2691" s="18" t="s">
        <v>52</v>
      </c>
      <c r="M2691" s="19">
        <v>66.0</v>
      </c>
      <c r="N2691" s="19">
        <v>31.0</v>
      </c>
    </row>
    <row r="2692">
      <c r="A2692" s="12">
        <v>2690.0</v>
      </c>
      <c r="B2692" s="13" t="s">
        <v>5322</v>
      </c>
      <c r="C2692" s="14">
        <v>50.0</v>
      </c>
      <c r="D2692" s="15" t="s">
        <v>5323</v>
      </c>
      <c r="E2692" s="16" t="s">
        <v>221</v>
      </c>
      <c r="F2692" s="13" t="s">
        <v>2019</v>
      </c>
      <c r="G2692" s="13" t="s">
        <v>2560</v>
      </c>
      <c r="H2692" s="13" t="s">
        <v>5349</v>
      </c>
      <c r="I2692" s="13" t="s">
        <v>63</v>
      </c>
      <c r="J2692" s="17" t="s">
        <v>71</v>
      </c>
      <c r="K2692" s="17" t="s">
        <v>58</v>
      </c>
      <c r="L2692" s="18" t="s">
        <v>52</v>
      </c>
      <c r="M2692" s="19">
        <v>66.0</v>
      </c>
      <c r="N2692" s="19">
        <v>31.0</v>
      </c>
    </row>
    <row r="2693">
      <c r="A2693" s="12">
        <v>2691.0</v>
      </c>
      <c r="B2693" s="13" t="s">
        <v>5322</v>
      </c>
      <c r="C2693" s="14">
        <v>51.0</v>
      </c>
      <c r="D2693" s="15" t="s">
        <v>5323</v>
      </c>
      <c r="E2693" s="16" t="s">
        <v>221</v>
      </c>
      <c r="F2693" s="13" t="s">
        <v>1156</v>
      </c>
      <c r="G2693" s="13" t="s">
        <v>1157</v>
      </c>
      <c r="H2693" s="13" t="s">
        <v>5350</v>
      </c>
      <c r="I2693" s="13" t="s">
        <v>63</v>
      </c>
      <c r="J2693" s="17" t="s">
        <v>71</v>
      </c>
      <c r="K2693" s="17" t="s">
        <v>58</v>
      </c>
      <c r="L2693" s="18" t="s">
        <v>52</v>
      </c>
      <c r="M2693" s="19">
        <v>66.0</v>
      </c>
      <c r="N2693" s="19">
        <v>31.0</v>
      </c>
    </row>
    <row r="2694">
      <c r="A2694" s="12">
        <v>2692.0</v>
      </c>
      <c r="B2694" s="13" t="s">
        <v>5322</v>
      </c>
      <c r="C2694" s="14">
        <v>52.0</v>
      </c>
      <c r="D2694" s="15" t="s">
        <v>5323</v>
      </c>
      <c r="E2694" s="16" t="s">
        <v>221</v>
      </c>
      <c r="F2694" s="13" t="s">
        <v>2484</v>
      </c>
      <c r="G2694" s="13" t="s">
        <v>4677</v>
      </c>
      <c r="H2694" s="13" t="s">
        <v>4678</v>
      </c>
      <c r="I2694" s="13" t="s">
        <v>63</v>
      </c>
      <c r="J2694" s="17" t="s">
        <v>71</v>
      </c>
      <c r="K2694" s="17" t="s">
        <v>58</v>
      </c>
      <c r="L2694" s="18" t="s">
        <v>52</v>
      </c>
      <c r="M2694" s="19">
        <v>66.0</v>
      </c>
      <c r="N2694" s="19">
        <v>31.0</v>
      </c>
    </row>
    <row r="2695">
      <c r="A2695" s="12">
        <v>2693.0</v>
      </c>
      <c r="B2695" s="13" t="s">
        <v>5322</v>
      </c>
      <c r="C2695" s="14">
        <v>53.0</v>
      </c>
      <c r="D2695" s="15" t="s">
        <v>5323</v>
      </c>
      <c r="E2695" s="16" t="s">
        <v>221</v>
      </c>
      <c r="F2695" s="13" t="s">
        <v>1997</v>
      </c>
      <c r="G2695" s="13" t="s">
        <v>4523</v>
      </c>
      <c r="H2695" s="13" t="s">
        <v>4524</v>
      </c>
      <c r="I2695" s="13" t="s">
        <v>63</v>
      </c>
      <c r="J2695" s="17" t="s">
        <v>71</v>
      </c>
      <c r="K2695" s="17" t="s">
        <v>58</v>
      </c>
      <c r="L2695" s="18" t="s">
        <v>52</v>
      </c>
      <c r="M2695" s="19">
        <v>66.0</v>
      </c>
      <c r="N2695" s="19">
        <v>31.0</v>
      </c>
    </row>
    <row r="2696">
      <c r="A2696" s="12">
        <v>2694.0</v>
      </c>
      <c r="B2696" s="13" t="s">
        <v>5322</v>
      </c>
      <c r="C2696" s="14">
        <v>54.0</v>
      </c>
      <c r="D2696" s="15" t="s">
        <v>5323</v>
      </c>
      <c r="E2696" s="16" t="s">
        <v>221</v>
      </c>
      <c r="F2696" s="13" t="s">
        <v>4604</v>
      </c>
      <c r="G2696" s="13" t="s">
        <v>61</v>
      </c>
      <c r="H2696" s="13" t="s">
        <v>4768</v>
      </c>
      <c r="I2696" s="13" t="s">
        <v>63</v>
      </c>
      <c r="J2696" s="17" t="s">
        <v>71</v>
      </c>
      <c r="K2696" s="17" t="s">
        <v>58</v>
      </c>
      <c r="L2696" s="18" t="s">
        <v>52</v>
      </c>
      <c r="M2696" s="19">
        <v>66.0</v>
      </c>
      <c r="N2696" s="19">
        <v>31.0</v>
      </c>
    </row>
    <row r="2697">
      <c r="A2697" s="12">
        <v>2695.0</v>
      </c>
      <c r="B2697" s="13" t="s">
        <v>5322</v>
      </c>
      <c r="C2697" s="14">
        <v>55.0</v>
      </c>
      <c r="D2697" s="15" t="s">
        <v>5323</v>
      </c>
      <c r="E2697" s="16" t="s">
        <v>221</v>
      </c>
      <c r="F2697" s="13" t="s">
        <v>4236</v>
      </c>
      <c r="G2697" s="13" t="s">
        <v>4632</v>
      </c>
      <c r="H2697" s="13" t="s">
        <v>4809</v>
      </c>
      <c r="I2697" s="13" t="s">
        <v>63</v>
      </c>
      <c r="J2697" s="17" t="s">
        <v>71</v>
      </c>
      <c r="K2697" s="17" t="s">
        <v>58</v>
      </c>
      <c r="L2697" s="18" t="s">
        <v>52</v>
      </c>
      <c r="M2697" s="19">
        <v>66.0</v>
      </c>
      <c r="N2697" s="19">
        <v>31.0</v>
      </c>
    </row>
    <row r="2698">
      <c r="A2698" s="12">
        <v>2696.0</v>
      </c>
      <c r="B2698" s="13" t="s">
        <v>5322</v>
      </c>
      <c r="C2698" s="14">
        <v>56.0</v>
      </c>
      <c r="D2698" s="15" t="s">
        <v>5323</v>
      </c>
      <c r="E2698" s="16" t="s">
        <v>221</v>
      </c>
      <c r="F2698" s="13" t="s">
        <v>2517</v>
      </c>
      <c r="G2698" s="13" t="s">
        <v>4556</v>
      </c>
      <c r="H2698" s="13" t="s">
        <v>4557</v>
      </c>
      <c r="I2698" s="13" t="s">
        <v>63</v>
      </c>
      <c r="J2698" s="17" t="s">
        <v>71</v>
      </c>
      <c r="K2698" s="17" t="s">
        <v>58</v>
      </c>
      <c r="L2698" s="18" t="s">
        <v>52</v>
      </c>
      <c r="M2698" s="19">
        <v>66.0</v>
      </c>
      <c r="N2698" s="19">
        <v>31.0</v>
      </c>
    </row>
    <row r="2699">
      <c r="A2699" s="12">
        <v>2697.0</v>
      </c>
      <c r="B2699" s="13" t="s">
        <v>5322</v>
      </c>
      <c r="C2699" s="14">
        <v>57.0</v>
      </c>
      <c r="D2699" s="15" t="s">
        <v>5323</v>
      </c>
      <c r="E2699" s="16" t="s">
        <v>221</v>
      </c>
      <c r="F2699" s="13" t="s">
        <v>231</v>
      </c>
      <c r="G2699" s="13" t="s">
        <v>4720</v>
      </c>
      <c r="H2699" s="13" t="s">
        <v>4721</v>
      </c>
      <c r="I2699" s="13" t="s">
        <v>63</v>
      </c>
      <c r="J2699" s="17" t="s">
        <v>71</v>
      </c>
      <c r="K2699" s="17" t="s">
        <v>58</v>
      </c>
      <c r="L2699" s="18" t="s">
        <v>52</v>
      </c>
      <c r="M2699" s="19">
        <v>66.0</v>
      </c>
      <c r="N2699" s="19">
        <v>31.0</v>
      </c>
    </row>
    <row r="2700">
      <c r="A2700" s="12">
        <v>2698.0</v>
      </c>
      <c r="B2700" s="13" t="s">
        <v>5322</v>
      </c>
      <c r="C2700" s="14">
        <v>58.0</v>
      </c>
      <c r="D2700" s="15" t="s">
        <v>5323</v>
      </c>
      <c r="E2700" s="16" t="s">
        <v>221</v>
      </c>
      <c r="F2700" s="13" t="s">
        <v>4829</v>
      </c>
      <c r="G2700" s="13" t="s">
        <v>4830</v>
      </c>
      <c r="H2700" s="13" t="s">
        <v>4831</v>
      </c>
      <c r="I2700" s="13" t="s">
        <v>63</v>
      </c>
      <c r="J2700" s="17" t="s">
        <v>71</v>
      </c>
      <c r="K2700" s="17" t="s">
        <v>58</v>
      </c>
      <c r="L2700" s="18" t="s">
        <v>52</v>
      </c>
      <c r="M2700" s="19">
        <v>66.0</v>
      </c>
      <c r="N2700" s="19">
        <v>31.0</v>
      </c>
    </row>
    <row r="2701">
      <c r="A2701" s="12">
        <v>2699.0</v>
      </c>
      <c r="B2701" s="13" t="s">
        <v>5322</v>
      </c>
      <c r="C2701" s="14">
        <v>59.0</v>
      </c>
      <c r="D2701" s="15" t="s">
        <v>5323</v>
      </c>
      <c r="E2701" s="16" t="s">
        <v>221</v>
      </c>
      <c r="F2701" s="13" t="s">
        <v>4055</v>
      </c>
      <c r="G2701" s="13" t="s">
        <v>4745</v>
      </c>
      <c r="H2701" s="13" t="s">
        <v>4746</v>
      </c>
      <c r="I2701" s="13" t="s">
        <v>63</v>
      </c>
      <c r="J2701" s="17" t="s">
        <v>71</v>
      </c>
      <c r="K2701" s="17" t="s">
        <v>58</v>
      </c>
      <c r="L2701" s="18" t="s">
        <v>52</v>
      </c>
      <c r="M2701" s="19">
        <v>66.0</v>
      </c>
      <c r="N2701" s="19">
        <v>31.0</v>
      </c>
    </row>
    <row r="2702">
      <c r="A2702" s="12">
        <v>2700.0</v>
      </c>
      <c r="B2702" s="13" t="s">
        <v>5322</v>
      </c>
      <c r="C2702" s="14">
        <v>60.0</v>
      </c>
      <c r="D2702" s="15" t="s">
        <v>5323</v>
      </c>
      <c r="E2702" s="16" t="s">
        <v>221</v>
      </c>
      <c r="F2702" s="13" t="s">
        <v>4626</v>
      </c>
      <c r="G2702" s="13" t="s">
        <v>5353</v>
      </c>
      <c r="H2702" s="13" t="s">
        <v>5354</v>
      </c>
      <c r="I2702" s="13" t="s">
        <v>63</v>
      </c>
      <c r="J2702" s="17" t="s">
        <v>71</v>
      </c>
      <c r="K2702" s="17" t="s">
        <v>58</v>
      </c>
      <c r="L2702" s="18" t="s">
        <v>52</v>
      </c>
      <c r="M2702" s="19">
        <v>66.0</v>
      </c>
      <c r="N2702" s="19">
        <v>31.0</v>
      </c>
    </row>
    <row r="2703">
      <c r="A2703" s="12">
        <v>2701.0</v>
      </c>
      <c r="B2703" s="13" t="s">
        <v>5322</v>
      </c>
      <c r="C2703" s="14">
        <v>61.0</v>
      </c>
      <c r="D2703" s="15" t="s">
        <v>5323</v>
      </c>
      <c r="E2703" s="16" t="s">
        <v>221</v>
      </c>
      <c r="F2703" s="13" t="s">
        <v>4455</v>
      </c>
      <c r="G2703" s="13" t="s">
        <v>4456</v>
      </c>
      <c r="H2703" s="13" t="s">
        <v>4560</v>
      </c>
      <c r="I2703" s="13" t="s">
        <v>63</v>
      </c>
      <c r="J2703" s="17" t="s">
        <v>71</v>
      </c>
      <c r="K2703" s="17" t="s">
        <v>58</v>
      </c>
      <c r="L2703" s="18" t="s">
        <v>52</v>
      </c>
      <c r="M2703" s="19">
        <v>66.0</v>
      </c>
      <c r="N2703" s="19">
        <v>31.0</v>
      </c>
    </row>
    <row r="2704">
      <c r="A2704" s="12">
        <v>2702.0</v>
      </c>
      <c r="B2704" s="13" t="s">
        <v>5322</v>
      </c>
      <c r="C2704" s="14">
        <v>62.0</v>
      </c>
      <c r="D2704" s="15" t="s">
        <v>5323</v>
      </c>
      <c r="E2704" s="16" t="s">
        <v>221</v>
      </c>
      <c r="F2704" s="13" t="s">
        <v>2787</v>
      </c>
      <c r="G2704" s="13" t="s">
        <v>4564</v>
      </c>
      <c r="H2704" s="13" t="s">
        <v>4565</v>
      </c>
      <c r="I2704" s="13" t="s">
        <v>63</v>
      </c>
      <c r="J2704" s="17" t="s">
        <v>71</v>
      </c>
      <c r="K2704" s="17" t="s">
        <v>58</v>
      </c>
      <c r="L2704" s="18" t="s">
        <v>52</v>
      </c>
      <c r="M2704" s="19">
        <v>66.0</v>
      </c>
      <c r="N2704" s="19">
        <v>31.0</v>
      </c>
    </row>
    <row r="2705">
      <c r="A2705" s="12">
        <v>2703.0</v>
      </c>
      <c r="B2705" s="13" t="s">
        <v>5322</v>
      </c>
      <c r="C2705" s="14">
        <v>63.0</v>
      </c>
      <c r="D2705" s="15" t="s">
        <v>5323</v>
      </c>
      <c r="E2705" s="16" t="s">
        <v>221</v>
      </c>
      <c r="F2705" s="13" t="s">
        <v>4112</v>
      </c>
      <c r="G2705" s="13" t="s">
        <v>4113</v>
      </c>
      <c r="H2705" s="13" t="s">
        <v>5355</v>
      </c>
      <c r="I2705" s="13" t="s">
        <v>63</v>
      </c>
      <c r="J2705" s="17" t="s">
        <v>71</v>
      </c>
      <c r="K2705" s="17" t="s">
        <v>58</v>
      </c>
      <c r="L2705" s="18" t="s">
        <v>52</v>
      </c>
      <c r="M2705" s="19">
        <v>66.0</v>
      </c>
      <c r="N2705" s="19">
        <v>31.0</v>
      </c>
    </row>
    <row r="2706">
      <c r="A2706" s="12">
        <v>2704.0</v>
      </c>
      <c r="B2706" s="13" t="s">
        <v>5322</v>
      </c>
      <c r="C2706" s="14">
        <v>64.0</v>
      </c>
      <c r="D2706" s="15" t="s">
        <v>5323</v>
      </c>
      <c r="E2706" s="16" t="s">
        <v>221</v>
      </c>
      <c r="F2706" s="13" t="s">
        <v>707</v>
      </c>
      <c r="G2706" s="13" t="s">
        <v>4866</v>
      </c>
      <c r="H2706" s="13" t="s">
        <v>4867</v>
      </c>
      <c r="I2706" s="13" t="s">
        <v>63</v>
      </c>
      <c r="J2706" s="17" t="s">
        <v>71</v>
      </c>
      <c r="K2706" s="17" t="s">
        <v>58</v>
      </c>
      <c r="L2706" s="18" t="s">
        <v>52</v>
      </c>
      <c r="M2706" s="19">
        <v>66.0</v>
      </c>
      <c r="N2706" s="19">
        <v>31.0</v>
      </c>
    </row>
    <row r="2707">
      <c r="A2707" s="12">
        <v>2705.0</v>
      </c>
      <c r="B2707" s="13" t="s">
        <v>5322</v>
      </c>
      <c r="C2707" s="14">
        <v>65.0</v>
      </c>
      <c r="D2707" s="15" t="s">
        <v>5323</v>
      </c>
      <c r="E2707" s="16" t="s">
        <v>221</v>
      </c>
      <c r="F2707" s="13" t="s">
        <v>1687</v>
      </c>
      <c r="G2707" s="13" t="s">
        <v>5356</v>
      </c>
      <c r="H2707" s="13" t="s">
        <v>5357</v>
      </c>
      <c r="I2707" s="13" t="s">
        <v>63</v>
      </c>
      <c r="J2707" s="17" t="s">
        <v>71</v>
      </c>
      <c r="K2707" s="17" t="s">
        <v>58</v>
      </c>
      <c r="L2707" s="18" t="s">
        <v>52</v>
      </c>
      <c r="M2707" s="19">
        <v>66.0</v>
      </c>
      <c r="N2707" s="19">
        <v>31.0</v>
      </c>
    </row>
    <row r="2708">
      <c r="A2708" s="12">
        <v>2706.0</v>
      </c>
      <c r="B2708" s="13" t="s">
        <v>5322</v>
      </c>
      <c r="C2708" s="14">
        <v>66.0</v>
      </c>
      <c r="D2708" s="15" t="s">
        <v>5323</v>
      </c>
      <c r="E2708" s="16" t="s">
        <v>221</v>
      </c>
      <c r="F2708" s="13" t="s">
        <v>3022</v>
      </c>
      <c r="G2708" s="13" t="s">
        <v>3023</v>
      </c>
      <c r="H2708" s="13" t="s">
        <v>4797</v>
      </c>
      <c r="I2708" s="13" t="s">
        <v>63</v>
      </c>
      <c r="J2708" s="17" t="s">
        <v>71</v>
      </c>
      <c r="K2708" s="17" t="s">
        <v>58</v>
      </c>
      <c r="L2708" s="18" t="s">
        <v>52</v>
      </c>
      <c r="M2708" s="19">
        <v>66.0</v>
      </c>
      <c r="N2708" s="19">
        <v>31.0</v>
      </c>
    </row>
    <row r="2709">
      <c r="A2709" s="12">
        <v>2707.0</v>
      </c>
      <c r="B2709" s="13" t="s">
        <v>5322</v>
      </c>
      <c r="C2709" s="14">
        <v>67.0</v>
      </c>
      <c r="D2709" s="15" t="s">
        <v>5323</v>
      </c>
      <c r="E2709" s="16" t="s">
        <v>221</v>
      </c>
      <c r="F2709" s="13" t="s">
        <v>3033</v>
      </c>
      <c r="G2709" s="13" t="s">
        <v>3523</v>
      </c>
      <c r="H2709" s="13" t="s">
        <v>3524</v>
      </c>
      <c r="I2709" s="13" t="s">
        <v>63</v>
      </c>
      <c r="J2709" s="17" t="s">
        <v>71</v>
      </c>
      <c r="K2709" s="17" t="s">
        <v>58</v>
      </c>
      <c r="L2709" s="18" t="s">
        <v>52</v>
      </c>
      <c r="M2709" s="19">
        <v>66.0</v>
      </c>
      <c r="N2709" s="19">
        <v>31.0</v>
      </c>
    </row>
    <row r="2710">
      <c r="A2710" s="12">
        <v>2708.0</v>
      </c>
      <c r="B2710" s="13" t="s">
        <v>5322</v>
      </c>
      <c r="C2710" s="14">
        <v>68.0</v>
      </c>
      <c r="D2710" s="15" t="s">
        <v>5323</v>
      </c>
      <c r="E2710" s="16" t="s">
        <v>221</v>
      </c>
      <c r="F2710" s="13" t="s">
        <v>4868</v>
      </c>
      <c r="G2710" s="13" t="s">
        <v>61</v>
      </c>
      <c r="H2710" s="13" t="s">
        <v>4869</v>
      </c>
      <c r="I2710" s="13" t="s">
        <v>63</v>
      </c>
      <c r="J2710" s="17" t="s">
        <v>71</v>
      </c>
      <c r="K2710" s="17" t="s">
        <v>58</v>
      </c>
      <c r="L2710" s="18" t="s">
        <v>52</v>
      </c>
      <c r="M2710" s="19">
        <v>66.0</v>
      </c>
      <c r="N2710" s="19">
        <v>31.0</v>
      </c>
    </row>
    <row r="2711">
      <c r="A2711" s="12">
        <v>2709.0</v>
      </c>
      <c r="B2711" s="13" t="s">
        <v>5322</v>
      </c>
      <c r="C2711" s="14">
        <v>69.0</v>
      </c>
      <c r="D2711" s="15" t="s">
        <v>5323</v>
      </c>
      <c r="E2711" s="16" t="s">
        <v>221</v>
      </c>
      <c r="F2711" s="13" t="s">
        <v>3321</v>
      </c>
      <c r="G2711" s="13" t="s">
        <v>5358</v>
      </c>
      <c r="H2711" s="13" t="s">
        <v>5359</v>
      </c>
      <c r="I2711" s="13" t="s">
        <v>63</v>
      </c>
      <c r="J2711" s="17" t="s">
        <v>71</v>
      </c>
      <c r="K2711" s="17" t="s">
        <v>58</v>
      </c>
      <c r="L2711" s="18" t="s">
        <v>52</v>
      </c>
      <c r="M2711" s="19">
        <v>66.0</v>
      </c>
      <c r="N2711" s="19">
        <v>31.0</v>
      </c>
    </row>
    <row r="2712">
      <c r="A2712" s="12">
        <v>2710.0</v>
      </c>
      <c r="B2712" s="13" t="s">
        <v>5322</v>
      </c>
      <c r="C2712" s="14">
        <v>70.0</v>
      </c>
      <c r="D2712" s="15" t="s">
        <v>5323</v>
      </c>
      <c r="E2712" s="16" t="s">
        <v>221</v>
      </c>
      <c r="F2712" s="13" t="s">
        <v>2049</v>
      </c>
      <c r="G2712" s="13" t="s">
        <v>4761</v>
      </c>
      <c r="H2712" s="13" t="s">
        <v>4762</v>
      </c>
      <c r="I2712" s="13" t="s">
        <v>63</v>
      </c>
      <c r="J2712" s="17" t="s">
        <v>71</v>
      </c>
      <c r="K2712" s="17" t="s">
        <v>58</v>
      </c>
      <c r="L2712" s="18" t="s">
        <v>52</v>
      </c>
      <c r="M2712" s="19">
        <v>66.0</v>
      </c>
      <c r="N2712" s="19">
        <v>31.0</v>
      </c>
    </row>
    <row r="2713">
      <c r="A2713" s="12">
        <v>2711.0</v>
      </c>
      <c r="B2713" s="13" t="s">
        <v>5322</v>
      </c>
      <c r="C2713" s="14">
        <v>71.0</v>
      </c>
      <c r="D2713" s="15" t="s">
        <v>5323</v>
      </c>
      <c r="E2713" s="16" t="s">
        <v>221</v>
      </c>
      <c r="F2713" s="13" t="s">
        <v>2458</v>
      </c>
      <c r="G2713" s="13" t="s">
        <v>2459</v>
      </c>
      <c r="H2713" s="13" t="s">
        <v>4882</v>
      </c>
      <c r="I2713" s="13" t="s">
        <v>63</v>
      </c>
      <c r="J2713" s="17" t="s">
        <v>71</v>
      </c>
      <c r="K2713" s="17" t="s">
        <v>58</v>
      </c>
      <c r="L2713" s="18" t="s">
        <v>52</v>
      </c>
      <c r="M2713" s="19">
        <v>66.0</v>
      </c>
      <c r="N2713" s="19">
        <v>31.0</v>
      </c>
    </row>
    <row r="2714">
      <c r="A2714" s="12">
        <v>2712.0</v>
      </c>
      <c r="B2714" s="13" t="s">
        <v>5322</v>
      </c>
      <c r="C2714" s="14">
        <v>72.0</v>
      </c>
      <c r="D2714" s="15" t="s">
        <v>5323</v>
      </c>
      <c r="E2714" s="16" t="s">
        <v>221</v>
      </c>
      <c r="F2714" s="13" t="s">
        <v>3295</v>
      </c>
      <c r="G2714" s="13" t="s">
        <v>4999</v>
      </c>
      <c r="H2714" s="13" t="s">
        <v>5000</v>
      </c>
      <c r="I2714" s="13" t="s">
        <v>63</v>
      </c>
      <c r="J2714" s="17" t="s">
        <v>71</v>
      </c>
      <c r="K2714" s="17" t="s">
        <v>58</v>
      </c>
      <c r="L2714" s="18" t="s">
        <v>52</v>
      </c>
      <c r="M2714" s="19">
        <v>66.0</v>
      </c>
      <c r="N2714" s="19">
        <v>31.0</v>
      </c>
    </row>
    <row r="2715">
      <c r="A2715" s="12">
        <v>2713.0</v>
      </c>
      <c r="B2715" s="13" t="s">
        <v>5322</v>
      </c>
      <c r="C2715" s="14">
        <v>73.0</v>
      </c>
      <c r="D2715" s="15" t="s">
        <v>5323</v>
      </c>
      <c r="E2715" s="16" t="s">
        <v>221</v>
      </c>
      <c r="F2715" s="13" t="s">
        <v>3450</v>
      </c>
      <c r="G2715" s="13" t="s">
        <v>3536</v>
      </c>
      <c r="H2715" s="13" t="s">
        <v>4978</v>
      </c>
      <c r="I2715" s="13" t="s">
        <v>63</v>
      </c>
      <c r="J2715" s="17" t="s">
        <v>71</v>
      </c>
      <c r="K2715" s="17" t="s">
        <v>58</v>
      </c>
      <c r="L2715" s="18" t="s">
        <v>52</v>
      </c>
      <c r="M2715" s="19">
        <v>66.0</v>
      </c>
      <c r="N2715" s="19">
        <v>31.0</v>
      </c>
    </row>
    <row r="2716">
      <c r="A2716" s="12">
        <v>2714.0</v>
      </c>
      <c r="B2716" s="13" t="s">
        <v>5322</v>
      </c>
      <c r="C2716" s="14">
        <v>74.0</v>
      </c>
      <c r="D2716" s="15" t="s">
        <v>5323</v>
      </c>
      <c r="E2716" s="16" t="s">
        <v>221</v>
      </c>
      <c r="F2716" s="13" t="s">
        <v>4852</v>
      </c>
      <c r="G2716" s="13" t="s">
        <v>4853</v>
      </c>
      <c r="H2716" s="13" t="s">
        <v>4854</v>
      </c>
      <c r="I2716" s="13" t="s">
        <v>63</v>
      </c>
      <c r="J2716" s="17" t="s">
        <v>71</v>
      </c>
      <c r="K2716" s="17" t="s">
        <v>58</v>
      </c>
      <c r="L2716" s="18" t="s">
        <v>52</v>
      </c>
      <c r="M2716" s="19">
        <v>66.0</v>
      </c>
      <c r="N2716" s="19">
        <v>31.0</v>
      </c>
    </row>
    <row r="2717">
      <c r="A2717" s="12">
        <v>2715.0</v>
      </c>
      <c r="B2717" s="13" t="s">
        <v>5322</v>
      </c>
      <c r="C2717" s="14">
        <v>75.0</v>
      </c>
      <c r="D2717" s="15" t="s">
        <v>5323</v>
      </c>
      <c r="E2717" s="16" t="s">
        <v>221</v>
      </c>
      <c r="F2717" s="13" t="s">
        <v>115</v>
      </c>
      <c r="G2717" s="13" t="s">
        <v>4792</v>
      </c>
      <c r="H2717" s="13" t="s">
        <v>4793</v>
      </c>
      <c r="I2717" s="13" t="s">
        <v>63</v>
      </c>
      <c r="J2717" s="17" t="s">
        <v>71</v>
      </c>
      <c r="K2717" s="17" t="s">
        <v>58</v>
      </c>
      <c r="L2717" s="18" t="s">
        <v>52</v>
      </c>
      <c r="M2717" s="19">
        <v>66.0</v>
      </c>
      <c r="N2717" s="19">
        <v>31.0</v>
      </c>
    </row>
    <row r="2718">
      <c r="A2718" s="12">
        <v>2716.0</v>
      </c>
      <c r="B2718" s="13" t="s">
        <v>5322</v>
      </c>
      <c r="C2718" s="14">
        <v>76.0</v>
      </c>
      <c r="D2718" s="15" t="s">
        <v>5323</v>
      </c>
      <c r="E2718" s="16" t="s">
        <v>221</v>
      </c>
      <c r="F2718" s="13" t="s">
        <v>1129</v>
      </c>
      <c r="G2718" s="13" t="s">
        <v>61</v>
      </c>
      <c r="H2718" s="13" t="s">
        <v>5360</v>
      </c>
      <c r="I2718" s="13" t="s">
        <v>63</v>
      </c>
      <c r="J2718" s="17" t="s">
        <v>71</v>
      </c>
      <c r="K2718" s="17" t="s">
        <v>58</v>
      </c>
      <c r="L2718" s="18" t="s">
        <v>52</v>
      </c>
      <c r="M2718" s="19">
        <v>66.0</v>
      </c>
      <c r="N2718" s="19">
        <v>31.0</v>
      </c>
    </row>
    <row r="2719">
      <c r="A2719" s="12">
        <v>2717.0</v>
      </c>
      <c r="B2719" s="13" t="s">
        <v>5322</v>
      </c>
      <c r="C2719" s="14">
        <v>77.0</v>
      </c>
      <c r="D2719" s="15" t="s">
        <v>5323</v>
      </c>
      <c r="E2719" s="16" t="s">
        <v>221</v>
      </c>
      <c r="F2719" s="13" t="s">
        <v>4072</v>
      </c>
      <c r="G2719" s="13" t="s">
        <v>61</v>
      </c>
      <c r="H2719" s="13" t="s">
        <v>5361</v>
      </c>
      <c r="I2719" s="13" t="s">
        <v>63</v>
      </c>
      <c r="J2719" s="17" t="s">
        <v>71</v>
      </c>
      <c r="K2719" s="17" t="s">
        <v>58</v>
      </c>
      <c r="L2719" s="18" t="s">
        <v>52</v>
      </c>
      <c r="M2719" s="19">
        <v>66.0</v>
      </c>
      <c r="N2719" s="19">
        <v>31.0</v>
      </c>
    </row>
    <row r="2720">
      <c r="A2720" s="12">
        <v>2718.0</v>
      </c>
      <c r="B2720" s="13" t="s">
        <v>5322</v>
      </c>
      <c r="C2720" s="14">
        <v>78.0</v>
      </c>
      <c r="D2720" s="15" t="s">
        <v>5323</v>
      </c>
      <c r="E2720" s="16" t="s">
        <v>221</v>
      </c>
      <c r="F2720" s="13" t="s">
        <v>444</v>
      </c>
      <c r="G2720" s="13" t="s">
        <v>4503</v>
      </c>
      <c r="H2720" s="13" t="s">
        <v>4791</v>
      </c>
      <c r="I2720" s="13" t="s">
        <v>63</v>
      </c>
      <c r="J2720" s="17" t="s">
        <v>71</v>
      </c>
      <c r="K2720" s="17" t="s">
        <v>58</v>
      </c>
      <c r="L2720" s="18" t="s">
        <v>52</v>
      </c>
      <c r="M2720" s="19">
        <v>66.0</v>
      </c>
      <c r="N2720" s="19">
        <v>31.0</v>
      </c>
    </row>
    <row r="2721">
      <c r="A2721" s="12">
        <v>2719.0</v>
      </c>
      <c r="B2721" s="13" t="s">
        <v>5322</v>
      </c>
      <c r="C2721" s="14">
        <v>79.0</v>
      </c>
      <c r="D2721" s="15" t="s">
        <v>5323</v>
      </c>
      <c r="E2721" s="16" t="s">
        <v>221</v>
      </c>
      <c r="F2721" s="13" t="s">
        <v>3679</v>
      </c>
      <c r="G2721" s="13" t="s">
        <v>4858</v>
      </c>
      <c r="H2721" s="13" t="s">
        <v>4518</v>
      </c>
      <c r="I2721" s="13" t="s">
        <v>63</v>
      </c>
      <c r="J2721" s="17" t="s">
        <v>71</v>
      </c>
      <c r="K2721" s="17" t="s">
        <v>58</v>
      </c>
      <c r="L2721" s="18" t="s">
        <v>52</v>
      </c>
      <c r="M2721" s="19">
        <v>66.0</v>
      </c>
      <c r="N2721" s="19">
        <v>31.0</v>
      </c>
    </row>
    <row r="2722">
      <c r="A2722" s="12">
        <v>2720.0</v>
      </c>
      <c r="B2722" s="13" t="s">
        <v>5322</v>
      </c>
      <c r="C2722" s="14">
        <v>80.0</v>
      </c>
      <c r="D2722" s="15" t="s">
        <v>5323</v>
      </c>
      <c r="E2722" s="16" t="s">
        <v>221</v>
      </c>
      <c r="F2722" s="13" t="s">
        <v>1797</v>
      </c>
      <c r="G2722" s="13" t="s">
        <v>4712</v>
      </c>
      <c r="H2722" s="13" t="s">
        <v>4713</v>
      </c>
      <c r="I2722" s="13" t="s">
        <v>63</v>
      </c>
      <c r="J2722" s="17" t="s">
        <v>71</v>
      </c>
      <c r="K2722" s="17" t="s">
        <v>58</v>
      </c>
      <c r="L2722" s="18" t="s">
        <v>52</v>
      </c>
      <c r="M2722" s="19">
        <v>66.0</v>
      </c>
      <c r="N2722" s="19">
        <v>31.0</v>
      </c>
    </row>
    <row r="2723">
      <c r="A2723" s="12">
        <v>2721.0</v>
      </c>
      <c r="B2723" s="13" t="s">
        <v>5322</v>
      </c>
      <c r="C2723" s="14">
        <v>81.0</v>
      </c>
      <c r="D2723" s="15" t="s">
        <v>5323</v>
      </c>
      <c r="E2723" s="16" t="s">
        <v>221</v>
      </c>
      <c r="F2723" s="13" t="s">
        <v>1162</v>
      </c>
      <c r="G2723" s="13" t="s">
        <v>1163</v>
      </c>
      <c r="H2723" s="13" t="s">
        <v>4705</v>
      </c>
      <c r="I2723" s="13" t="s">
        <v>63</v>
      </c>
      <c r="J2723" s="17" t="s">
        <v>71</v>
      </c>
      <c r="K2723" s="17" t="s">
        <v>58</v>
      </c>
      <c r="L2723" s="18" t="s">
        <v>52</v>
      </c>
      <c r="M2723" s="19">
        <v>66.0</v>
      </c>
      <c r="N2723" s="19">
        <v>31.0</v>
      </c>
    </row>
    <row r="2724">
      <c r="A2724" s="12">
        <v>2722.0</v>
      </c>
      <c r="B2724" s="13" t="s">
        <v>5322</v>
      </c>
      <c r="C2724" s="14">
        <v>82.0</v>
      </c>
      <c r="D2724" s="15" t="s">
        <v>5323</v>
      </c>
      <c r="E2724" s="16" t="s">
        <v>221</v>
      </c>
      <c r="F2724" s="13" t="s">
        <v>4952</v>
      </c>
      <c r="G2724" s="13" t="s">
        <v>4953</v>
      </c>
      <c r="H2724" s="13" t="s">
        <v>5033</v>
      </c>
      <c r="I2724" s="13" t="s">
        <v>63</v>
      </c>
      <c r="J2724" s="17" t="s">
        <v>71</v>
      </c>
      <c r="K2724" s="17" t="s">
        <v>58</v>
      </c>
      <c r="L2724" s="18" t="s">
        <v>52</v>
      </c>
      <c r="M2724" s="19">
        <v>66.0</v>
      </c>
      <c r="N2724" s="19">
        <v>31.0</v>
      </c>
    </row>
    <row r="2725">
      <c r="A2725" s="12">
        <v>2723.0</v>
      </c>
      <c r="B2725" s="13" t="s">
        <v>5322</v>
      </c>
      <c r="C2725" s="14">
        <v>83.0</v>
      </c>
      <c r="D2725" s="15" t="s">
        <v>5323</v>
      </c>
      <c r="E2725" s="16" t="s">
        <v>221</v>
      </c>
      <c r="F2725" s="13" t="s">
        <v>2759</v>
      </c>
      <c r="G2725" s="13" t="s">
        <v>3508</v>
      </c>
      <c r="H2725" s="13" t="s">
        <v>4919</v>
      </c>
      <c r="I2725" s="13" t="s">
        <v>63</v>
      </c>
      <c r="J2725" s="17" t="s">
        <v>71</v>
      </c>
      <c r="K2725" s="17" t="s">
        <v>58</v>
      </c>
      <c r="L2725" s="18" t="s">
        <v>52</v>
      </c>
      <c r="M2725" s="19">
        <v>66.0</v>
      </c>
      <c r="N2725" s="19">
        <v>31.0</v>
      </c>
    </row>
    <row r="2726">
      <c r="A2726" s="12">
        <v>2724.0</v>
      </c>
      <c r="B2726" s="13" t="s">
        <v>5322</v>
      </c>
      <c r="C2726" s="14">
        <v>84.0</v>
      </c>
      <c r="D2726" s="15" t="s">
        <v>5323</v>
      </c>
      <c r="E2726" s="16" t="s">
        <v>221</v>
      </c>
      <c r="F2726" s="13" t="s">
        <v>2570</v>
      </c>
      <c r="G2726" s="13" t="s">
        <v>4706</v>
      </c>
      <c r="H2726" s="13" t="s">
        <v>4707</v>
      </c>
      <c r="I2726" s="13" t="s">
        <v>63</v>
      </c>
      <c r="J2726" s="17" t="s">
        <v>71</v>
      </c>
      <c r="K2726" s="17" t="s">
        <v>58</v>
      </c>
      <c r="L2726" s="18" t="s">
        <v>52</v>
      </c>
      <c r="M2726" s="19">
        <v>66.0</v>
      </c>
      <c r="N2726" s="19">
        <v>31.0</v>
      </c>
    </row>
    <row r="2727">
      <c r="A2727" s="12">
        <v>2725.0</v>
      </c>
      <c r="B2727" s="13" t="s">
        <v>5322</v>
      </c>
      <c r="C2727" s="14">
        <v>85.0</v>
      </c>
      <c r="D2727" s="15" t="s">
        <v>5323</v>
      </c>
      <c r="E2727" s="16" t="s">
        <v>221</v>
      </c>
      <c r="F2727" s="13" t="s">
        <v>3474</v>
      </c>
      <c r="G2727" s="13" t="s">
        <v>5288</v>
      </c>
      <c r="H2727" s="13" t="s">
        <v>5362</v>
      </c>
      <c r="I2727" s="13" t="s">
        <v>63</v>
      </c>
      <c r="J2727" s="17" t="s">
        <v>71</v>
      </c>
      <c r="K2727" s="17" t="s">
        <v>58</v>
      </c>
      <c r="L2727" s="18" t="s">
        <v>52</v>
      </c>
      <c r="M2727" s="19">
        <v>66.0</v>
      </c>
      <c r="N2727" s="19">
        <v>31.0</v>
      </c>
    </row>
    <row r="2728">
      <c r="A2728" s="12">
        <v>2726.0</v>
      </c>
      <c r="B2728" s="13" t="s">
        <v>5322</v>
      </c>
      <c r="C2728" s="14">
        <v>86.0</v>
      </c>
      <c r="D2728" s="15" t="s">
        <v>5323</v>
      </c>
      <c r="E2728" s="16" t="s">
        <v>221</v>
      </c>
      <c r="F2728" s="13" t="s">
        <v>4282</v>
      </c>
      <c r="G2728" s="13" t="s">
        <v>4883</v>
      </c>
      <c r="H2728" s="13" t="s">
        <v>4884</v>
      </c>
      <c r="I2728" s="13" t="s">
        <v>63</v>
      </c>
      <c r="J2728" s="17" t="s">
        <v>71</v>
      </c>
      <c r="K2728" s="17" t="s">
        <v>58</v>
      </c>
      <c r="L2728" s="18" t="s">
        <v>52</v>
      </c>
      <c r="M2728" s="19">
        <v>66.0</v>
      </c>
      <c r="N2728" s="19">
        <v>31.0</v>
      </c>
    </row>
    <row r="2729">
      <c r="A2729" s="12">
        <v>2727.0</v>
      </c>
      <c r="B2729" s="13" t="s">
        <v>5322</v>
      </c>
      <c r="C2729" s="14">
        <v>87.0</v>
      </c>
      <c r="D2729" s="15" t="s">
        <v>5323</v>
      </c>
      <c r="E2729" s="16" t="s">
        <v>221</v>
      </c>
      <c r="F2729" s="13" t="s">
        <v>1297</v>
      </c>
      <c r="G2729" s="13" t="s">
        <v>1408</v>
      </c>
      <c r="H2729" s="13" t="s">
        <v>1409</v>
      </c>
      <c r="I2729" s="13" t="s">
        <v>63</v>
      </c>
      <c r="J2729" s="17" t="s">
        <v>71</v>
      </c>
      <c r="K2729" s="17" t="s">
        <v>58</v>
      </c>
      <c r="L2729" s="18" t="s">
        <v>52</v>
      </c>
      <c r="M2729" s="19">
        <v>66.0</v>
      </c>
      <c r="N2729" s="19">
        <v>31.0</v>
      </c>
    </row>
    <row r="2730">
      <c r="A2730" s="12">
        <v>2728.0</v>
      </c>
      <c r="B2730" s="13" t="s">
        <v>5322</v>
      </c>
      <c r="C2730" s="14">
        <v>88.0</v>
      </c>
      <c r="D2730" s="15" t="s">
        <v>5324</v>
      </c>
      <c r="E2730" s="16" t="s">
        <v>221</v>
      </c>
      <c r="F2730" s="13" t="s">
        <v>1315</v>
      </c>
      <c r="G2730" s="13" t="s">
        <v>4725</v>
      </c>
      <c r="H2730" s="13" t="s">
        <v>4726</v>
      </c>
      <c r="I2730" s="13" t="s">
        <v>63</v>
      </c>
      <c r="J2730" s="17" t="s">
        <v>71</v>
      </c>
      <c r="K2730" s="17" t="s">
        <v>58</v>
      </c>
      <c r="L2730" s="18" t="s">
        <v>52</v>
      </c>
      <c r="M2730" s="19">
        <v>66.0</v>
      </c>
      <c r="N2730" s="19">
        <v>31.0</v>
      </c>
    </row>
    <row r="2731">
      <c r="A2731" s="12">
        <v>2729.0</v>
      </c>
      <c r="B2731" s="13" t="s">
        <v>5322</v>
      </c>
      <c r="C2731" s="14">
        <v>89.0</v>
      </c>
      <c r="D2731" s="15" t="s">
        <v>5324</v>
      </c>
      <c r="E2731" s="16" t="s">
        <v>221</v>
      </c>
      <c r="F2731" s="13" t="s">
        <v>98</v>
      </c>
      <c r="G2731" s="13" t="s">
        <v>4476</v>
      </c>
      <c r="H2731" s="13" t="s">
        <v>5364</v>
      </c>
      <c r="I2731" s="13" t="s">
        <v>63</v>
      </c>
      <c r="J2731" s="17" t="s">
        <v>71</v>
      </c>
      <c r="K2731" s="17" t="s">
        <v>58</v>
      </c>
      <c r="L2731" s="18" t="s">
        <v>52</v>
      </c>
      <c r="M2731" s="19">
        <v>66.0</v>
      </c>
      <c r="N2731" s="19">
        <v>31.0</v>
      </c>
    </row>
    <row r="2732">
      <c r="A2732" s="12">
        <v>2730.0</v>
      </c>
      <c r="B2732" s="13" t="s">
        <v>5322</v>
      </c>
      <c r="C2732" s="14">
        <v>90.0</v>
      </c>
      <c r="D2732" s="15" t="s">
        <v>5324</v>
      </c>
      <c r="E2732" s="16" t="s">
        <v>221</v>
      </c>
      <c r="F2732" s="13" t="s">
        <v>833</v>
      </c>
      <c r="G2732" s="13" t="s">
        <v>61</v>
      </c>
      <c r="H2732" s="13" t="s">
        <v>1206</v>
      </c>
      <c r="I2732" s="13" t="s">
        <v>63</v>
      </c>
      <c r="J2732" s="17" t="s">
        <v>71</v>
      </c>
      <c r="K2732" s="17" t="s">
        <v>58</v>
      </c>
      <c r="L2732" s="18" t="s">
        <v>52</v>
      </c>
      <c r="M2732" s="19">
        <v>66.0</v>
      </c>
      <c r="N2732" s="19">
        <v>31.0</v>
      </c>
    </row>
    <row r="2733">
      <c r="A2733" s="12">
        <v>2731.0</v>
      </c>
      <c r="B2733" s="13" t="s">
        <v>5322</v>
      </c>
      <c r="C2733" s="14">
        <v>91.0</v>
      </c>
      <c r="D2733" s="15" t="s">
        <v>5324</v>
      </c>
      <c r="E2733" s="16" t="s">
        <v>221</v>
      </c>
      <c r="F2733" s="13" t="s">
        <v>3359</v>
      </c>
      <c r="G2733" s="13" t="s">
        <v>5365</v>
      </c>
      <c r="H2733" s="13" t="s">
        <v>5366</v>
      </c>
      <c r="I2733" s="13" t="s">
        <v>63</v>
      </c>
      <c r="J2733" s="17" t="s">
        <v>71</v>
      </c>
      <c r="K2733" s="17" t="s">
        <v>58</v>
      </c>
      <c r="L2733" s="18" t="s">
        <v>52</v>
      </c>
      <c r="M2733" s="19">
        <v>66.0</v>
      </c>
      <c r="N2733" s="19">
        <v>31.0</v>
      </c>
    </row>
    <row r="2734">
      <c r="A2734" s="12">
        <v>2732.0</v>
      </c>
      <c r="B2734" s="13" t="s">
        <v>5322</v>
      </c>
      <c r="C2734" s="14">
        <v>92.0</v>
      </c>
      <c r="D2734" s="15" t="s">
        <v>5324</v>
      </c>
      <c r="E2734" s="16" t="s">
        <v>221</v>
      </c>
      <c r="F2734" s="13" t="s">
        <v>2508</v>
      </c>
      <c r="G2734" s="13" t="s">
        <v>5367</v>
      </c>
      <c r="H2734" s="13" t="s">
        <v>5368</v>
      </c>
      <c r="I2734" s="13" t="s">
        <v>63</v>
      </c>
      <c r="J2734" s="17" t="s">
        <v>71</v>
      </c>
      <c r="K2734" s="17" t="s">
        <v>58</v>
      </c>
      <c r="L2734" s="18" t="s">
        <v>52</v>
      </c>
      <c r="M2734" s="19">
        <v>66.0</v>
      </c>
      <c r="N2734" s="19">
        <v>31.0</v>
      </c>
    </row>
    <row r="2735">
      <c r="A2735" s="12">
        <v>2733.0</v>
      </c>
      <c r="B2735" s="13" t="s">
        <v>5322</v>
      </c>
      <c r="C2735" s="14">
        <v>93.0</v>
      </c>
      <c r="D2735" s="15" t="s">
        <v>5324</v>
      </c>
      <c r="E2735" s="16" t="s">
        <v>221</v>
      </c>
      <c r="F2735" s="13" t="s">
        <v>85</v>
      </c>
      <c r="G2735" s="13" t="s">
        <v>86</v>
      </c>
      <c r="H2735" s="13" t="s">
        <v>87</v>
      </c>
      <c r="I2735" s="13" t="s">
        <v>63</v>
      </c>
      <c r="J2735" s="17" t="s">
        <v>71</v>
      </c>
      <c r="K2735" s="17" t="s">
        <v>58</v>
      </c>
      <c r="L2735" s="18" t="s">
        <v>52</v>
      </c>
      <c r="M2735" s="19">
        <v>66.0</v>
      </c>
      <c r="N2735" s="19">
        <v>31.0</v>
      </c>
    </row>
    <row r="2736">
      <c r="A2736" s="12">
        <v>2734.0</v>
      </c>
      <c r="B2736" s="13" t="s">
        <v>5322</v>
      </c>
      <c r="C2736" s="14">
        <v>94.0</v>
      </c>
      <c r="D2736" s="15" t="s">
        <v>5324</v>
      </c>
      <c r="E2736" s="16" t="s">
        <v>221</v>
      </c>
      <c r="F2736" s="13" t="s">
        <v>2793</v>
      </c>
      <c r="G2736" s="13" t="s">
        <v>5369</v>
      </c>
      <c r="H2736" s="13" t="s">
        <v>5370</v>
      </c>
      <c r="I2736" s="13" t="s">
        <v>63</v>
      </c>
      <c r="J2736" s="17" t="s">
        <v>71</v>
      </c>
      <c r="K2736" s="17" t="s">
        <v>58</v>
      </c>
      <c r="L2736" s="18" t="s">
        <v>52</v>
      </c>
      <c r="M2736" s="19">
        <v>66.0</v>
      </c>
      <c r="N2736" s="19">
        <v>31.0</v>
      </c>
    </row>
    <row r="2737">
      <c r="A2737" s="12">
        <v>2735.0</v>
      </c>
      <c r="B2737" s="13" t="s">
        <v>5322</v>
      </c>
      <c r="C2737" s="14">
        <v>95.0</v>
      </c>
      <c r="D2737" s="15" t="s">
        <v>5324</v>
      </c>
      <c r="E2737" s="16" t="s">
        <v>221</v>
      </c>
      <c r="F2737" s="13" t="s">
        <v>4084</v>
      </c>
      <c r="G2737" s="13" t="s">
        <v>4085</v>
      </c>
      <c r="H2737" s="13" t="s">
        <v>5371</v>
      </c>
      <c r="I2737" s="13" t="s">
        <v>63</v>
      </c>
      <c r="J2737" s="17" t="s">
        <v>71</v>
      </c>
      <c r="K2737" s="17" t="s">
        <v>58</v>
      </c>
      <c r="L2737" s="18" t="s">
        <v>52</v>
      </c>
      <c r="M2737" s="19">
        <v>66.0</v>
      </c>
      <c r="N2737" s="19">
        <v>31.0</v>
      </c>
    </row>
    <row r="2738">
      <c r="A2738" s="12">
        <v>2736.0</v>
      </c>
      <c r="B2738" s="13" t="s">
        <v>5322</v>
      </c>
      <c r="C2738" s="14">
        <v>96.0</v>
      </c>
      <c r="D2738" s="15" t="s">
        <v>5324</v>
      </c>
      <c r="E2738" s="16" t="s">
        <v>221</v>
      </c>
      <c r="F2738" s="13" t="s">
        <v>60</v>
      </c>
      <c r="G2738" s="13" t="s">
        <v>61</v>
      </c>
      <c r="H2738" s="13" t="s">
        <v>4119</v>
      </c>
      <c r="I2738" s="13" t="s">
        <v>63</v>
      </c>
      <c r="J2738" s="17" t="s">
        <v>71</v>
      </c>
      <c r="K2738" s="17" t="s">
        <v>58</v>
      </c>
      <c r="L2738" s="18" t="s">
        <v>52</v>
      </c>
      <c r="M2738" s="19">
        <v>66.0</v>
      </c>
      <c r="N2738" s="19">
        <v>31.0</v>
      </c>
    </row>
    <row r="2739">
      <c r="A2739" s="12">
        <v>2737.0</v>
      </c>
      <c r="B2739" s="13" t="s">
        <v>5322</v>
      </c>
      <c r="C2739" s="14">
        <v>97.0</v>
      </c>
      <c r="D2739" s="15" t="s">
        <v>5324</v>
      </c>
      <c r="E2739" s="16" t="s">
        <v>221</v>
      </c>
      <c r="F2739" s="13" t="s">
        <v>5372</v>
      </c>
      <c r="G2739" s="13" t="s">
        <v>61</v>
      </c>
      <c r="H2739" s="13" t="s">
        <v>5373</v>
      </c>
      <c r="I2739" s="13" t="s">
        <v>63</v>
      </c>
      <c r="J2739" s="17" t="s">
        <v>71</v>
      </c>
      <c r="K2739" s="17" t="s">
        <v>58</v>
      </c>
      <c r="L2739" s="18" t="s">
        <v>52</v>
      </c>
      <c r="M2739" s="19">
        <v>66.0</v>
      </c>
      <c r="N2739" s="19">
        <v>31.0</v>
      </c>
    </row>
    <row r="2740">
      <c r="A2740" s="12">
        <v>2738.0</v>
      </c>
      <c r="B2740" s="13" t="s">
        <v>5322</v>
      </c>
      <c r="C2740" s="14">
        <v>98.0</v>
      </c>
      <c r="D2740" s="15" t="s">
        <v>5324</v>
      </c>
      <c r="E2740" s="16" t="s">
        <v>221</v>
      </c>
      <c r="F2740" s="13" t="s">
        <v>2595</v>
      </c>
      <c r="G2740" s="13" t="s">
        <v>5374</v>
      </c>
      <c r="H2740" s="13" t="s">
        <v>5375</v>
      </c>
      <c r="I2740" s="13" t="s">
        <v>63</v>
      </c>
      <c r="J2740" s="17" t="s">
        <v>71</v>
      </c>
      <c r="K2740" s="17" t="s">
        <v>58</v>
      </c>
      <c r="L2740" s="18" t="s">
        <v>52</v>
      </c>
      <c r="M2740" s="19">
        <v>66.0</v>
      </c>
      <c r="N2740" s="19">
        <v>31.0</v>
      </c>
    </row>
    <row r="2741">
      <c r="A2741" s="12">
        <v>2739.0</v>
      </c>
      <c r="B2741" s="13" t="s">
        <v>5322</v>
      </c>
      <c r="C2741" s="14">
        <v>99.0</v>
      </c>
      <c r="D2741" s="15" t="s">
        <v>5324</v>
      </c>
      <c r="E2741" s="16" t="s">
        <v>221</v>
      </c>
      <c r="F2741" s="13" t="s">
        <v>1732</v>
      </c>
      <c r="G2741" s="13" t="s">
        <v>4536</v>
      </c>
      <c r="H2741" s="13" t="s">
        <v>4537</v>
      </c>
      <c r="I2741" s="13" t="s">
        <v>63</v>
      </c>
      <c r="J2741" s="17" t="s">
        <v>71</v>
      </c>
      <c r="K2741" s="17" t="s">
        <v>58</v>
      </c>
      <c r="L2741" s="18" t="s">
        <v>52</v>
      </c>
      <c r="M2741" s="19">
        <v>66.0</v>
      </c>
      <c r="N2741" s="19">
        <v>31.0</v>
      </c>
    </row>
    <row r="2742">
      <c r="A2742" s="12">
        <v>2740.0</v>
      </c>
      <c r="B2742" s="13" t="s">
        <v>5322</v>
      </c>
      <c r="C2742" s="14">
        <v>100.0</v>
      </c>
      <c r="D2742" s="15" t="s">
        <v>5324</v>
      </c>
      <c r="E2742" s="16" t="s">
        <v>221</v>
      </c>
      <c r="F2742" s="13" t="s">
        <v>201</v>
      </c>
      <c r="G2742" s="13" t="s">
        <v>4498</v>
      </c>
      <c r="H2742" s="13" t="s">
        <v>4927</v>
      </c>
      <c r="I2742" s="13" t="s">
        <v>63</v>
      </c>
      <c r="J2742" s="17" t="s">
        <v>71</v>
      </c>
      <c r="K2742" s="17" t="s">
        <v>58</v>
      </c>
      <c r="L2742" s="18" t="s">
        <v>52</v>
      </c>
      <c r="M2742" s="19">
        <v>66.0</v>
      </c>
      <c r="N2742" s="19">
        <v>31.0</v>
      </c>
    </row>
    <row r="2743">
      <c r="A2743" s="12">
        <v>2741.0</v>
      </c>
      <c r="B2743" s="13" t="s">
        <v>5322</v>
      </c>
      <c r="C2743" s="14">
        <v>101.0</v>
      </c>
      <c r="D2743" s="15" t="s">
        <v>5324</v>
      </c>
      <c r="E2743" s="16" t="s">
        <v>221</v>
      </c>
      <c r="F2743" s="13" t="s">
        <v>212</v>
      </c>
      <c r="G2743" s="13" t="s">
        <v>5055</v>
      </c>
      <c r="H2743" s="13" t="s">
        <v>5056</v>
      </c>
      <c r="I2743" s="13" t="s">
        <v>63</v>
      </c>
      <c r="J2743" s="17" t="s">
        <v>71</v>
      </c>
      <c r="K2743" s="17" t="s">
        <v>58</v>
      </c>
      <c r="L2743" s="18" t="s">
        <v>52</v>
      </c>
      <c r="M2743" s="19">
        <v>66.0</v>
      </c>
      <c r="N2743" s="19">
        <v>31.0</v>
      </c>
    </row>
    <row r="2744">
      <c r="A2744" s="12">
        <v>2742.0</v>
      </c>
      <c r="B2744" s="13" t="s">
        <v>5322</v>
      </c>
      <c r="C2744" s="14">
        <v>102.0</v>
      </c>
      <c r="D2744" s="15" t="s">
        <v>5324</v>
      </c>
      <c r="E2744" s="16" t="s">
        <v>221</v>
      </c>
      <c r="F2744" s="13" t="s">
        <v>1331</v>
      </c>
      <c r="G2744" s="13" t="s">
        <v>4540</v>
      </c>
      <c r="H2744" s="13" t="s">
        <v>4541</v>
      </c>
      <c r="I2744" s="13" t="s">
        <v>63</v>
      </c>
      <c r="J2744" s="17" t="s">
        <v>71</v>
      </c>
      <c r="K2744" s="17" t="s">
        <v>58</v>
      </c>
      <c r="L2744" s="18" t="s">
        <v>52</v>
      </c>
      <c r="M2744" s="19">
        <v>66.0</v>
      </c>
      <c r="N2744" s="19">
        <v>31.0</v>
      </c>
    </row>
    <row r="2745">
      <c r="A2745" s="12">
        <v>2743.0</v>
      </c>
      <c r="B2745" s="13" t="s">
        <v>5322</v>
      </c>
      <c r="C2745" s="14">
        <v>103.0</v>
      </c>
      <c r="D2745" s="15" t="s">
        <v>5324</v>
      </c>
      <c r="E2745" s="16" t="s">
        <v>221</v>
      </c>
      <c r="F2745" s="13" t="s">
        <v>4505</v>
      </c>
      <c r="G2745" s="13" t="s">
        <v>5376</v>
      </c>
      <c r="H2745" s="13" t="s">
        <v>5377</v>
      </c>
      <c r="I2745" s="13" t="s">
        <v>63</v>
      </c>
      <c r="J2745" s="17" t="s">
        <v>71</v>
      </c>
      <c r="K2745" s="17" t="s">
        <v>58</v>
      </c>
      <c r="L2745" s="18" t="s">
        <v>52</v>
      </c>
      <c r="M2745" s="19">
        <v>66.0</v>
      </c>
      <c r="N2745" s="19">
        <v>31.0</v>
      </c>
    </row>
    <row r="2746">
      <c r="A2746" s="12">
        <v>2744.0</v>
      </c>
      <c r="B2746" s="13" t="s">
        <v>5322</v>
      </c>
      <c r="C2746" s="14">
        <v>104.0</v>
      </c>
      <c r="D2746" s="15" t="s">
        <v>5324</v>
      </c>
      <c r="E2746" s="16" t="s">
        <v>221</v>
      </c>
      <c r="F2746" s="13" t="s">
        <v>1303</v>
      </c>
      <c r="G2746" s="13" t="s">
        <v>5378</v>
      </c>
      <c r="H2746" s="13" t="s">
        <v>5379</v>
      </c>
      <c r="I2746" s="13" t="s">
        <v>63</v>
      </c>
      <c r="J2746" s="17" t="s">
        <v>71</v>
      </c>
      <c r="K2746" s="17" t="s">
        <v>58</v>
      </c>
      <c r="L2746" s="18" t="s">
        <v>52</v>
      </c>
      <c r="M2746" s="19">
        <v>66.0</v>
      </c>
      <c r="N2746" s="19">
        <v>31.0</v>
      </c>
    </row>
    <row r="2747">
      <c r="A2747" s="12">
        <v>2745.0</v>
      </c>
      <c r="B2747" s="13" t="s">
        <v>5322</v>
      </c>
      <c r="C2747" s="14">
        <v>105.0</v>
      </c>
      <c r="D2747" s="15" t="s">
        <v>5324</v>
      </c>
      <c r="E2747" s="16" t="s">
        <v>221</v>
      </c>
      <c r="F2747" s="13" t="s">
        <v>1738</v>
      </c>
      <c r="G2747" s="13" t="s">
        <v>61</v>
      </c>
      <c r="H2747" s="13" t="s">
        <v>4893</v>
      </c>
      <c r="I2747" s="13" t="s">
        <v>63</v>
      </c>
      <c r="J2747" s="17" t="s">
        <v>71</v>
      </c>
      <c r="K2747" s="17" t="s">
        <v>58</v>
      </c>
      <c r="L2747" s="18" t="s">
        <v>52</v>
      </c>
      <c r="M2747" s="19">
        <v>66.0</v>
      </c>
      <c r="N2747" s="19">
        <v>31.0</v>
      </c>
    </row>
    <row r="2748">
      <c r="A2748" s="12">
        <v>2746.0</v>
      </c>
      <c r="B2748" s="13" t="s">
        <v>5322</v>
      </c>
      <c r="C2748" s="14">
        <v>106.0</v>
      </c>
      <c r="D2748" s="15" t="s">
        <v>5324</v>
      </c>
      <c r="E2748" s="16" t="s">
        <v>221</v>
      </c>
      <c r="F2748" s="13" t="s">
        <v>2542</v>
      </c>
      <c r="G2748" s="13" t="s">
        <v>4510</v>
      </c>
      <c r="H2748" s="13" t="s">
        <v>4511</v>
      </c>
      <c r="I2748" s="13" t="s">
        <v>63</v>
      </c>
      <c r="J2748" s="17" t="s">
        <v>71</v>
      </c>
      <c r="K2748" s="17" t="s">
        <v>58</v>
      </c>
      <c r="L2748" s="18" t="s">
        <v>52</v>
      </c>
      <c r="M2748" s="19">
        <v>66.0</v>
      </c>
      <c r="N2748" s="19">
        <v>31.0</v>
      </c>
    </row>
    <row r="2749">
      <c r="A2749" s="12">
        <v>2747.0</v>
      </c>
      <c r="B2749" s="13" t="s">
        <v>5322</v>
      </c>
      <c r="C2749" s="14">
        <v>107.0</v>
      </c>
      <c r="D2749" s="15" t="s">
        <v>5324</v>
      </c>
      <c r="E2749" s="16" t="s">
        <v>221</v>
      </c>
      <c r="F2749" s="13" t="s">
        <v>2551</v>
      </c>
      <c r="G2749" s="13" t="s">
        <v>5380</v>
      </c>
      <c r="H2749" s="13" t="s">
        <v>5381</v>
      </c>
      <c r="I2749" s="13" t="s">
        <v>63</v>
      </c>
      <c r="J2749" s="17" t="s">
        <v>71</v>
      </c>
      <c r="K2749" s="17" t="s">
        <v>58</v>
      </c>
      <c r="L2749" s="18" t="s">
        <v>52</v>
      </c>
      <c r="M2749" s="19">
        <v>66.0</v>
      </c>
      <c r="N2749" s="19">
        <v>31.0</v>
      </c>
    </row>
    <row r="2750">
      <c r="A2750" s="12">
        <v>2748.0</v>
      </c>
      <c r="B2750" s="13" t="s">
        <v>5322</v>
      </c>
      <c r="C2750" s="14">
        <v>108.0</v>
      </c>
      <c r="D2750" s="15" t="s">
        <v>5324</v>
      </c>
      <c r="E2750" s="16" t="s">
        <v>221</v>
      </c>
      <c r="F2750" s="13" t="s">
        <v>50</v>
      </c>
      <c r="G2750" s="13" t="s">
        <v>5051</v>
      </c>
      <c r="H2750" s="13" t="s">
        <v>5052</v>
      </c>
      <c r="I2750" s="13" t="s">
        <v>63</v>
      </c>
      <c r="J2750" s="17" t="s">
        <v>71</v>
      </c>
      <c r="K2750" s="17" t="s">
        <v>58</v>
      </c>
      <c r="L2750" s="18" t="s">
        <v>52</v>
      </c>
      <c r="M2750" s="19">
        <v>66.0</v>
      </c>
      <c r="N2750" s="19">
        <v>31.0</v>
      </c>
    </row>
    <row r="2751">
      <c r="A2751" s="12">
        <v>2749.0</v>
      </c>
      <c r="B2751" s="13" t="s">
        <v>5322</v>
      </c>
      <c r="C2751" s="14">
        <v>109.0</v>
      </c>
      <c r="D2751" s="15" t="s">
        <v>5324</v>
      </c>
      <c r="E2751" s="16" t="s">
        <v>221</v>
      </c>
      <c r="F2751" s="13" t="s">
        <v>2502</v>
      </c>
      <c r="G2751" s="13" t="s">
        <v>61</v>
      </c>
      <c r="H2751" s="13" t="s">
        <v>3064</v>
      </c>
      <c r="I2751" s="13" t="s">
        <v>63</v>
      </c>
      <c r="J2751" s="17" t="s">
        <v>71</v>
      </c>
      <c r="K2751" s="17" t="s">
        <v>58</v>
      </c>
      <c r="L2751" s="18" t="s">
        <v>52</v>
      </c>
      <c r="M2751" s="19">
        <v>66.0</v>
      </c>
      <c r="N2751" s="19">
        <v>31.0</v>
      </c>
    </row>
    <row r="2752">
      <c r="A2752" s="12">
        <v>2750.0</v>
      </c>
      <c r="B2752" s="13" t="s">
        <v>5322</v>
      </c>
      <c r="C2752" s="14">
        <v>110.0</v>
      </c>
      <c r="D2752" s="15" t="s">
        <v>5324</v>
      </c>
      <c r="E2752" s="16" t="s">
        <v>221</v>
      </c>
      <c r="F2752" s="13" t="s">
        <v>4068</v>
      </c>
      <c r="G2752" s="13" t="s">
        <v>4069</v>
      </c>
      <c r="H2752" s="13" t="s">
        <v>5383</v>
      </c>
      <c r="I2752" s="13" t="s">
        <v>63</v>
      </c>
      <c r="J2752" s="17" t="s">
        <v>71</v>
      </c>
      <c r="K2752" s="17" t="s">
        <v>58</v>
      </c>
      <c r="L2752" s="18" t="s">
        <v>52</v>
      </c>
      <c r="M2752" s="19">
        <v>66.0</v>
      </c>
      <c r="N2752" s="19">
        <v>31.0</v>
      </c>
    </row>
    <row r="2753">
      <c r="A2753" s="12">
        <v>2751.0</v>
      </c>
      <c r="B2753" s="13" t="s">
        <v>5322</v>
      </c>
      <c r="C2753" s="14">
        <v>111.0</v>
      </c>
      <c r="D2753" s="15" t="s">
        <v>5324</v>
      </c>
      <c r="E2753" s="16" t="s">
        <v>221</v>
      </c>
      <c r="F2753" s="13" t="s">
        <v>1884</v>
      </c>
      <c r="G2753" s="13" t="s">
        <v>4732</v>
      </c>
      <c r="H2753" s="13" t="s">
        <v>4733</v>
      </c>
      <c r="I2753" s="13" t="s">
        <v>63</v>
      </c>
      <c r="J2753" s="17" t="s">
        <v>71</v>
      </c>
      <c r="K2753" s="17" t="s">
        <v>58</v>
      </c>
      <c r="L2753" s="18" t="s">
        <v>52</v>
      </c>
      <c r="M2753" s="19">
        <v>66.0</v>
      </c>
      <c r="N2753" s="19">
        <v>31.0</v>
      </c>
    </row>
    <row r="2754">
      <c r="A2754" s="12">
        <v>2752.0</v>
      </c>
      <c r="B2754" s="13" t="s">
        <v>5322</v>
      </c>
      <c r="C2754" s="14">
        <v>112.0</v>
      </c>
      <c r="D2754" s="15" t="s">
        <v>5324</v>
      </c>
      <c r="E2754" s="16" t="s">
        <v>221</v>
      </c>
      <c r="F2754" s="13" t="s">
        <v>4500</v>
      </c>
      <c r="G2754" s="13" t="s">
        <v>4501</v>
      </c>
      <c r="H2754" s="13" t="s">
        <v>5384</v>
      </c>
      <c r="I2754" s="13" t="s">
        <v>63</v>
      </c>
      <c r="J2754" s="17" t="s">
        <v>71</v>
      </c>
      <c r="K2754" s="17" t="s">
        <v>58</v>
      </c>
      <c r="L2754" s="18" t="s">
        <v>52</v>
      </c>
      <c r="M2754" s="19">
        <v>66.0</v>
      </c>
      <c r="N2754" s="19">
        <v>31.0</v>
      </c>
    </row>
    <row r="2755">
      <c r="A2755" s="12">
        <v>2753.0</v>
      </c>
      <c r="B2755" s="13" t="s">
        <v>5322</v>
      </c>
      <c r="C2755" s="14">
        <v>113.0</v>
      </c>
      <c r="D2755" s="15" t="s">
        <v>5324</v>
      </c>
      <c r="E2755" s="16" t="s">
        <v>221</v>
      </c>
      <c r="F2755" s="13" t="s">
        <v>4445</v>
      </c>
      <c r="G2755" s="13" t="s">
        <v>4446</v>
      </c>
      <c r="H2755" s="13" t="s">
        <v>5385</v>
      </c>
      <c r="I2755" s="13" t="s">
        <v>63</v>
      </c>
      <c r="J2755" s="17" t="s">
        <v>71</v>
      </c>
      <c r="K2755" s="17" t="s">
        <v>58</v>
      </c>
      <c r="L2755" s="18" t="s">
        <v>52</v>
      </c>
      <c r="M2755" s="19">
        <v>66.0</v>
      </c>
      <c r="N2755" s="19">
        <v>31.0</v>
      </c>
    </row>
    <row r="2756">
      <c r="A2756" s="12">
        <v>2754.0</v>
      </c>
      <c r="B2756" s="13" t="s">
        <v>5322</v>
      </c>
      <c r="C2756" s="14">
        <v>114.0</v>
      </c>
      <c r="D2756" s="15" t="s">
        <v>5324</v>
      </c>
      <c r="E2756" s="16" t="s">
        <v>221</v>
      </c>
      <c r="F2756" s="13" t="s">
        <v>5386</v>
      </c>
      <c r="G2756" s="13" t="s">
        <v>5387</v>
      </c>
      <c r="H2756" s="13" t="s">
        <v>5388</v>
      </c>
      <c r="I2756" s="13" t="s">
        <v>63</v>
      </c>
      <c r="J2756" s="17" t="s">
        <v>71</v>
      </c>
      <c r="K2756" s="17" t="s">
        <v>58</v>
      </c>
      <c r="L2756" s="18" t="s">
        <v>52</v>
      </c>
      <c r="M2756" s="19">
        <v>66.0</v>
      </c>
      <c r="N2756" s="19">
        <v>31.0</v>
      </c>
    </row>
    <row r="2757">
      <c r="A2757" s="12">
        <v>2755.0</v>
      </c>
      <c r="B2757" s="13" t="s">
        <v>5322</v>
      </c>
      <c r="C2757" s="14">
        <v>115.0</v>
      </c>
      <c r="D2757" s="15" t="s">
        <v>5324</v>
      </c>
      <c r="E2757" s="16" t="s">
        <v>221</v>
      </c>
      <c r="F2757" s="13" t="s">
        <v>4587</v>
      </c>
      <c r="G2757" s="13" t="s">
        <v>5389</v>
      </c>
      <c r="H2757" s="13" t="s">
        <v>5390</v>
      </c>
      <c r="I2757" s="13" t="s">
        <v>63</v>
      </c>
      <c r="J2757" s="17" t="s">
        <v>71</v>
      </c>
      <c r="K2757" s="17" t="s">
        <v>58</v>
      </c>
      <c r="L2757" s="18" t="s">
        <v>52</v>
      </c>
      <c r="M2757" s="19">
        <v>66.0</v>
      </c>
      <c r="N2757" s="19">
        <v>31.0</v>
      </c>
    </row>
    <row r="2758">
      <c r="A2758" s="12">
        <v>2756.0</v>
      </c>
      <c r="B2758" s="13" t="s">
        <v>5322</v>
      </c>
      <c r="C2758" s="14">
        <v>116.0</v>
      </c>
      <c r="D2758" s="15" t="s">
        <v>5324</v>
      </c>
      <c r="E2758" s="16" t="s">
        <v>221</v>
      </c>
      <c r="F2758" s="13" t="s">
        <v>3446</v>
      </c>
      <c r="G2758" s="13" t="s">
        <v>4579</v>
      </c>
      <c r="H2758" s="13" t="s">
        <v>5391</v>
      </c>
      <c r="I2758" s="13" t="s">
        <v>63</v>
      </c>
      <c r="J2758" s="17" t="s">
        <v>71</v>
      </c>
      <c r="K2758" s="17" t="s">
        <v>58</v>
      </c>
      <c r="L2758" s="18" t="s">
        <v>52</v>
      </c>
      <c r="M2758" s="19">
        <v>66.0</v>
      </c>
      <c r="N2758" s="19">
        <v>31.0</v>
      </c>
    </row>
    <row r="2759">
      <c r="A2759" s="12">
        <v>2757.0</v>
      </c>
      <c r="B2759" s="13" t="s">
        <v>5322</v>
      </c>
      <c r="C2759" s="14">
        <v>117.0</v>
      </c>
      <c r="D2759" s="15" t="s">
        <v>5324</v>
      </c>
      <c r="E2759" s="16" t="s">
        <v>221</v>
      </c>
      <c r="F2759" s="13" t="s">
        <v>4570</v>
      </c>
      <c r="G2759" s="13" t="s">
        <v>61</v>
      </c>
      <c r="H2759" s="13" t="s">
        <v>5392</v>
      </c>
      <c r="I2759" s="13" t="s">
        <v>63</v>
      </c>
      <c r="J2759" s="17" t="s">
        <v>71</v>
      </c>
      <c r="K2759" s="17" t="s">
        <v>58</v>
      </c>
      <c r="L2759" s="18" t="s">
        <v>52</v>
      </c>
      <c r="M2759" s="19">
        <v>66.0</v>
      </c>
      <c r="N2759" s="19">
        <v>31.0</v>
      </c>
    </row>
    <row r="2760">
      <c r="A2760" s="12">
        <v>2758.0</v>
      </c>
      <c r="B2760" s="13" t="s">
        <v>5322</v>
      </c>
      <c r="C2760" s="14">
        <v>118.0</v>
      </c>
      <c r="D2760" s="15" t="s">
        <v>5324</v>
      </c>
      <c r="E2760" s="16" t="s">
        <v>221</v>
      </c>
      <c r="F2760" s="13" t="s">
        <v>2883</v>
      </c>
      <c r="G2760" s="13" t="s">
        <v>4115</v>
      </c>
      <c r="H2760" s="13" t="s">
        <v>4117</v>
      </c>
      <c r="I2760" s="13" t="s">
        <v>63</v>
      </c>
      <c r="J2760" s="17" t="s">
        <v>71</v>
      </c>
      <c r="K2760" s="17" t="s">
        <v>58</v>
      </c>
      <c r="L2760" s="18" t="s">
        <v>52</v>
      </c>
      <c r="M2760" s="19">
        <v>66.0</v>
      </c>
      <c r="N2760" s="19">
        <v>31.0</v>
      </c>
    </row>
    <row r="2761">
      <c r="A2761" s="12">
        <v>2759.0</v>
      </c>
      <c r="B2761" s="13" t="s">
        <v>5322</v>
      </c>
      <c r="C2761" s="14">
        <v>119.0</v>
      </c>
      <c r="D2761" s="15" t="s">
        <v>5324</v>
      </c>
      <c r="E2761" s="16" t="s">
        <v>221</v>
      </c>
      <c r="F2761" s="13" t="s">
        <v>2488</v>
      </c>
      <c r="G2761" s="13" t="s">
        <v>5393</v>
      </c>
      <c r="H2761" s="13" t="s">
        <v>5394</v>
      </c>
      <c r="I2761" s="13" t="s">
        <v>63</v>
      </c>
      <c r="J2761" s="17" t="s">
        <v>71</v>
      </c>
      <c r="K2761" s="17" t="s">
        <v>58</v>
      </c>
      <c r="L2761" s="18" t="s">
        <v>52</v>
      </c>
      <c r="M2761" s="19">
        <v>66.0</v>
      </c>
      <c r="N2761" s="19">
        <v>31.0</v>
      </c>
    </row>
    <row r="2762">
      <c r="A2762" s="12">
        <v>2760.0</v>
      </c>
      <c r="B2762" s="13" t="s">
        <v>5322</v>
      </c>
      <c r="C2762" s="14">
        <v>120.0</v>
      </c>
      <c r="D2762" s="15" t="s">
        <v>5324</v>
      </c>
      <c r="E2762" s="16" t="s">
        <v>221</v>
      </c>
      <c r="F2762" s="13" t="s">
        <v>413</v>
      </c>
      <c r="G2762" s="13" t="s">
        <v>5395</v>
      </c>
      <c r="H2762" s="13" t="s">
        <v>5397</v>
      </c>
      <c r="I2762" s="13" t="s">
        <v>63</v>
      </c>
      <c r="J2762" s="17" t="s">
        <v>71</v>
      </c>
      <c r="K2762" s="17" t="s">
        <v>58</v>
      </c>
      <c r="L2762" s="18" t="s">
        <v>52</v>
      </c>
      <c r="M2762" s="19">
        <v>66.0</v>
      </c>
      <c r="N2762" s="19">
        <v>31.0</v>
      </c>
    </row>
    <row r="2763">
      <c r="A2763" s="12">
        <v>2761.0</v>
      </c>
      <c r="B2763" s="13" t="s">
        <v>5322</v>
      </c>
      <c r="C2763" s="14">
        <v>121.0</v>
      </c>
      <c r="D2763" s="15" t="s">
        <v>5324</v>
      </c>
      <c r="E2763" s="16" t="s">
        <v>221</v>
      </c>
      <c r="F2763" s="13" t="s">
        <v>1729</v>
      </c>
      <c r="G2763" s="13" t="s">
        <v>5398</v>
      </c>
      <c r="H2763" s="13" t="s">
        <v>5399</v>
      </c>
      <c r="I2763" s="13" t="s">
        <v>63</v>
      </c>
      <c r="J2763" s="17" t="s">
        <v>71</v>
      </c>
      <c r="K2763" s="17" t="s">
        <v>58</v>
      </c>
      <c r="L2763" s="18" t="s">
        <v>52</v>
      </c>
      <c r="M2763" s="19">
        <v>66.0</v>
      </c>
      <c r="N2763" s="19">
        <v>31.0</v>
      </c>
    </row>
    <row r="2764">
      <c r="A2764" s="12">
        <v>2762.0</v>
      </c>
      <c r="B2764" s="13" t="s">
        <v>5322</v>
      </c>
      <c r="C2764" s="14">
        <v>122.0</v>
      </c>
      <c r="D2764" s="15" t="s">
        <v>5324</v>
      </c>
      <c r="E2764" s="16" t="s">
        <v>221</v>
      </c>
      <c r="F2764" s="13" t="s">
        <v>2564</v>
      </c>
      <c r="G2764" s="13" t="s">
        <v>5401</v>
      </c>
      <c r="H2764" s="13" t="s">
        <v>5402</v>
      </c>
      <c r="I2764" s="13" t="s">
        <v>63</v>
      </c>
      <c r="J2764" s="17" t="s">
        <v>71</v>
      </c>
      <c r="K2764" s="17" t="s">
        <v>58</v>
      </c>
      <c r="L2764" s="18" t="s">
        <v>52</v>
      </c>
      <c r="M2764" s="19">
        <v>66.0</v>
      </c>
      <c r="N2764" s="19">
        <v>31.0</v>
      </c>
    </row>
    <row r="2765">
      <c r="A2765" s="12">
        <v>2763.0</v>
      </c>
      <c r="B2765" s="13" t="s">
        <v>5322</v>
      </c>
      <c r="C2765" s="14">
        <v>123.0</v>
      </c>
      <c r="D2765" s="15" t="s">
        <v>5324</v>
      </c>
      <c r="E2765" s="16" t="s">
        <v>221</v>
      </c>
      <c r="F2765" s="13" t="s">
        <v>2535</v>
      </c>
      <c r="G2765" s="13" t="s">
        <v>4589</v>
      </c>
      <c r="H2765" s="13" t="s">
        <v>4590</v>
      </c>
      <c r="I2765" s="13" t="s">
        <v>63</v>
      </c>
      <c r="J2765" s="17" t="s">
        <v>71</v>
      </c>
      <c r="K2765" s="17" t="s">
        <v>58</v>
      </c>
      <c r="L2765" s="18" t="s">
        <v>52</v>
      </c>
      <c r="M2765" s="19">
        <v>66.0</v>
      </c>
      <c r="N2765" s="19">
        <v>31.0</v>
      </c>
    </row>
    <row r="2766">
      <c r="A2766" s="12">
        <v>2764.0</v>
      </c>
      <c r="B2766" s="13" t="s">
        <v>5322</v>
      </c>
      <c r="C2766" s="14">
        <v>124.0</v>
      </c>
      <c r="D2766" s="15" t="s">
        <v>5324</v>
      </c>
      <c r="E2766" s="16" t="s">
        <v>221</v>
      </c>
      <c r="F2766" s="13" t="s">
        <v>5194</v>
      </c>
      <c r="G2766" s="13" t="s">
        <v>5403</v>
      </c>
      <c r="H2766" s="13" t="s">
        <v>5404</v>
      </c>
      <c r="I2766" s="13" t="s">
        <v>63</v>
      </c>
      <c r="J2766" s="17" t="s">
        <v>71</v>
      </c>
      <c r="K2766" s="17" t="s">
        <v>58</v>
      </c>
      <c r="L2766" s="18" t="s">
        <v>52</v>
      </c>
      <c r="M2766" s="19">
        <v>66.0</v>
      </c>
      <c r="N2766" s="19">
        <v>31.0</v>
      </c>
    </row>
    <row r="2767">
      <c r="A2767" s="12">
        <v>2765.0</v>
      </c>
      <c r="B2767" s="13" t="s">
        <v>5322</v>
      </c>
      <c r="C2767" s="14">
        <v>125.0</v>
      </c>
      <c r="D2767" s="15" t="s">
        <v>5324</v>
      </c>
      <c r="E2767" s="16" t="s">
        <v>221</v>
      </c>
      <c r="F2767" s="13" t="s">
        <v>2539</v>
      </c>
      <c r="G2767" s="13" t="s">
        <v>61</v>
      </c>
      <c r="H2767" s="13" t="s">
        <v>5405</v>
      </c>
      <c r="I2767" s="13" t="s">
        <v>63</v>
      </c>
      <c r="J2767" s="17" t="s">
        <v>71</v>
      </c>
      <c r="K2767" s="17" t="s">
        <v>58</v>
      </c>
      <c r="L2767" s="18" t="s">
        <v>52</v>
      </c>
      <c r="M2767" s="19">
        <v>66.0</v>
      </c>
      <c r="N2767" s="19">
        <v>31.0</v>
      </c>
    </row>
    <row r="2768">
      <c r="A2768" s="12">
        <v>2766.0</v>
      </c>
      <c r="B2768" s="13" t="s">
        <v>5322</v>
      </c>
      <c r="C2768" s="14">
        <v>126.0</v>
      </c>
      <c r="D2768" s="15" t="s">
        <v>5324</v>
      </c>
      <c r="E2768" s="16" t="s">
        <v>221</v>
      </c>
      <c r="F2768" s="13" t="s">
        <v>5406</v>
      </c>
      <c r="G2768" s="13" t="s">
        <v>61</v>
      </c>
      <c r="H2768" s="13" t="s">
        <v>5407</v>
      </c>
      <c r="I2768" s="13" t="s">
        <v>63</v>
      </c>
      <c r="J2768" s="17" t="s">
        <v>71</v>
      </c>
      <c r="K2768" s="17" t="s">
        <v>58</v>
      </c>
      <c r="L2768" s="18" t="s">
        <v>52</v>
      </c>
      <c r="M2768" s="19">
        <v>66.0</v>
      </c>
      <c r="N2768" s="19">
        <v>31.0</v>
      </c>
    </row>
    <row r="2769">
      <c r="A2769" s="12">
        <v>2767.0</v>
      </c>
      <c r="B2769" s="13" t="s">
        <v>5322</v>
      </c>
      <c r="C2769" s="14">
        <v>127.0</v>
      </c>
      <c r="D2769" s="15" t="s">
        <v>5324</v>
      </c>
      <c r="E2769" s="16" t="s">
        <v>221</v>
      </c>
      <c r="F2769" s="13" t="s">
        <v>5408</v>
      </c>
      <c r="G2769" s="13" t="s">
        <v>5409</v>
      </c>
      <c r="H2769" s="13" t="s">
        <v>5410</v>
      </c>
      <c r="I2769" s="13" t="s">
        <v>63</v>
      </c>
      <c r="J2769" s="17" t="s">
        <v>71</v>
      </c>
      <c r="K2769" s="17" t="s">
        <v>58</v>
      </c>
      <c r="L2769" s="18" t="s">
        <v>52</v>
      </c>
      <c r="M2769" s="19">
        <v>66.0</v>
      </c>
      <c r="N2769" s="19">
        <v>31.0</v>
      </c>
    </row>
    <row r="2770">
      <c r="A2770" s="12">
        <v>2768.0</v>
      </c>
      <c r="B2770" s="13" t="s">
        <v>5322</v>
      </c>
      <c r="C2770" s="14">
        <v>128.0</v>
      </c>
      <c r="D2770" s="15" t="s">
        <v>5324</v>
      </c>
      <c r="E2770" s="16" t="s">
        <v>221</v>
      </c>
      <c r="F2770" s="13" t="s">
        <v>4592</v>
      </c>
      <c r="G2770" s="13" t="s">
        <v>61</v>
      </c>
      <c r="H2770" s="13" t="s">
        <v>4593</v>
      </c>
      <c r="I2770" s="13" t="s">
        <v>63</v>
      </c>
      <c r="J2770" s="17" t="s">
        <v>71</v>
      </c>
      <c r="K2770" s="17" t="s">
        <v>58</v>
      </c>
      <c r="L2770" s="18" t="s">
        <v>52</v>
      </c>
      <c r="M2770" s="19">
        <v>66.0</v>
      </c>
      <c r="N2770" s="19">
        <v>31.0</v>
      </c>
    </row>
    <row r="2771">
      <c r="A2771" s="12">
        <v>2769.0</v>
      </c>
      <c r="B2771" s="13" t="s">
        <v>5322</v>
      </c>
      <c r="C2771" s="14">
        <v>129.0</v>
      </c>
      <c r="D2771" s="15" t="s">
        <v>5324</v>
      </c>
      <c r="E2771" s="16" t="s">
        <v>221</v>
      </c>
      <c r="F2771" s="13" t="s">
        <v>4553</v>
      </c>
      <c r="G2771" s="13" t="s">
        <v>5411</v>
      </c>
      <c r="H2771" s="13" t="s">
        <v>5397</v>
      </c>
      <c r="I2771" s="13" t="s">
        <v>63</v>
      </c>
      <c r="J2771" s="17" t="s">
        <v>71</v>
      </c>
      <c r="K2771" s="17" t="s">
        <v>58</v>
      </c>
      <c r="L2771" s="18" t="s">
        <v>52</v>
      </c>
      <c r="M2771" s="19">
        <v>66.0</v>
      </c>
      <c r="N2771" s="19">
        <v>31.0</v>
      </c>
    </row>
    <row r="2772">
      <c r="A2772" s="12">
        <v>2770.0</v>
      </c>
      <c r="B2772" s="13" t="s">
        <v>5322</v>
      </c>
      <c r="C2772" s="14">
        <v>130.0</v>
      </c>
      <c r="D2772" s="15" t="s">
        <v>5324</v>
      </c>
      <c r="E2772" s="16" t="s">
        <v>221</v>
      </c>
      <c r="F2772" s="13" t="s">
        <v>4756</v>
      </c>
      <c r="G2772" s="13" t="s">
        <v>5412</v>
      </c>
      <c r="H2772" s="13" t="s">
        <v>5413</v>
      </c>
      <c r="I2772" s="13" t="s">
        <v>63</v>
      </c>
      <c r="J2772" s="17" t="s">
        <v>71</v>
      </c>
      <c r="K2772" s="17" t="s">
        <v>58</v>
      </c>
      <c r="L2772" s="18" t="s">
        <v>52</v>
      </c>
      <c r="M2772" s="19">
        <v>66.0</v>
      </c>
      <c r="N2772" s="19">
        <v>31.0</v>
      </c>
    </row>
    <row r="2773">
      <c r="A2773" s="12">
        <v>2771.0</v>
      </c>
      <c r="B2773" s="13" t="s">
        <v>5322</v>
      </c>
      <c r="C2773" s="14">
        <v>131.0</v>
      </c>
      <c r="D2773" s="15" t="s">
        <v>5324</v>
      </c>
      <c r="E2773" s="16" t="s">
        <v>221</v>
      </c>
      <c r="F2773" s="13" t="s">
        <v>2497</v>
      </c>
      <c r="G2773" s="13" t="s">
        <v>61</v>
      </c>
      <c r="H2773" s="13" t="s">
        <v>5414</v>
      </c>
      <c r="I2773" s="13" t="s">
        <v>63</v>
      </c>
      <c r="J2773" s="17" t="s">
        <v>71</v>
      </c>
      <c r="K2773" s="17" t="s">
        <v>58</v>
      </c>
      <c r="L2773" s="18" t="s">
        <v>52</v>
      </c>
      <c r="M2773" s="19">
        <v>66.0</v>
      </c>
      <c r="N2773" s="19">
        <v>31.0</v>
      </c>
    </row>
    <row r="2774">
      <c r="A2774" s="12">
        <v>2772.0</v>
      </c>
      <c r="B2774" s="13" t="s">
        <v>5322</v>
      </c>
      <c r="C2774" s="14">
        <v>132.0</v>
      </c>
      <c r="D2774" s="15" t="s">
        <v>5324</v>
      </c>
      <c r="E2774" s="16" t="s">
        <v>221</v>
      </c>
      <c r="F2774" s="13" t="s">
        <v>2513</v>
      </c>
      <c r="G2774" s="13" t="s">
        <v>5415</v>
      </c>
      <c r="H2774" s="13" t="s">
        <v>5416</v>
      </c>
      <c r="I2774" s="13" t="s">
        <v>63</v>
      </c>
      <c r="J2774" s="17" t="s">
        <v>71</v>
      </c>
      <c r="K2774" s="17" t="s">
        <v>58</v>
      </c>
      <c r="L2774" s="18" t="s">
        <v>52</v>
      </c>
      <c r="M2774" s="19">
        <v>66.0</v>
      </c>
      <c r="N2774" s="19">
        <v>31.0</v>
      </c>
    </row>
    <row r="2775">
      <c r="A2775" s="12">
        <v>2773.0</v>
      </c>
      <c r="B2775" s="13" t="s">
        <v>5322</v>
      </c>
      <c r="C2775" s="14">
        <v>133.0</v>
      </c>
      <c r="D2775" s="15" t="s">
        <v>5324</v>
      </c>
      <c r="E2775" s="16" t="s">
        <v>221</v>
      </c>
      <c r="F2775" s="13" t="s">
        <v>2091</v>
      </c>
      <c r="G2775" s="13" t="s">
        <v>3310</v>
      </c>
      <c r="H2775" s="13" t="s">
        <v>5417</v>
      </c>
      <c r="I2775" s="13" t="s">
        <v>63</v>
      </c>
      <c r="J2775" s="17" t="s">
        <v>71</v>
      </c>
      <c r="K2775" s="17" t="s">
        <v>58</v>
      </c>
      <c r="L2775" s="18" t="s">
        <v>52</v>
      </c>
      <c r="M2775" s="19">
        <v>66.0</v>
      </c>
      <c r="N2775" s="19">
        <v>31.0</v>
      </c>
    </row>
    <row r="2776">
      <c r="A2776" s="12">
        <v>2774.0</v>
      </c>
      <c r="B2776" s="13" t="s">
        <v>5322</v>
      </c>
      <c r="C2776" s="14">
        <v>134.0</v>
      </c>
      <c r="D2776" s="15" t="s">
        <v>5324</v>
      </c>
      <c r="E2776" s="16" t="s">
        <v>221</v>
      </c>
      <c r="F2776" s="13" t="s">
        <v>1293</v>
      </c>
      <c r="G2776" s="13" t="s">
        <v>5418</v>
      </c>
      <c r="H2776" s="13" t="s">
        <v>5419</v>
      </c>
      <c r="I2776" s="13" t="s">
        <v>63</v>
      </c>
      <c r="J2776" s="17" t="s">
        <v>71</v>
      </c>
      <c r="K2776" s="17" t="s">
        <v>58</v>
      </c>
      <c r="L2776" s="18" t="s">
        <v>52</v>
      </c>
      <c r="M2776" s="19">
        <v>66.0</v>
      </c>
      <c r="N2776" s="19">
        <v>31.0</v>
      </c>
    </row>
    <row r="2777">
      <c r="A2777" s="12">
        <v>2775.0</v>
      </c>
      <c r="B2777" s="13" t="s">
        <v>5322</v>
      </c>
      <c r="C2777" s="14">
        <v>135.0</v>
      </c>
      <c r="D2777" s="15" t="s">
        <v>5324</v>
      </c>
      <c r="E2777" s="16" t="s">
        <v>221</v>
      </c>
      <c r="F2777" s="13" t="s">
        <v>3351</v>
      </c>
      <c r="G2777" s="13" t="s">
        <v>5420</v>
      </c>
      <c r="H2777" s="13" t="s">
        <v>5421</v>
      </c>
      <c r="I2777" s="13" t="s">
        <v>63</v>
      </c>
      <c r="J2777" s="17" t="s">
        <v>71</v>
      </c>
      <c r="K2777" s="17" t="s">
        <v>58</v>
      </c>
      <c r="L2777" s="18" t="s">
        <v>52</v>
      </c>
      <c r="M2777" s="19">
        <v>66.0</v>
      </c>
      <c r="N2777" s="19">
        <v>31.0</v>
      </c>
    </row>
    <row r="2778">
      <c r="A2778" s="12">
        <v>2776.0</v>
      </c>
      <c r="B2778" s="13" t="s">
        <v>5322</v>
      </c>
      <c r="C2778" s="14">
        <v>136.0</v>
      </c>
      <c r="D2778" s="15" t="s">
        <v>5324</v>
      </c>
      <c r="E2778" s="16" t="s">
        <v>221</v>
      </c>
      <c r="F2778" s="13" t="s">
        <v>2024</v>
      </c>
      <c r="G2778" s="13" t="s">
        <v>5423</v>
      </c>
      <c r="H2778" s="13" t="s">
        <v>5424</v>
      </c>
      <c r="I2778" s="13" t="s">
        <v>63</v>
      </c>
      <c r="J2778" s="17" t="s">
        <v>71</v>
      </c>
      <c r="K2778" s="17" t="s">
        <v>58</v>
      </c>
      <c r="L2778" s="18" t="s">
        <v>52</v>
      </c>
      <c r="M2778" s="19">
        <v>66.0</v>
      </c>
      <c r="N2778" s="19">
        <v>31.0</v>
      </c>
    </row>
    <row r="2779">
      <c r="A2779" s="12">
        <v>2777.0</v>
      </c>
      <c r="B2779" s="13" t="s">
        <v>5322</v>
      </c>
      <c r="C2779" s="14">
        <v>137.0</v>
      </c>
      <c r="D2779" s="15" t="s">
        <v>5324</v>
      </c>
      <c r="E2779" s="16" t="s">
        <v>221</v>
      </c>
      <c r="F2779" s="13" t="s">
        <v>5425</v>
      </c>
      <c r="G2779" s="13" t="s">
        <v>61</v>
      </c>
      <c r="H2779" s="13" t="s">
        <v>5426</v>
      </c>
      <c r="I2779" s="13" t="s">
        <v>63</v>
      </c>
      <c r="J2779" s="17" t="s">
        <v>71</v>
      </c>
      <c r="K2779" s="17" t="s">
        <v>58</v>
      </c>
      <c r="L2779" s="18" t="s">
        <v>524</v>
      </c>
      <c r="M2779" s="19">
        <v>66.0</v>
      </c>
      <c r="N2779" s="19">
        <v>31.0</v>
      </c>
    </row>
    <row r="2780">
      <c r="A2780" s="12">
        <v>2778.0</v>
      </c>
      <c r="B2780" s="13" t="s">
        <v>5322</v>
      </c>
      <c r="C2780" s="14">
        <v>138.0</v>
      </c>
      <c r="D2780" s="15" t="s">
        <v>5324</v>
      </c>
      <c r="E2780" s="16" t="s">
        <v>221</v>
      </c>
      <c r="F2780" s="13" t="s">
        <v>2557</v>
      </c>
      <c r="G2780" s="13" t="s">
        <v>2558</v>
      </c>
      <c r="H2780" s="13" t="s">
        <v>5427</v>
      </c>
      <c r="I2780" s="13" t="s">
        <v>63</v>
      </c>
      <c r="J2780" s="17" t="s">
        <v>71</v>
      </c>
      <c r="K2780" s="17" t="s">
        <v>58</v>
      </c>
      <c r="L2780" s="18" t="s">
        <v>52</v>
      </c>
      <c r="M2780" s="19">
        <v>66.0</v>
      </c>
      <c r="N2780" s="19">
        <v>31.0</v>
      </c>
    </row>
    <row r="2781">
      <c r="A2781" s="12">
        <v>2779.0</v>
      </c>
      <c r="B2781" s="13" t="s">
        <v>5322</v>
      </c>
      <c r="C2781" s="14">
        <v>139.0</v>
      </c>
      <c r="D2781" s="15" t="s">
        <v>5324</v>
      </c>
      <c r="E2781" s="16" t="s">
        <v>221</v>
      </c>
      <c r="F2781" s="13" t="s">
        <v>740</v>
      </c>
      <c r="G2781" s="13" t="s">
        <v>5064</v>
      </c>
      <c r="H2781" s="13" t="s">
        <v>5065</v>
      </c>
      <c r="I2781" s="13" t="s">
        <v>63</v>
      </c>
      <c r="J2781" s="17" t="s">
        <v>71</v>
      </c>
      <c r="K2781" s="17" t="s">
        <v>58</v>
      </c>
      <c r="L2781" s="18" t="s">
        <v>52</v>
      </c>
      <c r="M2781" s="19">
        <v>66.0</v>
      </c>
      <c r="N2781" s="19">
        <v>31.0</v>
      </c>
    </row>
    <row r="2782">
      <c r="A2782" s="12">
        <v>2780.0</v>
      </c>
      <c r="B2782" s="13" t="s">
        <v>5322</v>
      </c>
      <c r="C2782" s="14">
        <v>140.0</v>
      </c>
      <c r="D2782" s="15" t="s">
        <v>5324</v>
      </c>
      <c r="E2782" s="16" t="s">
        <v>221</v>
      </c>
      <c r="F2782" s="13" t="s">
        <v>5428</v>
      </c>
      <c r="G2782" s="13" t="s">
        <v>5429</v>
      </c>
      <c r="H2782" s="13" t="s">
        <v>5430</v>
      </c>
      <c r="I2782" s="13" t="s">
        <v>63</v>
      </c>
      <c r="J2782" s="17" t="s">
        <v>71</v>
      </c>
      <c r="K2782" s="17" t="s">
        <v>58</v>
      </c>
      <c r="L2782" s="18" t="s">
        <v>52</v>
      </c>
      <c r="M2782" s="19">
        <v>66.0</v>
      </c>
      <c r="N2782" s="19">
        <v>31.0</v>
      </c>
    </row>
    <row r="2783">
      <c r="A2783" s="12">
        <v>2781.0</v>
      </c>
      <c r="B2783" s="13" t="s">
        <v>5322</v>
      </c>
      <c r="C2783" s="14">
        <v>141.0</v>
      </c>
      <c r="D2783" s="15" t="s">
        <v>5324</v>
      </c>
      <c r="E2783" s="16" t="s">
        <v>221</v>
      </c>
      <c r="F2783" s="13" t="s">
        <v>712</v>
      </c>
      <c r="G2783" s="13" t="s">
        <v>5431</v>
      </c>
      <c r="H2783" s="13" t="s">
        <v>5432</v>
      </c>
      <c r="I2783" s="13" t="s">
        <v>63</v>
      </c>
      <c r="J2783" s="17" t="s">
        <v>71</v>
      </c>
      <c r="K2783" s="17" t="s">
        <v>58</v>
      </c>
      <c r="L2783" s="18" t="s">
        <v>52</v>
      </c>
      <c r="M2783" s="19">
        <v>66.0</v>
      </c>
      <c r="N2783" s="19">
        <v>31.0</v>
      </c>
    </row>
    <row r="2784">
      <c r="A2784" s="12">
        <v>2782.0</v>
      </c>
      <c r="B2784" s="13" t="s">
        <v>5322</v>
      </c>
      <c r="C2784" s="14">
        <v>142.0</v>
      </c>
      <c r="D2784" s="15" t="s">
        <v>5324</v>
      </c>
      <c r="E2784" s="16" t="s">
        <v>221</v>
      </c>
      <c r="F2784" s="13" t="s">
        <v>3870</v>
      </c>
      <c r="G2784" s="13" t="s">
        <v>5433</v>
      </c>
      <c r="H2784" s="13" t="s">
        <v>5434</v>
      </c>
      <c r="I2784" s="13" t="s">
        <v>63</v>
      </c>
      <c r="J2784" s="17" t="s">
        <v>71</v>
      </c>
      <c r="K2784" s="17" t="s">
        <v>58</v>
      </c>
      <c r="L2784" s="18" t="s">
        <v>52</v>
      </c>
      <c r="M2784" s="19">
        <v>66.0</v>
      </c>
      <c r="N2784" s="19">
        <v>31.0</v>
      </c>
    </row>
    <row r="2785">
      <c r="A2785" s="12">
        <v>2783.0</v>
      </c>
      <c r="B2785" s="13" t="s">
        <v>5322</v>
      </c>
      <c r="C2785" s="14">
        <v>143.0</v>
      </c>
      <c r="D2785" s="15" t="s">
        <v>5324</v>
      </c>
      <c r="E2785" s="16" t="s">
        <v>221</v>
      </c>
      <c r="F2785" s="13" t="s">
        <v>5435</v>
      </c>
      <c r="G2785" s="13" t="s">
        <v>61</v>
      </c>
      <c r="H2785" s="13" t="s">
        <v>5436</v>
      </c>
      <c r="I2785" s="13" t="s">
        <v>63</v>
      </c>
      <c r="J2785" s="17" t="s">
        <v>71</v>
      </c>
      <c r="K2785" s="17" t="s">
        <v>58</v>
      </c>
      <c r="L2785" s="18" t="s">
        <v>52</v>
      </c>
      <c r="M2785" s="19">
        <v>66.0</v>
      </c>
      <c r="N2785" s="19">
        <v>31.0</v>
      </c>
    </row>
    <row r="2786">
      <c r="A2786" s="12">
        <v>2784.0</v>
      </c>
      <c r="B2786" s="13" t="s">
        <v>5322</v>
      </c>
      <c r="C2786" s="14">
        <v>144.0</v>
      </c>
      <c r="D2786" s="15" t="s">
        <v>5324</v>
      </c>
      <c r="E2786" s="16" t="s">
        <v>221</v>
      </c>
      <c r="F2786" s="13" t="s">
        <v>1509</v>
      </c>
      <c r="G2786" s="13" t="s">
        <v>5437</v>
      </c>
      <c r="H2786" s="13" t="s">
        <v>5438</v>
      </c>
      <c r="I2786" s="13" t="s">
        <v>63</v>
      </c>
      <c r="J2786" s="17" t="s">
        <v>71</v>
      </c>
      <c r="K2786" s="17" t="s">
        <v>58</v>
      </c>
      <c r="L2786" s="18" t="s">
        <v>52</v>
      </c>
      <c r="M2786" s="19">
        <v>66.0</v>
      </c>
      <c r="N2786" s="19">
        <v>31.0</v>
      </c>
    </row>
    <row r="2787">
      <c r="A2787" s="12">
        <v>2785.0</v>
      </c>
      <c r="B2787" s="13" t="s">
        <v>5322</v>
      </c>
      <c r="C2787" s="14">
        <v>145.0</v>
      </c>
      <c r="D2787" s="15" t="s">
        <v>5324</v>
      </c>
      <c r="E2787" s="16" t="s">
        <v>221</v>
      </c>
      <c r="F2787" s="13" t="s">
        <v>2520</v>
      </c>
      <c r="G2787" s="13" t="s">
        <v>2521</v>
      </c>
      <c r="H2787" s="13" t="s">
        <v>5439</v>
      </c>
      <c r="I2787" s="13" t="s">
        <v>63</v>
      </c>
      <c r="J2787" s="17" t="s">
        <v>71</v>
      </c>
      <c r="K2787" s="17" t="s">
        <v>58</v>
      </c>
      <c r="L2787" s="18" t="s">
        <v>52</v>
      </c>
      <c r="M2787" s="19">
        <v>66.0</v>
      </c>
      <c r="N2787" s="19">
        <v>31.0</v>
      </c>
    </row>
    <row r="2788">
      <c r="A2788" s="12">
        <v>2786.0</v>
      </c>
      <c r="B2788" s="13" t="s">
        <v>5322</v>
      </c>
      <c r="C2788" s="14">
        <v>146.0</v>
      </c>
      <c r="D2788" s="15" t="s">
        <v>5324</v>
      </c>
      <c r="E2788" s="16" t="s">
        <v>221</v>
      </c>
      <c r="F2788" s="13" t="s">
        <v>2475</v>
      </c>
      <c r="G2788" s="13" t="s">
        <v>5440</v>
      </c>
      <c r="H2788" s="13" t="s">
        <v>5441</v>
      </c>
      <c r="I2788" s="13" t="s">
        <v>63</v>
      </c>
      <c r="J2788" s="17" t="s">
        <v>71</v>
      </c>
      <c r="K2788" s="17" t="s">
        <v>58</v>
      </c>
      <c r="L2788" s="18" t="s">
        <v>52</v>
      </c>
      <c r="M2788" s="19">
        <v>66.0</v>
      </c>
      <c r="N2788" s="19">
        <v>31.0</v>
      </c>
    </row>
    <row r="2789">
      <c r="A2789" s="12">
        <v>2787.0</v>
      </c>
      <c r="B2789" s="13" t="s">
        <v>5322</v>
      </c>
      <c r="C2789" s="14">
        <v>147.0</v>
      </c>
      <c r="D2789" s="15" t="s">
        <v>5324</v>
      </c>
      <c r="E2789" s="16" t="s">
        <v>221</v>
      </c>
      <c r="F2789" s="13" t="s">
        <v>2013</v>
      </c>
      <c r="G2789" s="13" t="s">
        <v>5442</v>
      </c>
      <c r="H2789" s="13" t="s">
        <v>5443</v>
      </c>
      <c r="I2789" s="13" t="s">
        <v>63</v>
      </c>
      <c r="J2789" s="17" t="s">
        <v>71</v>
      </c>
      <c r="K2789" s="17" t="s">
        <v>58</v>
      </c>
      <c r="L2789" s="18" t="s">
        <v>52</v>
      </c>
      <c r="M2789" s="19">
        <v>66.0</v>
      </c>
      <c r="N2789" s="19">
        <v>31.0</v>
      </c>
    </row>
    <row r="2790">
      <c r="A2790" s="12">
        <v>2788.0</v>
      </c>
      <c r="B2790" s="13" t="s">
        <v>5322</v>
      </c>
      <c r="C2790" s="14">
        <v>148.0</v>
      </c>
      <c r="D2790" s="15" t="s">
        <v>5324</v>
      </c>
      <c r="E2790" s="16" t="s">
        <v>221</v>
      </c>
      <c r="F2790" s="13" t="s">
        <v>132</v>
      </c>
      <c r="G2790" s="13" t="s">
        <v>134</v>
      </c>
      <c r="H2790" s="13" t="s">
        <v>5444</v>
      </c>
      <c r="I2790" s="13" t="s">
        <v>63</v>
      </c>
      <c r="J2790" s="17" t="s">
        <v>71</v>
      </c>
      <c r="K2790" s="17" t="s">
        <v>58</v>
      </c>
      <c r="L2790" s="18" t="s">
        <v>52</v>
      </c>
      <c r="M2790" s="19">
        <v>66.0</v>
      </c>
      <c r="N2790" s="19">
        <v>31.0</v>
      </c>
    </row>
    <row r="2791">
      <c r="A2791" s="12">
        <v>2789.0</v>
      </c>
      <c r="B2791" s="13" t="s">
        <v>5322</v>
      </c>
      <c r="C2791" s="14">
        <v>149.0</v>
      </c>
      <c r="D2791" s="15" t="s">
        <v>5324</v>
      </c>
      <c r="E2791" s="16" t="s">
        <v>221</v>
      </c>
      <c r="F2791" s="13" t="s">
        <v>1654</v>
      </c>
      <c r="G2791" s="13" t="s">
        <v>5445</v>
      </c>
      <c r="H2791" s="13" t="s">
        <v>5446</v>
      </c>
      <c r="I2791" s="13" t="s">
        <v>63</v>
      </c>
      <c r="J2791" s="17" t="s">
        <v>71</v>
      </c>
      <c r="K2791" s="17" t="s">
        <v>58</v>
      </c>
      <c r="L2791" s="18" t="s">
        <v>52</v>
      </c>
      <c r="M2791" s="19">
        <v>66.0</v>
      </c>
      <c r="N2791" s="19">
        <v>31.0</v>
      </c>
    </row>
    <row r="2792">
      <c r="A2792" s="12">
        <v>2790.0</v>
      </c>
      <c r="B2792" s="13" t="s">
        <v>5322</v>
      </c>
      <c r="C2792" s="14">
        <v>150.0</v>
      </c>
      <c r="D2792" s="15" t="s">
        <v>5324</v>
      </c>
      <c r="E2792" s="16" t="s">
        <v>221</v>
      </c>
      <c r="F2792" s="13" t="s">
        <v>518</v>
      </c>
      <c r="G2792" s="13" t="s">
        <v>61</v>
      </c>
      <c r="H2792" s="13" t="s">
        <v>5447</v>
      </c>
      <c r="I2792" s="13" t="s">
        <v>63</v>
      </c>
      <c r="J2792" s="17" t="s">
        <v>71</v>
      </c>
      <c r="K2792" s="17" t="s">
        <v>58</v>
      </c>
      <c r="L2792" s="18" t="s">
        <v>524</v>
      </c>
      <c r="M2792" s="19">
        <v>66.0</v>
      </c>
      <c r="N2792" s="19">
        <v>31.0</v>
      </c>
    </row>
    <row r="2793">
      <c r="A2793" s="12">
        <v>2791.0</v>
      </c>
      <c r="B2793" s="13" t="s">
        <v>5448</v>
      </c>
      <c r="C2793" s="14">
        <v>1.0</v>
      </c>
      <c r="D2793" s="15" t="s">
        <v>5449</v>
      </c>
      <c r="E2793" s="16" t="s">
        <v>52</v>
      </c>
      <c r="F2793" s="13" t="s">
        <v>1376</v>
      </c>
      <c r="G2793" s="13" t="s">
        <v>5118</v>
      </c>
      <c r="H2793" s="13" t="s">
        <v>5119</v>
      </c>
      <c r="I2793" s="13" t="s">
        <v>63</v>
      </c>
      <c r="J2793" s="17" t="s">
        <v>57</v>
      </c>
      <c r="K2793" s="17" t="s">
        <v>58</v>
      </c>
      <c r="L2793" s="18" t="s">
        <v>52</v>
      </c>
      <c r="M2793" s="19">
        <v>67.0</v>
      </c>
      <c r="N2793" s="19">
        <v>11.0</v>
      </c>
    </row>
    <row r="2794">
      <c r="A2794" s="12">
        <v>2792.0</v>
      </c>
      <c r="B2794" s="13" t="s">
        <v>5448</v>
      </c>
      <c r="C2794" s="14">
        <v>2.0</v>
      </c>
      <c r="D2794" s="15" t="s">
        <v>5450</v>
      </c>
      <c r="E2794" s="16" t="s">
        <v>52</v>
      </c>
      <c r="F2794" s="13" t="s">
        <v>1217</v>
      </c>
      <c r="G2794" s="13" t="s">
        <v>61</v>
      </c>
      <c r="H2794" s="13" t="s">
        <v>5451</v>
      </c>
      <c r="I2794" s="13" t="s">
        <v>63</v>
      </c>
      <c r="J2794" s="17" t="s">
        <v>57</v>
      </c>
      <c r="K2794" s="17" t="s">
        <v>58</v>
      </c>
      <c r="L2794" s="18" t="s">
        <v>52</v>
      </c>
      <c r="M2794" s="19">
        <v>67.0</v>
      </c>
      <c r="N2794" s="19">
        <v>11.0</v>
      </c>
    </row>
    <row r="2795">
      <c r="A2795" s="12">
        <v>2793.0</v>
      </c>
      <c r="B2795" s="13" t="s">
        <v>5448</v>
      </c>
      <c r="C2795" s="14">
        <v>3.0</v>
      </c>
      <c r="D2795" s="15" t="s">
        <v>5449</v>
      </c>
      <c r="E2795" s="16" t="s">
        <v>52</v>
      </c>
      <c r="F2795" s="13" t="s">
        <v>1952</v>
      </c>
      <c r="G2795" s="13" t="s">
        <v>4714</v>
      </c>
      <c r="H2795" s="13" t="s">
        <v>5452</v>
      </c>
      <c r="I2795" s="13" t="s">
        <v>63</v>
      </c>
      <c r="J2795" s="17" t="s">
        <v>67</v>
      </c>
      <c r="K2795" s="17" t="s">
        <v>58</v>
      </c>
      <c r="L2795" s="18" t="s">
        <v>52</v>
      </c>
      <c r="M2795" s="19">
        <v>67.0</v>
      </c>
      <c r="N2795" s="19">
        <v>21.0</v>
      </c>
    </row>
    <row r="2796">
      <c r="A2796" s="12">
        <v>2794.0</v>
      </c>
      <c r="B2796" s="13" t="s">
        <v>5448</v>
      </c>
      <c r="C2796" s="14">
        <v>4.0</v>
      </c>
      <c r="D2796" s="15" t="s">
        <v>5449</v>
      </c>
      <c r="E2796" s="16" t="s">
        <v>52</v>
      </c>
      <c r="F2796" s="13" t="s">
        <v>2385</v>
      </c>
      <c r="G2796" s="13" t="s">
        <v>4665</v>
      </c>
      <c r="H2796" s="13" t="s">
        <v>4666</v>
      </c>
      <c r="I2796" s="13" t="s">
        <v>63</v>
      </c>
      <c r="J2796" s="17" t="s">
        <v>67</v>
      </c>
      <c r="K2796" s="17" t="s">
        <v>58</v>
      </c>
      <c r="L2796" s="18" t="s">
        <v>52</v>
      </c>
      <c r="M2796" s="19">
        <v>67.0</v>
      </c>
      <c r="N2796" s="19">
        <v>21.0</v>
      </c>
    </row>
    <row r="2797">
      <c r="A2797" s="12">
        <v>2795.0</v>
      </c>
      <c r="B2797" s="13" t="s">
        <v>5448</v>
      </c>
      <c r="C2797" s="14">
        <v>5.0</v>
      </c>
      <c r="D2797" s="15" t="s">
        <v>5449</v>
      </c>
      <c r="E2797" s="16" t="s">
        <v>52</v>
      </c>
      <c r="F2797" s="13" t="s">
        <v>1174</v>
      </c>
      <c r="G2797" s="13" t="s">
        <v>2704</v>
      </c>
      <c r="H2797" s="13" t="s">
        <v>5453</v>
      </c>
      <c r="I2797" s="13" t="s">
        <v>63</v>
      </c>
      <c r="J2797" s="17" t="s">
        <v>67</v>
      </c>
      <c r="K2797" s="17" t="s">
        <v>58</v>
      </c>
      <c r="L2797" s="18" t="s">
        <v>52</v>
      </c>
      <c r="M2797" s="19">
        <v>67.0</v>
      </c>
      <c r="N2797" s="19">
        <v>21.0</v>
      </c>
    </row>
    <row r="2798">
      <c r="A2798" s="12">
        <v>2796.0</v>
      </c>
      <c r="B2798" s="13" t="s">
        <v>5448</v>
      </c>
      <c r="C2798" s="14">
        <v>6.0</v>
      </c>
      <c r="D2798" s="15" t="s">
        <v>5449</v>
      </c>
      <c r="E2798" s="16" t="s">
        <v>52</v>
      </c>
      <c r="F2798" s="13" t="s">
        <v>2796</v>
      </c>
      <c r="G2798" s="13" t="s">
        <v>4996</v>
      </c>
      <c r="H2798" s="13" t="s">
        <v>5454</v>
      </c>
      <c r="I2798" s="13" t="s">
        <v>63</v>
      </c>
      <c r="J2798" s="17" t="s">
        <v>71</v>
      </c>
      <c r="K2798" s="17" t="s">
        <v>58</v>
      </c>
      <c r="L2798" s="18" t="s">
        <v>52</v>
      </c>
      <c r="M2798" s="19">
        <v>67.0</v>
      </c>
      <c r="N2798" s="19">
        <v>31.0</v>
      </c>
    </row>
    <row r="2799">
      <c r="A2799" s="12">
        <v>2797.0</v>
      </c>
      <c r="B2799" s="13" t="s">
        <v>5448</v>
      </c>
      <c r="C2799" s="14">
        <v>7.0</v>
      </c>
      <c r="D2799" s="15" t="s">
        <v>5449</v>
      </c>
      <c r="E2799" s="16" t="s">
        <v>52</v>
      </c>
      <c r="F2799" s="13" t="s">
        <v>4661</v>
      </c>
      <c r="G2799" s="13" t="s">
        <v>4662</v>
      </c>
      <c r="H2799" s="13" t="s">
        <v>4663</v>
      </c>
      <c r="I2799" s="13" t="s">
        <v>63</v>
      </c>
      <c r="J2799" s="17" t="s">
        <v>71</v>
      </c>
      <c r="K2799" s="17" t="s">
        <v>58</v>
      </c>
      <c r="L2799" s="18" t="s">
        <v>52</v>
      </c>
      <c r="M2799" s="19">
        <v>67.0</v>
      </c>
      <c r="N2799" s="19">
        <v>31.0</v>
      </c>
    </row>
    <row r="2800">
      <c r="A2800" s="12">
        <v>2798.0</v>
      </c>
      <c r="B2800" s="13" t="s">
        <v>5448</v>
      </c>
      <c r="C2800" s="14">
        <v>8.0</v>
      </c>
      <c r="D2800" s="15" t="s">
        <v>5449</v>
      </c>
      <c r="E2800" s="16" t="s">
        <v>52</v>
      </c>
      <c r="F2800" s="13" t="s">
        <v>3453</v>
      </c>
      <c r="G2800" s="13" t="s">
        <v>61</v>
      </c>
      <c r="H2800" s="13" t="s">
        <v>5311</v>
      </c>
      <c r="I2800" s="13" t="s">
        <v>63</v>
      </c>
      <c r="J2800" s="17" t="s">
        <v>71</v>
      </c>
      <c r="K2800" s="17" t="s">
        <v>58</v>
      </c>
      <c r="L2800" s="18" t="s">
        <v>52</v>
      </c>
      <c r="M2800" s="19">
        <v>67.0</v>
      </c>
      <c r="N2800" s="19">
        <v>31.0</v>
      </c>
    </row>
    <row r="2801">
      <c r="A2801" s="12">
        <v>2799.0</v>
      </c>
      <c r="B2801" s="13" t="s">
        <v>5448</v>
      </c>
      <c r="C2801" s="14">
        <v>9.0</v>
      </c>
      <c r="D2801" s="15" t="s">
        <v>5449</v>
      </c>
      <c r="E2801" s="16" t="s">
        <v>52</v>
      </c>
      <c r="F2801" s="13" t="s">
        <v>109</v>
      </c>
      <c r="G2801" s="13" t="s">
        <v>5455</v>
      </c>
      <c r="H2801" s="13" t="s">
        <v>5456</v>
      </c>
      <c r="I2801" s="13" t="s">
        <v>63</v>
      </c>
      <c r="J2801" s="17" t="s">
        <v>71</v>
      </c>
      <c r="K2801" s="17" t="s">
        <v>58</v>
      </c>
      <c r="L2801" s="18" t="s">
        <v>52</v>
      </c>
      <c r="M2801" s="19">
        <v>67.0</v>
      </c>
      <c r="N2801" s="19">
        <v>31.0</v>
      </c>
    </row>
    <row r="2802">
      <c r="A2802" s="12">
        <v>2800.0</v>
      </c>
      <c r="B2802" s="13" t="s">
        <v>5448</v>
      </c>
      <c r="C2802" s="14">
        <v>10.0</v>
      </c>
      <c r="D2802" s="15" t="s">
        <v>5449</v>
      </c>
      <c r="E2802" s="16" t="s">
        <v>52</v>
      </c>
      <c r="F2802" s="13" t="s">
        <v>3033</v>
      </c>
      <c r="G2802" s="13" t="s">
        <v>3034</v>
      </c>
      <c r="H2802" s="13" t="s">
        <v>3712</v>
      </c>
      <c r="I2802" s="13" t="s">
        <v>63</v>
      </c>
      <c r="J2802" s="17" t="s">
        <v>71</v>
      </c>
      <c r="K2802" s="17" t="s">
        <v>58</v>
      </c>
      <c r="L2802" s="18" t="s">
        <v>52</v>
      </c>
      <c r="M2802" s="19">
        <v>67.0</v>
      </c>
      <c r="N2802" s="19">
        <v>31.0</v>
      </c>
    </row>
    <row r="2803">
      <c r="A2803" s="12">
        <v>2801.0</v>
      </c>
      <c r="B2803" s="13" t="s">
        <v>5448</v>
      </c>
      <c r="C2803" s="14">
        <v>11.0</v>
      </c>
      <c r="D2803" s="15" t="s">
        <v>5449</v>
      </c>
      <c r="E2803" s="16" t="s">
        <v>52</v>
      </c>
      <c r="F2803" s="13" t="s">
        <v>4800</v>
      </c>
      <c r="G2803" s="13" t="s">
        <v>4801</v>
      </c>
      <c r="H2803" s="13" t="s">
        <v>5117</v>
      </c>
      <c r="I2803" s="13" t="s">
        <v>63</v>
      </c>
      <c r="J2803" s="17" t="s">
        <v>71</v>
      </c>
      <c r="K2803" s="17" t="s">
        <v>58</v>
      </c>
      <c r="L2803" s="18" t="s">
        <v>52</v>
      </c>
      <c r="M2803" s="19">
        <v>67.0</v>
      </c>
      <c r="N2803" s="19">
        <v>31.0</v>
      </c>
    </row>
    <row r="2804">
      <c r="A2804" s="12">
        <v>2802.0</v>
      </c>
      <c r="B2804" s="13" t="s">
        <v>5448</v>
      </c>
      <c r="C2804" s="14">
        <v>12.0</v>
      </c>
      <c r="D2804" s="15" t="s">
        <v>5449</v>
      </c>
      <c r="E2804" s="16" t="s">
        <v>52</v>
      </c>
      <c r="F2804" s="13" t="s">
        <v>1159</v>
      </c>
      <c r="G2804" s="13" t="s">
        <v>5459</v>
      </c>
      <c r="H2804" s="13" t="s">
        <v>5460</v>
      </c>
      <c r="I2804" s="13" t="s">
        <v>63</v>
      </c>
      <c r="J2804" s="17" t="s">
        <v>71</v>
      </c>
      <c r="K2804" s="17" t="s">
        <v>58</v>
      </c>
      <c r="L2804" s="18" t="s">
        <v>52</v>
      </c>
      <c r="M2804" s="19">
        <v>67.0</v>
      </c>
      <c r="N2804" s="19">
        <v>31.0</v>
      </c>
    </row>
    <row r="2805">
      <c r="A2805" s="12">
        <v>2803.0</v>
      </c>
      <c r="B2805" s="13" t="s">
        <v>5448</v>
      </c>
      <c r="C2805" s="14">
        <v>13.0</v>
      </c>
      <c r="D2805" s="15" t="s">
        <v>5449</v>
      </c>
      <c r="E2805" s="16" t="s">
        <v>52</v>
      </c>
      <c r="F2805" s="13" t="s">
        <v>3439</v>
      </c>
      <c r="G2805" s="13" t="s">
        <v>5126</v>
      </c>
      <c r="H2805" s="13" t="s">
        <v>5127</v>
      </c>
      <c r="I2805" s="13" t="s">
        <v>63</v>
      </c>
      <c r="J2805" s="17" t="s">
        <v>71</v>
      </c>
      <c r="K2805" s="17" t="s">
        <v>58</v>
      </c>
      <c r="L2805" s="18" t="s">
        <v>52</v>
      </c>
      <c r="M2805" s="19">
        <v>67.0</v>
      </c>
      <c r="N2805" s="19">
        <v>31.0</v>
      </c>
    </row>
    <row r="2806">
      <c r="A2806" s="12">
        <v>2804.0</v>
      </c>
      <c r="B2806" s="13" t="s">
        <v>5448</v>
      </c>
      <c r="C2806" s="14">
        <v>14.0</v>
      </c>
      <c r="D2806" s="15" t="s">
        <v>5449</v>
      </c>
      <c r="E2806" s="16" t="s">
        <v>52</v>
      </c>
      <c r="F2806" s="13" t="s">
        <v>2262</v>
      </c>
      <c r="G2806" s="13" t="s">
        <v>61</v>
      </c>
      <c r="H2806" s="13" t="s">
        <v>5461</v>
      </c>
      <c r="I2806" s="13" t="s">
        <v>63</v>
      </c>
      <c r="J2806" s="17" t="s">
        <v>71</v>
      </c>
      <c r="K2806" s="17" t="s">
        <v>58</v>
      </c>
      <c r="L2806" s="18" t="s">
        <v>52</v>
      </c>
      <c r="M2806" s="19">
        <v>67.0</v>
      </c>
      <c r="N2806" s="19">
        <v>31.0</v>
      </c>
    </row>
    <row r="2807">
      <c r="A2807" s="12">
        <v>2805.0</v>
      </c>
      <c r="B2807" s="13" t="s">
        <v>5448</v>
      </c>
      <c r="C2807" s="14">
        <v>15.0</v>
      </c>
      <c r="D2807" s="15" t="s">
        <v>5449</v>
      </c>
      <c r="E2807" s="16" t="s">
        <v>52</v>
      </c>
      <c r="F2807" s="13" t="s">
        <v>1665</v>
      </c>
      <c r="G2807" s="13" t="s">
        <v>4665</v>
      </c>
      <c r="H2807" s="13" t="s">
        <v>4666</v>
      </c>
      <c r="I2807" s="13" t="s">
        <v>63</v>
      </c>
      <c r="J2807" s="17" t="s">
        <v>71</v>
      </c>
      <c r="K2807" s="17" t="s">
        <v>58</v>
      </c>
      <c r="L2807" s="18" t="s">
        <v>52</v>
      </c>
      <c r="M2807" s="19">
        <v>67.0</v>
      </c>
      <c r="N2807" s="19">
        <v>31.0</v>
      </c>
    </row>
    <row r="2808">
      <c r="A2808" s="12">
        <v>2806.0</v>
      </c>
      <c r="B2808" s="13" t="s">
        <v>5448</v>
      </c>
      <c r="C2808" s="14">
        <v>16.0</v>
      </c>
      <c r="D2808" s="15" t="s">
        <v>5449</v>
      </c>
      <c r="E2808" s="16" t="s">
        <v>52</v>
      </c>
      <c r="F2808" s="13" t="s">
        <v>3477</v>
      </c>
      <c r="G2808" s="13" t="s">
        <v>61</v>
      </c>
      <c r="H2808" s="13" t="s">
        <v>5075</v>
      </c>
      <c r="I2808" s="13" t="s">
        <v>63</v>
      </c>
      <c r="J2808" s="17" t="s">
        <v>71</v>
      </c>
      <c r="K2808" s="17" t="s">
        <v>58</v>
      </c>
      <c r="L2808" s="18" t="s">
        <v>52</v>
      </c>
      <c r="M2808" s="19">
        <v>67.0</v>
      </c>
      <c r="N2808" s="19">
        <v>31.0</v>
      </c>
    </row>
    <row r="2809">
      <c r="A2809" s="12">
        <v>2807.0</v>
      </c>
      <c r="B2809" s="13" t="s">
        <v>5448</v>
      </c>
      <c r="C2809" s="14">
        <v>17.0</v>
      </c>
      <c r="D2809" s="15" t="s">
        <v>5449</v>
      </c>
      <c r="E2809" s="16" t="s">
        <v>52</v>
      </c>
      <c r="F2809" s="13" t="s">
        <v>3528</v>
      </c>
      <c r="G2809" s="13" t="s">
        <v>5462</v>
      </c>
      <c r="H2809" s="13" t="s">
        <v>5463</v>
      </c>
      <c r="I2809" s="13" t="s">
        <v>63</v>
      </c>
      <c r="J2809" s="17" t="s">
        <v>71</v>
      </c>
      <c r="K2809" s="17" t="s">
        <v>58</v>
      </c>
      <c r="L2809" s="18" t="s">
        <v>52</v>
      </c>
      <c r="M2809" s="19">
        <v>67.0</v>
      </c>
      <c r="N2809" s="19">
        <v>31.0</v>
      </c>
    </row>
    <row r="2810">
      <c r="A2810" s="12">
        <v>2808.0</v>
      </c>
      <c r="B2810" s="13" t="s">
        <v>5448</v>
      </c>
      <c r="C2810" s="14">
        <v>18.0</v>
      </c>
      <c r="D2810" s="15" t="s">
        <v>5449</v>
      </c>
      <c r="E2810" s="16" t="s">
        <v>52</v>
      </c>
      <c r="F2810" s="13" t="s">
        <v>4670</v>
      </c>
      <c r="G2810" s="13" t="s">
        <v>5102</v>
      </c>
      <c r="H2810" s="13" t="s">
        <v>5103</v>
      </c>
      <c r="I2810" s="13" t="s">
        <v>63</v>
      </c>
      <c r="J2810" s="17" t="s">
        <v>71</v>
      </c>
      <c r="K2810" s="17" t="s">
        <v>58</v>
      </c>
      <c r="L2810" s="18" t="s">
        <v>52</v>
      </c>
      <c r="M2810" s="19">
        <v>67.0</v>
      </c>
      <c r="N2810" s="19">
        <v>31.0</v>
      </c>
    </row>
    <row r="2811">
      <c r="A2811" s="12">
        <v>2809.0</v>
      </c>
      <c r="B2811" s="13" t="s">
        <v>5448</v>
      </c>
      <c r="C2811" s="14">
        <v>19.0</v>
      </c>
      <c r="D2811" s="15" t="s">
        <v>5449</v>
      </c>
      <c r="E2811" s="16" t="s">
        <v>52</v>
      </c>
      <c r="F2811" s="13" t="s">
        <v>1300</v>
      </c>
      <c r="G2811" s="13" t="s">
        <v>5464</v>
      </c>
      <c r="H2811" s="13" t="s">
        <v>5460</v>
      </c>
      <c r="I2811" s="13" t="s">
        <v>63</v>
      </c>
      <c r="J2811" s="17" t="s">
        <v>71</v>
      </c>
      <c r="K2811" s="17" t="s">
        <v>58</v>
      </c>
      <c r="L2811" s="18" t="s">
        <v>52</v>
      </c>
      <c r="M2811" s="19">
        <v>67.0</v>
      </c>
      <c r="N2811" s="19">
        <v>31.0</v>
      </c>
    </row>
    <row r="2812">
      <c r="A2812" s="12">
        <v>2810.0</v>
      </c>
      <c r="B2812" s="13" t="s">
        <v>5448</v>
      </c>
      <c r="C2812" s="14">
        <v>20.0</v>
      </c>
      <c r="D2812" s="15" t="s">
        <v>5449</v>
      </c>
      <c r="E2812" s="16" t="s">
        <v>52</v>
      </c>
      <c r="F2812" s="13" t="s">
        <v>1896</v>
      </c>
      <c r="G2812" s="13" t="s">
        <v>5465</v>
      </c>
      <c r="H2812" s="13" t="s">
        <v>5466</v>
      </c>
      <c r="I2812" s="13" t="s">
        <v>63</v>
      </c>
      <c r="J2812" s="17" t="s">
        <v>71</v>
      </c>
      <c r="K2812" s="17" t="s">
        <v>58</v>
      </c>
      <c r="L2812" s="18" t="s">
        <v>52</v>
      </c>
      <c r="M2812" s="19">
        <v>67.0</v>
      </c>
      <c r="N2812" s="19">
        <v>31.0</v>
      </c>
    </row>
    <row r="2813">
      <c r="A2813" s="12">
        <v>2811.0</v>
      </c>
      <c r="B2813" s="13" t="s">
        <v>5448</v>
      </c>
      <c r="C2813" s="14">
        <v>21.0</v>
      </c>
      <c r="D2813" s="15" t="s">
        <v>5449</v>
      </c>
      <c r="E2813" s="16" t="s">
        <v>52</v>
      </c>
      <c r="F2813" s="13" t="s">
        <v>4911</v>
      </c>
      <c r="G2813" s="13" t="s">
        <v>4912</v>
      </c>
      <c r="H2813" s="13" t="s">
        <v>5077</v>
      </c>
      <c r="I2813" s="13" t="s">
        <v>63</v>
      </c>
      <c r="J2813" s="17" t="s">
        <v>71</v>
      </c>
      <c r="K2813" s="17" t="s">
        <v>58</v>
      </c>
      <c r="L2813" s="18" t="s">
        <v>52</v>
      </c>
      <c r="M2813" s="19">
        <v>67.0</v>
      </c>
      <c r="N2813" s="19">
        <v>31.0</v>
      </c>
    </row>
    <row r="2814">
      <c r="A2814" s="12">
        <v>2812.0</v>
      </c>
      <c r="B2814" s="13" t="s">
        <v>5448</v>
      </c>
      <c r="C2814" s="14">
        <v>22.0</v>
      </c>
      <c r="D2814" s="15" t="s">
        <v>5449</v>
      </c>
      <c r="E2814" s="16" t="s">
        <v>52</v>
      </c>
      <c r="F2814" s="13" t="s">
        <v>1946</v>
      </c>
      <c r="G2814" s="13" t="s">
        <v>5243</v>
      </c>
      <c r="H2814" s="13" t="s">
        <v>5467</v>
      </c>
      <c r="I2814" s="13" t="s">
        <v>63</v>
      </c>
      <c r="J2814" s="17" t="s">
        <v>71</v>
      </c>
      <c r="K2814" s="17" t="s">
        <v>58</v>
      </c>
      <c r="L2814" s="18" t="s">
        <v>52</v>
      </c>
      <c r="M2814" s="19">
        <v>67.0</v>
      </c>
      <c r="N2814" s="19">
        <v>31.0</v>
      </c>
    </row>
    <row r="2815">
      <c r="A2815" s="12">
        <v>2813.0</v>
      </c>
      <c r="B2815" s="13" t="s">
        <v>5448</v>
      </c>
      <c r="C2815" s="14">
        <v>23.0</v>
      </c>
      <c r="D2815" s="15" t="s">
        <v>5449</v>
      </c>
      <c r="E2815" s="16" t="s">
        <v>52</v>
      </c>
      <c r="F2815" s="13" t="s">
        <v>4445</v>
      </c>
      <c r="G2815" s="13" t="s">
        <v>61</v>
      </c>
      <c r="H2815" s="13" t="s">
        <v>5468</v>
      </c>
      <c r="I2815" s="13" t="s">
        <v>63</v>
      </c>
      <c r="J2815" s="17" t="s">
        <v>71</v>
      </c>
      <c r="K2815" s="17" t="s">
        <v>58</v>
      </c>
      <c r="L2815" s="18" t="s">
        <v>52</v>
      </c>
      <c r="M2815" s="19">
        <v>67.0</v>
      </c>
      <c r="N2815" s="19">
        <v>31.0</v>
      </c>
    </row>
    <row r="2816">
      <c r="A2816" s="12">
        <v>2814.0</v>
      </c>
      <c r="B2816" s="13" t="s">
        <v>5448</v>
      </c>
      <c r="C2816" s="14">
        <v>24.0</v>
      </c>
      <c r="D2816" s="15" t="s">
        <v>5449</v>
      </c>
      <c r="E2816" s="16" t="s">
        <v>52</v>
      </c>
      <c r="F2816" s="13" t="s">
        <v>3165</v>
      </c>
      <c r="G2816" s="13" t="s">
        <v>5470</v>
      </c>
      <c r="H2816" s="13" t="s">
        <v>5471</v>
      </c>
      <c r="I2816" s="13" t="s">
        <v>63</v>
      </c>
      <c r="J2816" s="17" t="s">
        <v>71</v>
      </c>
      <c r="K2816" s="17" t="s">
        <v>58</v>
      </c>
      <c r="L2816" s="18" t="s">
        <v>52</v>
      </c>
      <c r="M2816" s="19">
        <v>67.0</v>
      </c>
      <c r="N2816" s="19">
        <v>31.0</v>
      </c>
    </row>
    <row r="2817">
      <c r="A2817" s="12">
        <v>2815.0</v>
      </c>
      <c r="B2817" s="13" t="s">
        <v>5448</v>
      </c>
      <c r="C2817" s="14">
        <v>25.0</v>
      </c>
      <c r="D2817" s="15" t="s">
        <v>5449</v>
      </c>
      <c r="E2817" s="16" t="s">
        <v>52</v>
      </c>
      <c r="F2817" s="13" t="s">
        <v>3517</v>
      </c>
      <c r="G2817" s="13" t="s">
        <v>5079</v>
      </c>
      <c r="H2817" s="13" t="s">
        <v>5080</v>
      </c>
      <c r="I2817" s="13" t="s">
        <v>63</v>
      </c>
      <c r="J2817" s="17" t="s">
        <v>71</v>
      </c>
      <c r="K2817" s="17" t="s">
        <v>58</v>
      </c>
      <c r="L2817" s="18" t="s">
        <v>52</v>
      </c>
      <c r="M2817" s="19">
        <v>67.0</v>
      </c>
      <c r="N2817" s="19">
        <v>31.0</v>
      </c>
    </row>
    <row r="2818">
      <c r="A2818" s="12">
        <v>2816.0</v>
      </c>
      <c r="B2818" s="13" t="s">
        <v>5448</v>
      </c>
      <c r="C2818" s="14">
        <v>26.0</v>
      </c>
      <c r="D2818" s="15" t="s">
        <v>5449</v>
      </c>
      <c r="E2818" s="16" t="s">
        <v>52</v>
      </c>
      <c r="F2818" s="13" t="s">
        <v>1701</v>
      </c>
      <c r="G2818" s="13" t="s">
        <v>5472</v>
      </c>
      <c r="H2818" s="13" t="s">
        <v>5473</v>
      </c>
      <c r="I2818" s="13" t="s">
        <v>63</v>
      </c>
      <c r="J2818" s="17" t="s">
        <v>71</v>
      </c>
      <c r="K2818" s="17" t="s">
        <v>58</v>
      </c>
      <c r="L2818" s="18" t="s">
        <v>52</v>
      </c>
      <c r="M2818" s="19">
        <v>67.0</v>
      </c>
      <c r="N2818" s="19">
        <v>31.0</v>
      </c>
    </row>
    <row r="2819">
      <c r="A2819" s="12">
        <v>2817.0</v>
      </c>
      <c r="B2819" s="13" t="s">
        <v>5448</v>
      </c>
      <c r="C2819" s="14">
        <v>27.0</v>
      </c>
      <c r="D2819" s="15" t="s">
        <v>5449</v>
      </c>
      <c r="E2819" s="16" t="s">
        <v>52</v>
      </c>
      <c r="F2819" s="13" t="s">
        <v>1669</v>
      </c>
      <c r="G2819" s="13" t="s">
        <v>5081</v>
      </c>
      <c r="H2819" s="13" t="s">
        <v>5082</v>
      </c>
      <c r="I2819" s="13" t="s">
        <v>63</v>
      </c>
      <c r="J2819" s="17" t="s">
        <v>71</v>
      </c>
      <c r="K2819" s="17" t="s">
        <v>58</v>
      </c>
      <c r="L2819" s="18" t="s">
        <v>52</v>
      </c>
      <c r="M2819" s="19">
        <v>67.0</v>
      </c>
      <c r="N2819" s="19">
        <v>31.0</v>
      </c>
    </row>
    <row r="2820">
      <c r="A2820" s="12">
        <v>2818.0</v>
      </c>
      <c r="B2820" s="13" t="s">
        <v>5448</v>
      </c>
      <c r="C2820" s="14">
        <v>28.0</v>
      </c>
      <c r="D2820" s="15" t="s">
        <v>5449</v>
      </c>
      <c r="E2820" s="16" t="s">
        <v>52</v>
      </c>
      <c r="F2820" s="13" t="s">
        <v>3450</v>
      </c>
      <c r="G2820" s="13" t="s">
        <v>5144</v>
      </c>
      <c r="H2820" s="13" t="s">
        <v>5474</v>
      </c>
      <c r="I2820" s="13" t="s">
        <v>63</v>
      </c>
      <c r="J2820" s="17" t="s">
        <v>71</v>
      </c>
      <c r="K2820" s="17" t="s">
        <v>58</v>
      </c>
      <c r="L2820" s="18" t="s">
        <v>52</v>
      </c>
      <c r="M2820" s="19">
        <v>67.0</v>
      </c>
      <c r="N2820" s="19">
        <v>31.0</v>
      </c>
    </row>
    <row r="2821">
      <c r="A2821" s="12">
        <v>2819.0</v>
      </c>
      <c r="B2821" s="13" t="s">
        <v>5448</v>
      </c>
      <c r="C2821" s="14">
        <v>29.0</v>
      </c>
      <c r="D2821" s="15" t="s">
        <v>5449</v>
      </c>
      <c r="E2821" s="16" t="s">
        <v>52</v>
      </c>
      <c r="F2821" s="13" t="s">
        <v>2072</v>
      </c>
      <c r="G2821" s="13" t="s">
        <v>2073</v>
      </c>
      <c r="H2821" s="13" t="s">
        <v>5476</v>
      </c>
      <c r="I2821" s="13" t="s">
        <v>63</v>
      </c>
      <c r="J2821" s="17" t="s">
        <v>71</v>
      </c>
      <c r="K2821" s="17" t="s">
        <v>58</v>
      </c>
      <c r="L2821" s="18" t="s">
        <v>52</v>
      </c>
      <c r="M2821" s="19">
        <v>67.0</v>
      </c>
      <c r="N2821" s="19">
        <v>31.0</v>
      </c>
    </row>
    <row r="2822">
      <c r="A2822" s="12">
        <v>2820.0</v>
      </c>
      <c r="B2822" s="13" t="s">
        <v>5448</v>
      </c>
      <c r="C2822" s="14">
        <v>30.0</v>
      </c>
      <c r="D2822" s="15" t="s">
        <v>5449</v>
      </c>
      <c r="E2822" s="16" t="s">
        <v>52</v>
      </c>
      <c r="F2822" s="13" t="s">
        <v>2013</v>
      </c>
      <c r="G2822" s="13" t="s">
        <v>5442</v>
      </c>
      <c r="H2822" s="13" t="s">
        <v>5477</v>
      </c>
      <c r="I2822" s="13" t="s">
        <v>63</v>
      </c>
      <c r="J2822" s="17" t="s">
        <v>71</v>
      </c>
      <c r="K2822" s="17" t="s">
        <v>58</v>
      </c>
      <c r="L2822" s="18" t="s">
        <v>52</v>
      </c>
      <c r="M2822" s="19">
        <v>67.0</v>
      </c>
      <c r="N2822" s="19">
        <v>31.0</v>
      </c>
    </row>
    <row r="2823">
      <c r="A2823" s="12">
        <v>2821.0</v>
      </c>
      <c r="B2823" s="13" t="s">
        <v>5448</v>
      </c>
      <c r="C2823" s="14">
        <v>31.0</v>
      </c>
      <c r="D2823" s="15" t="s">
        <v>5449</v>
      </c>
      <c r="E2823" s="16" t="s">
        <v>52</v>
      </c>
      <c r="F2823" s="13" t="s">
        <v>4664</v>
      </c>
      <c r="G2823" s="13" t="s">
        <v>4665</v>
      </c>
      <c r="H2823" s="13" t="s">
        <v>4666</v>
      </c>
      <c r="I2823" s="13" t="s">
        <v>63</v>
      </c>
      <c r="J2823" s="17" t="s">
        <v>71</v>
      </c>
      <c r="K2823" s="17" t="s">
        <v>58</v>
      </c>
      <c r="L2823" s="18" t="s">
        <v>52</v>
      </c>
      <c r="M2823" s="19">
        <v>67.0</v>
      </c>
      <c r="N2823" s="19">
        <v>31.0</v>
      </c>
    </row>
    <row r="2824">
      <c r="A2824" s="12">
        <v>2822.0</v>
      </c>
      <c r="B2824" s="13" t="s">
        <v>5448</v>
      </c>
      <c r="C2824" s="14">
        <v>32.0</v>
      </c>
      <c r="D2824" s="15" t="s">
        <v>5449</v>
      </c>
      <c r="E2824" s="16" t="s">
        <v>52</v>
      </c>
      <c r="F2824" s="13" t="s">
        <v>1677</v>
      </c>
      <c r="G2824" s="13" t="s">
        <v>5031</v>
      </c>
      <c r="H2824" s="13" t="s">
        <v>5032</v>
      </c>
      <c r="I2824" s="13" t="s">
        <v>63</v>
      </c>
      <c r="J2824" s="17" t="s">
        <v>71</v>
      </c>
      <c r="K2824" s="17" t="s">
        <v>58</v>
      </c>
      <c r="L2824" s="18" t="s">
        <v>52</v>
      </c>
      <c r="M2824" s="19">
        <v>67.0</v>
      </c>
      <c r="N2824" s="19">
        <v>31.0</v>
      </c>
    </row>
    <row r="2825">
      <c r="A2825" s="12">
        <v>2823.0</v>
      </c>
      <c r="B2825" s="13" t="s">
        <v>5448</v>
      </c>
      <c r="C2825" s="14">
        <v>33.0</v>
      </c>
      <c r="D2825" s="15" t="s">
        <v>5449</v>
      </c>
      <c r="E2825" s="16" t="s">
        <v>52</v>
      </c>
      <c r="F2825" s="13" t="s">
        <v>1884</v>
      </c>
      <c r="G2825" s="13" t="s">
        <v>4732</v>
      </c>
      <c r="H2825" s="13" t="s">
        <v>5083</v>
      </c>
      <c r="I2825" s="13" t="s">
        <v>63</v>
      </c>
      <c r="J2825" s="17" t="s">
        <v>71</v>
      </c>
      <c r="K2825" s="17" t="s">
        <v>58</v>
      </c>
      <c r="L2825" s="18" t="s">
        <v>52</v>
      </c>
      <c r="M2825" s="19">
        <v>67.0</v>
      </c>
      <c r="N2825" s="19">
        <v>31.0</v>
      </c>
    </row>
    <row r="2826">
      <c r="A2826" s="12">
        <v>2824.0</v>
      </c>
      <c r="B2826" s="13" t="s">
        <v>5448</v>
      </c>
      <c r="C2826" s="14">
        <v>34.0</v>
      </c>
      <c r="D2826" s="15" t="s">
        <v>5449</v>
      </c>
      <c r="E2826" s="16" t="s">
        <v>52</v>
      </c>
      <c r="F2826" s="13" t="s">
        <v>3679</v>
      </c>
      <c r="G2826" s="13" t="s">
        <v>5478</v>
      </c>
      <c r="H2826" s="13" t="s">
        <v>5479</v>
      </c>
      <c r="I2826" s="13" t="s">
        <v>63</v>
      </c>
      <c r="J2826" s="17" t="s">
        <v>71</v>
      </c>
      <c r="K2826" s="17" t="s">
        <v>58</v>
      </c>
      <c r="L2826" s="18" t="s">
        <v>52</v>
      </c>
      <c r="M2826" s="19">
        <v>67.0</v>
      </c>
      <c r="N2826" s="19">
        <v>31.0</v>
      </c>
    </row>
    <row r="2827">
      <c r="A2827" s="12">
        <v>2825.0</v>
      </c>
      <c r="B2827" s="13" t="s">
        <v>5448</v>
      </c>
      <c r="C2827" s="14">
        <v>35.0</v>
      </c>
      <c r="D2827" s="15" t="s">
        <v>5449</v>
      </c>
      <c r="E2827" s="16" t="s">
        <v>52</v>
      </c>
      <c r="F2827" s="13" t="s">
        <v>4952</v>
      </c>
      <c r="G2827" s="13" t="s">
        <v>5480</v>
      </c>
      <c r="H2827" s="13" t="s">
        <v>5481</v>
      </c>
      <c r="I2827" s="13" t="s">
        <v>63</v>
      </c>
      <c r="J2827" s="17" t="s">
        <v>71</v>
      </c>
      <c r="K2827" s="17" t="s">
        <v>58</v>
      </c>
      <c r="L2827" s="18" t="s">
        <v>52</v>
      </c>
      <c r="M2827" s="19">
        <v>67.0</v>
      </c>
      <c r="N2827" s="19">
        <v>31.0</v>
      </c>
    </row>
    <row r="2828">
      <c r="A2828" s="12">
        <v>2826.0</v>
      </c>
      <c r="B2828" s="13" t="s">
        <v>5448</v>
      </c>
      <c r="C2828" s="14">
        <v>36.0</v>
      </c>
      <c r="D2828" s="15" t="s">
        <v>5449</v>
      </c>
      <c r="E2828" s="16" t="s">
        <v>52</v>
      </c>
      <c r="F2828" s="13" t="s">
        <v>3410</v>
      </c>
      <c r="G2828" s="13" t="s">
        <v>5084</v>
      </c>
      <c r="H2828" s="13" t="s">
        <v>5085</v>
      </c>
      <c r="I2828" s="13" t="s">
        <v>63</v>
      </c>
      <c r="J2828" s="17" t="s">
        <v>71</v>
      </c>
      <c r="K2828" s="17" t="s">
        <v>58</v>
      </c>
      <c r="L2828" s="18" t="s">
        <v>52</v>
      </c>
      <c r="M2828" s="19">
        <v>67.0</v>
      </c>
      <c r="N2828" s="19">
        <v>31.0</v>
      </c>
    </row>
    <row r="2829">
      <c r="A2829" s="12">
        <v>2827.0</v>
      </c>
      <c r="B2829" s="13" t="s">
        <v>5448</v>
      </c>
      <c r="C2829" s="14">
        <v>37.0</v>
      </c>
      <c r="D2829" s="15" t="s">
        <v>5449</v>
      </c>
      <c r="E2829" s="16" t="s">
        <v>52</v>
      </c>
      <c r="F2829" s="13" t="s">
        <v>1643</v>
      </c>
      <c r="G2829" s="13" t="s">
        <v>2141</v>
      </c>
      <c r="H2829" s="13" t="s">
        <v>4685</v>
      </c>
      <c r="I2829" s="13" t="s">
        <v>63</v>
      </c>
      <c r="J2829" s="17" t="s">
        <v>71</v>
      </c>
      <c r="K2829" s="17" t="s">
        <v>58</v>
      </c>
      <c r="L2829" s="18" t="s">
        <v>52</v>
      </c>
      <c r="M2829" s="19">
        <v>67.0</v>
      </c>
      <c r="N2829" s="19">
        <v>31.0</v>
      </c>
    </row>
    <row r="2830">
      <c r="A2830" s="12">
        <v>2828.0</v>
      </c>
      <c r="B2830" s="13" t="s">
        <v>5448</v>
      </c>
      <c r="C2830" s="14">
        <v>38.0</v>
      </c>
      <c r="D2830" s="15" t="s">
        <v>5449</v>
      </c>
      <c r="E2830" s="16" t="s">
        <v>52</v>
      </c>
      <c r="F2830" s="13" t="s">
        <v>1255</v>
      </c>
      <c r="G2830" s="13" t="s">
        <v>3531</v>
      </c>
      <c r="H2830" s="13" t="s">
        <v>3712</v>
      </c>
      <c r="I2830" s="13" t="s">
        <v>63</v>
      </c>
      <c r="J2830" s="17" t="s">
        <v>71</v>
      </c>
      <c r="K2830" s="17" t="s">
        <v>58</v>
      </c>
      <c r="L2830" s="18" t="s">
        <v>52</v>
      </c>
      <c r="M2830" s="19">
        <v>67.0</v>
      </c>
      <c r="N2830" s="19">
        <v>31.0</v>
      </c>
    </row>
    <row r="2831">
      <c r="A2831" s="12">
        <v>2829.0</v>
      </c>
      <c r="B2831" s="13" t="s">
        <v>5448</v>
      </c>
      <c r="C2831" s="14">
        <v>39.0</v>
      </c>
      <c r="D2831" s="15" t="s">
        <v>5449</v>
      </c>
      <c r="E2831" s="16" t="s">
        <v>52</v>
      </c>
      <c r="F2831" s="13" t="s">
        <v>3520</v>
      </c>
      <c r="G2831" s="13" t="s">
        <v>5303</v>
      </c>
      <c r="H2831" s="13" t="s">
        <v>5485</v>
      </c>
      <c r="I2831" s="13" t="s">
        <v>63</v>
      </c>
      <c r="J2831" s="17" t="s">
        <v>71</v>
      </c>
      <c r="K2831" s="17" t="s">
        <v>58</v>
      </c>
      <c r="L2831" s="18" t="s">
        <v>52</v>
      </c>
      <c r="M2831" s="19">
        <v>67.0</v>
      </c>
      <c r="N2831" s="19">
        <v>31.0</v>
      </c>
    </row>
    <row r="2832">
      <c r="A2832" s="12">
        <v>2830.0</v>
      </c>
      <c r="B2832" s="13" t="s">
        <v>5448</v>
      </c>
      <c r="C2832" s="14">
        <v>40.0</v>
      </c>
      <c r="D2832" s="15" t="s">
        <v>5449</v>
      </c>
      <c r="E2832" s="16" t="s">
        <v>52</v>
      </c>
      <c r="F2832" s="13" t="s">
        <v>3533</v>
      </c>
      <c r="G2832" s="13" t="s">
        <v>3534</v>
      </c>
      <c r="H2832" s="13" t="s">
        <v>5487</v>
      </c>
      <c r="I2832" s="13" t="s">
        <v>63</v>
      </c>
      <c r="J2832" s="17" t="s">
        <v>71</v>
      </c>
      <c r="K2832" s="17" t="s">
        <v>58</v>
      </c>
      <c r="L2832" s="18" t="s">
        <v>52</v>
      </c>
      <c r="M2832" s="19">
        <v>67.0</v>
      </c>
      <c r="N2832" s="19">
        <v>31.0</v>
      </c>
    </row>
    <row r="2833">
      <c r="A2833" s="12">
        <v>2831.0</v>
      </c>
      <c r="B2833" s="13" t="s">
        <v>5448</v>
      </c>
      <c r="C2833" s="14">
        <v>41.0</v>
      </c>
      <c r="D2833" s="15" t="s">
        <v>5449</v>
      </c>
      <c r="E2833" s="16" t="s">
        <v>52</v>
      </c>
      <c r="F2833" s="13" t="s">
        <v>1319</v>
      </c>
      <c r="G2833" s="13" t="s">
        <v>4004</v>
      </c>
      <c r="H2833" s="13" t="s">
        <v>4730</v>
      </c>
      <c r="I2833" s="13" t="s">
        <v>63</v>
      </c>
      <c r="J2833" s="17" t="s">
        <v>71</v>
      </c>
      <c r="K2833" s="17" t="s">
        <v>58</v>
      </c>
      <c r="L2833" s="18" t="s">
        <v>52</v>
      </c>
      <c r="M2833" s="19">
        <v>67.0</v>
      </c>
      <c r="N2833" s="19">
        <v>31.0</v>
      </c>
    </row>
    <row r="2834">
      <c r="A2834" s="12">
        <v>2832.0</v>
      </c>
      <c r="B2834" s="13" t="s">
        <v>5448</v>
      </c>
      <c r="C2834" s="14">
        <v>42.0</v>
      </c>
      <c r="D2834" s="15" t="s">
        <v>5449</v>
      </c>
      <c r="E2834" s="16" t="s">
        <v>52</v>
      </c>
      <c r="F2834" s="13" t="s">
        <v>2680</v>
      </c>
      <c r="G2834" s="13" t="s">
        <v>5320</v>
      </c>
      <c r="H2834" s="13" t="s">
        <v>5488</v>
      </c>
      <c r="I2834" s="13" t="s">
        <v>63</v>
      </c>
      <c r="J2834" s="17" t="s">
        <v>71</v>
      </c>
      <c r="K2834" s="17" t="s">
        <v>58</v>
      </c>
      <c r="L2834" s="18" t="s">
        <v>52</v>
      </c>
      <c r="M2834" s="19">
        <v>67.0</v>
      </c>
      <c r="N2834" s="19">
        <v>31.0</v>
      </c>
    </row>
    <row r="2835">
      <c r="A2835" s="12">
        <v>2833.0</v>
      </c>
      <c r="B2835" s="13" t="s">
        <v>5448</v>
      </c>
      <c r="C2835" s="14">
        <v>43.0</v>
      </c>
      <c r="D2835" s="15" t="s">
        <v>5449</v>
      </c>
      <c r="E2835" s="16" t="s">
        <v>52</v>
      </c>
      <c r="F2835" s="13" t="s">
        <v>3059</v>
      </c>
      <c r="G2835" s="13" t="s">
        <v>5038</v>
      </c>
      <c r="H2835" s="13" t="s">
        <v>3712</v>
      </c>
      <c r="I2835" s="13" t="s">
        <v>63</v>
      </c>
      <c r="J2835" s="17" t="s">
        <v>71</v>
      </c>
      <c r="K2835" s="17" t="s">
        <v>58</v>
      </c>
      <c r="L2835" s="18" t="s">
        <v>52</v>
      </c>
      <c r="M2835" s="19">
        <v>67.0</v>
      </c>
      <c r="N2835" s="19">
        <v>31.0</v>
      </c>
    </row>
    <row r="2836">
      <c r="A2836" s="12">
        <v>2834.0</v>
      </c>
      <c r="B2836" s="13" t="s">
        <v>5448</v>
      </c>
      <c r="C2836" s="14">
        <v>44.0</v>
      </c>
      <c r="D2836" s="15" t="s">
        <v>5449</v>
      </c>
      <c r="E2836" s="16" t="s">
        <v>52</v>
      </c>
      <c r="F2836" s="13" t="s">
        <v>3640</v>
      </c>
      <c r="G2836" s="13" t="s">
        <v>3641</v>
      </c>
      <c r="H2836" s="13" t="s">
        <v>3642</v>
      </c>
      <c r="I2836" s="13" t="s">
        <v>63</v>
      </c>
      <c r="J2836" s="17" t="s">
        <v>71</v>
      </c>
      <c r="K2836" s="17" t="s">
        <v>58</v>
      </c>
      <c r="L2836" s="18" t="s">
        <v>52</v>
      </c>
      <c r="M2836" s="19">
        <v>67.0</v>
      </c>
      <c r="N2836" s="19">
        <v>31.0</v>
      </c>
    </row>
    <row r="2837">
      <c r="A2837" s="12">
        <v>2835.0</v>
      </c>
      <c r="B2837" s="13" t="s">
        <v>5448</v>
      </c>
      <c r="C2837" s="14">
        <v>45.0</v>
      </c>
      <c r="D2837" s="15" t="s">
        <v>5449</v>
      </c>
      <c r="E2837" s="16" t="s">
        <v>52</v>
      </c>
      <c r="F2837" s="13" t="s">
        <v>3643</v>
      </c>
      <c r="G2837" s="13" t="s">
        <v>5088</v>
      </c>
      <c r="H2837" s="13" t="s">
        <v>5089</v>
      </c>
      <c r="I2837" s="13" t="s">
        <v>63</v>
      </c>
      <c r="J2837" s="17" t="s">
        <v>71</v>
      </c>
      <c r="K2837" s="17" t="s">
        <v>58</v>
      </c>
      <c r="L2837" s="18" t="s">
        <v>52</v>
      </c>
      <c r="M2837" s="19">
        <v>67.0</v>
      </c>
      <c r="N2837" s="19">
        <v>31.0</v>
      </c>
    </row>
    <row r="2838">
      <c r="A2838" s="12">
        <v>2836.0</v>
      </c>
      <c r="B2838" s="13" t="s">
        <v>5448</v>
      </c>
      <c r="C2838" s="14">
        <v>46.0</v>
      </c>
      <c r="D2838" s="15" t="s">
        <v>5449</v>
      </c>
      <c r="E2838" s="16" t="s">
        <v>52</v>
      </c>
      <c r="F2838" s="13" t="s">
        <v>3498</v>
      </c>
      <c r="G2838" s="13" t="s">
        <v>3499</v>
      </c>
      <c r="H2838" s="13" t="s">
        <v>5090</v>
      </c>
      <c r="I2838" s="13" t="s">
        <v>63</v>
      </c>
      <c r="J2838" s="17" t="s">
        <v>71</v>
      </c>
      <c r="K2838" s="17" t="s">
        <v>58</v>
      </c>
      <c r="L2838" s="18" t="s">
        <v>52</v>
      </c>
      <c r="M2838" s="19">
        <v>67.0</v>
      </c>
      <c r="N2838" s="19">
        <v>31.0</v>
      </c>
    </row>
    <row r="2839">
      <c r="A2839" s="12">
        <v>2837.0</v>
      </c>
      <c r="B2839" s="13" t="s">
        <v>5448</v>
      </c>
      <c r="C2839" s="14">
        <v>47.0</v>
      </c>
      <c r="D2839" s="15" t="s">
        <v>5449</v>
      </c>
      <c r="E2839" s="16" t="s">
        <v>52</v>
      </c>
      <c r="F2839" s="13" t="s">
        <v>4959</v>
      </c>
      <c r="G2839" s="13" t="s">
        <v>5091</v>
      </c>
      <c r="H2839" s="13" t="s">
        <v>5092</v>
      </c>
      <c r="I2839" s="13" t="s">
        <v>63</v>
      </c>
      <c r="J2839" s="17" t="s">
        <v>71</v>
      </c>
      <c r="K2839" s="17" t="s">
        <v>58</v>
      </c>
      <c r="L2839" s="18" t="s">
        <v>52</v>
      </c>
      <c r="M2839" s="19">
        <v>67.0</v>
      </c>
      <c r="N2839" s="19">
        <v>31.0</v>
      </c>
    </row>
    <row r="2840">
      <c r="A2840" s="12">
        <v>2838.0</v>
      </c>
      <c r="B2840" s="13" t="s">
        <v>5448</v>
      </c>
      <c r="C2840" s="14">
        <v>48.0</v>
      </c>
      <c r="D2840" s="15" t="s">
        <v>5449</v>
      </c>
      <c r="E2840" s="16" t="s">
        <v>52</v>
      </c>
      <c r="F2840" s="13" t="s">
        <v>2759</v>
      </c>
      <c r="G2840" s="13" t="s">
        <v>3508</v>
      </c>
      <c r="H2840" s="13" t="s">
        <v>5093</v>
      </c>
      <c r="I2840" s="13" t="s">
        <v>63</v>
      </c>
      <c r="J2840" s="17" t="s">
        <v>71</v>
      </c>
      <c r="K2840" s="17" t="s">
        <v>58</v>
      </c>
      <c r="L2840" s="18" t="s">
        <v>52</v>
      </c>
      <c r="M2840" s="19">
        <v>67.0</v>
      </c>
      <c r="N2840" s="19">
        <v>31.0</v>
      </c>
    </row>
    <row r="2841">
      <c r="A2841" s="12">
        <v>2839.0</v>
      </c>
      <c r="B2841" s="13" t="s">
        <v>5448</v>
      </c>
      <c r="C2841" s="14">
        <v>49.0</v>
      </c>
      <c r="D2841" s="15" t="s">
        <v>5449</v>
      </c>
      <c r="E2841" s="16" t="s">
        <v>52</v>
      </c>
      <c r="F2841" s="13" t="s">
        <v>2793</v>
      </c>
      <c r="G2841" s="13" t="s">
        <v>4482</v>
      </c>
      <c r="H2841" s="13" t="s">
        <v>4965</v>
      </c>
      <c r="I2841" s="13" t="s">
        <v>63</v>
      </c>
      <c r="J2841" s="17" t="s">
        <v>71</v>
      </c>
      <c r="K2841" s="17" t="s">
        <v>58</v>
      </c>
      <c r="L2841" s="18" t="s">
        <v>52</v>
      </c>
      <c r="M2841" s="19">
        <v>67.0</v>
      </c>
      <c r="N2841" s="19">
        <v>31.0</v>
      </c>
    </row>
    <row r="2842">
      <c r="A2842" s="12">
        <v>2840.0</v>
      </c>
      <c r="B2842" s="13" t="s">
        <v>5448</v>
      </c>
      <c r="C2842" s="14">
        <v>50.0</v>
      </c>
      <c r="D2842" s="15" t="s">
        <v>5449</v>
      </c>
      <c r="E2842" s="16" t="s">
        <v>52</v>
      </c>
      <c r="F2842" s="13" t="s">
        <v>724</v>
      </c>
      <c r="G2842" s="13" t="s">
        <v>1626</v>
      </c>
      <c r="H2842" s="13" t="s">
        <v>4685</v>
      </c>
      <c r="I2842" s="13" t="s">
        <v>63</v>
      </c>
      <c r="J2842" s="17" t="s">
        <v>71</v>
      </c>
      <c r="K2842" s="17" t="s">
        <v>58</v>
      </c>
      <c r="L2842" s="18" t="s">
        <v>52</v>
      </c>
      <c r="M2842" s="19">
        <v>67.0</v>
      </c>
      <c r="N2842" s="19">
        <v>31.0</v>
      </c>
    </row>
    <row r="2843">
      <c r="A2843" s="12">
        <v>2841.0</v>
      </c>
      <c r="B2843" s="13" t="s">
        <v>5448</v>
      </c>
      <c r="C2843" s="14">
        <v>51.0</v>
      </c>
      <c r="D2843" s="15" t="s">
        <v>5449</v>
      </c>
      <c r="E2843" s="16" t="s">
        <v>52</v>
      </c>
      <c r="F2843" s="13" t="s">
        <v>1119</v>
      </c>
      <c r="G2843" s="13" t="s">
        <v>1915</v>
      </c>
      <c r="H2843" s="13" t="s">
        <v>1916</v>
      </c>
      <c r="I2843" s="13" t="s">
        <v>63</v>
      </c>
      <c r="J2843" s="17" t="s">
        <v>71</v>
      </c>
      <c r="K2843" s="17" t="s">
        <v>58</v>
      </c>
      <c r="L2843" s="18" t="s">
        <v>52</v>
      </c>
      <c r="M2843" s="19">
        <v>67.0</v>
      </c>
      <c r="N2843" s="19">
        <v>31.0</v>
      </c>
    </row>
    <row r="2844">
      <c r="A2844" s="12">
        <v>2842.0</v>
      </c>
      <c r="B2844" s="13" t="s">
        <v>5448</v>
      </c>
      <c r="C2844" s="14">
        <v>52.0</v>
      </c>
      <c r="D2844" s="15" t="s">
        <v>5449</v>
      </c>
      <c r="E2844" s="16" t="s">
        <v>52</v>
      </c>
      <c r="F2844" s="13" t="s">
        <v>3348</v>
      </c>
      <c r="G2844" s="13" t="s">
        <v>3349</v>
      </c>
      <c r="H2844" s="13" t="s">
        <v>5097</v>
      </c>
      <c r="I2844" s="13" t="s">
        <v>63</v>
      </c>
      <c r="J2844" s="17" t="s">
        <v>71</v>
      </c>
      <c r="K2844" s="17" t="s">
        <v>58</v>
      </c>
      <c r="L2844" s="18" t="s">
        <v>52</v>
      </c>
      <c r="M2844" s="19">
        <v>67.0</v>
      </c>
      <c r="N2844" s="19">
        <v>31.0</v>
      </c>
    </row>
    <row r="2845">
      <c r="A2845" s="12">
        <v>2843.0</v>
      </c>
      <c r="B2845" s="13" t="s">
        <v>5448</v>
      </c>
      <c r="C2845" s="14">
        <v>53.0</v>
      </c>
      <c r="D2845" s="15" t="s">
        <v>5449</v>
      </c>
      <c r="E2845" s="16" t="s">
        <v>52</v>
      </c>
      <c r="F2845" s="13" t="s">
        <v>3328</v>
      </c>
      <c r="G2845" s="13" t="s">
        <v>3538</v>
      </c>
      <c r="H2845" s="13" t="s">
        <v>5098</v>
      </c>
      <c r="I2845" s="13" t="s">
        <v>63</v>
      </c>
      <c r="J2845" s="17" t="s">
        <v>71</v>
      </c>
      <c r="K2845" s="17" t="s">
        <v>58</v>
      </c>
      <c r="L2845" s="18" t="s">
        <v>52</v>
      </c>
      <c r="M2845" s="19">
        <v>67.0</v>
      </c>
      <c r="N2845" s="19">
        <v>31.0</v>
      </c>
    </row>
    <row r="2846">
      <c r="A2846" s="12">
        <v>2844.0</v>
      </c>
      <c r="B2846" s="13" t="s">
        <v>5448</v>
      </c>
      <c r="C2846" s="14">
        <v>54.0</v>
      </c>
      <c r="D2846" s="15" t="s">
        <v>5449</v>
      </c>
      <c r="E2846" s="16" t="s">
        <v>52</v>
      </c>
      <c r="F2846" s="13" t="s">
        <v>1405</v>
      </c>
      <c r="G2846" s="13" t="s">
        <v>5491</v>
      </c>
      <c r="H2846" s="13" t="s">
        <v>5492</v>
      </c>
      <c r="I2846" s="13" t="s">
        <v>63</v>
      </c>
      <c r="J2846" s="17" t="s">
        <v>71</v>
      </c>
      <c r="K2846" s="17" t="s">
        <v>58</v>
      </c>
      <c r="L2846" s="18" t="s">
        <v>52</v>
      </c>
      <c r="M2846" s="19">
        <v>67.0</v>
      </c>
      <c r="N2846" s="19">
        <v>31.0</v>
      </c>
    </row>
    <row r="2847">
      <c r="A2847" s="12">
        <v>2845.0</v>
      </c>
      <c r="B2847" s="13" t="s">
        <v>5448</v>
      </c>
      <c r="C2847" s="14">
        <v>55.0</v>
      </c>
      <c r="D2847" s="15" t="s">
        <v>5449</v>
      </c>
      <c r="E2847" s="16" t="s">
        <v>52</v>
      </c>
      <c r="F2847" s="13" t="s">
        <v>3339</v>
      </c>
      <c r="G2847" s="13" t="s">
        <v>3340</v>
      </c>
      <c r="H2847" s="13" t="s">
        <v>5453</v>
      </c>
      <c r="I2847" s="13" t="s">
        <v>63</v>
      </c>
      <c r="J2847" s="17" t="s">
        <v>71</v>
      </c>
      <c r="K2847" s="17" t="s">
        <v>58</v>
      </c>
      <c r="L2847" s="18" t="s">
        <v>52</v>
      </c>
      <c r="M2847" s="19">
        <v>67.0</v>
      </c>
      <c r="N2847" s="19">
        <v>31.0</v>
      </c>
    </row>
    <row r="2848">
      <c r="A2848" s="12">
        <v>2846.0</v>
      </c>
      <c r="B2848" s="13" t="s">
        <v>5448</v>
      </c>
      <c r="C2848" s="14">
        <v>56.0</v>
      </c>
      <c r="D2848" s="15" t="s">
        <v>5449</v>
      </c>
      <c r="E2848" s="16" t="s">
        <v>52</v>
      </c>
      <c r="F2848" s="13" t="s">
        <v>894</v>
      </c>
      <c r="G2848" s="13" t="s">
        <v>3510</v>
      </c>
      <c r="H2848" s="13" t="s">
        <v>5099</v>
      </c>
      <c r="I2848" s="13" t="s">
        <v>63</v>
      </c>
      <c r="J2848" s="17" t="s">
        <v>71</v>
      </c>
      <c r="K2848" s="17" t="s">
        <v>58</v>
      </c>
      <c r="L2848" s="18" t="s">
        <v>52</v>
      </c>
      <c r="M2848" s="19">
        <v>67.0</v>
      </c>
      <c r="N2848" s="19">
        <v>31.0</v>
      </c>
    </row>
    <row r="2849">
      <c r="A2849" s="12">
        <v>2847.0</v>
      </c>
      <c r="B2849" s="13" t="s">
        <v>5448</v>
      </c>
      <c r="C2849" s="14">
        <v>57.0</v>
      </c>
      <c r="D2849" s="15" t="s">
        <v>5449</v>
      </c>
      <c r="E2849" s="16" t="s">
        <v>52</v>
      </c>
      <c r="F2849" s="13" t="s">
        <v>3543</v>
      </c>
      <c r="G2849" s="13" t="s">
        <v>5100</v>
      </c>
      <c r="H2849" s="13" t="s">
        <v>5101</v>
      </c>
      <c r="I2849" s="13" t="s">
        <v>63</v>
      </c>
      <c r="J2849" s="17" t="s">
        <v>71</v>
      </c>
      <c r="K2849" s="17" t="s">
        <v>58</v>
      </c>
      <c r="L2849" s="18" t="s">
        <v>52</v>
      </c>
      <c r="M2849" s="19">
        <v>67.0</v>
      </c>
      <c r="N2849" s="19">
        <v>31.0</v>
      </c>
    </row>
    <row r="2850">
      <c r="A2850" s="12">
        <v>2848.0</v>
      </c>
      <c r="B2850" s="13" t="s">
        <v>5448</v>
      </c>
      <c r="C2850" s="14">
        <v>58.0</v>
      </c>
      <c r="D2850" s="15" t="s">
        <v>5449</v>
      </c>
      <c r="E2850" s="16" t="s">
        <v>52</v>
      </c>
      <c r="F2850" s="13" t="s">
        <v>4921</v>
      </c>
      <c r="G2850" s="13" t="s">
        <v>5494</v>
      </c>
      <c r="H2850" s="13" t="s">
        <v>5495</v>
      </c>
      <c r="I2850" s="13" t="s">
        <v>63</v>
      </c>
      <c r="J2850" s="17" t="s">
        <v>71</v>
      </c>
      <c r="K2850" s="17" t="s">
        <v>58</v>
      </c>
      <c r="L2850" s="18" t="s">
        <v>52</v>
      </c>
      <c r="M2850" s="19">
        <v>67.0</v>
      </c>
      <c r="N2850" s="19">
        <v>31.0</v>
      </c>
    </row>
    <row r="2851">
      <c r="A2851" s="12">
        <v>2849.0</v>
      </c>
      <c r="B2851" s="13" t="s">
        <v>5448</v>
      </c>
      <c r="C2851" s="14">
        <v>59.0</v>
      </c>
      <c r="D2851" s="15" t="s">
        <v>5449</v>
      </c>
      <c r="E2851" s="16" t="s">
        <v>52</v>
      </c>
      <c r="F2851" s="13" t="s">
        <v>320</v>
      </c>
      <c r="G2851" s="13" t="s">
        <v>5496</v>
      </c>
      <c r="H2851" s="13" t="s">
        <v>4685</v>
      </c>
      <c r="I2851" s="13" t="s">
        <v>63</v>
      </c>
      <c r="J2851" s="17" t="s">
        <v>71</v>
      </c>
      <c r="K2851" s="17" t="s">
        <v>58</v>
      </c>
      <c r="L2851" s="18" t="s">
        <v>52</v>
      </c>
      <c r="M2851" s="19">
        <v>67.0</v>
      </c>
      <c r="N2851" s="19">
        <v>31.0</v>
      </c>
    </row>
    <row r="2852">
      <c r="A2852" s="12">
        <v>2850.0</v>
      </c>
      <c r="B2852" s="13" t="s">
        <v>5448</v>
      </c>
      <c r="C2852" s="14">
        <v>60.0</v>
      </c>
      <c r="D2852" s="15" t="s">
        <v>5449</v>
      </c>
      <c r="E2852" s="16" t="s">
        <v>52</v>
      </c>
      <c r="F2852" s="13" t="s">
        <v>2424</v>
      </c>
      <c r="G2852" s="13" t="s">
        <v>5104</v>
      </c>
      <c r="H2852" s="13" t="s">
        <v>5105</v>
      </c>
      <c r="I2852" s="13" t="s">
        <v>63</v>
      </c>
      <c r="J2852" s="17" t="s">
        <v>71</v>
      </c>
      <c r="K2852" s="17" t="s">
        <v>58</v>
      </c>
      <c r="L2852" s="18" t="s">
        <v>52</v>
      </c>
      <c r="M2852" s="19">
        <v>67.0</v>
      </c>
      <c r="N2852" s="19">
        <v>31.0</v>
      </c>
    </row>
    <row r="2853">
      <c r="A2853" s="12">
        <v>2851.0</v>
      </c>
      <c r="B2853" s="13" t="s">
        <v>5448</v>
      </c>
      <c r="C2853" s="14">
        <v>61.0</v>
      </c>
      <c r="D2853" s="15" t="s">
        <v>5449</v>
      </c>
      <c r="E2853" s="16" t="s">
        <v>52</v>
      </c>
      <c r="F2853" s="13" t="s">
        <v>4747</v>
      </c>
      <c r="G2853" s="13" t="s">
        <v>5106</v>
      </c>
      <c r="H2853" s="13" t="s">
        <v>5107</v>
      </c>
      <c r="I2853" s="13" t="s">
        <v>63</v>
      </c>
      <c r="J2853" s="17" t="s">
        <v>71</v>
      </c>
      <c r="K2853" s="17" t="s">
        <v>58</v>
      </c>
      <c r="L2853" s="18" t="s">
        <v>52</v>
      </c>
      <c r="M2853" s="19">
        <v>67.0</v>
      </c>
      <c r="N2853" s="19">
        <v>31.0</v>
      </c>
    </row>
    <row r="2854">
      <c r="A2854" s="12">
        <v>2852.0</v>
      </c>
      <c r="B2854" s="13" t="s">
        <v>5448</v>
      </c>
      <c r="C2854" s="14">
        <v>62.0</v>
      </c>
      <c r="D2854" s="15" t="s">
        <v>5449</v>
      </c>
      <c r="E2854" s="16" t="s">
        <v>52</v>
      </c>
      <c r="F2854" s="13" t="s">
        <v>512</v>
      </c>
      <c r="G2854" s="13" t="s">
        <v>4672</v>
      </c>
      <c r="H2854" s="13" t="s">
        <v>4673</v>
      </c>
      <c r="I2854" s="13" t="s">
        <v>63</v>
      </c>
      <c r="J2854" s="17" t="s">
        <v>71</v>
      </c>
      <c r="K2854" s="17" t="s">
        <v>58</v>
      </c>
      <c r="L2854" s="18" t="s">
        <v>52</v>
      </c>
      <c r="M2854" s="19">
        <v>67.0</v>
      </c>
      <c r="N2854" s="19">
        <v>31.0</v>
      </c>
    </row>
    <row r="2855">
      <c r="A2855" s="12">
        <v>2853.0</v>
      </c>
      <c r="B2855" s="13" t="s">
        <v>5448</v>
      </c>
      <c r="C2855" s="14">
        <v>63.0</v>
      </c>
      <c r="D2855" s="15" t="s">
        <v>5449</v>
      </c>
      <c r="E2855" s="16" t="s">
        <v>52</v>
      </c>
      <c r="F2855" s="13" t="s">
        <v>4674</v>
      </c>
      <c r="G2855" s="13" t="s">
        <v>4675</v>
      </c>
      <c r="H2855" s="13" t="s">
        <v>4676</v>
      </c>
      <c r="I2855" s="13" t="s">
        <v>63</v>
      </c>
      <c r="J2855" s="17" t="s">
        <v>71</v>
      </c>
      <c r="K2855" s="17" t="s">
        <v>58</v>
      </c>
      <c r="L2855" s="18" t="s">
        <v>52</v>
      </c>
      <c r="M2855" s="19">
        <v>67.0</v>
      </c>
      <c r="N2855" s="19">
        <v>31.0</v>
      </c>
    </row>
    <row r="2856">
      <c r="A2856" s="12">
        <v>2854.0</v>
      </c>
      <c r="B2856" s="13" t="s">
        <v>5448</v>
      </c>
      <c r="C2856" s="14">
        <v>64.0</v>
      </c>
      <c r="D2856" s="15" t="s">
        <v>5449</v>
      </c>
      <c r="E2856" s="16" t="s">
        <v>52</v>
      </c>
      <c r="F2856" s="13" t="s">
        <v>707</v>
      </c>
      <c r="G2856" s="13" t="s">
        <v>5109</v>
      </c>
      <c r="H2856" s="13" t="s">
        <v>5110</v>
      </c>
      <c r="I2856" s="13" t="s">
        <v>63</v>
      </c>
      <c r="J2856" s="17" t="s">
        <v>71</v>
      </c>
      <c r="K2856" s="17" t="s">
        <v>58</v>
      </c>
      <c r="L2856" s="18" t="s">
        <v>52</v>
      </c>
      <c r="M2856" s="19">
        <v>67.0</v>
      </c>
      <c r="N2856" s="19">
        <v>31.0</v>
      </c>
    </row>
    <row r="2857">
      <c r="A2857" s="12">
        <v>2855.0</v>
      </c>
      <c r="B2857" s="13" t="s">
        <v>5448</v>
      </c>
      <c r="C2857" s="14">
        <v>65.0</v>
      </c>
      <c r="D2857" s="15" t="s">
        <v>5449</v>
      </c>
      <c r="E2857" s="16" t="s">
        <v>52</v>
      </c>
      <c r="F2857" s="13" t="s">
        <v>302</v>
      </c>
      <c r="G2857" s="13" t="s">
        <v>4304</v>
      </c>
      <c r="H2857" s="13" t="s">
        <v>4685</v>
      </c>
      <c r="I2857" s="13" t="s">
        <v>63</v>
      </c>
      <c r="J2857" s="17" t="s">
        <v>71</v>
      </c>
      <c r="K2857" s="17" t="s">
        <v>58</v>
      </c>
      <c r="L2857" s="18" t="s">
        <v>52</v>
      </c>
      <c r="M2857" s="19">
        <v>67.0</v>
      </c>
      <c r="N2857" s="19">
        <v>31.0</v>
      </c>
    </row>
    <row r="2858">
      <c r="A2858" s="12">
        <v>2856.0</v>
      </c>
      <c r="B2858" s="13" t="s">
        <v>5448</v>
      </c>
      <c r="C2858" s="14">
        <v>66.0</v>
      </c>
      <c r="D2858" s="15" t="s">
        <v>5449</v>
      </c>
      <c r="E2858" s="16" t="s">
        <v>52</v>
      </c>
      <c r="F2858" s="13" t="s">
        <v>2042</v>
      </c>
      <c r="G2858" s="13" t="s">
        <v>4665</v>
      </c>
      <c r="H2858" s="13" t="s">
        <v>4666</v>
      </c>
      <c r="I2858" s="13" t="s">
        <v>63</v>
      </c>
      <c r="J2858" s="17" t="s">
        <v>71</v>
      </c>
      <c r="K2858" s="17" t="s">
        <v>58</v>
      </c>
      <c r="L2858" s="18" t="s">
        <v>52</v>
      </c>
      <c r="M2858" s="19">
        <v>67.0</v>
      </c>
      <c r="N2858" s="19">
        <v>31.0</v>
      </c>
    </row>
    <row r="2859">
      <c r="A2859" s="12">
        <v>2857.0</v>
      </c>
      <c r="B2859" s="13" t="s">
        <v>5448</v>
      </c>
      <c r="C2859" s="14">
        <v>67.0</v>
      </c>
      <c r="D2859" s="15" t="s">
        <v>5449</v>
      </c>
      <c r="E2859" s="16" t="s">
        <v>52</v>
      </c>
      <c r="F2859" s="13" t="s">
        <v>731</v>
      </c>
      <c r="G2859" s="13" t="s">
        <v>4079</v>
      </c>
      <c r="H2859" s="13" t="s">
        <v>4685</v>
      </c>
      <c r="I2859" s="13" t="s">
        <v>63</v>
      </c>
      <c r="J2859" s="17" t="s">
        <v>71</v>
      </c>
      <c r="K2859" s="17" t="s">
        <v>58</v>
      </c>
      <c r="L2859" s="18" t="s">
        <v>52</v>
      </c>
      <c r="M2859" s="19">
        <v>67.0</v>
      </c>
      <c r="N2859" s="19">
        <v>31.0</v>
      </c>
    </row>
    <row r="2860">
      <c r="A2860" s="12">
        <v>2858.0</v>
      </c>
      <c r="B2860" s="13" t="s">
        <v>5448</v>
      </c>
      <c r="C2860" s="14">
        <v>68.0</v>
      </c>
      <c r="D2860" s="15" t="s">
        <v>5449</v>
      </c>
      <c r="E2860" s="16" t="s">
        <v>52</v>
      </c>
      <c r="F2860" s="13" t="s">
        <v>4771</v>
      </c>
      <c r="G2860" s="13" t="s">
        <v>4772</v>
      </c>
      <c r="H2860" s="13" t="s">
        <v>5007</v>
      </c>
      <c r="I2860" s="13" t="s">
        <v>63</v>
      </c>
      <c r="J2860" s="17" t="s">
        <v>71</v>
      </c>
      <c r="K2860" s="17" t="s">
        <v>58</v>
      </c>
      <c r="L2860" s="18" t="s">
        <v>52</v>
      </c>
      <c r="M2860" s="19">
        <v>67.0</v>
      </c>
      <c r="N2860" s="19">
        <v>31.0</v>
      </c>
    </row>
    <row r="2861">
      <c r="A2861" s="12">
        <v>2859.0</v>
      </c>
      <c r="B2861" s="13" t="s">
        <v>5448</v>
      </c>
      <c r="C2861" s="14">
        <v>69.0</v>
      </c>
      <c r="D2861" s="15" t="s">
        <v>5449</v>
      </c>
      <c r="E2861" s="16" t="s">
        <v>52</v>
      </c>
      <c r="F2861" s="13" t="s">
        <v>5500</v>
      </c>
      <c r="G2861" s="13" t="s">
        <v>61</v>
      </c>
      <c r="H2861" s="13" t="s">
        <v>5501</v>
      </c>
      <c r="I2861" s="13" t="s">
        <v>63</v>
      </c>
      <c r="J2861" s="17" t="s">
        <v>71</v>
      </c>
      <c r="K2861" s="17" t="s">
        <v>58</v>
      </c>
      <c r="L2861" s="18" t="s">
        <v>52</v>
      </c>
      <c r="M2861" s="19">
        <v>67.0</v>
      </c>
      <c r="N2861" s="19">
        <v>31.0</v>
      </c>
    </row>
    <row r="2862">
      <c r="A2862" s="12">
        <v>2860.0</v>
      </c>
      <c r="B2862" s="13" t="s">
        <v>5448</v>
      </c>
      <c r="C2862" s="14">
        <v>70.0</v>
      </c>
      <c r="D2862" s="15" t="s">
        <v>5450</v>
      </c>
      <c r="E2862" s="16" t="s">
        <v>52</v>
      </c>
      <c r="F2862" s="13" t="s">
        <v>107</v>
      </c>
      <c r="G2862" s="13" t="s">
        <v>5502</v>
      </c>
      <c r="H2862" s="13" t="s">
        <v>5503</v>
      </c>
      <c r="I2862" s="13" t="s">
        <v>63</v>
      </c>
      <c r="J2862" s="17" t="s">
        <v>71</v>
      </c>
      <c r="K2862" s="17" t="s">
        <v>58</v>
      </c>
      <c r="L2862" s="18" t="s">
        <v>52</v>
      </c>
      <c r="M2862" s="19">
        <v>67.0</v>
      </c>
      <c r="N2862" s="19">
        <v>31.0</v>
      </c>
    </row>
    <row r="2863">
      <c r="A2863" s="12">
        <v>2861.0</v>
      </c>
      <c r="B2863" s="13" t="s">
        <v>5448</v>
      </c>
      <c r="C2863" s="14">
        <v>71.0</v>
      </c>
      <c r="D2863" s="15" t="s">
        <v>5450</v>
      </c>
      <c r="E2863" s="16" t="s">
        <v>52</v>
      </c>
      <c r="F2863" s="13" t="s">
        <v>4452</v>
      </c>
      <c r="G2863" s="13" t="s">
        <v>61</v>
      </c>
      <c r="H2863" s="13" t="s">
        <v>5504</v>
      </c>
      <c r="I2863" s="13" t="s">
        <v>63</v>
      </c>
      <c r="J2863" s="17" t="s">
        <v>71</v>
      </c>
      <c r="K2863" s="17" t="s">
        <v>58</v>
      </c>
      <c r="L2863" s="18" t="s">
        <v>52</v>
      </c>
      <c r="M2863" s="19">
        <v>67.0</v>
      </c>
      <c r="N2863" s="19">
        <v>31.0</v>
      </c>
    </row>
    <row r="2864">
      <c r="A2864" s="12">
        <v>2862.0</v>
      </c>
      <c r="B2864" s="13" t="s">
        <v>5448</v>
      </c>
      <c r="C2864" s="14">
        <v>72.0</v>
      </c>
      <c r="D2864" s="15" t="s">
        <v>5450</v>
      </c>
      <c r="E2864" s="16" t="s">
        <v>52</v>
      </c>
      <c r="F2864" s="13" t="s">
        <v>3502</v>
      </c>
      <c r="G2864" s="13" t="s">
        <v>3503</v>
      </c>
      <c r="H2864" s="13" t="s">
        <v>5026</v>
      </c>
      <c r="I2864" s="13" t="s">
        <v>63</v>
      </c>
      <c r="J2864" s="17" t="s">
        <v>71</v>
      </c>
      <c r="K2864" s="17" t="s">
        <v>58</v>
      </c>
      <c r="L2864" s="18" t="s">
        <v>52</v>
      </c>
      <c r="M2864" s="19">
        <v>67.0</v>
      </c>
      <c r="N2864" s="19">
        <v>31.0</v>
      </c>
    </row>
    <row r="2865">
      <c r="A2865" s="12">
        <v>2863.0</v>
      </c>
      <c r="B2865" s="13" t="s">
        <v>5448</v>
      </c>
      <c r="C2865" s="14">
        <v>73.0</v>
      </c>
      <c r="D2865" s="15" t="s">
        <v>5450</v>
      </c>
      <c r="E2865" s="16" t="s">
        <v>52</v>
      </c>
      <c r="F2865" s="13" t="s">
        <v>3464</v>
      </c>
      <c r="G2865" s="13" t="s">
        <v>5505</v>
      </c>
      <c r="H2865" s="13" t="s">
        <v>5506</v>
      </c>
      <c r="I2865" s="13" t="s">
        <v>63</v>
      </c>
      <c r="J2865" s="17" t="s">
        <v>71</v>
      </c>
      <c r="K2865" s="17" t="s">
        <v>58</v>
      </c>
      <c r="L2865" s="18" t="s">
        <v>52</v>
      </c>
      <c r="M2865" s="19">
        <v>67.0</v>
      </c>
      <c r="N2865" s="19">
        <v>31.0</v>
      </c>
    </row>
    <row r="2866">
      <c r="A2866" s="12">
        <v>2864.0</v>
      </c>
      <c r="B2866" s="13" t="s">
        <v>5448</v>
      </c>
      <c r="C2866" s="14">
        <v>74.0</v>
      </c>
      <c r="D2866" s="15" t="s">
        <v>5450</v>
      </c>
      <c r="E2866" s="16" t="s">
        <v>52</v>
      </c>
      <c r="F2866" s="13" t="s">
        <v>3467</v>
      </c>
      <c r="G2866" s="13" t="s">
        <v>3468</v>
      </c>
      <c r="H2866" s="13" t="s">
        <v>5507</v>
      </c>
      <c r="I2866" s="13" t="s">
        <v>63</v>
      </c>
      <c r="J2866" s="17" t="s">
        <v>71</v>
      </c>
      <c r="K2866" s="17" t="s">
        <v>58</v>
      </c>
      <c r="L2866" s="18" t="s">
        <v>52</v>
      </c>
      <c r="M2866" s="19">
        <v>67.0</v>
      </c>
      <c r="N2866" s="19">
        <v>31.0</v>
      </c>
    </row>
    <row r="2867">
      <c r="A2867" s="12">
        <v>2865.0</v>
      </c>
      <c r="B2867" s="13" t="s">
        <v>5448</v>
      </c>
      <c r="C2867" s="14">
        <v>75.0</v>
      </c>
      <c r="D2867" s="15" t="s">
        <v>5450</v>
      </c>
      <c r="E2867" s="16" t="s">
        <v>52</v>
      </c>
      <c r="F2867" s="13" t="s">
        <v>4515</v>
      </c>
      <c r="G2867" s="13" t="s">
        <v>4516</v>
      </c>
      <c r="H2867" s="13" t="s">
        <v>5508</v>
      </c>
      <c r="I2867" s="13" t="s">
        <v>63</v>
      </c>
      <c r="J2867" s="17" t="s">
        <v>71</v>
      </c>
      <c r="K2867" s="17" t="s">
        <v>58</v>
      </c>
      <c r="L2867" s="18" t="s">
        <v>52</v>
      </c>
      <c r="M2867" s="19">
        <v>67.0</v>
      </c>
      <c r="N2867" s="19">
        <v>31.0</v>
      </c>
    </row>
    <row r="2868">
      <c r="A2868" s="12">
        <v>2866.0</v>
      </c>
      <c r="B2868" s="13" t="s">
        <v>5448</v>
      </c>
      <c r="C2868" s="14">
        <v>76.0</v>
      </c>
      <c r="D2868" s="15" t="s">
        <v>5450</v>
      </c>
      <c r="E2868" s="16" t="s">
        <v>52</v>
      </c>
      <c r="F2868" s="13" t="s">
        <v>3505</v>
      </c>
      <c r="G2868" s="13" t="s">
        <v>5509</v>
      </c>
      <c r="H2868" s="13" t="s">
        <v>5510</v>
      </c>
      <c r="I2868" s="13" t="s">
        <v>63</v>
      </c>
      <c r="J2868" s="17" t="s">
        <v>71</v>
      </c>
      <c r="K2868" s="17" t="s">
        <v>58</v>
      </c>
      <c r="L2868" s="18" t="s">
        <v>52</v>
      </c>
      <c r="M2868" s="19">
        <v>67.0</v>
      </c>
      <c r="N2868" s="19">
        <v>31.0</v>
      </c>
    </row>
    <row r="2869">
      <c r="A2869" s="12">
        <v>2867.0</v>
      </c>
      <c r="B2869" s="13" t="s">
        <v>5448</v>
      </c>
      <c r="C2869" s="14">
        <v>77.0</v>
      </c>
      <c r="D2869" s="15" t="s">
        <v>5450</v>
      </c>
      <c r="E2869" s="16" t="s">
        <v>52</v>
      </c>
      <c r="F2869" s="13" t="s">
        <v>1714</v>
      </c>
      <c r="G2869" s="13" t="s">
        <v>4993</v>
      </c>
      <c r="H2869" s="13" t="s">
        <v>5511</v>
      </c>
      <c r="I2869" s="13" t="s">
        <v>63</v>
      </c>
      <c r="J2869" s="17" t="s">
        <v>71</v>
      </c>
      <c r="K2869" s="17" t="s">
        <v>58</v>
      </c>
      <c r="L2869" s="18" t="s">
        <v>52</v>
      </c>
      <c r="M2869" s="19">
        <v>67.0</v>
      </c>
      <c r="N2869" s="19">
        <v>31.0</v>
      </c>
    </row>
    <row r="2870">
      <c r="A2870" s="12">
        <v>2868.0</v>
      </c>
      <c r="B2870" s="13" t="s">
        <v>5448</v>
      </c>
      <c r="C2870" s="14">
        <v>78.0</v>
      </c>
      <c r="D2870" s="15" t="s">
        <v>5450</v>
      </c>
      <c r="E2870" s="16" t="s">
        <v>52</v>
      </c>
      <c r="F2870" s="13" t="s">
        <v>3471</v>
      </c>
      <c r="G2870" s="13" t="s">
        <v>3472</v>
      </c>
      <c r="H2870" s="13" t="s">
        <v>5512</v>
      </c>
      <c r="I2870" s="13" t="s">
        <v>63</v>
      </c>
      <c r="J2870" s="17" t="s">
        <v>71</v>
      </c>
      <c r="K2870" s="17" t="s">
        <v>58</v>
      </c>
      <c r="L2870" s="18" t="s">
        <v>52</v>
      </c>
      <c r="M2870" s="19">
        <v>67.0</v>
      </c>
      <c r="N2870" s="19">
        <v>31.0</v>
      </c>
    </row>
    <row r="2871">
      <c r="A2871" s="12">
        <v>2869.0</v>
      </c>
      <c r="B2871" s="13" t="s">
        <v>5448</v>
      </c>
      <c r="C2871" s="14">
        <v>79.0</v>
      </c>
      <c r="D2871" s="15" t="s">
        <v>5450</v>
      </c>
      <c r="E2871" s="16" t="s">
        <v>52</v>
      </c>
      <c r="F2871" s="13" t="s">
        <v>68</v>
      </c>
      <c r="G2871" s="13" t="s">
        <v>69</v>
      </c>
      <c r="H2871" s="13" t="s">
        <v>5513</v>
      </c>
      <c r="I2871" s="13" t="s">
        <v>63</v>
      </c>
      <c r="J2871" s="17" t="s">
        <v>71</v>
      </c>
      <c r="K2871" s="17" t="s">
        <v>58</v>
      </c>
      <c r="L2871" s="18" t="s">
        <v>52</v>
      </c>
      <c r="M2871" s="19">
        <v>67.0</v>
      </c>
      <c r="N2871" s="19">
        <v>31.0</v>
      </c>
    </row>
    <row r="2872">
      <c r="A2872" s="12">
        <v>2870.0</v>
      </c>
      <c r="B2872" s="13" t="s">
        <v>5448</v>
      </c>
      <c r="C2872" s="14">
        <v>80.0</v>
      </c>
      <c r="D2872" s="15" t="s">
        <v>5450</v>
      </c>
      <c r="E2872" s="16" t="s">
        <v>52</v>
      </c>
      <c r="F2872" s="13" t="s">
        <v>2657</v>
      </c>
      <c r="G2872" s="13" t="s">
        <v>3711</v>
      </c>
      <c r="H2872" s="13" t="s">
        <v>5514</v>
      </c>
      <c r="I2872" s="13" t="s">
        <v>63</v>
      </c>
      <c r="J2872" s="17" t="s">
        <v>71</v>
      </c>
      <c r="K2872" s="17" t="s">
        <v>58</v>
      </c>
      <c r="L2872" s="18" t="s">
        <v>52</v>
      </c>
      <c r="M2872" s="19">
        <v>67.0</v>
      </c>
      <c r="N2872" s="19">
        <v>31.0</v>
      </c>
    </row>
    <row r="2873">
      <c r="A2873" s="12">
        <v>2871.0</v>
      </c>
      <c r="B2873" s="13" t="s">
        <v>5448</v>
      </c>
      <c r="C2873" s="14">
        <v>81.0</v>
      </c>
      <c r="D2873" s="15" t="s">
        <v>5450</v>
      </c>
      <c r="E2873" s="16" t="s">
        <v>52</v>
      </c>
      <c r="F2873" s="13" t="s">
        <v>1716</v>
      </c>
      <c r="G2873" s="13" t="s">
        <v>61</v>
      </c>
      <c r="H2873" s="13" t="s">
        <v>3516</v>
      </c>
      <c r="I2873" s="13" t="s">
        <v>63</v>
      </c>
      <c r="J2873" s="17" t="s">
        <v>71</v>
      </c>
      <c r="K2873" s="17" t="s">
        <v>58</v>
      </c>
      <c r="L2873" s="18" t="s">
        <v>52</v>
      </c>
      <c r="M2873" s="19">
        <v>67.0</v>
      </c>
      <c r="N2873" s="19">
        <v>31.0</v>
      </c>
    </row>
    <row r="2874">
      <c r="A2874" s="12">
        <v>2872.0</v>
      </c>
      <c r="B2874" s="13" t="s">
        <v>5448</v>
      </c>
      <c r="C2874" s="14">
        <v>82.0</v>
      </c>
      <c r="D2874" s="15" t="s">
        <v>5450</v>
      </c>
      <c r="E2874" s="16" t="s">
        <v>52</v>
      </c>
      <c r="F2874" s="13" t="s">
        <v>1839</v>
      </c>
      <c r="G2874" s="13" t="s">
        <v>5516</v>
      </c>
      <c r="H2874" s="13" t="s">
        <v>5517</v>
      </c>
      <c r="I2874" s="13" t="s">
        <v>63</v>
      </c>
      <c r="J2874" s="17" t="s">
        <v>71</v>
      </c>
      <c r="K2874" s="17" t="s">
        <v>58</v>
      </c>
      <c r="L2874" s="18" t="s">
        <v>52</v>
      </c>
      <c r="M2874" s="19">
        <v>67.0</v>
      </c>
      <c r="N2874" s="19">
        <v>31.0</v>
      </c>
    </row>
    <row r="2875">
      <c r="A2875" s="12">
        <v>2873.0</v>
      </c>
      <c r="B2875" s="13" t="s">
        <v>5448</v>
      </c>
      <c r="C2875" s="14">
        <v>83.0</v>
      </c>
      <c r="D2875" s="15" t="s">
        <v>5450</v>
      </c>
      <c r="E2875" s="16" t="s">
        <v>52</v>
      </c>
      <c r="F2875" s="13" t="s">
        <v>78</v>
      </c>
      <c r="G2875" s="13" t="s">
        <v>4547</v>
      </c>
      <c r="H2875" s="13" t="s">
        <v>5518</v>
      </c>
      <c r="I2875" s="13" t="s">
        <v>63</v>
      </c>
      <c r="J2875" s="17" t="s">
        <v>71</v>
      </c>
      <c r="K2875" s="17" t="s">
        <v>58</v>
      </c>
      <c r="L2875" s="18" t="s">
        <v>52</v>
      </c>
      <c r="M2875" s="19">
        <v>67.0</v>
      </c>
      <c r="N2875" s="19">
        <v>31.0</v>
      </c>
    </row>
    <row r="2876">
      <c r="A2876" s="12">
        <v>2874.0</v>
      </c>
      <c r="B2876" s="13" t="s">
        <v>5448</v>
      </c>
      <c r="C2876" s="14">
        <v>84.0</v>
      </c>
      <c r="D2876" s="15" t="s">
        <v>5450</v>
      </c>
      <c r="E2876" s="16" t="s">
        <v>52</v>
      </c>
      <c r="F2876" s="13" t="s">
        <v>94</v>
      </c>
      <c r="G2876" s="13" t="s">
        <v>5519</v>
      </c>
      <c r="H2876" s="13" t="s">
        <v>5520</v>
      </c>
      <c r="I2876" s="13" t="s">
        <v>63</v>
      </c>
      <c r="J2876" s="17" t="s">
        <v>71</v>
      </c>
      <c r="K2876" s="17" t="s">
        <v>58</v>
      </c>
      <c r="L2876" s="18" t="s">
        <v>52</v>
      </c>
      <c r="M2876" s="19">
        <v>67.0</v>
      </c>
      <c r="N2876" s="19">
        <v>31.0</v>
      </c>
    </row>
    <row r="2877">
      <c r="A2877" s="12">
        <v>2875.0</v>
      </c>
      <c r="B2877" s="13" t="s">
        <v>5448</v>
      </c>
      <c r="C2877" s="14">
        <v>85.0</v>
      </c>
      <c r="D2877" s="15" t="s">
        <v>5450</v>
      </c>
      <c r="E2877" s="16" t="s">
        <v>52</v>
      </c>
      <c r="F2877" s="13" t="s">
        <v>5172</v>
      </c>
      <c r="G2877" s="13" t="s">
        <v>5521</v>
      </c>
      <c r="H2877" s="13" t="s">
        <v>5522</v>
      </c>
      <c r="I2877" s="13" t="s">
        <v>63</v>
      </c>
      <c r="J2877" s="17" t="s">
        <v>71</v>
      </c>
      <c r="K2877" s="17" t="s">
        <v>58</v>
      </c>
      <c r="L2877" s="18" t="s">
        <v>52</v>
      </c>
      <c r="M2877" s="19">
        <v>67.0</v>
      </c>
      <c r="N2877" s="19">
        <v>31.0</v>
      </c>
    </row>
    <row r="2878">
      <c r="A2878" s="12">
        <v>2876.0</v>
      </c>
      <c r="B2878" s="13" t="s">
        <v>5448</v>
      </c>
      <c r="C2878" s="14">
        <v>86.0</v>
      </c>
      <c r="D2878" s="15" t="s">
        <v>5450</v>
      </c>
      <c r="E2878" s="16" t="s">
        <v>52</v>
      </c>
      <c r="F2878" s="13" t="s">
        <v>2595</v>
      </c>
      <c r="G2878" s="13" t="s">
        <v>5374</v>
      </c>
      <c r="H2878" s="13" t="s">
        <v>5523</v>
      </c>
      <c r="I2878" s="13" t="s">
        <v>63</v>
      </c>
      <c r="J2878" s="17" t="s">
        <v>71</v>
      </c>
      <c r="K2878" s="17" t="s">
        <v>58</v>
      </c>
      <c r="L2878" s="18" t="s">
        <v>52</v>
      </c>
      <c r="M2878" s="19">
        <v>67.0</v>
      </c>
      <c r="N2878" s="19">
        <v>31.0</v>
      </c>
    </row>
    <row r="2879">
      <c r="A2879" s="12">
        <v>2877.0</v>
      </c>
      <c r="B2879" s="13" t="s">
        <v>5448</v>
      </c>
      <c r="C2879" s="14">
        <v>87.0</v>
      </c>
      <c r="D2879" s="15" t="s">
        <v>5450</v>
      </c>
      <c r="E2879" s="16" t="s">
        <v>52</v>
      </c>
      <c r="F2879" s="13" t="s">
        <v>1335</v>
      </c>
      <c r="G2879" s="13" t="s">
        <v>4007</v>
      </c>
      <c r="H2879" s="13" t="s">
        <v>5116</v>
      </c>
      <c r="I2879" s="13" t="s">
        <v>63</v>
      </c>
      <c r="J2879" s="17" t="s">
        <v>71</v>
      </c>
      <c r="K2879" s="17" t="s">
        <v>58</v>
      </c>
      <c r="L2879" s="18" t="s">
        <v>52</v>
      </c>
      <c r="M2879" s="19">
        <v>67.0</v>
      </c>
      <c r="N2879" s="19">
        <v>31.0</v>
      </c>
    </row>
    <row r="2880">
      <c r="A2880" s="12">
        <v>2878.0</v>
      </c>
      <c r="B2880" s="13" t="s">
        <v>5448</v>
      </c>
      <c r="C2880" s="14">
        <v>88.0</v>
      </c>
      <c r="D2880" s="15" t="s">
        <v>5450</v>
      </c>
      <c r="E2880" s="16" t="s">
        <v>52</v>
      </c>
      <c r="F2880" s="13" t="s">
        <v>1475</v>
      </c>
      <c r="G2880" s="13" t="s">
        <v>5524</v>
      </c>
      <c r="H2880" s="13" t="s">
        <v>5525</v>
      </c>
      <c r="I2880" s="13" t="s">
        <v>63</v>
      </c>
      <c r="J2880" s="17" t="s">
        <v>71</v>
      </c>
      <c r="K2880" s="17" t="s">
        <v>58</v>
      </c>
      <c r="L2880" s="18" t="s">
        <v>52</v>
      </c>
      <c r="M2880" s="19">
        <v>67.0</v>
      </c>
      <c r="N2880" s="19">
        <v>31.0</v>
      </c>
    </row>
    <row r="2881">
      <c r="A2881" s="12">
        <v>2879.0</v>
      </c>
      <c r="B2881" s="13" t="s">
        <v>5448</v>
      </c>
      <c r="C2881" s="14">
        <v>89.0</v>
      </c>
      <c r="D2881" s="15" t="s">
        <v>5450</v>
      </c>
      <c r="E2881" s="16" t="s">
        <v>52</v>
      </c>
      <c r="F2881" s="13" t="s">
        <v>341</v>
      </c>
      <c r="G2881" s="13" t="s">
        <v>5526</v>
      </c>
      <c r="H2881" s="13" t="s">
        <v>5517</v>
      </c>
      <c r="I2881" s="13" t="s">
        <v>63</v>
      </c>
      <c r="J2881" s="17" t="s">
        <v>71</v>
      </c>
      <c r="K2881" s="17" t="s">
        <v>58</v>
      </c>
      <c r="L2881" s="18" t="s">
        <v>52</v>
      </c>
      <c r="M2881" s="19">
        <v>67.0</v>
      </c>
      <c r="N2881" s="19">
        <v>31.0</v>
      </c>
    </row>
    <row r="2882">
      <c r="A2882" s="12">
        <v>2880.0</v>
      </c>
      <c r="B2882" s="13" t="s">
        <v>5448</v>
      </c>
      <c r="C2882" s="14">
        <v>90.0</v>
      </c>
      <c r="D2882" s="15" t="s">
        <v>5450</v>
      </c>
      <c r="E2882" s="16" t="s">
        <v>52</v>
      </c>
      <c r="F2882" s="13" t="s">
        <v>4055</v>
      </c>
      <c r="G2882" s="13" t="s">
        <v>4745</v>
      </c>
      <c r="H2882" s="13" t="s">
        <v>5527</v>
      </c>
      <c r="I2882" s="13" t="s">
        <v>63</v>
      </c>
      <c r="J2882" s="17" t="s">
        <v>71</v>
      </c>
      <c r="K2882" s="17" t="s">
        <v>58</v>
      </c>
      <c r="L2882" s="18" t="s">
        <v>52</v>
      </c>
      <c r="M2882" s="19">
        <v>67.0</v>
      </c>
      <c r="N2882" s="19">
        <v>31.0</v>
      </c>
    </row>
    <row r="2883">
      <c r="A2883" s="12">
        <v>2881.0</v>
      </c>
      <c r="B2883" s="13" t="s">
        <v>5448</v>
      </c>
      <c r="C2883" s="14">
        <v>91.0</v>
      </c>
      <c r="D2883" s="15" t="s">
        <v>5450</v>
      </c>
      <c r="E2883" s="16" t="s">
        <v>52</v>
      </c>
      <c r="F2883" s="13" t="s">
        <v>270</v>
      </c>
      <c r="G2883" s="13" t="s">
        <v>5528</v>
      </c>
      <c r="H2883" s="13" t="s">
        <v>5517</v>
      </c>
      <c r="I2883" s="13" t="s">
        <v>63</v>
      </c>
      <c r="J2883" s="17" t="s">
        <v>71</v>
      </c>
      <c r="K2883" s="17" t="s">
        <v>58</v>
      </c>
      <c r="L2883" s="18" t="s">
        <v>52</v>
      </c>
      <c r="M2883" s="19">
        <v>67.0</v>
      </c>
      <c r="N2883" s="19">
        <v>31.0</v>
      </c>
    </row>
    <row r="2884">
      <c r="A2884" s="12">
        <v>2882.0</v>
      </c>
      <c r="B2884" s="13" t="s">
        <v>5448</v>
      </c>
      <c r="C2884" s="14">
        <v>92.0</v>
      </c>
      <c r="D2884" s="15" t="s">
        <v>5450</v>
      </c>
      <c r="E2884" s="16" t="s">
        <v>52</v>
      </c>
      <c r="F2884" s="13" t="s">
        <v>4493</v>
      </c>
      <c r="G2884" s="13" t="s">
        <v>5529</v>
      </c>
      <c r="H2884" s="13" t="s">
        <v>5530</v>
      </c>
      <c r="I2884" s="13" t="s">
        <v>63</v>
      </c>
      <c r="J2884" s="17" t="s">
        <v>71</v>
      </c>
      <c r="K2884" s="17" t="s">
        <v>58</v>
      </c>
      <c r="L2884" s="18" t="s">
        <v>52</v>
      </c>
      <c r="M2884" s="19">
        <v>67.0</v>
      </c>
      <c r="N2884" s="19">
        <v>31.0</v>
      </c>
    </row>
    <row r="2885">
      <c r="A2885" s="12">
        <v>2883.0</v>
      </c>
      <c r="B2885" s="13" t="s">
        <v>5448</v>
      </c>
      <c r="C2885" s="14">
        <v>93.0</v>
      </c>
      <c r="D2885" s="15" t="s">
        <v>5450</v>
      </c>
      <c r="E2885" s="16" t="s">
        <v>52</v>
      </c>
      <c r="F2885" s="13" t="s">
        <v>953</v>
      </c>
      <c r="G2885" s="13" t="s">
        <v>5247</v>
      </c>
      <c r="H2885" s="13" t="s">
        <v>5248</v>
      </c>
      <c r="I2885" s="13" t="s">
        <v>63</v>
      </c>
      <c r="J2885" s="17" t="s">
        <v>71</v>
      </c>
      <c r="K2885" s="17" t="s">
        <v>58</v>
      </c>
      <c r="L2885" s="18" t="s">
        <v>52</v>
      </c>
      <c r="M2885" s="19">
        <v>67.0</v>
      </c>
      <c r="N2885" s="19">
        <v>31.0</v>
      </c>
    </row>
    <row r="2886">
      <c r="A2886" s="12">
        <v>2884.0</v>
      </c>
      <c r="B2886" s="13" t="s">
        <v>5448</v>
      </c>
      <c r="C2886" s="14">
        <v>94.0</v>
      </c>
      <c r="D2886" s="15" t="s">
        <v>5450</v>
      </c>
      <c r="E2886" s="16" t="s">
        <v>52</v>
      </c>
      <c r="F2886" s="13" t="s">
        <v>5531</v>
      </c>
      <c r="G2886" s="13" t="s">
        <v>5532</v>
      </c>
      <c r="H2886" s="13" t="s">
        <v>5533</v>
      </c>
      <c r="I2886" s="13" t="s">
        <v>63</v>
      </c>
      <c r="J2886" s="17" t="s">
        <v>71</v>
      </c>
      <c r="K2886" s="17" t="s">
        <v>58</v>
      </c>
      <c r="L2886" s="18" t="s">
        <v>52</v>
      </c>
      <c r="M2886" s="19">
        <v>67.0</v>
      </c>
      <c r="N2886" s="19">
        <v>31.0</v>
      </c>
    </row>
    <row r="2887">
      <c r="A2887" s="12">
        <v>2885.0</v>
      </c>
      <c r="B2887" s="13" t="s">
        <v>5448</v>
      </c>
      <c r="C2887" s="14">
        <v>95.0</v>
      </c>
      <c r="D2887" s="15" t="s">
        <v>5450</v>
      </c>
      <c r="E2887" s="16" t="s">
        <v>52</v>
      </c>
      <c r="F2887" s="13" t="s">
        <v>700</v>
      </c>
      <c r="G2887" s="13" t="s">
        <v>5534</v>
      </c>
      <c r="H2887" s="13" t="s">
        <v>5535</v>
      </c>
      <c r="I2887" s="13" t="s">
        <v>63</v>
      </c>
      <c r="J2887" s="17" t="s">
        <v>71</v>
      </c>
      <c r="K2887" s="17" t="s">
        <v>58</v>
      </c>
      <c r="L2887" s="18" t="s">
        <v>52</v>
      </c>
      <c r="M2887" s="19">
        <v>67.0</v>
      </c>
      <c r="N2887" s="19">
        <v>31.0</v>
      </c>
    </row>
    <row r="2888">
      <c r="A2888" s="12">
        <v>2886.0</v>
      </c>
      <c r="B2888" s="13" t="s">
        <v>5448</v>
      </c>
      <c r="C2888" s="14">
        <v>96.0</v>
      </c>
      <c r="D2888" s="15" t="s">
        <v>5450</v>
      </c>
      <c r="E2888" s="16" t="s">
        <v>52</v>
      </c>
      <c r="F2888" s="13" t="s">
        <v>2239</v>
      </c>
      <c r="G2888" s="13" t="s">
        <v>2240</v>
      </c>
      <c r="H2888" s="13" t="s">
        <v>5536</v>
      </c>
      <c r="I2888" s="13" t="s">
        <v>63</v>
      </c>
      <c r="J2888" s="17" t="s">
        <v>71</v>
      </c>
      <c r="K2888" s="17" t="s">
        <v>58</v>
      </c>
      <c r="L2888" s="18" t="s">
        <v>52</v>
      </c>
      <c r="M2888" s="19">
        <v>67.0</v>
      </c>
      <c r="N2888" s="19">
        <v>31.0</v>
      </c>
    </row>
    <row r="2889">
      <c r="A2889" s="12">
        <v>2887.0</v>
      </c>
      <c r="B2889" s="13" t="s">
        <v>5448</v>
      </c>
      <c r="C2889" s="14">
        <v>97.0</v>
      </c>
      <c r="D2889" s="15" t="s">
        <v>5450</v>
      </c>
      <c r="E2889" s="16" t="s">
        <v>52</v>
      </c>
      <c r="F2889" s="13" t="s">
        <v>4756</v>
      </c>
      <c r="G2889" s="13" t="s">
        <v>5412</v>
      </c>
      <c r="H2889" s="13" t="s">
        <v>5537</v>
      </c>
      <c r="I2889" s="13" t="s">
        <v>63</v>
      </c>
      <c r="J2889" s="17" t="s">
        <v>71</v>
      </c>
      <c r="K2889" s="17" t="s">
        <v>58</v>
      </c>
      <c r="L2889" s="18" t="s">
        <v>52</v>
      </c>
      <c r="M2889" s="19">
        <v>67.0</v>
      </c>
      <c r="N2889" s="19">
        <v>31.0</v>
      </c>
    </row>
    <row r="2890">
      <c r="A2890" s="12">
        <v>2888.0</v>
      </c>
      <c r="B2890" s="13" t="s">
        <v>5448</v>
      </c>
      <c r="C2890" s="14">
        <v>98.0</v>
      </c>
      <c r="D2890" s="15" t="s">
        <v>5450</v>
      </c>
      <c r="E2890" s="16" t="s">
        <v>52</v>
      </c>
      <c r="F2890" s="13" t="s">
        <v>722</v>
      </c>
      <c r="G2890" s="13" t="s">
        <v>5538</v>
      </c>
      <c r="H2890" s="13" t="s">
        <v>5535</v>
      </c>
      <c r="I2890" s="13" t="s">
        <v>63</v>
      </c>
      <c r="J2890" s="17" t="s">
        <v>71</v>
      </c>
      <c r="K2890" s="17" t="s">
        <v>58</v>
      </c>
      <c r="L2890" s="18" t="s">
        <v>52</v>
      </c>
      <c r="M2890" s="19">
        <v>67.0</v>
      </c>
      <c r="N2890" s="19">
        <v>31.0</v>
      </c>
    </row>
    <row r="2891">
      <c r="A2891" s="12">
        <v>2889.0</v>
      </c>
      <c r="B2891" s="13" t="s">
        <v>5448</v>
      </c>
      <c r="C2891" s="14">
        <v>99.0</v>
      </c>
      <c r="D2891" s="15" t="s">
        <v>5450</v>
      </c>
      <c r="E2891" s="16" t="s">
        <v>52</v>
      </c>
      <c r="F2891" s="13" t="s">
        <v>2953</v>
      </c>
      <c r="G2891" s="13" t="s">
        <v>4251</v>
      </c>
      <c r="H2891" s="13" t="s">
        <v>5535</v>
      </c>
      <c r="I2891" s="13" t="s">
        <v>63</v>
      </c>
      <c r="J2891" s="17" t="s">
        <v>71</v>
      </c>
      <c r="K2891" s="17" t="s">
        <v>58</v>
      </c>
      <c r="L2891" s="18" t="s">
        <v>52</v>
      </c>
      <c r="M2891" s="19">
        <v>67.0</v>
      </c>
      <c r="N2891" s="19">
        <v>31.0</v>
      </c>
    </row>
    <row r="2892">
      <c r="A2892" s="12">
        <v>2890.0</v>
      </c>
      <c r="B2892" s="13" t="s">
        <v>5448</v>
      </c>
      <c r="C2892" s="14">
        <v>100.0</v>
      </c>
      <c r="D2892" s="15" t="s">
        <v>5450</v>
      </c>
      <c r="E2892" s="16" t="s">
        <v>52</v>
      </c>
      <c r="F2892" s="13" t="s">
        <v>632</v>
      </c>
      <c r="G2892" s="13" t="s">
        <v>2807</v>
      </c>
      <c r="H2892" s="13" t="s">
        <v>5535</v>
      </c>
      <c r="I2892" s="13" t="s">
        <v>63</v>
      </c>
      <c r="J2892" s="17" t="s">
        <v>71</v>
      </c>
      <c r="K2892" s="17" t="s">
        <v>58</v>
      </c>
      <c r="L2892" s="18" t="s">
        <v>52</v>
      </c>
      <c r="M2892" s="19">
        <v>67.0</v>
      </c>
      <c r="N2892" s="19">
        <v>31.0</v>
      </c>
    </row>
    <row r="2893">
      <c r="A2893" s="12">
        <v>2891.0</v>
      </c>
      <c r="B2893" s="13" t="s">
        <v>1293</v>
      </c>
      <c r="C2893" s="14">
        <v>1.0</v>
      </c>
      <c r="D2893" s="15" t="s">
        <v>5539</v>
      </c>
      <c r="E2893" s="16" t="s">
        <v>221</v>
      </c>
      <c r="F2893" s="13" t="s">
        <v>201</v>
      </c>
      <c r="G2893" s="13" t="s">
        <v>4498</v>
      </c>
      <c r="H2893" s="13" t="s">
        <v>4499</v>
      </c>
      <c r="I2893" s="13" t="s">
        <v>63</v>
      </c>
      <c r="J2893" s="17" t="s">
        <v>57</v>
      </c>
      <c r="K2893" s="17" t="s">
        <v>58</v>
      </c>
      <c r="L2893" s="18" t="s">
        <v>52</v>
      </c>
      <c r="M2893" s="19">
        <v>68.0</v>
      </c>
      <c r="N2893" s="19">
        <v>11.0</v>
      </c>
    </row>
    <row r="2894">
      <c r="A2894" s="12">
        <v>2892.0</v>
      </c>
      <c r="B2894" s="13" t="s">
        <v>1293</v>
      </c>
      <c r="C2894" s="14">
        <v>2.0</v>
      </c>
      <c r="D2894" s="15" t="s">
        <v>5540</v>
      </c>
      <c r="E2894" s="16" t="s">
        <v>221</v>
      </c>
      <c r="F2894" s="13" t="s">
        <v>5372</v>
      </c>
      <c r="G2894" s="13" t="s">
        <v>61</v>
      </c>
      <c r="H2894" s="13" t="s">
        <v>5373</v>
      </c>
      <c r="I2894" s="13" t="s">
        <v>63</v>
      </c>
      <c r="J2894" s="17" t="s">
        <v>57</v>
      </c>
      <c r="K2894" s="17" t="s">
        <v>58</v>
      </c>
      <c r="L2894" s="18" t="s">
        <v>52</v>
      </c>
      <c r="M2894" s="19">
        <v>68.0</v>
      </c>
      <c r="N2894" s="19">
        <v>11.0</v>
      </c>
    </row>
    <row r="2895">
      <c r="A2895" s="12">
        <v>2893.0</v>
      </c>
      <c r="B2895" s="13" t="s">
        <v>1293</v>
      </c>
      <c r="C2895" s="14">
        <v>3.0</v>
      </c>
      <c r="D2895" s="15" t="s">
        <v>5541</v>
      </c>
      <c r="E2895" s="16" t="s">
        <v>221</v>
      </c>
      <c r="F2895" s="13" t="s">
        <v>4868</v>
      </c>
      <c r="G2895" s="13" t="s">
        <v>195</v>
      </c>
      <c r="H2895" s="13" t="s">
        <v>5542</v>
      </c>
      <c r="I2895" s="13" t="s">
        <v>63</v>
      </c>
      <c r="J2895" s="17" t="s">
        <v>57</v>
      </c>
      <c r="K2895" s="17" t="s">
        <v>58</v>
      </c>
      <c r="L2895" s="18" t="s">
        <v>52</v>
      </c>
      <c r="M2895" s="19">
        <v>68.0</v>
      </c>
      <c r="N2895" s="19">
        <v>11.0</v>
      </c>
    </row>
    <row r="2896">
      <c r="A2896" s="12">
        <v>2894.0</v>
      </c>
      <c r="B2896" s="13" t="s">
        <v>1293</v>
      </c>
      <c r="C2896" s="14">
        <v>4.0</v>
      </c>
      <c r="D2896" s="15" t="s">
        <v>5543</v>
      </c>
      <c r="E2896" s="16" t="s">
        <v>221</v>
      </c>
      <c r="F2896" s="13" t="s">
        <v>1509</v>
      </c>
      <c r="G2896" s="13" t="s">
        <v>61</v>
      </c>
      <c r="H2896" s="13" t="s">
        <v>5544</v>
      </c>
      <c r="I2896" s="13" t="s">
        <v>63</v>
      </c>
      <c r="J2896" s="17" t="s">
        <v>57</v>
      </c>
      <c r="K2896" s="17" t="s">
        <v>58</v>
      </c>
      <c r="L2896" s="18" t="s">
        <v>5545</v>
      </c>
      <c r="M2896" s="19">
        <v>68.0</v>
      </c>
      <c r="N2896" s="19">
        <v>11.0</v>
      </c>
    </row>
    <row r="2897">
      <c r="A2897" s="12">
        <v>2895.0</v>
      </c>
      <c r="B2897" s="13" t="s">
        <v>1293</v>
      </c>
      <c r="C2897" s="14">
        <v>5.0</v>
      </c>
      <c r="D2897" s="15" t="s">
        <v>5546</v>
      </c>
      <c r="E2897" s="16" t="s">
        <v>221</v>
      </c>
      <c r="F2897" s="13" t="s">
        <v>3022</v>
      </c>
      <c r="G2897" s="13" t="s">
        <v>5547</v>
      </c>
      <c r="H2897" s="13" t="s">
        <v>5548</v>
      </c>
      <c r="I2897" s="13" t="s">
        <v>56</v>
      </c>
      <c r="J2897" s="17" t="s">
        <v>67</v>
      </c>
      <c r="K2897" s="17" t="s">
        <v>58</v>
      </c>
      <c r="L2897" s="18" t="s">
        <v>52</v>
      </c>
      <c r="M2897" s="19">
        <v>68.0</v>
      </c>
      <c r="N2897" s="19">
        <v>20.0</v>
      </c>
    </row>
    <row r="2898">
      <c r="A2898" s="12">
        <v>2896.0</v>
      </c>
      <c r="B2898" s="13" t="s">
        <v>1293</v>
      </c>
      <c r="C2898" s="14">
        <v>6.0</v>
      </c>
      <c r="D2898" s="15" t="s">
        <v>5546</v>
      </c>
      <c r="E2898" s="16" t="s">
        <v>221</v>
      </c>
      <c r="F2898" s="13" t="s">
        <v>471</v>
      </c>
      <c r="G2898" s="13" t="s">
        <v>61</v>
      </c>
      <c r="H2898" s="13" t="s">
        <v>5549</v>
      </c>
      <c r="I2898" s="13" t="s">
        <v>56</v>
      </c>
      <c r="J2898" s="17" t="s">
        <v>67</v>
      </c>
      <c r="K2898" s="17" t="s">
        <v>58</v>
      </c>
      <c r="L2898" s="18" t="s">
        <v>52</v>
      </c>
      <c r="M2898" s="19">
        <v>68.0</v>
      </c>
      <c r="N2898" s="19">
        <v>20.0</v>
      </c>
    </row>
    <row r="2899">
      <c r="A2899" s="12">
        <v>2897.0</v>
      </c>
      <c r="B2899" s="13" t="s">
        <v>1293</v>
      </c>
      <c r="C2899" s="14">
        <v>7.0</v>
      </c>
      <c r="D2899" s="15" t="s">
        <v>5546</v>
      </c>
      <c r="E2899" s="16" t="s">
        <v>221</v>
      </c>
      <c r="F2899" s="13" t="s">
        <v>4449</v>
      </c>
      <c r="G2899" s="13" t="s">
        <v>61</v>
      </c>
      <c r="H2899" s="13" t="s">
        <v>5550</v>
      </c>
      <c r="I2899" s="13" t="s">
        <v>56</v>
      </c>
      <c r="J2899" s="17" t="s">
        <v>67</v>
      </c>
      <c r="K2899" s="17" t="s">
        <v>58</v>
      </c>
      <c r="L2899" s="18" t="s">
        <v>52</v>
      </c>
      <c r="M2899" s="19">
        <v>68.0</v>
      </c>
      <c r="N2899" s="19">
        <v>20.0</v>
      </c>
    </row>
    <row r="2900">
      <c r="A2900" s="12">
        <v>2898.0</v>
      </c>
      <c r="B2900" s="13" t="s">
        <v>1293</v>
      </c>
      <c r="C2900" s="14">
        <v>8.0</v>
      </c>
      <c r="D2900" s="15" t="s">
        <v>5546</v>
      </c>
      <c r="E2900" s="16" t="s">
        <v>221</v>
      </c>
      <c r="F2900" s="13" t="s">
        <v>845</v>
      </c>
      <c r="G2900" s="13" t="s">
        <v>5551</v>
      </c>
      <c r="H2900" s="13" t="s">
        <v>5552</v>
      </c>
      <c r="I2900" s="13" t="s">
        <v>56</v>
      </c>
      <c r="J2900" s="17" t="s">
        <v>67</v>
      </c>
      <c r="K2900" s="17" t="s">
        <v>58</v>
      </c>
      <c r="L2900" s="18" t="s">
        <v>52</v>
      </c>
      <c r="M2900" s="19">
        <v>68.0</v>
      </c>
      <c r="N2900" s="19">
        <v>20.0</v>
      </c>
    </row>
    <row r="2901">
      <c r="A2901" s="12">
        <v>2899.0</v>
      </c>
      <c r="B2901" s="13" t="s">
        <v>1293</v>
      </c>
      <c r="C2901" s="14">
        <v>9.0</v>
      </c>
      <c r="D2901" s="15" t="s">
        <v>5546</v>
      </c>
      <c r="E2901" s="16" t="s">
        <v>221</v>
      </c>
      <c r="F2901" s="13" t="s">
        <v>2515</v>
      </c>
      <c r="G2901" s="13" t="s">
        <v>61</v>
      </c>
      <c r="H2901" s="13" t="s">
        <v>5553</v>
      </c>
      <c r="I2901" s="13" t="s">
        <v>56</v>
      </c>
      <c r="J2901" s="17" t="s">
        <v>67</v>
      </c>
      <c r="K2901" s="17" t="s">
        <v>58</v>
      </c>
      <c r="L2901" s="18" t="s">
        <v>52</v>
      </c>
      <c r="M2901" s="19">
        <v>68.0</v>
      </c>
      <c r="N2901" s="19">
        <v>20.0</v>
      </c>
    </row>
    <row r="2902">
      <c r="A2902" s="12">
        <v>2900.0</v>
      </c>
      <c r="B2902" s="13" t="s">
        <v>1293</v>
      </c>
      <c r="C2902" s="14">
        <v>10.0</v>
      </c>
      <c r="D2902" s="15" t="s">
        <v>5546</v>
      </c>
      <c r="E2902" s="16" t="s">
        <v>221</v>
      </c>
      <c r="F2902" s="13" t="s">
        <v>3495</v>
      </c>
      <c r="G2902" s="13" t="s">
        <v>5554</v>
      </c>
      <c r="H2902" s="13" t="s">
        <v>5555</v>
      </c>
      <c r="I2902" s="13" t="s">
        <v>56</v>
      </c>
      <c r="J2902" s="17" t="s">
        <v>67</v>
      </c>
      <c r="K2902" s="17" t="s">
        <v>58</v>
      </c>
      <c r="L2902" s="18" t="s">
        <v>52</v>
      </c>
      <c r="M2902" s="19">
        <v>68.0</v>
      </c>
      <c r="N2902" s="19">
        <v>20.0</v>
      </c>
    </row>
    <row r="2903">
      <c r="A2903" s="12">
        <v>2901.0</v>
      </c>
      <c r="B2903" s="13" t="s">
        <v>1293</v>
      </c>
      <c r="C2903" s="14">
        <v>11.0</v>
      </c>
      <c r="D2903" s="15" t="s">
        <v>5546</v>
      </c>
      <c r="E2903" s="16" t="s">
        <v>221</v>
      </c>
      <c r="F2903" s="13" t="s">
        <v>5556</v>
      </c>
      <c r="G2903" s="13" t="s">
        <v>5557</v>
      </c>
      <c r="H2903" s="13" t="s">
        <v>5558</v>
      </c>
      <c r="I2903" s="13" t="s">
        <v>56</v>
      </c>
      <c r="J2903" s="17" t="s">
        <v>67</v>
      </c>
      <c r="K2903" s="17" t="s">
        <v>58</v>
      </c>
      <c r="L2903" s="18" t="s">
        <v>52</v>
      </c>
      <c r="M2903" s="19">
        <v>68.0</v>
      </c>
      <c r="N2903" s="19">
        <v>20.0</v>
      </c>
    </row>
    <row r="2904">
      <c r="A2904" s="12">
        <v>2902.0</v>
      </c>
      <c r="B2904" s="13" t="s">
        <v>1293</v>
      </c>
      <c r="C2904" s="14">
        <v>12.0</v>
      </c>
      <c r="D2904" s="15" t="s">
        <v>5546</v>
      </c>
      <c r="E2904" s="16" t="s">
        <v>221</v>
      </c>
      <c r="F2904" s="13" t="s">
        <v>541</v>
      </c>
      <c r="G2904" s="13" t="s">
        <v>944</v>
      </c>
      <c r="H2904" s="13" t="s">
        <v>5559</v>
      </c>
      <c r="I2904" s="13" t="s">
        <v>56</v>
      </c>
      <c r="J2904" s="17" t="s">
        <v>67</v>
      </c>
      <c r="K2904" s="17" t="s">
        <v>58</v>
      </c>
      <c r="L2904" s="18" t="s">
        <v>52</v>
      </c>
      <c r="M2904" s="19">
        <v>68.0</v>
      </c>
      <c r="N2904" s="19">
        <v>20.0</v>
      </c>
    </row>
    <row r="2905">
      <c r="A2905" s="12">
        <v>2903.0</v>
      </c>
      <c r="B2905" s="13" t="s">
        <v>1293</v>
      </c>
      <c r="C2905" s="14">
        <v>13.0</v>
      </c>
      <c r="D2905" s="15" t="s">
        <v>5546</v>
      </c>
      <c r="E2905" s="16" t="s">
        <v>221</v>
      </c>
      <c r="F2905" s="13" t="s">
        <v>4820</v>
      </c>
      <c r="G2905" s="13" t="s">
        <v>5560</v>
      </c>
      <c r="H2905" s="13" t="s">
        <v>5561</v>
      </c>
      <c r="I2905" s="13" t="s">
        <v>56</v>
      </c>
      <c r="J2905" s="17" t="s">
        <v>67</v>
      </c>
      <c r="K2905" s="17" t="s">
        <v>58</v>
      </c>
      <c r="L2905" s="18" t="s">
        <v>52</v>
      </c>
      <c r="M2905" s="19">
        <v>68.0</v>
      </c>
      <c r="N2905" s="19">
        <v>20.0</v>
      </c>
    </row>
    <row r="2906">
      <c r="A2906" s="12">
        <v>2904.0</v>
      </c>
      <c r="B2906" s="13" t="s">
        <v>1293</v>
      </c>
      <c r="C2906" s="14">
        <v>14.0</v>
      </c>
      <c r="D2906" s="15" t="s">
        <v>5546</v>
      </c>
      <c r="E2906" s="16" t="s">
        <v>221</v>
      </c>
      <c r="F2906" s="13" t="s">
        <v>5562</v>
      </c>
      <c r="G2906" s="13" t="s">
        <v>5563</v>
      </c>
      <c r="H2906" s="13" t="s">
        <v>5564</v>
      </c>
      <c r="I2906" s="13" t="s">
        <v>56</v>
      </c>
      <c r="J2906" s="17" t="s">
        <v>67</v>
      </c>
      <c r="K2906" s="17" t="s">
        <v>58</v>
      </c>
      <c r="L2906" s="18" t="s">
        <v>52</v>
      </c>
      <c r="M2906" s="19">
        <v>68.0</v>
      </c>
      <c r="N2906" s="19">
        <v>20.0</v>
      </c>
    </row>
    <row r="2907">
      <c r="A2907" s="12">
        <v>2905.0</v>
      </c>
      <c r="B2907" s="13" t="s">
        <v>1293</v>
      </c>
      <c r="C2907" s="14">
        <v>15.0</v>
      </c>
      <c r="D2907" s="15" t="s">
        <v>5546</v>
      </c>
      <c r="E2907" s="16" t="s">
        <v>221</v>
      </c>
      <c r="F2907" s="13" t="s">
        <v>888</v>
      </c>
      <c r="G2907" s="13" t="s">
        <v>889</v>
      </c>
      <c r="H2907" s="13" t="s">
        <v>5565</v>
      </c>
      <c r="I2907" s="13" t="s">
        <v>56</v>
      </c>
      <c r="J2907" s="17" t="s">
        <v>67</v>
      </c>
      <c r="K2907" s="17" t="s">
        <v>58</v>
      </c>
      <c r="L2907" s="18" t="s">
        <v>52</v>
      </c>
      <c r="M2907" s="19">
        <v>68.0</v>
      </c>
      <c r="N2907" s="19">
        <v>20.0</v>
      </c>
    </row>
    <row r="2908">
      <c r="A2908" s="12">
        <v>2906.0</v>
      </c>
      <c r="B2908" s="13" t="s">
        <v>1293</v>
      </c>
      <c r="C2908" s="14">
        <v>16.0</v>
      </c>
      <c r="D2908" s="15" t="s">
        <v>5546</v>
      </c>
      <c r="E2908" s="16" t="s">
        <v>221</v>
      </c>
      <c r="F2908" s="13" t="s">
        <v>72</v>
      </c>
      <c r="G2908" s="13" t="s">
        <v>73</v>
      </c>
      <c r="H2908" s="13" t="s">
        <v>5566</v>
      </c>
      <c r="I2908" s="13" t="s">
        <v>56</v>
      </c>
      <c r="J2908" s="17" t="s">
        <v>67</v>
      </c>
      <c r="K2908" s="17" t="s">
        <v>58</v>
      </c>
      <c r="L2908" s="18" t="s">
        <v>52</v>
      </c>
      <c r="M2908" s="19">
        <v>68.0</v>
      </c>
      <c r="N2908" s="19">
        <v>20.0</v>
      </c>
    </row>
    <row r="2909">
      <c r="A2909" s="12">
        <v>2907.0</v>
      </c>
      <c r="B2909" s="13" t="s">
        <v>1293</v>
      </c>
      <c r="C2909" s="14">
        <v>17.0</v>
      </c>
      <c r="D2909" s="15" t="s">
        <v>5546</v>
      </c>
      <c r="E2909" s="16" t="s">
        <v>221</v>
      </c>
      <c r="F2909" s="13" t="s">
        <v>1032</v>
      </c>
      <c r="G2909" s="13" t="s">
        <v>61</v>
      </c>
      <c r="H2909" s="13" t="s">
        <v>5567</v>
      </c>
      <c r="I2909" s="13" t="s">
        <v>56</v>
      </c>
      <c r="J2909" s="17" t="s">
        <v>67</v>
      </c>
      <c r="K2909" s="17" t="s">
        <v>58</v>
      </c>
      <c r="L2909" s="18" t="s">
        <v>52</v>
      </c>
      <c r="M2909" s="19">
        <v>68.0</v>
      </c>
      <c r="N2909" s="19">
        <v>20.0</v>
      </c>
    </row>
    <row r="2910">
      <c r="A2910" s="12">
        <v>2908.0</v>
      </c>
      <c r="B2910" s="13" t="s">
        <v>1293</v>
      </c>
      <c r="C2910" s="14">
        <v>18.0</v>
      </c>
      <c r="D2910" s="15" t="s">
        <v>5546</v>
      </c>
      <c r="E2910" s="16" t="s">
        <v>221</v>
      </c>
      <c r="F2910" s="13" t="s">
        <v>270</v>
      </c>
      <c r="G2910" s="13" t="s">
        <v>939</v>
      </c>
      <c r="H2910" s="13" t="s">
        <v>5568</v>
      </c>
      <c r="I2910" s="13" t="s">
        <v>56</v>
      </c>
      <c r="J2910" s="17" t="s">
        <v>67</v>
      </c>
      <c r="K2910" s="17" t="s">
        <v>58</v>
      </c>
      <c r="L2910" s="18" t="s">
        <v>52</v>
      </c>
      <c r="M2910" s="19">
        <v>68.0</v>
      </c>
      <c r="N2910" s="19">
        <v>20.0</v>
      </c>
    </row>
    <row r="2911">
      <c r="A2911" s="12">
        <v>2909.0</v>
      </c>
      <c r="B2911" s="13" t="s">
        <v>1293</v>
      </c>
      <c r="C2911" s="14">
        <v>19.0</v>
      </c>
      <c r="D2911" s="15" t="s">
        <v>5546</v>
      </c>
      <c r="E2911" s="16" t="s">
        <v>221</v>
      </c>
      <c r="F2911" s="13" t="s">
        <v>1843</v>
      </c>
      <c r="G2911" s="13" t="s">
        <v>5569</v>
      </c>
      <c r="H2911" s="13" t="s">
        <v>5570</v>
      </c>
      <c r="I2911" s="13" t="s">
        <v>56</v>
      </c>
      <c r="J2911" s="17" t="s">
        <v>67</v>
      </c>
      <c r="K2911" s="17" t="s">
        <v>58</v>
      </c>
      <c r="L2911" s="18" t="s">
        <v>52</v>
      </c>
      <c r="M2911" s="19">
        <v>68.0</v>
      </c>
      <c r="N2911" s="19">
        <v>20.0</v>
      </c>
    </row>
    <row r="2912">
      <c r="A2912" s="12">
        <v>2910.0</v>
      </c>
      <c r="B2912" s="13" t="s">
        <v>1293</v>
      </c>
      <c r="C2912" s="14">
        <v>20.0</v>
      </c>
      <c r="D2912" s="15" t="s">
        <v>5546</v>
      </c>
      <c r="E2912" s="16" t="s">
        <v>221</v>
      </c>
      <c r="F2912" s="13" t="s">
        <v>720</v>
      </c>
      <c r="G2912" s="13" t="s">
        <v>5571</v>
      </c>
      <c r="H2912" s="13" t="s">
        <v>5572</v>
      </c>
      <c r="I2912" s="13" t="s">
        <v>56</v>
      </c>
      <c r="J2912" s="17" t="s">
        <v>67</v>
      </c>
      <c r="K2912" s="17" t="s">
        <v>58</v>
      </c>
      <c r="L2912" s="18" t="s">
        <v>52</v>
      </c>
      <c r="M2912" s="19">
        <v>68.0</v>
      </c>
      <c r="N2912" s="19">
        <v>20.0</v>
      </c>
    </row>
    <row r="2913">
      <c r="A2913" s="12">
        <v>2911.0</v>
      </c>
      <c r="B2913" s="13" t="s">
        <v>1293</v>
      </c>
      <c r="C2913" s="14">
        <v>21.0</v>
      </c>
      <c r="D2913" s="15" t="s">
        <v>5546</v>
      </c>
      <c r="E2913" s="16" t="s">
        <v>221</v>
      </c>
      <c r="F2913" s="13" t="s">
        <v>706</v>
      </c>
      <c r="G2913" s="13" t="s">
        <v>5573</v>
      </c>
      <c r="H2913" s="13" t="s">
        <v>5574</v>
      </c>
      <c r="I2913" s="13" t="s">
        <v>56</v>
      </c>
      <c r="J2913" s="17" t="s">
        <v>67</v>
      </c>
      <c r="K2913" s="17" t="s">
        <v>58</v>
      </c>
      <c r="L2913" s="18" t="s">
        <v>52</v>
      </c>
      <c r="M2913" s="19">
        <v>68.0</v>
      </c>
      <c r="N2913" s="19">
        <v>20.0</v>
      </c>
    </row>
    <row r="2914">
      <c r="A2914" s="12">
        <v>2912.0</v>
      </c>
      <c r="B2914" s="13" t="s">
        <v>1293</v>
      </c>
      <c r="C2914" s="14">
        <v>22.0</v>
      </c>
      <c r="D2914" s="15" t="s">
        <v>5546</v>
      </c>
      <c r="E2914" s="16" t="s">
        <v>221</v>
      </c>
      <c r="F2914" s="13" t="s">
        <v>1487</v>
      </c>
      <c r="G2914" s="13" t="s">
        <v>5575</v>
      </c>
      <c r="H2914" s="13" t="s">
        <v>5576</v>
      </c>
      <c r="I2914" s="13" t="s">
        <v>56</v>
      </c>
      <c r="J2914" s="17" t="s">
        <v>67</v>
      </c>
      <c r="K2914" s="17" t="s">
        <v>58</v>
      </c>
      <c r="L2914" s="18" t="s">
        <v>52</v>
      </c>
      <c r="M2914" s="19">
        <v>68.0</v>
      </c>
      <c r="N2914" s="19">
        <v>20.0</v>
      </c>
    </row>
    <row r="2915">
      <c r="A2915" s="12">
        <v>2913.0</v>
      </c>
      <c r="B2915" s="13" t="s">
        <v>1293</v>
      </c>
      <c r="C2915" s="14">
        <v>23.0</v>
      </c>
      <c r="D2915" s="15" t="s">
        <v>5546</v>
      </c>
      <c r="E2915" s="16" t="s">
        <v>221</v>
      </c>
      <c r="F2915" s="13" t="s">
        <v>4273</v>
      </c>
      <c r="G2915" s="13" t="s">
        <v>5577</v>
      </c>
      <c r="H2915" s="13" t="s">
        <v>5578</v>
      </c>
      <c r="I2915" s="13" t="s">
        <v>56</v>
      </c>
      <c r="J2915" s="17" t="s">
        <v>67</v>
      </c>
      <c r="K2915" s="17" t="s">
        <v>58</v>
      </c>
      <c r="L2915" s="18" t="s">
        <v>52</v>
      </c>
      <c r="M2915" s="19">
        <v>68.0</v>
      </c>
      <c r="N2915" s="19">
        <v>20.0</v>
      </c>
    </row>
    <row r="2916">
      <c r="A2916" s="12">
        <v>2914.0</v>
      </c>
      <c r="B2916" s="13" t="s">
        <v>1293</v>
      </c>
      <c r="C2916" s="14">
        <v>24.0</v>
      </c>
      <c r="D2916" s="15" t="s">
        <v>5546</v>
      </c>
      <c r="E2916" s="16" t="s">
        <v>221</v>
      </c>
      <c r="F2916" s="13" t="s">
        <v>692</v>
      </c>
      <c r="G2916" s="13" t="s">
        <v>5579</v>
      </c>
      <c r="H2916" s="13" t="s">
        <v>5580</v>
      </c>
      <c r="I2916" s="13" t="s">
        <v>56</v>
      </c>
      <c r="J2916" s="17" t="s">
        <v>67</v>
      </c>
      <c r="K2916" s="17" t="s">
        <v>58</v>
      </c>
      <c r="L2916" s="18" t="s">
        <v>52</v>
      </c>
      <c r="M2916" s="19">
        <v>68.0</v>
      </c>
      <c r="N2916" s="19">
        <v>20.0</v>
      </c>
    </row>
    <row r="2917">
      <c r="A2917" s="12">
        <v>2915.0</v>
      </c>
      <c r="B2917" s="13" t="s">
        <v>1293</v>
      </c>
      <c r="C2917" s="14">
        <v>25.0</v>
      </c>
      <c r="D2917" s="15" t="s">
        <v>5546</v>
      </c>
      <c r="E2917" s="16" t="s">
        <v>221</v>
      </c>
      <c r="F2917" s="13" t="s">
        <v>672</v>
      </c>
      <c r="G2917" s="13" t="s">
        <v>843</v>
      </c>
      <c r="H2917" s="13" t="s">
        <v>5581</v>
      </c>
      <c r="I2917" s="13" t="s">
        <v>56</v>
      </c>
      <c r="J2917" s="17" t="s">
        <v>67</v>
      </c>
      <c r="K2917" s="17" t="s">
        <v>58</v>
      </c>
      <c r="L2917" s="18" t="s">
        <v>52</v>
      </c>
      <c r="M2917" s="19">
        <v>68.0</v>
      </c>
      <c r="N2917" s="19">
        <v>20.0</v>
      </c>
    </row>
    <row r="2918">
      <c r="A2918" s="12">
        <v>2916.0</v>
      </c>
      <c r="B2918" s="13" t="s">
        <v>1293</v>
      </c>
      <c r="C2918" s="14">
        <v>26.0</v>
      </c>
      <c r="D2918" s="15" t="s">
        <v>5546</v>
      </c>
      <c r="E2918" s="16" t="s">
        <v>221</v>
      </c>
      <c r="F2918" s="13" t="s">
        <v>570</v>
      </c>
      <c r="G2918" s="13" t="s">
        <v>817</v>
      </c>
      <c r="H2918" s="13" t="s">
        <v>5582</v>
      </c>
      <c r="I2918" s="13" t="s">
        <v>56</v>
      </c>
      <c r="J2918" s="17" t="s">
        <v>67</v>
      </c>
      <c r="K2918" s="17" t="s">
        <v>58</v>
      </c>
      <c r="L2918" s="18" t="s">
        <v>52</v>
      </c>
      <c r="M2918" s="19">
        <v>68.0</v>
      </c>
      <c r="N2918" s="19">
        <v>20.0</v>
      </c>
    </row>
    <row r="2919">
      <c r="A2919" s="12">
        <v>2917.0</v>
      </c>
      <c r="B2919" s="13" t="s">
        <v>1293</v>
      </c>
      <c r="C2919" s="14">
        <v>27.0</v>
      </c>
      <c r="D2919" s="15" t="s">
        <v>5546</v>
      </c>
      <c r="E2919" s="16" t="s">
        <v>221</v>
      </c>
      <c r="F2919" s="13" t="s">
        <v>724</v>
      </c>
      <c r="G2919" s="13" t="s">
        <v>1626</v>
      </c>
      <c r="H2919" s="13" t="s">
        <v>5583</v>
      </c>
      <c r="I2919" s="13" t="s">
        <v>56</v>
      </c>
      <c r="J2919" s="17" t="s">
        <v>67</v>
      </c>
      <c r="K2919" s="17" t="s">
        <v>58</v>
      </c>
      <c r="L2919" s="18" t="s">
        <v>52</v>
      </c>
      <c r="M2919" s="19">
        <v>68.0</v>
      </c>
      <c r="N2919" s="19">
        <v>20.0</v>
      </c>
    </row>
    <row r="2920">
      <c r="A2920" s="12">
        <v>2918.0</v>
      </c>
      <c r="B2920" s="13" t="s">
        <v>1293</v>
      </c>
      <c r="C2920" s="14">
        <v>28.0</v>
      </c>
      <c r="D2920" s="15" t="s">
        <v>5546</v>
      </c>
      <c r="E2920" s="16" t="s">
        <v>221</v>
      </c>
      <c r="F2920" s="13" t="s">
        <v>731</v>
      </c>
      <c r="G2920" s="13" t="s">
        <v>4079</v>
      </c>
      <c r="H2920" s="13" t="s">
        <v>5583</v>
      </c>
      <c r="I2920" s="13" t="s">
        <v>56</v>
      </c>
      <c r="J2920" s="17" t="s">
        <v>67</v>
      </c>
      <c r="K2920" s="17" t="s">
        <v>58</v>
      </c>
      <c r="L2920" s="18" t="s">
        <v>52</v>
      </c>
      <c r="M2920" s="19">
        <v>68.0</v>
      </c>
      <c r="N2920" s="19">
        <v>20.0</v>
      </c>
    </row>
    <row r="2921">
      <c r="A2921" s="12">
        <v>2919.0</v>
      </c>
      <c r="B2921" s="13" t="s">
        <v>1293</v>
      </c>
      <c r="C2921" s="14">
        <v>29.0</v>
      </c>
      <c r="D2921" s="15" t="s">
        <v>5546</v>
      </c>
      <c r="E2921" s="16" t="s">
        <v>221</v>
      </c>
      <c r="F2921" s="13" t="s">
        <v>544</v>
      </c>
      <c r="G2921" s="13" t="s">
        <v>4390</v>
      </c>
      <c r="H2921" s="13" t="s">
        <v>5583</v>
      </c>
      <c r="I2921" s="13" t="s">
        <v>56</v>
      </c>
      <c r="J2921" s="17" t="s">
        <v>67</v>
      </c>
      <c r="K2921" s="17" t="s">
        <v>58</v>
      </c>
      <c r="L2921" s="18" t="s">
        <v>52</v>
      </c>
      <c r="M2921" s="19">
        <v>68.0</v>
      </c>
      <c r="N2921" s="19">
        <v>20.0</v>
      </c>
    </row>
    <row r="2922">
      <c r="A2922" s="12">
        <v>2920.0</v>
      </c>
      <c r="B2922" s="13" t="s">
        <v>1293</v>
      </c>
      <c r="C2922" s="14">
        <v>30.0</v>
      </c>
      <c r="D2922" s="15" t="s">
        <v>5546</v>
      </c>
      <c r="E2922" s="16" t="s">
        <v>221</v>
      </c>
      <c r="F2922" s="13" t="s">
        <v>403</v>
      </c>
      <c r="G2922" s="13" t="s">
        <v>5584</v>
      </c>
      <c r="H2922" s="13" t="s">
        <v>5583</v>
      </c>
      <c r="I2922" s="13" t="s">
        <v>56</v>
      </c>
      <c r="J2922" s="17" t="s">
        <v>67</v>
      </c>
      <c r="K2922" s="17" t="s">
        <v>58</v>
      </c>
      <c r="L2922" s="18" t="s">
        <v>52</v>
      </c>
      <c r="M2922" s="19">
        <v>68.0</v>
      </c>
      <c r="N2922" s="19">
        <v>20.0</v>
      </c>
    </row>
    <row r="2923">
      <c r="A2923" s="12">
        <v>2921.0</v>
      </c>
      <c r="B2923" s="13" t="s">
        <v>1293</v>
      </c>
      <c r="C2923" s="14">
        <v>31.0</v>
      </c>
      <c r="D2923" s="15" t="s">
        <v>5546</v>
      </c>
      <c r="E2923" s="16" t="s">
        <v>221</v>
      </c>
      <c r="F2923" s="13" t="s">
        <v>4890</v>
      </c>
      <c r="G2923" s="13" t="s">
        <v>5585</v>
      </c>
      <c r="H2923" s="13" t="s">
        <v>5586</v>
      </c>
      <c r="I2923" s="13" t="s">
        <v>56</v>
      </c>
      <c r="J2923" s="17" t="s">
        <v>67</v>
      </c>
      <c r="K2923" s="17" t="s">
        <v>58</v>
      </c>
      <c r="L2923" s="18" t="s">
        <v>52</v>
      </c>
      <c r="M2923" s="19">
        <v>68.0</v>
      </c>
      <c r="N2923" s="19">
        <v>20.0</v>
      </c>
    </row>
    <row r="2924">
      <c r="A2924" s="12">
        <v>2922.0</v>
      </c>
      <c r="B2924" s="13" t="s">
        <v>1293</v>
      </c>
      <c r="C2924" s="14">
        <v>32.0</v>
      </c>
      <c r="D2924" s="15" t="s">
        <v>5587</v>
      </c>
      <c r="E2924" s="16" t="s">
        <v>221</v>
      </c>
      <c r="F2924" s="13" t="s">
        <v>3870</v>
      </c>
      <c r="G2924" s="13" t="s">
        <v>61</v>
      </c>
      <c r="H2924" s="13" t="s">
        <v>5588</v>
      </c>
      <c r="I2924" s="13" t="s">
        <v>56</v>
      </c>
      <c r="J2924" s="17" t="s">
        <v>67</v>
      </c>
      <c r="K2924" s="17" t="s">
        <v>58</v>
      </c>
      <c r="L2924" s="18" t="s">
        <v>52</v>
      </c>
      <c r="M2924" s="19">
        <v>68.0</v>
      </c>
      <c r="N2924" s="19">
        <v>20.0</v>
      </c>
    </row>
    <row r="2925">
      <c r="A2925" s="12">
        <v>2923.0</v>
      </c>
      <c r="B2925" s="13" t="s">
        <v>1293</v>
      </c>
      <c r="C2925" s="14">
        <v>33.0</v>
      </c>
      <c r="D2925" s="15" t="s">
        <v>5589</v>
      </c>
      <c r="E2925" s="16" t="s">
        <v>221</v>
      </c>
      <c r="F2925" s="13" t="s">
        <v>5590</v>
      </c>
      <c r="G2925" s="13" t="s">
        <v>5592</v>
      </c>
      <c r="H2925" s="13" t="s">
        <v>5593</v>
      </c>
      <c r="I2925" s="13" t="s">
        <v>56</v>
      </c>
      <c r="J2925" s="17" t="s">
        <v>67</v>
      </c>
      <c r="K2925" s="17" t="s">
        <v>58</v>
      </c>
      <c r="L2925" s="18" t="s">
        <v>52</v>
      </c>
      <c r="M2925" s="19">
        <v>68.0</v>
      </c>
      <c r="N2925" s="19">
        <v>20.0</v>
      </c>
    </row>
    <row r="2926">
      <c r="A2926" s="12">
        <v>2924.0</v>
      </c>
      <c r="B2926" s="13" t="s">
        <v>1293</v>
      </c>
      <c r="C2926" s="14">
        <v>34.0</v>
      </c>
      <c r="D2926" s="15" t="s">
        <v>5546</v>
      </c>
      <c r="E2926" s="16" t="s">
        <v>221</v>
      </c>
      <c r="F2926" s="13" t="s">
        <v>2024</v>
      </c>
      <c r="G2926" s="13" t="s">
        <v>61</v>
      </c>
      <c r="H2926" s="13" t="s">
        <v>5594</v>
      </c>
      <c r="I2926" s="13" t="s">
        <v>56</v>
      </c>
      <c r="J2926" s="17" t="s">
        <v>71</v>
      </c>
      <c r="K2926" s="17" t="s">
        <v>58</v>
      </c>
      <c r="L2926" s="18" t="s">
        <v>52</v>
      </c>
      <c r="M2926" s="19">
        <v>68.0</v>
      </c>
      <c r="N2926" s="19">
        <v>30.0</v>
      </c>
    </row>
    <row r="2927">
      <c r="A2927" s="12">
        <v>2925.0</v>
      </c>
      <c r="B2927" s="13" t="s">
        <v>1293</v>
      </c>
      <c r="C2927" s="14">
        <v>35.0</v>
      </c>
      <c r="D2927" s="15" t="s">
        <v>5546</v>
      </c>
      <c r="E2927" s="16" t="s">
        <v>221</v>
      </c>
      <c r="F2927" s="13" t="s">
        <v>81</v>
      </c>
      <c r="G2927" s="13" t="s">
        <v>61</v>
      </c>
      <c r="H2927" s="13" t="s">
        <v>5595</v>
      </c>
      <c r="I2927" s="13" t="s">
        <v>56</v>
      </c>
      <c r="J2927" s="17" t="s">
        <v>71</v>
      </c>
      <c r="K2927" s="17" t="s">
        <v>58</v>
      </c>
      <c r="L2927" s="18" t="s">
        <v>52</v>
      </c>
      <c r="M2927" s="19">
        <v>68.0</v>
      </c>
      <c r="N2927" s="19">
        <v>30.0</v>
      </c>
    </row>
    <row r="2928">
      <c r="A2928" s="12">
        <v>2926.0</v>
      </c>
      <c r="B2928" s="13" t="s">
        <v>1293</v>
      </c>
      <c r="C2928" s="14">
        <v>36.0</v>
      </c>
      <c r="D2928" s="15" t="s">
        <v>5546</v>
      </c>
      <c r="E2928" s="16" t="s">
        <v>221</v>
      </c>
      <c r="F2928" s="13" t="s">
        <v>53</v>
      </c>
      <c r="G2928" s="13" t="s">
        <v>61</v>
      </c>
      <c r="H2928" s="13" t="s">
        <v>5596</v>
      </c>
      <c r="I2928" s="13" t="s">
        <v>56</v>
      </c>
      <c r="J2928" s="17" t="s">
        <v>71</v>
      </c>
      <c r="K2928" s="17" t="s">
        <v>58</v>
      </c>
      <c r="L2928" s="18" t="s">
        <v>52</v>
      </c>
      <c r="M2928" s="19">
        <v>68.0</v>
      </c>
      <c r="N2928" s="19">
        <v>30.0</v>
      </c>
    </row>
    <row r="2929">
      <c r="A2929" s="12">
        <v>2927.0</v>
      </c>
      <c r="B2929" s="13" t="s">
        <v>1293</v>
      </c>
      <c r="C2929" s="14">
        <v>37.0</v>
      </c>
      <c r="D2929" s="15" t="s">
        <v>5546</v>
      </c>
      <c r="E2929" s="16" t="s">
        <v>221</v>
      </c>
      <c r="F2929" s="13" t="s">
        <v>50</v>
      </c>
      <c r="G2929" s="13" t="s">
        <v>61</v>
      </c>
      <c r="H2929" s="13" t="s">
        <v>4871</v>
      </c>
      <c r="I2929" s="13" t="s">
        <v>56</v>
      </c>
      <c r="J2929" s="17" t="s">
        <v>71</v>
      </c>
      <c r="K2929" s="17" t="s">
        <v>58</v>
      </c>
      <c r="L2929" s="18" t="s">
        <v>52</v>
      </c>
      <c r="M2929" s="19">
        <v>68.0</v>
      </c>
      <c r="N2929" s="19">
        <v>30.0</v>
      </c>
    </row>
    <row r="2930">
      <c r="A2930" s="12">
        <v>2928.0</v>
      </c>
      <c r="B2930" s="13" t="s">
        <v>1293</v>
      </c>
      <c r="C2930" s="14">
        <v>38.0</v>
      </c>
      <c r="D2930" s="15" t="s">
        <v>5546</v>
      </c>
      <c r="E2930" s="16" t="s">
        <v>221</v>
      </c>
      <c r="F2930" s="13" t="s">
        <v>91</v>
      </c>
      <c r="G2930" s="13" t="s">
        <v>61</v>
      </c>
      <c r="H2930" s="13" t="s">
        <v>5597</v>
      </c>
      <c r="I2930" s="13" t="s">
        <v>56</v>
      </c>
      <c r="J2930" s="17" t="s">
        <v>71</v>
      </c>
      <c r="K2930" s="17" t="s">
        <v>58</v>
      </c>
      <c r="L2930" s="18" t="s">
        <v>52</v>
      </c>
      <c r="M2930" s="19">
        <v>68.0</v>
      </c>
      <c r="N2930" s="19">
        <v>30.0</v>
      </c>
    </row>
    <row r="2931">
      <c r="A2931" s="12">
        <v>2929.0</v>
      </c>
      <c r="B2931" s="13" t="s">
        <v>1293</v>
      </c>
      <c r="C2931" s="14">
        <v>39.0</v>
      </c>
      <c r="D2931" s="15" t="s">
        <v>5546</v>
      </c>
      <c r="E2931" s="16" t="s">
        <v>221</v>
      </c>
      <c r="F2931" s="13" t="s">
        <v>140</v>
      </c>
      <c r="G2931" s="13" t="s">
        <v>61</v>
      </c>
      <c r="H2931" s="13" t="s">
        <v>5598</v>
      </c>
      <c r="I2931" s="13" t="s">
        <v>56</v>
      </c>
      <c r="J2931" s="17" t="s">
        <v>71</v>
      </c>
      <c r="K2931" s="17" t="s">
        <v>58</v>
      </c>
      <c r="L2931" s="18" t="s">
        <v>52</v>
      </c>
      <c r="M2931" s="19">
        <v>68.0</v>
      </c>
      <c r="N2931" s="19">
        <v>30.0</v>
      </c>
    </row>
    <row r="2932">
      <c r="A2932" s="12">
        <v>2930.0</v>
      </c>
      <c r="B2932" s="13" t="s">
        <v>1293</v>
      </c>
      <c r="C2932" s="14">
        <v>40.0</v>
      </c>
      <c r="D2932" s="15" t="s">
        <v>5546</v>
      </c>
      <c r="E2932" s="16" t="s">
        <v>221</v>
      </c>
      <c r="F2932" s="13" t="s">
        <v>64</v>
      </c>
      <c r="G2932" s="13" t="s">
        <v>61</v>
      </c>
      <c r="H2932" s="13" t="s">
        <v>5600</v>
      </c>
      <c r="I2932" s="13" t="s">
        <v>56</v>
      </c>
      <c r="J2932" s="17" t="s">
        <v>71</v>
      </c>
      <c r="K2932" s="17" t="s">
        <v>58</v>
      </c>
      <c r="L2932" s="18" t="s">
        <v>52</v>
      </c>
      <c r="M2932" s="19">
        <v>68.0</v>
      </c>
      <c r="N2932" s="19">
        <v>30.0</v>
      </c>
    </row>
    <row r="2933">
      <c r="A2933" s="12">
        <v>2931.0</v>
      </c>
      <c r="B2933" s="13" t="s">
        <v>1293</v>
      </c>
      <c r="C2933" s="14">
        <v>41.0</v>
      </c>
      <c r="D2933" s="15" t="s">
        <v>5546</v>
      </c>
      <c r="E2933" s="16" t="s">
        <v>221</v>
      </c>
      <c r="F2933" s="13" t="s">
        <v>94</v>
      </c>
      <c r="G2933" s="13" t="s">
        <v>61</v>
      </c>
      <c r="H2933" s="13" t="s">
        <v>5601</v>
      </c>
      <c r="I2933" s="13" t="s">
        <v>56</v>
      </c>
      <c r="J2933" s="17" t="s">
        <v>71</v>
      </c>
      <c r="K2933" s="17" t="s">
        <v>58</v>
      </c>
      <c r="L2933" s="18" t="s">
        <v>52</v>
      </c>
      <c r="M2933" s="19">
        <v>68.0</v>
      </c>
      <c r="N2933" s="19">
        <v>30.0</v>
      </c>
    </row>
    <row r="2934">
      <c r="A2934" s="12">
        <v>2932.0</v>
      </c>
      <c r="B2934" s="13" t="s">
        <v>1293</v>
      </c>
      <c r="C2934" s="14">
        <v>42.0</v>
      </c>
      <c r="D2934" s="15" t="s">
        <v>5546</v>
      </c>
      <c r="E2934" s="16" t="s">
        <v>221</v>
      </c>
      <c r="F2934" s="13" t="s">
        <v>4581</v>
      </c>
      <c r="G2934" s="13" t="s">
        <v>61</v>
      </c>
      <c r="H2934" s="13" t="s">
        <v>5602</v>
      </c>
      <c r="I2934" s="13" t="s">
        <v>56</v>
      </c>
      <c r="J2934" s="17" t="s">
        <v>71</v>
      </c>
      <c r="K2934" s="17" t="s">
        <v>58</v>
      </c>
      <c r="L2934" s="18" t="s">
        <v>52</v>
      </c>
      <c r="M2934" s="19">
        <v>68.0</v>
      </c>
      <c r="N2934" s="19">
        <v>30.0</v>
      </c>
    </row>
    <row r="2935">
      <c r="A2935" s="12">
        <v>2933.0</v>
      </c>
      <c r="B2935" s="13" t="s">
        <v>1293</v>
      </c>
      <c r="C2935" s="14">
        <v>43.0</v>
      </c>
      <c r="D2935" s="15" t="s">
        <v>5546</v>
      </c>
      <c r="E2935" s="16" t="s">
        <v>221</v>
      </c>
      <c r="F2935" s="13" t="s">
        <v>96</v>
      </c>
      <c r="G2935" s="13" t="s">
        <v>61</v>
      </c>
      <c r="H2935" s="13" t="s">
        <v>5603</v>
      </c>
      <c r="I2935" s="13" t="s">
        <v>56</v>
      </c>
      <c r="J2935" s="17" t="s">
        <v>71</v>
      </c>
      <c r="K2935" s="17" t="s">
        <v>58</v>
      </c>
      <c r="L2935" s="18" t="s">
        <v>52</v>
      </c>
      <c r="M2935" s="19">
        <v>68.0</v>
      </c>
      <c r="N2935" s="19">
        <v>30.0</v>
      </c>
    </row>
    <row r="2936">
      <c r="A2936" s="12">
        <v>2934.0</v>
      </c>
      <c r="B2936" s="13" t="s">
        <v>1293</v>
      </c>
      <c r="C2936" s="14">
        <v>44.0</v>
      </c>
      <c r="D2936" s="15" t="s">
        <v>5546</v>
      </c>
      <c r="E2936" s="16" t="s">
        <v>221</v>
      </c>
      <c r="F2936" s="13" t="s">
        <v>98</v>
      </c>
      <c r="G2936" s="13" t="s">
        <v>61</v>
      </c>
      <c r="H2936" s="13" t="s">
        <v>5604</v>
      </c>
      <c r="I2936" s="13" t="s">
        <v>56</v>
      </c>
      <c r="J2936" s="17" t="s">
        <v>71</v>
      </c>
      <c r="K2936" s="17" t="s">
        <v>58</v>
      </c>
      <c r="L2936" s="18" t="s">
        <v>52</v>
      </c>
      <c r="M2936" s="19">
        <v>68.0</v>
      </c>
      <c r="N2936" s="19">
        <v>30.0</v>
      </c>
    </row>
    <row r="2937">
      <c r="A2937" s="12">
        <v>2935.0</v>
      </c>
      <c r="B2937" s="13" t="s">
        <v>1293</v>
      </c>
      <c r="C2937" s="14">
        <v>45.0</v>
      </c>
      <c r="D2937" s="15" t="s">
        <v>5546</v>
      </c>
      <c r="E2937" s="16" t="s">
        <v>221</v>
      </c>
      <c r="F2937" s="13" t="s">
        <v>68</v>
      </c>
      <c r="G2937" s="13" t="s">
        <v>61</v>
      </c>
      <c r="H2937" s="13" t="s">
        <v>5605</v>
      </c>
      <c r="I2937" s="13" t="s">
        <v>56</v>
      </c>
      <c r="J2937" s="17" t="s">
        <v>71</v>
      </c>
      <c r="K2937" s="17" t="s">
        <v>58</v>
      </c>
      <c r="L2937" s="18" t="s">
        <v>52</v>
      </c>
      <c r="M2937" s="19">
        <v>68.0</v>
      </c>
      <c r="N2937" s="19">
        <v>30.0</v>
      </c>
    </row>
    <row r="2938">
      <c r="A2938" s="12">
        <v>2936.0</v>
      </c>
      <c r="B2938" s="13" t="s">
        <v>1293</v>
      </c>
      <c r="C2938" s="14">
        <v>46.0</v>
      </c>
      <c r="D2938" s="15" t="s">
        <v>5546</v>
      </c>
      <c r="E2938" s="16" t="s">
        <v>221</v>
      </c>
      <c r="F2938" s="13" t="s">
        <v>75</v>
      </c>
      <c r="G2938" s="13" t="s">
        <v>61</v>
      </c>
      <c r="H2938" s="13" t="s">
        <v>5606</v>
      </c>
      <c r="I2938" s="13" t="s">
        <v>56</v>
      </c>
      <c r="J2938" s="17" t="s">
        <v>71</v>
      </c>
      <c r="K2938" s="17" t="s">
        <v>58</v>
      </c>
      <c r="L2938" s="18" t="s">
        <v>52</v>
      </c>
      <c r="M2938" s="19">
        <v>68.0</v>
      </c>
      <c r="N2938" s="19">
        <v>30.0</v>
      </c>
    </row>
    <row r="2939">
      <c r="A2939" s="12">
        <v>2937.0</v>
      </c>
      <c r="B2939" s="13" t="s">
        <v>1293</v>
      </c>
      <c r="C2939" s="14">
        <v>47.0</v>
      </c>
      <c r="D2939" s="15" t="s">
        <v>5546</v>
      </c>
      <c r="E2939" s="16" t="s">
        <v>221</v>
      </c>
      <c r="F2939" s="13" t="s">
        <v>174</v>
      </c>
      <c r="G2939" s="13" t="s">
        <v>61</v>
      </c>
      <c r="H2939" s="13" t="s">
        <v>5608</v>
      </c>
      <c r="I2939" s="13" t="s">
        <v>56</v>
      </c>
      <c r="J2939" s="17" t="s">
        <v>71</v>
      </c>
      <c r="K2939" s="17" t="s">
        <v>58</v>
      </c>
      <c r="L2939" s="18" t="s">
        <v>52</v>
      </c>
      <c r="M2939" s="19">
        <v>68.0</v>
      </c>
      <c r="N2939" s="19">
        <v>30.0</v>
      </c>
    </row>
    <row r="2940">
      <c r="A2940" s="12">
        <v>2938.0</v>
      </c>
      <c r="B2940" s="13" t="s">
        <v>1293</v>
      </c>
      <c r="C2940" s="14">
        <v>48.0</v>
      </c>
      <c r="D2940" s="15" t="s">
        <v>5546</v>
      </c>
      <c r="E2940" s="16" t="s">
        <v>221</v>
      </c>
      <c r="F2940" s="13" t="s">
        <v>2508</v>
      </c>
      <c r="G2940" s="13" t="s">
        <v>61</v>
      </c>
      <c r="H2940" s="13" t="s">
        <v>5609</v>
      </c>
      <c r="I2940" s="13" t="s">
        <v>56</v>
      </c>
      <c r="J2940" s="17" t="s">
        <v>71</v>
      </c>
      <c r="K2940" s="17" t="s">
        <v>58</v>
      </c>
      <c r="L2940" s="18" t="s">
        <v>52</v>
      </c>
      <c r="M2940" s="19">
        <v>68.0</v>
      </c>
      <c r="N2940" s="19">
        <v>30.0</v>
      </c>
    </row>
    <row r="2941">
      <c r="A2941" s="12">
        <v>2939.0</v>
      </c>
      <c r="B2941" s="13" t="s">
        <v>1293</v>
      </c>
      <c r="C2941" s="14">
        <v>49.0</v>
      </c>
      <c r="D2941" s="15" t="s">
        <v>5546</v>
      </c>
      <c r="E2941" s="16" t="s">
        <v>221</v>
      </c>
      <c r="F2941" s="13" t="s">
        <v>60</v>
      </c>
      <c r="G2941" s="13" t="s">
        <v>61</v>
      </c>
      <c r="H2941" s="13" t="s">
        <v>4119</v>
      </c>
      <c r="I2941" s="13" t="s">
        <v>56</v>
      </c>
      <c r="J2941" s="17" t="s">
        <v>71</v>
      </c>
      <c r="K2941" s="17" t="s">
        <v>58</v>
      </c>
      <c r="L2941" s="18" t="s">
        <v>52</v>
      </c>
      <c r="M2941" s="19">
        <v>68.0</v>
      </c>
      <c r="N2941" s="19">
        <v>30.0</v>
      </c>
    </row>
    <row r="2942">
      <c r="A2942" s="12">
        <v>2940.0</v>
      </c>
      <c r="B2942" s="13" t="s">
        <v>1293</v>
      </c>
      <c r="C2942" s="14">
        <v>50.0</v>
      </c>
      <c r="D2942" s="15" t="s">
        <v>5546</v>
      </c>
      <c r="E2942" s="16" t="s">
        <v>221</v>
      </c>
      <c r="F2942" s="13" t="s">
        <v>1690</v>
      </c>
      <c r="G2942" s="13" t="s">
        <v>61</v>
      </c>
      <c r="H2942" s="13" t="s">
        <v>5610</v>
      </c>
      <c r="I2942" s="13" t="s">
        <v>56</v>
      </c>
      <c r="J2942" s="17" t="s">
        <v>71</v>
      </c>
      <c r="K2942" s="17" t="s">
        <v>58</v>
      </c>
      <c r="L2942" s="18" t="s">
        <v>52</v>
      </c>
      <c r="M2942" s="19">
        <v>68.0</v>
      </c>
      <c r="N2942" s="19">
        <v>30.0</v>
      </c>
    </row>
    <row r="2943">
      <c r="A2943" s="12">
        <v>2941.0</v>
      </c>
      <c r="B2943" s="13" t="s">
        <v>1293</v>
      </c>
      <c r="C2943" s="14">
        <v>51.0</v>
      </c>
      <c r="D2943" s="15" t="s">
        <v>5546</v>
      </c>
      <c r="E2943" s="16" t="s">
        <v>221</v>
      </c>
      <c r="F2943" s="13" t="s">
        <v>109</v>
      </c>
      <c r="G2943" s="13" t="s">
        <v>61</v>
      </c>
      <c r="H2943" s="13" t="s">
        <v>5611</v>
      </c>
      <c r="I2943" s="13" t="s">
        <v>56</v>
      </c>
      <c r="J2943" s="17" t="s">
        <v>71</v>
      </c>
      <c r="K2943" s="17" t="s">
        <v>58</v>
      </c>
      <c r="L2943" s="18" t="s">
        <v>52</v>
      </c>
      <c r="M2943" s="19">
        <v>68.0</v>
      </c>
      <c r="N2943" s="19">
        <v>30.0</v>
      </c>
    </row>
    <row r="2944">
      <c r="A2944" s="12">
        <v>2942.0</v>
      </c>
      <c r="B2944" s="13" t="s">
        <v>1293</v>
      </c>
      <c r="C2944" s="14">
        <v>52.0</v>
      </c>
      <c r="D2944" s="15" t="s">
        <v>5546</v>
      </c>
      <c r="E2944" s="16" t="s">
        <v>221</v>
      </c>
      <c r="F2944" s="13" t="s">
        <v>1884</v>
      </c>
      <c r="G2944" s="13" t="s">
        <v>61</v>
      </c>
      <c r="H2944" s="13" t="s">
        <v>5612</v>
      </c>
      <c r="I2944" s="13" t="s">
        <v>56</v>
      </c>
      <c r="J2944" s="17" t="s">
        <v>71</v>
      </c>
      <c r="K2944" s="17" t="s">
        <v>58</v>
      </c>
      <c r="L2944" s="18" t="s">
        <v>52</v>
      </c>
      <c r="M2944" s="19">
        <v>68.0</v>
      </c>
      <c r="N2944" s="19">
        <v>30.0</v>
      </c>
    </row>
    <row r="2945">
      <c r="A2945" s="12">
        <v>2943.0</v>
      </c>
      <c r="B2945" s="13" t="s">
        <v>1293</v>
      </c>
      <c r="C2945" s="14">
        <v>53.0</v>
      </c>
      <c r="D2945" s="15" t="s">
        <v>5546</v>
      </c>
      <c r="E2945" s="16" t="s">
        <v>221</v>
      </c>
      <c r="F2945" s="13" t="s">
        <v>107</v>
      </c>
      <c r="G2945" s="13" t="s">
        <v>61</v>
      </c>
      <c r="H2945" s="13" t="s">
        <v>5613</v>
      </c>
      <c r="I2945" s="13" t="s">
        <v>56</v>
      </c>
      <c r="J2945" s="17" t="s">
        <v>71</v>
      </c>
      <c r="K2945" s="17" t="s">
        <v>58</v>
      </c>
      <c r="L2945" s="18" t="s">
        <v>52</v>
      </c>
      <c r="M2945" s="19">
        <v>68.0</v>
      </c>
      <c r="N2945" s="19">
        <v>30.0</v>
      </c>
    </row>
    <row r="2946">
      <c r="A2946" s="12">
        <v>2944.0</v>
      </c>
      <c r="B2946" s="13" t="s">
        <v>1293</v>
      </c>
      <c r="C2946" s="14">
        <v>54.0</v>
      </c>
      <c r="D2946" s="15" t="s">
        <v>5546</v>
      </c>
      <c r="E2946" s="16" t="s">
        <v>221</v>
      </c>
      <c r="F2946" s="13" t="s">
        <v>104</v>
      </c>
      <c r="G2946" s="13" t="s">
        <v>61</v>
      </c>
      <c r="H2946" s="13" t="s">
        <v>5614</v>
      </c>
      <c r="I2946" s="13" t="s">
        <v>56</v>
      </c>
      <c r="J2946" s="17" t="s">
        <v>71</v>
      </c>
      <c r="K2946" s="17" t="s">
        <v>58</v>
      </c>
      <c r="L2946" s="18" t="s">
        <v>52</v>
      </c>
      <c r="M2946" s="19">
        <v>68.0</v>
      </c>
      <c r="N2946" s="19">
        <v>30.0</v>
      </c>
    </row>
    <row r="2947">
      <c r="A2947" s="12">
        <v>2945.0</v>
      </c>
      <c r="B2947" s="13" t="s">
        <v>1293</v>
      </c>
      <c r="C2947" s="14">
        <v>55.0</v>
      </c>
      <c r="D2947" s="15" t="s">
        <v>5546</v>
      </c>
      <c r="E2947" s="16" t="s">
        <v>221</v>
      </c>
      <c r="F2947" s="13" t="s">
        <v>4587</v>
      </c>
      <c r="G2947" s="13" t="s">
        <v>61</v>
      </c>
      <c r="H2947" s="13" t="s">
        <v>4588</v>
      </c>
      <c r="I2947" s="13" t="s">
        <v>56</v>
      </c>
      <c r="J2947" s="17" t="s">
        <v>71</v>
      </c>
      <c r="K2947" s="17" t="s">
        <v>58</v>
      </c>
      <c r="L2947" s="18" t="s">
        <v>52</v>
      </c>
      <c r="M2947" s="19">
        <v>68.0</v>
      </c>
      <c r="N2947" s="19">
        <v>30.0</v>
      </c>
    </row>
    <row r="2948">
      <c r="A2948" s="12">
        <v>2946.0</v>
      </c>
      <c r="B2948" s="13" t="s">
        <v>1293</v>
      </c>
      <c r="C2948" s="14">
        <v>56.0</v>
      </c>
      <c r="D2948" s="15" t="s">
        <v>5546</v>
      </c>
      <c r="E2948" s="16" t="s">
        <v>221</v>
      </c>
      <c r="F2948" s="13" t="s">
        <v>3446</v>
      </c>
      <c r="G2948" s="13" t="s">
        <v>61</v>
      </c>
      <c r="H2948" s="13" t="s">
        <v>5615</v>
      </c>
      <c r="I2948" s="13" t="s">
        <v>56</v>
      </c>
      <c r="J2948" s="17" t="s">
        <v>71</v>
      </c>
      <c r="K2948" s="17" t="s">
        <v>58</v>
      </c>
      <c r="L2948" s="18" t="s">
        <v>52</v>
      </c>
      <c r="M2948" s="19">
        <v>68.0</v>
      </c>
      <c r="N2948" s="19">
        <v>30.0</v>
      </c>
    </row>
    <row r="2949">
      <c r="A2949" s="12">
        <v>2947.0</v>
      </c>
      <c r="B2949" s="13" t="s">
        <v>1293</v>
      </c>
      <c r="C2949" s="14">
        <v>57.0</v>
      </c>
      <c r="D2949" s="15" t="s">
        <v>5546</v>
      </c>
      <c r="E2949" s="16" t="s">
        <v>221</v>
      </c>
      <c r="F2949" s="13" t="s">
        <v>2019</v>
      </c>
      <c r="G2949" s="13" t="s">
        <v>61</v>
      </c>
      <c r="H2949" s="13" t="s">
        <v>5616</v>
      </c>
      <c r="I2949" s="13" t="s">
        <v>56</v>
      </c>
      <c r="J2949" s="17" t="s">
        <v>71</v>
      </c>
      <c r="K2949" s="17" t="s">
        <v>58</v>
      </c>
      <c r="L2949" s="18" t="s">
        <v>52</v>
      </c>
      <c r="M2949" s="19">
        <v>68.0</v>
      </c>
      <c r="N2949" s="19">
        <v>30.0</v>
      </c>
    </row>
    <row r="2950">
      <c r="A2950" s="12">
        <v>2948.0</v>
      </c>
      <c r="B2950" s="13" t="s">
        <v>1293</v>
      </c>
      <c r="C2950" s="14">
        <v>58.0</v>
      </c>
      <c r="D2950" s="15" t="s">
        <v>5546</v>
      </c>
      <c r="E2950" s="16" t="s">
        <v>221</v>
      </c>
      <c r="F2950" s="13" t="s">
        <v>4084</v>
      </c>
      <c r="G2950" s="13" t="s">
        <v>61</v>
      </c>
      <c r="H2950" s="13" t="s">
        <v>5617</v>
      </c>
      <c r="I2950" s="13" t="s">
        <v>56</v>
      </c>
      <c r="J2950" s="17" t="s">
        <v>71</v>
      </c>
      <c r="K2950" s="17" t="s">
        <v>58</v>
      </c>
      <c r="L2950" s="18" t="s">
        <v>52</v>
      </c>
      <c r="M2950" s="19">
        <v>68.0</v>
      </c>
      <c r="N2950" s="19">
        <v>30.0</v>
      </c>
    </row>
    <row r="2951">
      <c r="A2951" s="12">
        <v>2949.0</v>
      </c>
      <c r="B2951" s="13" t="s">
        <v>1293</v>
      </c>
      <c r="C2951" s="14">
        <v>59.0</v>
      </c>
      <c r="D2951" s="15" t="s">
        <v>5546</v>
      </c>
      <c r="E2951" s="16" t="s">
        <v>221</v>
      </c>
      <c r="F2951" s="13" t="s">
        <v>2502</v>
      </c>
      <c r="G2951" s="13" t="s">
        <v>61</v>
      </c>
      <c r="H2951" s="13" t="s">
        <v>5618</v>
      </c>
      <c r="I2951" s="13" t="s">
        <v>56</v>
      </c>
      <c r="J2951" s="17" t="s">
        <v>71</v>
      </c>
      <c r="K2951" s="17" t="s">
        <v>58</v>
      </c>
      <c r="L2951" s="18" t="s">
        <v>52</v>
      </c>
      <c r="M2951" s="19">
        <v>68.0</v>
      </c>
      <c r="N2951" s="19">
        <v>30.0</v>
      </c>
    </row>
    <row r="2952">
      <c r="A2952" s="12">
        <v>2950.0</v>
      </c>
      <c r="B2952" s="13" t="s">
        <v>1293</v>
      </c>
      <c r="C2952" s="14">
        <v>60.0</v>
      </c>
      <c r="D2952" s="15" t="s">
        <v>5546</v>
      </c>
      <c r="E2952" s="16" t="s">
        <v>221</v>
      </c>
      <c r="F2952" s="13" t="s">
        <v>4279</v>
      </c>
      <c r="G2952" s="13" t="s">
        <v>61</v>
      </c>
      <c r="H2952" s="13" t="s">
        <v>5619</v>
      </c>
      <c r="I2952" s="13" t="s">
        <v>56</v>
      </c>
      <c r="J2952" s="17" t="s">
        <v>71</v>
      </c>
      <c r="K2952" s="17" t="s">
        <v>58</v>
      </c>
      <c r="L2952" s="18" t="s">
        <v>52</v>
      </c>
      <c r="M2952" s="19">
        <v>68.0</v>
      </c>
      <c r="N2952" s="19">
        <v>30.0</v>
      </c>
    </row>
    <row r="2953">
      <c r="A2953" s="12">
        <v>2951.0</v>
      </c>
      <c r="B2953" s="13" t="s">
        <v>1293</v>
      </c>
      <c r="C2953" s="14">
        <v>61.0</v>
      </c>
      <c r="D2953" s="15" t="s">
        <v>5546</v>
      </c>
      <c r="E2953" s="16" t="s">
        <v>221</v>
      </c>
      <c r="F2953" s="13" t="s">
        <v>711</v>
      </c>
      <c r="G2953" s="13" t="s">
        <v>61</v>
      </c>
      <c r="H2953" s="13" t="s">
        <v>5620</v>
      </c>
      <c r="I2953" s="13" t="s">
        <v>56</v>
      </c>
      <c r="J2953" s="17" t="s">
        <v>71</v>
      </c>
      <c r="K2953" s="17" t="s">
        <v>58</v>
      </c>
      <c r="L2953" s="18" t="s">
        <v>52</v>
      </c>
      <c r="M2953" s="19">
        <v>68.0</v>
      </c>
      <c r="N2953" s="19">
        <v>30.0</v>
      </c>
    </row>
    <row r="2954">
      <c r="A2954" s="12">
        <v>2952.0</v>
      </c>
      <c r="B2954" s="13" t="s">
        <v>1293</v>
      </c>
      <c r="C2954" s="14">
        <v>62.0</v>
      </c>
      <c r="D2954" s="15" t="s">
        <v>5546</v>
      </c>
      <c r="E2954" s="16" t="s">
        <v>221</v>
      </c>
      <c r="F2954" s="13" t="s">
        <v>2488</v>
      </c>
      <c r="G2954" s="13" t="s">
        <v>61</v>
      </c>
      <c r="H2954" s="13" t="s">
        <v>5621</v>
      </c>
      <c r="I2954" s="13" t="s">
        <v>56</v>
      </c>
      <c r="J2954" s="17" t="s">
        <v>71</v>
      </c>
      <c r="K2954" s="17" t="s">
        <v>58</v>
      </c>
      <c r="L2954" s="18" t="s">
        <v>52</v>
      </c>
      <c r="M2954" s="19">
        <v>68.0</v>
      </c>
      <c r="N2954" s="19">
        <v>30.0</v>
      </c>
    </row>
    <row r="2955">
      <c r="A2955" s="12">
        <v>2953.0</v>
      </c>
      <c r="B2955" s="13" t="s">
        <v>1293</v>
      </c>
      <c r="C2955" s="14">
        <v>63.0</v>
      </c>
      <c r="D2955" s="15" t="s">
        <v>5546</v>
      </c>
      <c r="E2955" s="16" t="s">
        <v>221</v>
      </c>
      <c r="F2955" s="13" t="s">
        <v>413</v>
      </c>
      <c r="G2955" s="13" t="s">
        <v>61</v>
      </c>
      <c r="H2955" s="13" t="s">
        <v>5622</v>
      </c>
      <c r="I2955" s="13" t="s">
        <v>56</v>
      </c>
      <c r="J2955" s="17" t="s">
        <v>71</v>
      </c>
      <c r="K2955" s="17" t="s">
        <v>58</v>
      </c>
      <c r="L2955" s="18" t="s">
        <v>52</v>
      </c>
      <c r="M2955" s="19">
        <v>68.0</v>
      </c>
      <c r="N2955" s="19">
        <v>30.0</v>
      </c>
    </row>
    <row r="2956">
      <c r="A2956" s="12">
        <v>2954.0</v>
      </c>
      <c r="B2956" s="13" t="s">
        <v>1293</v>
      </c>
      <c r="C2956" s="14">
        <v>64.0</v>
      </c>
      <c r="D2956" s="15" t="s">
        <v>5546</v>
      </c>
      <c r="E2956" s="16" t="s">
        <v>221</v>
      </c>
      <c r="F2956" s="13" t="s">
        <v>2484</v>
      </c>
      <c r="G2956" s="13" t="s">
        <v>61</v>
      </c>
      <c r="H2956" s="13" t="s">
        <v>5623</v>
      </c>
      <c r="I2956" s="13" t="s">
        <v>56</v>
      </c>
      <c r="J2956" s="17" t="s">
        <v>71</v>
      </c>
      <c r="K2956" s="17" t="s">
        <v>58</v>
      </c>
      <c r="L2956" s="18" t="s">
        <v>52</v>
      </c>
      <c r="M2956" s="19">
        <v>68.0</v>
      </c>
      <c r="N2956" s="19">
        <v>30.0</v>
      </c>
    </row>
    <row r="2957">
      <c r="A2957" s="12">
        <v>2955.0</v>
      </c>
      <c r="B2957" s="13" t="s">
        <v>1293</v>
      </c>
      <c r="C2957" s="14">
        <v>65.0</v>
      </c>
      <c r="D2957" s="15" t="s">
        <v>5546</v>
      </c>
      <c r="E2957" s="16" t="s">
        <v>221</v>
      </c>
      <c r="F2957" s="13" t="s">
        <v>2883</v>
      </c>
      <c r="G2957" s="13" t="s">
        <v>61</v>
      </c>
      <c r="H2957" s="13" t="s">
        <v>5624</v>
      </c>
      <c r="I2957" s="13" t="s">
        <v>56</v>
      </c>
      <c r="J2957" s="17" t="s">
        <v>71</v>
      </c>
      <c r="K2957" s="17" t="s">
        <v>58</v>
      </c>
      <c r="L2957" s="18" t="s">
        <v>52</v>
      </c>
      <c r="M2957" s="19">
        <v>68.0</v>
      </c>
      <c r="N2957" s="19">
        <v>30.0</v>
      </c>
    </row>
    <row r="2958">
      <c r="A2958" s="12">
        <v>2956.0</v>
      </c>
      <c r="B2958" s="13" t="s">
        <v>1293</v>
      </c>
      <c r="C2958" s="14">
        <v>66.0</v>
      </c>
      <c r="D2958" s="15" t="s">
        <v>5546</v>
      </c>
      <c r="E2958" s="16" t="s">
        <v>221</v>
      </c>
      <c r="F2958" s="13" t="s">
        <v>1475</v>
      </c>
      <c r="G2958" s="13" t="s">
        <v>5626</v>
      </c>
      <c r="H2958" s="13" t="s">
        <v>5627</v>
      </c>
      <c r="I2958" s="13" t="s">
        <v>56</v>
      </c>
      <c r="J2958" s="17" t="s">
        <v>71</v>
      </c>
      <c r="K2958" s="17" t="s">
        <v>58</v>
      </c>
      <c r="L2958" s="18" t="s">
        <v>52</v>
      </c>
      <c r="M2958" s="19">
        <v>68.0</v>
      </c>
      <c r="N2958" s="19">
        <v>30.0</v>
      </c>
    </row>
    <row r="2959">
      <c r="A2959" s="12">
        <v>2957.0</v>
      </c>
      <c r="B2959" s="13" t="s">
        <v>1293</v>
      </c>
      <c r="C2959" s="14">
        <v>67.0</v>
      </c>
      <c r="D2959" s="15" t="s">
        <v>5546</v>
      </c>
      <c r="E2959" s="16" t="s">
        <v>221</v>
      </c>
      <c r="F2959" s="13" t="s">
        <v>4500</v>
      </c>
      <c r="G2959" s="13" t="s">
        <v>61</v>
      </c>
      <c r="H2959" s="13" t="s">
        <v>4651</v>
      </c>
      <c r="I2959" s="13" t="s">
        <v>56</v>
      </c>
      <c r="J2959" s="17" t="s">
        <v>71</v>
      </c>
      <c r="K2959" s="17" t="s">
        <v>58</v>
      </c>
      <c r="L2959" s="18" t="s">
        <v>52</v>
      </c>
      <c r="M2959" s="19">
        <v>68.0</v>
      </c>
      <c r="N2959" s="19">
        <v>30.0</v>
      </c>
    </row>
    <row r="2960">
      <c r="A2960" s="12">
        <v>2958.0</v>
      </c>
      <c r="B2960" s="13" t="s">
        <v>1293</v>
      </c>
      <c r="C2960" s="14">
        <v>68.0</v>
      </c>
      <c r="D2960" s="15" t="s">
        <v>5546</v>
      </c>
      <c r="E2960" s="16" t="s">
        <v>221</v>
      </c>
      <c r="F2960" s="13" t="s">
        <v>3543</v>
      </c>
      <c r="G2960" s="13" t="s">
        <v>61</v>
      </c>
      <c r="H2960" s="13" t="s">
        <v>5628</v>
      </c>
      <c r="I2960" s="13" t="s">
        <v>56</v>
      </c>
      <c r="J2960" s="17" t="s">
        <v>71</v>
      </c>
      <c r="K2960" s="17" t="s">
        <v>58</v>
      </c>
      <c r="L2960" s="18" t="s">
        <v>52</v>
      </c>
      <c r="M2960" s="19">
        <v>68.0</v>
      </c>
      <c r="N2960" s="19">
        <v>30.0</v>
      </c>
    </row>
    <row r="2961">
      <c r="A2961" s="12">
        <v>2959.0</v>
      </c>
      <c r="B2961" s="13" t="s">
        <v>1293</v>
      </c>
      <c r="C2961" s="14">
        <v>69.0</v>
      </c>
      <c r="D2961" s="15" t="s">
        <v>5546</v>
      </c>
      <c r="E2961" s="16" t="s">
        <v>221</v>
      </c>
      <c r="F2961" s="13" t="s">
        <v>2804</v>
      </c>
      <c r="G2961" s="13" t="s">
        <v>5629</v>
      </c>
      <c r="H2961" s="13" t="s">
        <v>5630</v>
      </c>
      <c r="I2961" s="13" t="s">
        <v>56</v>
      </c>
      <c r="J2961" s="17" t="s">
        <v>71</v>
      </c>
      <c r="K2961" s="17" t="s">
        <v>58</v>
      </c>
      <c r="L2961" s="18" t="s">
        <v>52</v>
      </c>
      <c r="M2961" s="19">
        <v>68.0</v>
      </c>
      <c r="N2961" s="19">
        <v>30.0</v>
      </c>
    </row>
    <row r="2962">
      <c r="A2962" s="12">
        <v>2960.0</v>
      </c>
      <c r="B2962" s="13" t="s">
        <v>1293</v>
      </c>
      <c r="C2962" s="14">
        <v>70.0</v>
      </c>
      <c r="D2962" s="15" t="s">
        <v>5546</v>
      </c>
      <c r="E2962" s="16" t="s">
        <v>221</v>
      </c>
      <c r="F2962" s="13" t="s">
        <v>1732</v>
      </c>
      <c r="G2962" s="13" t="s">
        <v>61</v>
      </c>
      <c r="H2962" s="13" t="s">
        <v>5631</v>
      </c>
      <c r="I2962" s="13" t="s">
        <v>56</v>
      </c>
      <c r="J2962" s="17" t="s">
        <v>71</v>
      </c>
      <c r="K2962" s="17" t="s">
        <v>58</v>
      </c>
      <c r="L2962" s="18" t="s">
        <v>52</v>
      </c>
      <c r="M2962" s="19">
        <v>68.0</v>
      </c>
      <c r="N2962" s="19">
        <v>30.0</v>
      </c>
    </row>
    <row r="2963">
      <c r="A2963" s="12">
        <v>2961.0</v>
      </c>
      <c r="B2963" s="13" t="s">
        <v>1293</v>
      </c>
      <c r="C2963" s="14">
        <v>71.0</v>
      </c>
      <c r="D2963" s="15" t="s">
        <v>5546</v>
      </c>
      <c r="E2963" s="16" t="s">
        <v>221</v>
      </c>
      <c r="F2963" s="13" t="s">
        <v>2535</v>
      </c>
      <c r="G2963" s="13" t="s">
        <v>61</v>
      </c>
      <c r="H2963" s="13" t="s">
        <v>5632</v>
      </c>
      <c r="I2963" s="13" t="s">
        <v>56</v>
      </c>
      <c r="J2963" s="17" t="s">
        <v>71</v>
      </c>
      <c r="K2963" s="17" t="s">
        <v>58</v>
      </c>
      <c r="L2963" s="18" t="s">
        <v>52</v>
      </c>
      <c r="M2963" s="19">
        <v>68.0</v>
      </c>
      <c r="N2963" s="19">
        <v>30.0</v>
      </c>
    </row>
    <row r="2964">
      <c r="A2964" s="12">
        <v>2962.0</v>
      </c>
      <c r="B2964" s="13" t="s">
        <v>1293</v>
      </c>
      <c r="C2964" s="14">
        <v>72.0</v>
      </c>
      <c r="D2964" s="15" t="s">
        <v>5546</v>
      </c>
      <c r="E2964" s="16" t="s">
        <v>221</v>
      </c>
      <c r="F2964" s="13" t="s">
        <v>4236</v>
      </c>
      <c r="G2964" s="13" t="s">
        <v>61</v>
      </c>
      <c r="H2964" s="13" t="s">
        <v>5633</v>
      </c>
      <c r="I2964" s="13" t="s">
        <v>56</v>
      </c>
      <c r="J2964" s="17" t="s">
        <v>71</v>
      </c>
      <c r="K2964" s="17" t="s">
        <v>58</v>
      </c>
      <c r="L2964" s="18" t="s">
        <v>52</v>
      </c>
      <c r="M2964" s="19">
        <v>68.0</v>
      </c>
      <c r="N2964" s="19">
        <v>30.0</v>
      </c>
    </row>
    <row r="2965">
      <c r="A2965" s="12">
        <v>2963.0</v>
      </c>
      <c r="B2965" s="13" t="s">
        <v>1293</v>
      </c>
      <c r="C2965" s="14">
        <v>73.0</v>
      </c>
      <c r="D2965" s="15" t="s">
        <v>5546</v>
      </c>
      <c r="E2965" s="16" t="s">
        <v>221</v>
      </c>
      <c r="F2965" s="13" t="s">
        <v>4515</v>
      </c>
      <c r="G2965" s="13" t="s">
        <v>61</v>
      </c>
      <c r="H2965" s="13" t="s">
        <v>5634</v>
      </c>
      <c r="I2965" s="13" t="s">
        <v>56</v>
      </c>
      <c r="J2965" s="17" t="s">
        <v>71</v>
      </c>
      <c r="K2965" s="17" t="s">
        <v>58</v>
      </c>
      <c r="L2965" s="18" t="s">
        <v>52</v>
      </c>
      <c r="M2965" s="19">
        <v>68.0</v>
      </c>
      <c r="N2965" s="19">
        <v>30.0</v>
      </c>
    </row>
    <row r="2966">
      <c r="A2966" s="12">
        <v>2964.0</v>
      </c>
      <c r="B2966" s="13" t="s">
        <v>1293</v>
      </c>
      <c r="C2966" s="14">
        <v>74.0</v>
      </c>
      <c r="D2966" s="15" t="s">
        <v>5546</v>
      </c>
      <c r="E2966" s="16" t="s">
        <v>221</v>
      </c>
      <c r="F2966" s="13" t="s">
        <v>457</v>
      </c>
      <c r="G2966" s="13" t="s">
        <v>61</v>
      </c>
      <c r="H2966" s="13" t="s">
        <v>4217</v>
      </c>
      <c r="I2966" s="13" t="s">
        <v>56</v>
      </c>
      <c r="J2966" s="17" t="s">
        <v>71</v>
      </c>
      <c r="K2966" s="17" t="s">
        <v>58</v>
      </c>
      <c r="L2966" s="18" t="s">
        <v>52</v>
      </c>
      <c r="M2966" s="19">
        <v>68.0</v>
      </c>
      <c r="N2966" s="19">
        <v>30.0</v>
      </c>
    </row>
    <row r="2967">
      <c r="A2967" s="12">
        <v>2965.0</v>
      </c>
      <c r="B2967" s="13" t="s">
        <v>1293</v>
      </c>
      <c r="C2967" s="14">
        <v>75.0</v>
      </c>
      <c r="D2967" s="15" t="s">
        <v>5546</v>
      </c>
      <c r="E2967" s="16" t="s">
        <v>221</v>
      </c>
      <c r="F2967" s="13" t="s">
        <v>2539</v>
      </c>
      <c r="G2967" s="13" t="s">
        <v>61</v>
      </c>
      <c r="H2967" s="13" t="s">
        <v>5635</v>
      </c>
      <c r="I2967" s="13" t="s">
        <v>56</v>
      </c>
      <c r="J2967" s="17" t="s">
        <v>71</v>
      </c>
      <c r="K2967" s="17" t="s">
        <v>58</v>
      </c>
      <c r="L2967" s="18" t="s">
        <v>52</v>
      </c>
      <c r="M2967" s="19">
        <v>68.0</v>
      </c>
      <c r="N2967" s="19">
        <v>30.0</v>
      </c>
    </row>
    <row r="2968">
      <c r="A2968" s="12">
        <v>2966.0</v>
      </c>
      <c r="B2968" s="13" t="s">
        <v>1293</v>
      </c>
      <c r="C2968" s="14">
        <v>76.0</v>
      </c>
      <c r="D2968" s="15" t="s">
        <v>5546</v>
      </c>
      <c r="E2968" s="16" t="s">
        <v>221</v>
      </c>
      <c r="F2968" s="13" t="s">
        <v>231</v>
      </c>
      <c r="G2968" s="13" t="s">
        <v>61</v>
      </c>
      <c r="H2968" s="13" t="s">
        <v>5636</v>
      </c>
      <c r="I2968" s="13" t="s">
        <v>56</v>
      </c>
      <c r="J2968" s="17" t="s">
        <v>71</v>
      </c>
      <c r="K2968" s="17" t="s">
        <v>58</v>
      </c>
      <c r="L2968" s="18" t="s">
        <v>52</v>
      </c>
      <c r="M2968" s="19">
        <v>68.0</v>
      </c>
      <c r="N2968" s="19">
        <v>30.0</v>
      </c>
    </row>
    <row r="2969">
      <c r="A2969" s="12">
        <v>2967.0</v>
      </c>
      <c r="B2969" s="13" t="s">
        <v>1293</v>
      </c>
      <c r="C2969" s="14">
        <v>77.0</v>
      </c>
      <c r="D2969" s="15" t="s">
        <v>5546</v>
      </c>
      <c r="E2969" s="16" t="s">
        <v>221</v>
      </c>
      <c r="F2969" s="13" t="s">
        <v>3359</v>
      </c>
      <c r="G2969" s="13" t="s">
        <v>61</v>
      </c>
      <c r="H2969" s="13" t="s">
        <v>5637</v>
      </c>
      <c r="I2969" s="13" t="s">
        <v>56</v>
      </c>
      <c r="J2969" s="17" t="s">
        <v>71</v>
      </c>
      <c r="K2969" s="17" t="s">
        <v>58</v>
      </c>
      <c r="L2969" s="18" t="s">
        <v>52</v>
      </c>
      <c r="M2969" s="19">
        <v>68.0</v>
      </c>
      <c r="N2969" s="19">
        <v>30.0</v>
      </c>
    </row>
    <row r="2970">
      <c r="A2970" s="12">
        <v>2968.0</v>
      </c>
      <c r="B2970" s="13" t="s">
        <v>1293</v>
      </c>
      <c r="C2970" s="14">
        <v>78.0</v>
      </c>
      <c r="D2970" s="15" t="s">
        <v>5546</v>
      </c>
      <c r="E2970" s="16" t="s">
        <v>221</v>
      </c>
      <c r="F2970" s="13" t="s">
        <v>4055</v>
      </c>
      <c r="G2970" s="13" t="s">
        <v>61</v>
      </c>
      <c r="H2970" s="13" t="s">
        <v>5638</v>
      </c>
      <c r="I2970" s="13" t="s">
        <v>56</v>
      </c>
      <c r="J2970" s="17" t="s">
        <v>71</v>
      </c>
      <c r="K2970" s="17" t="s">
        <v>58</v>
      </c>
      <c r="L2970" s="18" t="s">
        <v>52</v>
      </c>
      <c r="M2970" s="19">
        <v>68.0</v>
      </c>
      <c r="N2970" s="19">
        <v>30.0</v>
      </c>
    </row>
    <row r="2971">
      <c r="A2971" s="12">
        <v>2969.0</v>
      </c>
      <c r="B2971" s="13" t="s">
        <v>1293</v>
      </c>
      <c r="C2971" s="14">
        <v>79.0</v>
      </c>
      <c r="D2971" s="15" t="s">
        <v>5546</v>
      </c>
      <c r="E2971" s="16" t="s">
        <v>221</v>
      </c>
      <c r="F2971" s="13" t="s">
        <v>5406</v>
      </c>
      <c r="G2971" s="13" t="s">
        <v>61</v>
      </c>
      <c r="H2971" s="13" t="s">
        <v>5639</v>
      </c>
      <c r="I2971" s="13" t="s">
        <v>56</v>
      </c>
      <c r="J2971" s="17" t="s">
        <v>71</v>
      </c>
      <c r="K2971" s="17" t="s">
        <v>58</v>
      </c>
      <c r="L2971" s="18" t="s">
        <v>52</v>
      </c>
      <c r="M2971" s="19">
        <v>68.0</v>
      </c>
      <c r="N2971" s="19">
        <v>30.0</v>
      </c>
    </row>
    <row r="2972">
      <c r="A2972" s="12">
        <v>2970.0</v>
      </c>
      <c r="B2972" s="13" t="s">
        <v>1293</v>
      </c>
      <c r="C2972" s="14">
        <v>80.0</v>
      </c>
      <c r="D2972" s="15" t="s">
        <v>5546</v>
      </c>
      <c r="E2972" s="16" t="s">
        <v>221</v>
      </c>
      <c r="F2972" s="13" t="s">
        <v>5408</v>
      </c>
      <c r="G2972" s="13" t="s">
        <v>61</v>
      </c>
      <c r="H2972" s="13" t="s">
        <v>5640</v>
      </c>
      <c r="I2972" s="13" t="s">
        <v>56</v>
      </c>
      <c r="J2972" s="17" t="s">
        <v>71</v>
      </c>
      <c r="K2972" s="17" t="s">
        <v>58</v>
      </c>
      <c r="L2972" s="18" t="s">
        <v>52</v>
      </c>
      <c r="M2972" s="19">
        <v>68.0</v>
      </c>
      <c r="N2972" s="19">
        <v>30.0</v>
      </c>
    </row>
    <row r="2973">
      <c r="A2973" s="12">
        <v>2971.0</v>
      </c>
      <c r="B2973" s="13" t="s">
        <v>1293</v>
      </c>
      <c r="C2973" s="14">
        <v>81.0</v>
      </c>
      <c r="D2973" s="15" t="s">
        <v>5546</v>
      </c>
      <c r="E2973" s="16" t="s">
        <v>221</v>
      </c>
      <c r="F2973" s="13" t="s">
        <v>4512</v>
      </c>
      <c r="G2973" s="13" t="s">
        <v>4513</v>
      </c>
      <c r="H2973" s="13" t="s">
        <v>5641</v>
      </c>
      <c r="I2973" s="13" t="s">
        <v>56</v>
      </c>
      <c r="J2973" s="17" t="s">
        <v>71</v>
      </c>
      <c r="K2973" s="17" t="s">
        <v>58</v>
      </c>
      <c r="L2973" s="18" t="s">
        <v>52</v>
      </c>
      <c r="M2973" s="19">
        <v>68.0</v>
      </c>
      <c r="N2973" s="19">
        <v>30.0</v>
      </c>
    </row>
    <row r="2974">
      <c r="A2974" s="12">
        <v>2972.0</v>
      </c>
      <c r="B2974" s="13" t="s">
        <v>1293</v>
      </c>
      <c r="C2974" s="14">
        <v>82.0</v>
      </c>
      <c r="D2974" s="15" t="s">
        <v>5546</v>
      </c>
      <c r="E2974" s="16" t="s">
        <v>221</v>
      </c>
      <c r="F2974" s="13" t="s">
        <v>4553</v>
      </c>
      <c r="G2974" s="13" t="s">
        <v>61</v>
      </c>
      <c r="H2974" s="13" t="s">
        <v>5642</v>
      </c>
      <c r="I2974" s="13" t="s">
        <v>56</v>
      </c>
      <c r="J2974" s="17" t="s">
        <v>71</v>
      </c>
      <c r="K2974" s="17" t="s">
        <v>58</v>
      </c>
      <c r="L2974" s="18" t="s">
        <v>52</v>
      </c>
      <c r="M2974" s="19">
        <v>68.0</v>
      </c>
      <c r="N2974" s="19">
        <v>30.0</v>
      </c>
    </row>
    <row r="2975">
      <c r="A2975" s="12">
        <v>2973.0</v>
      </c>
      <c r="B2975" s="13" t="s">
        <v>1293</v>
      </c>
      <c r="C2975" s="14">
        <v>83.0</v>
      </c>
      <c r="D2975" s="15" t="s">
        <v>5546</v>
      </c>
      <c r="E2975" s="16" t="s">
        <v>221</v>
      </c>
      <c r="F2975" s="13" t="s">
        <v>4445</v>
      </c>
      <c r="G2975" s="13" t="s">
        <v>61</v>
      </c>
      <c r="H2975" s="13" t="s">
        <v>5643</v>
      </c>
      <c r="I2975" s="13" t="s">
        <v>56</v>
      </c>
      <c r="J2975" s="17" t="s">
        <v>71</v>
      </c>
      <c r="K2975" s="17" t="s">
        <v>58</v>
      </c>
      <c r="L2975" s="18" t="s">
        <v>52</v>
      </c>
      <c r="M2975" s="19">
        <v>68.0</v>
      </c>
      <c r="N2975" s="19">
        <v>30.0</v>
      </c>
    </row>
    <row r="2976">
      <c r="A2976" s="12">
        <v>2974.0</v>
      </c>
      <c r="B2976" s="13" t="s">
        <v>1293</v>
      </c>
      <c r="C2976" s="14">
        <v>84.0</v>
      </c>
      <c r="D2976" s="15" t="s">
        <v>5546</v>
      </c>
      <c r="E2976" s="16" t="s">
        <v>221</v>
      </c>
      <c r="F2976" s="13" t="s">
        <v>5386</v>
      </c>
      <c r="G2976" s="13" t="s">
        <v>61</v>
      </c>
      <c r="H2976" s="13" t="s">
        <v>5644</v>
      </c>
      <c r="I2976" s="13" t="s">
        <v>56</v>
      </c>
      <c r="J2976" s="17" t="s">
        <v>71</v>
      </c>
      <c r="K2976" s="17" t="s">
        <v>58</v>
      </c>
      <c r="L2976" s="18" t="s">
        <v>52</v>
      </c>
      <c r="M2976" s="19">
        <v>68.0</v>
      </c>
      <c r="N2976" s="19">
        <v>30.0</v>
      </c>
    </row>
    <row r="2977">
      <c r="A2977" s="12">
        <v>2975.0</v>
      </c>
      <c r="B2977" s="13" t="s">
        <v>1293</v>
      </c>
      <c r="C2977" s="14">
        <v>85.0</v>
      </c>
      <c r="D2977" s="15" t="s">
        <v>5546</v>
      </c>
      <c r="E2977" s="16" t="s">
        <v>221</v>
      </c>
      <c r="F2977" s="13" t="s">
        <v>707</v>
      </c>
      <c r="G2977" s="13" t="s">
        <v>61</v>
      </c>
      <c r="H2977" s="13" t="s">
        <v>5645</v>
      </c>
      <c r="I2977" s="13" t="s">
        <v>56</v>
      </c>
      <c r="J2977" s="17" t="s">
        <v>71</v>
      </c>
      <c r="K2977" s="17" t="s">
        <v>58</v>
      </c>
      <c r="L2977" s="18" t="s">
        <v>52</v>
      </c>
      <c r="M2977" s="19">
        <v>68.0</v>
      </c>
      <c r="N2977" s="19">
        <v>30.0</v>
      </c>
    </row>
    <row r="2978">
      <c r="A2978" s="12">
        <v>2976.0</v>
      </c>
      <c r="B2978" s="13" t="s">
        <v>1293</v>
      </c>
      <c r="C2978" s="14">
        <v>86.0</v>
      </c>
      <c r="D2978" s="15" t="s">
        <v>5546</v>
      </c>
      <c r="E2978" s="16" t="s">
        <v>221</v>
      </c>
      <c r="F2978" s="13" t="s">
        <v>3321</v>
      </c>
      <c r="G2978" s="13" t="s">
        <v>61</v>
      </c>
      <c r="H2978" s="13" t="s">
        <v>5646</v>
      </c>
      <c r="I2978" s="13" t="s">
        <v>56</v>
      </c>
      <c r="J2978" s="17" t="s">
        <v>71</v>
      </c>
      <c r="K2978" s="17" t="s">
        <v>58</v>
      </c>
      <c r="L2978" s="18" t="s">
        <v>52</v>
      </c>
      <c r="M2978" s="19">
        <v>68.0</v>
      </c>
      <c r="N2978" s="19">
        <v>30.0</v>
      </c>
    </row>
    <row r="2979">
      <c r="A2979" s="12">
        <v>2977.0</v>
      </c>
      <c r="B2979" s="13" t="s">
        <v>1293</v>
      </c>
      <c r="C2979" s="14">
        <v>87.0</v>
      </c>
      <c r="D2979" s="15" t="s">
        <v>5546</v>
      </c>
      <c r="E2979" s="16" t="s">
        <v>221</v>
      </c>
      <c r="F2979" s="13" t="s">
        <v>2497</v>
      </c>
      <c r="G2979" s="13" t="s">
        <v>61</v>
      </c>
      <c r="H2979" s="13" t="s">
        <v>5647</v>
      </c>
      <c r="I2979" s="13" t="s">
        <v>56</v>
      </c>
      <c r="J2979" s="17" t="s">
        <v>71</v>
      </c>
      <c r="K2979" s="17" t="s">
        <v>58</v>
      </c>
      <c r="L2979" s="18" t="s">
        <v>52</v>
      </c>
      <c r="M2979" s="19">
        <v>68.0</v>
      </c>
      <c r="N2979" s="19">
        <v>30.0</v>
      </c>
    </row>
    <row r="2980">
      <c r="A2980" s="12">
        <v>2978.0</v>
      </c>
      <c r="B2980" s="13" t="s">
        <v>1293</v>
      </c>
      <c r="C2980" s="14">
        <v>88.0</v>
      </c>
      <c r="D2980" s="15" t="s">
        <v>5546</v>
      </c>
      <c r="E2980" s="16" t="s">
        <v>221</v>
      </c>
      <c r="F2980" s="13" t="s">
        <v>2513</v>
      </c>
      <c r="G2980" s="13" t="s">
        <v>61</v>
      </c>
      <c r="H2980" s="13" t="s">
        <v>5648</v>
      </c>
      <c r="I2980" s="13" t="s">
        <v>56</v>
      </c>
      <c r="J2980" s="17" t="s">
        <v>71</v>
      </c>
      <c r="K2980" s="17" t="s">
        <v>58</v>
      </c>
      <c r="L2980" s="18" t="s">
        <v>52</v>
      </c>
      <c r="M2980" s="19">
        <v>68.0</v>
      </c>
      <c r="N2980" s="19">
        <v>30.0</v>
      </c>
    </row>
    <row r="2981">
      <c r="A2981" s="12">
        <v>2979.0</v>
      </c>
      <c r="B2981" s="13" t="s">
        <v>1293</v>
      </c>
      <c r="C2981" s="14">
        <v>89.0</v>
      </c>
      <c r="D2981" s="15" t="s">
        <v>5546</v>
      </c>
      <c r="E2981" s="16" t="s">
        <v>221</v>
      </c>
      <c r="F2981" s="13" t="s">
        <v>4756</v>
      </c>
      <c r="G2981" s="13" t="s">
        <v>61</v>
      </c>
      <c r="H2981" s="13" t="s">
        <v>5649</v>
      </c>
      <c r="I2981" s="13" t="s">
        <v>56</v>
      </c>
      <c r="J2981" s="17" t="s">
        <v>71</v>
      </c>
      <c r="K2981" s="17" t="s">
        <v>58</v>
      </c>
      <c r="L2981" s="18" t="s">
        <v>52</v>
      </c>
      <c r="M2981" s="19">
        <v>68.0</v>
      </c>
      <c r="N2981" s="19">
        <v>30.0</v>
      </c>
    </row>
    <row r="2982">
      <c r="A2982" s="12">
        <v>2980.0</v>
      </c>
      <c r="B2982" s="13" t="s">
        <v>1293</v>
      </c>
      <c r="C2982" s="14">
        <v>90.0</v>
      </c>
      <c r="D2982" s="15" t="s">
        <v>5546</v>
      </c>
      <c r="E2982" s="16" t="s">
        <v>221</v>
      </c>
      <c r="F2982" s="13" t="s">
        <v>3351</v>
      </c>
      <c r="G2982" s="13" t="s">
        <v>61</v>
      </c>
      <c r="H2982" s="13" t="s">
        <v>5650</v>
      </c>
      <c r="I2982" s="13" t="s">
        <v>56</v>
      </c>
      <c r="J2982" s="17" t="s">
        <v>71</v>
      </c>
      <c r="K2982" s="17" t="s">
        <v>58</v>
      </c>
      <c r="L2982" s="18" t="s">
        <v>52</v>
      </c>
      <c r="M2982" s="19">
        <v>68.0</v>
      </c>
      <c r="N2982" s="19">
        <v>30.0</v>
      </c>
    </row>
    <row r="2983">
      <c r="A2983" s="12">
        <v>2981.0</v>
      </c>
      <c r="B2983" s="13" t="s">
        <v>1293</v>
      </c>
      <c r="C2983" s="14">
        <v>91.0</v>
      </c>
      <c r="D2983" s="15" t="s">
        <v>5546</v>
      </c>
      <c r="E2983" s="16" t="s">
        <v>221</v>
      </c>
      <c r="F2983" s="13" t="s">
        <v>4852</v>
      </c>
      <c r="G2983" s="13" t="s">
        <v>61</v>
      </c>
      <c r="H2983" s="13" t="s">
        <v>5651</v>
      </c>
      <c r="I2983" s="13" t="s">
        <v>56</v>
      </c>
      <c r="J2983" s="17" t="s">
        <v>71</v>
      </c>
      <c r="K2983" s="17" t="s">
        <v>58</v>
      </c>
      <c r="L2983" s="18" t="s">
        <v>52</v>
      </c>
      <c r="M2983" s="19">
        <v>68.0</v>
      </c>
      <c r="N2983" s="19">
        <v>30.0</v>
      </c>
    </row>
    <row r="2984">
      <c r="A2984" s="12">
        <v>2982.0</v>
      </c>
      <c r="B2984" s="13" t="s">
        <v>1293</v>
      </c>
      <c r="C2984" s="14">
        <v>92.0</v>
      </c>
      <c r="D2984" s="15" t="s">
        <v>5546</v>
      </c>
      <c r="E2984" s="16" t="s">
        <v>221</v>
      </c>
      <c r="F2984" s="13" t="s">
        <v>115</v>
      </c>
      <c r="G2984" s="13" t="s">
        <v>61</v>
      </c>
      <c r="H2984" s="13" t="s">
        <v>5652</v>
      </c>
      <c r="I2984" s="13" t="s">
        <v>56</v>
      </c>
      <c r="J2984" s="17" t="s">
        <v>71</v>
      </c>
      <c r="K2984" s="17" t="s">
        <v>58</v>
      </c>
      <c r="L2984" s="18" t="s">
        <v>52</v>
      </c>
      <c r="M2984" s="19">
        <v>68.0</v>
      </c>
      <c r="N2984" s="19">
        <v>30.0</v>
      </c>
    </row>
    <row r="2985">
      <c r="A2985" s="12">
        <v>2983.0</v>
      </c>
      <c r="B2985" s="13" t="s">
        <v>1293</v>
      </c>
      <c r="C2985" s="14">
        <v>93.0</v>
      </c>
      <c r="D2985" s="15" t="s">
        <v>5546</v>
      </c>
      <c r="E2985" s="16" t="s">
        <v>221</v>
      </c>
      <c r="F2985" s="13" t="s">
        <v>1129</v>
      </c>
      <c r="G2985" s="13" t="s">
        <v>61</v>
      </c>
      <c r="H2985" s="13" t="s">
        <v>5653</v>
      </c>
      <c r="I2985" s="13" t="s">
        <v>56</v>
      </c>
      <c r="J2985" s="17" t="s">
        <v>71</v>
      </c>
      <c r="K2985" s="17" t="s">
        <v>58</v>
      </c>
      <c r="L2985" s="18" t="s">
        <v>52</v>
      </c>
      <c r="M2985" s="19">
        <v>68.0</v>
      </c>
      <c r="N2985" s="19">
        <v>30.0</v>
      </c>
    </row>
    <row r="2986">
      <c r="A2986" s="12">
        <v>2984.0</v>
      </c>
      <c r="B2986" s="13" t="s">
        <v>1293</v>
      </c>
      <c r="C2986" s="14">
        <v>94.0</v>
      </c>
      <c r="D2986" s="15" t="s">
        <v>5546</v>
      </c>
      <c r="E2986" s="16" t="s">
        <v>221</v>
      </c>
      <c r="F2986" s="13" t="s">
        <v>5428</v>
      </c>
      <c r="G2986" s="13" t="s">
        <v>61</v>
      </c>
      <c r="H2986" s="13" t="s">
        <v>5654</v>
      </c>
      <c r="I2986" s="13" t="s">
        <v>56</v>
      </c>
      <c r="J2986" s="17" t="s">
        <v>71</v>
      </c>
      <c r="K2986" s="17" t="s">
        <v>58</v>
      </c>
      <c r="L2986" s="18" t="s">
        <v>52</v>
      </c>
      <c r="M2986" s="19">
        <v>68.0</v>
      </c>
      <c r="N2986" s="19">
        <v>30.0</v>
      </c>
    </row>
    <row r="2987">
      <c r="A2987" s="12">
        <v>2985.0</v>
      </c>
      <c r="B2987" s="13" t="s">
        <v>1293</v>
      </c>
      <c r="C2987" s="14">
        <v>95.0</v>
      </c>
      <c r="D2987" s="15" t="s">
        <v>5546</v>
      </c>
      <c r="E2987" s="16" t="s">
        <v>221</v>
      </c>
      <c r="F2987" s="13" t="s">
        <v>712</v>
      </c>
      <c r="G2987" s="13" t="s">
        <v>5656</v>
      </c>
      <c r="H2987" s="13" t="s">
        <v>5657</v>
      </c>
      <c r="I2987" s="13" t="s">
        <v>56</v>
      </c>
      <c r="J2987" s="17" t="s">
        <v>71</v>
      </c>
      <c r="K2987" s="17" t="s">
        <v>58</v>
      </c>
      <c r="L2987" s="18" t="s">
        <v>52</v>
      </c>
      <c r="M2987" s="19">
        <v>68.0</v>
      </c>
      <c r="N2987" s="19">
        <v>30.0</v>
      </c>
    </row>
    <row r="2988">
      <c r="A2988" s="12">
        <v>2986.0</v>
      </c>
      <c r="B2988" s="13" t="s">
        <v>1293</v>
      </c>
      <c r="C2988" s="14">
        <v>96.0</v>
      </c>
      <c r="D2988" s="15" t="s">
        <v>5546</v>
      </c>
      <c r="E2988" s="16" t="s">
        <v>221</v>
      </c>
      <c r="F2988" s="13" t="s">
        <v>4072</v>
      </c>
      <c r="G2988" s="13" t="s">
        <v>61</v>
      </c>
      <c r="H2988" s="13" t="s">
        <v>5658</v>
      </c>
      <c r="I2988" s="13" t="s">
        <v>56</v>
      </c>
      <c r="J2988" s="17" t="s">
        <v>71</v>
      </c>
      <c r="K2988" s="17" t="s">
        <v>58</v>
      </c>
      <c r="L2988" s="18" t="s">
        <v>52</v>
      </c>
      <c r="M2988" s="19">
        <v>68.0</v>
      </c>
      <c r="N2988" s="19">
        <v>30.0</v>
      </c>
    </row>
    <row r="2989">
      <c r="A2989" s="12">
        <v>2987.0</v>
      </c>
      <c r="B2989" s="13" t="s">
        <v>1293</v>
      </c>
      <c r="C2989" s="14">
        <v>97.0</v>
      </c>
      <c r="D2989" s="15" t="s">
        <v>5546</v>
      </c>
      <c r="E2989" s="16" t="s">
        <v>221</v>
      </c>
      <c r="F2989" s="13" t="s">
        <v>5435</v>
      </c>
      <c r="G2989" s="13" t="s">
        <v>61</v>
      </c>
      <c r="H2989" s="13" t="s">
        <v>5659</v>
      </c>
      <c r="I2989" s="13" t="s">
        <v>56</v>
      </c>
      <c r="J2989" s="17" t="s">
        <v>71</v>
      </c>
      <c r="K2989" s="17" t="s">
        <v>58</v>
      </c>
      <c r="L2989" s="18" t="s">
        <v>52</v>
      </c>
      <c r="M2989" s="19">
        <v>68.0</v>
      </c>
      <c r="N2989" s="19">
        <v>30.0</v>
      </c>
    </row>
    <row r="2990">
      <c r="A2990" s="12">
        <v>2988.0</v>
      </c>
      <c r="B2990" s="13" t="s">
        <v>1293</v>
      </c>
      <c r="C2990" s="14">
        <v>98.0</v>
      </c>
      <c r="D2990" s="15" t="s">
        <v>5546</v>
      </c>
      <c r="E2990" s="16" t="s">
        <v>221</v>
      </c>
      <c r="F2990" s="13" t="s">
        <v>833</v>
      </c>
      <c r="G2990" s="13" t="s">
        <v>61</v>
      </c>
      <c r="H2990" s="13" t="s">
        <v>5660</v>
      </c>
      <c r="I2990" s="13" t="s">
        <v>56</v>
      </c>
      <c r="J2990" s="17" t="s">
        <v>71</v>
      </c>
      <c r="K2990" s="17" t="s">
        <v>58</v>
      </c>
      <c r="L2990" s="18" t="s">
        <v>52</v>
      </c>
      <c r="M2990" s="19">
        <v>68.0</v>
      </c>
      <c r="N2990" s="19">
        <v>30.0</v>
      </c>
    </row>
    <row r="2991">
      <c r="A2991" s="12">
        <v>2989.0</v>
      </c>
      <c r="B2991" s="13" t="s">
        <v>1293</v>
      </c>
      <c r="C2991" s="14">
        <v>99.0</v>
      </c>
      <c r="D2991" s="15" t="s">
        <v>5546</v>
      </c>
      <c r="E2991" s="16" t="s">
        <v>221</v>
      </c>
      <c r="F2991" s="13" t="s">
        <v>444</v>
      </c>
      <c r="G2991" s="13" t="s">
        <v>61</v>
      </c>
      <c r="H2991" s="13" t="s">
        <v>5661</v>
      </c>
      <c r="I2991" s="13" t="s">
        <v>56</v>
      </c>
      <c r="J2991" s="17" t="s">
        <v>71</v>
      </c>
      <c r="K2991" s="17" t="s">
        <v>58</v>
      </c>
      <c r="L2991" s="18" t="s">
        <v>52</v>
      </c>
      <c r="M2991" s="19">
        <v>68.0</v>
      </c>
      <c r="N2991" s="19">
        <v>30.0</v>
      </c>
    </row>
    <row r="2992">
      <c r="A2992" s="12">
        <v>2990.0</v>
      </c>
      <c r="B2992" s="13" t="s">
        <v>1293</v>
      </c>
      <c r="C2992" s="14">
        <v>100.0</v>
      </c>
      <c r="D2992" s="15" t="s">
        <v>5546</v>
      </c>
      <c r="E2992" s="16" t="s">
        <v>221</v>
      </c>
      <c r="F2992" s="13" t="s">
        <v>2895</v>
      </c>
      <c r="G2992" s="13" t="s">
        <v>61</v>
      </c>
      <c r="H2992" s="13" t="s">
        <v>5662</v>
      </c>
      <c r="I2992" s="13" t="s">
        <v>56</v>
      </c>
      <c r="J2992" s="17" t="s">
        <v>71</v>
      </c>
      <c r="K2992" s="17" t="s">
        <v>58</v>
      </c>
      <c r="L2992" s="18" t="s">
        <v>52</v>
      </c>
      <c r="M2992" s="19">
        <v>68.0</v>
      </c>
      <c r="N2992" s="19">
        <v>30.0</v>
      </c>
    </row>
    <row r="2993">
      <c r="A2993" s="12">
        <v>2991.0</v>
      </c>
      <c r="B2993" s="13" t="s">
        <v>1293</v>
      </c>
      <c r="C2993" s="14">
        <v>101.0</v>
      </c>
      <c r="D2993" s="15" t="s">
        <v>5546</v>
      </c>
      <c r="E2993" s="16" t="s">
        <v>221</v>
      </c>
      <c r="F2993" s="13" t="s">
        <v>1162</v>
      </c>
      <c r="G2993" s="13" t="s">
        <v>1163</v>
      </c>
      <c r="H2993" s="13" t="s">
        <v>5663</v>
      </c>
      <c r="I2993" s="13" t="s">
        <v>56</v>
      </c>
      <c r="J2993" s="17" t="s">
        <v>71</v>
      </c>
      <c r="K2993" s="17" t="s">
        <v>58</v>
      </c>
      <c r="L2993" s="18" t="s">
        <v>52</v>
      </c>
      <c r="M2993" s="19">
        <v>68.0</v>
      </c>
      <c r="N2993" s="19">
        <v>30.0</v>
      </c>
    </row>
    <row r="2994">
      <c r="A2994" s="12">
        <v>2992.0</v>
      </c>
      <c r="B2994" s="13" t="s">
        <v>1293</v>
      </c>
      <c r="C2994" s="14">
        <v>102.0</v>
      </c>
      <c r="D2994" s="15" t="s">
        <v>5546</v>
      </c>
      <c r="E2994" s="16" t="s">
        <v>221</v>
      </c>
      <c r="F2994" s="13" t="s">
        <v>4952</v>
      </c>
      <c r="G2994" s="13" t="s">
        <v>5664</v>
      </c>
      <c r="H2994" s="13" t="s">
        <v>5665</v>
      </c>
      <c r="I2994" s="13" t="s">
        <v>56</v>
      </c>
      <c r="J2994" s="17" t="s">
        <v>71</v>
      </c>
      <c r="K2994" s="17" t="s">
        <v>58</v>
      </c>
      <c r="L2994" s="18" t="s">
        <v>52</v>
      </c>
      <c r="M2994" s="19">
        <v>68.0</v>
      </c>
      <c r="N2994" s="19">
        <v>30.0</v>
      </c>
    </row>
    <row r="2995">
      <c r="A2995" s="12">
        <v>2993.0</v>
      </c>
      <c r="B2995" s="13" t="s">
        <v>1293</v>
      </c>
      <c r="C2995" s="14">
        <v>103.0</v>
      </c>
      <c r="D2995" s="15" t="s">
        <v>5546</v>
      </c>
      <c r="E2995" s="16" t="s">
        <v>221</v>
      </c>
      <c r="F2995" s="13" t="s">
        <v>124</v>
      </c>
      <c r="G2995" s="13" t="s">
        <v>5666</v>
      </c>
      <c r="H2995" s="13" t="s">
        <v>5667</v>
      </c>
      <c r="I2995" s="13" t="s">
        <v>56</v>
      </c>
      <c r="J2995" s="17" t="s">
        <v>71</v>
      </c>
      <c r="K2995" s="17" t="s">
        <v>58</v>
      </c>
      <c r="L2995" s="18" t="s">
        <v>52</v>
      </c>
      <c r="M2995" s="19">
        <v>68.0</v>
      </c>
      <c r="N2995" s="19">
        <v>30.0</v>
      </c>
    </row>
    <row r="2996">
      <c r="A2996" s="12">
        <v>2994.0</v>
      </c>
      <c r="B2996" s="13" t="s">
        <v>1293</v>
      </c>
      <c r="C2996" s="14">
        <v>104.0</v>
      </c>
      <c r="D2996" s="15" t="s">
        <v>5546</v>
      </c>
      <c r="E2996" s="16" t="s">
        <v>221</v>
      </c>
      <c r="F2996" s="13" t="s">
        <v>2475</v>
      </c>
      <c r="G2996" s="13" t="s">
        <v>5440</v>
      </c>
      <c r="H2996" s="13" t="s">
        <v>5668</v>
      </c>
      <c r="I2996" s="13" t="s">
        <v>56</v>
      </c>
      <c r="J2996" s="17" t="s">
        <v>71</v>
      </c>
      <c r="K2996" s="17" t="s">
        <v>58</v>
      </c>
      <c r="L2996" s="18" t="s">
        <v>52</v>
      </c>
      <c r="M2996" s="19">
        <v>68.0</v>
      </c>
      <c r="N2996" s="19">
        <v>30.0</v>
      </c>
    </row>
    <row r="2997">
      <c r="A2997" s="12">
        <v>2995.0</v>
      </c>
      <c r="B2997" s="13" t="s">
        <v>1293</v>
      </c>
      <c r="C2997" s="14">
        <v>105.0</v>
      </c>
      <c r="D2997" s="15" t="s">
        <v>5546</v>
      </c>
      <c r="E2997" s="16" t="s">
        <v>221</v>
      </c>
      <c r="F2997" s="13" t="s">
        <v>132</v>
      </c>
      <c r="G2997" s="13" t="s">
        <v>134</v>
      </c>
      <c r="H2997" s="13" t="s">
        <v>5669</v>
      </c>
      <c r="I2997" s="13" t="s">
        <v>56</v>
      </c>
      <c r="J2997" s="17" t="s">
        <v>71</v>
      </c>
      <c r="K2997" s="17" t="s">
        <v>58</v>
      </c>
      <c r="L2997" s="18" t="s">
        <v>52</v>
      </c>
      <c r="M2997" s="19">
        <v>68.0</v>
      </c>
      <c r="N2997" s="19">
        <v>30.0</v>
      </c>
    </row>
    <row r="2998">
      <c r="A2998" s="12">
        <v>2996.0</v>
      </c>
      <c r="B2998" s="13" t="s">
        <v>1293</v>
      </c>
      <c r="C2998" s="14">
        <v>106.0</v>
      </c>
      <c r="D2998" s="15" t="s">
        <v>5546</v>
      </c>
      <c r="E2998" s="16" t="s">
        <v>221</v>
      </c>
      <c r="F2998" s="13" t="s">
        <v>2573</v>
      </c>
      <c r="G2998" s="13" t="s">
        <v>2574</v>
      </c>
      <c r="H2998" s="13" t="s">
        <v>5670</v>
      </c>
      <c r="I2998" s="13" t="s">
        <v>56</v>
      </c>
      <c r="J2998" s="17" t="s">
        <v>71</v>
      </c>
      <c r="K2998" s="17" t="s">
        <v>58</v>
      </c>
      <c r="L2998" s="18" t="s">
        <v>52</v>
      </c>
      <c r="M2998" s="19">
        <v>68.0</v>
      </c>
      <c r="N2998" s="19">
        <v>30.0</v>
      </c>
    </row>
    <row r="2999">
      <c r="A2999" s="12">
        <v>2997.0</v>
      </c>
      <c r="B2999" s="13" t="s">
        <v>1293</v>
      </c>
      <c r="C2999" s="14">
        <v>107.0</v>
      </c>
      <c r="D2999" s="15" t="s">
        <v>5546</v>
      </c>
      <c r="E2999" s="16" t="s">
        <v>221</v>
      </c>
      <c r="F2999" s="13" t="s">
        <v>3068</v>
      </c>
      <c r="G2999" s="13" t="s">
        <v>5671</v>
      </c>
      <c r="H2999" s="13" t="s">
        <v>5672</v>
      </c>
      <c r="I2999" s="13" t="s">
        <v>56</v>
      </c>
      <c r="J2999" s="17" t="s">
        <v>71</v>
      </c>
      <c r="K2999" s="17" t="s">
        <v>58</v>
      </c>
      <c r="L2999" s="18" t="s">
        <v>52</v>
      </c>
      <c r="M2999" s="19">
        <v>68.0</v>
      </c>
      <c r="N2999" s="19">
        <v>30.0</v>
      </c>
    </row>
    <row r="3000">
      <c r="A3000" s="12">
        <v>2998.0</v>
      </c>
      <c r="B3000" s="13" t="s">
        <v>1293</v>
      </c>
      <c r="C3000" s="14">
        <v>108.0</v>
      </c>
      <c r="D3000" s="15" t="s">
        <v>5546</v>
      </c>
      <c r="E3000" s="16" t="s">
        <v>221</v>
      </c>
      <c r="F3000" s="13" t="s">
        <v>2570</v>
      </c>
      <c r="G3000" s="13" t="s">
        <v>3880</v>
      </c>
      <c r="H3000" s="13" t="s">
        <v>5673</v>
      </c>
      <c r="I3000" s="13" t="s">
        <v>56</v>
      </c>
      <c r="J3000" s="17" t="s">
        <v>71</v>
      </c>
      <c r="K3000" s="17" t="s">
        <v>58</v>
      </c>
      <c r="L3000" s="18" t="s">
        <v>52</v>
      </c>
      <c r="M3000" s="19">
        <v>68.0</v>
      </c>
      <c r="N3000" s="19">
        <v>30.0</v>
      </c>
    </row>
    <row r="3001">
      <c r="A3001" s="12">
        <v>2999.0</v>
      </c>
      <c r="B3001" s="13" t="s">
        <v>1293</v>
      </c>
      <c r="C3001" s="14">
        <v>109.0</v>
      </c>
      <c r="D3001" s="15" t="s">
        <v>5546</v>
      </c>
      <c r="E3001" s="16" t="s">
        <v>221</v>
      </c>
      <c r="F3001" s="13" t="s">
        <v>2987</v>
      </c>
      <c r="G3001" s="13" t="s">
        <v>5674</v>
      </c>
      <c r="H3001" s="13" t="s">
        <v>5675</v>
      </c>
      <c r="I3001" s="13" t="s">
        <v>56</v>
      </c>
      <c r="J3001" s="17" t="s">
        <v>71</v>
      </c>
      <c r="K3001" s="17" t="s">
        <v>58</v>
      </c>
      <c r="L3001" s="18" t="s">
        <v>52</v>
      </c>
      <c r="M3001" s="19">
        <v>68.0</v>
      </c>
      <c r="N3001" s="19">
        <v>30.0</v>
      </c>
    </row>
    <row r="3002">
      <c r="A3002" s="12">
        <v>3000.0</v>
      </c>
      <c r="B3002" s="13" t="s">
        <v>1293</v>
      </c>
      <c r="C3002" s="14">
        <v>110.0</v>
      </c>
      <c r="D3002" s="15" t="s">
        <v>5546</v>
      </c>
      <c r="E3002" s="16" t="s">
        <v>221</v>
      </c>
      <c r="F3002" s="13" t="s">
        <v>1654</v>
      </c>
      <c r="G3002" s="13" t="s">
        <v>5445</v>
      </c>
      <c r="H3002" s="13" t="s">
        <v>5676</v>
      </c>
      <c r="I3002" s="13" t="s">
        <v>56</v>
      </c>
      <c r="J3002" s="17" t="s">
        <v>71</v>
      </c>
      <c r="K3002" s="17" t="s">
        <v>58</v>
      </c>
      <c r="L3002" s="18" t="s">
        <v>52</v>
      </c>
      <c r="M3002" s="19">
        <v>68.0</v>
      </c>
      <c r="N3002" s="19">
        <v>30.0</v>
      </c>
    </row>
    <row r="3003">
      <c r="A3003" s="12">
        <v>3001.0</v>
      </c>
      <c r="B3003" s="13" t="s">
        <v>1293</v>
      </c>
      <c r="C3003" s="14">
        <v>111.0</v>
      </c>
      <c r="D3003" s="15" t="s">
        <v>5546</v>
      </c>
      <c r="E3003" s="16" t="s">
        <v>221</v>
      </c>
      <c r="F3003" s="13" t="s">
        <v>2046</v>
      </c>
      <c r="G3003" s="13" t="s">
        <v>2047</v>
      </c>
      <c r="H3003" s="13" t="s">
        <v>5677</v>
      </c>
      <c r="I3003" s="13" t="s">
        <v>56</v>
      </c>
      <c r="J3003" s="17" t="s">
        <v>71</v>
      </c>
      <c r="K3003" s="17" t="s">
        <v>58</v>
      </c>
      <c r="L3003" s="18" t="s">
        <v>52</v>
      </c>
      <c r="M3003" s="19">
        <v>68.0</v>
      </c>
      <c r="N3003" s="19">
        <v>30.0</v>
      </c>
    </row>
    <row r="3004">
      <c r="A3004" s="12">
        <v>3002.0</v>
      </c>
      <c r="B3004" s="13" t="s">
        <v>1293</v>
      </c>
      <c r="C3004" s="14">
        <v>112.0</v>
      </c>
      <c r="D3004" s="15" t="s">
        <v>5546</v>
      </c>
      <c r="E3004" s="16" t="s">
        <v>221</v>
      </c>
      <c r="F3004" s="13" t="s">
        <v>518</v>
      </c>
      <c r="G3004" s="13" t="s">
        <v>61</v>
      </c>
      <c r="H3004" s="13" t="s">
        <v>5678</v>
      </c>
      <c r="I3004" s="13" t="s">
        <v>56</v>
      </c>
      <c r="J3004" s="17" t="s">
        <v>71</v>
      </c>
      <c r="K3004" s="17" t="s">
        <v>58</v>
      </c>
      <c r="L3004" s="18" t="s">
        <v>524</v>
      </c>
      <c r="M3004" s="19">
        <v>68.0</v>
      </c>
      <c r="N3004" s="19">
        <v>30.0</v>
      </c>
    </row>
    <row r="3005">
      <c r="A3005" s="12">
        <v>3003.0</v>
      </c>
      <c r="B3005" s="13" t="s">
        <v>1293</v>
      </c>
      <c r="C3005" s="14">
        <v>113.0</v>
      </c>
      <c r="D3005" s="15" t="s">
        <v>5546</v>
      </c>
      <c r="E3005" s="16" t="s">
        <v>221</v>
      </c>
      <c r="F3005" s="13" t="s">
        <v>4576</v>
      </c>
      <c r="G3005" s="13" t="s">
        <v>5679</v>
      </c>
      <c r="H3005" s="13" t="s">
        <v>5680</v>
      </c>
      <c r="I3005" s="13" t="s">
        <v>56</v>
      </c>
      <c r="J3005" s="17" t="s">
        <v>71</v>
      </c>
      <c r="K3005" s="17" t="s">
        <v>58</v>
      </c>
      <c r="L3005" s="18" t="s">
        <v>52</v>
      </c>
      <c r="M3005" s="19">
        <v>68.0</v>
      </c>
      <c r="N3005" s="19">
        <v>30.0</v>
      </c>
    </row>
    <row r="3006">
      <c r="A3006" s="12">
        <v>3004.0</v>
      </c>
      <c r="B3006" s="13" t="s">
        <v>1293</v>
      </c>
      <c r="C3006" s="14">
        <v>114.0</v>
      </c>
      <c r="D3006" s="15" t="s">
        <v>5546</v>
      </c>
      <c r="E3006" s="16" t="s">
        <v>221</v>
      </c>
      <c r="F3006" s="13" t="s">
        <v>2395</v>
      </c>
      <c r="G3006" s="13" t="s">
        <v>5681</v>
      </c>
      <c r="H3006" s="13" t="s">
        <v>5682</v>
      </c>
      <c r="I3006" s="13" t="s">
        <v>56</v>
      </c>
      <c r="J3006" s="17" t="s">
        <v>71</v>
      </c>
      <c r="K3006" s="17" t="s">
        <v>58</v>
      </c>
      <c r="L3006" s="18" t="s">
        <v>52</v>
      </c>
      <c r="M3006" s="19">
        <v>68.0</v>
      </c>
      <c r="N3006" s="19">
        <v>30.0</v>
      </c>
    </row>
    <row r="3007">
      <c r="A3007" s="12">
        <v>3005.0</v>
      </c>
      <c r="B3007" s="13" t="s">
        <v>1293</v>
      </c>
      <c r="C3007" s="14">
        <v>115.0</v>
      </c>
      <c r="D3007" s="15" t="s">
        <v>5546</v>
      </c>
      <c r="E3007" s="16" t="s">
        <v>221</v>
      </c>
      <c r="F3007" s="13" t="s">
        <v>2031</v>
      </c>
      <c r="G3007" s="13" t="s">
        <v>5683</v>
      </c>
      <c r="H3007" s="13" t="s">
        <v>5684</v>
      </c>
      <c r="I3007" s="13" t="s">
        <v>56</v>
      </c>
      <c r="J3007" s="17" t="s">
        <v>71</v>
      </c>
      <c r="K3007" s="17" t="s">
        <v>58</v>
      </c>
      <c r="L3007" s="18" t="s">
        <v>52</v>
      </c>
      <c r="M3007" s="19">
        <v>68.0</v>
      </c>
      <c r="N3007" s="19">
        <v>30.0</v>
      </c>
    </row>
    <row r="3008">
      <c r="A3008" s="12">
        <v>3006.0</v>
      </c>
      <c r="B3008" s="13" t="s">
        <v>1293</v>
      </c>
      <c r="C3008" s="14">
        <v>116.0</v>
      </c>
      <c r="D3008" s="15" t="s">
        <v>5546</v>
      </c>
      <c r="E3008" s="16" t="s">
        <v>221</v>
      </c>
      <c r="F3008" s="13" t="s">
        <v>2492</v>
      </c>
      <c r="G3008" s="13" t="s">
        <v>61</v>
      </c>
      <c r="H3008" s="13" t="s">
        <v>3316</v>
      </c>
      <c r="I3008" s="13" t="s">
        <v>56</v>
      </c>
      <c r="J3008" s="17" t="s">
        <v>71</v>
      </c>
      <c r="K3008" s="17" t="s">
        <v>58</v>
      </c>
      <c r="L3008" s="18" t="s">
        <v>52</v>
      </c>
      <c r="M3008" s="19">
        <v>68.0</v>
      </c>
      <c r="N3008" s="19">
        <v>30.0</v>
      </c>
    </row>
    <row r="3009">
      <c r="A3009" s="12">
        <v>3007.0</v>
      </c>
      <c r="B3009" s="13" t="s">
        <v>1293</v>
      </c>
      <c r="C3009" s="14">
        <v>117.0</v>
      </c>
      <c r="D3009" s="15" t="s">
        <v>5546</v>
      </c>
      <c r="E3009" s="16" t="s">
        <v>221</v>
      </c>
      <c r="F3009" s="13" t="s">
        <v>4493</v>
      </c>
      <c r="G3009" s="13" t="s">
        <v>61</v>
      </c>
      <c r="H3009" s="13" t="s">
        <v>5334</v>
      </c>
      <c r="I3009" s="13" t="s">
        <v>56</v>
      </c>
      <c r="J3009" s="17" t="s">
        <v>71</v>
      </c>
      <c r="K3009" s="17" t="s">
        <v>58</v>
      </c>
      <c r="L3009" s="18" t="s">
        <v>52</v>
      </c>
      <c r="M3009" s="19">
        <v>68.0</v>
      </c>
      <c r="N3009" s="19">
        <v>30.0</v>
      </c>
    </row>
    <row r="3010">
      <c r="A3010" s="12">
        <v>3008.0</v>
      </c>
      <c r="B3010" s="13" t="s">
        <v>1293</v>
      </c>
      <c r="C3010" s="14">
        <v>118.0</v>
      </c>
      <c r="D3010" s="15" t="s">
        <v>5546</v>
      </c>
      <c r="E3010" s="16" t="s">
        <v>221</v>
      </c>
      <c r="F3010" s="13" t="s">
        <v>3074</v>
      </c>
      <c r="G3010" s="13" t="s">
        <v>5685</v>
      </c>
      <c r="H3010" s="13" t="s">
        <v>5686</v>
      </c>
      <c r="I3010" s="13" t="s">
        <v>56</v>
      </c>
      <c r="J3010" s="17" t="s">
        <v>71</v>
      </c>
      <c r="K3010" s="17" t="s">
        <v>58</v>
      </c>
      <c r="L3010" s="18" t="s">
        <v>52</v>
      </c>
      <c r="M3010" s="19">
        <v>68.0</v>
      </c>
      <c r="N3010" s="19">
        <v>30.0</v>
      </c>
    </row>
    <row r="3011">
      <c r="A3011" s="12">
        <v>3009.0</v>
      </c>
      <c r="B3011" s="13" t="s">
        <v>1293</v>
      </c>
      <c r="C3011" s="14">
        <v>119.0</v>
      </c>
      <c r="D3011" s="15" t="s">
        <v>5546</v>
      </c>
      <c r="E3011" s="16" t="s">
        <v>221</v>
      </c>
      <c r="F3011" s="13" t="s">
        <v>3079</v>
      </c>
      <c r="G3011" s="13" t="s">
        <v>5687</v>
      </c>
      <c r="H3011" s="13" t="s">
        <v>5688</v>
      </c>
      <c r="I3011" s="13" t="s">
        <v>56</v>
      </c>
      <c r="J3011" s="17" t="s">
        <v>71</v>
      </c>
      <c r="K3011" s="17" t="s">
        <v>58</v>
      </c>
      <c r="L3011" s="18" t="s">
        <v>52</v>
      </c>
      <c r="M3011" s="19">
        <v>68.0</v>
      </c>
      <c r="N3011" s="19">
        <v>30.0</v>
      </c>
    </row>
    <row r="3012">
      <c r="A3012" s="12">
        <v>3010.0</v>
      </c>
      <c r="B3012" s="13" t="s">
        <v>1293</v>
      </c>
      <c r="C3012" s="14">
        <v>120.0</v>
      </c>
      <c r="D3012" s="15" t="s">
        <v>5546</v>
      </c>
      <c r="E3012" s="16" t="s">
        <v>221</v>
      </c>
      <c r="F3012" s="13" t="s">
        <v>4452</v>
      </c>
      <c r="G3012" s="13" t="s">
        <v>61</v>
      </c>
      <c r="H3012" s="13" t="s">
        <v>5689</v>
      </c>
      <c r="I3012" s="13" t="s">
        <v>56</v>
      </c>
      <c r="J3012" s="17" t="s">
        <v>71</v>
      </c>
      <c r="K3012" s="17" t="s">
        <v>58</v>
      </c>
      <c r="L3012" s="18" t="s">
        <v>52</v>
      </c>
      <c r="M3012" s="19">
        <v>68.0</v>
      </c>
      <c r="N3012" s="19">
        <v>30.0</v>
      </c>
    </row>
    <row r="3013">
      <c r="A3013" s="12">
        <v>3011.0</v>
      </c>
      <c r="B3013" s="13" t="s">
        <v>1293</v>
      </c>
      <c r="C3013" s="14">
        <v>121.0</v>
      </c>
      <c r="D3013" s="15" t="s">
        <v>5546</v>
      </c>
      <c r="E3013" s="16" t="s">
        <v>221</v>
      </c>
      <c r="F3013" s="13" t="s">
        <v>3498</v>
      </c>
      <c r="G3013" s="13" t="s">
        <v>5691</v>
      </c>
      <c r="H3013" s="13" t="s">
        <v>5692</v>
      </c>
      <c r="I3013" s="13" t="s">
        <v>56</v>
      </c>
      <c r="J3013" s="17" t="s">
        <v>71</v>
      </c>
      <c r="K3013" s="17" t="s">
        <v>58</v>
      </c>
      <c r="L3013" s="18" t="s">
        <v>52</v>
      </c>
      <c r="M3013" s="19">
        <v>68.0</v>
      </c>
      <c r="N3013" s="19">
        <v>30.0</v>
      </c>
    </row>
    <row r="3014">
      <c r="A3014" s="12">
        <v>3012.0</v>
      </c>
      <c r="B3014" s="13" t="s">
        <v>1293</v>
      </c>
      <c r="C3014" s="14">
        <v>122.0</v>
      </c>
      <c r="D3014" s="15" t="s">
        <v>5546</v>
      </c>
      <c r="E3014" s="16" t="s">
        <v>221</v>
      </c>
      <c r="F3014" s="13" t="s">
        <v>2511</v>
      </c>
      <c r="G3014" s="13" t="s">
        <v>61</v>
      </c>
      <c r="H3014" s="13" t="s">
        <v>5693</v>
      </c>
      <c r="I3014" s="13" t="s">
        <v>56</v>
      </c>
      <c r="J3014" s="17" t="s">
        <v>71</v>
      </c>
      <c r="K3014" s="17" t="s">
        <v>58</v>
      </c>
      <c r="L3014" s="18" t="s">
        <v>52</v>
      </c>
      <c r="M3014" s="19">
        <v>68.0</v>
      </c>
      <c r="N3014" s="19">
        <v>30.0</v>
      </c>
    </row>
    <row r="3015">
      <c r="A3015" s="12">
        <v>3013.0</v>
      </c>
      <c r="B3015" s="13" t="s">
        <v>1293</v>
      </c>
      <c r="C3015" s="14">
        <v>123.0</v>
      </c>
      <c r="D3015" s="15" t="s">
        <v>5546</v>
      </c>
      <c r="E3015" s="16" t="s">
        <v>221</v>
      </c>
      <c r="F3015" s="13" t="s">
        <v>3505</v>
      </c>
      <c r="G3015" s="13" t="s">
        <v>5509</v>
      </c>
      <c r="H3015" s="13" t="s">
        <v>5694</v>
      </c>
      <c r="I3015" s="13" t="s">
        <v>56</v>
      </c>
      <c r="J3015" s="17" t="s">
        <v>71</v>
      </c>
      <c r="K3015" s="17" t="s">
        <v>58</v>
      </c>
      <c r="L3015" s="18" t="s">
        <v>52</v>
      </c>
      <c r="M3015" s="19">
        <v>68.0</v>
      </c>
      <c r="N3015" s="19">
        <v>30.0</v>
      </c>
    </row>
    <row r="3016">
      <c r="A3016" s="12">
        <v>3014.0</v>
      </c>
      <c r="B3016" s="13" t="s">
        <v>1293</v>
      </c>
      <c r="C3016" s="14">
        <v>124.0</v>
      </c>
      <c r="D3016" s="15" t="s">
        <v>5546</v>
      </c>
      <c r="E3016" s="16" t="s">
        <v>221</v>
      </c>
      <c r="F3016" s="13" t="s">
        <v>3033</v>
      </c>
      <c r="G3016" s="13" t="s">
        <v>5695</v>
      </c>
      <c r="H3016" s="13" t="s">
        <v>5696</v>
      </c>
      <c r="I3016" s="13" t="s">
        <v>56</v>
      </c>
      <c r="J3016" s="17" t="s">
        <v>71</v>
      </c>
      <c r="K3016" s="17" t="s">
        <v>58</v>
      </c>
      <c r="L3016" s="18" t="s">
        <v>52</v>
      </c>
      <c r="M3016" s="19">
        <v>68.0</v>
      </c>
      <c r="N3016" s="19">
        <v>30.0</v>
      </c>
    </row>
    <row r="3017">
      <c r="A3017" s="12">
        <v>3015.0</v>
      </c>
      <c r="B3017" s="13" t="s">
        <v>1293</v>
      </c>
      <c r="C3017" s="14">
        <v>125.0</v>
      </c>
      <c r="D3017" s="15" t="s">
        <v>5546</v>
      </c>
      <c r="E3017" s="16" t="s">
        <v>221</v>
      </c>
      <c r="F3017" s="13" t="s">
        <v>1303</v>
      </c>
      <c r="G3017" s="13" t="s">
        <v>5378</v>
      </c>
      <c r="H3017" s="13" t="s">
        <v>5697</v>
      </c>
      <c r="I3017" s="13" t="s">
        <v>56</v>
      </c>
      <c r="J3017" s="17" t="s">
        <v>71</v>
      </c>
      <c r="K3017" s="17" t="s">
        <v>58</v>
      </c>
      <c r="L3017" s="18" t="s">
        <v>52</v>
      </c>
      <c r="M3017" s="19">
        <v>68.0</v>
      </c>
      <c r="N3017" s="19">
        <v>30.0</v>
      </c>
    </row>
    <row r="3018">
      <c r="A3018" s="12">
        <v>3016.0</v>
      </c>
      <c r="B3018" s="13" t="s">
        <v>1293</v>
      </c>
      <c r="C3018" s="14">
        <v>126.0</v>
      </c>
      <c r="D3018" s="15" t="s">
        <v>5546</v>
      </c>
      <c r="E3018" s="16" t="s">
        <v>221</v>
      </c>
      <c r="F3018" s="13" t="s">
        <v>1255</v>
      </c>
      <c r="G3018" s="13" t="s">
        <v>3531</v>
      </c>
      <c r="H3018" s="13" t="s">
        <v>5699</v>
      </c>
      <c r="I3018" s="13" t="s">
        <v>56</v>
      </c>
      <c r="J3018" s="17" t="s">
        <v>71</v>
      </c>
      <c r="K3018" s="17" t="s">
        <v>58</v>
      </c>
      <c r="L3018" s="18" t="s">
        <v>52</v>
      </c>
      <c r="M3018" s="19">
        <v>68.0</v>
      </c>
      <c r="N3018" s="19">
        <v>30.0</v>
      </c>
    </row>
    <row r="3019">
      <c r="A3019" s="12">
        <v>3017.0</v>
      </c>
      <c r="B3019" s="13" t="s">
        <v>1293</v>
      </c>
      <c r="C3019" s="14">
        <v>127.0</v>
      </c>
      <c r="D3019" s="15" t="s">
        <v>5546</v>
      </c>
      <c r="E3019" s="16" t="s">
        <v>221</v>
      </c>
      <c r="F3019" s="13" t="s">
        <v>2523</v>
      </c>
      <c r="G3019" s="13" t="s">
        <v>2524</v>
      </c>
      <c r="H3019" s="13" t="s">
        <v>5700</v>
      </c>
      <c r="I3019" s="13" t="s">
        <v>56</v>
      </c>
      <c r="J3019" s="17" t="s">
        <v>71</v>
      </c>
      <c r="K3019" s="17" t="s">
        <v>58</v>
      </c>
      <c r="L3019" s="18" t="s">
        <v>52</v>
      </c>
      <c r="M3019" s="19">
        <v>68.0</v>
      </c>
      <c r="N3019" s="19">
        <v>30.0</v>
      </c>
    </row>
    <row r="3020">
      <c r="A3020" s="12">
        <v>3018.0</v>
      </c>
      <c r="B3020" s="13" t="s">
        <v>1293</v>
      </c>
      <c r="C3020" s="14">
        <v>128.0</v>
      </c>
      <c r="D3020" s="15" t="s">
        <v>5546</v>
      </c>
      <c r="E3020" s="16" t="s">
        <v>221</v>
      </c>
      <c r="F3020" s="13" t="s">
        <v>3262</v>
      </c>
      <c r="G3020" s="13" t="s">
        <v>5701</v>
      </c>
      <c r="H3020" s="13" t="s">
        <v>5702</v>
      </c>
      <c r="I3020" s="13" t="s">
        <v>56</v>
      </c>
      <c r="J3020" s="17" t="s">
        <v>71</v>
      </c>
      <c r="K3020" s="17" t="s">
        <v>58</v>
      </c>
      <c r="L3020" s="18" t="s">
        <v>52</v>
      </c>
      <c r="M3020" s="19">
        <v>68.0</v>
      </c>
      <c r="N3020" s="19">
        <v>30.0</v>
      </c>
    </row>
    <row r="3021">
      <c r="A3021" s="12">
        <v>3019.0</v>
      </c>
      <c r="B3021" s="13" t="s">
        <v>1293</v>
      </c>
      <c r="C3021" s="14">
        <v>129.0</v>
      </c>
      <c r="D3021" s="15" t="s">
        <v>5546</v>
      </c>
      <c r="E3021" s="16" t="s">
        <v>221</v>
      </c>
      <c r="F3021" s="13" t="s">
        <v>2529</v>
      </c>
      <c r="G3021" s="13" t="s">
        <v>5704</v>
      </c>
      <c r="H3021" s="13" t="s">
        <v>5705</v>
      </c>
      <c r="I3021" s="13" t="s">
        <v>56</v>
      </c>
      <c r="J3021" s="17" t="s">
        <v>71</v>
      </c>
      <c r="K3021" s="17" t="s">
        <v>58</v>
      </c>
      <c r="L3021" s="18" t="s">
        <v>52</v>
      </c>
      <c r="M3021" s="19">
        <v>68.0</v>
      </c>
      <c r="N3021" s="19">
        <v>30.0</v>
      </c>
    </row>
    <row r="3022">
      <c r="A3022" s="12">
        <v>3020.0</v>
      </c>
      <c r="B3022" s="13" t="s">
        <v>1293</v>
      </c>
      <c r="C3022" s="14">
        <v>130.0</v>
      </c>
      <c r="D3022" s="15" t="s">
        <v>5546</v>
      </c>
      <c r="E3022" s="16" t="s">
        <v>221</v>
      </c>
      <c r="F3022" s="13" t="s">
        <v>4771</v>
      </c>
      <c r="G3022" s="13" t="s">
        <v>5707</v>
      </c>
      <c r="H3022" s="13" t="s">
        <v>5708</v>
      </c>
      <c r="I3022" s="13" t="s">
        <v>56</v>
      </c>
      <c r="J3022" s="17" t="s">
        <v>71</v>
      </c>
      <c r="K3022" s="17" t="s">
        <v>58</v>
      </c>
      <c r="L3022" s="18" t="s">
        <v>52</v>
      </c>
      <c r="M3022" s="19">
        <v>68.0</v>
      </c>
      <c r="N3022" s="19">
        <v>30.0</v>
      </c>
    </row>
    <row r="3023">
      <c r="A3023" s="12">
        <v>3021.0</v>
      </c>
      <c r="B3023" s="13" t="s">
        <v>1293</v>
      </c>
      <c r="C3023" s="14">
        <v>131.0</v>
      </c>
      <c r="D3023" s="15" t="s">
        <v>5546</v>
      </c>
      <c r="E3023" s="16" t="s">
        <v>221</v>
      </c>
      <c r="F3023" s="13" t="s">
        <v>3410</v>
      </c>
      <c r="G3023" s="13" t="s">
        <v>5710</v>
      </c>
      <c r="H3023" s="13" t="s">
        <v>5711</v>
      </c>
      <c r="I3023" s="13" t="s">
        <v>56</v>
      </c>
      <c r="J3023" s="17" t="s">
        <v>71</v>
      </c>
      <c r="K3023" s="17" t="s">
        <v>58</v>
      </c>
      <c r="L3023" s="18" t="s">
        <v>52</v>
      </c>
      <c r="M3023" s="19">
        <v>68.0</v>
      </c>
      <c r="N3023" s="19">
        <v>30.0</v>
      </c>
    </row>
    <row r="3024">
      <c r="A3024" s="12">
        <v>3022.0</v>
      </c>
      <c r="B3024" s="13" t="s">
        <v>1293</v>
      </c>
      <c r="C3024" s="14">
        <v>132.0</v>
      </c>
      <c r="D3024" s="15" t="s">
        <v>5546</v>
      </c>
      <c r="E3024" s="16" t="s">
        <v>221</v>
      </c>
      <c r="F3024" s="13" t="s">
        <v>3640</v>
      </c>
      <c r="G3024" s="13" t="s">
        <v>3641</v>
      </c>
      <c r="H3024" s="13" t="s">
        <v>5712</v>
      </c>
      <c r="I3024" s="13" t="s">
        <v>56</v>
      </c>
      <c r="J3024" s="17" t="s">
        <v>71</v>
      </c>
      <c r="K3024" s="17" t="s">
        <v>58</v>
      </c>
      <c r="L3024" s="18" t="s">
        <v>52</v>
      </c>
      <c r="M3024" s="19">
        <v>68.0</v>
      </c>
      <c r="N3024" s="19">
        <v>30.0</v>
      </c>
    </row>
    <row r="3025">
      <c r="A3025" s="12">
        <v>3023.0</v>
      </c>
      <c r="B3025" s="13" t="s">
        <v>1293</v>
      </c>
      <c r="C3025" s="14">
        <v>133.0</v>
      </c>
      <c r="D3025" s="15" t="s">
        <v>5546</v>
      </c>
      <c r="E3025" s="16" t="s">
        <v>221</v>
      </c>
      <c r="F3025" s="13" t="s">
        <v>3502</v>
      </c>
      <c r="G3025" s="13" t="s">
        <v>3503</v>
      </c>
      <c r="H3025" s="13" t="s">
        <v>5714</v>
      </c>
      <c r="I3025" s="13" t="s">
        <v>56</v>
      </c>
      <c r="J3025" s="17" t="s">
        <v>71</v>
      </c>
      <c r="K3025" s="17" t="s">
        <v>58</v>
      </c>
      <c r="L3025" s="18" t="s">
        <v>52</v>
      </c>
      <c r="M3025" s="19">
        <v>68.0</v>
      </c>
      <c r="N3025" s="19">
        <v>30.0</v>
      </c>
    </row>
    <row r="3026">
      <c r="A3026" s="12">
        <v>3024.0</v>
      </c>
      <c r="B3026" s="13" t="s">
        <v>1293</v>
      </c>
      <c r="C3026" s="14">
        <v>134.0</v>
      </c>
      <c r="D3026" s="15" t="s">
        <v>5546</v>
      </c>
      <c r="E3026" s="16" t="s">
        <v>221</v>
      </c>
      <c r="F3026" s="13" t="s">
        <v>3528</v>
      </c>
      <c r="G3026" s="13" t="s">
        <v>4460</v>
      </c>
      <c r="H3026" s="13" t="s">
        <v>5716</v>
      </c>
      <c r="I3026" s="13" t="s">
        <v>56</v>
      </c>
      <c r="J3026" s="17" t="s">
        <v>71</v>
      </c>
      <c r="K3026" s="17" t="s">
        <v>58</v>
      </c>
      <c r="L3026" s="18" t="s">
        <v>52</v>
      </c>
      <c r="M3026" s="19">
        <v>68.0</v>
      </c>
      <c r="N3026" s="19">
        <v>30.0</v>
      </c>
    </row>
    <row r="3027">
      <c r="A3027" s="12">
        <v>3025.0</v>
      </c>
      <c r="B3027" s="13" t="s">
        <v>1293</v>
      </c>
      <c r="C3027" s="14">
        <v>135.0</v>
      </c>
      <c r="D3027" s="15" t="s">
        <v>5546</v>
      </c>
      <c r="E3027" s="16" t="s">
        <v>221</v>
      </c>
      <c r="F3027" s="13" t="s">
        <v>3295</v>
      </c>
      <c r="G3027" s="13" t="s">
        <v>4106</v>
      </c>
      <c r="H3027" s="13" t="s">
        <v>5717</v>
      </c>
      <c r="I3027" s="13" t="s">
        <v>56</v>
      </c>
      <c r="J3027" s="17" t="s">
        <v>71</v>
      </c>
      <c r="K3027" s="17" t="s">
        <v>58</v>
      </c>
      <c r="L3027" s="18" t="s">
        <v>52</v>
      </c>
      <c r="M3027" s="19">
        <v>68.0</v>
      </c>
      <c r="N3027" s="19">
        <v>30.0</v>
      </c>
    </row>
    <row r="3028">
      <c r="A3028" s="12">
        <v>3026.0</v>
      </c>
      <c r="B3028" s="13" t="s">
        <v>1293</v>
      </c>
      <c r="C3028" s="14">
        <v>136.0</v>
      </c>
      <c r="D3028" s="15" t="s">
        <v>5546</v>
      </c>
      <c r="E3028" s="16" t="s">
        <v>221</v>
      </c>
      <c r="F3028" s="13" t="s">
        <v>2878</v>
      </c>
      <c r="G3028" s="13" t="s">
        <v>4818</v>
      </c>
      <c r="H3028" s="13" t="s">
        <v>5719</v>
      </c>
      <c r="I3028" s="13" t="s">
        <v>56</v>
      </c>
      <c r="J3028" s="17" t="s">
        <v>71</v>
      </c>
      <c r="K3028" s="17" t="s">
        <v>58</v>
      </c>
      <c r="L3028" s="18" t="s">
        <v>52</v>
      </c>
      <c r="M3028" s="19">
        <v>68.0</v>
      </c>
      <c r="N3028" s="19">
        <v>30.0</v>
      </c>
    </row>
    <row r="3029">
      <c r="A3029" s="12">
        <v>3027.0</v>
      </c>
      <c r="B3029" s="13" t="s">
        <v>1293</v>
      </c>
      <c r="C3029" s="14">
        <v>137.0</v>
      </c>
      <c r="D3029" s="15" t="s">
        <v>5546</v>
      </c>
      <c r="E3029" s="16" t="s">
        <v>221</v>
      </c>
      <c r="F3029" s="13" t="s">
        <v>1716</v>
      </c>
      <c r="G3029" s="13" t="s">
        <v>1717</v>
      </c>
      <c r="H3029" s="13" t="s">
        <v>5720</v>
      </c>
      <c r="I3029" s="13" t="s">
        <v>56</v>
      </c>
      <c r="J3029" s="17" t="s">
        <v>71</v>
      </c>
      <c r="K3029" s="17" t="s">
        <v>58</v>
      </c>
      <c r="L3029" s="18" t="s">
        <v>52</v>
      </c>
      <c r="M3029" s="19">
        <v>68.0</v>
      </c>
      <c r="N3029" s="19">
        <v>30.0</v>
      </c>
    </row>
    <row r="3030">
      <c r="A3030" s="12">
        <v>3028.0</v>
      </c>
      <c r="B3030" s="13" t="s">
        <v>1293</v>
      </c>
      <c r="C3030" s="14">
        <v>138.0</v>
      </c>
      <c r="D3030" s="15" t="s">
        <v>5546</v>
      </c>
      <c r="E3030" s="16" t="s">
        <v>221</v>
      </c>
      <c r="F3030" s="13" t="s">
        <v>3450</v>
      </c>
      <c r="G3030" s="13" t="s">
        <v>3536</v>
      </c>
      <c r="H3030" s="13" t="s">
        <v>5721</v>
      </c>
      <c r="I3030" s="13" t="s">
        <v>56</v>
      </c>
      <c r="J3030" s="17" t="s">
        <v>71</v>
      </c>
      <c r="K3030" s="17" t="s">
        <v>58</v>
      </c>
      <c r="L3030" s="18" t="s">
        <v>52</v>
      </c>
      <c r="M3030" s="19">
        <v>68.0</v>
      </c>
      <c r="N3030" s="19">
        <v>30.0</v>
      </c>
    </row>
    <row r="3031">
      <c r="A3031" s="12">
        <v>3029.0</v>
      </c>
      <c r="B3031" s="13" t="s">
        <v>1293</v>
      </c>
      <c r="C3031" s="14">
        <v>139.0</v>
      </c>
      <c r="D3031" s="15" t="s">
        <v>5546</v>
      </c>
      <c r="E3031" s="16" t="s">
        <v>221</v>
      </c>
      <c r="F3031" s="13" t="s">
        <v>3059</v>
      </c>
      <c r="G3031" s="13" t="s">
        <v>5722</v>
      </c>
      <c r="H3031" s="13" t="s">
        <v>5723</v>
      </c>
      <c r="I3031" s="13" t="s">
        <v>56</v>
      </c>
      <c r="J3031" s="17" t="s">
        <v>71</v>
      </c>
      <c r="K3031" s="17" t="s">
        <v>58</v>
      </c>
      <c r="L3031" s="18" t="s">
        <v>52</v>
      </c>
      <c r="M3031" s="19">
        <v>68.0</v>
      </c>
      <c r="N3031" s="19">
        <v>30.0</v>
      </c>
    </row>
    <row r="3032">
      <c r="A3032" s="12">
        <v>3030.0</v>
      </c>
      <c r="B3032" s="13" t="s">
        <v>1293</v>
      </c>
      <c r="C3032" s="14">
        <v>140.0</v>
      </c>
      <c r="D3032" s="15" t="s">
        <v>5546</v>
      </c>
      <c r="E3032" s="16" t="s">
        <v>221</v>
      </c>
      <c r="F3032" s="13" t="s">
        <v>1714</v>
      </c>
      <c r="G3032" s="13" t="s">
        <v>4467</v>
      </c>
      <c r="H3032" s="13" t="s">
        <v>4468</v>
      </c>
      <c r="I3032" s="13" t="s">
        <v>56</v>
      </c>
      <c r="J3032" s="17" t="s">
        <v>71</v>
      </c>
      <c r="K3032" s="17" t="s">
        <v>58</v>
      </c>
      <c r="L3032" s="18" t="s">
        <v>52</v>
      </c>
      <c r="M3032" s="19">
        <v>68.0</v>
      </c>
      <c r="N3032" s="19">
        <v>30.0</v>
      </c>
    </row>
    <row r="3033">
      <c r="A3033" s="12">
        <v>3031.0</v>
      </c>
      <c r="B3033" s="13" t="s">
        <v>1293</v>
      </c>
      <c r="C3033" s="14">
        <v>141.0</v>
      </c>
      <c r="D3033" s="15" t="s">
        <v>5546</v>
      </c>
      <c r="E3033" s="16" t="s">
        <v>221</v>
      </c>
      <c r="F3033" s="13" t="s">
        <v>212</v>
      </c>
      <c r="G3033" s="13" t="s">
        <v>5724</v>
      </c>
      <c r="H3033" s="13" t="s">
        <v>5725</v>
      </c>
      <c r="I3033" s="13" t="s">
        <v>56</v>
      </c>
      <c r="J3033" s="17" t="s">
        <v>71</v>
      </c>
      <c r="K3033" s="17" t="s">
        <v>58</v>
      </c>
      <c r="L3033" s="18" t="s">
        <v>52</v>
      </c>
      <c r="M3033" s="19">
        <v>68.0</v>
      </c>
      <c r="N3033" s="19">
        <v>30.0</v>
      </c>
    </row>
    <row r="3034">
      <c r="A3034" s="12">
        <v>3032.0</v>
      </c>
      <c r="B3034" s="13" t="s">
        <v>1293</v>
      </c>
      <c r="C3034" s="14">
        <v>142.0</v>
      </c>
      <c r="D3034" s="15" t="s">
        <v>5546</v>
      </c>
      <c r="E3034" s="16" t="s">
        <v>221</v>
      </c>
      <c r="F3034" s="13" t="s">
        <v>1356</v>
      </c>
      <c r="G3034" s="13" t="s">
        <v>4458</v>
      </c>
      <c r="H3034" s="13" t="s">
        <v>4459</v>
      </c>
      <c r="I3034" s="13" t="s">
        <v>56</v>
      </c>
      <c r="J3034" s="17" t="s">
        <v>71</v>
      </c>
      <c r="K3034" s="17" t="s">
        <v>58</v>
      </c>
      <c r="L3034" s="18" t="s">
        <v>52</v>
      </c>
      <c r="M3034" s="19">
        <v>68.0</v>
      </c>
      <c r="N3034" s="19">
        <v>30.0</v>
      </c>
    </row>
    <row r="3035">
      <c r="A3035" s="12">
        <v>3033.0</v>
      </c>
      <c r="B3035" s="13" t="s">
        <v>1293</v>
      </c>
      <c r="C3035" s="14">
        <v>143.0</v>
      </c>
      <c r="D3035" s="15" t="s">
        <v>5587</v>
      </c>
      <c r="E3035" s="16" t="s">
        <v>221</v>
      </c>
      <c r="F3035" s="13" t="s">
        <v>4829</v>
      </c>
      <c r="G3035" s="13" t="s">
        <v>5727</v>
      </c>
      <c r="H3035" s="13" t="s">
        <v>5728</v>
      </c>
      <c r="I3035" s="13" t="s">
        <v>56</v>
      </c>
      <c r="J3035" s="17" t="s">
        <v>71</v>
      </c>
      <c r="K3035" s="17" t="s">
        <v>58</v>
      </c>
      <c r="L3035" s="18" t="s">
        <v>52</v>
      </c>
      <c r="M3035" s="19">
        <v>68.0</v>
      </c>
      <c r="N3035" s="19">
        <v>30.0</v>
      </c>
    </row>
    <row r="3036">
      <c r="A3036" s="12">
        <v>3034.0</v>
      </c>
      <c r="B3036" s="13" t="s">
        <v>1293</v>
      </c>
      <c r="C3036" s="14">
        <v>144.0</v>
      </c>
      <c r="D3036" s="15" t="s">
        <v>5587</v>
      </c>
      <c r="E3036" s="16" t="s">
        <v>221</v>
      </c>
      <c r="F3036" s="13" t="s">
        <v>193</v>
      </c>
      <c r="G3036" s="13" t="s">
        <v>5729</v>
      </c>
      <c r="H3036" s="13" t="s">
        <v>5730</v>
      </c>
      <c r="I3036" s="13" t="s">
        <v>56</v>
      </c>
      <c r="J3036" s="17" t="s">
        <v>71</v>
      </c>
      <c r="K3036" s="17" t="s">
        <v>58</v>
      </c>
      <c r="L3036" s="18" t="s">
        <v>52</v>
      </c>
      <c r="M3036" s="19">
        <v>68.0</v>
      </c>
      <c r="N3036" s="19">
        <v>30.0</v>
      </c>
    </row>
    <row r="3037">
      <c r="A3037" s="12">
        <v>3035.0</v>
      </c>
      <c r="B3037" s="13" t="s">
        <v>1293</v>
      </c>
      <c r="C3037" s="14">
        <v>145.0</v>
      </c>
      <c r="D3037" s="15" t="s">
        <v>5587</v>
      </c>
      <c r="E3037" s="16" t="s">
        <v>221</v>
      </c>
      <c r="F3037" s="13" t="s">
        <v>4505</v>
      </c>
      <c r="G3037" s="13" t="s">
        <v>4506</v>
      </c>
      <c r="H3037" s="13" t="s">
        <v>5731</v>
      </c>
      <c r="I3037" s="13" t="s">
        <v>56</v>
      </c>
      <c r="J3037" s="17" t="s">
        <v>71</v>
      </c>
      <c r="K3037" s="17" t="s">
        <v>58</v>
      </c>
      <c r="L3037" s="18" t="s">
        <v>52</v>
      </c>
      <c r="M3037" s="19">
        <v>68.0</v>
      </c>
      <c r="N3037" s="19">
        <v>30.0</v>
      </c>
    </row>
    <row r="3038">
      <c r="A3038" s="12">
        <v>3036.0</v>
      </c>
      <c r="B3038" s="13" t="s">
        <v>1293</v>
      </c>
      <c r="C3038" s="14">
        <v>146.0</v>
      </c>
      <c r="D3038" s="15" t="s">
        <v>5587</v>
      </c>
      <c r="E3038" s="16" t="s">
        <v>221</v>
      </c>
      <c r="F3038" s="13" t="s">
        <v>2735</v>
      </c>
      <c r="G3038" s="13" t="s">
        <v>5733</v>
      </c>
      <c r="H3038" s="13" t="s">
        <v>5734</v>
      </c>
      <c r="I3038" s="13" t="s">
        <v>56</v>
      </c>
      <c r="J3038" s="17" t="s">
        <v>71</v>
      </c>
      <c r="K3038" s="17" t="s">
        <v>58</v>
      </c>
      <c r="L3038" s="18" t="s">
        <v>52</v>
      </c>
      <c r="M3038" s="19">
        <v>68.0</v>
      </c>
      <c r="N3038" s="19">
        <v>30.0</v>
      </c>
    </row>
    <row r="3039">
      <c r="A3039" s="12">
        <v>3037.0</v>
      </c>
      <c r="B3039" s="13" t="s">
        <v>1293</v>
      </c>
      <c r="C3039" s="14">
        <v>147.0</v>
      </c>
      <c r="D3039" s="15" t="s">
        <v>5587</v>
      </c>
      <c r="E3039" s="16" t="s">
        <v>221</v>
      </c>
      <c r="F3039" s="13" t="s">
        <v>2753</v>
      </c>
      <c r="G3039" s="13" t="s">
        <v>4497</v>
      </c>
      <c r="H3039" s="13" t="s">
        <v>5735</v>
      </c>
      <c r="I3039" s="13" t="s">
        <v>56</v>
      </c>
      <c r="J3039" s="17" t="s">
        <v>71</v>
      </c>
      <c r="K3039" s="17" t="s">
        <v>58</v>
      </c>
      <c r="L3039" s="18" t="s">
        <v>52</v>
      </c>
      <c r="M3039" s="19">
        <v>68.0</v>
      </c>
      <c r="N3039" s="19">
        <v>30.0</v>
      </c>
    </row>
    <row r="3040">
      <c r="A3040" s="12">
        <v>3038.0</v>
      </c>
      <c r="B3040" s="13" t="s">
        <v>1293</v>
      </c>
      <c r="C3040" s="14">
        <v>148.0</v>
      </c>
      <c r="D3040" s="15" t="s">
        <v>5587</v>
      </c>
      <c r="E3040" s="16" t="s">
        <v>221</v>
      </c>
      <c r="F3040" s="13" t="s">
        <v>4068</v>
      </c>
      <c r="G3040" s="13" t="s">
        <v>5736</v>
      </c>
      <c r="H3040" s="13" t="s">
        <v>5737</v>
      </c>
      <c r="I3040" s="13" t="s">
        <v>56</v>
      </c>
      <c r="J3040" s="17" t="s">
        <v>71</v>
      </c>
      <c r="K3040" s="17" t="s">
        <v>58</v>
      </c>
      <c r="L3040" s="18" t="s">
        <v>52</v>
      </c>
      <c r="M3040" s="19">
        <v>68.0</v>
      </c>
      <c r="N3040" s="19">
        <v>30.0</v>
      </c>
    </row>
    <row r="3041">
      <c r="A3041" s="12">
        <v>3039.0</v>
      </c>
      <c r="B3041" s="13" t="s">
        <v>1293</v>
      </c>
      <c r="C3041" s="14">
        <v>149.0</v>
      </c>
      <c r="D3041" s="15" t="s">
        <v>5587</v>
      </c>
      <c r="E3041" s="16" t="s">
        <v>221</v>
      </c>
      <c r="F3041" s="13" t="s">
        <v>2517</v>
      </c>
      <c r="G3041" s="13" t="s">
        <v>5739</v>
      </c>
      <c r="H3041" s="13" t="s">
        <v>5740</v>
      </c>
      <c r="I3041" s="13" t="s">
        <v>56</v>
      </c>
      <c r="J3041" s="17" t="s">
        <v>71</v>
      </c>
      <c r="K3041" s="17" t="s">
        <v>58</v>
      </c>
      <c r="L3041" s="18" t="s">
        <v>52</v>
      </c>
      <c r="M3041" s="19">
        <v>68.0</v>
      </c>
      <c r="N3041" s="19">
        <v>30.0</v>
      </c>
    </row>
    <row r="3042">
      <c r="A3042" s="12">
        <v>3040.0</v>
      </c>
      <c r="B3042" s="13" t="s">
        <v>1293</v>
      </c>
      <c r="C3042" s="14">
        <v>150.0</v>
      </c>
      <c r="D3042" s="15" t="s">
        <v>5587</v>
      </c>
      <c r="E3042" s="16" t="s">
        <v>221</v>
      </c>
      <c r="F3042" s="13" t="s">
        <v>2756</v>
      </c>
      <c r="G3042" s="13" t="s">
        <v>5742</v>
      </c>
      <c r="H3042" s="13" t="s">
        <v>5743</v>
      </c>
      <c r="I3042" s="13" t="s">
        <v>56</v>
      </c>
      <c r="J3042" s="17" t="s">
        <v>71</v>
      </c>
      <c r="K3042" s="17" t="s">
        <v>58</v>
      </c>
      <c r="L3042" s="18" t="s">
        <v>52</v>
      </c>
      <c r="M3042" s="19">
        <v>68.0</v>
      </c>
      <c r="N3042" s="19">
        <v>30.0</v>
      </c>
    </row>
    <row r="3043">
      <c r="A3043" s="12">
        <v>3041.0</v>
      </c>
      <c r="B3043" s="13" t="s">
        <v>1293</v>
      </c>
      <c r="C3043" s="14">
        <v>151.0</v>
      </c>
      <c r="D3043" s="15" t="s">
        <v>5587</v>
      </c>
      <c r="E3043" s="16" t="s">
        <v>221</v>
      </c>
      <c r="F3043" s="13" t="s">
        <v>4112</v>
      </c>
      <c r="G3043" s="13" t="s">
        <v>4113</v>
      </c>
      <c r="H3043" s="13" t="s">
        <v>5744</v>
      </c>
      <c r="I3043" s="13" t="s">
        <v>56</v>
      </c>
      <c r="J3043" s="17" t="s">
        <v>71</v>
      </c>
      <c r="K3043" s="17" t="s">
        <v>58</v>
      </c>
      <c r="L3043" s="18" t="s">
        <v>52</v>
      </c>
      <c r="M3043" s="19">
        <v>68.0</v>
      </c>
      <c r="N3043" s="19">
        <v>30.0</v>
      </c>
    </row>
    <row r="3044">
      <c r="A3044" s="12">
        <v>3042.0</v>
      </c>
      <c r="B3044" s="13" t="s">
        <v>1293</v>
      </c>
      <c r="C3044" s="14">
        <v>152.0</v>
      </c>
      <c r="D3044" s="15" t="s">
        <v>5587</v>
      </c>
      <c r="E3044" s="16" t="s">
        <v>221</v>
      </c>
      <c r="F3044" s="13" t="s">
        <v>4091</v>
      </c>
      <c r="G3044" s="13" t="s">
        <v>4487</v>
      </c>
      <c r="H3044" s="13" t="s">
        <v>5746</v>
      </c>
      <c r="I3044" s="13" t="s">
        <v>56</v>
      </c>
      <c r="J3044" s="17" t="s">
        <v>71</v>
      </c>
      <c r="K3044" s="17" t="s">
        <v>58</v>
      </c>
      <c r="L3044" s="18" t="s">
        <v>52</v>
      </c>
      <c r="M3044" s="19">
        <v>68.0</v>
      </c>
      <c r="N3044" s="19">
        <v>30.0</v>
      </c>
    </row>
    <row r="3045">
      <c r="A3045" s="12">
        <v>3043.0</v>
      </c>
      <c r="B3045" s="13" t="s">
        <v>1293</v>
      </c>
      <c r="C3045" s="14">
        <v>153.0</v>
      </c>
      <c r="D3045" s="15" t="s">
        <v>5587</v>
      </c>
      <c r="E3045" s="16" t="s">
        <v>221</v>
      </c>
      <c r="F3045" s="13" t="s">
        <v>1687</v>
      </c>
      <c r="G3045" s="13" t="s">
        <v>1688</v>
      </c>
      <c r="H3045" s="13" t="s">
        <v>5747</v>
      </c>
      <c r="I3045" s="13" t="s">
        <v>56</v>
      </c>
      <c r="J3045" s="17" t="s">
        <v>71</v>
      </c>
      <c r="K3045" s="17" t="s">
        <v>58</v>
      </c>
      <c r="L3045" s="18" t="s">
        <v>52</v>
      </c>
      <c r="M3045" s="19">
        <v>68.0</v>
      </c>
      <c r="N3045" s="19">
        <v>30.0</v>
      </c>
    </row>
    <row r="3046">
      <c r="A3046" s="12">
        <v>3044.0</v>
      </c>
      <c r="B3046" s="13" t="s">
        <v>1293</v>
      </c>
      <c r="C3046" s="14">
        <v>154.0</v>
      </c>
      <c r="D3046" s="15" t="s">
        <v>5587</v>
      </c>
      <c r="E3046" s="16" t="s">
        <v>221</v>
      </c>
      <c r="F3046" s="13" t="s">
        <v>5425</v>
      </c>
      <c r="G3046" s="13" t="s">
        <v>5748</v>
      </c>
      <c r="H3046" s="13" t="s">
        <v>5749</v>
      </c>
      <c r="I3046" s="13" t="s">
        <v>56</v>
      </c>
      <c r="J3046" s="17" t="s">
        <v>71</v>
      </c>
      <c r="K3046" s="17" t="s">
        <v>58</v>
      </c>
      <c r="L3046" s="18" t="s">
        <v>524</v>
      </c>
      <c r="M3046" s="19">
        <v>68.0</v>
      </c>
      <c r="N3046" s="19">
        <v>30.0</v>
      </c>
    </row>
    <row r="3047">
      <c r="A3047" s="12">
        <v>3045.0</v>
      </c>
      <c r="B3047" s="13" t="s">
        <v>1293</v>
      </c>
      <c r="C3047" s="14">
        <v>155.0</v>
      </c>
      <c r="D3047" s="15" t="s">
        <v>5587</v>
      </c>
      <c r="E3047" s="16" t="s">
        <v>221</v>
      </c>
      <c r="F3047" s="13" t="s">
        <v>740</v>
      </c>
      <c r="G3047" s="13" t="s">
        <v>2706</v>
      </c>
      <c r="H3047" s="13" t="s">
        <v>5751</v>
      </c>
      <c r="I3047" s="13" t="s">
        <v>56</v>
      </c>
      <c r="J3047" s="17" t="s">
        <v>71</v>
      </c>
      <c r="K3047" s="17" t="s">
        <v>58</v>
      </c>
      <c r="L3047" s="18" t="s">
        <v>52</v>
      </c>
      <c r="M3047" s="19">
        <v>68.0</v>
      </c>
      <c r="N3047" s="19">
        <v>30.0</v>
      </c>
    </row>
    <row r="3048">
      <c r="A3048" s="12">
        <v>3046.0</v>
      </c>
      <c r="B3048" s="13" t="s">
        <v>1293</v>
      </c>
      <c r="C3048" s="14">
        <v>156.0</v>
      </c>
      <c r="D3048" s="15" t="s">
        <v>5589</v>
      </c>
      <c r="E3048" s="16" t="s">
        <v>221</v>
      </c>
      <c r="F3048" s="13" t="s">
        <v>4604</v>
      </c>
      <c r="G3048" s="13" t="s">
        <v>61</v>
      </c>
      <c r="H3048" s="13" t="s">
        <v>5752</v>
      </c>
      <c r="I3048" s="13" t="s">
        <v>56</v>
      </c>
      <c r="J3048" s="17" t="s">
        <v>71</v>
      </c>
      <c r="K3048" s="17" t="s">
        <v>58</v>
      </c>
      <c r="L3048" s="18" t="s">
        <v>52</v>
      </c>
      <c r="M3048" s="19">
        <v>68.0</v>
      </c>
      <c r="N3048" s="19">
        <v>30.0</v>
      </c>
    </row>
    <row r="3049">
      <c r="A3049" s="12">
        <v>3047.0</v>
      </c>
      <c r="B3049" s="13" t="s">
        <v>1293</v>
      </c>
      <c r="C3049" s="14">
        <v>157.0</v>
      </c>
      <c r="D3049" s="15" t="s">
        <v>5589</v>
      </c>
      <c r="E3049" s="16" t="s">
        <v>221</v>
      </c>
      <c r="F3049" s="13" t="s">
        <v>1156</v>
      </c>
      <c r="G3049" s="13" t="s">
        <v>5753</v>
      </c>
      <c r="H3049" s="13" t="s">
        <v>5754</v>
      </c>
      <c r="I3049" s="13" t="s">
        <v>56</v>
      </c>
      <c r="J3049" s="17" t="s">
        <v>71</v>
      </c>
      <c r="K3049" s="17" t="s">
        <v>58</v>
      </c>
      <c r="L3049" s="18" t="s">
        <v>52</v>
      </c>
      <c r="M3049" s="19">
        <v>68.0</v>
      </c>
      <c r="N3049" s="19">
        <v>30.0</v>
      </c>
    </row>
    <row r="3050">
      <c r="A3050" s="12">
        <v>3048.0</v>
      </c>
      <c r="B3050" s="13" t="s">
        <v>1293</v>
      </c>
      <c r="C3050" s="14">
        <v>158.0</v>
      </c>
      <c r="D3050" s="15" t="s">
        <v>5589</v>
      </c>
      <c r="E3050" s="16" t="s">
        <v>221</v>
      </c>
      <c r="F3050" s="13" t="s">
        <v>1331</v>
      </c>
      <c r="G3050" s="13" t="s">
        <v>61</v>
      </c>
      <c r="H3050" s="13" t="s">
        <v>5756</v>
      </c>
      <c r="I3050" s="13" t="s">
        <v>56</v>
      </c>
      <c r="J3050" s="17" t="s">
        <v>71</v>
      </c>
      <c r="K3050" s="17" t="s">
        <v>58</v>
      </c>
      <c r="L3050" s="18" t="s">
        <v>52</v>
      </c>
      <c r="M3050" s="19">
        <v>68.0</v>
      </c>
      <c r="N3050" s="19">
        <v>30.0</v>
      </c>
    </row>
    <row r="3051">
      <c r="A3051" s="12">
        <v>3049.0</v>
      </c>
      <c r="B3051" s="13" t="s">
        <v>1293</v>
      </c>
      <c r="C3051" s="14">
        <v>159.0</v>
      </c>
      <c r="D3051" s="15" t="s">
        <v>5589</v>
      </c>
      <c r="E3051" s="16" t="s">
        <v>221</v>
      </c>
      <c r="F3051" s="13" t="s">
        <v>1738</v>
      </c>
      <c r="G3051" s="13" t="s">
        <v>61</v>
      </c>
      <c r="H3051" s="13" t="s">
        <v>5758</v>
      </c>
      <c r="I3051" s="13" t="s">
        <v>56</v>
      </c>
      <c r="J3051" s="17" t="s">
        <v>71</v>
      </c>
      <c r="K3051" s="17" t="s">
        <v>58</v>
      </c>
      <c r="L3051" s="18" t="s">
        <v>52</v>
      </c>
      <c r="M3051" s="19">
        <v>68.0</v>
      </c>
      <c r="N3051" s="19">
        <v>30.0</v>
      </c>
    </row>
    <row r="3052">
      <c r="A3052" s="12">
        <v>3050.0</v>
      </c>
      <c r="B3052" s="13" t="s">
        <v>1293</v>
      </c>
      <c r="C3052" s="14">
        <v>160.0</v>
      </c>
      <c r="D3052" s="15" t="s">
        <v>5589</v>
      </c>
      <c r="E3052" s="16" t="s">
        <v>221</v>
      </c>
      <c r="F3052" s="13" t="s">
        <v>3054</v>
      </c>
      <c r="G3052" s="13" t="s">
        <v>61</v>
      </c>
      <c r="H3052" s="13" t="s">
        <v>5760</v>
      </c>
      <c r="I3052" s="13" t="s">
        <v>56</v>
      </c>
      <c r="J3052" s="17" t="s">
        <v>71</v>
      </c>
      <c r="K3052" s="17" t="s">
        <v>58</v>
      </c>
      <c r="L3052" s="18" t="s">
        <v>52</v>
      </c>
      <c r="M3052" s="19">
        <v>68.0</v>
      </c>
      <c r="N3052" s="19">
        <v>30.0</v>
      </c>
    </row>
    <row r="3053">
      <c r="A3053" s="12">
        <v>3051.0</v>
      </c>
      <c r="B3053" s="13" t="s">
        <v>1293</v>
      </c>
      <c r="C3053" s="14">
        <v>161.0</v>
      </c>
      <c r="D3053" s="15" t="s">
        <v>5589</v>
      </c>
      <c r="E3053" s="16" t="s">
        <v>221</v>
      </c>
      <c r="F3053" s="13" t="s">
        <v>2773</v>
      </c>
      <c r="G3053" s="13" t="s">
        <v>61</v>
      </c>
      <c r="H3053" s="13" t="s">
        <v>5761</v>
      </c>
      <c r="I3053" s="13" t="s">
        <v>56</v>
      </c>
      <c r="J3053" s="17" t="s">
        <v>71</v>
      </c>
      <c r="K3053" s="17" t="s">
        <v>58</v>
      </c>
      <c r="L3053" s="18" t="s">
        <v>52</v>
      </c>
      <c r="M3053" s="19">
        <v>68.0</v>
      </c>
      <c r="N3053" s="19">
        <v>30.0</v>
      </c>
    </row>
    <row r="3054">
      <c r="A3054" s="12">
        <v>3052.0</v>
      </c>
      <c r="B3054" s="13" t="s">
        <v>1293</v>
      </c>
      <c r="C3054" s="14">
        <v>162.0</v>
      </c>
      <c r="D3054" s="15" t="s">
        <v>5589</v>
      </c>
      <c r="E3054" s="16" t="s">
        <v>221</v>
      </c>
      <c r="F3054" s="13" t="s">
        <v>2505</v>
      </c>
      <c r="G3054" s="13" t="s">
        <v>61</v>
      </c>
      <c r="H3054" s="13" t="s">
        <v>5762</v>
      </c>
      <c r="I3054" s="13" t="s">
        <v>56</v>
      </c>
      <c r="J3054" s="17" t="s">
        <v>71</v>
      </c>
      <c r="K3054" s="17" t="s">
        <v>58</v>
      </c>
      <c r="L3054" s="18" t="s">
        <v>52</v>
      </c>
      <c r="M3054" s="19">
        <v>68.0</v>
      </c>
      <c r="N3054" s="19">
        <v>30.0</v>
      </c>
    </row>
    <row r="3055">
      <c r="A3055" s="12">
        <v>3053.0</v>
      </c>
      <c r="B3055" s="13" t="s">
        <v>1293</v>
      </c>
      <c r="C3055" s="14">
        <v>163.0</v>
      </c>
      <c r="D3055" s="15" t="s">
        <v>5589</v>
      </c>
      <c r="E3055" s="16" t="s">
        <v>221</v>
      </c>
      <c r="F3055" s="13" t="s">
        <v>3809</v>
      </c>
      <c r="G3055" s="13" t="s">
        <v>5763</v>
      </c>
      <c r="H3055" s="13" t="s">
        <v>5765</v>
      </c>
      <c r="I3055" s="13" t="s">
        <v>56</v>
      </c>
      <c r="J3055" s="17" t="s">
        <v>71</v>
      </c>
      <c r="K3055" s="17" t="s">
        <v>58</v>
      </c>
      <c r="L3055" s="18" t="s">
        <v>52</v>
      </c>
      <c r="M3055" s="19">
        <v>68.0</v>
      </c>
      <c r="N3055" s="19">
        <v>30.0</v>
      </c>
    </row>
    <row r="3056">
      <c r="A3056" s="12">
        <v>3054.0</v>
      </c>
      <c r="B3056" s="13" t="s">
        <v>1293</v>
      </c>
      <c r="C3056" s="14">
        <v>164.0</v>
      </c>
      <c r="D3056" s="15" t="s">
        <v>5589</v>
      </c>
      <c r="E3056" s="16" t="s">
        <v>221</v>
      </c>
      <c r="F3056" s="13" t="s">
        <v>3679</v>
      </c>
      <c r="G3056" s="13" t="s">
        <v>61</v>
      </c>
      <c r="H3056" s="13" t="s">
        <v>5767</v>
      </c>
      <c r="I3056" s="13" t="s">
        <v>56</v>
      </c>
      <c r="J3056" s="17" t="s">
        <v>71</v>
      </c>
      <c r="K3056" s="17" t="s">
        <v>58</v>
      </c>
      <c r="L3056" s="18" t="s">
        <v>52</v>
      </c>
      <c r="M3056" s="19">
        <v>68.0</v>
      </c>
      <c r="N3056" s="19">
        <v>30.0</v>
      </c>
    </row>
    <row r="3057">
      <c r="A3057" s="12">
        <v>3055.0</v>
      </c>
      <c r="B3057" s="13" t="s">
        <v>1293</v>
      </c>
      <c r="C3057" s="14">
        <v>165.0</v>
      </c>
      <c r="D3057" s="15" t="s">
        <v>5589</v>
      </c>
      <c r="E3057" s="16" t="s">
        <v>221</v>
      </c>
      <c r="F3057" s="13" t="s">
        <v>101</v>
      </c>
      <c r="G3057" s="13" t="s">
        <v>102</v>
      </c>
      <c r="H3057" s="13" t="s">
        <v>5768</v>
      </c>
      <c r="I3057" s="13" t="s">
        <v>56</v>
      </c>
      <c r="J3057" s="17" t="s">
        <v>71</v>
      </c>
      <c r="K3057" s="17" t="s">
        <v>58</v>
      </c>
      <c r="L3057" s="18" t="s">
        <v>52</v>
      </c>
      <c r="M3057" s="19">
        <v>68.0</v>
      </c>
      <c r="N3057" s="19">
        <v>30.0</v>
      </c>
    </row>
    <row r="3058">
      <c r="A3058" s="12">
        <v>3056.0</v>
      </c>
      <c r="B3058" s="13" t="s">
        <v>1293</v>
      </c>
      <c r="C3058" s="14">
        <v>166.0</v>
      </c>
      <c r="D3058" s="15" t="s">
        <v>5589</v>
      </c>
      <c r="E3058" s="16" t="s">
        <v>221</v>
      </c>
      <c r="F3058" s="13" t="s">
        <v>206</v>
      </c>
      <c r="G3058" s="13" t="s">
        <v>5770</v>
      </c>
      <c r="H3058" s="13" t="s">
        <v>5771</v>
      </c>
      <c r="I3058" s="13" t="s">
        <v>56</v>
      </c>
      <c r="J3058" s="17" t="s">
        <v>71</v>
      </c>
      <c r="K3058" s="17" t="s">
        <v>58</v>
      </c>
      <c r="L3058" s="18" t="s">
        <v>52</v>
      </c>
      <c r="M3058" s="19">
        <v>68.0</v>
      </c>
      <c r="N3058" s="19">
        <v>30.0</v>
      </c>
    </row>
    <row r="3059">
      <c r="A3059" s="12">
        <v>3057.0</v>
      </c>
      <c r="B3059" s="13" t="s">
        <v>1293</v>
      </c>
      <c r="C3059" s="14">
        <v>167.0</v>
      </c>
      <c r="D3059" s="15" t="s">
        <v>5589</v>
      </c>
      <c r="E3059" s="16" t="s">
        <v>221</v>
      </c>
      <c r="F3059" s="13" t="s">
        <v>186</v>
      </c>
      <c r="G3059" s="13" t="s">
        <v>5773</v>
      </c>
      <c r="H3059" s="13" t="s">
        <v>5774</v>
      </c>
      <c r="I3059" s="13" t="s">
        <v>56</v>
      </c>
      <c r="J3059" s="17" t="s">
        <v>71</v>
      </c>
      <c r="K3059" s="17" t="s">
        <v>58</v>
      </c>
      <c r="L3059" s="18" t="s">
        <v>52</v>
      </c>
      <c r="M3059" s="19">
        <v>68.0</v>
      </c>
      <c r="N3059" s="19">
        <v>30.0</v>
      </c>
    </row>
    <row r="3060">
      <c r="A3060" s="12">
        <v>3058.0</v>
      </c>
      <c r="B3060" s="13" t="s">
        <v>1293</v>
      </c>
      <c r="C3060" s="14">
        <v>168.0</v>
      </c>
      <c r="D3060" s="15" t="s">
        <v>5589</v>
      </c>
      <c r="E3060" s="16" t="s">
        <v>221</v>
      </c>
      <c r="F3060" s="13" t="s">
        <v>160</v>
      </c>
      <c r="G3060" s="13" t="s">
        <v>5775</v>
      </c>
      <c r="H3060" s="13" t="s">
        <v>5777</v>
      </c>
      <c r="I3060" s="13" t="s">
        <v>56</v>
      </c>
      <c r="J3060" s="17" t="s">
        <v>71</v>
      </c>
      <c r="K3060" s="17" t="s">
        <v>58</v>
      </c>
      <c r="L3060" s="18" t="s">
        <v>52</v>
      </c>
      <c r="M3060" s="19">
        <v>68.0</v>
      </c>
      <c r="N3060" s="19">
        <v>30.0</v>
      </c>
    </row>
    <row r="3061">
      <c r="A3061" s="12">
        <v>3059.0</v>
      </c>
      <c r="B3061" s="13" t="s">
        <v>1293</v>
      </c>
      <c r="C3061" s="14">
        <v>169.0</v>
      </c>
      <c r="D3061" s="15" t="s">
        <v>5589</v>
      </c>
      <c r="E3061" s="16" t="s">
        <v>221</v>
      </c>
      <c r="F3061" s="13" t="s">
        <v>4526</v>
      </c>
      <c r="G3061" s="13" t="s">
        <v>5778</v>
      </c>
      <c r="H3061" s="13" t="s">
        <v>5779</v>
      </c>
      <c r="I3061" s="13" t="s">
        <v>56</v>
      </c>
      <c r="J3061" s="17" t="s">
        <v>71</v>
      </c>
      <c r="K3061" s="17" t="s">
        <v>58</v>
      </c>
      <c r="L3061" s="18" t="s">
        <v>52</v>
      </c>
      <c r="M3061" s="19">
        <v>68.0</v>
      </c>
      <c r="N3061" s="19">
        <v>30.0</v>
      </c>
    </row>
    <row r="3062">
      <c r="A3062" s="12">
        <v>3060.0</v>
      </c>
      <c r="B3062" s="13" t="s">
        <v>1293</v>
      </c>
      <c r="C3062" s="14">
        <v>170.0</v>
      </c>
      <c r="D3062" s="15" t="s">
        <v>5589</v>
      </c>
      <c r="E3062" s="16" t="s">
        <v>221</v>
      </c>
      <c r="F3062" s="13" t="s">
        <v>78</v>
      </c>
      <c r="G3062" s="13" t="s">
        <v>61</v>
      </c>
      <c r="H3062" s="13" t="s">
        <v>5780</v>
      </c>
      <c r="I3062" s="13" t="s">
        <v>56</v>
      </c>
      <c r="J3062" s="17" t="s">
        <v>71</v>
      </c>
      <c r="K3062" s="17" t="s">
        <v>58</v>
      </c>
      <c r="L3062" s="18" t="s">
        <v>52</v>
      </c>
      <c r="M3062" s="19">
        <v>68.0</v>
      </c>
      <c r="N3062" s="19">
        <v>30.0</v>
      </c>
    </row>
    <row r="3063">
      <c r="A3063" s="12">
        <v>3061.0</v>
      </c>
      <c r="B3063" s="13" t="s">
        <v>1293</v>
      </c>
      <c r="C3063" s="14">
        <v>171.0</v>
      </c>
      <c r="D3063" s="15" t="s">
        <v>5589</v>
      </c>
      <c r="E3063" s="16" t="s">
        <v>221</v>
      </c>
      <c r="F3063" s="13" t="s">
        <v>2551</v>
      </c>
      <c r="G3063" s="13" t="s">
        <v>5782</v>
      </c>
      <c r="H3063" s="13" t="s">
        <v>5783</v>
      </c>
      <c r="I3063" s="13" t="s">
        <v>56</v>
      </c>
      <c r="J3063" s="17" t="s">
        <v>71</v>
      </c>
      <c r="K3063" s="17" t="s">
        <v>58</v>
      </c>
      <c r="L3063" s="18" t="s">
        <v>52</v>
      </c>
      <c r="M3063" s="19">
        <v>68.0</v>
      </c>
      <c r="N3063" s="19">
        <v>30.0</v>
      </c>
    </row>
    <row r="3064">
      <c r="A3064" s="12">
        <v>3062.0</v>
      </c>
      <c r="B3064" s="13" t="s">
        <v>1293</v>
      </c>
      <c r="C3064" s="14">
        <v>172.0</v>
      </c>
      <c r="D3064" s="15" t="s">
        <v>5589</v>
      </c>
      <c r="E3064" s="16" t="s">
        <v>221</v>
      </c>
      <c r="F3064" s="13" t="s">
        <v>4570</v>
      </c>
      <c r="G3064" s="13" t="s">
        <v>5784</v>
      </c>
      <c r="H3064" s="13" t="s">
        <v>5785</v>
      </c>
      <c r="I3064" s="13" t="s">
        <v>56</v>
      </c>
      <c r="J3064" s="17" t="s">
        <v>71</v>
      </c>
      <c r="K3064" s="17" t="s">
        <v>58</v>
      </c>
      <c r="L3064" s="18" t="s">
        <v>52</v>
      </c>
      <c r="M3064" s="19">
        <v>68.0</v>
      </c>
      <c r="N3064" s="19">
        <v>30.0</v>
      </c>
    </row>
    <row r="3065">
      <c r="A3065" s="12">
        <v>3063.0</v>
      </c>
      <c r="B3065" s="13" t="s">
        <v>1293</v>
      </c>
      <c r="C3065" s="14">
        <v>173.0</v>
      </c>
      <c r="D3065" s="15" t="s">
        <v>5589</v>
      </c>
      <c r="E3065" s="16" t="s">
        <v>221</v>
      </c>
      <c r="F3065" s="13" t="s">
        <v>2542</v>
      </c>
      <c r="G3065" s="13" t="s">
        <v>4510</v>
      </c>
      <c r="H3065" s="13" t="s">
        <v>5786</v>
      </c>
      <c r="I3065" s="13" t="s">
        <v>56</v>
      </c>
      <c r="J3065" s="17" t="s">
        <v>71</v>
      </c>
      <c r="K3065" s="17" t="s">
        <v>58</v>
      </c>
      <c r="L3065" s="18" t="s">
        <v>52</v>
      </c>
      <c r="M3065" s="19">
        <v>68.0</v>
      </c>
      <c r="N3065" s="19">
        <v>30.0</v>
      </c>
    </row>
    <row r="3066">
      <c r="A3066" s="12">
        <v>3064.0</v>
      </c>
      <c r="B3066" s="13" t="s">
        <v>1293</v>
      </c>
      <c r="C3066" s="14">
        <v>174.0</v>
      </c>
      <c r="D3066" s="15" t="s">
        <v>5589</v>
      </c>
      <c r="E3066" s="16" t="s">
        <v>221</v>
      </c>
      <c r="F3066" s="13" t="s">
        <v>1729</v>
      </c>
      <c r="G3066" s="13" t="s">
        <v>5398</v>
      </c>
      <c r="H3066" s="13" t="s">
        <v>5787</v>
      </c>
      <c r="I3066" s="13" t="s">
        <v>56</v>
      </c>
      <c r="J3066" s="17" t="s">
        <v>71</v>
      </c>
      <c r="K3066" s="17" t="s">
        <v>58</v>
      </c>
      <c r="L3066" s="18" t="s">
        <v>52</v>
      </c>
      <c r="M3066" s="19">
        <v>68.0</v>
      </c>
      <c r="N3066" s="19">
        <v>30.0</v>
      </c>
    </row>
    <row r="3067">
      <c r="A3067" s="12">
        <v>3065.0</v>
      </c>
      <c r="B3067" s="13" t="s">
        <v>1293</v>
      </c>
      <c r="C3067" s="14">
        <v>175.0</v>
      </c>
      <c r="D3067" s="15" t="s">
        <v>5589</v>
      </c>
      <c r="E3067" s="16" t="s">
        <v>221</v>
      </c>
      <c r="F3067" s="13" t="s">
        <v>2564</v>
      </c>
      <c r="G3067" s="13" t="s">
        <v>5401</v>
      </c>
      <c r="H3067" s="13" t="s">
        <v>5788</v>
      </c>
      <c r="I3067" s="13" t="s">
        <v>56</v>
      </c>
      <c r="J3067" s="17" t="s">
        <v>71</v>
      </c>
      <c r="K3067" s="17" t="s">
        <v>58</v>
      </c>
      <c r="L3067" s="18" t="s">
        <v>52</v>
      </c>
      <c r="M3067" s="19">
        <v>68.0</v>
      </c>
      <c r="N3067" s="19">
        <v>30.0</v>
      </c>
    </row>
    <row r="3068">
      <c r="A3068" s="12">
        <v>3066.0</v>
      </c>
      <c r="B3068" s="13" t="s">
        <v>1293</v>
      </c>
      <c r="C3068" s="14">
        <v>176.0</v>
      </c>
      <c r="D3068" s="15" t="s">
        <v>5589</v>
      </c>
      <c r="E3068" s="16" t="s">
        <v>221</v>
      </c>
      <c r="F3068" s="13" t="s">
        <v>1103</v>
      </c>
      <c r="G3068" s="13" t="s">
        <v>4786</v>
      </c>
      <c r="H3068" s="13" t="s">
        <v>5789</v>
      </c>
      <c r="I3068" s="13" t="s">
        <v>56</v>
      </c>
      <c r="J3068" s="17" t="s">
        <v>71</v>
      </c>
      <c r="K3068" s="17" t="s">
        <v>58</v>
      </c>
      <c r="L3068" s="18" t="s">
        <v>52</v>
      </c>
      <c r="M3068" s="19">
        <v>68.0</v>
      </c>
      <c r="N3068" s="19">
        <v>30.0</v>
      </c>
    </row>
    <row r="3069">
      <c r="A3069" s="12">
        <v>3067.0</v>
      </c>
      <c r="B3069" s="13" t="s">
        <v>1293</v>
      </c>
      <c r="C3069" s="14">
        <v>177.0</v>
      </c>
      <c r="D3069" s="15" t="s">
        <v>5589</v>
      </c>
      <c r="E3069" s="16" t="s">
        <v>221</v>
      </c>
      <c r="F3069" s="13" t="s">
        <v>5194</v>
      </c>
      <c r="G3069" s="13" t="s">
        <v>5790</v>
      </c>
      <c r="H3069" s="13" t="s">
        <v>5791</v>
      </c>
      <c r="I3069" s="13" t="s">
        <v>56</v>
      </c>
      <c r="J3069" s="17" t="s">
        <v>71</v>
      </c>
      <c r="K3069" s="17" t="s">
        <v>58</v>
      </c>
      <c r="L3069" s="18" t="s">
        <v>52</v>
      </c>
      <c r="M3069" s="19">
        <v>68.0</v>
      </c>
      <c r="N3069" s="19">
        <v>30.0</v>
      </c>
    </row>
    <row r="3070">
      <c r="A3070" s="12">
        <v>3068.0</v>
      </c>
      <c r="B3070" s="13" t="s">
        <v>1293</v>
      </c>
      <c r="C3070" s="14">
        <v>178.0</v>
      </c>
      <c r="D3070" s="15" t="s">
        <v>5589</v>
      </c>
      <c r="E3070" s="16" t="s">
        <v>221</v>
      </c>
      <c r="F3070" s="13" t="s">
        <v>4626</v>
      </c>
      <c r="G3070" s="13" t="s">
        <v>5792</v>
      </c>
      <c r="H3070" s="13" t="s">
        <v>5793</v>
      </c>
      <c r="I3070" s="13" t="s">
        <v>56</v>
      </c>
      <c r="J3070" s="17" t="s">
        <v>71</v>
      </c>
      <c r="K3070" s="17" t="s">
        <v>58</v>
      </c>
      <c r="L3070" s="18" t="s">
        <v>52</v>
      </c>
      <c r="M3070" s="19">
        <v>68.0</v>
      </c>
      <c r="N3070" s="19">
        <v>30.0</v>
      </c>
    </row>
    <row r="3071">
      <c r="A3071" s="12">
        <v>3069.0</v>
      </c>
      <c r="B3071" s="13" t="s">
        <v>1293</v>
      </c>
      <c r="C3071" s="14">
        <v>179.0</v>
      </c>
      <c r="D3071" s="15" t="s">
        <v>5589</v>
      </c>
      <c r="E3071" s="16" t="s">
        <v>221</v>
      </c>
      <c r="F3071" s="13" t="s">
        <v>4455</v>
      </c>
      <c r="G3071" s="13" t="s">
        <v>61</v>
      </c>
      <c r="H3071" s="13" t="s">
        <v>5794</v>
      </c>
      <c r="I3071" s="13" t="s">
        <v>56</v>
      </c>
      <c r="J3071" s="17" t="s">
        <v>71</v>
      </c>
      <c r="K3071" s="17" t="s">
        <v>58</v>
      </c>
      <c r="L3071" s="18" t="s">
        <v>52</v>
      </c>
      <c r="M3071" s="19">
        <v>68.0</v>
      </c>
      <c r="N3071" s="19">
        <v>30.0</v>
      </c>
    </row>
    <row r="3072">
      <c r="A3072" s="12">
        <v>3070.0</v>
      </c>
      <c r="B3072" s="13" t="s">
        <v>1293</v>
      </c>
      <c r="C3072" s="14">
        <v>180.0</v>
      </c>
      <c r="D3072" s="15" t="s">
        <v>5589</v>
      </c>
      <c r="E3072" s="16" t="s">
        <v>221</v>
      </c>
      <c r="F3072" s="13" t="s">
        <v>2787</v>
      </c>
      <c r="G3072" s="13" t="s">
        <v>4564</v>
      </c>
      <c r="H3072" s="13" t="s">
        <v>5795</v>
      </c>
      <c r="I3072" s="13" t="s">
        <v>56</v>
      </c>
      <c r="J3072" s="17" t="s">
        <v>71</v>
      </c>
      <c r="K3072" s="17" t="s">
        <v>58</v>
      </c>
      <c r="L3072" s="18" t="s">
        <v>52</v>
      </c>
      <c r="M3072" s="19">
        <v>68.0</v>
      </c>
      <c r="N3072" s="19">
        <v>30.0</v>
      </c>
    </row>
    <row r="3073">
      <c r="A3073" s="12">
        <v>3071.0</v>
      </c>
      <c r="B3073" s="13" t="s">
        <v>1293</v>
      </c>
      <c r="C3073" s="14">
        <v>181.0</v>
      </c>
      <c r="D3073" s="15" t="s">
        <v>5589</v>
      </c>
      <c r="E3073" s="16" t="s">
        <v>221</v>
      </c>
      <c r="F3073" s="13" t="s">
        <v>4592</v>
      </c>
      <c r="G3073" s="13" t="s">
        <v>5796</v>
      </c>
      <c r="H3073" s="13" t="s">
        <v>5797</v>
      </c>
      <c r="I3073" s="13" t="s">
        <v>56</v>
      </c>
      <c r="J3073" s="17" t="s">
        <v>71</v>
      </c>
      <c r="K3073" s="17" t="s">
        <v>58</v>
      </c>
      <c r="L3073" s="18" t="s">
        <v>52</v>
      </c>
      <c r="M3073" s="19">
        <v>68.0</v>
      </c>
      <c r="N3073" s="19">
        <v>30.0</v>
      </c>
    </row>
    <row r="3074">
      <c r="A3074" s="12">
        <v>3072.0</v>
      </c>
      <c r="B3074" s="13" t="s">
        <v>1293</v>
      </c>
      <c r="C3074" s="14">
        <v>182.0</v>
      </c>
      <c r="D3074" s="15" t="s">
        <v>5589</v>
      </c>
      <c r="E3074" s="16" t="s">
        <v>221</v>
      </c>
      <c r="F3074" s="13" t="s">
        <v>2091</v>
      </c>
      <c r="G3074" s="13" t="s">
        <v>61</v>
      </c>
      <c r="H3074" s="13" t="s">
        <v>5798</v>
      </c>
      <c r="I3074" s="13" t="s">
        <v>56</v>
      </c>
      <c r="J3074" s="17" t="s">
        <v>71</v>
      </c>
      <c r="K3074" s="17" t="s">
        <v>58</v>
      </c>
      <c r="L3074" s="18" t="s">
        <v>52</v>
      </c>
      <c r="M3074" s="19">
        <v>68.0</v>
      </c>
      <c r="N3074" s="19">
        <v>30.0</v>
      </c>
    </row>
    <row r="3075">
      <c r="A3075" s="12">
        <v>3073.0</v>
      </c>
      <c r="B3075" s="13" t="s">
        <v>1293</v>
      </c>
      <c r="C3075" s="14">
        <v>183.0</v>
      </c>
      <c r="D3075" s="15" t="s">
        <v>5589</v>
      </c>
      <c r="E3075" s="16" t="s">
        <v>221</v>
      </c>
      <c r="F3075" s="13" t="s">
        <v>4561</v>
      </c>
      <c r="G3075" s="13" t="s">
        <v>61</v>
      </c>
      <c r="H3075" s="13" t="s">
        <v>5799</v>
      </c>
      <c r="I3075" s="13" t="s">
        <v>56</v>
      </c>
      <c r="J3075" s="17" t="s">
        <v>71</v>
      </c>
      <c r="K3075" s="17" t="s">
        <v>58</v>
      </c>
      <c r="L3075" s="18" t="s">
        <v>52</v>
      </c>
      <c r="M3075" s="19">
        <v>68.0</v>
      </c>
      <c r="N3075" s="19">
        <v>30.0</v>
      </c>
    </row>
    <row r="3076">
      <c r="A3076" s="12">
        <v>3074.0</v>
      </c>
      <c r="B3076" s="13" t="s">
        <v>1293</v>
      </c>
      <c r="C3076" s="14">
        <v>184.0</v>
      </c>
      <c r="D3076" s="15" t="s">
        <v>5589</v>
      </c>
      <c r="E3076" s="16" t="s">
        <v>221</v>
      </c>
      <c r="F3076" s="13" t="s">
        <v>2793</v>
      </c>
      <c r="G3076" s="13" t="s">
        <v>2794</v>
      </c>
      <c r="H3076" s="13" t="s">
        <v>5800</v>
      </c>
      <c r="I3076" s="13" t="s">
        <v>56</v>
      </c>
      <c r="J3076" s="17" t="s">
        <v>71</v>
      </c>
      <c r="K3076" s="17" t="s">
        <v>58</v>
      </c>
      <c r="L3076" s="18" t="s">
        <v>52</v>
      </c>
      <c r="M3076" s="19">
        <v>68.0</v>
      </c>
      <c r="N3076" s="19">
        <v>30.0</v>
      </c>
    </row>
    <row r="3077">
      <c r="A3077" s="12">
        <v>3075.0</v>
      </c>
      <c r="B3077" s="13" t="s">
        <v>1293</v>
      </c>
      <c r="C3077" s="14">
        <v>185.0</v>
      </c>
      <c r="D3077" s="15" t="s">
        <v>5589</v>
      </c>
      <c r="E3077" s="16" t="s">
        <v>221</v>
      </c>
      <c r="F3077" s="13" t="s">
        <v>2049</v>
      </c>
      <c r="G3077" s="13" t="s">
        <v>5801</v>
      </c>
      <c r="H3077" s="13" t="s">
        <v>5802</v>
      </c>
      <c r="I3077" s="13" t="s">
        <v>56</v>
      </c>
      <c r="J3077" s="17" t="s">
        <v>71</v>
      </c>
      <c r="K3077" s="17" t="s">
        <v>58</v>
      </c>
      <c r="L3077" s="18" t="s">
        <v>52</v>
      </c>
      <c r="M3077" s="19">
        <v>68.0</v>
      </c>
      <c r="N3077" s="19">
        <v>30.0</v>
      </c>
    </row>
    <row r="3078">
      <c r="A3078" s="12">
        <v>3076.0</v>
      </c>
      <c r="B3078" s="13" t="s">
        <v>1293</v>
      </c>
      <c r="C3078" s="14">
        <v>186.0</v>
      </c>
      <c r="D3078" s="15" t="s">
        <v>5589</v>
      </c>
      <c r="E3078" s="16" t="s">
        <v>221</v>
      </c>
      <c r="F3078" s="13" t="s">
        <v>2557</v>
      </c>
      <c r="G3078" s="13" t="s">
        <v>2558</v>
      </c>
      <c r="H3078" s="13" t="s">
        <v>5803</v>
      </c>
      <c r="I3078" s="13" t="s">
        <v>56</v>
      </c>
      <c r="J3078" s="17" t="s">
        <v>71</v>
      </c>
      <c r="K3078" s="17" t="s">
        <v>58</v>
      </c>
      <c r="L3078" s="18" t="s">
        <v>52</v>
      </c>
      <c r="M3078" s="19">
        <v>68.0</v>
      </c>
      <c r="N3078" s="19">
        <v>30.0</v>
      </c>
    </row>
    <row r="3079">
      <c r="A3079" s="12">
        <v>3077.0</v>
      </c>
      <c r="B3079" s="13" t="s">
        <v>1293</v>
      </c>
      <c r="C3079" s="14">
        <v>187.0</v>
      </c>
      <c r="D3079" s="15" t="s">
        <v>5589</v>
      </c>
      <c r="E3079" s="16" t="s">
        <v>221</v>
      </c>
      <c r="F3079" s="13" t="s">
        <v>2447</v>
      </c>
      <c r="G3079" s="13" t="s">
        <v>4492</v>
      </c>
      <c r="H3079" s="13" t="s">
        <v>5804</v>
      </c>
      <c r="I3079" s="13" t="s">
        <v>56</v>
      </c>
      <c r="J3079" s="17" t="s">
        <v>71</v>
      </c>
      <c r="K3079" s="17" t="s">
        <v>58</v>
      </c>
      <c r="L3079" s="18" t="s">
        <v>52</v>
      </c>
      <c r="M3079" s="19">
        <v>68.0</v>
      </c>
      <c r="N3079" s="19">
        <v>30.0</v>
      </c>
    </row>
    <row r="3080">
      <c r="A3080" s="12">
        <v>3078.0</v>
      </c>
      <c r="B3080" s="13" t="s">
        <v>1293</v>
      </c>
      <c r="C3080" s="14">
        <v>188.0</v>
      </c>
      <c r="D3080" s="15" t="s">
        <v>5589</v>
      </c>
      <c r="E3080" s="16" t="s">
        <v>221</v>
      </c>
      <c r="F3080" s="13" t="s">
        <v>2759</v>
      </c>
      <c r="G3080" s="13" t="s">
        <v>3508</v>
      </c>
      <c r="H3080" s="13" t="s">
        <v>5805</v>
      </c>
      <c r="I3080" s="13" t="s">
        <v>56</v>
      </c>
      <c r="J3080" s="17" t="s">
        <v>71</v>
      </c>
      <c r="K3080" s="17" t="s">
        <v>58</v>
      </c>
      <c r="L3080" s="18" t="s">
        <v>52</v>
      </c>
      <c r="M3080" s="19">
        <v>68.0</v>
      </c>
      <c r="N3080" s="19">
        <v>30.0</v>
      </c>
    </row>
    <row r="3081">
      <c r="A3081" s="12">
        <v>3079.0</v>
      </c>
      <c r="B3081" s="13" t="s">
        <v>1293</v>
      </c>
      <c r="C3081" s="14">
        <v>189.0</v>
      </c>
      <c r="D3081" s="15" t="s">
        <v>5589</v>
      </c>
      <c r="E3081" s="16" t="s">
        <v>221</v>
      </c>
      <c r="F3081" s="13" t="s">
        <v>2545</v>
      </c>
      <c r="G3081" s="13" t="s">
        <v>5806</v>
      </c>
      <c r="H3081" s="13" t="s">
        <v>5807</v>
      </c>
      <c r="I3081" s="13" t="s">
        <v>56</v>
      </c>
      <c r="J3081" s="17" t="s">
        <v>71</v>
      </c>
      <c r="K3081" s="17" t="s">
        <v>58</v>
      </c>
      <c r="L3081" s="18" t="s">
        <v>52</v>
      </c>
      <c r="M3081" s="19">
        <v>68.0</v>
      </c>
      <c r="N3081" s="19">
        <v>30.0</v>
      </c>
    </row>
    <row r="3082">
      <c r="A3082" s="12">
        <v>3080.0</v>
      </c>
      <c r="B3082" s="13" t="s">
        <v>1293</v>
      </c>
      <c r="C3082" s="14">
        <v>190.0</v>
      </c>
      <c r="D3082" s="15" t="s">
        <v>5589</v>
      </c>
      <c r="E3082" s="16" t="s">
        <v>221</v>
      </c>
      <c r="F3082" s="13" t="s">
        <v>3533</v>
      </c>
      <c r="G3082" s="13" t="s">
        <v>5181</v>
      </c>
      <c r="H3082" s="13" t="s">
        <v>5808</v>
      </c>
      <c r="I3082" s="13" t="s">
        <v>56</v>
      </c>
      <c r="J3082" s="17" t="s">
        <v>71</v>
      </c>
      <c r="K3082" s="17" t="s">
        <v>58</v>
      </c>
      <c r="L3082" s="18" t="s">
        <v>52</v>
      </c>
      <c r="M3082" s="19">
        <v>68.0</v>
      </c>
      <c r="N3082" s="19">
        <v>30.0</v>
      </c>
    </row>
    <row r="3083">
      <c r="A3083" s="12">
        <v>3081.0</v>
      </c>
      <c r="B3083" s="13" t="s">
        <v>1293</v>
      </c>
      <c r="C3083" s="14">
        <v>191.0</v>
      </c>
      <c r="D3083" s="15" t="s">
        <v>5589</v>
      </c>
      <c r="E3083" s="16" t="s">
        <v>221</v>
      </c>
      <c r="F3083" s="13" t="s">
        <v>1701</v>
      </c>
      <c r="G3083" s="13" t="s">
        <v>5206</v>
      </c>
      <c r="H3083" s="13" t="s">
        <v>5809</v>
      </c>
      <c r="I3083" s="13" t="s">
        <v>56</v>
      </c>
      <c r="J3083" s="17" t="s">
        <v>71</v>
      </c>
      <c r="K3083" s="17" t="s">
        <v>58</v>
      </c>
      <c r="L3083" s="18" t="s">
        <v>52</v>
      </c>
      <c r="M3083" s="19">
        <v>68.0</v>
      </c>
      <c r="N3083" s="19">
        <v>30.0</v>
      </c>
    </row>
    <row r="3084">
      <c r="A3084" s="12">
        <v>3082.0</v>
      </c>
      <c r="B3084" s="13" t="s">
        <v>1293</v>
      </c>
      <c r="C3084" s="14">
        <v>192.0</v>
      </c>
      <c r="D3084" s="15" t="s">
        <v>5810</v>
      </c>
      <c r="E3084" s="16" t="s">
        <v>221</v>
      </c>
      <c r="F3084" s="13" t="s">
        <v>1405</v>
      </c>
      <c r="G3084" s="13" t="s">
        <v>61</v>
      </c>
      <c r="H3084" s="13" t="s">
        <v>1668</v>
      </c>
      <c r="I3084" s="13" t="s">
        <v>63</v>
      </c>
      <c r="J3084" s="17" t="s">
        <v>71</v>
      </c>
      <c r="K3084" s="17" t="s">
        <v>58</v>
      </c>
      <c r="L3084" s="18" t="s">
        <v>52</v>
      </c>
      <c r="M3084" s="19">
        <v>68.0</v>
      </c>
      <c r="N3084" s="19">
        <v>31.0</v>
      </c>
    </row>
    <row r="3085">
      <c r="A3085" s="12">
        <v>3083.0</v>
      </c>
      <c r="B3085" s="13" t="s">
        <v>1293</v>
      </c>
      <c r="C3085" s="14">
        <v>193.0</v>
      </c>
      <c r="D3085" s="15" t="s">
        <v>5811</v>
      </c>
      <c r="E3085" s="16" t="s">
        <v>221</v>
      </c>
      <c r="F3085" s="13" t="s">
        <v>3471</v>
      </c>
      <c r="G3085" s="13" t="s">
        <v>3472</v>
      </c>
      <c r="H3085" s="13" t="s">
        <v>5812</v>
      </c>
      <c r="I3085" s="13" t="s">
        <v>63</v>
      </c>
      <c r="J3085" s="17" t="s">
        <v>71</v>
      </c>
      <c r="K3085" s="17" t="s">
        <v>58</v>
      </c>
      <c r="L3085" s="18" t="s">
        <v>52</v>
      </c>
      <c r="M3085" s="19">
        <v>68.0</v>
      </c>
      <c r="N3085" s="19">
        <v>31.0</v>
      </c>
    </row>
    <row r="3086">
      <c r="A3086" s="12">
        <v>3084.0</v>
      </c>
      <c r="B3086" s="13" t="s">
        <v>1738</v>
      </c>
      <c r="C3086" s="14">
        <v>1.0</v>
      </c>
      <c r="D3086" s="15" t="s">
        <v>5813</v>
      </c>
      <c r="E3086" s="16" t="s">
        <v>221</v>
      </c>
      <c r="F3086" s="13" t="s">
        <v>4493</v>
      </c>
      <c r="G3086" s="13" t="s">
        <v>61</v>
      </c>
      <c r="H3086" s="13" t="s">
        <v>5334</v>
      </c>
      <c r="I3086" s="13" t="s">
        <v>63</v>
      </c>
      <c r="J3086" s="17" t="s">
        <v>57</v>
      </c>
      <c r="K3086" s="17" t="s">
        <v>58</v>
      </c>
      <c r="L3086" s="18" t="s">
        <v>52</v>
      </c>
      <c r="M3086" s="19">
        <v>69.0</v>
      </c>
      <c r="N3086" s="19">
        <v>11.0</v>
      </c>
    </row>
    <row r="3087">
      <c r="A3087" s="12">
        <v>3085.0</v>
      </c>
      <c r="B3087" s="13" t="s">
        <v>1738</v>
      </c>
      <c r="C3087" s="14">
        <v>2.0</v>
      </c>
      <c r="D3087" s="15" t="s">
        <v>5814</v>
      </c>
      <c r="E3087" s="16" t="s">
        <v>221</v>
      </c>
      <c r="F3087" s="13" t="s">
        <v>1732</v>
      </c>
      <c r="G3087" s="13" t="s">
        <v>1733</v>
      </c>
      <c r="H3087" s="13" t="s">
        <v>4875</v>
      </c>
      <c r="I3087" s="13" t="s">
        <v>63</v>
      </c>
      <c r="J3087" s="17" t="s">
        <v>57</v>
      </c>
      <c r="K3087" s="17" t="s">
        <v>58</v>
      </c>
      <c r="L3087" s="18" t="s">
        <v>52</v>
      </c>
      <c r="M3087" s="19">
        <v>69.0</v>
      </c>
      <c r="N3087" s="19">
        <v>11.0</v>
      </c>
    </row>
    <row r="3088">
      <c r="A3088" s="12">
        <v>3086.0</v>
      </c>
      <c r="B3088" s="13" t="s">
        <v>1738</v>
      </c>
      <c r="C3088" s="14">
        <v>3.0</v>
      </c>
      <c r="D3088" s="15" t="s">
        <v>5815</v>
      </c>
      <c r="E3088" s="16" t="s">
        <v>221</v>
      </c>
      <c r="F3088" s="13" t="s">
        <v>96</v>
      </c>
      <c r="G3088" s="13" t="s">
        <v>4877</v>
      </c>
      <c r="H3088" s="13" t="s">
        <v>4878</v>
      </c>
      <c r="I3088" s="13" t="s">
        <v>63</v>
      </c>
      <c r="J3088" s="17" t="s">
        <v>57</v>
      </c>
      <c r="K3088" s="17" t="s">
        <v>58</v>
      </c>
      <c r="L3088" s="18" t="s">
        <v>52</v>
      </c>
      <c r="M3088" s="19">
        <v>69.0</v>
      </c>
      <c r="N3088" s="19">
        <v>11.0</v>
      </c>
    </row>
    <row r="3089">
      <c r="A3089" s="12">
        <v>3087.0</v>
      </c>
      <c r="B3089" s="13" t="s">
        <v>1738</v>
      </c>
      <c r="C3089" s="14">
        <v>4.0</v>
      </c>
      <c r="D3089" s="15" t="s">
        <v>5816</v>
      </c>
      <c r="E3089" s="16" t="s">
        <v>221</v>
      </c>
      <c r="F3089" s="13" t="s">
        <v>3068</v>
      </c>
      <c r="G3089" s="13" t="s">
        <v>4464</v>
      </c>
      <c r="H3089" s="13" t="s">
        <v>5817</v>
      </c>
      <c r="I3089" s="13" t="s">
        <v>56</v>
      </c>
      <c r="J3089" s="17" t="s">
        <v>67</v>
      </c>
      <c r="K3089" s="17" t="s">
        <v>58</v>
      </c>
      <c r="L3089" s="18" t="s">
        <v>52</v>
      </c>
      <c r="M3089" s="19">
        <v>69.0</v>
      </c>
      <c r="N3089" s="19">
        <v>20.0</v>
      </c>
    </row>
    <row r="3090">
      <c r="A3090" s="12">
        <v>3088.0</v>
      </c>
      <c r="B3090" s="13" t="s">
        <v>1738</v>
      </c>
      <c r="C3090" s="14">
        <v>5.0</v>
      </c>
      <c r="D3090" s="15" t="s">
        <v>5816</v>
      </c>
      <c r="E3090" s="16" t="s">
        <v>221</v>
      </c>
      <c r="F3090" s="13" t="s">
        <v>2895</v>
      </c>
      <c r="G3090" s="13" t="s">
        <v>2896</v>
      </c>
      <c r="H3090" s="13" t="s">
        <v>5820</v>
      </c>
      <c r="I3090" s="13" t="s">
        <v>56</v>
      </c>
      <c r="J3090" s="17" t="s">
        <v>67</v>
      </c>
      <c r="K3090" s="17" t="s">
        <v>58</v>
      </c>
      <c r="L3090" s="18" t="s">
        <v>52</v>
      </c>
      <c r="M3090" s="19">
        <v>69.0</v>
      </c>
      <c r="N3090" s="19">
        <v>20.0</v>
      </c>
    </row>
    <row r="3091">
      <c r="A3091" s="12">
        <v>3089.0</v>
      </c>
      <c r="B3091" s="13" t="s">
        <v>1738</v>
      </c>
      <c r="C3091" s="14">
        <v>6.0</v>
      </c>
      <c r="D3091" s="15" t="s">
        <v>5813</v>
      </c>
      <c r="E3091" s="16" t="s">
        <v>221</v>
      </c>
      <c r="F3091" s="13" t="s">
        <v>444</v>
      </c>
      <c r="G3091" s="13" t="s">
        <v>4503</v>
      </c>
      <c r="H3091" s="13" t="s">
        <v>4791</v>
      </c>
      <c r="I3091" s="13" t="s">
        <v>63</v>
      </c>
      <c r="J3091" s="17" t="s">
        <v>67</v>
      </c>
      <c r="K3091" s="17" t="s">
        <v>58</v>
      </c>
      <c r="L3091" s="18" t="s">
        <v>52</v>
      </c>
      <c r="M3091" s="19">
        <v>69.0</v>
      </c>
      <c r="N3091" s="19">
        <v>21.0</v>
      </c>
    </row>
    <row r="3092">
      <c r="A3092" s="12">
        <v>3090.0</v>
      </c>
      <c r="B3092" s="13" t="s">
        <v>1738</v>
      </c>
      <c r="C3092" s="14">
        <v>7.0</v>
      </c>
      <c r="D3092" s="15" t="s">
        <v>5813</v>
      </c>
      <c r="E3092" s="16" t="s">
        <v>221</v>
      </c>
      <c r="F3092" s="13" t="s">
        <v>4771</v>
      </c>
      <c r="G3092" s="13" t="s">
        <v>4772</v>
      </c>
      <c r="H3092" s="13" t="s">
        <v>4773</v>
      </c>
      <c r="I3092" s="13" t="s">
        <v>63</v>
      </c>
      <c r="J3092" s="17" t="s">
        <v>67</v>
      </c>
      <c r="K3092" s="17" t="s">
        <v>58</v>
      </c>
      <c r="L3092" s="18" t="s">
        <v>52</v>
      </c>
      <c r="M3092" s="19">
        <v>69.0</v>
      </c>
      <c r="N3092" s="19">
        <v>21.0</v>
      </c>
    </row>
    <row r="3093">
      <c r="A3093" s="12">
        <v>3091.0</v>
      </c>
      <c r="B3093" s="13" t="s">
        <v>1738</v>
      </c>
      <c r="C3093" s="14">
        <v>8.0</v>
      </c>
      <c r="D3093" s="15" t="s">
        <v>5816</v>
      </c>
      <c r="E3093" s="16" t="s">
        <v>221</v>
      </c>
      <c r="F3093" s="13" t="s">
        <v>94</v>
      </c>
      <c r="G3093" s="13" t="s">
        <v>61</v>
      </c>
      <c r="H3093" s="13" t="s">
        <v>5823</v>
      </c>
      <c r="I3093" s="13" t="s">
        <v>56</v>
      </c>
      <c r="J3093" s="17" t="s">
        <v>71</v>
      </c>
      <c r="K3093" s="17" t="s">
        <v>58</v>
      </c>
      <c r="L3093" s="18" t="s">
        <v>52</v>
      </c>
      <c r="M3093" s="19">
        <v>69.0</v>
      </c>
      <c r="N3093" s="19">
        <v>30.0</v>
      </c>
    </row>
    <row r="3094">
      <c r="A3094" s="12">
        <v>3092.0</v>
      </c>
      <c r="B3094" s="13" t="s">
        <v>1738</v>
      </c>
      <c r="C3094" s="14">
        <v>9.0</v>
      </c>
      <c r="D3094" s="15" t="s">
        <v>5813</v>
      </c>
      <c r="E3094" s="16" t="s">
        <v>221</v>
      </c>
      <c r="F3094" s="13" t="s">
        <v>833</v>
      </c>
      <c r="G3094" s="13" t="s">
        <v>5825</v>
      </c>
      <c r="H3094" s="13" t="s">
        <v>5826</v>
      </c>
      <c r="I3094" s="13" t="s">
        <v>63</v>
      </c>
      <c r="J3094" s="17" t="s">
        <v>71</v>
      </c>
      <c r="K3094" s="17" t="s">
        <v>58</v>
      </c>
      <c r="L3094" s="18" t="s">
        <v>52</v>
      </c>
      <c r="M3094" s="19">
        <v>69.0</v>
      </c>
      <c r="N3094" s="19">
        <v>31.0</v>
      </c>
    </row>
    <row r="3095">
      <c r="A3095" s="12">
        <v>3093.0</v>
      </c>
      <c r="B3095" s="13" t="s">
        <v>1738</v>
      </c>
      <c r="C3095" s="14">
        <v>10.0</v>
      </c>
      <c r="D3095" s="15" t="s">
        <v>5813</v>
      </c>
      <c r="E3095" s="16" t="s">
        <v>221</v>
      </c>
      <c r="F3095" s="13" t="s">
        <v>1103</v>
      </c>
      <c r="G3095" s="13" t="s">
        <v>4786</v>
      </c>
      <c r="H3095" s="13" t="s">
        <v>4787</v>
      </c>
      <c r="I3095" s="13" t="s">
        <v>63</v>
      </c>
      <c r="J3095" s="17" t="s">
        <v>71</v>
      </c>
      <c r="K3095" s="17" t="s">
        <v>58</v>
      </c>
      <c r="L3095" s="18" t="s">
        <v>52</v>
      </c>
      <c r="M3095" s="19">
        <v>69.0</v>
      </c>
      <c r="N3095" s="19">
        <v>31.0</v>
      </c>
    </row>
    <row r="3096">
      <c r="A3096" s="12">
        <v>3094.0</v>
      </c>
      <c r="B3096" s="13" t="s">
        <v>1738</v>
      </c>
      <c r="C3096" s="14">
        <v>11.0</v>
      </c>
      <c r="D3096" s="15" t="s">
        <v>5813</v>
      </c>
      <c r="E3096" s="16" t="s">
        <v>221</v>
      </c>
      <c r="F3096" s="13" t="s">
        <v>64</v>
      </c>
      <c r="G3096" s="13" t="s">
        <v>4779</v>
      </c>
      <c r="H3096" s="13" t="s">
        <v>4780</v>
      </c>
      <c r="I3096" s="13" t="s">
        <v>63</v>
      </c>
      <c r="J3096" s="17" t="s">
        <v>71</v>
      </c>
      <c r="K3096" s="17" t="s">
        <v>58</v>
      </c>
      <c r="L3096" s="18" t="s">
        <v>52</v>
      </c>
      <c r="M3096" s="19">
        <v>69.0</v>
      </c>
      <c r="N3096" s="19">
        <v>31.0</v>
      </c>
    </row>
    <row r="3097">
      <c r="A3097" s="12">
        <v>3095.0</v>
      </c>
      <c r="B3097" s="13" t="s">
        <v>1738</v>
      </c>
      <c r="C3097" s="14">
        <v>12.0</v>
      </c>
      <c r="D3097" s="15" t="s">
        <v>5813</v>
      </c>
      <c r="E3097" s="16" t="s">
        <v>221</v>
      </c>
      <c r="F3097" s="13" t="s">
        <v>186</v>
      </c>
      <c r="G3097" s="13" t="s">
        <v>4777</v>
      </c>
      <c r="H3097" s="13" t="s">
        <v>4778</v>
      </c>
      <c r="I3097" s="13" t="s">
        <v>63</v>
      </c>
      <c r="J3097" s="17" t="s">
        <v>71</v>
      </c>
      <c r="K3097" s="17" t="s">
        <v>58</v>
      </c>
      <c r="L3097" s="18" t="s">
        <v>52</v>
      </c>
      <c r="M3097" s="19">
        <v>69.0</v>
      </c>
      <c r="N3097" s="19">
        <v>31.0</v>
      </c>
    </row>
    <row r="3098">
      <c r="A3098" s="12">
        <v>3096.0</v>
      </c>
      <c r="B3098" s="13" t="s">
        <v>1738</v>
      </c>
      <c r="C3098" s="14">
        <v>13.0</v>
      </c>
      <c r="D3098" s="15" t="s">
        <v>5813</v>
      </c>
      <c r="E3098" s="16" t="s">
        <v>221</v>
      </c>
      <c r="F3098" s="13" t="s">
        <v>60</v>
      </c>
      <c r="G3098" s="13" t="s">
        <v>61</v>
      </c>
      <c r="H3098" s="13" t="s">
        <v>4119</v>
      </c>
      <c r="I3098" s="13" t="s">
        <v>63</v>
      </c>
      <c r="J3098" s="17" t="s">
        <v>71</v>
      </c>
      <c r="K3098" s="17" t="s">
        <v>58</v>
      </c>
      <c r="L3098" s="18" t="s">
        <v>52</v>
      </c>
      <c r="M3098" s="19">
        <v>69.0</v>
      </c>
      <c r="N3098" s="19">
        <v>31.0</v>
      </c>
    </row>
    <row r="3099">
      <c r="A3099" s="12">
        <v>3097.0</v>
      </c>
      <c r="B3099" s="13" t="s">
        <v>1738</v>
      </c>
      <c r="C3099" s="14">
        <v>14.0</v>
      </c>
      <c r="D3099" s="15" t="s">
        <v>5813</v>
      </c>
      <c r="E3099" s="16" t="s">
        <v>221</v>
      </c>
      <c r="F3099" s="13" t="s">
        <v>1690</v>
      </c>
      <c r="G3099" s="13" t="s">
        <v>1691</v>
      </c>
      <c r="H3099" s="13" t="s">
        <v>4520</v>
      </c>
      <c r="I3099" s="13" t="s">
        <v>63</v>
      </c>
      <c r="J3099" s="17" t="s">
        <v>71</v>
      </c>
      <c r="K3099" s="17" t="s">
        <v>58</v>
      </c>
      <c r="L3099" s="18" t="s">
        <v>52</v>
      </c>
      <c r="M3099" s="19">
        <v>69.0</v>
      </c>
      <c r="N3099" s="19">
        <v>31.0</v>
      </c>
    </row>
    <row r="3100">
      <c r="A3100" s="12">
        <v>3098.0</v>
      </c>
      <c r="B3100" s="13" t="s">
        <v>1738</v>
      </c>
      <c r="C3100" s="14">
        <v>15.0</v>
      </c>
      <c r="D3100" s="15" t="s">
        <v>5813</v>
      </c>
      <c r="E3100" s="16" t="s">
        <v>221</v>
      </c>
      <c r="F3100" s="13" t="s">
        <v>104</v>
      </c>
      <c r="G3100" s="13" t="s">
        <v>105</v>
      </c>
      <c r="H3100" s="13" t="s">
        <v>106</v>
      </c>
      <c r="I3100" s="13" t="s">
        <v>63</v>
      </c>
      <c r="J3100" s="17" t="s">
        <v>71</v>
      </c>
      <c r="K3100" s="17" t="s">
        <v>58</v>
      </c>
      <c r="L3100" s="18" t="s">
        <v>52</v>
      </c>
      <c r="M3100" s="19">
        <v>69.0</v>
      </c>
      <c r="N3100" s="19">
        <v>31.0</v>
      </c>
    </row>
    <row r="3101">
      <c r="A3101" s="12">
        <v>3099.0</v>
      </c>
      <c r="B3101" s="13" t="s">
        <v>1738</v>
      </c>
      <c r="C3101" s="14">
        <v>16.0</v>
      </c>
      <c r="D3101" s="15" t="s">
        <v>5813</v>
      </c>
      <c r="E3101" s="16" t="s">
        <v>221</v>
      </c>
      <c r="F3101" s="13" t="s">
        <v>2750</v>
      </c>
      <c r="G3101" s="13" t="s">
        <v>2751</v>
      </c>
      <c r="H3101" s="13" t="s">
        <v>2752</v>
      </c>
      <c r="I3101" s="13" t="s">
        <v>63</v>
      </c>
      <c r="J3101" s="17" t="s">
        <v>71</v>
      </c>
      <c r="K3101" s="17" t="s">
        <v>58</v>
      </c>
      <c r="L3101" s="18" t="s">
        <v>52</v>
      </c>
      <c r="M3101" s="19">
        <v>69.0</v>
      </c>
      <c r="N3101" s="19">
        <v>31.0</v>
      </c>
    </row>
    <row r="3102">
      <c r="A3102" s="12">
        <v>3100.0</v>
      </c>
      <c r="B3102" s="13" t="s">
        <v>1738</v>
      </c>
      <c r="C3102" s="14">
        <v>17.0</v>
      </c>
      <c r="D3102" s="15" t="s">
        <v>5813</v>
      </c>
      <c r="E3102" s="16" t="s">
        <v>221</v>
      </c>
      <c r="F3102" s="13" t="s">
        <v>2735</v>
      </c>
      <c r="G3102" s="13" t="s">
        <v>4752</v>
      </c>
      <c r="H3102" s="13" t="s">
        <v>4753</v>
      </c>
      <c r="I3102" s="13" t="s">
        <v>63</v>
      </c>
      <c r="J3102" s="17" t="s">
        <v>71</v>
      </c>
      <c r="K3102" s="17" t="s">
        <v>58</v>
      </c>
      <c r="L3102" s="18" t="s">
        <v>52</v>
      </c>
      <c r="M3102" s="19">
        <v>69.0</v>
      </c>
      <c r="N3102" s="19">
        <v>31.0</v>
      </c>
    </row>
    <row r="3103">
      <c r="A3103" s="12">
        <v>3101.0</v>
      </c>
      <c r="B3103" s="13" t="s">
        <v>1738</v>
      </c>
      <c r="C3103" s="14">
        <v>18.0</v>
      </c>
      <c r="D3103" s="15" t="s">
        <v>5813</v>
      </c>
      <c r="E3103" s="16" t="s">
        <v>221</v>
      </c>
      <c r="F3103" s="13" t="s">
        <v>2753</v>
      </c>
      <c r="G3103" s="13" t="s">
        <v>4763</v>
      </c>
      <c r="H3103" s="13" t="s">
        <v>5831</v>
      </c>
      <c r="I3103" s="13" t="s">
        <v>63</v>
      </c>
      <c r="J3103" s="17" t="s">
        <v>71</v>
      </c>
      <c r="K3103" s="17" t="s">
        <v>58</v>
      </c>
      <c r="L3103" s="18" t="s">
        <v>52</v>
      </c>
      <c r="M3103" s="19">
        <v>69.0</v>
      </c>
      <c r="N3103" s="19">
        <v>31.0</v>
      </c>
    </row>
    <row r="3104">
      <c r="A3104" s="12">
        <v>3102.0</v>
      </c>
      <c r="B3104" s="13" t="s">
        <v>1738</v>
      </c>
      <c r="C3104" s="14">
        <v>19.0</v>
      </c>
      <c r="D3104" s="15" t="s">
        <v>5813</v>
      </c>
      <c r="E3104" s="16" t="s">
        <v>221</v>
      </c>
      <c r="F3104" s="13" t="s">
        <v>1729</v>
      </c>
      <c r="G3104" s="13" t="s">
        <v>1730</v>
      </c>
      <c r="H3104" s="13" t="s">
        <v>4038</v>
      </c>
      <c r="I3104" s="13" t="s">
        <v>63</v>
      </c>
      <c r="J3104" s="17" t="s">
        <v>71</v>
      </c>
      <c r="K3104" s="17" t="s">
        <v>58</v>
      </c>
      <c r="L3104" s="18" t="s">
        <v>52</v>
      </c>
      <c r="M3104" s="19">
        <v>69.0</v>
      </c>
      <c r="N3104" s="19">
        <v>31.0</v>
      </c>
    </row>
    <row r="3105">
      <c r="A3105" s="12">
        <v>3103.0</v>
      </c>
      <c r="B3105" s="13" t="s">
        <v>1738</v>
      </c>
      <c r="C3105" s="14">
        <v>20.0</v>
      </c>
      <c r="D3105" s="15" t="s">
        <v>5813</v>
      </c>
      <c r="E3105" s="16" t="s">
        <v>221</v>
      </c>
      <c r="F3105" s="13" t="s">
        <v>75</v>
      </c>
      <c r="G3105" s="13" t="s">
        <v>76</v>
      </c>
      <c r="H3105" s="13" t="s">
        <v>4807</v>
      </c>
      <c r="I3105" s="13" t="s">
        <v>63</v>
      </c>
      <c r="J3105" s="17" t="s">
        <v>71</v>
      </c>
      <c r="K3105" s="17" t="s">
        <v>58</v>
      </c>
      <c r="L3105" s="18" t="s">
        <v>52</v>
      </c>
      <c r="M3105" s="19">
        <v>69.0</v>
      </c>
      <c r="N3105" s="19">
        <v>31.0</v>
      </c>
    </row>
    <row r="3106">
      <c r="A3106" s="12">
        <v>3104.0</v>
      </c>
      <c r="B3106" s="13" t="s">
        <v>1738</v>
      </c>
      <c r="C3106" s="14">
        <v>21.0</v>
      </c>
      <c r="D3106" s="15" t="s">
        <v>5813</v>
      </c>
      <c r="E3106" s="16" t="s">
        <v>221</v>
      </c>
      <c r="F3106" s="13" t="s">
        <v>174</v>
      </c>
      <c r="G3106" s="13" t="s">
        <v>5338</v>
      </c>
      <c r="H3106" s="13" t="s">
        <v>5339</v>
      </c>
      <c r="I3106" s="13" t="s">
        <v>63</v>
      </c>
      <c r="J3106" s="17" t="s">
        <v>71</v>
      </c>
      <c r="K3106" s="17" t="s">
        <v>58</v>
      </c>
      <c r="L3106" s="18" t="s">
        <v>52</v>
      </c>
      <c r="M3106" s="19">
        <v>69.0</v>
      </c>
      <c r="N3106" s="19">
        <v>31.0</v>
      </c>
    </row>
    <row r="3107">
      <c r="A3107" s="12">
        <v>3105.0</v>
      </c>
      <c r="B3107" s="13" t="s">
        <v>1738</v>
      </c>
      <c r="C3107" s="14">
        <v>22.0</v>
      </c>
      <c r="D3107" s="15" t="s">
        <v>5813</v>
      </c>
      <c r="E3107" s="16" t="s">
        <v>221</v>
      </c>
      <c r="F3107" s="13" t="s">
        <v>81</v>
      </c>
      <c r="G3107" s="13" t="s">
        <v>4469</v>
      </c>
      <c r="H3107" s="13" t="s">
        <v>4835</v>
      </c>
      <c r="I3107" s="13" t="s">
        <v>63</v>
      </c>
      <c r="J3107" s="17" t="s">
        <v>71</v>
      </c>
      <c r="K3107" s="17" t="s">
        <v>58</v>
      </c>
      <c r="L3107" s="18" t="s">
        <v>52</v>
      </c>
      <c r="M3107" s="19">
        <v>69.0</v>
      </c>
      <c r="N3107" s="19">
        <v>31.0</v>
      </c>
    </row>
    <row r="3108">
      <c r="A3108" s="12">
        <v>3106.0</v>
      </c>
      <c r="B3108" s="13" t="s">
        <v>1738</v>
      </c>
      <c r="C3108" s="14">
        <v>23.0</v>
      </c>
      <c r="D3108" s="15" t="s">
        <v>5813</v>
      </c>
      <c r="E3108" s="16" t="s">
        <v>221</v>
      </c>
      <c r="F3108" s="13" t="s">
        <v>2508</v>
      </c>
      <c r="G3108" s="13" t="s">
        <v>5367</v>
      </c>
      <c r="H3108" s="13" t="s">
        <v>5368</v>
      </c>
      <c r="I3108" s="13" t="s">
        <v>63</v>
      </c>
      <c r="J3108" s="17" t="s">
        <v>71</v>
      </c>
      <c r="K3108" s="17" t="s">
        <v>58</v>
      </c>
      <c r="L3108" s="18" t="s">
        <v>52</v>
      </c>
      <c r="M3108" s="19">
        <v>69.0</v>
      </c>
      <c r="N3108" s="19">
        <v>31.0</v>
      </c>
    </row>
    <row r="3109">
      <c r="A3109" s="12">
        <v>3107.0</v>
      </c>
      <c r="B3109" s="13" t="s">
        <v>1738</v>
      </c>
      <c r="C3109" s="14">
        <v>24.0</v>
      </c>
      <c r="D3109" s="15" t="s">
        <v>5813</v>
      </c>
      <c r="E3109" s="16" t="s">
        <v>221</v>
      </c>
      <c r="F3109" s="13" t="s">
        <v>2049</v>
      </c>
      <c r="G3109" s="13" t="s">
        <v>4761</v>
      </c>
      <c r="H3109" s="13" t="s">
        <v>4762</v>
      </c>
      <c r="I3109" s="13" t="s">
        <v>63</v>
      </c>
      <c r="J3109" s="17" t="s">
        <v>71</v>
      </c>
      <c r="K3109" s="17" t="s">
        <v>58</v>
      </c>
      <c r="L3109" s="18" t="s">
        <v>52</v>
      </c>
      <c r="M3109" s="19">
        <v>69.0</v>
      </c>
      <c r="N3109" s="19">
        <v>31.0</v>
      </c>
    </row>
    <row r="3110">
      <c r="A3110" s="12">
        <v>3108.0</v>
      </c>
      <c r="B3110" s="13" t="s">
        <v>1738</v>
      </c>
      <c r="C3110" s="14">
        <v>25.0</v>
      </c>
      <c r="D3110" s="15" t="s">
        <v>5813</v>
      </c>
      <c r="E3110" s="16" t="s">
        <v>221</v>
      </c>
      <c r="F3110" s="13" t="s">
        <v>4587</v>
      </c>
      <c r="G3110" s="13" t="s">
        <v>5832</v>
      </c>
      <c r="H3110" s="13" t="s">
        <v>5833</v>
      </c>
      <c r="I3110" s="13" t="s">
        <v>63</v>
      </c>
      <c r="J3110" s="17" t="s">
        <v>71</v>
      </c>
      <c r="K3110" s="17" t="s">
        <v>58</v>
      </c>
      <c r="L3110" s="18" t="s">
        <v>52</v>
      </c>
      <c r="M3110" s="19">
        <v>69.0</v>
      </c>
      <c r="N3110" s="19">
        <v>31.0</v>
      </c>
    </row>
    <row r="3111">
      <c r="A3111" s="12">
        <v>3109.0</v>
      </c>
      <c r="B3111" s="13" t="s">
        <v>1738</v>
      </c>
      <c r="C3111" s="14">
        <v>26.0</v>
      </c>
      <c r="D3111" s="15" t="s">
        <v>5813</v>
      </c>
      <c r="E3111" s="16" t="s">
        <v>221</v>
      </c>
      <c r="F3111" s="13" t="s">
        <v>2551</v>
      </c>
      <c r="G3111" s="13" t="s">
        <v>5834</v>
      </c>
      <c r="H3111" s="13" t="s">
        <v>5835</v>
      </c>
      <c r="I3111" s="13" t="s">
        <v>63</v>
      </c>
      <c r="J3111" s="17" t="s">
        <v>71</v>
      </c>
      <c r="K3111" s="17" t="s">
        <v>58</v>
      </c>
      <c r="L3111" s="18" t="s">
        <v>52</v>
      </c>
      <c r="M3111" s="19">
        <v>69.0</v>
      </c>
      <c r="N3111" s="19">
        <v>31.0</v>
      </c>
    </row>
    <row r="3112">
      <c r="A3112" s="12">
        <v>3110.0</v>
      </c>
      <c r="B3112" s="13" t="s">
        <v>1738</v>
      </c>
      <c r="C3112" s="14">
        <v>27.0</v>
      </c>
      <c r="D3112" s="15" t="s">
        <v>5813</v>
      </c>
      <c r="E3112" s="16" t="s">
        <v>221</v>
      </c>
      <c r="F3112" s="13" t="s">
        <v>2505</v>
      </c>
      <c r="G3112" s="13" t="s">
        <v>2506</v>
      </c>
      <c r="H3112" s="13" t="s">
        <v>5836</v>
      </c>
      <c r="I3112" s="13" t="s">
        <v>63</v>
      </c>
      <c r="J3112" s="17" t="s">
        <v>71</v>
      </c>
      <c r="K3112" s="17" t="s">
        <v>58</v>
      </c>
      <c r="L3112" s="18" t="s">
        <v>52</v>
      </c>
      <c r="M3112" s="19">
        <v>69.0</v>
      </c>
      <c r="N3112" s="19">
        <v>31.0</v>
      </c>
    </row>
    <row r="3113">
      <c r="A3113" s="12">
        <v>3111.0</v>
      </c>
      <c r="B3113" s="13" t="s">
        <v>1738</v>
      </c>
      <c r="C3113" s="14">
        <v>28.0</v>
      </c>
      <c r="D3113" s="15" t="s">
        <v>5813</v>
      </c>
      <c r="E3113" s="16" t="s">
        <v>221</v>
      </c>
      <c r="F3113" s="13" t="s">
        <v>2447</v>
      </c>
      <c r="G3113" s="13" t="s">
        <v>2448</v>
      </c>
      <c r="H3113" s="13" t="s">
        <v>4759</v>
      </c>
      <c r="I3113" s="13" t="s">
        <v>63</v>
      </c>
      <c r="J3113" s="17" t="s">
        <v>71</v>
      </c>
      <c r="K3113" s="17" t="s">
        <v>58</v>
      </c>
      <c r="L3113" s="18" t="s">
        <v>52</v>
      </c>
      <c r="M3113" s="19">
        <v>69.0</v>
      </c>
      <c r="N3113" s="19">
        <v>31.0</v>
      </c>
    </row>
    <row r="3114">
      <c r="A3114" s="12">
        <v>3112.0</v>
      </c>
      <c r="B3114" s="13" t="s">
        <v>1738</v>
      </c>
      <c r="C3114" s="14">
        <v>29.0</v>
      </c>
      <c r="D3114" s="15" t="s">
        <v>5813</v>
      </c>
      <c r="E3114" s="16" t="s">
        <v>221</v>
      </c>
      <c r="F3114" s="13" t="s">
        <v>2488</v>
      </c>
      <c r="G3114" s="13" t="s">
        <v>5393</v>
      </c>
      <c r="H3114" s="13" t="s">
        <v>5394</v>
      </c>
      <c r="I3114" s="13" t="s">
        <v>63</v>
      </c>
      <c r="J3114" s="17" t="s">
        <v>71</v>
      </c>
      <c r="K3114" s="17" t="s">
        <v>58</v>
      </c>
      <c r="L3114" s="18" t="s">
        <v>52</v>
      </c>
      <c r="M3114" s="19">
        <v>69.0</v>
      </c>
      <c r="N3114" s="19">
        <v>31.0</v>
      </c>
    </row>
    <row r="3115">
      <c r="A3115" s="12">
        <v>3113.0</v>
      </c>
      <c r="B3115" s="13" t="s">
        <v>1738</v>
      </c>
      <c r="C3115" s="14">
        <v>30.0</v>
      </c>
      <c r="D3115" s="15" t="s">
        <v>5813</v>
      </c>
      <c r="E3115" s="16" t="s">
        <v>221</v>
      </c>
      <c r="F3115" s="13" t="s">
        <v>4068</v>
      </c>
      <c r="G3115" s="13" t="s">
        <v>4069</v>
      </c>
      <c r="H3115" s="13" t="s">
        <v>5383</v>
      </c>
      <c r="I3115" s="13" t="s">
        <v>63</v>
      </c>
      <c r="J3115" s="17" t="s">
        <v>71</v>
      </c>
      <c r="K3115" s="17" t="s">
        <v>58</v>
      </c>
      <c r="L3115" s="18" t="s">
        <v>52</v>
      </c>
      <c r="M3115" s="19">
        <v>69.0</v>
      </c>
      <c r="N3115" s="19">
        <v>31.0</v>
      </c>
    </row>
    <row r="3116">
      <c r="A3116" s="12">
        <v>3114.0</v>
      </c>
      <c r="B3116" s="13" t="s">
        <v>1738</v>
      </c>
      <c r="C3116" s="14">
        <v>31.0</v>
      </c>
      <c r="D3116" s="15" t="s">
        <v>5813</v>
      </c>
      <c r="E3116" s="16" t="s">
        <v>221</v>
      </c>
      <c r="F3116" s="13" t="s">
        <v>4236</v>
      </c>
      <c r="G3116" s="13" t="s">
        <v>4632</v>
      </c>
      <c r="H3116" s="13" t="s">
        <v>4809</v>
      </c>
      <c r="I3116" s="13" t="s">
        <v>63</v>
      </c>
      <c r="J3116" s="17" t="s">
        <v>71</v>
      </c>
      <c r="K3116" s="17" t="s">
        <v>58</v>
      </c>
      <c r="L3116" s="18" t="s">
        <v>52</v>
      </c>
      <c r="M3116" s="19">
        <v>69.0</v>
      </c>
      <c r="N3116" s="19">
        <v>31.0</v>
      </c>
    </row>
    <row r="3117">
      <c r="A3117" s="12">
        <v>3115.0</v>
      </c>
      <c r="B3117" s="13" t="s">
        <v>1738</v>
      </c>
      <c r="C3117" s="14">
        <v>32.0</v>
      </c>
      <c r="D3117" s="15" t="s">
        <v>5813</v>
      </c>
      <c r="E3117" s="16" t="s">
        <v>221</v>
      </c>
      <c r="F3117" s="13" t="s">
        <v>5194</v>
      </c>
      <c r="G3117" s="13" t="s">
        <v>5403</v>
      </c>
      <c r="H3117" s="13" t="s">
        <v>5404</v>
      </c>
      <c r="I3117" s="13" t="s">
        <v>63</v>
      </c>
      <c r="J3117" s="17" t="s">
        <v>71</v>
      </c>
      <c r="K3117" s="17" t="s">
        <v>58</v>
      </c>
      <c r="L3117" s="18" t="s">
        <v>52</v>
      </c>
      <c r="M3117" s="19">
        <v>69.0</v>
      </c>
      <c r="N3117" s="19">
        <v>31.0</v>
      </c>
    </row>
    <row r="3118">
      <c r="A3118" s="12">
        <v>3116.0</v>
      </c>
      <c r="B3118" s="13" t="s">
        <v>1738</v>
      </c>
      <c r="C3118" s="14">
        <v>33.0</v>
      </c>
      <c r="D3118" s="15" t="s">
        <v>5813</v>
      </c>
      <c r="E3118" s="16" t="s">
        <v>221</v>
      </c>
      <c r="F3118" s="13" t="s">
        <v>2517</v>
      </c>
      <c r="G3118" s="13" t="s">
        <v>4556</v>
      </c>
      <c r="H3118" s="13" t="s">
        <v>4557</v>
      </c>
      <c r="I3118" s="13" t="s">
        <v>63</v>
      </c>
      <c r="J3118" s="17" t="s">
        <v>71</v>
      </c>
      <c r="K3118" s="17" t="s">
        <v>58</v>
      </c>
      <c r="L3118" s="18" t="s">
        <v>52</v>
      </c>
      <c r="M3118" s="19">
        <v>69.0</v>
      </c>
      <c r="N3118" s="19">
        <v>31.0</v>
      </c>
    </row>
    <row r="3119">
      <c r="A3119" s="12">
        <v>3117.0</v>
      </c>
      <c r="B3119" s="13" t="s">
        <v>1738</v>
      </c>
      <c r="C3119" s="14">
        <v>34.0</v>
      </c>
      <c r="D3119" s="15" t="s">
        <v>5813</v>
      </c>
      <c r="E3119" s="16" t="s">
        <v>221</v>
      </c>
      <c r="F3119" s="13" t="s">
        <v>4055</v>
      </c>
      <c r="G3119" s="13" t="s">
        <v>4745</v>
      </c>
      <c r="H3119" s="13" t="s">
        <v>4746</v>
      </c>
      <c r="I3119" s="13" t="s">
        <v>63</v>
      </c>
      <c r="J3119" s="17" t="s">
        <v>71</v>
      </c>
      <c r="K3119" s="17" t="s">
        <v>58</v>
      </c>
      <c r="L3119" s="18" t="s">
        <v>52</v>
      </c>
      <c r="M3119" s="19">
        <v>69.0</v>
      </c>
      <c r="N3119" s="19">
        <v>31.0</v>
      </c>
    </row>
    <row r="3120">
      <c r="A3120" s="12">
        <v>3118.0</v>
      </c>
      <c r="B3120" s="13" t="s">
        <v>1738</v>
      </c>
      <c r="C3120" s="14">
        <v>35.0</v>
      </c>
      <c r="D3120" s="15" t="s">
        <v>5813</v>
      </c>
      <c r="E3120" s="16" t="s">
        <v>221</v>
      </c>
      <c r="F3120" s="13" t="s">
        <v>5406</v>
      </c>
      <c r="G3120" s="13" t="s">
        <v>61</v>
      </c>
      <c r="H3120" s="13" t="s">
        <v>5407</v>
      </c>
      <c r="I3120" s="13" t="s">
        <v>63</v>
      </c>
      <c r="J3120" s="17" t="s">
        <v>71</v>
      </c>
      <c r="K3120" s="17" t="s">
        <v>58</v>
      </c>
      <c r="L3120" s="18" t="s">
        <v>52</v>
      </c>
      <c r="M3120" s="19">
        <v>69.0</v>
      </c>
      <c r="N3120" s="19">
        <v>31.0</v>
      </c>
    </row>
    <row r="3121">
      <c r="A3121" s="12">
        <v>3119.0</v>
      </c>
      <c r="B3121" s="13" t="s">
        <v>1738</v>
      </c>
      <c r="C3121" s="14">
        <v>36.0</v>
      </c>
      <c r="D3121" s="15" t="s">
        <v>5813</v>
      </c>
      <c r="E3121" s="16" t="s">
        <v>221</v>
      </c>
      <c r="F3121" s="13" t="s">
        <v>4455</v>
      </c>
      <c r="G3121" s="13" t="s">
        <v>61</v>
      </c>
      <c r="H3121" s="13" t="s">
        <v>5839</v>
      </c>
      <c r="I3121" s="13" t="s">
        <v>63</v>
      </c>
      <c r="J3121" s="17" t="s">
        <v>71</v>
      </c>
      <c r="K3121" s="17" t="s">
        <v>58</v>
      </c>
      <c r="L3121" s="18" t="s">
        <v>52</v>
      </c>
      <c r="M3121" s="19">
        <v>69.0</v>
      </c>
      <c r="N3121" s="19">
        <v>31.0</v>
      </c>
    </row>
    <row r="3122">
      <c r="A3122" s="12">
        <v>3120.0</v>
      </c>
      <c r="B3122" s="13" t="s">
        <v>1738</v>
      </c>
      <c r="C3122" s="14">
        <v>37.0</v>
      </c>
      <c r="D3122" s="15" t="s">
        <v>5813</v>
      </c>
      <c r="E3122" s="16" t="s">
        <v>221</v>
      </c>
      <c r="F3122" s="13" t="s">
        <v>2773</v>
      </c>
      <c r="G3122" s="13" t="s">
        <v>4826</v>
      </c>
      <c r="H3122" s="13" t="s">
        <v>4827</v>
      </c>
      <c r="I3122" s="13" t="s">
        <v>63</v>
      </c>
      <c r="J3122" s="17" t="s">
        <v>71</v>
      </c>
      <c r="K3122" s="17" t="s">
        <v>58</v>
      </c>
      <c r="L3122" s="18" t="s">
        <v>52</v>
      </c>
      <c r="M3122" s="19">
        <v>69.0</v>
      </c>
      <c r="N3122" s="19">
        <v>31.0</v>
      </c>
    </row>
    <row r="3123">
      <c r="A3123" s="12">
        <v>3121.0</v>
      </c>
      <c r="B3123" s="13" t="s">
        <v>1738</v>
      </c>
      <c r="C3123" s="14">
        <v>38.0</v>
      </c>
      <c r="D3123" s="15" t="s">
        <v>5813</v>
      </c>
      <c r="E3123" s="16" t="s">
        <v>221</v>
      </c>
      <c r="F3123" s="13" t="s">
        <v>4091</v>
      </c>
      <c r="G3123" s="13" t="s">
        <v>4487</v>
      </c>
      <c r="H3123" s="13" t="s">
        <v>4488</v>
      </c>
      <c r="I3123" s="13" t="s">
        <v>63</v>
      </c>
      <c r="J3123" s="17" t="s">
        <v>71</v>
      </c>
      <c r="K3123" s="17" t="s">
        <v>58</v>
      </c>
      <c r="L3123" s="18" t="s">
        <v>52</v>
      </c>
      <c r="M3123" s="19">
        <v>69.0</v>
      </c>
      <c r="N3123" s="19">
        <v>31.0</v>
      </c>
    </row>
    <row r="3124">
      <c r="A3124" s="12">
        <v>3122.0</v>
      </c>
      <c r="B3124" s="13" t="s">
        <v>1738</v>
      </c>
      <c r="C3124" s="14">
        <v>39.0</v>
      </c>
      <c r="D3124" s="15" t="s">
        <v>5813</v>
      </c>
      <c r="E3124" s="16" t="s">
        <v>221</v>
      </c>
      <c r="F3124" s="13" t="s">
        <v>1687</v>
      </c>
      <c r="G3124" s="13" t="s">
        <v>5356</v>
      </c>
      <c r="H3124" s="13" t="s">
        <v>5357</v>
      </c>
      <c r="I3124" s="13" t="s">
        <v>63</v>
      </c>
      <c r="J3124" s="17" t="s">
        <v>71</v>
      </c>
      <c r="K3124" s="17" t="s">
        <v>58</v>
      </c>
      <c r="L3124" s="18" t="s">
        <v>52</v>
      </c>
      <c r="M3124" s="19">
        <v>69.0</v>
      </c>
      <c r="N3124" s="19">
        <v>31.0</v>
      </c>
    </row>
    <row r="3125">
      <c r="A3125" s="12">
        <v>3123.0</v>
      </c>
      <c r="B3125" s="13" t="s">
        <v>1738</v>
      </c>
      <c r="C3125" s="14">
        <v>40.0</v>
      </c>
      <c r="D3125" s="15" t="s">
        <v>5813</v>
      </c>
      <c r="E3125" s="16" t="s">
        <v>221</v>
      </c>
      <c r="F3125" s="13" t="s">
        <v>5386</v>
      </c>
      <c r="G3125" s="13" t="s">
        <v>5387</v>
      </c>
      <c r="H3125" s="13" t="s">
        <v>5388</v>
      </c>
      <c r="I3125" s="13" t="s">
        <v>63</v>
      </c>
      <c r="J3125" s="17" t="s">
        <v>71</v>
      </c>
      <c r="K3125" s="17" t="s">
        <v>58</v>
      </c>
      <c r="L3125" s="18" t="s">
        <v>52</v>
      </c>
      <c r="M3125" s="19">
        <v>69.0</v>
      </c>
      <c r="N3125" s="19">
        <v>31.0</v>
      </c>
    </row>
    <row r="3126">
      <c r="A3126" s="12">
        <v>3124.0</v>
      </c>
      <c r="B3126" s="13" t="s">
        <v>1738</v>
      </c>
      <c r="C3126" s="14">
        <v>41.0</v>
      </c>
      <c r="D3126" s="15" t="s">
        <v>5816</v>
      </c>
      <c r="E3126" s="16" t="s">
        <v>221</v>
      </c>
      <c r="F3126" s="13" t="s">
        <v>457</v>
      </c>
      <c r="G3126" s="13" t="s">
        <v>4789</v>
      </c>
      <c r="H3126" s="13" t="s">
        <v>4790</v>
      </c>
      <c r="I3126" s="13" t="s">
        <v>63</v>
      </c>
      <c r="J3126" s="17" t="s">
        <v>71</v>
      </c>
      <c r="K3126" s="17" t="s">
        <v>58</v>
      </c>
      <c r="L3126" s="18" t="s">
        <v>52</v>
      </c>
      <c r="M3126" s="19">
        <v>69.0</v>
      </c>
      <c r="N3126" s="19">
        <v>31.0</v>
      </c>
    </row>
    <row r="3127">
      <c r="A3127" s="12">
        <v>3125.0</v>
      </c>
      <c r="B3127" s="13" t="s">
        <v>1738</v>
      </c>
      <c r="C3127" s="14">
        <v>42.0</v>
      </c>
      <c r="D3127" s="15" t="s">
        <v>5816</v>
      </c>
      <c r="E3127" s="16" t="s">
        <v>221</v>
      </c>
      <c r="F3127" s="13" t="s">
        <v>4500</v>
      </c>
      <c r="G3127" s="13" t="s">
        <v>61</v>
      </c>
      <c r="H3127" s="13" t="s">
        <v>4651</v>
      </c>
      <c r="I3127" s="13" t="s">
        <v>63</v>
      </c>
      <c r="J3127" s="17" t="s">
        <v>71</v>
      </c>
      <c r="K3127" s="17" t="s">
        <v>58</v>
      </c>
      <c r="L3127" s="18" t="s">
        <v>52</v>
      </c>
      <c r="M3127" s="19">
        <v>69.0</v>
      </c>
      <c r="N3127" s="19">
        <v>31.0</v>
      </c>
    </row>
    <row r="3128">
      <c r="A3128" s="12">
        <v>3126.0</v>
      </c>
      <c r="B3128" s="13" t="s">
        <v>1738</v>
      </c>
      <c r="C3128" s="14">
        <v>43.0</v>
      </c>
      <c r="D3128" s="15" t="s">
        <v>5816</v>
      </c>
      <c r="E3128" s="16" t="s">
        <v>221</v>
      </c>
      <c r="F3128" s="13" t="s">
        <v>53</v>
      </c>
      <c r="G3128" s="13" t="s">
        <v>4531</v>
      </c>
      <c r="H3128" s="13" t="s">
        <v>4532</v>
      </c>
      <c r="I3128" s="13" t="s">
        <v>63</v>
      </c>
      <c r="J3128" s="17" t="s">
        <v>71</v>
      </c>
      <c r="K3128" s="17" t="s">
        <v>58</v>
      </c>
      <c r="L3128" s="18" t="s">
        <v>52</v>
      </c>
      <c r="M3128" s="19">
        <v>69.0</v>
      </c>
      <c r="N3128" s="19">
        <v>31.0</v>
      </c>
    </row>
    <row r="3129">
      <c r="A3129" s="12">
        <v>3127.0</v>
      </c>
      <c r="B3129" s="13" t="s">
        <v>1738</v>
      </c>
      <c r="C3129" s="14">
        <v>44.0</v>
      </c>
      <c r="D3129" s="15" t="s">
        <v>5816</v>
      </c>
      <c r="E3129" s="16" t="s">
        <v>221</v>
      </c>
      <c r="F3129" s="13" t="s">
        <v>201</v>
      </c>
      <c r="G3129" s="13" t="s">
        <v>4498</v>
      </c>
      <c r="H3129" s="13" t="s">
        <v>4927</v>
      </c>
      <c r="I3129" s="13" t="s">
        <v>63</v>
      </c>
      <c r="J3129" s="17" t="s">
        <v>71</v>
      </c>
      <c r="K3129" s="17" t="s">
        <v>58</v>
      </c>
      <c r="L3129" s="18" t="s">
        <v>52</v>
      </c>
      <c r="M3129" s="19">
        <v>69.0</v>
      </c>
      <c r="N3129" s="19">
        <v>31.0</v>
      </c>
    </row>
    <row r="3130">
      <c r="A3130" s="12">
        <v>3128.0</v>
      </c>
      <c r="B3130" s="13" t="s">
        <v>1738</v>
      </c>
      <c r="C3130" s="14">
        <v>45.0</v>
      </c>
      <c r="D3130" s="15" t="s">
        <v>5816</v>
      </c>
      <c r="E3130" s="16" t="s">
        <v>221</v>
      </c>
      <c r="F3130" s="13" t="s">
        <v>160</v>
      </c>
      <c r="G3130" s="13" t="s">
        <v>61</v>
      </c>
      <c r="H3130" s="13" t="s">
        <v>4760</v>
      </c>
      <c r="I3130" s="13" t="s">
        <v>63</v>
      </c>
      <c r="J3130" s="17" t="s">
        <v>71</v>
      </c>
      <c r="K3130" s="17" t="s">
        <v>58</v>
      </c>
      <c r="L3130" s="18" t="s">
        <v>52</v>
      </c>
      <c r="M3130" s="19">
        <v>69.0</v>
      </c>
      <c r="N3130" s="19">
        <v>31.0</v>
      </c>
    </row>
    <row r="3131">
      <c r="A3131" s="12">
        <v>3129.0</v>
      </c>
      <c r="B3131" s="13" t="s">
        <v>1738</v>
      </c>
      <c r="C3131" s="14">
        <v>46.0</v>
      </c>
      <c r="D3131" s="15" t="s">
        <v>5816</v>
      </c>
      <c r="E3131" s="16" t="s">
        <v>221</v>
      </c>
      <c r="F3131" s="13" t="s">
        <v>78</v>
      </c>
      <c r="G3131" s="13" t="s">
        <v>4547</v>
      </c>
      <c r="H3131" s="13" t="s">
        <v>4548</v>
      </c>
      <c r="I3131" s="13" t="s">
        <v>63</v>
      </c>
      <c r="J3131" s="17" t="s">
        <v>71</v>
      </c>
      <c r="K3131" s="17" t="s">
        <v>58</v>
      </c>
      <c r="L3131" s="18" t="s">
        <v>52</v>
      </c>
      <c r="M3131" s="19">
        <v>69.0</v>
      </c>
      <c r="N3131" s="19">
        <v>31.0</v>
      </c>
    </row>
    <row r="3132">
      <c r="A3132" s="12">
        <v>3130.0</v>
      </c>
      <c r="B3132" s="13" t="s">
        <v>1738</v>
      </c>
      <c r="C3132" s="14">
        <v>47.0</v>
      </c>
      <c r="D3132" s="15" t="s">
        <v>5816</v>
      </c>
      <c r="E3132" s="16" t="s">
        <v>221</v>
      </c>
      <c r="F3132" s="13" t="s">
        <v>193</v>
      </c>
      <c r="G3132" s="13" t="s">
        <v>4743</v>
      </c>
      <c r="H3132" s="13" t="s">
        <v>4744</v>
      </c>
      <c r="I3132" s="13" t="s">
        <v>63</v>
      </c>
      <c r="J3132" s="17" t="s">
        <v>71</v>
      </c>
      <c r="K3132" s="17" t="s">
        <v>58</v>
      </c>
      <c r="L3132" s="18" t="s">
        <v>52</v>
      </c>
      <c r="M3132" s="19">
        <v>69.0</v>
      </c>
      <c r="N3132" s="19">
        <v>31.0</v>
      </c>
    </row>
    <row r="3133">
      <c r="A3133" s="12">
        <v>3131.0</v>
      </c>
      <c r="B3133" s="13" t="s">
        <v>1738</v>
      </c>
      <c r="C3133" s="14">
        <v>48.0</v>
      </c>
      <c r="D3133" s="15" t="s">
        <v>5816</v>
      </c>
      <c r="E3133" s="16" t="s">
        <v>221</v>
      </c>
      <c r="F3133" s="13" t="s">
        <v>4604</v>
      </c>
      <c r="G3133" s="13" t="s">
        <v>61</v>
      </c>
      <c r="H3133" s="13" t="s">
        <v>4768</v>
      </c>
      <c r="I3133" s="13" t="s">
        <v>63</v>
      </c>
      <c r="J3133" s="17" t="s">
        <v>71</v>
      </c>
      <c r="K3133" s="17" t="s">
        <v>58</v>
      </c>
      <c r="L3133" s="18" t="s">
        <v>52</v>
      </c>
      <c r="M3133" s="19">
        <v>69.0</v>
      </c>
      <c r="N3133" s="19">
        <v>31.0</v>
      </c>
    </row>
    <row r="3134">
      <c r="A3134" s="12">
        <v>3132.0</v>
      </c>
      <c r="B3134" s="13" t="s">
        <v>1738</v>
      </c>
      <c r="C3134" s="14">
        <v>49.0</v>
      </c>
      <c r="D3134" s="15" t="s">
        <v>5816</v>
      </c>
      <c r="E3134" s="16" t="s">
        <v>221</v>
      </c>
      <c r="F3134" s="13" t="s">
        <v>4279</v>
      </c>
      <c r="G3134" s="13" t="s">
        <v>4750</v>
      </c>
      <c r="H3134" s="13" t="s">
        <v>4751</v>
      </c>
      <c r="I3134" s="13" t="s">
        <v>63</v>
      </c>
      <c r="J3134" s="17" t="s">
        <v>71</v>
      </c>
      <c r="K3134" s="17" t="s">
        <v>58</v>
      </c>
      <c r="L3134" s="18" t="s">
        <v>52</v>
      </c>
      <c r="M3134" s="19">
        <v>69.0</v>
      </c>
      <c r="N3134" s="19">
        <v>31.0</v>
      </c>
    </row>
    <row r="3135">
      <c r="A3135" s="12">
        <v>3133.0</v>
      </c>
      <c r="B3135" s="13" t="s">
        <v>1738</v>
      </c>
      <c r="C3135" s="14">
        <v>50.0</v>
      </c>
      <c r="D3135" s="15" t="s">
        <v>5816</v>
      </c>
      <c r="E3135" s="16" t="s">
        <v>221</v>
      </c>
      <c r="F3135" s="13" t="s">
        <v>711</v>
      </c>
      <c r="G3135" s="13" t="s">
        <v>4754</v>
      </c>
      <c r="H3135" s="13" t="s">
        <v>4755</v>
      </c>
      <c r="I3135" s="13" t="s">
        <v>63</v>
      </c>
      <c r="J3135" s="17" t="s">
        <v>71</v>
      </c>
      <c r="K3135" s="17" t="s">
        <v>58</v>
      </c>
      <c r="L3135" s="18" t="s">
        <v>52</v>
      </c>
      <c r="M3135" s="19">
        <v>69.0</v>
      </c>
      <c r="N3135" s="19">
        <v>31.0</v>
      </c>
    </row>
    <row r="3136">
      <c r="A3136" s="12">
        <v>3134.0</v>
      </c>
      <c r="B3136" s="13" t="s">
        <v>1738</v>
      </c>
      <c r="C3136" s="14">
        <v>51.0</v>
      </c>
      <c r="D3136" s="15" t="s">
        <v>5816</v>
      </c>
      <c r="E3136" s="16" t="s">
        <v>221</v>
      </c>
      <c r="F3136" s="13" t="s">
        <v>2484</v>
      </c>
      <c r="G3136" s="13" t="s">
        <v>61</v>
      </c>
      <c r="H3136" s="13" t="s">
        <v>5846</v>
      </c>
      <c r="I3136" s="13" t="s">
        <v>63</v>
      </c>
      <c r="J3136" s="17" t="s">
        <v>71</v>
      </c>
      <c r="K3136" s="17" t="s">
        <v>58</v>
      </c>
      <c r="L3136" s="18" t="s">
        <v>52</v>
      </c>
      <c r="M3136" s="19">
        <v>69.0</v>
      </c>
      <c r="N3136" s="19">
        <v>31.0</v>
      </c>
    </row>
    <row r="3137">
      <c r="A3137" s="12">
        <v>3135.0</v>
      </c>
      <c r="B3137" s="13" t="s">
        <v>1738</v>
      </c>
      <c r="C3137" s="14">
        <v>52.0</v>
      </c>
      <c r="D3137" s="15" t="s">
        <v>5816</v>
      </c>
      <c r="E3137" s="16" t="s">
        <v>221</v>
      </c>
      <c r="F3137" s="13" t="s">
        <v>98</v>
      </c>
      <c r="G3137" s="13" t="s">
        <v>99</v>
      </c>
      <c r="H3137" s="13" t="s">
        <v>100</v>
      </c>
      <c r="I3137" s="13" t="s">
        <v>63</v>
      </c>
      <c r="J3137" s="17" t="s">
        <v>71</v>
      </c>
      <c r="K3137" s="17" t="s">
        <v>58</v>
      </c>
      <c r="L3137" s="18" t="s">
        <v>52</v>
      </c>
      <c r="M3137" s="19">
        <v>69.0</v>
      </c>
      <c r="N3137" s="19">
        <v>31.0</v>
      </c>
    </row>
    <row r="3138">
      <c r="A3138" s="12">
        <v>3136.0</v>
      </c>
      <c r="B3138" s="13" t="s">
        <v>1738</v>
      </c>
      <c r="C3138" s="14">
        <v>53.0</v>
      </c>
      <c r="D3138" s="15" t="s">
        <v>5816</v>
      </c>
      <c r="E3138" s="16" t="s">
        <v>221</v>
      </c>
      <c r="F3138" s="13" t="s">
        <v>4445</v>
      </c>
      <c r="G3138" s="13" t="s">
        <v>4765</v>
      </c>
      <c r="H3138" s="13" t="s">
        <v>4766</v>
      </c>
      <c r="I3138" s="13" t="s">
        <v>63</v>
      </c>
      <c r="J3138" s="17" t="s">
        <v>71</v>
      </c>
      <c r="K3138" s="17" t="s">
        <v>58</v>
      </c>
      <c r="L3138" s="18" t="s">
        <v>52</v>
      </c>
      <c r="M3138" s="19">
        <v>69.0</v>
      </c>
      <c r="N3138" s="19">
        <v>31.0</v>
      </c>
    </row>
    <row r="3139">
      <c r="A3139" s="12">
        <v>3137.0</v>
      </c>
      <c r="B3139" s="13" t="s">
        <v>1738</v>
      </c>
      <c r="C3139" s="14">
        <v>54.0</v>
      </c>
      <c r="D3139" s="15" t="s">
        <v>5816</v>
      </c>
      <c r="E3139" s="16" t="s">
        <v>221</v>
      </c>
      <c r="F3139" s="13" t="s">
        <v>1293</v>
      </c>
      <c r="G3139" s="13" t="s">
        <v>61</v>
      </c>
      <c r="H3139" s="13" t="s">
        <v>4774</v>
      </c>
      <c r="I3139" s="13" t="s">
        <v>63</v>
      </c>
      <c r="J3139" s="17" t="s">
        <v>71</v>
      </c>
      <c r="K3139" s="17" t="s">
        <v>58</v>
      </c>
      <c r="L3139" s="18" t="s">
        <v>52</v>
      </c>
      <c r="M3139" s="19">
        <v>69.0</v>
      </c>
      <c r="N3139" s="19">
        <v>31.0</v>
      </c>
    </row>
    <row r="3140">
      <c r="A3140" s="12">
        <v>3138.0</v>
      </c>
      <c r="B3140" s="13" t="s">
        <v>1738</v>
      </c>
      <c r="C3140" s="14">
        <v>55.0</v>
      </c>
      <c r="D3140" s="15" t="s">
        <v>5816</v>
      </c>
      <c r="E3140" s="16" t="s">
        <v>221</v>
      </c>
      <c r="F3140" s="13" t="s">
        <v>206</v>
      </c>
      <c r="G3140" s="13" t="s">
        <v>5848</v>
      </c>
      <c r="H3140" s="13" t="s">
        <v>5849</v>
      </c>
      <c r="I3140" s="13" t="s">
        <v>63</v>
      </c>
      <c r="J3140" s="17" t="s">
        <v>71</v>
      </c>
      <c r="K3140" s="17" t="s">
        <v>58</v>
      </c>
      <c r="L3140" s="18" t="s">
        <v>52</v>
      </c>
      <c r="M3140" s="19">
        <v>69.0</v>
      </c>
      <c r="N3140" s="19">
        <v>31.0</v>
      </c>
    </row>
    <row r="3141">
      <c r="A3141" s="12">
        <v>3139.0</v>
      </c>
      <c r="B3141" s="13" t="s">
        <v>1738</v>
      </c>
      <c r="C3141" s="14">
        <v>56.0</v>
      </c>
      <c r="D3141" s="15" t="s">
        <v>5816</v>
      </c>
      <c r="E3141" s="16" t="s">
        <v>221</v>
      </c>
      <c r="F3141" s="13" t="s">
        <v>4526</v>
      </c>
      <c r="G3141" s="13" t="s">
        <v>4527</v>
      </c>
      <c r="H3141" s="13" t="s">
        <v>4528</v>
      </c>
      <c r="I3141" s="13" t="s">
        <v>63</v>
      </c>
      <c r="J3141" s="17" t="s">
        <v>71</v>
      </c>
      <c r="K3141" s="17" t="s">
        <v>58</v>
      </c>
      <c r="L3141" s="18" t="s">
        <v>52</v>
      </c>
      <c r="M3141" s="19">
        <v>69.0</v>
      </c>
      <c r="N3141" s="19">
        <v>31.0</v>
      </c>
    </row>
    <row r="3142">
      <c r="A3142" s="12">
        <v>3140.0</v>
      </c>
      <c r="B3142" s="13" t="s">
        <v>1738</v>
      </c>
      <c r="C3142" s="14">
        <v>57.0</v>
      </c>
      <c r="D3142" s="15" t="s">
        <v>5816</v>
      </c>
      <c r="E3142" s="16" t="s">
        <v>221</v>
      </c>
      <c r="F3142" s="13" t="s">
        <v>3809</v>
      </c>
      <c r="G3142" s="13" t="s">
        <v>4644</v>
      </c>
      <c r="H3142" s="13" t="s">
        <v>4645</v>
      </c>
      <c r="I3142" s="13" t="s">
        <v>63</v>
      </c>
      <c r="J3142" s="17" t="s">
        <v>71</v>
      </c>
      <c r="K3142" s="17" t="s">
        <v>58</v>
      </c>
      <c r="L3142" s="18" t="s">
        <v>52</v>
      </c>
      <c r="M3142" s="19">
        <v>69.0</v>
      </c>
      <c r="N3142" s="19">
        <v>31.0</v>
      </c>
    </row>
    <row r="3143">
      <c r="A3143" s="12">
        <v>3141.0</v>
      </c>
      <c r="B3143" s="13" t="s">
        <v>1738</v>
      </c>
      <c r="C3143" s="14">
        <v>58.0</v>
      </c>
      <c r="D3143" s="15" t="s">
        <v>5816</v>
      </c>
      <c r="E3143" s="16" t="s">
        <v>221</v>
      </c>
      <c r="F3143" s="13" t="s">
        <v>3446</v>
      </c>
      <c r="G3143" s="13" t="s">
        <v>4579</v>
      </c>
      <c r="H3143" s="13" t="s">
        <v>5391</v>
      </c>
      <c r="I3143" s="13" t="s">
        <v>63</v>
      </c>
      <c r="J3143" s="17" t="s">
        <v>71</v>
      </c>
      <c r="K3143" s="17" t="s">
        <v>58</v>
      </c>
      <c r="L3143" s="18" t="s">
        <v>52</v>
      </c>
      <c r="M3143" s="19">
        <v>69.0</v>
      </c>
      <c r="N3143" s="19">
        <v>31.0</v>
      </c>
    </row>
    <row r="3144">
      <c r="A3144" s="12">
        <v>3142.0</v>
      </c>
      <c r="B3144" s="13" t="s">
        <v>1738</v>
      </c>
      <c r="C3144" s="14">
        <v>59.0</v>
      </c>
      <c r="D3144" s="15" t="s">
        <v>5816</v>
      </c>
      <c r="E3144" s="16" t="s">
        <v>221</v>
      </c>
      <c r="F3144" s="13" t="s">
        <v>1331</v>
      </c>
      <c r="G3144" s="13" t="s">
        <v>4723</v>
      </c>
      <c r="H3144" s="13" t="s">
        <v>4724</v>
      </c>
      <c r="I3144" s="13" t="s">
        <v>63</v>
      </c>
      <c r="J3144" s="17" t="s">
        <v>71</v>
      </c>
      <c r="K3144" s="17" t="s">
        <v>58</v>
      </c>
      <c r="L3144" s="18" t="s">
        <v>52</v>
      </c>
      <c r="M3144" s="19">
        <v>69.0</v>
      </c>
      <c r="N3144" s="19">
        <v>31.0</v>
      </c>
    </row>
    <row r="3145">
      <c r="A3145" s="12">
        <v>3143.0</v>
      </c>
      <c r="B3145" s="13" t="s">
        <v>1738</v>
      </c>
      <c r="C3145" s="14">
        <v>60.0</v>
      </c>
      <c r="D3145" s="15" t="s">
        <v>5816</v>
      </c>
      <c r="E3145" s="16" t="s">
        <v>221</v>
      </c>
      <c r="F3145" s="13" t="s">
        <v>2019</v>
      </c>
      <c r="G3145" s="13" t="s">
        <v>2020</v>
      </c>
      <c r="H3145" s="13" t="s">
        <v>5851</v>
      </c>
      <c r="I3145" s="13" t="s">
        <v>63</v>
      </c>
      <c r="J3145" s="17" t="s">
        <v>71</v>
      </c>
      <c r="K3145" s="17" t="s">
        <v>58</v>
      </c>
      <c r="L3145" s="18" t="s">
        <v>52</v>
      </c>
      <c r="M3145" s="19">
        <v>69.0</v>
      </c>
      <c r="N3145" s="19">
        <v>31.0</v>
      </c>
    </row>
    <row r="3146">
      <c r="A3146" s="12">
        <v>3144.0</v>
      </c>
      <c r="B3146" s="13" t="s">
        <v>1738</v>
      </c>
      <c r="C3146" s="14">
        <v>61.0</v>
      </c>
      <c r="D3146" s="15" t="s">
        <v>5816</v>
      </c>
      <c r="E3146" s="16" t="s">
        <v>221</v>
      </c>
      <c r="F3146" s="13" t="s">
        <v>2502</v>
      </c>
      <c r="G3146" s="13" t="s">
        <v>61</v>
      </c>
      <c r="H3146" s="13" t="s">
        <v>3064</v>
      </c>
      <c r="I3146" s="13" t="s">
        <v>63</v>
      </c>
      <c r="J3146" s="17" t="s">
        <v>71</v>
      </c>
      <c r="K3146" s="17" t="s">
        <v>58</v>
      </c>
      <c r="L3146" s="18" t="s">
        <v>52</v>
      </c>
      <c r="M3146" s="19">
        <v>69.0</v>
      </c>
      <c r="N3146" s="19">
        <v>31.0</v>
      </c>
    </row>
    <row r="3147">
      <c r="A3147" s="12">
        <v>3145.0</v>
      </c>
      <c r="B3147" s="13" t="s">
        <v>1738</v>
      </c>
      <c r="C3147" s="14">
        <v>62.0</v>
      </c>
      <c r="D3147" s="15" t="s">
        <v>5816</v>
      </c>
      <c r="E3147" s="16" t="s">
        <v>221</v>
      </c>
      <c r="F3147" s="13" t="s">
        <v>2542</v>
      </c>
      <c r="G3147" s="13" t="s">
        <v>4510</v>
      </c>
      <c r="H3147" s="13" t="s">
        <v>4511</v>
      </c>
      <c r="I3147" s="13" t="s">
        <v>63</v>
      </c>
      <c r="J3147" s="17" t="s">
        <v>71</v>
      </c>
      <c r="K3147" s="17" t="s">
        <v>58</v>
      </c>
      <c r="L3147" s="18" t="s">
        <v>52</v>
      </c>
      <c r="M3147" s="19">
        <v>69.0</v>
      </c>
      <c r="N3147" s="19">
        <v>31.0</v>
      </c>
    </row>
    <row r="3148">
      <c r="A3148" s="12">
        <v>3146.0</v>
      </c>
      <c r="B3148" s="13" t="s">
        <v>1738</v>
      </c>
      <c r="C3148" s="14">
        <v>63.0</v>
      </c>
      <c r="D3148" s="15" t="s">
        <v>5816</v>
      </c>
      <c r="E3148" s="16" t="s">
        <v>221</v>
      </c>
      <c r="F3148" s="13" t="s">
        <v>2564</v>
      </c>
      <c r="G3148" s="13" t="s">
        <v>5401</v>
      </c>
      <c r="H3148" s="13" t="s">
        <v>5402</v>
      </c>
      <c r="I3148" s="13" t="s">
        <v>63</v>
      </c>
      <c r="J3148" s="17" t="s">
        <v>71</v>
      </c>
      <c r="K3148" s="17" t="s">
        <v>58</v>
      </c>
      <c r="L3148" s="18" t="s">
        <v>52</v>
      </c>
      <c r="M3148" s="19">
        <v>69.0</v>
      </c>
      <c r="N3148" s="19">
        <v>31.0</v>
      </c>
    </row>
    <row r="3149">
      <c r="A3149" s="12">
        <v>3147.0</v>
      </c>
      <c r="B3149" s="13" t="s">
        <v>1738</v>
      </c>
      <c r="C3149" s="14">
        <v>64.0</v>
      </c>
      <c r="D3149" s="15" t="s">
        <v>5816</v>
      </c>
      <c r="E3149" s="16" t="s">
        <v>221</v>
      </c>
      <c r="F3149" s="13" t="s">
        <v>4829</v>
      </c>
      <c r="G3149" s="13" t="s">
        <v>4830</v>
      </c>
      <c r="H3149" s="13" t="s">
        <v>4831</v>
      </c>
      <c r="I3149" s="13" t="s">
        <v>63</v>
      </c>
      <c r="J3149" s="17" t="s">
        <v>71</v>
      </c>
      <c r="K3149" s="17" t="s">
        <v>58</v>
      </c>
      <c r="L3149" s="18" t="s">
        <v>52</v>
      </c>
      <c r="M3149" s="19">
        <v>69.0</v>
      </c>
      <c r="N3149" s="19">
        <v>31.0</v>
      </c>
    </row>
    <row r="3150">
      <c r="A3150" s="12">
        <v>3148.0</v>
      </c>
      <c r="B3150" s="13" t="s">
        <v>1738</v>
      </c>
      <c r="C3150" s="14">
        <v>65.0</v>
      </c>
      <c r="D3150" s="15" t="s">
        <v>5816</v>
      </c>
      <c r="E3150" s="16" t="s">
        <v>221</v>
      </c>
      <c r="F3150" s="13" t="s">
        <v>2539</v>
      </c>
      <c r="G3150" s="13" t="s">
        <v>61</v>
      </c>
      <c r="H3150" s="13" t="s">
        <v>5405</v>
      </c>
      <c r="I3150" s="13" t="s">
        <v>63</v>
      </c>
      <c r="J3150" s="17" t="s">
        <v>71</v>
      </c>
      <c r="K3150" s="17" t="s">
        <v>58</v>
      </c>
      <c r="L3150" s="18" t="s">
        <v>52</v>
      </c>
      <c r="M3150" s="19">
        <v>69.0</v>
      </c>
      <c r="N3150" s="19">
        <v>31.0</v>
      </c>
    </row>
    <row r="3151">
      <c r="A3151" s="12">
        <v>3149.0</v>
      </c>
      <c r="B3151" s="13" t="s">
        <v>1738</v>
      </c>
      <c r="C3151" s="14">
        <v>66.0</v>
      </c>
      <c r="D3151" s="15" t="s">
        <v>5816</v>
      </c>
      <c r="E3151" s="16" t="s">
        <v>221</v>
      </c>
      <c r="F3151" s="13" t="s">
        <v>231</v>
      </c>
      <c r="G3151" s="13" t="s">
        <v>4720</v>
      </c>
      <c r="H3151" s="13" t="s">
        <v>4721</v>
      </c>
      <c r="I3151" s="13" t="s">
        <v>63</v>
      </c>
      <c r="J3151" s="17" t="s">
        <v>71</v>
      </c>
      <c r="K3151" s="17" t="s">
        <v>58</v>
      </c>
      <c r="L3151" s="18" t="s">
        <v>52</v>
      </c>
      <c r="M3151" s="19">
        <v>69.0</v>
      </c>
      <c r="N3151" s="19">
        <v>31.0</v>
      </c>
    </row>
    <row r="3152">
      <c r="A3152" s="12">
        <v>3150.0</v>
      </c>
      <c r="B3152" s="13" t="s">
        <v>1738</v>
      </c>
      <c r="C3152" s="14">
        <v>67.0</v>
      </c>
      <c r="D3152" s="15" t="s">
        <v>5816</v>
      </c>
      <c r="E3152" s="16" t="s">
        <v>221</v>
      </c>
      <c r="F3152" s="13" t="s">
        <v>4626</v>
      </c>
      <c r="G3152" s="13" t="s">
        <v>5353</v>
      </c>
      <c r="H3152" s="13" t="s">
        <v>5354</v>
      </c>
      <c r="I3152" s="13" t="s">
        <v>63</v>
      </c>
      <c r="J3152" s="17" t="s">
        <v>71</v>
      </c>
      <c r="K3152" s="17" t="s">
        <v>58</v>
      </c>
      <c r="L3152" s="18" t="s">
        <v>52</v>
      </c>
      <c r="M3152" s="19">
        <v>69.0</v>
      </c>
      <c r="N3152" s="19">
        <v>31.0</v>
      </c>
    </row>
    <row r="3153">
      <c r="A3153" s="12">
        <v>3151.0</v>
      </c>
      <c r="B3153" s="13" t="s">
        <v>1738</v>
      </c>
      <c r="C3153" s="14">
        <v>68.0</v>
      </c>
      <c r="D3153" s="15" t="s">
        <v>5816</v>
      </c>
      <c r="E3153" s="16" t="s">
        <v>221</v>
      </c>
      <c r="F3153" s="13" t="s">
        <v>2756</v>
      </c>
      <c r="G3153" s="13" t="s">
        <v>4538</v>
      </c>
      <c r="H3153" s="13" t="s">
        <v>4539</v>
      </c>
      <c r="I3153" s="13" t="s">
        <v>63</v>
      </c>
      <c r="J3153" s="17" t="s">
        <v>71</v>
      </c>
      <c r="K3153" s="17" t="s">
        <v>58</v>
      </c>
      <c r="L3153" s="18" t="s">
        <v>52</v>
      </c>
      <c r="M3153" s="19">
        <v>69.0</v>
      </c>
      <c r="N3153" s="19">
        <v>31.0</v>
      </c>
    </row>
    <row r="3154">
      <c r="A3154" s="12">
        <v>3152.0</v>
      </c>
      <c r="B3154" s="13" t="s">
        <v>1738</v>
      </c>
      <c r="C3154" s="14">
        <v>69.0</v>
      </c>
      <c r="D3154" s="15" t="s">
        <v>5816</v>
      </c>
      <c r="E3154" s="16" t="s">
        <v>221</v>
      </c>
      <c r="F3154" s="13" t="s">
        <v>2787</v>
      </c>
      <c r="G3154" s="13" t="s">
        <v>4564</v>
      </c>
      <c r="H3154" s="13" t="s">
        <v>4565</v>
      </c>
      <c r="I3154" s="13" t="s">
        <v>63</v>
      </c>
      <c r="J3154" s="17" t="s">
        <v>71</v>
      </c>
      <c r="K3154" s="17" t="s">
        <v>58</v>
      </c>
      <c r="L3154" s="18" t="s">
        <v>52</v>
      </c>
      <c r="M3154" s="19">
        <v>69.0</v>
      </c>
      <c r="N3154" s="19">
        <v>31.0</v>
      </c>
    </row>
    <row r="3155">
      <c r="A3155" s="12">
        <v>3153.0</v>
      </c>
      <c r="B3155" s="13" t="s">
        <v>1738</v>
      </c>
      <c r="C3155" s="14">
        <v>70.0</v>
      </c>
      <c r="D3155" s="15" t="s">
        <v>5816</v>
      </c>
      <c r="E3155" s="16" t="s">
        <v>221</v>
      </c>
      <c r="F3155" s="13" t="s">
        <v>4112</v>
      </c>
      <c r="G3155" s="13" t="s">
        <v>4113</v>
      </c>
      <c r="H3155" s="13" t="s">
        <v>5355</v>
      </c>
      <c r="I3155" s="13" t="s">
        <v>63</v>
      </c>
      <c r="J3155" s="17" t="s">
        <v>71</v>
      </c>
      <c r="K3155" s="17" t="s">
        <v>58</v>
      </c>
      <c r="L3155" s="18" t="s">
        <v>52</v>
      </c>
      <c r="M3155" s="19">
        <v>69.0</v>
      </c>
      <c r="N3155" s="19">
        <v>31.0</v>
      </c>
    </row>
    <row r="3156">
      <c r="A3156" s="12">
        <v>3154.0</v>
      </c>
      <c r="B3156" s="13" t="s">
        <v>1738</v>
      </c>
      <c r="C3156" s="14">
        <v>71.0</v>
      </c>
      <c r="D3156" s="15" t="s">
        <v>5816</v>
      </c>
      <c r="E3156" s="16" t="s">
        <v>221</v>
      </c>
      <c r="F3156" s="13" t="s">
        <v>3054</v>
      </c>
      <c r="G3156" s="13" t="s">
        <v>5325</v>
      </c>
      <c r="H3156" s="13" t="s">
        <v>5326</v>
      </c>
      <c r="I3156" s="13" t="s">
        <v>63</v>
      </c>
      <c r="J3156" s="17" t="s">
        <v>71</v>
      </c>
      <c r="K3156" s="17" t="s">
        <v>58</v>
      </c>
      <c r="L3156" s="18" t="s">
        <v>52</v>
      </c>
      <c r="M3156" s="19">
        <v>69.0</v>
      </c>
      <c r="N3156" s="19">
        <v>31.0</v>
      </c>
    </row>
    <row r="3157">
      <c r="A3157" s="12">
        <v>3155.0</v>
      </c>
      <c r="B3157" s="13" t="s">
        <v>1738</v>
      </c>
      <c r="C3157" s="14">
        <v>72.0</v>
      </c>
      <c r="D3157" s="15" t="s">
        <v>5816</v>
      </c>
      <c r="E3157" s="16" t="s">
        <v>221</v>
      </c>
      <c r="F3157" s="13" t="s">
        <v>5372</v>
      </c>
      <c r="G3157" s="13" t="s">
        <v>61</v>
      </c>
      <c r="H3157" s="13" t="s">
        <v>5852</v>
      </c>
      <c r="I3157" s="13" t="s">
        <v>63</v>
      </c>
      <c r="J3157" s="17" t="s">
        <v>71</v>
      </c>
      <c r="K3157" s="17" t="s">
        <v>58</v>
      </c>
      <c r="L3157" s="18" t="s">
        <v>52</v>
      </c>
      <c r="M3157" s="19">
        <v>69.0</v>
      </c>
      <c r="N3157" s="19">
        <v>31.0</v>
      </c>
    </row>
    <row r="3158">
      <c r="A3158" s="12">
        <v>3156.0</v>
      </c>
      <c r="B3158" s="13" t="s">
        <v>1738</v>
      </c>
      <c r="C3158" s="14">
        <v>73.0</v>
      </c>
      <c r="D3158" s="15" t="s">
        <v>5816</v>
      </c>
      <c r="E3158" s="16" t="s">
        <v>221</v>
      </c>
      <c r="F3158" s="13" t="s">
        <v>3321</v>
      </c>
      <c r="G3158" s="13" t="s">
        <v>5358</v>
      </c>
      <c r="H3158" s="13" t="s">
        <v>5359</v>
      </c>
      <c r="I3158" s="13" t="s">
        <v>63</v>
      </c>
      <c r="J3158" s="17" t="s">
        <v>71</v>
      </c>
      <c r="K3158" s="17" t="s">
        <v>58</v>
      </c>
      <c r="L3158" s="18" t="s">
        <v>52</v>
      </c>
      <c r="M3158" s="19">
        <v>69.0</v>
      </c>
      <c r="N3158" s="19">
        <v>31.0</v>
      </c>
    </row>
    <row r="3159">
      <c r="A3159" s="12">
        <v>3157.0</v>
      </c>
      <c r="B3159" s="13" t="s">
        <v>1738</v>
      </c>
      <c r="C3159" s="14">
        <v>74.0</v>
      </c>
      <c r="D3159" s="15" t="s">
        <v>5853</v>
      </c>
      <c r="E3159" s="16" t="s">
        <v>221</v>
      </c>
      <c r="F3159" s="13" t="s">
        <v>101</v>
      </c>
      <c r="G3159" s="13" t="s">
        <v>3197</v>
      </c>
      <c r="H3159" s="13" t="s">
        <v>4518</v>
      </c>
      <c r="I3159" s="13" t="s">
        <v>63</v>
      </c>
      <c r="J3159" s="17" t="s">
        <v>71</v>
      </c>
      <c r="K3159" s="17" t="s">
        <v>58</v>
      </c>
      <c r="L3159" s="18" t="s">
        <v>52</v>
      </c>
      <c r="M3159" s="19">
        <v>69.0</v>
      </c>
      <c r="N3159" s="19">
        <v>31.0</v>
      </c>
    </row>
    <row r="3160">
      <c r="A3160" s="12">
        <v>3158.0</v>
      </c>
      <c r="B3160" s="13" t="s">
        <v>1738</v>
      </c>
      <c r="C3160" s="14">
        <v>75.0</v>
      </c>
      <c r="D3160" s="15" t="s">
        <v>5853</v>
      </c>
      <c r="E3160" s="16" t="s">
        <v>221</v>
      </c>
      <c r="F3160" s="13" t="s">
        <v>109</v>
      </c>
      <c r="G3160" s="13" t="s">
        <v>110</v>
      </c>
      <c r="H3160" s="13" t="s">
        <v>111</v>
      </c>
      <c r="I3160" s="13" t="s">
        <v>63</v>
      </c>
      <c r="J3160" s="17" t="s">
        <v>71</v>
      </c>
      <c r="K3160" s="17" t="s">
        <v>58</v>
      </c>
      <c r="L3160" s="18" t="s">
        <v>52</v>
      </c>
      <c r="M3160" s="19">
        <v>69.0</v>
      </c>
      <c r="N3160" s="19">
        <v>31.0</v>
      </c>
    </row>
    <row r="3161">
      <c r="A3161" s="12">
        <v>3159.0</v>
      </c>
      <c r="B3161" s="13" t="s">
        <v>1738</v>
      </c>
      <c r="C3161" s="14">
        <v>76.0</v>
      </c>
      <c r="D3161" s="15" t="s">
        <v>5853</v>
      </c>
      <c r="E3161" s="16" t="s">
        <v>221</v>
      </c>
      <c r="F3161" s="13" t="s">
        <v>3543</v>
      </c>
      <c r="G3161" s="13" t="s">
        <v>61</v>
      </c>
      <c r="H3161" s="13" t="s">
        <v>4859</v>
      </c>
      <c r="I3161" s="13" t="s">
        <v>63</v>
      </c>
      <c r="J3161" s="17" t="s">
        <v>71</v>
      </c>
      <c r="K3161" s="17" t="s">
        <v>58</v>
      </c>
      <c r="L3161" s="18" t="s">
        <v>52</v>
      </c>
      <c r="M3161" s="19">
        <v>69.0</v>
      </c>
      <c r="N3161" s="19">
        <v>31.0</v>
      </c>
    </row>
    <row r="3162">
      <c r="A3162" s="12">
        <v>3160.0</v>
      </c>
      <c r="B3162" s="13" t="s">
        <v>1738</v>
      </c>
      <c r="C3162" s="14">
        <v>77.0</v>
      </c>
      <c r="D3162" s="15" t="s">
        <v>5853</v>
      </c>
      <c r="E3162" s="16" t="s">
        <v>221</v>
      </c>
      <c r="F3162" s="13" t="s">
        <v>140</v>
      </c>
      <c r="G3162" s="13" t="s">
        <v>141</v>
      </c>
      <c r="H3162" s="13" t="s">
        <v>4872</v>
      </c>
      <c r="I3162" s="13" t="s">
        <v>63</v>
      </c>
      <c r="J3162" s="17" t="s">
        <v>71</v>
      </c>
      <c r="K3162" s="17" t="s">
        <v>58</v>
      </c>
      <c r="L3162" s="18" t="s">
        <v>52</v>
      </c>
      <c r="M3162" s="19">
        <v>69.0</v>
      </c>
      <c r="N3162" s="19">
        <v>31.0</v>
      </c>
    </row>
    <row r="3163">
      <c r="A3163" s="12">
        <v>3161.0</v>
      </c>
      <c r="B3163" s="13" t="s">
        <v>1738</v>
      </c>
      <c r="C3163" s="14">
        <v>78.0</v>
      </c>
      <c r="D3163" s="15" t="s">
        <v>5853</v>
      </c>
      <c r="E3163" s="16" t="s">
        <v>221</v>
      </c>
      <c r="F3163" s="13" t="s">
        <v>2883</v>
      </c>
      <c r="G3163" s="13" t="s">
        <v>4115</v>
      </c>
      <c r="H3163" s="13" t="s">
        <v>4870</v>
      </c>
      <c r="I3163" s="13" t="s">
        <v>63</v>
      </c>
      <c r="J3163" s="17" t="s">
        <v>71</v>
      </c>
      <c r="K3163" s="17" t="s">
        <v>58</v>
      </c>
      <c r="L3163" s="18" t="s">
        <v>52</v>
      </c>
      <c r="M3163" s="19">
        <v>69.0</v>
      </c>
      <c r="N3163" s="19">
        <v>31.0</v>
      </c>
    </row>
    <row r="3164">
      <c r="A3164" s="12">
        <v>3162.0</v>
      </c>
      <c r="B3164" s="13" t="s">
        <v>1738</v>
      </c>
      <c r="C3164" s="14">
        <v>79.0</v>
      </c>
      <c r="D3164" s="15" t="s">
        <v>5853</v>
      </c>
      <c r="E3164" s="16" t="s">
        <v>221</v>
      </c>
      <c r="F3164" s="13" t="s">
        <v>4868</v>
      </c>
      <c r="G3164" s="13" t="s">
        <v>61</v>
      </c>
      <c r="H3164" s="13" t="s">
        <v>4869</v>
      </c>
      <c r="I3164" s="13" t="s">
        <v>63</v>
      </c>
      <c r="J3164" s="17" t="s">
        <v>71</v>
      </c>
      <c r="K3164" s="17" t="s">
        <v>58</v>
      </c>
      <c r="L3164" s="18" t="s">
        <v>52</v>
      </c>
      <c r="M3164" s="19">
        <v>69.0</v>
      </c>
      <c r="N3164" s="19">
        <v>31.0</v>
      </c>
    </row>
    <row r="3165">
      <c r="A3165" s="12">
        <v>3163.0</v>
      </c>
      <c r="B3165" s="13" t="s">
        <v>1738</v>
      </c>
      <c r="C3165" s="14">
        <v>80.0</v>
      </c>
      <c r="D3165" s="15" t="s">
        <v>5853</v>
      </c>
      <c r="E3165" s="16" t="s">
        <v>221</v>
      </c>
      <c r="F3165" s="13" t="s">
        <v>707</v>
      </c>
      <c r="G3165" s="13" t="s">
        <v>4866</v>
      </c>
      <c r="H3165" s="13" t="s">
        <v>4867</v>
      </c>
      <c r="I3165" s="13" t="s">
        <v>63</v>
      </c>
      <c r="J3165" s="17" t="s">
        <v>71</v>
      </c>
      <c r="K3165" s="17" t="s">
        <v>58</v>
      </c>
      <c r="L3165" s="18" t="s">
        <v>52</v>
      </c>
      <c r="M3165" s="19">
        <v>69.0</v>
      </c>
      <c r="N3165" s="19">
        <v>31.0</v>
      </c>
    </row>
    <row r="3166">
      <c r="A3166" s="12">
        <v>3164.0</v>
      </c>
      <c r="B3166" s="13" t="s">
        <v>1738</v>
      </c>
      <c r="C3166" s="14">
        <v>81.0</v>
      </c>
      <c r="D3166" s="15" t="s">
        <v>5853</v>
      </c>
      <c r="E3166" s="16" t="s">
        <v>221</v>
      </c>
      <c r="F3166" s="13" t="s">
        <v>4505</v>
      </c>
      <c r="G3166" s="13" t="s">
        <v>4506</v>
      </c>
      <c r="H3166" s="13" t="s">
        <v>4507</v>
      </c>
      <c r="I3166" s="13" t="s">
        <v>63</v>
      </c>
      <c r="J3166" s="17" t="s">
        <v>71</v>
      </c>
      <c r="K3166" s="17" t="s">
        <v>58</v>
      </c>
      <c r="L3166" s="18" t="s">
        <v>52</v>
      </c>
      <c r="M3166" s="19">
        <v>69.0</v>
      </c>
      <c r="N3166" s="19">
        <v>31.0</v>
      </c>
    </row>
    <row r="3167">
      <c r="A3167" s="12">
        <v>3165.0</v>
      </c>
      <c r="B3167" s="13" t="s">
        <v>1738</v>
      </c>
      <c r="C3167" s="14">
        <v>82.0</v>
      </c>
      <c r="D3167" s="15" t="s">
        <v>5853</v>
      </c>
      <c r="E3167" s="16" t="s">
        <v>221</v>
      </c>
      <c r="F3167" s="13" t="s">
        <v>4570</v>
      </c>
      <c r="G3167" s="13" t="s">
        <v>4571</v>
      </c>
      <c r="H3167" s="13" t="s">
        <v>4572</v>
      </c>
      <c r="I3167" s="13" t="s">
        <v>63</v>
      </c>
      <c r="J3167" s="17" t="s">
        <v>71</v>
      </c>
      <c r="K3167" s="17" t="s">
        <v>58</v>
      </c>
      <c r="L3167" s="18" t="s">
        <v>52</v>
      </c>
      <c r="M3167" s="19">
        <v>69.0</v>
      </c>
      <c r="N3167" s="19">
        <v>31.0</v>
      </c>
    </row>
    <row r="3168">
      <c r="A3168" s="12">
        <v>3166.0</v>
      </c>
      <c r="B3168" s="13" t="s">
        <v>1738</v>
      </c>
      <c r="C3168" s="14">
        <v>83.0</v>
      </c>
      <c r="D3168" s="15" t="s">
        <v>5853</v>
      </c>
      <c r="E3168" s="16" t="s">
        <v>221</v>
      </c>
      <c r="F3168" s="13" t="s">
        <v>4515</v>
      </c>
      <c r="G3168" s="13" t="s">
        <v>4516</v>
      </c>
      <c r="H3168" s="13" t="s">
        <v>4517</v>
      </c>
      <c r="I3168" s="13" t="s">
        <v>63</v>
      </c>
      <c r="J3168" s="17" t="s">
        <v>71</v>
      </c>
      <c r="K3168" s="17" t="s">
        <v>58</v>
      </c>
      <c r="L3168" s="18" t="s">
        <v>52</v>
      </c>
      <c r="M3168" s="19">
        <v>69.0</v>
      </c>
      <c r="N3168" s="19">
        <v>31.0</v>
      </c>
    </row>
    <row r="3169">
      <c r="A3169" s="12">
        <v>3167.0</v>
      </c>
      <c r="B3169" s="13" t="s">
        <v>1738</v>
      </c>
      <c r="C3169" s="14">
        <v>84.0</v>
      </c>
      <c r="D3169" s="15" t="s">
        <v>5853</v>
      </c>
      <c r="E3169" s="16" t="s">
        <v>221</v>
      </c>
      <c r="F3169" s="13" t="s">
        <v>5408</v>
      </c>
      <c r="G3169" s="13" t="s">
        <v>5855</v>
      </c>
      <c r="H3169" s="13" t="s">
        <v>5856</v>
      </c>
      <c r="I3169" s="13" t="s">
        <v>63</v>
      </c>
      <c r="J3169" s="17" t="s">
        <v>71</v>
      </c>
      <c r="K3169" s="17" t="s">
        <v>58</v>
      </c>
      <c r="L3169" s="18" t="s">
        <v>52</v>
      </c>
      <c r="M3169" s="19">
        <v>69.0</v>
      </c>
      <c r="N3169" s="19">
        <v>31.0</v>
      </c>
    </row>
    <row r="3170">
      <c r="A3170" s="12">
        <v>3168.0</v>
      </c>
      <c r="B3170" s="13" t="s">
        <v>1738</v>
      </c>
      <c r="C3170" s="14">
        <v>85.0</v>
      </c>
      <c r="D3170" s="15" t="s">
        <v>5853</v>
      </c>
      <c r="E3170" s="16" t="s">
        <v>221</v>
      </c>
      <c r="F3170" s="13" t="s">
        <v>4512</v>
      </c>
      <c r="G3170" s="13" t="s">
        <v>4513</v>
      </c>
      <c r="H3170" s="13" t="s">
        <v>4514</v>
      </c>
      <c r="I3170" s="13" t="s">
        <v>63</v>
      </c>
      <c r="J3170" s="17" t="s">
        <v>71</v>
      </c>
      <c r="K3170" s="17" t="s">
        <v>58</v>
      </c>
      <c r="L3170" s="18" t="s">
        <v>52</v>
      </c>
      <c r="M3170" s="19">
        <v>69.0</v>
      </c>
      <c r="N3170" s="19">
        <v>31.0</v>
      </c>
    </row>
    <row r="3171">
      <c r="A3171" s="12">
        <v>3169.0</v>
      </c>
      <c r="B3171" s="13" t="s">
        <v>1738</v>
      </c>
      <c r="C3171" s="14">
        <v>86.0</v>
      </c>
      <c r="D3171" s="15" t="s">
        <v>5815</v>
      </c>
      <c r="E3171" s="16" t="s">
        <v>221</v>
      </c>
      <c r="F3171" s="13" t="s">
        <v>107</v>
      </c>
      <c r="G3171" s="13" t="s">
        <v>4873</v>
      </c>
      <c r="H3171" s="13" t="s">
        <v>4874</v>
      </c>
      <c r="I3171" s="13" t="s">
        <v>63</v>
      </c>
      <c r="J3171" s="17" t="s">
        <v>71</v>
      </c>
      <c r="K3171" s="17" t="s">
        <v>58</v>
      </c>
      <c r="L3171" s="18" t="s">
        <v>52</v>
      </c>
      <c r="M3171" s="19">
        <v>69.0</v>
      </c>
      <c r="N3171" s="19">
        <v>31.0</v>
      </c>
    </row>
    <row r="3172">
      <c r="A3172" s="12">
        <v>3170.0</v>
      </c>
      <c r="B3172" s="13" t="s">
        <v>1738</v>
      </c>
      <c r="C3172" s="14">
        <v>87.0</v>
      </c>
      <c r="D3172" s="15" t="s">
        <v>5815</v>
      </c>
      <c r="E3172" s="16" t="s">
        <v>221</v>
      </c>
      <c r="F3172" s="13" t="s">
        <v>50</v>
      </c>
      <c r="G3172" s="13" t="s">
        <v>61</v>
      </c>
      <c r="H3172" s="13" t="s">
        <v>4871</v>
      </c>
      <c r="I3172" s="13" t="s">
        <v>63</v>
      </c>
      <c r="J3172" s="17" t="s">
        <v>71</v>
      </c>
      <c r="K3172" s="17" t="s">
        <v>58</v>
      </c>
      <c r="L3172" s="18" t="s">
        <v>52</v>
      </c>
      <c r="M3172" s="19">
        <v>69.0</v>
      </c>
      <c r="N3172" s="19">
        <v>31.0</v>
      </c>
    </row>
    <row r="3173">
      <c r="A3173" s="12">
        <v>3171.0</v>
      </c>
      <c r="B3173" s="13" t="s">
        <v>1738</v>
      </c>
      <c r="C3173" s="14">
        <v>88.0</v>
      </c>
      <c r="D3173" s="15" t="s">
        <v>5815</v>
      </c>
      <c r="E3173" s="16" t="s">
        <v>221</v>
      </c>
      <c r="F3173" s="13" t="s">
        <v>91</v>
      </c>
      <c r="G3173" s="13" t="s">
        <v>92</v>
      </c>
      <c r="H3173" s="13" t="s">
        <v>93</v>
      </c>
      <c r="I3173" s="13" t="s">
        <v>63</v>
      </c>
      <c r="J3173" s="17" t="s">
        <v>71</v>
      </c>
      <c r="K3173" s="17" t="s">
        <v>58</v>
      </c>
      <c r="L3173" s="18" t="s">
        <v>52</v>
      </c>
      <c r="M3173" s="19">
        <v>69.0</v>
      </c>
      <c r="N3173" s="19">
        <v>31.0</v>
      </c>
    </row>
    <row r="3174">
      <c r="A3174" s="12">
        <v>3172.0</v>
      </c>
      <c r="B3174" s="13" t="s">
        <v>1738</v>
      </c>
      <c r="C3174" s="14">
        <v>89.0</v>
      </c>
      <c r="D3174" s="15" t="s">
        <v>5815</v>
      </c>
      <c r="E3174" s="16" t="s">
        <v>221</v>
      </c>
      <c r="F3174" s="13" t="s">
        <v>1884</v>
      </c>
      <c r="G3174" s="13" t="s">
        <v>61</v>
      </c>
      <c r="H3174" s="13" t="s">
        <v>5612</v>
      </c>
      <c r="I3174" s="13" t="s">
        <v>63</v>
      </c>
      <c r="J3174" s="17" t="s">
        <v>71</v>
      </c>
      <c r="K3174" s="17" t="s">
        <v>58</v>
      </c>
      <c r="L3174" s="18" t="s">
        <v>52</v>
      </c>
      <c r="M3174" s="19">
        <v>69.0</v>
      </c>
      <c r="N3174" s="19">
        <v>31.0</v>
      </c>
    </row>
    <row r="3175">
      <c r="A3175" s="12">
        <v>3173.0</v>
      </c>
      <c r="B3175" s="13" t="s">
        <v>1738</v>
      </c>
      <c r="C3175" s="14">
        <v>90.0</v>
      </c>
      <c r="D3175" s="15" t="s">
        <v>5815</v>
      </c>
      <c r="E3175" s="16" t="s">
        <v>221</v>
      </c>
      <c r="F3175" s="13" t="s">
        <v>1475</v>
      </c>
      <c r="G3175" s="13" t="s">
        <v>5524</v>
      </c>
      <c r="H3175" s="13" t="s">
        <v>5861</v>
      </c>
      <c r="I3175" s="13" t="s">
        <v>63</v>
      </c>
      <c r="J3175" s="17" t="s">
        <v>71</v>
      </c>
      <c r="K3175" s="17" t="s">
        <v>58</v>
      </c>
      <c r="L3175" s="18" t="s">
        <v>52</v>
      </c>
      <c r="M3175" s="19">
        <v>69.0</v>
      </c>
      <c r="N3175" s="19">
        <v>31.0</v>
      </c>
    </row>
    <row r="3176">
      <c r="A3176" s="12">
        <v>3174.0</v>
      </c>
      <c r="B3176" s="13" t="s">
        <v>1738</v>
      </c>
      <c r="C3176" s="14">
        <v>91.0</v>
      </c>
      <c r="D3176" s="15" t="s">
        <v>5815</v>
      </c>
      <c r="E3176" s="16" t="s">
        <v>221</v>
      </c>
      <c r="F3176" s="13" t="s">
        <v>4581</v>
      </c>
      <c r="G3176" s="13" t="s">
        <v>5862</v>
      </c>
      <c r="H3176" s="13" t="s">
        <v>5863</v>
      </c>
      <c r="I3176" s="13" t="s">
        <v>63</v>
      </c>
      <c r="J3176" s="17" t="s">
        <v>71</v>
      </c>
      <c r="K3176" s="17" t="s">
        <v>58</v>
      </c>
      <c r="L3176" s="18" t="s">
        <v>52</v>
      </c>
      <c r="M3176" s="19">
        <v>69.0</v>
      </c>
      <c r="N3176" s="19">
        <v>31.0</v>
      </c>
    </row>
    <row r="3177">
      <c r="A3177" s="12">
        <v>3175.0</v>
      </c>
      <c r="B3177" s="13" t="s">
        <v>1738</v>
      </c>
      <c r="C3177" s="14">
        <v>92.0</v>
      </c>
      <c r="D3177" s="15" t="s">
        <v>5815</v>
      </c>
      <c r="E3177" s="16" t="s">
        <v>221</v>
      </c>
      <c r="F3177" s="13" t="s">
        <v>4756</v>
      </c>
      <c r="G3177" s="13" t="s">
        <v>5412</v>
      </c>
      <c r="H3177" s="13" t="s">
        <v>5413</v>
      </c>
      <c r="I3177" s="13" t="s">
        <v>63</v>
      </c>
      <c r="J3177" s="17" t="s">
        <v>71</v>
      </c>
      <c r="K3177" s="17" t="s">
        <v>58</v>
      </c>
      <c r="L3177" s="18" t="s">
        <v>52</v>
      </c>
      <c r="M3177" s="19">
        <v>69.0</v>
      </c>
      <c r="N3177" s="19">
        <v>31.0</v>
      </c>
    </row>
    <row r="3178">
      <c r="A3178" s="12">
        <v>3176.0</v>
      </c>
      <c r="B3178" s="13" t="s">
        <v>1738</v>
      </c>
      <c r="C3178" s="14">
        <v>93.0</v>
      </c>
      <c r="D3178" s="15" t="s">
        <v>5815</v>
      </c>
      <c r="E3178" s="16" t="s">
        <v>221</v>
      </c>
      <c r="F3178" s="13" t="s">
        <v>1156</v>
      </c>
      <c r="G3178" s="13" t="s">
        <v>61</v>
      </c>
      <c r="H3178" s="13" t="s">
        <v>5864</v>
      </c>
      <c r="I3178" s="13" t="s">
        <v>63</v>
      </c>
      <c r="J3178" s="17" t="s">
        <v>71</v>
      </c>
      <c r="K3178" s="17" t="s">
        <v>58</v>
      </c>
      <c r="L3178" s="18" t="s">
        <v>52</v>
      </c>
      <c r="M3178" s="19">
        <v>69.0</v>
      </c>
      <c r="N3178" s="19">
        <v>31.0</v>
      </c>
    </row>
    <row r="3179">
      <c r="A3179" s="12">
        <v>3177.0</v>
      </c>
      <c r="B3179" s="13" t="s">
        <v>1738</v>
      </c>
      <c r="C3179" s="14">
        <v>94.0</v>
      </c>
      <c r="D3179" s="15" t="s">
        <v>5815</v>
      </c>
      <c r="E3179" s="16" t="s">
        <v>221</v>
      </c>
      <c r="F3179" s="13" t="s">
        <v>4084</v>
      </c>
      <c r="G3179" s="13" t="s">
        <v>4085</v>
      </c>
      <c r="H3179" s="13" t="s">
        <v>5371</v>
      </c>
      <c r="I3179" s="13" t="s">
        <v>63</v>
      </c>
      <c r="J3179" s="17" t="s">
        <v>71</v>
      </c>
      <c r="K3179" s="17" t="s">
        <v>58</v>
      </c>
      <c r="L3179" s="18" t="s">
        <v>52</v>
      </c>
      <c r="M3179" s="19">
        <v>69.0</v>
      </c>
      <c r="N3179" s="19">
        <v>31.0</v>
      </c>
    </row>
    <row r="3180">
      <c r="A3180" s="12">
        <v>3178.0</v>
      </c>
      <c r="B3180" s="13" t="s">
        <v>1738</v>
      </c>
      <c r="C3180" s="14">
        <v>95.0</v>
      </c>
      <c r="D3180" s="15" t="s">
        <v>5815</v>
      </c>
      <c r="E3180" s="16" t="s">
        <v>221</v>
      </c>
      <c r="F3180" s="13" t="s">
        <v>413</v>
      </c>
      <c r="G3180" s="13" t="s">
        <v>5865</v>
      </c>
      <c r="H3180" s="13" t="s">
        <v>5866</v>
      </c>
      <c r="I3180" s="13" t="s">
        <v>63</v>
      </c>
      <c r="J3180" s="17" t="s">
        <v>71</v>
      </c>
      <c r="K3180" s="17" t="s">
        <v>58</v>
      </c>
      <c r="L3180" s="18" t="s">
        <v>52</v>
      </c>
      <c r="M3180" s="19">
        <v>69.0</v>
      </c>
      <c r="N3180" s="19">
        <v>31.0</v>
      </c>
    </row>
    <row r="3181">
      <c r="A3181" s="12">
        <v>3179.0</v>
      </c>
      <c r="B3181" s="13" t="s">
        <v>1738</v>
      </c>
      <c r="C3181" s="14">
        <v>96.0</v>
      </c>
      <c r="D3181" s="15" t="s">
        <v>5815</v>
      </c>
      <c r="E3181" s="16" t="s">
        <v>221</v>
      </c>
      <c r="F3181" s="13" t="s">
        <v>2804</v>
      </c>
      <c r="G3181" s="13" t="s">
        <v>4064</v>
      </c>
      <c r="H3181" s="13" t="s">
        <v>5867</v>
      </c>
      <c r="I3181" s="13" t="s">
        <v>63</v>
      </c>
      <c r="J3181" s="17" t="s">
        <v>71</v>
      </c>
      <c r="K3181" s="17" t="s">
        <v>58</v>
      </c>
      <c r="L3181" s="18" t="s">
        <v>52</v>
      </c>
      <c r="M3181" s="19">
        <v>69.0</v>
      </c>
      <c r="N3181" s="19">
        <v>31.0</v>
      </c>
    </row>
    <row r="3182">
      <c r="A3182" s="12">
        <v>3180.0</v>
      </c>
      <c r="B3182" s="13" t="s">
        <v>1738</v>
      </c>
      <c r="C3182" s="14">
        <v>97.0</v>
      </c>
      <c r="D3182" s="15" t="s">
        <v>5815</v>
      </c>
      <c r="E3182" s="16" t="s">
        <v>221</v>
      </c>
      <c r="F3182" s="13" t="s">
        <v>2535</v>
      </c>
      <c r="G3182" s="13" t="s">
        <v>2536</v>
      </c>
      <c r="H3182" s="13" t="s">
        <v>5868</v>
      </c>
      <c r="I3182" s="13" t="s">
        <v>63</v>
      </c>
      <c r="J3182" s="17" t="s">
        <v>71</v>
      </c>
      <c r="K3182" s="17" t="s">
        <v>58</v>
      </c>
      <c r="L3182" s="18" t="s">
        <v>52</v>
      </c>
      <c r="M3182" s="19">
        <v>69.0</v>
      </c>
      <c r="N3182" s="19">
        <v>31.0</v>
      </c>
    </row>
    <row r="3183">
      <c r="A3183" s="12">
        <v>3181.0</v>
      </c>
      <c r="B3183" s="13" t="s">
        <v>1738</v>
      </c>
      <c r="C3183" s="14">
        <v>98.0</v>
      </c>
      <c r="D3183" s="15" t="s">
        <v>5815</v>
      </c>
      <c r="E3183" s="16" t="s">
        <v>221</v>
      </c>
      <c r="F3183" s="13" t="s">
        <v>3359</v>
      </c>
      <c r="G3183" s="13" t="s">
        <v>61</v>
      </c>
      <c r="H3183" s="13" t="s">
        <v>5637</v>
      </c>
      <c r="I3183" s="13" t="s">
        <v>63</v>
      </c>
      <c r="J3183" s="17" t="s">
        <v>71</v>
      </c>
      <c r="K3183" s="17" t="s">
        <v>58</v>
      </c>
      <c r="L3183" s="18" t="s">
        <v>52</v>
      </c>
      <c r="M3183" s="19">
        <v>69.0</v>
      </c>
      <c r="N3183" s="19">
        <v>31.0</v>
      </c>
    </row>
    <row r="3184">
      <c r="A3184" s="12">
        <v>3182.0</v>
      </c>
      <c r="B3184" s="13" t="s">
        <v>1738</v>
      </c>
      <c r="C3184" s="14">
        <v>99.0</v>
      </c>
      <c r="D3184" s="15" t="s">
        <v>5815</v>
      </c>
      <c r="E3184" s="16" t="s">
        <v>221</v>
      </c>
      <c r="F3184" s="13" t="s">
        <v>4592</v>
      </c>
      <c r="G3184" s="13" t="s">
        <v>5869</v>
      </c>
      <c r="H3184" s="13" t="s">
        <v>5870</v>
      </c>
      <c r="I3184" s="13" t="s">
        <v>63</v>
      </c>
      <c r="J3184" s="17" t="s">
        <v>71</v>
      </c>
      <c r="K3184" s="17" t="s">
        <v>58</v>
      </c>
      <c r="L3184" s="18" t="s">
        <v>52</v>
      </c>
      <c r="M3184" s="19">
        <v>69.0</v>
      </c>
      <c r="N3184" s="19">
        <v>31.0</v>
      </c>
    </row>
    <row r="3185">
      <c r="A3185" s="12">
        <v>3183.0</v>
      </c>
      <c r="B3185" s="13" t="s">
        <v>1738</v>
      </c>
      <c r="C3185" s="14">
        <v>100.0</v>
      </c>
      <c r="D3185" s="15" t="s">
        <v>5815</v>
      </c>
      <c r="E3185" s="16" t="s">
        <v>221</v>
      </c>
      <c r="F3185" s="13" t="s">
        <v>4553</v>
      </c>
      <c r="G3185" s="13" t="s">
        <v>5871</v>
      </c>
      <c r="H3185" s="13" t="s">
        <v>5872</v>
      </c>
      <c r="I3185" s="13" t="s">
        <v>63</v>
      </c>
      <c r="J3185" s="17" t="s">
        <v>71</v>
      </c>
      <c r="K3185" s="17" t="s">
        <v>58</v>
      </c>
      <c r="L3185" s="18" t="s">
        <v>52</v>
      </c>
      <c r="M3185" s="19">
        <v>69.0</v>
      </c>
      <c r="N3185" s="19">
        <v>31.0</v>
      </c>
    </row>
    <row r="3186">
      <c r="A3186" s="12">
        <v>3184.0</v>
      </c>
      <c r="B3186" s="13" t="s">
        <v>5194</v>
      </c>
      <c r="C3186" s="14">
        <v>1.0</v>
      </c>
      <c r="D3186" s="15" t="s">
        <v>5873</v>
      </c>
      <c r="E3186" s="16" t="s">
        <v>221</v>
      </c>
      <c r="F3186" s="13" t="s">
        <v>5386</v>
      </c>
      <c r="G3186" s="13" t="s">
        <v>61</v>
      </c>
      <c r="H3186" s="13" t="s">
        <v>5644</v>
      </c>
      <c r="I3186" s="13" t="s">
        <v>56</v>
      </c>
      <c r="J3186" s="17" t="s">
        <v>57</v>
      </c>
      <c r="K3186" s="17" t="s">
        <v>58</v>
      </c>
      <c r="L3186" s="18" t="s">
        <v>52</v>
      </c>
      <c r="M3186" s="19">
        <v>70.0</v>
      </c>
      <c r="N3186" s="19">
        <v>10.0</v>
      </c>
    </row>
    <row r="3187">
      <c r="A3187" s="12">
        <v>3185.0</v>
      </c>
      <c r="B3187" s="13" t="s">
        <v>5194</v>
      </c>
      <c r="C3187" s="14">
        <v>2.0</v>
      </c>
      <c r="D3187" s="15" t="s">
        <v>5873</v>
      </c>
      <c r="E3187" s="16" t="s">
        <v>221</v>
      </c>
      <c r="F3187" s="13" t="s">
        <v>457</v>
      </c>
      <c r="G3187" s="13" t="s">
        <v>4474</v>
      </c>
      <c r="H3187" s="13" t="s">
        <v>5874</v>
      </c>
      <c r="I3187" s="13" t="s">
        <v>56</v>
      </c>
      <c r="J3187" s="17" t="s">
        <v>67</v>
      </c>
      <c r="K3187" s="17" t="s">
        <v>58</v>
      </c>
      <c r="L3187" s="18" t="s">
        <v>52</v>
      </c>
      <c r="M3187" s="19">
        <v>70.0</v>
      </c>
      <c r="N3187" s="19">
        <v>20.0</v>
      </c>
    </row>
    <row r="3188">
      <c r="A3188" s="12">
        <v>3186.0</v>
      </c>
      <c r="B3188" s="13" t="s">
        <v>5194</v>
      </c>
      <c r="C3188" s="14">
        <v>3.0</v>
      </c>
      <c r="D3188" s="15" t="s">
        <v>5873</v>
      </c>
      <c r="E3188" s="16" t="s">
        <v>221</v>
      </c>
      <c r="F3188" s="13" t="s">
        <v>4072</v>
      </c>
      <c r="G3188" s="13" t="s">
        <v>61</v>
      </c>
      <c r="H3188" s="13" t="s">
        <v>5875</v>
      </c>
      <c r="I3188" s="13" t="s">
        <v>56</v>
      </c>
      <c r="J3188" s="17" t="s">
        <v>67</v>
      </c>
      <c r="K3188" s="17" t="s">
        <v>58</v>
      </c>
      <c r="L3188" s="18" t="s">
        <v>52</v>
      </c>
      <c r="M3188" s="19">
        <v>70.0</v>
      </c>
      <c r="N3188" s="19">
        <v>20.0</v>
      </c>
    </row>
    <row r="3189">
      <c r="A3189" s="12">
        <v>3187.0</v>
      </c>
      <c r="B3189" s="13" t="s">
        <v>5194</v>
      </c>
      <c r="C3189" s="14">
        <v>4.0</v>
      </c>
      <c r="D3189" s="15" t="s">
        <v>5873</v>
      </c>
      <c r="E3189" s="16" t="s">
        <v>221</v>
      </c>
      <c r="F3189" s="13" t="s">
        <v>3054</v>
      </c>
      <c r="G3189" s="13" t="s">
        <v>5876</v>
      </c>
      <c r="H3189" s="13" t="s">
        <v>5877</v>
      </c>
      <c r="I3189" s="13" t="s">
        <v>56</v>
      </c>
      <c r="J3189" s="17" t="s">
        <v>67</v>
      </c>
      <c r="K3189" s="17" t="s">
        <v>58</v>
      </c>
      <c r="L3189" s="18" t="s">
        <v>52</v>
      </c>
      <c r="M3189" s="19">
        <v>70.0</v>
      </c>
      <c r="N3189" s="19">
        <v>20.0</v>
      </c>
    </row>
    <row r="3190">
      <c r="A3190" s="12">
        <v>3188.0</v>
      </c>
      <c r="B3190" s="13" t="s">
        <v>5194</v>
      </c>
      <c r="C3190" s="14">
        <v>5.0</v>
      </c>
      <c r="D3190" s="15" t="s">
        <v>5873</v>
      </c>
      <c r="E3190" s="16" t="s">
        <v>221</v>
      </c>
      <c r="F3190" s="13" t="s">
        <v>2551</v>
      </c>
      <c r="G3190" s="13" t="s">
        <v>5380</v>
      </c>
      <c r="H3190" s="13" t="s">
        <v>5878</v>
      </c>
      <c r="I3190" s="13" t="s">
        <v>56</v>
      </c>
      <c r="J3190" s="17" t="s">
        <v>67</v>
      </c>
      <c r="K3190" s="17" t="s">
        <v>58</v>
      </c>
      <c r="L3190" s="18" t="s">
        <v>52</v>
      </c>
      <c r="M3190" s="19">
        <v>70.0</v>
      </c>
      <c r="N3190" s="19">
        <v>20.0</v>
      </c>
    </row>
    <row r="3191">
      <c r="A3191" s="12">
        <v>3189.0</v>
      </c>
      <c r="B3191" s="13" t="s">
        <v>5194</v>
      </c>
      <c r="C3191" s="14">
        <v>6.0</v>
      </c>
      <c r="D3191" s="15" t="s">
        <v>5873</v>
      </c>
      <c r="E3191" s="16" t="s">
        <v>221</v>
      </c>
      <c r="F3191" s="13" t="s">
        <v>2024</v>
      </c>
      <c r="G3191" s="13" t="s">
        <v>5423</v>
      </c>
      <c r="H3191" s="13" t="s">
        <v>5879</v>
      </c>
      <c r="I3191" s="13" t="s">
        <v>56</v>
      </c>
      <c r="J3191" s="17" t="s">
        <v>67</v>
      </c>
      <c r="K3191" s="17" t="s">
        <v>58</v>
      </c>
      <c r="L3191" s="18" t="s">
        <v>52</v>
      </c>
      <c r="M3191" s="19">
        <v>70.0</v>
      </c>
      <c r="N3191" s="19">
        <v>20.0</v>
      </c>
    </row>
    <row r="3192">
      <c r="A3192" s="12">
        <v>3190.0</v>
      </c>
      <c r="B3192" s="13" t="s">
        <v>5194</v>
      </c>
      <c r="C3192" s="14">
        <v>7.0</v>
      </c>
      <c r="D3192" s="15" t="s">
        <v>5873</v>
      </c>
      <c r="E3192" s="16" t="s">
        <v>221</v>
      </c>
      <c r="F3192" s="13" t="s">
        <v>4952</v>
      </c>
      <c r="G3192" s="13" t="s">
        <v>5664</v>
      </c>
      <c r="H3192" s="13" t="s">
        <v>5665</v>
      </c>
      <c r="I3192" s="13" t="s">
        <v>56</v>
      </c>
      <c r="J3192" s="17" t="s">
        <v>67</v>
      </c>
      <c r="K3192" s="17" t="s">
        <v>58</v>
      </c>
      <c r="L3192" s="18" t="s">
        <v>52</v>
      </c>
      <c r="M3192" s="19">
        <v>70.0</v>
      </c>
      <c r="N3192" s="19">
        <v>20.0</v>
      </c>
    </row>
    <row r="3193">
      <c r="A3193" s="12">
        <v>3191.0</v>
      </c>
      <c r="B3193" s="13" t="s">
        <v>5194</v>
      </c>
      <c r="C3193" s="14">
        <v>8.0</v>
      </c>
      <c r="D3193" s="15" t="s">
        <v>5873</v>
      </c>
      <c r="E3193" s="16" t="s">
        <v>221</v>
      </c>
      <c r="F3193" s="13" t="s">
        <v>2497</v>
      </c>
      <c r="G3193" s="13" t="s">
        <v>5880</v>
      </c>
      <c r="H3193" s="13" t="s">
        <v>5881</v>
      </c>
      <c r="I3193" s="13" t="s">
        <v>56</v>
      </c>
      <c r="J3193" s="17" t="s">
        <v>67</v>
      </c>
      <c r="K3193" s="17" t="s">
        <v>58</v>
      </c>
      <c r="L3193" s="18" t="s">
        <v>52</v>
      </c>
      <c r="M3193" s="19">
        <v>70.0</v>
      </c>
      <c r="N3193" s="19">
        <v>20.0</v>
      </c>
    </row>
    <row r="3194">
      <c r="A3194" s="12">
        <v>3192.0</v>
      </c>
      <c r="B3194" s="13" t="s">
        <v>5194</v>
      </c>
      <c r="C3194" s="14">
        <v>9.0</v>
      </c>
      <c r="D3194" s="15" t="s">
        <v>5873</v>
      </c>
      <c r="E3194" s="16" t="s">
        <v>221</v>
      </c>
      <c r="F3194" s="13" t="s">
        <v>2328</v>
      </c>
      <c r="G3194" s="13" t="s">
        <v>2329</v>
      </c>
      <c r="H3194" s="13" t="s">
        <v>5882</v>
      </c>
      <c r="I3194" s="13" t="s">
        <v>56</v>
      </c>
      <c r="J3194" s="17" t="s">
        <v>67</v>
      </c>
      <c r="K3194" s="17" t="s">
        <v>58</v>
      </c>
      <c r="L3194" s="18" t="s">
        <v>52</v>
      </c>
      <c r="M3194" s="19">
        <v>70.0</v>
      </c>
      <c r="N3194" s="19">
        <v>20.0</v>
      </c>
    </row>
    <row r="3195">
      <c r="A3195" s="12">
        <v>3193.0</v>
      </c>
      <c r="B3195" s="13" t="s">
        <v>5194</v>
      </c>
      <c r="C3195" s="14">
        <v>10.0</v>
      </c>
      <c r="D3195" s="15" t="s">
        <v>5873</v>
      </c>
      <c r="E3195" s="16" t="s">
        <v>221</v>
      </c>
      <c r="F3195" s="13" t="s">
        <v>5435</v>
      </c>
      <c r="G3195" s="13" t="s">
        <v>61</v>
      </c>
      <c r="H3195" s="13" t="s">
        <v>5883</v>
      </c>
      <c r="I3195" s="13" t="s">
        <v>56</v>
      </c>
      <c r="J3195" s="17" t="s">
        <v>67</v>
      </c>
      <c r="K3195" s="17" t="s">
        <v>58</v>
      </c>
      <c r="L3195" s="18" t="s">
        <v>52</v>
      </c>
      <c r="M3195" s="19">
        <v>70.0</v>
      </c>
      <c r="N3195" s="19">
        <v>20.0</v>
      </c>
    </row>
    <row r="3196">
      <c r="A3196" s="12">
        <v>3194.0</v>
      </c>
      <c r="B3196" s="13" t="s">
        <v>5194</v>
      </c>
      <c r="C3196" s="14">
        <v>11.0</v>
      </c>
      <c r="D3196" s="15" t="s">
        <v>5873</v>
      </c>
      <c r="E3196" s="16" t="s">
        <v>221</v>
      </c>
      <c r="F3196" s="13" t="s">
        <v>2461</v>
      </c>
      <c r="G3196" s="13" t="s">
        <v>1784</v>
      </c>
      <c r="H3196" s="13" t="s">
        <v>5884</v>
      </c>
      <c r="I3196" s="13" t="s">
        <v>56</v>
      </c>
      <c r="J3196" s="17" t="s">
        <v>67</v>
      </c>
      <c r="K3196" s="17" t="s">
        <v>58</v>
      </c>
      <c r="L3196" s="18" t="s">
        <v>52</v>
      </c>
      <c r="M3196" s="19">
        <v>70.0</v>
      </c>
      <c r="N3196" s="19">
        <v>20.0</v>
      </c>
    </row>
    <row r="3197">
      <c r="A3197" s="12">
        <v>3195.0</v>
      </c>
      <c r="B3197" s="13" t="s">
        <v>5194</v>
      </c>
      <c r="C3197" s="14">
        <v>12.0</v>
      </c>
      <c r="D3197" s="15" t="s">
        <v>5873</v>
      </c>
      <c r="E3197" s="16" t="s">
        <v>221</v>
      </c>
      <c r="F3197" s="13" t="s">
        <v>2262</v>
      </c>
      <c r="G3197" s="13" t="s">
        <v>4614</v>
      </c>
      <c r="H3197" s="13" t="s">
        <v>5885</v>
      </c>
      <c r="I3197" s="13" t="s">
        <v>56</v>
      </c>
      <c r="J3197" s="17" t="s">
        <v>67</v>
      </c>
      <c r="K3197" s="17" t="s">
        <v>58</v>
      </c>
      <c r="L3197" s="18" t="s">
        <v>52</v>
      </c>
      <c r="M3197" s="19">
        <v>70.0</v>
      </c>
      <c r="N3197" s="19">
        <v>20.0</v>
      </c>
    </row>
    <row r="3198">
      <c r="A3198" s="12">
        <v>3196.0</v>
      </c>
      <c r="B3198" s="13" t="s">
        <v>5194</v>
      </c>
      <c r="C3198" s="14">
        <v>13.0</v>
      </c>
      <c r="D3198" s="15" t="s">
        <v>5873</v>
      </c>
      <c r="E3198" s="16" t="s">
        <v>221</v>
      </c>
      <c r="F3198" s="13" t="s">
        <v>98</v>
      </c>
      <c r="G3198" s="13" t="s">
        <v>61</v>
      </c>
      <c r="H3198" s="13" t="s">
        <v>5886</v>
      </c>
      <c r="I3198" s="13" t="s">
        <v>56</v>
      </c>
      <c r="J3198" s="17" t="s">
        <v>71</v>
      </c>
      <c r="K3198" s="17" t="s">
        <v>58</v>
      </c>
      <c r="L3198" s="18" t="s">
        <v>52</v>
      </c>
      <c r="M3198" s="19">
        <v>70.0</v>
      </c>
      <c r="N3198" s="19">
        <v>30.0</v>
      </c>
    </row>
    <row r="3199">
      <c r="A3199" s="12">
        <v>3197.0</v>
      </c>
      <c r="B3199" s="13" t="s">
        <v>5194</v>
      </c>
      <c r="C3199" s="14">
        <v>14.0</v>
      </c>
      <c r="D3199" s="15" t="s">
        <v>5873</v>
      </c>
      <c r="E3199" s="16" t="s">
        <v>221</v>
      </c>
      <c r="F3199" s="13" t="s">
        <v>4581</v>
      </c>
      <c r="G3199" s="13" t="s">
        <v>5862</v>
      </c>
      <c r="H3199" s="13" t="s">
        <v>5887</v>
      </c>
      <c r="I3199" s="13" t="s">
        <v>56</v>
      </c>
      <c r="J3199" s="17" t="s">
        <v>71</v>
      </c>
      <c r="K3199" s="17" t="s">
        <v>58</v>
      </c>
      <c r="L3199" s="18" t="s">
        <v>52</v>
      </c>
      <c r="M3199" s="19">
        <v>70.0</v>
      </c>
      <c r="N3199" s="19">
        <v>30.0</v>
      </c>
    </row>
    <row r="3200">
      <c r="A3200" s="12">
        <v>3198.0</v>
      </c>
      <c r="B3200" s="13" t="s">
        <v>5194</v>
      </c>
      <c r="C3200" s="14">
        <v>15.0</v>
      </c>
      <c r="D3200" s="15" t="s">
        <v>5873</v>
      </c>
      <c r="E3200" s="16" t="s">
        <v>221</v>
      </c>
      <c r="F3200" s="13" t="s">
        <v>91</v>
      </c>
      <c r="G3200" s="13" t="s">
        <v>5888</v>
      </c>
      <c r="H3200" s="13" t="s">
        <v>5889</v>
      </c>
      <c r="I3200" s="13" t="s">
        <v>56</v>
      </c>
      <c r="J3200" s="17" t="s">
        <v>71</v>
      </c>
      <c r="K3200" s="17" t="s">
        <v>58</v>
      </c>
      <c r="L3200" s="18" t="s">
        <v>52</v>
      </c>
      <c r="M3200" s="19">
        <v>70.0</v>
      </c>
      <c r="N3200" s="19">
        <v>30.0</v>
      </c>
    </row>
    <row r="3201">
      <c r="A3201" s="12">
        <v>3199.0</v>
      </c>
      <c r="B3201" s="13" t="s">
        <v>5194</v>
      </c>
      <c r="C3201" s="14">
        <v>16.0</v>
      </c>
      <c r="D3201" s="15" t="s">
        <v>5873</v>
      </c>
      <c r="E3201" s="16" t="s">
        <v>221</v>
      </c>
      <c r="F3201" s="13" t="s">
        <v>68</v>
      </c>
      <c r="G3201" s="13" t="s">
        <v>61</v>
      </c>
      <c r="H3201" s="13" t="s">
        <v>5890</v>
      </c>
      <c r="I3201" s="13" t="s">
        <v>56</v>
      </c>
      <c r="J3201" s="17" t="s">
        <v>71</v>
      </c>
      <c r="K3201" s="17" t="s">
        <v>58</v>
      </c>
      <c r="L3201" s="18" t="s">
        <v>52</v>
      </c>
      <c r="M3201" s="19">
        <v>70.0</v>
      </c>
      <c r="N3201" s="19">
        <v>30.0</v>
      </c>
    </row>
    <row r="3202">
      <c r="A3202" s="12">
        <v>3200.0</v>
      </c>
      <c r="B3202" s="13" t="s">
        <v>5194</v>
      </c>
      <c r="C3202" s="14">
        <v>17.0</v>
      </c>
      <c r="D3202" s="15" t="s">
        <v>5873</v>
      </c>
      <c r="E3202" s="16" t="s">
        <v>221</v>
      </c>
      <c r="F3202" s="13" t="s">
        <v>1156</v>
      </c>
      <c r="G3202" s="13" t="s">
        <v>5753</v>
      </c>
      <c r="H3202" s="13" t="s">
        <v>5891</v>
      </c>
      <c r="I3202" s="13" t="s">
        <v>56</v>
      </c>
      <c r="J3202" s="17" t="s">
        <v>71</v>
      </c>
      <c r="K3202" s="17" t="s">
        <v>58</v>
      </c>
      <c r="L3202" s="18" t="s">
        <v>52</v>
      </c>
      <c r="M3202" s="19">
        <v>70.0</v>
      </c>
      <c r="N3202" s="19">
        <v>30.0</v>
      </c>
    </row>
    <row r="3203">
      <c r="A3203" s="12">
        <v>3201.0</v>
      </c>
      <c r="B3203" s="13" t="s">
        <v>5194</v>
      </c>
      <c r="C3203" s="14">
        <v>18.0</v>
      </c>
      <c r="D3203" s="15" t="s">
        <v>5873</v>
      </c>
      <c r="E3203" s="16" t="s">
        <v>221</v>
      </c>
      <c r="F3203" s="13" t="s">
        <v>101</v>
      </c>
      <c r="G3203" s="13" t="s">
        <v>102</v>
      </c>
      <c r="H3203" s="13" t="s">
        <v>5892</v>
      </c>
      <c r="I3203" s="13" t="s">
        <v>56</v>
      </c>
      <c r="J3203" s="17" t="s">
        <v>71</v>
      </c>
      <c r="K3203" s="17" t="s">
        <v>58</v>
      </c>
      <c r="L3203" s="18" t="s">
        <v>52</v>
      </c>
      <c r="M3203" s="19">
        <v>70.0</v>
      </c>
      <c r="N3203" s="19">
        <v>30.0</v>
      </c>
    </row>
    <row r="3204">
      <c r="A3204" s="12">
        <v>3202.0</v>
      </c>
      <c r="B3204" s="13" t="s">
        <v>5194</v>
      </c>
      <c r="C3204" s="14">
        <v>19.0</v>
      </c>
      <c r="D3204" s="15" t="s">
        <v>5873</v>
      </c>
      <c r="E3204" s="16" t="s">
        <v>221</v>
      </c>
      <c r="F3204" s="13" t="s">
        <v>160</v>
      </c>
      <c r="G3204" s="13" t="s">
        <v>61</v>
      </c>
      <c r="H3204" s="13" t="s">
        <v>5893</v>
      </c>
      <c r="I3204" s="13" t="s">
        <v>56</v>
      </c>
      <c r="J3204" s="17" t="s">
        <v>71</v>
      </c>
      <c r="K3204" s="17" t="s">
        <v>58</v>
      </c>
      <c r="L3204" s="18" t="s">
        <v>52</v>
      </c>
      <c r="M3204" s="19">
        <v>70.0</v>
      </c>
      <c r="N3204" s="19">
        <v>30.0</v>
      </c>
    </row>
    <row r="3205">
      <c r="A3205" s="12">
        <v>3203.0</v>
      </c>
      <c r="B3205" s="13" t="s">
        <v>5194</v>
      </c>
      <c r="C3205" s="14">
        <v>20.0</v>
      </c>
      <c r="D3205" s="15" t="s">
        <v>5873</v>
      </c>
      <c r="E3205" s="16" t="s">
        <v>221</v>
      </c>
      <c r="F3205" s="13" t="s">
        <v>3809</v>
      </c>
      <c r="G3205" s="13" t="s">
        <v>4644</v>
      </c>
      <c r="H3205" s="13" t="s">
        <v>5894</v>
      </c>
      <c r="I3205" s="13" t="s">
        <v>56</v>
      </c>
      <c r="J3205" s="17" t="s">
        <v>71</v>
      </c>
      <c r="K3205" s="17" t="s">
        <v>58</v>
      </c>
      <c r="L3205" s="18" t="s">
        <v>52</v>
      </c>
      <c r="M3205" s="19">
        <v>70.0</v>
      </c>
      <c r="N3205" s="19">
        <v>30.0</v>
      </c>
    </row>
    <row r="3206">
      <c r="A3206" s="12">
        <v>3204.0</v>
      </c>
      <c r="B3206" s="13" t="s">
        <v>5194</v>
      </c>
      <c r="C3206" s="14">
        <v>21.0</v>
      </c>
      <c r="D3206" s="15" t="s">
        <v>5873</v>
      </c>
      <c r="E3206" s="16" t="s">
        <v>221</v>
      </c>
      <c r="F3206" s="13" t="s">
        <v>4505</v>
      </c>
      <c r="G3206" s="13" t="s">
        <v>4506</v>
      </c>
      <c r="H3206" s="13" t="s">
        <v>5895</v>
      </c>
      <c r="I3206" s="13" t="s">
        <v>56</v>
      </c>
      <c r="J3206" s="17" t="s">
        <v>71</v>
      </c>
      <c r="K3206" s="17" t="s">
        <v>58</v>
      </c>
      <c r="L3206" s="18" t="s">
        <v>52</v>
      </c>
      <c r="M3206" s="19">
        <v>70.0</v>
      </c>
      <c r="N3206" s="19">
        <v>30.0</v>
      </c>
    </row>
    <row r="3207">
      <c r="A3207" s="12">
        <v>3205.0</v>
      </c>
      <c r="B3207" s="13" t="s">
        <v>5194</v>
      </c>
      <c r="C3207" s="14">
        <v>22.0</v>
      </c>
      <c r="D3207" s="15" t="s">
        <v>5873</v>
      </c>
      <c r="E3207" s="16" t="s">
        <v>221</v>
      </c>
      <c r="F3207" s="13" t="s">
        <v>2750</v>
      </c>
      <c r="G3207" s="13" t="s">
        <v>5896</v>
      </c>
      <c r="H3207" s="13" t="s">
        <v>5897</v>
      </c>
      <c r="I3207" s="13" t="s">
        <v>56</v>
      </c>
      <c r="J3207" s="17" t="s">
        <v>71</v>
      </c>
      <c r="K3207" s="17" t="s">
        <v>58</v>
      </c>
      <c r="L3207" s="18" t="s">
        <v>52</v>
      </c>
      <c r="M3207" s="19">
        <v>70.0</v>
      </c>
      <c r="N3207" s="19">
        <v>30.0</v>
      </c>
    </row>
    <row r="3208">
      <c r="A3208" s="12">
        <v>3206.0</v>
      </c>
      <c r="B3208" s="13" t="s">
        <v>5194</v>
      </c>
      <c r="C3208" s="14">
        <v>23.0</v>
      </c>
      <c r="D3208" s="15" t="s">
        <v>5898</v>
      </c>
      <c r="E3208" s="16" t="s">
        <v>221</v>
      </c>
      <c r="F3208" s="13" t="s">
        <v>3446</v>
      </c>
      <c r="G3208" s="13" t="s">
        <v>4579</v>
      </c>
      <c r="H3208" s="13" t="s">
        <v>5899</v>
      </c>
      <c r="I3208" s="13" t="s">
        <v>63</v>
      </c>
      <c r="J3208" s="17" t="s">
        <v>71</v>
      </c>
      <c r="K3208" s="17" t="s">
        <v>58</v>
      </c>
      <c r="L3208" s="18" t="s">
        <v>52</v>
      </c>
      <c r="M3208" s="19">
        <v>70.0</v>
      </c>
      <c r="N3208" s="19">
        <v>31.0</v>
      </c>
    </row>
    <row r="3209">
      <c r="A3209" s="12">
        <v>3207.0</v>
      </c>
      <c r="B3209" s="13" t="s">
        <v>5194</v>
      </c>
      <c r="C3209" s="14">
        <v>24.0</v>
      </c>
      <c r="D3209" s="15" t="s">
        <v>5898</v>
      </c>
      <c r="E3209" s="16" t="s">
        <v>221</v>
      </c>
      <c r="F3209" s="13" t="s">
        <v>81</v>
      </c>
      <c r="G3209" s="13" t="s">
        <v>82</v>
      </c>
      <c r="H3209" s="13" t="s">
        <v>83</v>
      </c>
      <c r="I3209" s="13" t="s">
        <v>63</v>
      </c>
      <c r="J3209" s="17" t="s">
        <v>71</v>
      </c>
      <c r="K3209" s="17" t="s">
        <v>58</v>
      </c>
      <c r="L3209" s="18" t="s">
        <v>52</v>
      </c>
      <c r="M3209" s="19">
        <v>70.0</v>
      </c>
      <c r="N3209" s="19">
        <v>31.0</v>
      </c>
    </row>
    <row r="3210">
      <c r="A3210" s="12">
        <v>3208.0</v>
      </c>
      <c r="B3210" s="13" t="s">
        <v>5194</v>
      </c>
      <c r="C3210" s="14">
        <v>25.0</v>
      </c>
      <c r="D3210" s="15" t="s">
        <v>5898</v>
      </c>
      <c r="E3210" s="16" t="s">
        <v>221</v>
      </c>
      <c r="F3210" s="13" t="s">
        <v>201</v>
      </c>
      <c r="G3210" s="13" t="s">
        <v>5053</v>
      </c>
      <c r="H3210" s="13" t="s">
        <v>5900</v>
      </c>
      <c r="I3210" s="13" t="s">
        <v>63</v>
      </c>
      <c r="J3210" s="17" t="s">
        <v>71</v>
      </c>
      <c r="K3210" s="17" t="s">
        <v>58</v>
      </c>
      <c r="L3210" s="18" t="s">
        <v>52</v>
      </c>
      <c r="M3210" s="19">
        <v>70.0</v>
      </c>
      <c r="N3210" s="19">
        <v>31.0</v>
      </c>
    </row>
    <row r="3211">
      <c r="A3211" s="12">
        <v>3209.0</v>
      </c>
      <c r="B3211" s="13" t="s">
        <v>5194</v>
      </c>
      <c r="C3211" s="14">
        <v>26.0</v>
      </c>
      <c r="D3211" s="15" t="s">
        <v>5898</v>
      </c>
      <c r="E3211" s="16" t="s">
        <v>221</v>
      </c>
      <c r="F3211" s="13" t="s">
        <v>2508</v>
      </c>
      <c r="G3211" s="13" t="s">
        <v>5367</v>
      </c>
      <c r="H3211" s="13" t="s">
        <v>5901</v>
      </c>
      <c r="I3211" s="13" t="s">
        <v>63</v>
      </c>
      <c r="J3211" s="17" t="s">
        <v>71</v>
      </c>
      <c r="K3211" s="17" t="s">
        <v>58</v>
      </c>
      <c r="L3211" s="18" t="s">
        <v>52</v>
      </c>
      <c r="M3211" s="19">
        <v>70.0</v>
      </c>
      <c r="N3211" s="19">
        <v>31.0</v>
      </c>
    </row>
    <row r="3212">
      <c r="A3212" s="12">
        <v>3210.0</v>
      </c>
      <c r="B3212" s="13" t="s">
        <v>5194</v>
      </c>
      <c r="C3212" s="14">
        <v>27.0</v>
      </c>
      <c r="D3212" s="15" t="s">
        <v>5898</v>
      </c>
      <c r="E3212" s="16" t="s">
        <v>221</v>
      </c>
      <c r="F3212" s="13" t="s">
        <v>4570</v>
      </c>
      <c r="G3212" s="13" t="s">
        <v>5902</v>
      </c>
      <c r="H3212" s="13" t="s">
        <v>5903</v>
      </c>
      <c r="I3212" s="13" t="s">
        <v>63</v>
      </c>
      <c r="J3212" s="17" t="s">
        <v>71</v>
      </c>
      <c r="K3212" s="17" t="s">
        <v>58</v>
      </c>
      <c r="L3212" s="18" t="s">
        <v>52</v>
      </c>
      <c r="M3212" s="19">
        <v>70.0</v>
      </c>
      <c r="N3212" s="19">
        <v>31.0</v>
      </c>
    </row>
    <row r="3213">
      <c r="A3213" s="12">
        <v>3211.0</v>
      </c>
      <c r="B3213" s="13" t="s">
        <v>5194</v>
      </c>
      <c r="C3213" s="14">
        <v>28.0</v>
      </c>
      <c r="D3213" s="15" t="s">
        <v>5898</v>
      </c>
      <c r="E3213" s="16" t="s">
        <v>221</v>
      </c>
      <c r="F3213" s="13" t="s">
        <v>2502</v>
      </c>
      <c r="G3213" s="13" t="s">
        <v>5904</v>
      </c>
      <c r="H3213" s="13" t="s">
        <v>5901</v>
      </c>
      <c r="I3213" s="13" t="s">
        <v>63</v>
      </c>
      <c r="J3213" s="17" t="s">
        <v>71</v>
      </c>
      <c r="K3213" s="17" t="s">
        <v>58</v>
      </c>
      <c r="L3213" s="18" t="s">
        <v>52</v>
      </c>
      <c r="M3213" s="19">
        <v>70.0</v>
      </c>
      <c r="N3213" s="19">
        <v>31.0</v>
      </c>
    </row>
    <row r="3214">
      <c r="A3214" s="12">
        <v>3212.0</v>
      </c>
      <c r="B3214" s="13" t="s">
        <v>5194</v>
      </c>
      <c r="C3214" s="14">
        <v>29.0</v>
      </c>
      <c r="D3214" s="15" t="s">
        <v>5898</v>
      </c>
      <c r="E3214" s="16" t="s">
        <v>221</v>
      </c>
      <c r="F3214" s="13" t="s">
        <v>4279</v>
      </c>
      <c r="G3214" s="13" t="s">
        <v>5905</v>
      </c>
      <c r="H3214" s="13" t="s">
        <v>5906</v>
      </c>
      <c r="I3214" s="13" t="s">
        <v>63</v>
      </c>
      <c r="J3214" s="17" t="s">
        <v>71</v>
      </c>
      <c r="K3214" s="17" t="s">
        <v>58</v>
      </c>
      <c r="L3214" s="18" t="s">
        <v>52</v>
      </c>
      <c r="M3214" s="19">
        <v>70.0</v>
      </c>
      <c r="N3214" s="19">
        <v>31.0</v>
      </c>
    </row>
    <row r="3215">
      <c r="A3215" s="12">
        <v>3213.0</v>
      </c>
      <c r="B3215" s="13" t="s">
        <v>5194</v>
      </c>
      <c r="C3215" s="14">
        <v>30.0</v>
      </c>
      <c r="D3215" s="15" t="s">
        <v>5907</v>
      </c>
      <c r="E3215" s="16" t="s">
        <v>221</v>
      </c>
      <c r="F3215" s="13" t="s">
        <v>53</v>
      </c>
      <c r="G3215" s="13" t="s">
        <v>5908</v>
      </c>
      <c r="H3215" s="13" t="s">
        <v>5909</v>
      </c>
      <c r="I3215" s="13" t="s">
        <v>63</v>
      </c>
      <c r="J3215" s="17" t="s">
        <v>71</v>
      </c>
      <c r="K3215" s="17" t="s">
        <v>58</v>
      </c>
      <c r="L3215" s="18" t="s">
        <v>52</v>
      </c>
      <c r="M3215" s="19">
        <v>70.0</v>
      </c>
      <c r="N3215" s="19">
        <v>31.0</v>
      </c>
    </row>
    <row r="3216">
      <c r="A3216" s="12">
        <v>3214.0</v>
      </c>
      <c r="B3216" s="13" t="s">
        <v>5194</v>
      </c>
      <c r="C3216" s="14">
        <v>31.0</v>
      </c>
      <c r="D3216" s="15" t="s">
        <v>5907</v>
      </c>
      <c r="E3216" s="16" t="s">
        <v>221</v>
      </c>
      <c r="F3216" s="13" t="s">
        <v>78</v>
      </c>
      <c r="G3216" s="13" t="s">
        <v>79</v>
      </c>
      <c r="H3216" s="13" t="s">
        <v>5910</v>
      </c>
      <c r="I3216" s="13" t="s">
        <v>63</v>
      </c>
      <c r="J3216" s="17" t="s">
        <v>71</v>
      </c>
      <c r="K3216" s="17" t="s">
        <v>58</v>
      </c>
      <c r="L3216" s="18" t="s">
        <v>52</v>
      </c>
      <c r="M3216" s="19">
        <v>70.0</v>
      </c>
      <c r="N3216" s="19">
        <v>31.0</v>
      </c>
    </row>
    <row r="3217">
      <c r="A3217" s="12">
        <v>3215.0</v>
      </c>
      <c r="B3217" s="13" t="s">
        <v>5194</v>
      </c>
      <c r="C3217" s="14">
        <v>32.0</v>
      </c>
      <c r="D3217" s="15" t="s">
        <v>5907</v>
      </c>
      <c r="E3217" s="16" t="s">
        <v>221</v>
      </c>
      <c r="F3217" s="13" t="s">
        <v>2735</v>
      </c>
      <c r="G3217" s="13" t="s">
        <v>61</v>
      </c>
      <c r="H3217" s="13" t="s">
        <v>5911</v>
      </c>
      <c r="I3217" s="13" t="s">
        <v>63</v>
      </c>
      <c r="J3217" s="17" t="s">
        <v>71</v>
      </c>
      <c r="K3217" s="17" t="s">
        <v>58</v>
      </c>
      <c r="L3217" s="18" t="s">
        <v>52</v>
      </c>
      <c r="M3217" s="19">
        <v>70.0</v>
      </c>
      <c r="N3217" s="19">
        <v>31.0</v>
      </c>
    </row>
    <row r="3218">
      <c r="A3218" s="12">
        <v>3216.0</v>
      </c>
      <c r="B3218" s="13" t="s">
        <v>5194</v>
      </c>
      <c r="C3218" s="14">
        <v>33.0</v>
      </c>
      <c r="D3218" s="15" t="s">
        <v>5907</v>
      </c>
      <c r="E3218" s="16" t="s">
        <v>221</v>
      </c>
      <c r="F3218" s="13" t="s">
        <v>413</v>
      </c>
      <c r="G3218" s="13" t="s">
        <v>5395</v>
      </c>
      <c r="H3218" s="13" t="s">
        <v>5912</v>
      </c>
      <c r="I3218" s="13" t="s">
        <v>63</v>
      </c>
      <c r="J3218" s="17" t="s">
        <v>71</v>
      </c>
      <c r="K3218" s="17" t="s">
        <v>58</v>
      </c>
      <c r="L3218" s="18" t="s">
        <v>52</v>
      </c>
      <c r="M3218" s="19">
        <v>70.0</v>
      </c>
      <c r="N3218" s="19">
        <v>31.0</v>
      </c>
    </row>
    <row r="3219">
      <c r="A3219" s="12">
        <v>3217.0</v>
      </c>
      <c r="B3219" s="13" t="s">
        <v>5194</v>
      </c>
      <c r="C3219" s="14">
        <v>34.0</v>
      </c>
      <c r="D3219" s="15" t="s">
        <v>5907</v>
      </c>
      <c r="E3219" s="16" t="s">
        <v>221</v>
      </c>
      <c r="F3219" s="13" t="s">
        <v>75</v>
      </c>
      <c r="G3219" s="13" t="s">
        <v>61</v>
      </c>
      <c r="H3219" s="13" t="s">
        <v>5913</v>
      </c>
      <c r="I3219" s="13" t="s">
        <v>63</v>
      </c>
      <c r="J3219" s="17" t="s">
        <v>71</v>
      </c>
      <c r="K3219" s="17" t="s">
        <v>58</v>
      </c>
      <c r="L3219" s="18" t="s">
        <v>52</v>
      </c>
      <c r="M3219" s="19">
        <v>70.0</v>
      </c>
      <c r="N3219" s="19">
        <v>31.0</v>
      </c>
    </row>
    <row r="3220">
      <c r="A3220" s="12">
        <v>3218.0</v>
      </c>
      <c r="B3220" s="13" t="s">
        <v>5194</v>
      </c>
      <c r="C3220" s="14">
        <v>35.0</v>
      </c>
      <c r="D3220" s="15" t="s">
        <v>5907</v>
      </c>
      <c r="E3220" s="16" t="s">
        <v>221</v>
      </c>
      <c r="F3220" s="13" t="s">
        <v>206</v>
      </c>
      <c r="G3220" s="13" t="s">
        <v>61</v>
      </c>
      <c r="H3220" s="13" t="s">
        <v>5914</v>
      </c>
      <c r="I3220" s="13" t="s">
        <v>63</v>
      </c>
      <c r="J3220" s="17" t="s">
        <v>71</v>
      </c>
      <c r="K3220" s="17" t="s">
        <v>58</v>
      </c>
      <c r="L3220" s="18" t="s">
        <v>52</v>
      </c>
      <c r="M3220" s="19">
        <v>70.0</v>
      </c>
      <c r="N3220" s="19">
        <v>31.0</v>
      </c>
    </row>
    <row r="3221">
      <c r="A3221" s="12">
        <v>3219.0</v>
      </c>
      <c r="B3221" s="13" t="s">
        <v>5194</v>
      </c>
      <c r="C3221" s="14">
        <v>36.0</v>
      </c>
      <c r="D3221" s="15" t="s">
        <v>5907</v>
      </c>
      <c r="E3221" s="16" t="s">
        <v>221</v>
      </c>
      <c r="F3221" s="13" t="s">
        <v>60</v>
      </c>
      <c r="G3221" s="13" t="s">
        <v>5915</v>
      </c>
      <c r="H3221" s="13" t="s">
        <v>5916</v>
      </c>
      <c r="I3221" s="13" t="s">
        <v>63</v>
      </c>
      <c r="J3221" s="17" t="s">
        <v>71</v>
      </c>
      <c r="K3221" s="17" t="s">
        <v>58</v>
      </c>
      <c r="L3221" s="18" t="s">
        <v>52</v>
      </c>
      <c r="M3221" s="19">
        <v>70.0</v>
      </c>
      <c r="N3221" s="19">
        <v>31.0</v>
      </c>
    </row>
    <row r="3222">
      <c r="A3222" s="12">
        <v>3220.0</v>
      </c>
      <c r="B3222" s="13" t="s">
        <v>5194</v>
      </c>
      <c r="C3222" s="14">
        <v>37.0</v>
      </c>
      <c r="D3222" s="15" t="s">
        <v>5907</v>
      </c>
      <c r="E3222" s="16" t="s">
        <v>221</v>
      </c>
      <c r="F3222" s="13" t="s">
        <v>1690</v>
      </c>
      <c r="G3222" s="13" t="s">
        <v>61</v>
      </c>
      <c r="H3222" s="13" t="s">
        <v>5918</v>
      </c>
      <c r="I3222" s="13" t="s">
        <v>63</v>
      </c>
      <c r="J3222" s="17" t="s">
        <v>71</v>
      </c>
      <c r="K3222" s="17" t="s">
        <v>58</v>
      </c>
      <c r="L3222" s="18" t="s">
        <v>52</v>
      </c>
      <c r="M3222" s="19">
        <v>70.0</v>
      </c>
      <c r="N3222" s="19">
        <v>31.0</v>
      </c>
    </row>
    <row r="3223">
      <c r="A3223" s="12">
        <v>3221.0</v>
      </c>
      <c r="B3223" s="13" t="s">
        <v>5194</v>
      </c>
      <c r="C3223" s="14">
        <v>38.0</v>
      </c>
      <c r="D3223" s="15" t="s">
        <v>5907</v>
      </c>
      <c r="E3223" s="16" t="s">
        <v>221</v>
      </c>
      <c r="F3223" s="13" t="s">
        <v>4587</v>
      </c>
      <c r="G3223" s="13" t="s">
        <v>5919</v>
      </c>
      <c r="H3223" s="13" t="s">
        <v>5920</v>
      </c>
      <c r="I3223" s="13" t="s">
        <v>63</v>
      </c>
      <c r="J3223" s="17" t="s">
        <v>71</v>
      </c>
      <c r="K3223" s="17" t="s">
        <v>58</v>
      </c>
      <c r="L3223" s="18" t="s">
        <v>52</v>
      </c>
      <c r="M3223" s="19">
        <v>70.0</v>
      </c>
      <c r="N3223" s="19">
        <v>31.0</v>
      </c>
    </row>
    <row r="3224">
      <c r="A3224" s="12">
        <v>3222.0</v>
      </c>
      <c r="B3224" s="13" t="s">
        <v>5194</v>
      </c>
      <c r="C3224" s="14">
        <v>39.0</v>
      </c>
      <c r="D3224" s="15" t="s">
        <v>5907</v>
      </c>
      <c r="E3224" s="16" t="s">
        <v>221</v>
      </c>
      <c r="F3224" s="13" t="s">
        <v>2505</v>
      </c>
      <c r="G3224" s="13" t="s">
        <v>5921</v>
      </c>
      <c r="H3224" s="13" t="s">
        <v>5922</v>
      </c>
      <c r="I3224" s="13" t="s">
        <v>63</v>
      </c>
      <c r="J3224" s="17" t="s">
        <v>71</v>
      </c>
      <c r="K3224" s="17" t="s">
        <v>58</v>
      </c>
      <c r="L3224" s="18" t="s">
        <v>52</v>
      </c>
      <c r="M3224" s="19">
        <v>70.0</v>
      </c>
      <c r="N3224" s="19">
        <v>31.0</v>
      </c>
    </row>
    <row r="3225">
      <c r="A3225" s="12">
        <v>3223.0</v>
      </c>
      <c r="B3225" s="13" t="s">
        <v>5194</v>
      </c>
      <c r="C3225" s="14">
        <v>40.0</v>
      </c>
      <c r="D3225" s="15" t="s">
        <v>5907</v>
      </c>
      <c r="E3225" s="16" t="s">
        <v>221</v>
      </c>
      <c r="F3225" s="13" t="s">
        <v>4604</v>
      </c>
      <c r="G3225" s="13" t="s">
        <v>4605</v>
      </c>
      <c r="H3225" s="13" t="s">
        <v>5923</v>
      </c>
      <c r="I3225" s="13" t="s">
        <v>63</v>
      </c>
      <c r="J3225" s="17" t="s">
        <v>71</v>
      </c>
      <c r="K3225" s="17" t="s">
        <v>58</v>
      </c>
      <c r="L3225" s="18" t="s">
        <v>52</v>
      </c>
      <c r="M3225" s="19">
        <v>70.0</v>
      </c>
      <c r="N3225" s="19">
        <v>31.0</v>
      </c>
    </row>
    <row r="3226">
      <c r="A3226" s="12">
        <v>3224.0</v>
      </c>
      <c r="B3226" s="13" t="s">
        <v>5194</v>
      </c>
      <c r="C3226" s="14">
        <v>41.0</v>
      </c>
      <c r="D3226" s="15" t="s">
        <v>5924</v>
      </c>
      <c r="E3226" s="16" t="s">
        <v>221</v>
      </c>
      <c r="F3226" s="13" t="s">
        <v>140</v>
      </c>
      <c r="G3226" s="13" t="s">
        <v>61</v>
      </c>
      <c r="H3226" s="13" t="s">
        <v>5925</v>
      </c>
      <c r="I3226" s="13" t="s">
        <v>63</v>
      </c>
      <c r="J3226" s="17" t="s">
        <v>71</v>
      </c>
      <c r="K3226" s="17" t="s">
        <v>58</v>
      </c>
      <c r="L3226" s="18" t="s">
        <v>52</v>
      </c>
      <c r="M3226" s="19">
        <v>70.0</v>
      </c>
      <c r="N3226" s="19">
        <v>31.0</v>
      </c>
    </row>
    <row r="3227">
      <c r="A3227" s="12">
        <v>3225.0</v>
      </c>
      <c r="B3227" s="13" t="s">
        <v>5194</v>
      </c>
      <c r="C3227" s="14">
        <v>42.0</v>
      </c>
      <c r="D3227" s="15" t="s">
        <v>5924</v>
      </c>
      <c r="E3227" s="16" t="s">
        <v>221</v>
      </c>
      <c r="F3227" s="13" t="s">
        <v>104</v>
      </c>
      <c r="G3227" s="13" t="s">
        <v>5926</v>
      </c>
      <c r="H3227" s="13" t="s">
        <v>5927</v>
      </c>
      <c r="I3227" s="13" t="s">
        <v>63</v>
      </c>
      <c r="J3227" s="17" t="s">
        <v>71</v>
      </c>
      <c r="K3227" s="17" t="s">
        <v>58</v>
      </c>
      <c r="L3227" s="18" t="s">
        <v>52</v>
      </c>
      <c r="M3227" s="19">
        <v>70.0</v>
      </c>
      <c r="N3227" s="19">
        <v>31.0</v>
      </c>
    </row>
    <row r="3228">
      <c r="A3228" s="12">
        <v>3226.0</v>
      </c>
      <c r="B3228" s="13" t="s">
        <v>5194</v>
      </c>
      <c r="C3228" s="14">
        <v>43.0</v>
      </c>
      <c r="D3228" s="15" t="s">
        <v>5924</v>
      </c>
      <c r="E3228" s="16" t="s">
        <v>221</v>
      </c>
      <c r="F3228" s="13" t="s">
        <v>711</v>
      </c>
      <c r="G3228" s="13" t="s">
        <v>61</v>
      </c>
      <c r="H3228" s="13" t="s">
        <v>5928</v>
      </c>
      <c r="I3228" s="13" t="s">
        <v>63</v>
      </c>
      <c r="J3228" s="17" t="s">
        <v>71</v>
      </c>
      <c r="K3228" s="17" t="s">
        <v>58</v>
      </c>
      <c r="L3228" s="18" t="s">
        <v>52</v>
      </c>
      <c r="M3228" s="19">
        <v>70.0</v>
      </c>
      <c r="N3228" s="19">
        <v>31.0</v>
      </c>
    </row>
    <row r="3229">
      <c r="A3229" s="12">
        <v>3227.0</v>
      </c>
      <c r="B3229" s="13" t="s">
        <v>5194</v>
      </c>
      <c r="C3229" s="14">
        <v>44.0</v>
      </c>
      <c r="D3229" s="15" t="s">
        <v>5924</v>
      </c>
      <c r="E3229" s="16" t="s">
        <v>221</v>
      </c>
      <c r="F3229" s="13" t="s">
        <v>96</v>
      </c>
      <c r="G3229" s="13" t="s">
        <v>61</v>
      </c>
      <c r="H3229" s="13" t="s">
        <v>5603</v>
      </c>
      <c r="I3229" s="13" t="s">
        <v>63</v>
      </c>
      <c r="J3229" s="17" t="s">
        <v>71</v>
      </c>
      <c r="K3229" s="17" t="s">
        <v>58</v>
      </c>
      <c r="L3229" s="18" t="s">
        <v>52</v>
      </c>
      <c r="M3229" s="19">
        <v>70.0</v>
      </c>
      <c r="N3229" s="19">
        <v>31.0</v>
      </c>
    </row>
    <row r="3230">
      <c r="A3230" s="12">
        <v>3228.0</v>
      </c>
      <c r="B3230" s="13" t="s">
        <v>5194</v>
      </c>
      <c r="C3230" s="14">
        <v>45.0</v>
      </c>
      <c r="D3230" s="15" t="s">
        <v>5924</v>
      </c>
      <c r="E3230" s="16" t="s">
        <v>221</v>
      </c>
      <c r="F3230" s="13" t="s">
        <v>174</v>
      </c>
      <c r="G3230" s="13" t="s">
        <v>61</v>
      </c>
      <c r="H3230" s="13" t="s">
        <v>5929</v>
      </c>
      <c r="I3230" s="13" t="s">
        <v>63</v>
      </c>
      <c r="J3230" s="17" t="s">
        <v>71</v>
      </c>
      <c r="K3230" s="17" t="s">
        <v>58</v>
      </c>
      <c r="L3230" s="18" t="s">
        <v>52</v>
      </c>
      <c r="M3230" s="19">
        <v>70.0</v>
      </c>
      <c r="N3230" s="19">
        <v>31.0</v>
      </c>
    </row>
    <row r="3231">
      <c r="A3231" s="12">
        <v>3229.0</v>
      </c>
      <c r="B3231" s="13" t="s">
        <v>5194</v>
      </c>
      <c r="C3231" s="14">
        <v>46.0</v>
      </c>
      <c r="D3231" s="15" t="s">
        <v>5924</v>
      </c>
      <c r="E3231" s="16" t="s">
        <v>221</v>
      </c>
      <c r="F3231" s="13" t="s">
        <v>186</v>
      </c>
      <c r="G3231" s="13" t="s">
        <v>61</v>
      </c>
      <c r="H3231" s="13" t="s">
        <v>5930</v>
      </c>
      <c r="I3231" s="13" t="s">
        <v>63</v>
      </c>
      <c r="J3231" s="17" t="s">
        <v>71</v>
      </c>
      <c r="K3231" s="17" t="s">
        <v>58</v>
      </c>
      <c r="L3231" s="18" t="s">
        <v>52</v>
      </c>
      <c r="M3231" s="19">
        <v>70.0</v>
      </c>
      <c r="N3231" s="19">
        <v>31.0</v>
      </c>
    </row>
    <row r="3232">
      <c r="A3232" s="12">
        <v>3230.0</v>
      </c>
      <c r="B3232" s="13" t="s">
        <v>5194</v>
      </c>
      <c r="C3232" s="14">
        <v>47.0</v>
      </c>
      <c r="D3232" s="15" t="s">
        <v>5924</v>
      </c>
      <c r="E3232" s="16" t="s">
        <v>221</v>
      </c>
      <c r="F3232" s="13" t="s">
        <v>107</v>
      </c>
      <c r="G3232" s="13" t="s">
        <v>61</v>
      </c>
      <c r="H3232" s="13" t="s">
        <v>108</v>
      </c>
      <c r="I3232" s="13" t="s">
        <v>63</v>
      </c>
      <c r="J3232" s="17" t="s">
        <v>71</v>
      </c>
      <c r="K3232" s="17" t="s">
        <v>58</v>
      </c>
      <c r="L3232" s="18" t="s">
        <v>52</v>
      </c>
      <c r="M3232" s="19">
        <v>70.0</v>
      </c>
      <c r="N3232" s="19">
        <v>31.0</v>
      </c>
    </row>
    <row r="3233">
      <c r="A3233" s="12">
        <v>3231.0</v>
      </c>
      <c r="B3233" s="13" t="s">
        <v>5194</v>
      </c>
      <c r="C3233" s="14">
        <v>48.0</v>
      </c>
      <c r="D3233" s="15" t="s">
        <v>5924</v>
      </c>
      <c r="E3233" s="16" t="s">
        <v>221</v>
      </c>
      <c r="F3233" s="13" t="s">
        <v>193</v>
      </c>
      <c r="G3233" s="13" t="s">
        <v>61</v>
      </c>
      <c r="H3233" s="13" t="s">
        <v>4491</v>
      </c>
      <c r="I3233" s="13" t="s">
        <v>63</v>
      </c>
      <c r="J3233" s="17" t="s">
        <v>71</v>
      </c>
      <c r="K3233" s="17" t="s">
        <v>58</v>
      </c>
      <c r="L3233" s="18" t="s">
        <v>52</v>
      </c>
      <c r="M3233" s="19">
        <v>70.0</v>
      </c>
      <c r="N3233" s="19">
        <v>31.0</v>
      </c>
    </row>
    <row r="3234">
      <c r="A3234" s="12">
        <v>3232.0</v>
      </c>
      <c r="B3234" s="13" t="s">
        <v>5194</v>
      </c>
      <c r="C3234" s="14">
        <v>49.0</v>
      </c>
      <c r="D3234" s="15" t="s">
        <v>5924</v>
      </c>
      <c r="E3234" s="16" t="s">
        <v>221</v>
      </c>
      <c r="F3234" s="13" t="s">
        <v>1331</v>
      </c>
      <c r="G3234" s="13" t="s">
        <v>61</v>
      </c>
      <c r="H3234" s="13" t="s">
        <v>5931</v>
      </c>
      <c r="I3234" s="13" t="s">
        <v>63</v>
      </c>
      <c r="J3234" s="17" t="s">
        <v>71</v>
      </c>
      <c r="K3234" s="17" t="s">
        <v>58</v>
      </c>
      <c r="L3234" s="18" t="s">
        <v>52</v>
      </c>
      <c r="M3234" s="19">
        <v>70.0</v>
      </c>
      <c r="N3234" s="19">
        <v>31.0</v>
      </c>
    </row>
    <row r="3235">
      <c r="A3235" s="12">
        <v>3233.0</v>
      </c>
      <c r="B3235" s="13" t="s">
        <v>5194</v>
      </c>
      <c r="C3235" s="14">
        <v>50.0</v>
      </c>
      <c r="D3235" s="15" t="s">
        <v>5924</v>
      </c>
      <c r="E3235" s="16" t="s">
        <v>221</v>
      </c>
      <c r="F3235" s="13" t="s">
        <v>4084</v>
      </c>
      <c r="G3235" s="13" t="s">
        <v>5932</v>
      </c>
      <c r="H3235" s="13" t="s">
        <v>5933</v>
      </c>
      <c r="I3235" s="13" t="s">
        <v>63</v>
      </c>
      <c r="J3235" s="17" t="s">
        <v>71</v>
      </c>
      <c r="K3235" s="17" t="s">
        <v>58</v>
      </c>
      <c r="L3235" s="18" t="s">
        <v>52</v>
      </c>
      <c r="M3235" s="19">
        <v>70.0</v>
      </c>
      <c r="N3235" s="19">
        <v>31.0</v>
      </c>
    </row>
    <row r="3236">
      <c r="A3236" s="12">
        <v>3234.0</v>
      </c>
      <c r="B3236" s="13" t="s">
        <v>2508</v>
      </c>
      <c r="C3236" s="14">
        <v>1.0</v>
      </c>
      <c r="D3236" s="15" t="s">
        <v>5934</v>
      </c>
      <c r="E3236" s="16" t="s">
        <v>52</v>
      </c>
      <c r="F3236" s="13" t="s">
        <v>1162</v>
      </c>
      <c r="G3236" s="13" t="s">
        <v>2562</v>
      </c>
      <c r="H3236" s="13" t="s">
        <v>5935</v>
      </c>
      <c r="I3236" s="13" t="s">
        <v>56</v>
      </c>
      <c r="J3236" s="17" t="s">
        <v>57</v>
      </c>
      <c r="K3236" s="17" t="s">
        <v>58</v>
      </c>
      <c r="L3236" s="18" t="s">
        <v>52</v>
      </c>
      <c r="M3236" s="19">
        <v>71.0</v>
      </c>
      <c r="N3236" s="19">
        <v>10.0</v>
      </c>
    </row>
    <row r="3237">
      <c r="A3237" s="12">
        <v>3235.0</v>
      </c>
      <c r="B3237" s="13" t="s">
        <v>2508</v>
      </c>
      <c r="C3237" s="14">
        <v>2.0</v>
      </c>
      <c r="D3237" s="15" t="s">
        <v>5936</v>
      </c>
      <c r="E3237" s="16" t="s">
        <v>52</v>
      </c>
      <c r="F3237" s="13" t="s">
        <v>2564</v>
      </c>
      <c r="G3237" s="13" t="s">
        <v>2565</v>
      </c>
      <c r="H3237" s="13" t="s">
        <v>5937</v>
      </c>
      <c r="I3237" s="13" t="s">
        <v>56</v>
      </c>
      <c r="J3237" s="17" t="s">
        <v>57</v>
      </c>
      <c r="K3237" s="17" t="s">
        <v>58</v>
      </c>
      <c r="L3237" s="18" t="s">
        <v>52</v>
      </c>
      <c r="M3237" s="19">
        <v>71.0</v>
      </c>
      <c r="N3237" s="19">
        <v>10.0</v>
      </c>
    </row>
    <row r="3238">
      <c r="A3238" s="12">
        <v>3236.0</v>
      </c>
      <c r="B3238" s="13" t="s">
        <v>2508</v>
      </c>
      <c r="C3238" s="14">
        <v>3.0</v>
      </c>
      <c r="D3238" s="15" t="s">
        <v>5936</v>
      </c>
      <c r="E3238" s="16" t="s">
        <v>52</v>
      </c>
      <c r="F3238" s="13" t="s">
        <v>2502</v>
      </c>
      <c r="G3238" s="13" t="s">
        <v>2503</v>
      </c>
      <c r="H3238" s="13" t="s">
        <v>2504</v>
      </c>
      <c r="I3238" s="13" t="s">
        <v>63</v>
      </c>
      <c r="J3238" s="17" t="s">
        <v>67</v>
      </c>
      <c r="K3238" s="17" t="s">
        <v>58</v>
      </c>
      <c r="L3238" s="18" t="s">
        <v>52</v>
      </c>
      <c r="M3238" s="19">
        <v>71.0</v>
      </c>
      <c r="N3238" s="19">
        <v>21.0</v>
      </c>
    </row>
    <row r="3239">
      <c r="A3239" s="12">
        <v>3237.0</v>
      </c>
      <c r="B3239" s="13" t="s">
        <v>2508</v>
      </c>
      <c r="C3239" s="14">
        <v>4.0</v>
      </c>
      <c r="D3239" s="15" t="s">
        <v>5934</v>
      </c>
      <c r="E3239" s="16" t="s">
        <v>52</v>
      </c>
      <c r="F3239" s="13" t="s">
        <v>2511</v>
      </c>
      <c r="G3239" s="13" t="s">
        <v>5939</v>
      </c>
      <c r="H3239" s="13" t="s">
        <v>5940</v>
      </c>
      <c r="I3239" s="13" t="s">
        <v>56</v>
      </c>
      <c r="J3239" s="17" t="s">
        <v>71</v>
      </c>
      <c r="K3239" s="17" t="s">
        <v>58</v>
      </c>
      <c r="L3239" s="18" t="s">
        <v>52</v>
      </c>
      <c r="M3239" s="19">
        <v>71.0</v>
      </c>
      <c r="N3239" s="19">
        <v>30.0</v>
      </c>
    </row>
    <row r="3240">
      <c r="A3240" s="12">
        <v>3238.0</v>
      </c>
      <c r="B3240" s="13" t="s">
        <v>2508</v>
      </c>
      <c r="C3240" s="14">
        <v>5.0</v>
      </c>
      <c r="D3240" s="15" t="s">
        <v>5934</v>
      </c>
      <c r="E3240" s="16" t="s">
        <v>52</v>
      </c>
      <c r="F3240" s="13" t="s">
        <v>2513</v>
      </c>
      <c r="G3240" s="13" t="s">
        <v>5941</v>
      </c>
      <c r="H3240" s="13" t="s">
        <v>5940</v>
      </c>
      <c r="I3240" s="13" t="s">
        <v>56</v>
      </c>
      <c r="J3240" s="17" t="s">
        <v>71</v>
      </c>
      <c r="K3240" s="17" t="s">
        <v>58</v>
      </c>
      <c r="L3240" s="18" t="s">
        <v>52</v>
      </c>
      <c r="M3240" s="19">
        <v>71.0</v>
      </c>
      <c r="N3240" s="19">
        <v>30.0</v>
      </c>
    </row>
    <row r="3241">
      <c r="A3241" s="12">
        <v>3239.0</v>
      </c>
      <c r="B3241" s="13" t="s">
        <v>2508</v>
      </c>
      <c r="C3241" s="14">
        <v>6.0</v>
      </c>
      <c r="D3241" s="15" t="s">
        <v>5936</v>
      </c>
      <c r="E3241" s="16" t="s">
        <v>52</v>
      </c>
      <c r="F3241" s="13" t="s">
        <v>2091</v>
      </c>
      <c r="G3241" s="13" t="s">
        <v>61</v>
      </c>
      <c r="H3241" s="13" t="s">
        <v>5943</v>
      </c>
      <c r="I3241" s="13" t="s">
        <v>56</v>
      </c>
      <c r="J3241" s="17" t="s">
        <v>71</v>
      </c>
      <c r="K3241" s="17" t="s">
        <v>58</v>
      </c>
      <c r="L3241" s="18" t="s">
        <v>52</v>
      </c>
      <c r="M3241" s="19">
        <v>71.0</v>
      </c>
      <c r="N3241" s="19">
        <v>30.0</v>
      </c>
    </row>
    <row r="3242">
      <c r="A3242" s="12">
        <v>3240.0</v>
      </c>
      <c r="B3242" s="13" t="s">
        <v>2508</v>
      </c>
      <c r="C3242" s="14">
        <v>7.0</v>
      </c>
      <c r="D3242" s="15" t="s">
        <v>5934</v>
      </c>
      <c r="E3242" s="16" t="s">
        <v>52</v>
      </c>
      <c r="F3242" s="13" t="s">
        <v>2548</v>
      </c>
      <c r="G3242" s="13" t="s">
        <v>2549</v>
      </c>
      <c r="H3242" s="13" t="s">
        <v>2550</v>
      </c>
      <c r="I3242" s="13" t="s">
        <v>63</v>
      </c>
      <c r="J3242" s="17" t="s">
        <v>71</v>
      </c>
      <c r="K3242" s="17" t="s">
        <v>58</v>
      </c>
      <c r="L3242" s="18" t="s">
        <v>52</v>
      </c>
      <c r="M3242" s="19">
        <v>71.0</v>
      </c>
      <c r="N3242" s="19">
        <v>31.0</v>
      </c>
    </row>
    <row r="3243">
      <c r="A3243" s="12">
        <v>3241.0</v>
      </c>
      <c r="B3243" s="13" t="s">
        <v>2508</v>
      </c>
      <c r="C3243" s="14">
        <v>8.0</v>
      </c>
      <c r="D3243" s="15" t="s">
        <v>5934</v>
      </c>
      <c r="E3243" s="16" t="s">
        <v>52</v>
      </c>
      <c r="F3243" s="13" t="s">
        <v>2595</v>
      </c>
      <c r="G3243" s="13" t="s">
        <v>5945</v>
      </c>
      <c r="H3243" s="13" t="s">
        <v>5946</v>
      </c>
      <c r="I3243" s="13" t="s">
        <v>63</v>
      </c>
      <c r="J3243" s="17" t="s">
        <v>71</v>
      </c>
      <c r="K3243" s="17" t="s">
        <v>58</v>
      </c>
      <c r="L3243" s="18" t="s">
        <v>52</v>
      </c>
      <c r="M3243" s="19">
        <v>71.0</v>
      </c>
      <c r="N3243" s="19">
        <v>31.0</v>
      </c>
    </row>
    <row r="3244">
      <c r="A3244" s="12">
        <v>3242.0</v>
      </c>
      <c r="B3244" s="13" t="s">
        <v>2508</v>
      </c>
      <c r="C3244" s="14">
        <v>9.0</v>
      </c>
      <c r="D3244" s="15" t="s">
        <v>5934</v>
      </c>
      <c r="E3244" s="16" t="s">
        <v>52</v>
      </c>
      <c r="F3244" s="13" t="s">
        <v>2497</v>
      </c>
      <c r="G3244" s="13" t="s">
        <v>5880</v>
      </c>
      <c r="H3244" s="13" t="s">
        <v>5948</v>
      </c>
      <c r="I3244" s="13" t="s">
        <v>63</v>
      </c>
      <c r="J3244" s="17" t="s">
        <v>71</v>
      </c>
      <c r="K3244" s="17" t="s">
        <v>58</v>
      </c>
      <c r="L3244" s="18" t="s">
        <v>52</v>
      </c>
      <c r="M3244" s="19">
        <v>71.0</v>
      </c>
      <c r="N3244" s="19">
        <v>31.0</v>
      </c>
    </row>
    <row r="3245">
      <c r="A3245" s="12">
        <v>3243.0</v>
      </c>
      <c r="B3245" s="13" t="s">
        <v>2508</v>
      </c>
      <c r="C3245" s="14">
        <v>10.0</v>
      </c>
      <c r="D3245" s="15" t="s">
        <v>5934</v>
      </c>
      <c r="E3245" s="16" t="s">
        <v>52</v>
      </c>
      <c r="F3245" s="13" t="s">
        <v>2878</v>
      </c>
      <c r="G3245" s="13" t="s">
        <v>61</v>
      </c>
      <c r="H3245" s="13" t="s">
        <v>3298</v>
      </c>
      <c r="I3245" s="13" t="s">
        <v>63</v>
      </c>
      <c r="J3245" s="17" t="s">
        <v>71</v>
      </c>
      <c r="K3245" s="17" t="s">
        <v>58</v>
      </c>
      <c r="L3245" s="18" t="s">
        <v>52</v>
      </c>
      <c r="M3245" s="19">
        <v>71.0</v>
      </c>
      <c r="N3245" s="19">
        <v>31.0</v>
      </c>
    </row>
    <row r="3246">
      <c r="A3246" s="12">
        <v>3244.0</v>
      </c>
      <c r="B3246" s="13" t="s">
        <v>2508</v>
      </c>
      <c r="C3246" s="14">
        <v>11.0</v>
      </c>
      <c r="D3246" s="15" t="s">
        <v>5934</v>
      </c>
      <c r="E3246" s="16" t="s">
        <v>52</v>
      </c>
      <c r="F3246" s="13" t="s">
        <v>2663</v>
      </c>
      <c r="G3246" s="13" t="s">
        <v>2664</v>
      </c>
      <c r="H3246" s="13" t="s">
        <v>2665</v>
      </c>
      <c r="I3246" s="13" t="s">
        <v>63</v>
      </c>
      <c r="J3246" s="17" t="s">
        <v>71</v>
      </c>
      <c r="K3246" s="17" t="s">
        <v>58</v>
      </c>
      <c r="L3246" s="18" t="s">
        <v>52</v>
      </c>
      <c r="M3246" s="19">
        <v>71.0</v>
      </c>
      <c r="N3246" s="19">
        <v>31.0</v>
      </c>
    </row>
    <row r="3247">
      <c r="A3247" s="12">
        <v>3245.0</v>
      </c>
      <c r="B3247" s="13" t="s">
        <v>2508</v>
      </c>
      <c r="C3247" s="14">
        <v>12.0</v>
      </c>
      <c r="D3247" s="15" t="s">
        <v>5934</v>
      </c>
      <c r="E3247" s="16" t="s">
        <v>52</v>
      </c>
      <c r="F3247" s="13" t="s">
        <v>3068</v>
      </c>
      <c r="G3247" s="13" t="s">
        <v>61</v>
      </c>
      <c r="H3247" s="13" t="s">
        <v>5951</v>
      </c>
      <c r="I3247" s="13" t="s">
        <v>63</v>
      </c>
      <c r="J3247" s="17" t="s">
        <v>71</v>
      </c>
      <c r="K3247" s="17" t="s">
        <v>58</v>
      </c>
      <c r="L3247" s="18" t="s">
        <v>52</v>
      </c>
      <c r="M3247" s="19">
        <v>71.0</v>
      </c>
      <c r="N3247" s="19">
        <v>31.0</v>
      </c>
    </row>
    <row r="3248">
      <c r="A3248" s="12">
        <v>3246.0</v>
      </c>
      <c r="B3248" s="13" t="s">
        <v>2508</v>
      </c>
      <c r="C3248" s="14">
        <v>13.0</v>
      </c>
      <c r="D3248" s="15" t="s">
        <v>5934</v>
      </c>
      <c r="E3248" s="16" t="s">
        <v>52</v>
      </c>
      <c r="F3248" s="13" t="s">
        <v>1174</v>
      </c>
      <c r="G3248" s="13" t="s">
        <v>2704</v>
      </c>
      <c r="H3248" s="13" t="s">
        <v>2705</v>
      </c>
      <c r="I3248" s="13" t="s">
        <v>63</v>
      </c>
      <c r="J3248" s="17" t="s">
        <v>71</v>
      </c>
      <c r="K3248" s="17" t="s">
        <v>58</v>
      </c>
      <c r="L3248" s="18" t="s">
        <v>52</v>
      </c>
      <c r="M3248" s="19">
        <v>71.0</v>
      </c>
      <c r="N3248" s="19">
        <v>31.0</v>
      </c>
    </row>
    <row r="3249">
      <c r="A3249" s="12">
        <v>3247.0</v>
      </c>
      <c r="B3249" s="13" t="s">
        <v>2508</v>
      </c>
      <c r="C3249" s="14">
        <v>14.0</v>
      </c>
      <c r="D3249" s="15" t="s">
        <v>5934</v>
      </c>
      <c r="E3249" s="16" t="s">
        <v>52</v>
      </c>
      <c r="F3249" s="13" t="s">
        <v>1997</v>
      </c>
      <c r="G3249" s="13" t="s">
        <v>5952</v>
      </c>
      <c r="H3249" s="13" t="s">
        <v>5953</v>
      </c>
      <c r="I3249" s="13" t="s">
        <v>63</v>
      </c>
      <c r="J3249" s="17" t="s">
        <v>71</v>
      </c>
      <c r="K3249" s="17" t="s">
        <v>58</v>
      </c>
      <c r="L3249" s="18" t="s">
        <v>52</v>
      </c>
      <c r="M3249" s="19">
        <v>71.0</v>
      </c>
      <c r="N3249" s="19">
        <v>31.0</v>
      </c>
    </row>
    <row r="3250">
      <c r="A3250" s="12">
        <v>3248.0</v>
      </c>
      <c r="B3250" s="13" t="s">
        <v>2508</v>
      </c>
      <c r="C3250" s="14">
        <v>15.0</v>
      </c>
      <c r="D3250" s="15" t="s">
        <v>5934</v>
      </c>
      <c r="E3250" s="16" t="s">
        <v>52</v>
      </c>
      <c r="F3250" s="13" t="s">
        <v>1843</v>
      </c>
      <c r="G3250" s="13" t="s">
        <v>2696</v>
      </c>
      <c r="H3250" s="13" t="s">
        <v>5955</v>
      </c>
      <c r="I3250" s="13" t="s">
        <v>63</v>
      </c>
      <c r="J3250" s="17" t="s">
        <v>71</v>
      </c>
      <c r="K3250" s="17" t="s">
        <v>58</v>
      </c>
      <c r="L3250" s="18" t="s">
        <v>52</v>
      </c>
      <c r="M3250" s="19">
        <v>71.0</v>
      </c>
      <c r="N3250" s="19">
        <v>31.0</v>
      </c>
    </row>
    <row r="3251">
      <c r="A3251" s="12">
        <v>3249.0</v>
      </c>
      <c r="B3251" s="13" t="s">
        <v>2508</v>
      </c>
      <c r="C3251" s="14">
        <v>16.0</v>
      </c>
      <c r="D3251" s="15" t="s">
        <v>5934</v>
      </c>
      <c r="E3251" s="16" t="s">
        <v>52</v>
      </c>
      <c r="F3251" s="13" t="s">
        <v>2542</v>
      </c>
      <c r="G3251" s="13" t="s">
        <v>2543</v>
      </c>
      <c r="H3251" s="13" t="s">
        <v>5957</v>
      </c>
      <c r="I3251" s="13" t="s">
        <v>63</v>
      </c>
      <c r="J3251" s="17" t="s">
        <v>71</v>
      </c>
      <c r="K3251" s="17" t="s">
        <v>58</v>
      </c>
      <c r="L3251" s="18" t="s">
        <v>52</v>
      </c>
      <c r="M3251" s="19">
        <v>71.0</v>
      </c>
      <c r="N3251" s="19">
        <v>31.0</v>
      </c>
    </row>
    <row r="3252">
      <c r="A3252" s="12">
        <v>3250.0</v>
      </c>
      <c r="B3252" s="13" t="s">
        <v>2508</v>
      </c>
      <c r="C3252" s="14">
        <v>17.0</v>
      </c>
      <c r="D3252" s="15" t="s">
        <v>5934</v>
      </c>
      <c r="E3252" s="16" t="s">
        <v>52</v>
      </c>
      <c r="F3252" s="13" t="s">
        <v>2447</v>
      </c>
      <c r="G3252" s="13" t="s">
        <v>5958</v>
      </c>
      <c r="H3252" s="13" t="s">
        <v>5959</v>
      </c>
      <c r="I3252" s="13" t="s">
        <v>63</v>
      </c>
      <c r="J3252" s="17" t="s">
        <v>71</v>
      </c>
      <c r="K3252" s="17" t="s">
        <v>58</v>
      </c>
      <c r="L3252" s="18" t="s">
        <v>52</v>
      </c>
      <c r="M3252" s="19">
        <v>71.0</v>
      </c>
      <c r="N3252" s="19">
        <v>31.0</v>
      </c>
    </row>
    <row r="3253">
      <c r="A3253" s="12">
        <v>3251.0</v>
      </c>
      <c r="B3253" s="13" t="s">
        <v>2508</v>
      </c>
      <c r="C3253" s="14">
        <v>18.0</v>
      </c>
      <c r="D3253" s="15" t="s">
        <v>5934</v>
      </c>
      <c r="E3253" s="16" t="s">
        <v>52</v>
      </c>
      <c r="F3253" s="13" t="s">
        <v>5960</v>
      </c>
      <c r="G3253" s="13" t="s">
        <v>5961</v>
      </c>
      <c r="H3253" s="13" t="s">
        <v>5962</v>
      </c>
      <c r="I3253" s="13" t="s">
        <v>63</v>
      </c>
      <c r="J3253" s="17" t="s">
        <v>71</v>
      </c>
      <c r="K3253" s="17" t="s">
        <v>58</v>
      </c>
      <c r="L3253" s="18" t="s">
        <v>52</v>
      </c>
      <c r="M3253" s="19">
        <v>71.0</v>
      </c>
      <c r="N3253" s="19">
        <v>31.0</v>
      </c>
    </row>
    <row r="3254">
      <c r="A3254" s="12">
        <v>3252.0</v>
      </c>
      <c r="B3254" s="13" t="s">
        <v>2508</v>
      </c>
      <c r="C3254" s="14">
        <v>19.0</v>
      </c>
      <c r="D3254" s="15" t="s">
        <v>5934</v>
      </c>
      <c r="E3254" s="16" t="s">
        <v>52</v>
      </c>
      <c r="F3254" s="13" t="s">
        <v>544</v>
      </c>
      <c r="G3254" s="13" t="s">
        <v>61</v>
      </c>
      <c r="H3254" s="13" t="s">
        <v>1006</v>
      </c>
      <c r="I3254" s="13" t="s">
        <v>63</v>
      </c>
      <c r="J3254" s="17" t="s">
        <v>71</v>
      </c>
      <c r="K3254" s="17" t="s">
        <v>58</v>
      </c>
      <c r="L3254" s="18" t="s">
        <v>52</v>
      </c>
      <c r="M3254" s="19">
        <v>71.0</v>
      </c>
      <c r="N3254" s="19">
        <v>31.0</v>
      </c>
    </row>
    <row r="3255">
      <c r="A3255" s="12">
        <v>3253.0</v>
      </c>
      <c r="B3255" s="13" t="s">
        <v>2508</v>
      </c>
      <c r="C3255" s="14">
        <v>20.0</v>
      </c>
      <c r="D3255" s="15" t="s">
        <v>5936</v>
      </c>
      <c r="E3255" s="16" t="s">
        <v>52</v>
      </c>
      <c r="F3255" s="13" t="s">
        <v>391</v>
      </c>
      <c r="G3255" s="13" t="s">
        <v>61</v>
      </c>
      <c r="H3255" s="13" t="s">
        <v>5964</v>
      </c>
      <c r="I3255" s="13" t="s">
        <v>63</v>
      </c>
      <c r="J3255" s="17" t="s">
        <v>71</v>
      </c>
      <c r="K3255" s="17" t="s">
        <v>58</v>
      </c>
      <c r="L3255" s="18" t="s">
        <v>52</v>
      </c>
      <c r="M3255" s="19">
        <v>71.0</v>
      </c>
      <c r="N3255" s="19">
        <v>31.0</v>
      </c>
    </row>
    <row r="3256">
      <c r="A3256" s="12">
        <v>3254.0</v>
      </c>
      <c r="B3256" s="13" t="s">
        <v>2508</v>
      </c>
      <c r="C3256" s="14">
        <v>21.0</v>
      </c>
      <c r="D3256" s="15" t="s">
        <v>5936</v>
      </c>
      <c r="E3256" s="16" t="s">
        <v>52</v>
      </c>
      <c r="F3256" s="13" t="s">
        <v>2488</v>
      </c>
      <c r="G3256" s="13" t="s">
        <v>2489</v>
      </c>
      <c r="H3256" s="13" t="s">
        <v>5966</v>
      </c>
      <c r="I3256" s="13" t="s">
        <v>63</v>
      </c>
      <c r="J3256" s="17" t="s">
        <v>71</v>
      </c>
      <c r="K3256" s="17" t="s">
        <v>58</v>
      </c>
      <c r="L3256" s="18" t="s">
        <v>52</v>
      </c>
      <c r="M3256" s="19">
        <v>71.0</v>
      </c>
      <c r="N3256" s="19">
        <v>31.0</v>
      </c>
    </row>
    <row r="3257">
      <c r="A3257" s="12">
        <v>3255.0</v>
      </c>
      <c r="B3257" s="13" t="s">
        <v>2508</v>
      </c>
      <c r="C3257" s="14">
        <v>22.0</v>
      </c>
      <c r="D3257" s="15" t="s">
        <v>5936</v>
      </c>
      <c r="E3257" s="16" t="s">
        <v>52</v>
      </c>
      <c r="F3257" s="13" t="s">
        <v>2083</v>
      </c>
      <c r="G3257" s="13" t="s">
        <v>2084</v>
      </c>
      <c r="H3257" s="13" t="s">
        <v>2085</v>
      </c>
      <c r="I3257" s="13" t="s">
        <v>63</v>
      </c>
      <c r="J3257" s="17" t="s">
        <v>71</v>
      </c>
      <c r="K3257" s="17" t="s">
        <v>58</v>
      </c>
      <c r="L3257" s="18" t="s">
        <v>52</v>
      </c>
      <c r="M3257" s="19">
        <v>71.0</v>
      </c>
      <c r="N3257" s="19">
        <v>31.0</v>
      </c>
    </row>
    <row r="3258">
      <c r="A3258" s="12">
        <v>3256.0</v>
      </c>
      <c r="B3258" s="13" t="s">
        <v>2508</v>
      </c>
      <c r="C3258" s="14">
        <v>23.0</v>
      </c>
      <c r="D3258" s="15" t="s">
        <v>5936</v>
      </c>
      <c r="E3258" s="16" t="s">
        <v>52</v>
      </c>
      <c r="F3258" s="13" t="s">
        <v>265</v>
      </c>
      <c r="G3258" s="13" t="s">
        <v>266</v>
      </c>
      <c r="H3258" s="13" t="s">
        <v>1030</v>
      </c>
      <c r="I3258" s="13" t="s">
        <v>63</v>
      </c>
      <c r="J3258" s="17" t="s">
        <v>71</v>
      </c>
      <c r="K3258" s="17" t="s">
        <v>58</v>
      </c>
      <c r="L3258" s="18" t="s">
        <v>52</v>
      </c>
      <c r="M3258" s="19">
        <v>71.0</v>
      </c>
      <c r="N3258" s="19">
        <v>31.0</v>
      </c>
    </row>
    <row r="3259">
      <c r="A3259" s="12">
        <v>3257.0</v>
      </c>
      <c r="B3259" s="13" t="s">
        <v>2508</v>
      </c>
      <c r="C3259" s="14">
        <v>24.0</v>
      </c>
      <c r="D3259" s="15" t="s">
        <v>5936</v>
      </c>
      <c r="E3259" s="16" t="s">
        <v>52</v>
      </c>
      <c r="F3259" s="13" t="s">
        <v>2895</v>
      </c>
      <c r="G3259" s="13" t="s">
        <v>2896</v>
      </c>
      <c r="H3259" s="13" t="s">
        <v>5968</v>
      </c>
      <c r="I3259" s="13" t="s">
        <v>63</v>
      </c>
      <c r="J3259" s="17" t="s">
        <v>71</v>
      </c>
      <c r="K3259" s="17" t="s">
        <v>58</v>
      </c>
      <c r="L3259" s="18" t="s">
        <v>52</v>
      </c>
      <c r="M3259" s="19">
        <v>71.0</v>
      </c>
      <c r="N3259" s="19">
        <v>31.0</v>
      </c>
    </row>
    <row r="3260">
      <c r="A3260" s="12">
        <v>3258.0</v>
      </c>
      <c r="B3260" s="13" t="s">
        <v>2508</v>
      </c>
      <c r="C3260" s="14">
        <v>25.0</v>
      </c>
      <c r="D3260" s="15" t="s">
        <v>5936</v>
      </c>
      <c r="E3260" s="16" t="s">
        <v>52</v>
      </c>
      <c r="F3260" s="13" t="s">
        <v>705</v>
      </c>
      <c r="G3260" s="13" t="s">
        <v>778</v>
      </c>
      <c r="H3260" s="13" t="s">
        <v>1030</v>
      </c>
      <c r="I3260" s="13" t="s">
        <v>63</v>
      </c>
      <c r="J3260" s="17" t="s">
        <v>71</v>
      </c>
      <c r="K3260" s="17" t="s">
        <v>58</v>
      </c>
      <c r="L3260" s="18" t="s">
        <v>52</v>
      </c>
      <c r="M3260" s="19">
        <v>71.0</v>
      </c>
      <c r="N3260" s="19">
        <v>31.0</v>
      </c>
    </row>
    <row r="3261">
      <c r="A3261" s="12">
        <v>3259.0</v>
      </c>
      <c r="B3261" s="13" t="s">
        <v>2508</v>
      </c>
      <c r="C3261" s="14">
        <v>26.0</v>
      </c>
      <c r="D3261" s="15" t="s">
        <v>5936</v>
      </c>
      <c r="E3261" s="16" t="s">
        <v>52</v>
      </c>
      <c r="F3261" s="13" t="s">
        <v>738</v>
      </c>
      <c r="G3261" s="13" t="s">
        <v>2180</v>
      </c>
      <c r="H3261" s="13" t="s">
        <v>1030</v>
      </c>
      <c r="I3261" s="13" t="s">
        <v>63</v>
      </c>
      <c r="J3261" s="17" t="s">
        <v>71</v>
      </c>
      <c r="K3261" s="17" t="s">
        <v>58</v>
      </c>
      <c r="L3261" s="18" t="s">
        <v>52</v>
      </c>
      <c r="M3261" s="19">
        <v>71.0</v>
      </c>
      <c r="N3261" s="19">
        <v>31.0</v>
      </c>
    </row>
    <row r="3262">
      <c r="A3262" s="12">
        <v>3260.0</v>
      </c>
      <c r="B3262" s="13" t="s">
        <v>2508</v>
      </c>
      <c r="C3262" s="14">
        <v>27.0</v>
      </c>
      <c r="D3262" s="15" t="s">
        <v>5936</v>
      </c>
      <c r="E3262" s="16" t="s">
        <v>52</v>
      </c>
      <c r="F3262" s="13" t="s">
        <v>658</v>
      </c>
      <c r="G3262" s="13" t="s">
        <v>2193</v>
      </c>
      <c r="H3262" s="13" t="s">
        <v>1030</v>
      </c>
      <c r="I3262" s="13" t="s">
        <v>63</v>
      </c>
      <c r="J3262" s="17" t="s">
        <v>71</v>
      </c>
      <c r="K3262" s="17" t="s">
        <v>58</v>
      </c>
      <c r="L3262" s="18" t="s">
        <v>52</v>
      </c>
      <c r="M3262" s="19">
        <v>71.0</v>
      </c>
      <c r="N3262" s="19">
        <v>31.0</v>
      </c>
    </row>
    <row r="3263">
      <c r="A3263" s="12">
        <v>3261.0</v>
      </c>
      <c r="B3263" s="13" t="s">
        <v>2508</v>
      </c>
      <c r="C3263" s="14">
        <v>28.0</v>
      </c>
      <c r="D3263" s="15" t="s">
        <v>5936</v>
      </c>
      <c r="E3263" s="16" t="s">
        <v>52</v>
      </c>
      <c r="F3263" s="13" t="s">
        <v>283</v>
      </c>
      <c r="G3263" s="13" t="s">
        <v>284</v>
      </c>
      <c r="H3263" s="13" t="s">
        <v>1030</v>
      </c>
      <c r="I3263" s="13" t="s">
        <v>63</v>
      </c>
      <c r="J3263" s="17" t="s">
        <v>71</v>
      </c>
      <c r="K3263" s="17" t="s">
        <v>58</v>
      </c>
      <c r="L3263" s="18" t="s">
        <v>52</v>
      </c>
      <c r="M3263" s="19">
        <v>71.0</v>
      </c>
      <c r="N3263" s="19">
        <v>31.0</v>
      </c>
    </row>
    <row r="3264">
      <c r="A3264" s="12">
        <v>3262.0</v>
      </c>
      <c r="B3264" s="13" t="s">
        <v>2508</v>
      </c>
      <c r="C3264" s="14">
        <v>29.0</v>
      </c>
      <c r="D3264" s="15" t="s">
        <v>5936</v>
      </c>
      <c r="E3264" s="16" t="s">
        <v>52</v>
      </c>
      <c r="F3264" s="13" t="s">
        <v>475</v>
      </c>
      <c r="G3264" s="13" t="s">
        <v>61</v>
      </c>
      <c r="H3264" s="13" t="s">
        <v>1037</v>
      </c>
      <c r="I3264" s="13" t="s">
        <v>63</v>
      </c>
      <c r="J3264" s="17" t="s">
        <v>71</v>
      </c>
      <c r="K3264" s="17" t="s">
        <v>58</v>
      </c>
      <c r="L3264" s="18" t="s">
        <v>52</v>
      </c>
      <c r="M3264" s="19">
        <v>71.0</v>
      </c>
      <c r="N3264" s="19">
        <v>31.0</v>
      </c>
    </row>
    <row r="3265">
      <c r="A3265" s="12">
        <v>3263.0</v>
      </c>
      <c r="B3265" s="13" t="s">
        <v>2508</v>
      </c>
      <c r="C3265" s="14">
        <v>30.0</v>
      </c>
      <c r="D3265" s="15" t="s">
        <v>5936</v>
      </c>
      <c r="E3265" s="16" t="s">
        <v>52</v>
      </c>
      <c r="F3265" s="13" t="s">
        <v>2300</v>
      </c>
      <c r="G3265" s="13" t="s">
        <v>5972</v>
      </c>
      <c r="H3265" s="13" t="s">
        <v>5973</v>
      </c>
      <c r="I3265" s="13" t="s">
        <v>63</v>
      </c>
      <c r="J3265" s="17" t="s">
        <v>71</v>
      </c>
      <c r="K3265" s="17" t="s">
        <v>58</v>
      </c>
      <c r="L3265" s="18" t="s">
        <v>52</v>
      </c>
      <c r="M3265" s="19">
        <v>71.0</v>
      </c>
      <c r="N3265" s="19">
        <v>31.0</v>
      </c>
    </row>
    <row r="3266">
      <c r="A3266" s="12">
        <v>3264.0</v>
      </c>
      <c r="B3266" s="13" t="s">
        <v>160</v>
      </c>
      <c r="C3266" s="14">
        <v>1.0</v>
      </c>
      <c r="D3266" s="15" t="s">
        <v>5975</v>
      </c>
      <c r="E3266" s="16" t="s">
        <v>52</v>
      </c>
      <c r="F3266" s="13" t="s">
        <v>1156</v>
      </c>
      <c r="G3266" s="13" t="s">
        <v>1157</v>
      </c>
      <c r="H3266" s="13" t="s">
        <v>5976</v>
      </c>
      <c r="I3266" s="13" t="s">
        <v>63</v>
      </c>
      <c r="J3266" s="17" t="s">
        <v>57</v>
      </c>
      <c r="K3266" s="17" t="s">
        <v>58</v>
      </c>
      <c r="L3266" s="18" t="s">
        <v>52</v>
      </c>
      <c r="M3266" s="19">
        <v>72.0</v>
      </c>
      <c r="N3266" s="19">
        <v>11.0</v>
      </c>
    </row>
    <row r="3267">
      <c r="A3267" s="12">
        <v>3265.0</v>
      </c>
      <c r="B3267" s="13" t="s">
        <v>160</v>
      </c>
      <c r="C3267" s="14">
        <v>2.0</v>
      </c>
      <c r="D3267" s="15" t="s">
        <v>5975</v>
      </c>
      <c r="E3267" s="16" t="s">
        <v>52</v>
      </c>
      <c r="F3267" s="13" t="s">
        <v>96</v>
      </c>
      <c r="G3267" s="13" t="s">
        <v>5977</v>
      </c>
      <c r="H3267" s="13" t="s">
        <v>5978</v>
      </c>
      <c r="I3267" s="13" t="s">
        <v>63</v>
      </c>
      <c r="J3267" s="17" t="s">
        <v>57</v>
      </c>
      <c r="K3267" s="17" t="s">
        <v>58</v>
      </c>
      <c r="L3267" s="18" t="s">
        <v>52</v>
      </c>
      <c r="M3267" s="19">
        <v>72.0</v>
      </c>
      <c r="N3267" s="19">
        <v>11.0</v>
      </c>
    </row>
    <row r="3268">
      <c r="A3268" s="12">
        <v>3266.0</v>
      </c>
      <c r="B3268" s="13" t="s">
        <v>160</v>
      </c>
      <c r="C3268" s="14">
        <v>3.0</v>
      </c>
      <c r="D3268" s="15" t="s">
        <v>5975</v>
      </c>
      <c r="E3268" s="16" t="s">
        <v>52</v>
      </c>
      <c r="F3268" s="13" t="s">
        <v>78</v>
      </c>
      <c r="G3268" s="13" t="s">
        <v>79</v>
      </c>
      <c r="H3268" s="13" t="s">
        <v>5979</v>
      </c>
      <c r="I3268" s="13" t="s">
        <v>63</v>
      </c>
      <c r="J3268" s="17" t="s">
        <v>71</v>
      </c>
      <c r="K3268" s="17" t="s">
        <v>58</v>
      </c>
      <c r="L3268" s="18" t="s">
        <v>52</v>
      </c>
      <c r="M3268" s="19">
        <v>72.0</v>
      </c>
      <c r="N3268" s="19">
        <v>31.0</v>
      </c>
    </row>
    <row r="3269">
      <c r="A3269" s="12">
        <v>3267.0</v>
      </c>
      <c r="B3269" s="13" t="s">
        <v>160</v>
      </c>
      <c r="C3269" s="14">
        <v>4.0</v>
      </c>
      <c r="D3269" s="15" t="s">
        <v>5975</v>
      </c>
      <c r="E3269" s="16" t="s">
        <v>52</v>
      </c>
      <c r="F3269" s="13" t="s">
        <v>2793</v>
      </c>
      <c r="G3269" s="13" t="s">
        <v>2794</v>
      </c>
      <c r="H3269" s="13" t="s">
        <v>5981</v>
      </c>
      <c r="I3269" s="13" t="s">
        <v>63</v>
      </c>
      <c r="J3269" s="17" t="s">
        <v>71</v>
      </c>
      <c r="K3269" s="17" t="s">
        <v>58</v>
      </c>
      <c r="L3269" s="18" t="s">
        <v>52</v>
      </c>
      <c r="M3269" s="19">
        <v>72.0</v>
      </c>
      <c r="N3269" s="19">
        <v>31.0</v>
      </c>
    </row>
    <row r="3270">
      <c r="A3270" s="12">
        <v>3268.0</v>
      </c>
      <c r="B3270" s="13" t="s">
        <v>160</v>
      </c>
      <c r="C3270" s="14">
        <v>5.0</v>
      </c>
      <c r="D3270" s="15" t="s">
        <v>5975</v>
      </c>
      <c r="E3270" s="16" t="s">
        <v>52</v>
      </c>
      <c r="F3270" s="13" t="s">
        <v>413</v>
      </c>
      <c r="G3270" s="13" t="s">
        <v>2881</v>
      </c>
      <c r="H3270" s="13" t="s">
        <v>2882</v>
      </c>
      <c r="I3270" s="13" t="s">
        <v>63</v>
      </c>
      <c r="J3270" s="17" t="s">
        <v>71</v>
      </c>
      <c r="K3270" s="17" t="s">
        <v>58</v>
      </c>
      <c r="L3270" s="18" t="s">
        <v>52</v>
      </c>
      <c r="M3270" s="19">
        <v>72.0</v>
      </c>
      <c r="N3270" s="19">
        <v>31.0</v>
      </c>
    </row>
    <row r="3271">
      <c r="A3271" s="12">
        <v>3269.0</v>
      </c>
      <c r="B3271" s="13" t="s">
        <v>160</v>
      </c>
      <c r="C3271" s="14">
        <v>6.0</v>
      </c>
      <c r="D3271" s="15" t="s">
        <v>5975</v>
      </c>
      <c r="E3271" s="16" t="s">
        <v>52</v>
      </c>
      <c r="F3271" s="13" t="s">
        <v>3321</v>
      </c>
      <c r="G3271" s="13" t="s">
        <v>5983</v>
      </c>
      <c r="H3271" s="13" t="s">
        <v>5984</v>
      </c>
      <c r="I3271" s="13" t="s">
        <v>63</v>
      </c>
      <c r="J3271" s="17" t="s">
        <v>71</v>
      </c>
      <c r="K3271" s="17" t="s">
        <v>58</v>
      </c>
      <c r="L3271" s="18" t="s">
        <v>52</v>
      </c>
      <c r="M3271" s="19">
        <v>72.0</v>
      </c>
      <c r="N3271" s="19">
        <v>31.0</v>
      </c>
    </row>
    <row r="3272">
      <c r="A3272" s="12">
        <v>3270.0</v>
      </c>
      <c r="B3272" s="13" t="s">
        <v>160</v>
      </c>
      <c r="C3272" s="14">
        <v>7.0</v>
      </c>
      <c r="D3272" s="15" t="s">
        <v>5975</v>
      </c>
      <c r="E3272" s="16" t="s">
        <v>52</v>
      </c>
      <c r="F3272" s="13" t="s">
        <v>2870</v>
      </c>
      <c r="G3272" s="13" t="s">
        <v>2871</v>
      </c>
      <c r="H3272" s="13" t="s">
        <v>5985</v>
      </c>
      <c r="I3272" s="13" t="s">
        <v>63</v>
      </c>
      <c r="J3272" s="17" t="s">
        <v>71</v>
      </c>
      <c r="K3272" s="17" t="s">
        <v>58</v>
      </c>
      <c r="L3272" s="18" t="s">
        <v>52</v>
      </c>
      <c r="M3272" s="19">
        <v>72.0</v>
      </c>
      <c r="N3272" s="19">
        <v>31.0</v>
      </c>
    </row>
    <row r="3273">
      <c r="A3273" s="12">
        <v>3271.0</v>
      </c>
      <c r="B3273" s="13" t="s">
        <v>160</v>
      </c>
      <c r="C3273" s="14">
        <v>8.0</v>
      </c>
      <c r="D3273" s="15" t="s">
        <v>5975</v>
      </c>
      <c r="E3273" s="16" t="s">
        <v>52</v>
      </c>
      <c r="F3273" s="13" t="s">
        <v>1356</v>
      </c>
      <c r="G3273" s="13" t="s">
        <v>3345</v>
      </c>
      <c r="H3273" s="13" t="s">
        <v>5987</v>
      </c>
      <c r="I3273" s="13" t="s">
        <v>63</v>
      </c>
      <c r="J3273" s="17" t="s">
        <v>71</v>
      </c>
      <c r="K3273" s="17" t="s">
        <v>58</v>
      </c>
      <c r="L3273" s="18" t="s">
        <v>52</v>
      </c>
      <c r="M3273" s="19">
        <v>72.0</v>
      </c>
      <c r="N3273" s="19">
        <v>31.0</v>
      </c>
    </row>
    <row r="3274">
      <c r="A3274" s="12">
        <v>3272.0</v>
      </c>
      <c r="B3274" s="13" t="s">
        <v>160</v>
      </c>
      <c r="C3274" s="14">
        <v>9.0</v>
      </c>
      <c r="D3274" s="15" t="s">
        <v>5975</v>
      </c>
      <c r="E3274" s="16" t="s">
        <v>52</v>
      </c>
      <c r="F3274" s="13" t="s">
        <v>5989</v>
      </c>
      <c r="G3274" s="13" t="s">
        <v>61</v>
      </c>
      <c r="H3274" s="13" t="s">
        <v>5990</v>
      </c>
      <c r="I3274" s="13" t="s">
        <v>63</v>
      </c>
      <c r="J3274" s="17" t="s">
        <v>71</v>
      </c>
      <c r="K3274" s="17" t="s">
        <v>58</v>
      </c>
      <c r="L3274" s="18" t="s">
        <v>52</v>
      </c>
      <c r="M3274" s="19">
        <v>72.0</v>
      </c>
      <c r="N3274" s="19">
        <v>31.0</v>
      </c>
    </row>
    <row r="3275">
      <c r="A3275" s="12">
        <v>3273.0</v>
      </c>
      <c r="B3275" s="13" t="s">
        <v>160</v>
      </c>
      <c r="C3275" s="14">
        <v>10.0</v>
      </c>
      <c r="D3275" s="15" t="s">
        <v>5975</v>
      </c>
      <c r="E3275" s="16" t="s">
        <v>52</v>
      </c>
      <c r="F3275" s="13" t="s">
        <v>1860</v>
      </c>
      <c r="G3275" s="13" t="s">
        <v>5992</v>
      </c>
      <c r="H3275" s="13" t="s">
        <v>5993</v>
      </c>
      <c r="I3275" s="13" t="s">
        <v>63</v>
      </c>
      <c r="J3275" s="17" t="s">
        <v>71</v>
      </c>
      <c r="K3275" s="17" t="s">
        <v>58</v>
      </c>
      <c r="L3275" s="18" t="s">
        <v>52</v>
      </c>
      <c r="M3275" s="19">
        <v>72.0</v>
      </c>
      <c r="N3275" s="19">
        <v>31.0</v>
      </c>
    </row>
    <row r="3276">
      <c r="A3276" s="12">
        <v>3274.0</v>
      </c>
      <c r="B3276" s="13" t="s">
        <v>160</v>
      </c>
      <c r="C3276" s="14">
        <v>11.0</v>
      </c>
      <c r="D3276" s="15" t="s">
        <v>5975</v>
      </c>
      <c r="E3276" s="16" t="s">
        <v>52</v>
      </c>
      <c r="F3276" s="13" t="s">
        <v>91</v>
      </c>
      <c r="G3276" s="13" t="s">
        <v>1672</v>
      </c>
      <c r="H3276" s="13" t="s">
        <v>5994</v>
      </c>
      <c r="I3276" s="13" t="s">
        <v>63</v>
      </c>
      <c r="J3276" s="17" t="s">
        <v>71</v>
      </c>
      <c r="K3276" s="17" t="s">
        <v>58</v>
      </c>
      <c r="L3276" s="18" t="s">
        <v>52</v>
      </c>
      <c r="M3276" s="19">
        <v>72.0</v>
      </c>
      <c r="N3276" s="19">
        <v>31.0</v>
      </c>
    </row>
    <row r="3277">
      <c r="A3277" s="12">
        <v>3275.0</v>
      </c>
      <c r="B3277" s="13" t="s">
        <v>160</v>
      </c>
      <c r="C3277" s="14">
        <v>12.0</v>
      </c>
      <c r="D3277" s="15" t="s">
        <v>5975</v>
      </c>
      <c r="E3277" s="16" t="s">
        <v>52</v>
      </c>
      <c r="F3277" s="13" t="s">
        <v>2517</v>
      </c>
      <c r="G3277" s="13" t="s">
        <v>4608</v>
      </c>
      <c r="H3277" s="13" t="s">
        <v>5996</v>
      </c>
      <c r="I3277" s="13" t="s">
        <v>63</v>
      </c>
      <c r="J3277" s="17" t="s">
        <v>71</v>
      </c>
      <c r="K3277" s="17" t="s">
        <v>58</v>
      </c>
      <c r="L3277" s="18" t="s">
        <v>52</v>
      </c>
      <c r="M3277" s="19">
        <v>72.0</v>
      </c>
      <c r="N3277" s="19">
        <v>31.0</v>
      </c>
    </row>
    <row r="3278">
      <c r="A3278" s="12">
        <v>3276.0</v>
      </c>
      <c r="B3278" s="13" t="s">
        <v>160</v>
      </c>
      <c r="C3278" s="14">
        <v>13.0</v>
      </c>
      <c r="D3278" s="15" t="s">
        <v>5975</v>
      </c>
      <c r="E3278" s="16" t="s">
        <v>52</v>
      </c>
      <c r="F3278" s="13" t="s">
        <v>2024</v>
      </c>
      <c r="G3278" s="13" t="s">
        <v>5423</v>
      </c>
      <c r="H3278" s="13" t="s">
        <v>5997</v>
      </c>
      <c r="I3278" s="13" t="s">
        <v>63</v>
      </c>
      <c r="J3278" s="17" t="s">
        <v>71</v>
      </c>
      <c r="K3278" s="17" t="s">
        <v>58</v>
      </c>
      <c r="L3278" s="18" t="s">
        <v>52</v>
      </c>
      <c r="M3278" s="19">
        <v>72.0</v>
      </c>
      <c r="N3278" s="19">
        <v>31.0</v>
      </c>
    </row>
    <row r="3279">
      <c r="A3279" s="12">
        <v>3277.0</v>
      </c>
      <c r="B3279" s="13" t="s">
        <v>160</v>
      </c>
      <c r="C3279" s="14">
        <v>14.0</v>
      </c>
      <c r="D3279" s="15" t="s">
        <v>5975</v>
      </c>
      <c r="E3279" s="16" t="s">
        <v>52</v>
      </c>
      <c r="F3279" s="13" t="s">
        <v>5372</v>
      </c>
      <c r="G3279" s="13" t="s">
        <v>5999</v>
      </c>
      <c r="H3279" s="13" t="s">
        <v>6000</v>
      </c>
      <c r="I3279" s="13" t="s">
        <v>63</v>
      </c>
      <c r="J3279" s="17" t="s">
        <v>71</v>
      </c>
      <c r="K3279" s="17" t="s">
        <v>58</v>
      </c>
      <c r="L3279" s="18" t="s">
        <v>52</v>
      </c>
      <c r="M3279" s="19">
        <v>72.0</v>
      </c>
      <c r="N3279" s="19">
        <v>31.0</v>
      </c>
    </row>
    <row r="3280">
      <c r="A3280" s="12">
        <v>3278.0</v>
      </c>
      <c r="B3280" s="13" t="s">
        <v>160</v>
      </c>
      <c r="C3280" s="14">
        <v>15.0</v>
      </c>
      <c r="D3280" s="15" t="s">
        <v>5975</v>
      </c>
      <c r="E3280" s="16" t="s">
        <v>52</v>
      </c>
      <c r="F3280" s="13" t="s">
        <v>1710</v>
      </c>
      <c r="G3280" s="13" t="s">
        <v>1711</v>
      </c>
      <c r="H3280" s="13" t="s">
        <v>6001</v>
      </c>
      <c r="I3280" s="13" t="s">
        <v>63</v>
      </c>
      <c r="J3280" s="17" t="s">
        <v>71</v>
      </c>
      <c r="K3280" s="17" t="s">
        <v>58</v>
      </c>
      <c r="L3280" s="18" t="s">
        <v>52</v>
      </c>
      <c r="M3280" s="19">
        <v>72.0</v>
      </c>
      <c r="N3280" s="19">
        <v>31.0</v>
      </c>
    </row>
    <row r="3281">
      <c r="A3281" s="12">
        <v>3279.0</v>
      </c>
      <c r="B3281" s="13" t="s">
        <v>160</v>
      </c>
      <c r="C3281" s="14">
        <v>16.0</v>
      </c>
      <c r="D3281" s="15" t="s">
        <v>5975</v>
      </c>
      <c r="E3281" s="16" t="s">
        <v>52</v>
      </c>
      <c r="F3281" s="13" t="s">
        <v>4112</v>
      </c>
      <c r="G3281" s="13" t="s">
        <v>4113</v>
      </c>
      <c r="H3281" s="13" t="s">
        <v>6002</v>
      </c>
      <c r="I3281" s="13" t="s">
        <v>63</v>
      </c>
      <c r="J3281" s="17" t="s">
        <v>71</v>
      </c>
      <c r="K3281" s="17" t="s">
        <v>58</v>
      </c>
      <c r="L3281" s="18" t="s">
        <v>52</v>
      </c>
      <c r="M3281" s="19">
        <v>72.0</v>
      </c>
      <c r="N3281" s="19">
        <v>31.0</v>
      </c>
    </row>
    <row r="3282">
      <c r="A3282" s="12">
        <v>3280.0</v>
      </c>
      <c r="B3282" s="13" t="s">
        <v>160</v>
      </c>
      <c r="C3282" s="14">
        <v>17.0</v>
      </c>
      <c r="D3282" s="15" t="s">
        <v>5975</v>
      </c>
      <c r="E3282" s="16" t="s">
        <v>52</v>
      </c>
      <c r="F3282" s="13" t="s">
        <v>1729</v>
      </c>
      <c r="G3282" s="13" t="s">
        <v>6003</v>
      </c>
      <c r="H3282" s="13" t="s">
        <v>6004</v>
      </c>
      <c r="I3282" s="13" t="s">
        <v>63</v>
      </c>
      <c r="J3282" s="17" t="s">
        <v>71</v>
      </c>
      <c r="K3282" s="17" t="s">
        <v>58</v>
      </c>
      <c r="L3282" s="18" t="s">
        <v>52</v>
      </c>
      <c r="M3282" s="19">
        <v>72.0</v>
      </c>
      <c r="N3282" s="19">
        <v>31.0</v>
      </c>
    </row>
    <row r="3283">
      <c r="A3283" s="12">
        <v>3281.0</v>
      </c>
      <c r="B3283" s="13" t="s">
        <v>160</v>
      </c>
      <c r="C3283" s="14">
        <v>18.0</v>
      </c>
      <c r="D3283" s="15" t="s">
        <v>5975</v>
      </c>
      <c r="E3283" s="16" t="s">
        <v>52</v>
      </c>
      <c r="F3283" s="13" t="s">
        <v>2883</v>
      </c>
      <c r="G3283" s="13" t="s">
        <v>61</v>
      </c>
      <c r="H3283" s="13" t="s">
        <v>6005</v>
      </c>
      <c r="I3283" s="13" t="s">
        <v>63</v>
      </c>
      <c r="J3283" s="17" t="s">
        <v>71</v>
      </c>
      <c r="K3283" s="17" t="s">
        <v>58</v>
      </c>
      <c r="L3283" s="18" t="s">
        <v>52</v>
      </c>
      <c r="M3283" s="19">
        <v>72.0</v>
      </c>
      <c r="N3283" s="19">
        <v>31.0</v>
      </c>
    </row>
    <row r="3284">
      <c r="A3284" s="12">
        <v>3282.0</v>
      </c>
      <c r="B3284" s="13" t="s">
        <v>160</v>
      </c>
      <c r="C3284" s="14">
        <v>19.0</v>
      </c>
      <c r="D3284" s="15" t="s">
        <v>5975</v>
      </c>
      <c r="E3284" s="16" t="s">
        <v>52</v>
      </c>
      <c r="F3284" s="13" t="s">
        <v>711</v>
      </c>
      <c r="G3284" s="13" t="s">
        <v>61</v>
      </c>
      <c r="H3284" s="13" t="s">
        <v>6006</v>
      </c>
      <c r="I3284" s="13" t="s">
        <v>63</v>
      </c>
      <c r="J3284" s="17" t="s">
        <v>71</v>
      </c>
      <c r="K3284" s="17" t="s">
        <v>58</v>
      </c>
      <c r="L3284" s="18" t="s">
        <v>52</v>
      </c>
      <c r="M3284" s="19">
        <v>72.0</v>
      </c>
      <c r="N3284" s="19">
        <v>31.0</v>
      </c>
    </row>
    <row r="3285">
      <c r="A3285" s="12">
        <v>3283.0</v>
      </c>
      <c r="B3285" s="13" t="s">
        <v>160</v>
      </c>
      <c r="C3285" s="14">
        <v>20.0</v>
      </c>
      <c r="D3285" s="15" t="s">
        <v>5975</v>
      </c>
      <c r="E3285" s="16" t="s">
        <v>52</v>
      </c>
      <c r="F3285" s="13" t="s">
        <v>4592</v>
      </c>
      <c r="G3285" s="13" t="s">
        <v>6007</v>
      </c>
      <c r="H3285" s="13" t="s">
        <v>6008</v>
      </c>
      <c r="I3285" s="13" t="s">
        <v>63</v>
      </c>
      <c r="J3285" s="17" t="s">
        <v>71</v>
      </c>
      <c r="K3285" s="17" t="s">
        <v>58</v>
      </c>
      <c r="L3285" s="18" t="s">
        <v>52</v>
      </c>
      <c r="M3285" s="19">
        <v>72.0</v>
      </c>
      <c r="N3285" s="19">
        <v>31.0</v>
      </c>
    </row>
    <row r="3286">
      <c r="A3286" s="12">
        <v>3284.0</v>
      </c>
      <c r="B3286" s="13" t="s">
        <v>160</v>
      </c>
      <c r="C3286" s="14">
        <v>21.0</v>
      </c>
      <c r="D3286" s="15" t="s">
        <v>5975</v>
      </c>
      <c r="E3286" s="16" t="s">
        <v>52</v>
      </c>
      <c r="F3286" s="13" t="s">
        <v>1309</v>
      </c>
      <c r="G3286" s="13" t="s">
        <v>1310</v>
      </c>
      <c r="H3286" s="13" t="s">
        <v>6009</v>
      </c>
      <c r="I3286" s="13" t="s">
        <v>63</v>
      </c>
      <c r="J3286" s="17" t="s">
        <v>71</v>
      </c>
      <c r="K3286" s="17" t="s">
        <v>58</v>
      </c>
      <c r="L3286" s="18" t="s">
        <v>52</v>
      </c>
      <c r="M3286" s="19">
        <v>72.0</v>
      </c>
      <c r="N3286" s="19">
        <v>31.0</v>
      </c>
    </row>
    <row r="3287">
      <c r="A3287" s="12">
        <v>3285.0</v>
      </c>
      <c r="B3287" s="13" t="s">
        <v>160</v>
      </c>
      <c r="C3287" s="14">
        <v>22.0</v>
      </c>
      <c r="D3287" s="15" t="s">
        <v>5975</v>
      </c>
      <c r="E3287" s="16" t="s">
        <v>52</v>
      </c>
      <c r="F3287" s="13" t="s">
        <v>1032</v>
      </c>
      <c r="G3287" s="13" t="s">
        <v>3877</v>
      </c>
      <c r="H3287" s="13" t="s">
        <v>6010</v>
      </c>
      <c r="I3287" s="13" t="s">
        <v>63</v>
      </c>
      <c r="J3287" s="17" t="s">
        <v>71</v>
      </c>
      <c r="K3287" s="17" t="s">
        <v>58</v>
      </c>
      <c r="L3287" s="18" t="s">
        <v>52</v>
      </c>
      <c r="M3287" s="19">
        <v>72.0</v>
      </c>
      <c r="N3287" s="19">
        <v>31.0</v>
      </c>
    </row>
    <row r="3288">
      <c r="A3288" s="12">
        <v>3286.0</v>
      </c>
      <c r="B3288" s="13" t="s">
        <v>160</v>
      </c>
      <c r="C3288" s="14">
        <v>23.0</v>
      </c>
      <c r="D3288" s="15" t="s">
        <v>5975</v>
      </c>
      <c r="E3288" s="16" t="s">
        <v>52</v>
      </c>
      <c r="F3288" s="13" t="s">
        <v>3054</v>
      </c>
      <c r="G3288" s="13" t="s">
        <v>5876</v>
      </c>
      <c r="H3288" s="13" t="s">
        <v>6012</v>
      </c>
      <c r="I3288" s="13" t="s">
        <v>63</v>
      </c>
      <c r="J3288" s="17" t="s">
        <v>71</v>
      </c>
      <c r="K3288" s="17" t="s">
        <v>58</v>
      </c>
      <c r="L3288" s="18" t="s">
        <v>52</v>
      </c>
      <c r="M3288" s="19">
        <v>72.0</v>
      </c>
      <c r="N3288" s="19">
        <v>31.0</v>
      </c>
    </row>
    <row r="3289">
      <c r="A3289" s="12">
        <v>3287.0</v>
      </c>
      <c r="B3289" s="13" t="s">
        <v>160</v>
      </c>
      <c r="C3289" s="14">
        <v>24.0</v>
      </c>
      <c r="D3289" s="15" t="s">
        <v>5975</v>
      </c>
      <c r="E3289" s="16" t="s">
        <v>52</v>
      </c>
      <c r="F3289" s="13" t="s">
        <v>2773</v>
      </c>
      <c r="G3289" s="13" t="s">
        <v>6014</v>
      </c>
      <c r="H3289" s="13" t="s">
        <v>6015</v>
      </c>
      <c r="I3289" s="13" t="s">
        <v>63</v>
      </c>
      <c r="J3289" s="17" t="s">
        <v>71</v>
      </c>
      <c r="K3289" s="17" t="s">
        <v>58</v>
      </c>
      <c r="L3289" s="18" t="s">
        <v>52</v>
      </c>
      <c r="M3289" s="19">
        <v>72.0</v>
      </c>
      <c r="N3289" s="19">
        <v>31.0</v>
      </c>
    </row>
    <row r="3290">
      <c r="A3290" s="12">
        <v>3288.0</v>
      </c>
      <c r="B3290" s="13" t="s">
        <v>160</v>
      </c>
      <c r="C3290" s="14">
        <v>25.0</v>
      </c>
      <c r="D3290" s="15" t="s">
        <v>5975</v>
      </c>
      <c r="E3290" s="16" t="s">
        <v>52</v>
      </c>
      <c r="F3290" s="13" t="s">
        <v>2539</v>
      </c>
      <c r="G3290" s="13" t="s">
        <v>61</v>
      </c>
      <c r="H3290" s="13" t="s">
        <v>5405</v>
      </c>
      <c r="I3290" s="13" t="s">
        <v>63</v>
      </c>
      <c r="J3290" s="17" t="s">
        <v>71</v>
      </c>
      <c r="K3290" s="17" t="s">
        <v>58</v>
      </c>
      <c r="L3290" s="18" t="s">
        <v>52</v>
      </c>
      <c r="M3290" s="19">
        <v>72.0</v>
      </c>
      <c r="N3290" s="19">
        <v>31.0</v>
      </c>
    </row>
    <row r="3291">
      <c r="A3291" s="12">
        <v>3289.0</v>
      </c>
      <c r="B3291" s="13" t="s">
        <v>160</v>
      </c>
      <c r="C3291" s="14">
        <v>26.0</v>
      </c>
      <c r="D3291" s="15" t="s">
        <v>5975</v>
      </c>
      <c r="E3291" s="16" t="s">
        <v>52</v>
      </c>
      <c r="F3291" s="13" t="s">
        <v>4570</v>
      </c>
      <c r="G3291" s="13" t="s">
        <v>415</v>
      </c>
      <c r="H3291" s="13" t="s">
        <v>415</v>
      </c>
      <c r="I3291" s="13" t="s">
        <v>416</v>
      </c>
      <c r="J3291" s="17" t="s">
        <v>418</v>
      </c>
      <c r="K3291" s="17" t="s">
        <v>420</v>
      </c>
      <c r="L3291" s="18" t="s">
        <v>52</v>
      </c>
      <c r="M3291" s="19">
        <v>72.0</v>
      </c>
      <c r="N3291" s="19">
        <v>41.0</v>
      </c>
    </row>
    <row r="3292">
      <c r="A3292" s="12">
        <v>3290.0</v>
      </c>
      <c r="B3292" s="13" t="s">
        <v>160</v>
      </c>
      <c r="C3292" s="14">
        <v>27.0</v>
      </c>
      <c r="D3292" s="15" t="s">
        <v>5975</v>
      </c>
      <c r="E3292" s="16" t="s">
        <v>52</v>
      </c>
      <c r="F3292" s="13" t="s">
        <v>1293</v>
      </c>
      <c r="G3292" s="13" t="s">
        <v>415</v>
      </c>
      <c r="H3292" s="13" t="s">
        <v>415</v>
      </c>
      <c r="I3292" s="13" t="s">
        <v>416</v>
      </c>
      <c r="J3292" s="17" t="s">
        <v>418</v>
      </c>
      <c r="K3292" s="17" t="s">
        <v>420</v>
      </c>
      <c r="L3292" s="18" t="s">
        <v>52</v>
      </c>
      <c r="M3292" s="19">
        <v>72.0</v>
      </c>
      <c r="N3292" s="19">
        <v>41.0</v>
      </c>
    </row>
    <row r="3293">
      <c r="A3293" s="12">
        <v>3291.0</v>
      </c>
      <c r="B3293" s="13" t="s">
        <v>160</v>
      </c>
      <c r="C3293" s="14">
        <v>28.0</v>
      </c>
      <c r="D3293" s="15" t="s">
        <v>5975</v>
      </c>
      <c r="E3293" s="16" t="s">
        <v>52</v>
      </c>
      <c r="F3293" s="13" t="s">
        <v>81</v>
      </c>
      <c r="G3293" s="13" t="s">
        <v>415</v>
      </c>
      <c r="H3293" s="13" t="s">
        <v>415</v>
      </c>
      <c r="I3293" s="13" t="s">
        <v>416</v>
      </c>
      <c r="J3293" s="17" t="s">
        <v>418</v>
      </c>
      <c r="K3293" s="17" t="s">
        <v>420</v>
      </c>
      <c r="L3293" s="18" t="s">
        <v>52</v>
      </c>
      <c r="M3293" s="19">
        <v>72.0</v>
      </c>
      <c r="N3293" s="19">
        <v>41.0</v>
      </c>
    </row>
    <row r="3294">
      <c r="A3294" s="12">
        <v>3292.0</v>
      </c>
      <c r="B3294" s="13" t="s">
        <v>160</v>
      </c>
      <c r="C3294" s="14">
        <v>29.0</v>
      </c>
      <c r="D3294" s="15" t="s">
        <v>5975</v>
      </c>
      <c r="E3294" s="16" t="s">
        <v>52</v>
      </c>
      <c r="F3294" s="13" t="s">
        <v>4068</v>
      </c>
      <c r="G3294" s="13" t="s">
        <v>415</v>
      </c>
      <c r="H3294" s="13" t="s">
        <v>415</v>
      </c>
      <c r="I3294" s="13" t="s">
        <v>416</v>
      </c>
      <c r="J3294" s="17" t="s">
        <v>418</v>
      </c>
      <c r="K3294" s="17" t="s">
        <v>420</v>
      </c>
      <c r="L3294" s="18" t="s">
        <v>52</v>
      </c>
      <c r="M3294" s="19">
        <v>72.0</v>
      </c>
      <c r="N3294" s="19">
        <v>41.0</v>
      </c>
    </row>
    <row r="3295">
      <c r="A3295" s="12">
        <v>3293.0</v>
      </c>
      <c r="B3295" s="13" t="s">
        <v>160</v>
      </c>
      <c r="C3295" s="14">
        <v>30.0</v>
      </c>
      <c r="D3295" s="15" t="s">
        <v>5975</v>
      </c>
      <c r="E3295" s="16" t="s">
        <v>52</v>
      </c>
      <c r="F3295" s="13" t="s">
        <v>2505</v>
      </c>
      <c r="G3295" s="13" t="s">
        <v>415</v>
      </c>
      <c r="H3295" s="13" t="s">
        <v>415</v>
      </c>
      <c r="I3295" s="13" t="s">
        <v>416</v>
      </c>
      <c r="J3295" s="17" t="s">
        <v>418</v>
      </c>
      <c r="K3295" s="17" t="s">
        <v>420</v>
      </c>
      <c r="L3295" s="18" t="s">
        <v>52</v>
      </c>
      <c r="M3295" s="19">
        <v>72.0</v>
      </c>
      <c r="N3295" s="19">
        <v>41.0</v>
      </c>
    </row>
    <row r="3296">
      <c r="A3296" s="12">
        <v>3294.0</v>
      </c>
      <c r="B3296" s="13" t="s">
        <v>2513</v>
      </c>
      <c r="C3296" s="14">
        <v>1.0</v>
      </c>
      <c r="D3296" s="15" t="s">
        <v>6016</v>
      </c>
      <c r="E3296" s="16" t="s">
        <v>52</v>
      </c>
      <c r="F3296" s="13" t="s">
        <v>2488</v>
      </c>
      <c r="G3296" s="13" t="s">
        <v>61</v>
      </c>
      <c r="H3296" s="13" t="s">
        <v>6017</v>
      </c>
      <c r="I3296" s="13" t="s">
        <v>56</v>
      </c>
      <c r="J3296" s="17" t="s">
        <v>57</v>
      </c>
      <c r="K3296" s="17" t="s">
        <v>58</v>
      </c>
      <c r="L3296" s="18" t="s">
        <v>52</v>
      </c>
      <c r="M3296" s="19">
        <v>73.0</v>
      </c>
      <c r="N3296" s="19">
        <v>10.0</v>
      </c>
    </row>
    <row r="3297">
      <c r="A3297" s="12">
        <v>3295.0</v>
      </c>
      <c r="B3297" s="13" t="s">
        <v>2513</v>
      </c>
      <c r="C3297" s="14">
        <v>2.0</v>
      </c>
      <c r="D3297" s="15" t="s">
        <v>6016</v>
      </c>
      <c r="E3297" s="16" t="s">
        <v>52</v>
      </c>
      <c r="F3297" s="13" t="s">
        <v>1843</v>
      </c>
      <c r="G3297" s="13" t="s">
        <v>4805</v>
      </c>
      <c r="H3297" s="13" t="s">
        <v>6018</v>
      </c>
      <c r="I3297" s="13" t="s">
        <v>56</v>
      </c>
      <c r="J3297" s="17" t="s">
        <v>67</v>
      </c>
      <c r="K3297" s="17" t="s">
        <v>58</v>
      </c>
      <c r="L3297" s="18" t="s">
        <v>52</v>
      </c>
      <c r="M3297" s="19">
        <v>73.0</v>
      </c>
      <c r="N3297" s="19">
        <v>20.0</v>
      </c>
    </row>
    <row r="3298">
      <c r="A3298" s="12">
        <v>3296.0</v>
      </c>
      <c r="B3298" s="13" t="s">
        <v>2513</v>
      </c>
      <c r="C3298" s="14">
        <v>3.0</v>
      </c>
      <c r="D3298" s="15" t="s">
        <v>6016</v>
      </c>
      <c r="E3298" s="16" t="s">
        <v>52</v>
      </c>
      <c r="F3298" s="13" t="s">
        <v>2542</v>
      </c>
      <c r="G3298" s="13" t="s">
        <v>2543</v>
      </c>
      <c r="H3298" s="13" t="s">
        <v>3319</v>
      </c>
      <c r="I3298" s="13" t="s">
        <v>56</v>
      </c>
      <c r="J3298" s="17" t="s">
        <v>67</v>
      </c>
      <c r="K3298" s="17" t="s">
        <v>58</v>
      </c>
      <c r="L3298" s="18" t="s">
        <v>52</v>
      </c>
      <c r="M3298" s="19">
        <v>73.0</v>
      </c>
      <c r="N3298" s="19">
        <v>20.0</v>
      </c>
    </row>
    <row r="3299">
      <c r="A3299" s="12">
        <v>3297.0</v>
      </c>
      <c r="B3299" s="13" t="s">
        <v>2513</v>
      </c>
      <c r="C3299" s="14">
        <v>4.0</v>
      </c>
      <c r="D3299" s="15" t="s">
        <v>6016</v>
      </c>
      <c r="E3299" s="16" t="s">
        <v>52</v>
      </c>
      <c r="F3299" s="13" t="s">
        <v>2529</v>
      </c>
      <c r="G3299" s="13" t="s">
        <v>61</v>
      </c>
      <c r="H3299" s="13" t="s">
        <v>6020</v>
      </c>
      <c r="I3299" s="13" t="s">
        <v>56</v>
      </c>
      <c r="J3299" s="17" t="s">
        <v>67</v>
      </c>
      <c r="K3299" s="17" t="s">
        <v>58</v>
      </c>
      <c r="L3299" s="18" t="s">
        <v>52</v>
      </c>
      <c r="M3299" s="19">
        <v>73.0</v>
      </c>
      <c r="N3299" s="19">
        <v>20.0</v>
      </c>
    </row>
    <row r="3300">
      <c r="A3300" s="12">
        <v>3298.0</v>
      </c>
      <c r="B3300" s="13" t="s">
        <v>2513</v>
      </c>
      <c r="C3300" s="14">
        <v>5.0</v>
      </c>
      <c r="D3300" s="15" t="s">
        <v>6016</v>
      </c>
      <c r="E3300" s="16" t="s">
        <v>52</v>
      </c>
      <c r="F3300" s="13" t="s">
        <v>2511</v>
      </c>
      <c r="G3300" s="13" t="s">
        <v>61</v>
      </c>
      <c r="H3300" s="13" t="s">
        <v>5693</v>
      </c>
      <c r="I3300" s="13" t="s">
        <v>56</v>
      </c>
      <c r="J3300" s="17" t="s">
        <v>67</v>
      </c>
      <c r="K3300" s="17" t="s">
        <v>58</v>
      </c>
      <c r="L3300" s="18" t="s">
        <v>52</v>
      </c>
      <c r="M3300" s="19">
        <v>73.0</v>
      </c>
      <c r="N3300" s="19">
        <v>20.0</v>
      </c>
    </row>
    <row r="3301">
      <c r="A3301" s="12">
        <v>3299.0</v>
      </c>
      <c r="B3301" s="13" t="s">
        <v>2513</v>
      </c>
      <c r="C3301" s="14">
        <v>6.0</v>
      </c>
      <c r="D3301" s="15" t="s">
        <v>6016</v>
      </c>
      <c r="E3301" s="16" t="s">
        <v>52</v>
      </c>
      <c r="F3301" s="13" t="s">
        <v>1860</v>
      </c>
      <c r="G3301" s="13" t="s">
        <v>6021</v>
      </c>
      <c r="H3301" s="13" t="s">
        <v>6022</v>
      </c>
      <c r="I3301" s="13" t="s">
        <v>56</v>
      </c>
      <c r="J3301" s="17" t="s">
        <v>67</v>
      </c>
      <c r="K3301" s="17" t="s">
        <v>58</v>
      </c>
      <c r="L3301" s="18" t="s">
        <v>52</v>
      </c>
      <c r="M3301" s="19">
        <v>73.0</v>
      </c>
      <c r="N3301" s="19">
        <v>20.0</v>
      </c>
    </row>
    <row r="3302">
      <c r="A3302" s="12">
        <v>3300.0</v>
      </c>
      <c r="B3302" s="13" t="s">
        <v>2513</v>
      </c>
      <c r="C3302" s="14">
        <v>7.0</v>
      </c>
      <c r="D3302" s="15" t="s">
        <v>6016</v>
      </c>
      <c r="E3302" s="16" t="s">
        <v>52</v>
      </c>
      <c r="F3302" s="13" t="s">
        <v>4273</v>
      </c>
      <c r="G3302" s="13" t="s">
        <v>6024</v>
      </c>
      <c r="H3302" s="13" t="s">
        <v>6025</v>
      </c>
      <c r="I3302" s="13" t="s">
        <v>56</v>
      </c>
      <c r="J3302" s="17" t="s">
        <v>67</v>
      </c>
      <c r="K3302" s="17" t="s">
        <v>58</v>
      </c>
      <c r="L3302" s="18" t="s">
        <v>52</v>
      </c>
      <c r="M3302" s="19">
        <v>73.0</v>
      </c>
      <c r="N3302" s="19">
        <v>20.0</v>
      </c>
    </row>
    <row r="3303">
      <c r="A3303" s="12">
        <v>3301.0</v>
      </c>
      <c r="B3303" s="13" t="s">
        <v>2513</v>
      </c>
      <c r="C3303" s="14">
        <v>8.0</v>
      </c>
      <c r="D3303" s="15" t="s">
        <v>6016</v>
      </c>
      <c r="E3303" s="16" t="s">
        <v>52</v>
      </c>
      <c r="F3303" s="13" t="s">
        <v>6026</v>
      </c>
      <c r="G3303" s="13" t="s">
        <v>6027</v>
      </c>
      <c r="H3303" s="13" t="s">
        <v>6028</v>
      </c>
      <c r="I3303" s="13" t="s">
        <v>56</v>
      </c>
      <c r="J3303" s="17" t="s">
        <v>67</v>
      </c>
      <c r="K3303" s="17" t="s">
        <v>58</v>
      </c>
      <c r="L3303" s="18" t="s">
        <v>52</v>
      </c>
      <c r="M3303" s="19">
        <v>73.0</v>
      </c>
      <c r="N3303" s="19">
        <v>20.0</v>
      </c>
    </row>
    <row r="3304">
      <c r="A3304" s="12">
        <v>3302.0</v>
      </c>
      <c r="B3304" s="13" t="s">
        <v>2513</v>
      </c>
      <c r="C3304" s="14">
        <v>9.0</v>
      </c>
      <c r="D3304" s="15" t="s">
        <v>6016</v>
      </c>
      <c r="E3304" s="16" t="s">
        <v>52</v>
      </c>
      <c r="F3304" s="13" t="s">
        <v>3068</v>
      </c>
      <c r="G3304" s="13" t="s">
        <v>61</v>
      </c>
      <c r="H3304" s="13" t="s">
        <v>5951</v>
      </c>
      <c r="I3304" s="13" t="s">
        <v>56</v>
      </c>
      <c r="J3304" s="17" t="s">
        <v>67</v>
      </c>
      <c r="K3304" s="17" t="s">
        <v>58</v>
      </c>
      <c r="L3304" s="18" t="s">
        <v>52</v>
      </c>
      <c r="M3304" s="19">
        <v>73.0</v>
      </c>
      <c r="N3304" s="19">
        <v>20.0</v>
      </c>
    </row>
    <row r="3305">
      <c r="A3305" s="12">
        <v>3303.0</v>
      </c>
      <c r="B3305" s="13" t="s">
        <v>2513</v>
      </c>
      <c r="C3305" s="14">
        <v>10.0</v>
      </c>
      <c r="D3305" s="15" t="s">
        <v>6016</v>
      </c>
      <c r="E3305" s="16" t="s">
        <v>52</v>
      </c>
      <c r="F3305" s="13" t="s">
        <v>4604</v>
      </c>
      <c r="G3305" s="13" t="s">
        <v>6029</v>
      </c>
      <c r="H3305" s="13" t="s">
        <v>6030</v>
      </c>
      <c r="I3305" s="13" t="s">
        <v>56</v>
      </c>
      <c r="J3305" s="17" t="s">
        <v>67</v>
      </c>
      <c r="K3305" s="17" t="s">
        <v>58</v>
      </c>
      <c r="L3305" s="18" t="s">
        <v>52</v>
      </c>
      <c r="M3305" s="19">
        <v>73.0</v>
      </c>
      <c r="N3305" s="19">
        <v>20.0</v>
      </c>
    </row>
    <row r="3306">
      <c r="A3306" s="12">
        <v>3304.0</v>
      </c>
      <c r="B3306" s="13" t="s">
        <v>2513</v>
      </c>
      <c r="C3306" s="14">
        <v>11.0</v>
      </c>
      <c r="D3306" s="15" t="s">
        <v>6016</v>
      </c>
      <c r="E3306" s="16" t="s">
        <v>52</v>
      </c>
      <c r="F3306" s="13" t="s">
        <v>96</v>
      </c>
      <c r="G3306" s="13" t="s">
        <v>5977</v>
      </c>
      <c r="H3306" s="13" t="s">
        <v>6031</v>
      </c>
      <c r="I3306" s="13" t="s">
        <v>56</v>
      </c>
      <c r="J3306" s="17" t="s">
        <v>67</v>
      </c>
      <c r="K3306" s="17" t="s">
        <v>58</v>
      </c>
      <c r="L3306" s="18" t="s">
        <v>52</v>
      </c>
      <c r="M3306" s="19">
        <v>73.0</v>
      </c>
      <c r="N3306" s="19">
        <v>20.0</v>
      </c>
    </row>
    <row r="3307">
      <c r="A3307" s="12">
        <v>3305.0</v>
      </c>
      <c r="B3307" s="13" t="s">
        <v>2513</v>
      </c>
      <c r="C3307" s="14">
        <v>12.0</v>
      </c>
      <c r="D3307" s="15" t="s">
        <v>6016</v>
      </c>
      <c r="E3307" s="16" t="s">
        <v>52</v>
      </c>
      <c r="F3307" s="13" t="s">
        <v>1103</v>
      </c>
      <c r="G3307" s="13" t="s">
        <v>6032</v>
      </c>
      <c r="H3307" s="13" t="s">
        <v>6033</v>
      </c>
      <c r="I3307" s="13" t="s">
        <v>56</v>
      </c>
      <c r="J3307" s="17" t="s">
        <v>67</v>
      </c>
      <c r="K3307" s="17" t="s">
        <v>58</v>
      </c>
      <c r="L3307" s="18" t="s">
        <v>52</v>
      </c>
      <c r="M3307" s="19">
        <v>73.0</v>
      </c>
      <c r="N3307" s="19">
        <v>20.0</v>
      </c>
    </row>
    <row r="3308">
      <c r="A3308" s="12">
        <v>3306.0</v>
      </c>
      <c r="B3308" s="13" t="s">
        <v>2513</v>
      </c>
      <c r="C3308" s="14">
        <v>13.0</v>
      </c>
      <c r="D3308" s="15" t="s">
        <v>6016</v>
      </c>
      <c r="E3308" s="16" t="s">
        <v>52</v>
      </c>
      <c r="F3308" s="13" t="s">
        <v>2031</v>
      </c>
      <c r="G3308" s="13" t="s">
        <v>6034</v>
      </c>
      <c r="H3308" s="13" t="s">
        <v>6035</v>
      </c>
      <c r="I3308" s="13" t="s">
        <v>56</v>
      </c>
      <c r="J3308" s="17" t="s">
        <v>67</v>
      </c>
      <c r="K3308" s="17" t="s">
        <v>58</v>
      </c>
      <c r="L3308" s="18" t="s">
        <v>52</v>
      </c>
      <c r="M3308" s="19">
        <v>73.0</v>
      </c>
      <c r="N3308" s="19">
        <v>20.0</v>
      </c>
    </row>
    <row r="3309">
      <c r="A3309" s="12">
        <v>3307.0</v>
      </c>
      <c r="B3309" s="13" t="s">
        <v>2513</v>
      </c>
      <c r="C3309" s="14">
        <v>14.0</v>
      </c>
      <c r="D3309" s="15" t="s">
        <v>6016</v>
      </c>
      <c r="E3309" s="16" t="s">
        <v>52</v>
      </c>
      <c r="F3309" s="13" t="s">
        <v>5194</v>
      </c>
      <c r="G3309" s="13" t="s">
        <v>6036</v>
      </c>
      <c r="H3309" s="13" t="s">
        <v>6033</v>
      </c>
      <c r="I3309" s="13" t="s">
        <v>56</v>
      </c>
      <c r="J3309" s="17" t="s">
        <v>67</v>
      </c>
      <c r="K3309" s="17" t="s">
        <v>58</v>
      </c>
      <c r="L3309" s="18" t="s">
        <v>52</v>
      </c>
      <c r="M3309" s="19">
        <v>73.0</v>
      </c>
      <c r="N3309" s="19">
        <v>20.0</v>
      </c>
    </row>
    <row r="3310">
      <c r="A3310" s="12">
        <v>3308.0</v>
      </c>
      <c r="B3310" s="13" t="s">
        <v>2513</v>
      </c>
      <c r="C3310" s="14">
        <v>15.0</v>
      </c>
      <c r="D3310" s="15" t="s">
        <v>6016</v>
      </c>
      <c r="E3310" s="16" t="s">
        <v>52</v>
      </c>
      <c r="F3310" s="13" t="s">
        <v>4626</v>
      </c>
      <c r="G3310" s="13" t="s">
        <v>61</v>
      </c>
      <c r="H3310" s="13" t="s">
        <v>6037</v>
      </c>
      <c r="I3310" s="13" t="s">
        <v>56</v>
      </c>
      <c r="J3310" s="17" t="s">
        <v>67</v>
      </c>
      <c r="K3310" s="17" t="s">
        <v>58</v>
      </c>
      <c r="L3310" s="18" t="s">
        <v>52</v>
      </c>
      <c r="M3310" s="19">
        <v>73.0</v>
      </c>
      <c r="N3310" s="19">
        <v>20.0</v>
      </c>
    </row>
    <row r="3311">
      <c r="A3311" s="12">
        <v>3309.0</v>
      </c>
      <c r="B3311" s="13" t="s">
        <v>2513</v>
      </c>
      <c r="C3311" s="14">
        <v>16.0</v>
      </c>
      <c r="D3311" s="15" t="s">
        <v>6016</v>
      </c>
      <c r="E3311" s="16" t="s">
        <v>52</v>
      </c>
      <c r="F3311" s="13" t="s">
        <v>2417</v>
      </c>
      <c r="G3311" s="13" t="s">
        <v>3696</v>
      </c>
      <c r="H3311" s="13" t="s">
        <v>6038</v>
      </c>
      <c r="I3311" s="13" t="s">
        <v>56</v>
      </c>
      <c r="J3311" s="17" t="s">
        <v>67</v>
      </c>
      <c r="K3311" s="17" t="s">
        <v>58</v>
      </c>
      <c r="L3311" s="18" t="s">
        <v>52</v>
      </c>
      <c r="M3311" s="19">
        <v>73.0</v>
      </c>
      <c r="N3311" s="19">
        <v>20.0</v>
      </c>
    </row>
    <row r="3312">
      <c r="A3312" s="12">
        <v>3310.0</v>
      </c>
      <c r="B3312" s="13" t="s">
        <v>2513</v>
      </c>
      <c r="C3312" s="14">
        <v>17.0</v>
      </c>
      <c r="D3312" s="15" t="s">
        <v>6016</v>
      </c>
      <c r="E3312" s="16" t="s">
        <v>52</v>
      </c>
      <c r="F3312" s="13" t="s">
        <v>2545</v>
      </c>
      <c r="G3312" s="13" t="s">
        <v>6039</v>
      </c>
      <c r="H3312" s="13" t="s">
        <v>6040</v>
      </c>
      <c r="I3312" s="13" t="s">
        <v>56</v>
      </c>
      <c r="J3312" s="17" t="s">
        <v>71</v>
      </c>
      <c r="K3312" s="17" t="s">
        <v>58</v>
      </c>
      <c r="L3312" s="18" t="s">
        <v>52</v>
      </c>
      <c r="M3312" s="19">
        <v>73.0</v>
      </c>
      <c r="N3312" s="19">
        <v>30.0</v>
      </c>
    </row>
    <row r="3313">
      <c r="A3313" s="12">
        <v>3311.0</v>
      </c>
      <c r="B3313" s="13" t="s">
        <v>2513</v>
      </c>
      <c r="C3313" s="14">
        <v>18.0</v>
      </c>
      <c r="D3313" s="15" t="s">
        <v>6016</v>
      </c>
      <c r="E3313" s="16" t="s">
        <v>52</v>
      </c>
      <c r="F3313" s="13" t="s">
        <v>2508</v>
      </c>
      <c r="G3313" s="13" t="s">
        <v>61</v>
      </c>
      <c r="H3313" s="13" t="s">
        <v>6041</v>
      </c>
      <c r="I3313" s="13" t="s">
        <v>56</v>
      </c>
      <c r="J3313" s="17" t="s">
        <v>71</v>
      </c>
      <c r="K3313" s="17" t="s">
        <v>58</v>
      </c>
      <c r="L3313" s="18" t="s">
        <v>52</v>
      </c>
      <c r="M3313" s="19">
        <v>73.0</v>
      </c>
      <c r="N3313" s="19">
        <v>30.0</v>
      </c>
    </row>
    <row r="3314">
      <c r="A3314" s="12">
        <v>3312.0</v>
      </c>
      <c r="B3314" s="13" t="s">
        <v>2513</v>
      </c>
      <c r="C3314" s="14">
        <v>19.0</v>
      </c>
      <c r="D3314" s="15" t="s">
        <v>6016</v>
      </c>
      <c r="E3314" s="16" t="s">
        <v>52</v>
      </c>
      <c r="F3314" s="13" t="s">
        <v>2520</v>
      </c>
      <c r="G3314" s="13" t="s">
        <v>6042</v>
      </c>
      <c r="H3314" s="13" t="s">
        <v>6043</v>
      </c>
      <c r="I3314" s="13" t="s">
        <v>56</v>
      </c>
      <c r="J3314" s="17" t="s">
        <v>71</v>
      </c>
      <c r="K3314" s="17" t="s">
        <v>58</v>
      </c>
      <c r="L3314" s="18" t="s">
        <v>52</v>
      </c>
      <c r="M3314" s="19">
        <v>73.0</v>
      </c>
      <c r="N3314" s="19">
        <v>30.0</v>
      </c>
    </row>
    <row r="3315">
      <c r="A3315" s="12">
        <v>3313.0</v>
      </c>
      <c r="B3315" s="13" t="s">
        <v>2513</v>
      </c>
      <c r="C3315" s="14">
        <v>20.0</v>
      </c>
      <c r="D3315" s="15" t="s">
        <v>6016</v>
      </c>
      <c r="E3315" s="16" t="s">
        <v>52</v>
      </c>
      <c r="F3315" s="13" t="s">
        <v>2523</v>
      </c>
      <c r="G3315" s="13" t="s">
        <v>61</v>
      </c>
      <c r="H3315" s="13" t="s">
        <v>6044</v>
      </c>
      <c r="I3315" s="13" t="s">
        <v>56</v>
      </c>
      <c r="J3315" s="17" t="s">
        <v>71</v>
      </c>
      <c r="K3315" s="17" t="s">
        <v>58</v>
      </c>
      <c r="L3315" s="18" t="s">
        <v>52</v>
      </c>
      <c r="M3315" s="19">
        <v>73.0</v>
      </c>
      <c r="N3315" s="19">
        <v>30.0</v>
      </c>
    </row>
    <row r="3316">
      <c r="A3316" s="12">
        <v>3314.0</v>
      </c>
      <c r="B3316" s="13" t="s">
        <v>2513</v>
      </c>
      <c r="C3316" s="14">
        <v>21.0</v>
      </c>
      <c r="D3316" s="15" t="s">
        <v>6016</v>
      </c>
      <c r="E3316" s="16" t="s">
        <v>52</v>
      </c>
      <c r="F3316" s="13" t="s">
        <v>2878</v>
      </c>
      <c r="G3316" s="13" t="s">
        <v>61</v>
      </c>
      <c r="H3316" s="13" t="s">
        <v>6045</v>
      </c>
      <c r="I3316" s="13" t="s">
        <v>56</v>
      </c>
      <c r="J3316" s="17" t="s">
        <v>71</v>
      </c>
      <c r="K3316" s="17" t="s">
        <v>58</v>
      </c>
      <c r="L3316" s="18" t="s">
        <v>52</v>
      </c>
      <c r="M3316" s="19">
        <v>73.0</v>
      </c>
      <c r="N3316" s="19">
        <v>30.0</v>
      </c>
    </row>
    <row r="3317">
      <c r="A3317" s="12">
        <v>3315.0</v>
      </c>
      <c r="B3317" s="13" t="s">
        <v>2513</v>
      </c>
      <c r="C3317" s="14">
        <v>22.0</v>
      </c>
      <c r="D3317" s="15" t="s">
        <v>6016</v>
      </c>
      <c r="E3317" s="16" t="s">
        <v>52</v>
      </c>
      <c r="F3317" s="13" t="s">
        <v>3262</v>
      </c>
      <c r="G3317" s="13" t="s">
        <v>61</v>
      </c>
      <c r="H3317" s="13" t="s">
        <v>6046</v>
      </c>
      <c r="I3317" s="13" t="s">
        <v>56</v>
      </c>
      <c r="J3317" s="17" t="s">
        <v>71</v>
      </c>
      <c r="K3317" s="17" t="s">
        <v>58</v>
      </c>
      <c r="L3317" s="18" t="s">
        <v>52</v>
      </c>
      <c r="M3317" s="19">
        <v>73.0</v>
      </c>
      <c r="N3317" s="19">
        <v>30.0</v>
      </c>
    </row>
    <row r="3318">
      <c r="A3318" s="12">
        <v>3316.0</v>
      </c>
      <c r="B3318" s="13" t="s">
        <v>2513</v>
      </c>
      <c r="C3318" s="14">
        <v>23.0</v>
      </c>
      <c r="D3318" s="15" t="s">
        <v>6016</v>
      </c>
      <c r="E3318" s="16" t="s">
        <v>52</v>
      </c>
      <c r="F3318" s="13" t="s">
        <v>1162</v>
      </c>
      <c r="G3318" s="13" t="s">
        <v>61</v>
      </c>
      <c r="H3318" s="13" t="s">
        <v>6047</v>
      </c>
      <c r="I3318" s="13" t="s">
        <v>56</v>
      </c>
      <c r="J3318" s="17" t="s">
        <v>71</v>
      </c>
      <c r="K3318" s="17" t="s">
        <v>58</v>
      </c>
      <c r="L3318" s="18" t="s">
        <v>52</v>
      </c>
      <c r="M3318" s="19">
        <v>73.0</v>
      </c>
      <c r="N3318" s="19">
        <v>30.0</v>
      </c>
    </row>
    <row r="3319">
      <c r="A3319" s="12">
        <v>3317.0</v>
      </c>
      <c r="B3319" s="13" t="s">
        <v>2513</v>
      </c>
      <c r="C3319" s="14">
        <v>24.0</v>
      </c>
      <c r="D3319" s="15" t="s">
        <v>6016</v>
      </c>
      <c r="E3319" s="16" t="s">
        <v>52</v>
      </c>
      <c r="F3319" s="13" t="s">
        <v>2535</v>
      </c>
      <c r="G3319" s="13" t="s">
        <v>61</v>
      </c>
      <c r="H3319" s="13" t="s">
        <v>6048</v>
      </c>
      <c r="I3319" s="13" t="s">
        <v>56</v>
      </c>
      <c r="J3319" s="17" t="s">
        <v>71</v>
      </c>
      <c r="K3319" s="17" t="s">
        <v>58</v>
      </c>
      <c r="L3319" s="18" t="s">
        <v>52</v>
      </c>
      <c r="M3319" s="19">
        <v>73.0</v>
      </c>
      <c r="N3319" s="19">
        <v>30.0</v>
      </c>
    </row>
    <row r="3320">
      <c r="A3320" s="12">
        <v>3318.0</v>
      </c>
      <c r="B3320" s="13" t="s">
        <v>2513</v>
      </c>
      <c r="C3320" s="14">
        <v>25.0</v>
      </c>
      <c r="D3320" s="15" t="s">
        <v>6016</v>
      </c>
      <c r="E3320" s="16" t="s">
        <v>52</v>
      </c>
      <c r="F3320" s="13" t="s">
        <v>2564</v>
      </c>
      <c r="G3320" s="13" t="s">
        <v>61</v>
      </c>
      <c r="H3320" s="13" t="s">
        <v>6049</v>
      </c>
      <c r="I3320" s="13" t="s">
        <v>56</v>
      </c>
      <c r="J3320" s="17" t="s">
        <v>71</v>
      </c>
      <c r="K3320" s="17" t="s">
        <v>58</v>
      </c>
      <c r="L3320" s="18" t="s">
        <v>52</v>
      </c>
      <c r="M3320" s="19">
        <v>73.0</v>
      </c>
      <c r="N3320" s="19">
        <v>30.0</v>
      </c>
    </row>
    <row r="3321">
      <c r="A3321" s="12">
        <v>3319.0</v>
      </c>
      <c r="B3321" s="13" t="s">
        <v>2513</v>
      </c>
      <c r="C3321" s="14">
        <v>26.0</v>
      </c>
      <c r="D3321" s="15" t="s">
        <v>6016</v>
      </c>
      <c r="E3321" s="16" t="s">
        <v>52</v>
      </c>
      <c r="F3321" s="13" t="s">
        <v>4771</v>
      </c>
      <c r="G3321" s="13" t="s">
        <v>5707</v>
      </c>
      <c r="H3321" s="13" t="s">
        <v>6050</v>
      </c>
      <c r="I3321" s="13" t="s">
        <v>56</v>
      </c>
      <c r="J3321" s="17" t="s">
        <v>71</v>
      </c>
      <c r="K3321" s="17" t="s">
        <v>58</v>
      </c>
      <c r="L3321" s="18" t="s">
        <v>52</v>
      </c>
      <c r="M3321" s="19">
        <v>73.0</v>
      </c>
      <c r="N3321" s="19">
        <v>30.0</v>
      </c>
    </row>
    <row r="3322">
      <c r="A3322" s="12">
        <v>3320.0</v>
      </c>
      <c r="B3322" s="13" t="s">
        <v>2513</v>
      </c>
      <c r="C3322" s="14">
        <v>27.0</v>
      </c>
      <c r="D3322" s="15" t="s">
        <v>6016</v>
      </c>
      <c r="E3322" s="16" t="s">
        <v>52</v>
      </c>
      <c r="F3322" s="13" t="s">
        <v>2091</v>
      </c>
      <c r="G3322" s="13" t="s">
        <v>61</v>
      </c>
      <c r="H3322" s="13" t="s">
        <v>6051</v>
      </c>
      <c r="I3322" s="13" t="s">
        <v>56</v>
      </c>
      <c r="J3322" s="17" t="s">
        <v>71</v>
      </c>
      <c r="K3322" s="17" t="s">
        <v>58</v>
      </c>
      <c r="L3322" s="18" t="s">
        <v>52</v>
      </c>
      <c r="M3322" s="19">
        <v>73.0</v>
      </c>
      <c r="N3322" s="19">
        <v>30.0</v>
      </c>
    </row>
    <row r="3323">
      <c r="A3323" s="12">
        <v>3321.0</v>
      </c>
      <c r="B3323" s="13" t="s">
        <v>2513</v>
      </c>
      <c r="C3323" s="14">
        <v>28.0</v>
      </c>
      <c r="D3323" s="15" t="s">
        <v>6016</v>
      </c>
      <c r="E3323" s="16" t="s">
        <v>52</v>
      </c>
      <c r="F3323" s="13" t="s">
        <v>4505</v>
      </c>
      <c r="G3323" s="13" t="s">
        <v>6052</v>
      </c>
      <c r="H3323" s="13" t="s">
        <v>6033</v>
      </c>
      <c r="I3323" s="13" t="s">
        <v>56</v>
      </c>
      <c r="J3323" s="17" t="s">
        <v>71</v>
      </c>
      <c r="K3323" s="17" t="s">
        <v>58</v>
      </c>
      <c r="L3323" s="18" t="s">
        <v>52</v>
      </c>
      <c r="M3323" s="19">
        <v>73.0</v>
      </c>
      <c r="N3323" s="19">
        <v>30.0</v>
      </c>
    </row>
    <row r="3324">
      <c r="A3324" s="12">
        <v>3322.0</v>
      </c>
      <c r="B3324" s="13" t="s">
        <v>2513</v>
      </c>
      <c r="C3324" s="14">
        <v>29.0</v>
      </c>
      <c r="D3324" s="15" t="s">
        <v>6016</v>
      </c>
      <c r="E3324" s="16" t="s">
        <v>52</v>
      </c>
      <c r="F3324" s="13" t="s">
        <v>4561</v>
      </c>
      <c r="G3324" s="13" t="s">
        <v>6053</v>
      </c>
      <c r="H3324" s="13" t="s">
        <v>6054</v>
      </c>
      <c r="I3324" s="13" t="s">
        <v>56</v>
      </c>
      <c r="J3324" s="17" t="s">
        <v>71</v>
      </c>
      <c r="K3324" s="17" t="s">
        <v>58</v>
      </c>
      <c r="L3324" s="18" t="s">
        <v>52</v>
      </c>
      <c r="M3324" s="19">
        <v>73.0</v>
      </c>
      <c r="N3324" s="19">
        <v>30.0</v>
      </c>
    </row>
    <row r="3325">
      <c r="A3325" s="12">
        <v>3323.0</v>
      </c>
      <c r="B3325" s="13" t="s">
        <v>2513</v>
      </c>
      <c r="C3325" s="14">
        <v>30.0</v>
      </c>
      <c r="D3325" s="15" t="s">
        <v>6055</v>
      </c>
      <c r="E3325" s="16" t="s">
        <v>52</v>
      </c>
      <c r="F3325" s="13" t="s">
        <v>3351</v>
      </c>
      <c r="G3325" s="13" t="s">
        <v>3352</v>
      </c>
      <c r="H3325" s="13" t="s">
        <v>6056</v>
      </c>
      <c r="I3325" s="13" t="s">
        <v>63</v>
      </c>
      <c r="J3325" s="17" t="s">
        <v>71</v>
      </c>
      <c r="K3325" s="17" t="s">
        <v>58</v>
      </c>
      <c r="L3325" s="18" t="s">
        <v>52</v>
      </c>
      <c r="M3325" s="19">
        <v>73.0</v>
      </c>
      <c r="N3325" s="19">
        <v>31.0</v>
      </c>
    </row>
    <row r="3326">
      <c r="A3326" s="12">
        <v>3324.0</v>
      </c>
      <c r="B3326" s="13" t="s">
        <v>2539</v>
      </c>
      <c r="C3326" s="14">
        <v>1.0</v>
      </c>
      <c r="D3326" s="15" t="s">
        <v>6057</v>
      </c>
      <c r="E3326" s="16" t="s">
        <v>52</v>
      </c>
      <c r="F3326" s="13" t="s">
        <v>3351</v>
      </c>
      <c r="G3326" s="13" t="s">
        <v>3352</v>
      </c>
      <c r="H3326" s="13" t="s">
        <v>3353</v>
      </c>
      <c r="I3326" s="13" t="s">
        <v>63</v>
      </c>
      <c r="J3326" s="17" t="s">
        <v>57</v>
      </c>
      <c r="K3326" s="17" t="s">
        <v>58</v>
      </c>
      <c r="L3326" s="18" t="s">
        <v>52</v>
      </c>
      <c r="M3326" s="19">
        <v>74.0</v>
      </c>
      <c r="N3326" s="19">
        <v>11.0</v>
      </c>
    </row>
    <row r="3327">
      <c r="A3327" s="12">
        <v>3325.0</v>
      </c>
      <c r="B3327" s="13" t="s">
        <v>2539</v>
      </c>
      <c r="C3327" s="14">
        <v>2.0</v>
      </c>
      <c r="D3327" s="15" t="s">
        <v>6057</v>
      </c>
      <c r="E3327" s="16" t="s">
        <v>52</v>
      </c>
      <c r="F3327" s="13" t="s">
        <v>4771</v>
      </c>
      <c r="G3327" s="13" t="s">
        <v>6058</v>
      </c>
      <c r="H3327" s="13" t="s">
        <v>6059</v>
      </c>
      <c r="I3327" s="13" t="s">
        <v>63</v>
      </c>
      <c r="J3327" s="17" t="s">
        <v>57</v>
      </c>
      <c r="K3327" s="17" t="s">
        <v>58</v>
      </c>
      <c r="L3327" s="18" t="s">
        <v>52</v>
      </c>
      <c r="M3327" s="19">
        <v>74.0</v>
      </c>
      <c r="N3327" s="19">
        <v>11.0</v>
      </c>
    </row>
    <row r="3328">
      <c r="A3328" s="12">
        <v>3326.0</v>
      </c>
      <c r="B3328" s="13" t="s">
        <v>2539</v>
      </c>
      <c r="C3328" s="14">
        <v>3.0</v>
      </c>
      <c r="D3328" s="15" t="s">
        <v>6057</v>
      </c>
      <c r="E3328" s="16" t="s">
        <v>52</v>
      </c>
      <c r="F3328" s="13" t="s">
        <v>2529</v>
      </c>
      <c r="G3328" s="13" t="s">
        <v>2530</v>
      </c>
      <c r="H3328" s="13" t="s">
        <v>6060</v>
      </c>
      <c r="I3328" s="13" t="s">
        <v>63</v>
      </c>
      <c r="J3328" s="17" t="s">
        <v>67</v>
      </c>
      <c r="K3328" s="17" t="s">
        <v>58</v>
      </c>
      <c r="L3328" s="18" t="s">
        <v>52</v>
      </c>
      <c r="M3328" s="19">
        <v>74.0</v>
      </c>
      <c r="N3328" s="19">
        <v>21.0</v>
      </c>
    </row>
    <row r="3329">
      <c r="A3329" s="12">
        <v>3327.0</v>
      </c>
      <c r="B3329" s="13" t="s">
        <v>2539</v>
      </c>
      <c r="C3329" s="14">
        <v>4.0</v>
      </c>
      <c r="D3329" s="15" t="s">
        <v>6057</v>
      </c>
      <c r="E3329" s="16" t="s">
        <v>52</v>
      </c>
      <c r="F3329" s="13" t="s">
        <v>1103</v>
      </c>
      <c r="G3329" s="13" t="s">
        <v>6061</v>
      </c>
      <c r="H3329" s="13" t="s">
        <v>6062</v>
      </c>
      <c r="I3329" s="13" t="s">
        <v>63</v>
      </c>
      <c r="J3329" s="17" t="s">
        <v>67</v>
      </c>
      <c r="K3329" s="17" t="s">
        <v>58</v>
      </c>
      <c r="L3329" s="18" t="s">
        <v>52</v>
      </c>
      <c r="M3329" s="19">
        <v>74.0</v>
      </c>
      <c r="N3329" s="19">
        <v>21.0</v>
      </c>
    </row>
    <row r="3330">
      <c r="A3330" s="12">
        <v>3328.0</v>
      </c>
      <c r="B3330" s="13" t="s">
        <v>2539</v>
      </c>
      <c r="C3330" s="14">
        <v>5.0</v>
      </c>
      <c r="D3330" s="15" t="s">
        <v>6057</v>
      </c>
      <c r="E3330" s="16" t="s">
        <v>52</v>
      </c>
      <c r="F3330" s="13" t="s">
        <v>124</v>
      </c>
      <c r="G3330" s="13" t="s">
        <v>6063</v>
      </c>
      <c r="H3330" s="13" t="s">
        <v>6064</v>
      </c>
      <c r="I3330" s="13" t="s">
        <v>63</v>
      </c>
      <c r="J3330" s="17" t="s">
        <v>71</v>
      </c>
      <c r="K3330" s="17" t="s">
        <v>58</v>
      </c>
      <c r="L3330" s="18" t="s">
        <v>52</v>
      </c>
      <c r="M3330" s="19">
        <v>74.0</v>
      </c>
      <c r="N3330" s="19">
        <v>31.0</v>
      </c>
    </row>
    <row r="3331">
      <c r="A3331" s="12">
        <v>3329.0</v>
      </c>
      <c r="B3331" s="13" t="s">
        <v>2539</v>
      </c>
      <c r="C3331" s="14">
        <v>6.0</v>
      </c>
      <c r="D3331" s="15" t="s">
        <v>6057</v>
      </c>
      <c r="E3331" s="16" t="s">
        <v>52</v>
      </c>
      <c r="F3331" s="13" t="s">
        <v>2545</v>
      </c>
      <c r="G3331" s="13" t="s">
        <v>5806</v>
      </c>
      <c r="H3331" s="13" t="s">
        <v>6066</v>
      </c>
      <c r="I3331" s="13" t="s">
        <v>63</v>
      </c>
      <c r="J3331" s="17" t="s">
        <v>71</v>
      </c>
      <c r="K3331" s="17" t="s">
        <v>58</v>
      </c>
      <c r="L3331" s="18" t="s">
        <v>52</v>
      </c>
      <c r="M3331" s="19">
        <v>74.0</v>
      </c>
      <c r="N3331" s="19">
        <v>31.0</v>
      </c>
    </row>
    <row r="3332">
      <c r="A3332" s="12">
        <v>3330.0</v>
      </c>
      <c r="B3332" s="13" t="s">
        <v>2539</v>
      </c>
      <c r="C3332" s="14">
        <v>7.0</v>
      </c>
      <c r="D3332" s="15" t="s">
        <v>6057</v>
      </c>
      <c r="E3332" s="16" t="s">
        <v>52</v>
      </c>
      <c r="F3332" s="13" t="s">
        <v>3321</v>
      </c>
      <c r="G3332" s="13" t="s">
        <v>5358</v>
      </c>
      <c r="H3332" s="13" t="s">
        <v>6068</v>
      </c>
      <c r="I3332" s="13" t="s">
        <v>63</v>
      </c>
      <c r="J3332" s="17" t="s">
        <v>71</v>
      </c>
      <c r="K3332" s="17" t="s">
        <v>58</v>
      </c>
      <c r="L3332" s="18" t="s">
        <v>52</v>
      </c>
      <c r="M3332" s="19">
        <v>74.0</v>
      </c>
      <c r="N3332" s="19">
        <v>31.0</v>
      </c>
    </row>
    <row r="3333">
      <c r="A3333" s="12">
        <v>3331.0</v>
      </c>
      <c r="B3333" s="13" t="s">
        <v>2539</v>
      </c>
      <c r="C3333" s="14">
        <v>8.0</v>
      </c>
      <c r="D3333" s="15" t="s">
        <v>6057</v>
      </c>
      <c r="E3333" s="16" t="s">
        <v>52</v>
      </c>
      <c r="F3333" s="13" t="s">
        <v>231</v>
      </c>
      <c r="G3333" s="13" t="s">
        <v>233</v>
      </c>
      <c r="H3333" s="13" t="s">
        <v>6069</v>
      </c>
      <c r="I3333" s="13" t="s">
        <v>63</v>
      </c>
      <c r="J3333" s="17" t="s">
        <v>71</v>
      </c>
      <c r="K3333" s="17" t="s">
        <v>58</v>
      </c>
      <c r="L3333" s="18" t="s">
        <v>52</v>
      </c>
      <c r="M3333" s="19">
        <v>74.0</v>
      </c>
      <c r="N3333" s="19">
        <v>31.0</v>
      </c>
    </row>
    <row r="3334">
      <c r="A3334" s="12">
        <v>3332.0</v>
      </c>
      <c r="B3334" s="13" t="s">
        <v>2539</v>
      </c>
      <c r="C3334" s="14">
        <v>9.0</v>
      </c>
      <c r="D3334" s="15" t="s">
        <v>6057</v>
      </c>
      <c r="E3334" s="16" t="s">
        <v>52</v>
      </c>
      <c r="F3334" s="13" t="s">
        <v>4236</v>
      </c>
      <c r="G3334" s="13" t="s">
        <v>4566</v>
      </c>
      <c r="H3334" s="13" t="s">
        <v>6071</v>
      </c>
      <c r="I3334" s="13" t="s">
        <v>63</v>
      </c>
      <c r="J3334" s="17" t="s">
        <v>71</v>
      </c>
      <c r="K3334" s="17" t="s">
        <v>58</v>
      </c>
      <c r="L3334" s="18" t="s">
        <v>52</v>
      </c>
      <c r="M3334" s="19">
        <v>74.0</v>
      </c>
      <c r="N3334" s="19">
        <v>31.0</v>
      </c>
    </row>
    <row r="3335">
      <c r="A3335" s="12">
        <v>3333.0</v>
      </c>
      <c r="B3335" s="13" t="s">
        <v>2539</v>
      </c>
      <c r="C3335" s="14">
        <v>10.0</v>
      </c>
      <c r="D3335" s="15" t="s">
        <v>6057</v>
      </c>
      <c r="E3335" s="16" t="s">
        <v>52</v>
      </c>
      <c r="F3335" s="13" t="s">
        <v>98</v>
      </c>
      <c r="G3335" s="13" t="s">
        <v>61</v>
      </c>
      <c r="H3335" s="13" t="s">
        <v>6072</v>
      </c>
      <c r="I3335" s="13" t="s">
        <v>63</v>
      </c>
      <c r="J3335" s="17" t="s">
        <v>71</v>
      </c>
      <c r="K3335" s="17" t="s">
        <v>58</v>
      </c>
      <c r="L3335" s="18" t="s">
        <v>52</v>
      </c>
      <c r="M3335" s="19">
        <v>74.0</v>
      </c>
      <c r="N3335" s="19">
        <v>31.0</v>
      </c>
    </row>
    <row r="3336">
      <c r="A3336" s="12">
        <v>3334.0</v>
      </c>
      <c r="B3336" s="13" t="s">
        <v>2539</v>
      </c>
      <c r="C3336" s="14">
        <v>11.0</v>
      </c>
      <c r="D3336" s="15" t="s">
        <v>6057</v>
      </c>
      <c r="E3336" s="16" t="s">
        <v>52</v>
      </c>
      <c r="F3336" s="13" t="s">
        <v>4581</v>
      </c>
      <c r="G3336" s="13" t="s">
        <v>5862</v>
      </c>
      <c r="H3336" s="13" t="s">
        <v>5887</v>
      </c>
      <c r="I3336" s="13" t="s">
        <v>63</v>
      </c>
      <c r="J3336" s="17" t="s">
        <v>71</v>
      </c>
      <c r="K3336" s="17" t="s">
        <v>58</v>
      </c>
      <c r="L3336" s="18" t="s">
        <v>52</v>
      </c>
      <c r="M3336" s="19">
        <v>74.0</v>
      </c>
      <c r="N3336" s="19">
        <v>31.0</v>
      </c>
    </row>
    <row r="3337">
      <c r="A3337" s="12">
        <v>3335.0</v>
      </c>
      <c r="B3337" s="13" t="s">
        <v>2539</v>
      </c>
      <c r="C3337" s="14">
        <v>12.0</v>
      </c>
      <c r="D3337" s="15" t="s">
        <v>6057</v>
      </c>
      <c r="E3337" s="16" t="s">
        <v>52</v>
      </c>
      <c r="F3337" s="13" t="s">
        <v>91</v>
      </c>
      <c r="G3337" s="13" t="s">
        <v>61</v>
      </c>
      <c r="H3337" s="13" t="s">
        <v>5597</v>
      </c>
      <c r="I3337" s="13" t="s">
        <v>63</v>
      </c>
      <c r="J3337" s="17" t="s">
        <v>71</v>
      </c>
      <c r="K3337" s="17" t="s">
        <v>58</v>
      </c>
      <c r="L3337" s="18" t="s">
        <v>52</v>
      </c>
      <c r="M3337" s="19">
        <v>74.0</v>
      </c>
      <c r="N3337" s="19">
        <v>31.0</v>
      </c>
    </row>
    <row r="3338">
      <c r="A3338" s="12">
        <v>3336.0</v>
      </c>
      <c r="B3338" s="13" t="s">
        <v>2539</v>
      </c>
      <c r="C3338" s="14">
        <v>13.0</v>
      </c>
      <c r="D3338" s="15" t="s">
        <v>6057</v>
      </c>
      <c r="E3338" s="16" t="s">
        <v>52</v>
      </c>
      <c r="F3338" s="13" t="s">
        <v>160</v>
      </c>
      <c r="G3338" s="13" t="s">
        <v>161</v>
      </c>
      <c r="H3338" s="13" t="s">
        <v>164</v>
      </c>
      <c r="I3338" s="13" t="s">
        <v>63</v>
      </c>
      <c r="J3338" s="17" t="s">
        <v>71</v>
      </c>
      <c r="K3338" s="17" t="s">
        <v>58</v>
      </c>
      <c r="L3338" s="18" t="s">
        <v>52</v>
      </c>
      <c r="M3338" s="19">
        <v>74.0</v>
      </c>
      <c r="N3338" s="19">
        <v>31.0</v>
      </c>
    </row>
    <row r="3339">
      <c r="A3339" s="12">
        <v>3337.0</v>
      </c>
      <c r="B3339" s="13" t="s">
        <v>2539</v>
      </c>
      <c r="C3339" s="14">
        <v>14.0</v>
      </c>
      <c r="D3339" s="15" t="s">
        <v>6057</v>
      </c>
      <c r="E3339" s="16" t="s">
        <v>52</v>
      </c>
      <c r="F3339" s="13" t="s">
        <v>2497</v>
      </c>
      <c r="G3339" s="13" t="s">
        <v>5880</v>
      </c>
      <c r="H3339" s="13" t="s">
        <v>5680</v>
      </c>
      <c r="I3339" s="13" t="s">
        <v>63</v>
      </c>
      <c r="J3339" s="17" t="s">
        <v>71</v>
      </c>
      <c r="K3339" s="17" t="s">
        <v>58</v>
      </c>
      <c r="L3339" s="18" t="s">
        <v>52</v>
      </c>
      <c r="M3339" s="19">
        <v>74.0</v>
      </c>
      <c r="N3339" s="19">
        <v>31.0</v>
      </c>
    </row>
    <row r="3340">
      <c r="A3340" s="12">
        <v>3338.0</v>
      </c>
      <c r="B3340" s="13" t="s">
        <v>2539</v>
      </c>
      <c r="C3340" s="14">
        <v>15.0</v>
      </c>
      <c r="D3340" s="15" t="s">
        <v>6057</v>
      </c>
      <c r="E3340" s="16" t="s">
        <v>52</v>
      </c>
      <c r="F3340" s="13" t="s">
        <v>2508</v>
      </c>
      <c r="G3340" s="13" t="s">
        <v>5367</v>
      </c>
      <c r="H3340" s="13" t="s">
        <v>5680</v>
      </c>
      <c r="I3340" s="13" t="s">
        <v>63</v>
      </c>
      <c r="J3340" s="17" t="s">
        <v>71</v>
      </c>
      <c r="K3340" s="17" t="s">
        <v>58</v>
      </c>
      <c r="L3340" s="18" t="s">
        <v>52</v>
      </c>
      <c r="M3340" s="19">
        <v>74.0</v>
      </c>
      <c r="N3340" s="19">
        <v>31.0</v>
      </c>
    </row>
    <row r="3341">
      <c r="A3341" s="12">
        <v>3339.0</v>
      </c>
      <c r="B3341" s="13" t="s">
        <v>2539</v>
      </c>
      <c r="C3341" s="14">
        <v>16.0</v>
      </c>
      <c r="D3341" s="15" t="s">
        <v>6057</v>
      </c>
      <c r="E3341" s="16" t="s">
        <v>52</v>
      </c>
      <c r="F3341" s="13" t="s">
        <v>2511</v>
      </c>
      <c r="G3341" s="13" t="s">
        <v>6077</v>
      </c>
      <c r="H3341" s="13" t="s">
        <v>5680</v>
      </c>
      <c r="I3341" s="13" t="s">
        <v>63</v>
      </c>
      <c r="J3341" s="17" t="s">
        <v>71</v>
      </c>
      <c r="K3341" s="17" t="s">
        <v>58</v>
      </c>
      <c r="L3341" s="18" t="s">
        <v>52</v>
      </c>
      <c r="M3341" s="19">
        <v>74.0</v>
      </c>
      <c r="N3341" s="19">
        <v>31.0</v>
      </c>
    </row>
    <row r="3342">
      <c r="A3342" s="12">
        <v>3340.0</v>
      </c>
      <c r="B3342" s="13" t="s">
        <v>2539</v>
      </c>
      <c r="C3342" s="14">
        <v>17.0</v>
      </c>
      <c r="D3342" s="15" t="s">
        <v>6057</v>
      </c>
      <c r="E3342" s="16" t="s">
        <v>52</v>
      </c>
      <c r="F3342" s="13" t="s">
        <v>101</v>
      </c>
      <c r="G3342" s="13" t="s">
        <v>3197</v>
      </c>
      <c r="H3342" s="13" t="s">
        <v>6078</v>
      </c>
      <c r="I3342" s="13" t="s">
        <v>63</v>
      </c>
      <c r="J3342" s="17" t="s">
        <v>71</v>
      </c>
      <c r="K3342" s="17" t="s">
        <v>58</v>
      </c>
      <c r="L3342" s="18" t="s">
        <v>52</v>
      </c>
      <c r="M3342" s="19">
        <v>74.0</v>
      </c>
      <c r="N3342" s="19">
        <v>31.0</v>
      </c>
    </row>
    <row r="3343">
      <c r="A3343" s="12">
        <v>3341.0</v>
      </c>
      <c r="B3343" s="13" t="s">
        <v>2539</v>
      </c>
      <c r="C3343" s="14">
        <v>18.0</v>
      </c>
      <c r="D3343" s="15" t="s">
        <v>6057</v>
      </c>
      <c r="E3343" s="16" t="s">
        <v>52</v>
      </c>
      <c r="F3343" s="13" t="s">
        <v>2513</v>
      </c>
      <c r="G3343" s="13" t="s">
        <v>6079</v>
      </c>
      <c r="H3343" s="13" t="s">
        <v>6080</v>
      </c>
      <c r="I3343" s="13" t="s">
        <v>63</v>
      </c>
      <c r="J3343" s="17" t="s">
        <v>71</v>
      </c>
      <c r="K3343" s="17" t="s">
        <v>58</v>
      </c>
      <c r="L3343" s="18" t="s">
        <v>52</v>
      </c>
      <c r="M3343" s="19">
        <v>74.0</v>
      </c>
      <c r="N3343" s="19">
        <v>31.0</v>
      </c>
    </row>
    <row r="3344">
      <c r="A3344" s="12">
        <v>3342.0</v>
      </c>
      <c r="B3344" s="13" t="s">
        <v>2539</v>
      </c>
      <c r="C3344" s="14">
        <v>19.0</v>
      </c>
      <c r="D3344" s="15" t="s">
        <v>6057</v>
      </c>
      <c r="E3344" s="16" t="s">
        <v>52</v>
      </c>
      <c r="F3344" s="13" t="s">
        <v>2520</v>
      </c>
      <c r="G3344" s="13" t="s">
        <v>6042</v>
      </c>
      <c r="H3344" s="13" t="s">
        <v>6081</v>
      </c>
      <c r="I3344" s="13" t="s">
        <v>63</v>
      </c>
      <c r="J3344" s="17" t="s">
        <v>71</v>
      </c>
      <c r="K3344" s="17" t="s">
        <v>58</v>
      </c>
      <c r="L3344" s="18" t="s">
        <v>52</v>
      </c>
      <c r="M3344" s="19">
        <v>74.0</v>
      </c>
      <c r="N3344" s="19">
        <v>31.0</v>
      </c>
    </row>
    <row r="3345">
      <c r="A3345" s="12">
        <v>3343.0</v>
      </c>
      <c r="B3345" s="13" t="s">
        <v>2539</v>
      </c>
      <c r="C3345" s="14">
        <v>20.0</v>
      </c>
      <c r="D3345" s="15" t="s">
        <v>6057</v>
      </c>
      <c r="E3345" s="16" t="s">
        <v>52</v>
      </c>
      <c r="F3345" s="13" t="s">
        <v>2523</v>
      </c>
      <c r="G3345" s="13" t="s">
        <v>2524</v>
      </c>
      <c r="H3345" s="13" t="s">
        <v>6083</v>
      </c>
      <c r="I3345" s="13" t="s">
        <v>63</v>
      </c>
      <c r="J3345" s="17" t="s">
        <v>71</v>
      </c>
      <c r="K3345" s="17" t="s">
        <v>58</v>
      </c>
      <c r="L3345" s="18" t="s">
        <v>52</v>
      </c>
      <c r="M3345" s="19">
        <v>74.0</v>
      </c>
      <c r="N3345" s="19">
        <v>31.0</v>
      </c>
    </row>
    <row r="3346">
      <c r="A3346" s="12">
        <v>3344.0</v>
      </c>
      <c r="B3346" s="13" t="s">
        <v>2539</v>
      </c>
      <c r="C3346" s="14">
        <v>21.0</v>
      </c>
      <c r="D3346" s="15" t="s">
        <v>6057</v>
      </c>
      <c r="E3346" s="16" t="s">
        <v>52</v>
      </c>
      <c r="F3346" s="13" t="s">
        <v>4626</v>
      </c>
      <c r="G3346" s="13" t="s">
        <v>5792</v>
      </c>
      <c r="H3346" s="13" t="s">
        <v>6084</v>
      </c>
      <c r="I3346" s="13" t="s">
        <v>63</v>
      </c>
      <c r="J3346" s="17" t="s">
        <v>71</v>
      </c>
      <c r="K3346" s="17" t="s">
        <v>58</v>
      </c>
      <c r="L3346" s="18" t="s">
        <v>52</v>
      </c>
      <c r="M3346" s="19">
        <v>74.0</v>
      </c>
      <c r="N3346" s="19">
        <v>31.0</v>
      </c>
    </row>
    <row r="3347">
      <c r="A3347" s="12">
        <v>3345.0</v>
      </c>
      <c r="B3347" s="13" t="s">
        <v>2539</v>
      </c>
      <c r="C3347" s="14">
        <v>22.0</v>
      </c>
      <c r="D3347" s="15" t="s">
        <v>6057</v>
      </c>
      <c r="E3347" s="16" t="s">
        <v>52</v>
      </c>
      <c r="F3347" s="13" t="s">
        <v>2878</v>
      </c>
      <c r="G3347" s="13" t="s">
        <v>4818</v>
      </c>
      <c r="H3347" s="13" t="s">
        <v>5719</v>
      </c>
      <c r="I3347" s="13" t="s">
        <v>63</v>
      </c>
      <c r="J3347" s="17" t="s">
        <v>71</v>
      </c>
      <c r="K3347" s="17" t="s">
        <v>58</v>
      </c>
      <c r="L3347" s="18" t="s">
        <v>52</v>
      </c>
      <c r="M3347" s="19">
        <v>74.0</v>
      </c>
      <c r="N3347" s="19">
        <v>31.0</v>
      </c>
    </row>
    <row r="3348">
      <c r="A3348" s="12">
        <v>3346.0</v>
      </c>
      <c r="B3348" s="13" t="s">
        <v>2539</v>
      </c>
      <c r="C3348" s="14">
        <v>23.0</v>
      </c>
      <c r="D3348" s="15" t="s">
        <v>6057</v>
      </c>
      <c r="E3348" s="16" t="s">
        <v>52</v>
      </c>
      <c r="F3348" s="13" t="s">
        <v>2488</v>
      </c>
      <c r="G3348" s="13" t="s">
        <v>6086</v>
      </c>
      <c r="H3348" s="13" t="s">
        <v>6087</v>
      </c>
      <c r="I3348" s="13" t="s">
        <v>63</v>
      </c>
      <c r="J3348" s="17" t="s">
        <v>71</v>
      </c>
      <c r="K3348" s="17" t="s">
        <v>58</v>
      </c>
      <c r="L3348" s="18" t="s">
        <v>52</v>
      </c>
      <c r="M3348" s="19">
        <v>74.0</v>
      </c>
      <c r="N3348" s="19">
        <v>31.0</v>
      </c>
    </row>
    <row r="3349">
      <c r="A3349" s="12">
        <v>3347.0</v>
      </c>
      <c r="B3349" s="13" t="s">
        <v>2539</v>
      </c>
      <c r="C3349" s="14">
        <v>24.0</v>
      </c>
      <c r="D3349" s="15" t="s">
        <v>6057</v>
      </c>
      <c r="E3349" s="16" t="s">
        <v>52</v>
      </c>
      <c r="F3349" s="13" t="s">
        <v>1156</v>
      </c>
      <c r="G3349" s="13" t="s">
        <v>5753</v>
      </c>
      <c r="H3349" s="13" t="s">
        <v>6089</v>
      </c>
      <c r="I3349" s="13" t="s">
        <v>63</v>
      </c>
      <c r="J3349" s="17" t="s">
        <v>71</v>
      </c>
      <c r="K3349" s="17" t="s">
        <v>58</v>
      </c>
      <c r="L3349" s="18" t="s">
        <v>52</v>
      </c>
      <c r="M3349" s="19">
        <v>74.0</v>
      </c>
      <c r="N3349" s="19">
        <v>31.0</v>
      </c>
    </row>
    <row r="3350">
      <c r="A3350" s="12">
        <v>3348.0</v>
      </c>
      <c r="B3350" s="13" t="s">
        <v>2539</v>
      </c>
      <c r="C3350" s="14">
        <v>25.0</v>
      </c>
      <c r="D3350" s="15" t="s">
        <v>6057</v>
      </c>
      <c r="E3350" s="16" t="s">
        <v>52</v>
      </c>
      <c r="F3350" s="13" t="s">
        <v>206</v>
      </c>
      <c r="G3350" s="13" t="s">
        <v>61</v>
      </c>
      <c r="H3350" s="13" t="s">
        <v>207</v>
      </c>
      <c r="I3350" s="13" t="s">
        <v>63</v>
      </c>
      <c r="J3350" s="17" t="s">
        <v>71</v>
      </c>
      <c r="K3350" s="17" t="s">
        <v>58</v>
      </c>
      <c r="L3350" s="18" t="s">
        <v>52</v>
      </c>
      <c r="M3350" s="19">
        <v>74.0</v>
      </c>
      <c r="N3350" s="19">
        <v>31.0</v>
      </c>
    </row>
    <row r="3351">
      <c r="A3351" s="12">
        <v>3349.0</v>
      </c>
      <c r="B3351" s="13" t="s">
        <v>2539</v>
      </c>
      <c r="C3351" s="14">
        <v>26.0</v>
      </c>
      <c r="D3351" s="15" t="s">
        <v>6057</v>
      </c>
      <c r="E3351" s="16" t="s">
        <v>52</v>
      </c>
      <c r="F3351" s="13" t="s">
        <v>4068</v>
      </c>
      <c r="G3351" s="13" t="s">
        <v>5086</v>
      </c>
      <c r="H3351" s="13" t="s">
        <v>5542</v>
      </c>
      <c r="I3351" s="13" t="s">
        <v>63</v>
      </c>
      <c r="J3351" s="17" t="s">
        <v>71</v>
      </c>
      <c r="K3351" s="17" t="s">
        <v>58</v>
      </c>
      <c r="L3351" s="18" t="s">
        <v>52</v>
      </c>
      <c r="M3351" s="19">
        <v>74.0</v>
      </c>
      <c r="N3351" s="19">
        <v>31.0</v>
      </c>
    </row>
    <row r="3352">
      <c r="A3352" s="12">
        <v>3350.0</v>
      </c>
      <c r="B3352" s="13" t="s">
        <v>2539</v>
      </c>
      <c r="C3352" s="14">
        <v>27.0</v>
      </c>
      <c r="D3352" s="15" t="s">
        <v>6057</v>
      </c>
      <c r="E3352" s="16" t="s">
        <v>52</v>
      </c>
      <c r="F3352" s="13" t="s">
        <v>1162</v>
      </c>
      <c r="G3352" s="13" t="s">
        <v>1163</v>
      </c>
      <c r="H3352" s="13" t="s">
        <v>4705</v>
      </c>
      <c r="I3352" s="13" t="s">
        <v>63</v>
      </c>
      <c r="J3352" s="17" t="s">
        <v>71</v>
      </c>
      <c r="K3352" s="17" t="s">
        <v>58</v>
      </c>
      <c r="L3352" s="18" t="s">
        <v>52</v>
      </c>
      <c r="M3352" s="19">
        <v>74.0</v>
      </c>
      <c r="N3352" s="19">
        <v>31.0</v>
      </c>
    </row>
    <row r="3353">
      <c r="A3353" s="12">
        <v>3351.0</v>
      </c>
      <c r="B3353" s="13" t="s">
        <v>2539</v>
      </c>
      <c r="C3353" s="14">
        <v>28.0</v>
      </c>
      <c r="D3353" s="15" t="s">
        <v>6057</v>
      </c>
      <c r="E3353" s="16" t="s">
        <v>52</v>
      </c>
      <c r="F3353" s="13" t="s">
        <v>2535</v>
      </c>
      <c r="G3353" s="13" t="s">
        <v>2536</v>
      </c>
      <c r="H3353" s="13" t="s">
        <v>6094</v>
      </c>
      <c r="I3353" s="13" t="s">
        <v>63</v>
      </c>
      <c r="J3353" s="17" t="s">
        <v>71</v>
      </c>
      <c r="K3353" s="17" t="s">
        <v>58</v>
      </c>
      <c r="L3353" s="18" t="s">
        <v>52</v>
      </c>
      <c r="M3353" s="19">
        <v>74.0</v>
      </c>
      <c r="N3353" s="19">
        <v>31.0</v>
      </c>
    </row>
    <row r="3354">
      <c r="A3354" s="12">
        <v>3352.0</v>
      </c>
      <c r="B3354" s="13" t="s">
        <v>2539</v>
      </c>
      <c r="C3354" s="14">
        <v>29.0</v>
      </c>
      <c r="D3354" s="15" t="s">
        <v>6057</v>
      </c>
      <c r="E3354" s="16" t="s">
        <v>52</v>
      </c>
      <c r="F3354" s="13" t="s">
        <v>2564</v>
      </c>
      <c r="G3354" s="13" t="s">
        <v>61</v>
      </c>
      <c r="H3354" s="13" t="s">
        <v>6095</v>
      </c>
      <c r="I3354" s="13" t="s">
        <v>63</v>
      </c>
      <c r="J3354" s="17" t="s">
        <v>71</v>
      </c>
      <c r="K3354" s="17" t="s">
        <v>58</v>
      </c>
      <c r="L3354" s="18" t="s">
        <v>52</v>
      </c>
      <c r="M3354" s="19">
        <v>74.0</v>
      </c>
      <c r="N3354" s="19">
        <v>31.0</v>
      </c>
    </row>
    <row r="3355">
      <c r="A3355" s="12">
        <v>3353.0</v>
      </c>
      <c r="B3355" s="13" t="s">
        <v>2539</v>
      </c>
      <c r="C3355" s="14">
        <v>30.0</v>
      </c>
      <c r="D3355" s="15" t="s">
        <v>6057</v>
      </c>
      <c r="E3355" s="16" t="s">
        <v>52</v>
      </c>
      <c r="F3355" s="13" t="s">
        <v>4570</v>
      </c>
      <c r="G3355" s="13" t="s">
        <v>5902</v>
      </c>
      <c r="H3355" s="13" t="s">
        <v>5903</v>
      </c>
      <c r="I3355" s="13" t="s">
        <v>63</v>
      </c>
      <c r="J3355" s="17" t="s">
        <v>71</v>
      </c>
      <c r="K3355" s="17" t="s">
        <v>58</v>
      </c>
      <c r="L3355" s="18" t="s">
        <v>52</v>
      </c>
      <c r="M3355" s="19">
        <v>74.0</v>
      </c>
      <c r="N3355" s="19">
        <v>31.0</v>
      </c>
    </row>
    <row r="3356">
      <c r="A3356" s="12">
        <v>3354.0</v>
      </c>
      <c r="B3356" s="13" t="s">
        <v>5315</v>
      </c>
      <c r="C3356" s="14">
        <v>1.0</v>
      </c>
      <c r="D3356" s="15" t="s">
        <v>6096</v>
      </c>
      <c r="E3356" s="16" t="s">
        <v>52</v>
      </c>
      <c r="F3356" s="13" t="s">
        <v>5500</v>
      </c>
      <c r="G3356" s="13" t="s">
        <v>61</v>
      </c>
      <c r="H3356" s="13" t="s">
        <v>6097</v>
      </c>
      <c r="I3356" s="13" t="s">
        <v>63</v>
      </c>
      <c r="J3356" s="17" t="s">
        <v>57</v>
      </c>
      <c r="K3356" s="17" t="s">
        <v>58</v>
      </c>
      <c r="L3356" s="18" t="s">
        <v>52</v>
      </c>
      <c r="M3356" s="19">
        <v>75.0</v>
      </c>
      <c r="N3356" s="19">
        <v>11.0</v>
      </c>
    </row>
    <row r="3357">
      <c r="A3357" s="12">
        <v>3355.0</v>
      </c>
      <c r="B3357" s="13" t="s">
        <v>5315</v>
      </c>
      <c r="C3357" s="14">
        <v>2.0</v>
      </c>
      <c r="D3357" s="15" t="s">
        <v>6096</v>
      </c>
      <c r="E3357" s="16" t="s">
        <v>52</v>
      </c>
      <c r="F3357" s="13" t="s">
        <v>5989</v>
      </c>
      <c r="G3357" s="13" t="s">
        <v>6098</v>
      </c>
      <c r="H3357" s="13" t="s">
        <v>6099</v>
      </c>
      <c r="I3357" s="13" t="s">
        <v>63</v>
      </c>
      <c r="J3357" s="17" t="s">
        <v>57</v>
      </c>
      <c r="K3357" s="17" t="s">
        <v>58</v>
      </c>
      <c r="L3357" s="18" t="s">
        <v>52</v>
      </c>
      <c r="M3357" s="19">
        <v>75.0</v>
      </c>
      <c r="N3357" s="19">
        <v>11.0</v>
      </c>
    </row>
    <row r="3358">
      <c r="A3358" s="12">
        <v>3356.0</v>
      </c>
      <c r="B3358" s="13" t="s">
        <v>5315</v>
      </c>
      <c r="C3358" s="14">
        <v>3.0</v>
      </c>
      <c r="D3358" s="15" t="s">
        <v>6096</v>
      </c>
      <c r="E3358" s="16" t="s">
        <v>52</v>
      </c>
      <c r="F3358" s="13" t="s">
        <v>1122</v>
      </c>
      <c r="G3358" s="13" t="s">
        <v>61</v>
      </c>
      <c r="H3358" s="13" t="s">
        <v>6100</v>
      </c>
      <c r="I3358" s="13" t="s">
        <v>63</v>
      </c>
      <c r="J3358" s="17" t="s">
        <v>57</v>
      </c>
      <c r="K3358" s="17" t="s">
        <v>58</v>
      </c>
      <c r="L3358" s="18" t="s">
        <v>52</v>
      </c>
      <c r="M3358" s="19">
        <v>75.0</v>
      </c>
      <c r="N3358" s="19">
        <v>11.0</v>
      </c>
    </row>
    <row r="3359">
      <c r="A3359" s="12">
        <v>3357.0</v>
      </c>
      <c r="B3359" s="13" t="s">
        <v>5315</v>
      </c>
      <c r="C3359" s="14">
        <v>4.0</v>
      </c>
      <c r="D3359" s="15" t="s">
        <v>6102</v>
      </c>
      <c r="E3359" s="16" t="s">
        <v>52</v>
      </c>
      <c r="F3359" s="13" t="s">
        <v>6103</v>
      </c>
      <c r="G3359" s="13" t="s">
        <v>6104</v>
      </c>
      <c r="H3359" s="13" t="s">
        <v>6105</v>
      </c>
      <c r="I3359" s="13" t="s">
        <v>63</v>
      </c>
      <c r="J3359" s="17" t="s">
        <v>57</v>
      </c>
      <c r="K3359" s="17" t="s">
        <v>58</v>
      </c>
      <c r="L3359" s="18" t="s">
        <v>52</v>
      </c>
      <c r="M3359" s="19">
        <v>75.0</v>
      </c>
      <c r="N3359" s="19">
        <v>11.0</v>
      </c>
    </row>
    <row r="3360">
      <c r="A3360" s="12">
        <v>3358.0</v>
      </c>
      <c r="B3360" s="13" t="s">
        <v>5315</v>
      </c>
      <c r="C3360" s="14">
        <v>5.0</v>
      </c>
      <c r="D3360" s="15" t="s">
        <v>6096</v>
      </c>
      <c r="E3360" s="16" t="s">
        <v>52</v>
      </c>
      <c r="F3360" s="13" t="s">
        <v>3328</v>
      </c>
      <c r="G3360" s="13" t="s">
        <v>3329</v>
      </c>
      <c r="H3360" s="13" t="s">
        <v>6106</v>
      </c>
      <c r="I3360" s="13" t="s">
        <v>63</v>
      </c>
      <c r="J3360" s="17" t="s">
        <v>71</v>
      </c>
      <c r="K3360" s="17" t="s">
        <v>58</v>
      </c>
      <c r="L3360" s="18" t="s">
        <v>52</v>
      </c>
      <c r="M3360" s="19">
        <v>75.0</v>
      </c>
      <c r="N3360" s="19">
        <v>31.0</v>
      </c>
    </row>
    <row r="3361">
      <c r="A3361" s="12">
        <v>3359.0</v>
      </c>
      <c r="B3361" s="13" t="s">
        <v>5315</v>
      </c>
      <c r="C3361" s="14">
        <v>6.0</v>
      </c>
      <c r="D3361" s="15" t="s">
        <v>6096</v>
      </c>
      <c r="E3361" s="16" t="s">
        <v>52</v>
      </c>
      <c r="F3361" s="13" t="s">
        <v>3464</v>
      </c>
      <c r="G3361" s="13" t="s">
        <v>3465</v>
      </c>
      <c r="H3361" s="13" t="s">
        <v>6107</v>
      </c>
      <c r="I3361" s="13" t="s">
        <v>63</v>
      </c>
      <c r="J3361" s="17" t="s">
        <v>71</v>
      </c>
      <c r="K3361" s="17" t="s">
        <v>58</v>
      </c>
      <c r="L3361" s="18" t="s">
        <v>52</v>
      </c>
      <c r="M3361" s="19">
        <v>75.0</v>
      </c>
      <c r="N3361" s="19">
        <v>31.0</v>
      </c>
    </row>
    <row r="3362">
      <c r="A3362" s="12">
        <v>3360.0</v>
      </c>
      <c r="B3362" s="13" t="s">
        <v>5315</v>
      </c>
      <c r="C3362" s="14">
        <v>7.0</v>
      </c>
      <c r="D3362" s="15" t="s">
        <v>6096</v>
      </c>
      <c r="E3362" s="16" t="s">
        <v>52</v>
      </c>
      <c r="F3362" s="13" t="s">
        <v>6108</v>
      </c>
      <c r="G3362" s="13" t="s">
        <v>61</v>
      </c>
      <c r="H3362" s="13" t="s">
        <v>6109</v>
      </c>
      <c r="I3362" s="13" t="s">
        <v>63</v>
      </c>
      <c r="J3362" s="17" t="s">
        <v>71</v>
      </c>
      <c r="K3362" s="17" t="s">
        <v>58</v>
      </c>
      <c r="L3362" s="18" t="s">
        <v>52</v>
      </c>
      <c r="M3362" s="19">
        <v>75.0</v>
      </c>
      <c r="N3362" s="19">
        <v>31.0</v>
      </c>
    </row>
    <row r="3363">
      <c r="A3363" s="12">
        <v>3361.0</v>
      </c>
      <c r="B3363" s="13" t="s">
        <v>5315</v>
      </c>
      <c r="C3363" s="14">
        <v>8.0</v>
      </c>
      <c r="D3363" s="15" t="s">
        <v>6096</v>
      </c>
      <c r="E3363" s="16" t="s">
        <v>52</v>
      </c>
      <c r="F3363" s="13" t="s">
        <v>512</v>
      </c>
      <c r="G3363" s="13" t="s">
        <v>6110</v>
      </c>
      <c r="H3363" s="13" t="s">
        <v>6111</v>
      </c>
      <c r="I3363" s="13" t="s">
        <v>63</v>
      </c>
      <c r="J3363" s="17" t="s">
        <v>71</v>
      </c>
      <c r="K3363" s="17" t="s">
        <v>58</v>
      </c>
      <c r="L3363" s="18" t="s">
        <v>52</v>
      </c>
      <c r="M3363" s="19">
        <v>75.0</v>
      </c>
      <c r="N3363" s="19">
        <v>31.0</v>
      </c>
    </row>
    <row r="3364">
      <c r="A3364" s="12">
        <v>3362.0</v>
      </c>
      <c r="B3364" s="13" t="s">
        <v>5315</v>
      </c>
      <c r="C3364" s="14">
        <v>9.0</v>
      </c>
      <c r="D3364" s="15" t="s">
        <v>6096</v>
      </c>
      <c r="E3364" s="16" t="s">
        <v>52</v>
      </c>
      <c r="F3364" s="13" t="s">
        <v>6112</v>
      </c>
      <c r="G3364" s="13" t="s">
        <v>6113</v>
      </c>
      <c r="H3364" s="13" t="s">
        <v>6114</v>
      </c>
      <c r="I3364" s="13" t="s">
        <v>63</v>
      </c>
      <c r="J3364" s="17" t="s">
        <v>71</v>
      </c>
      <c r="K3364" s="17" t="s">
        <v>58</v>
      </c>
      <c r="L3364" s="18" t="s">
        <v>52</v>
      </c>
      <c r="M3364" s="19">
        <v>75.0</v>
      </c>
      <c r="N3364" s="19">
        <v>31.0</v>
      </c>
    </row>
    <row r="3365">
      <c r="A3365" s="12">
        <v>3363.0</v>
      </c>
      <c r="B3365" s="13" t="s">
        <v>5315</v>
      </c>
      <c r="C3365" s="14">
        <v>10.0</v>
      </c>
      <c r="D3365" s="15" t="s">
        <v>6096</v>
      </c>
      <c r="E3365" s="16" t="s">
        <v>52</v>
      </c>
      <c r="F3365" s="13" t="s">
        <v>891</v>
      </c>
      <c r="G3365" s="13" t="s">
        <v>6115</v>
      </c>
      <c r="H3365" s="13" t="s">
        <v>6116</v>
      </c>
      <c r="I3365" s="13" t="s">
        <v>63</v>
      </c>
      <c r="J3365" s="17" t="s">
        <v>71</v>
      </c>
      <c r="K3365" s="17" t="s">
        <v>58</v>
      </c>
      <c r="L3365" s="18" t="s">
        <v>52</v>
      </c>
      <c r="M3365" s="19">
        <v>75.0</v>
      </c>
      <c r="N3365" s="19">
        <v>31.0</v>
      </c>
    </row>
    <row r="3366">
      <c r="A3366" s="12">
        <v>3364.0</v>
      </c>
      <c r="B3366" s="13" t="s">
        <v>5315</v>
      </c>
      <c r="C3366" s="14">
        <v>11.0</v>
      </c>
      <c r="D3366" s="15" t="s">
        <v>6096</v>
      </c>
      <c r="E3366" s="16" t="s">
        <v>52</v>
      </c>
      <c r="F3366" s="13" t="s">
        <v>6117</v>
      </c>
      <c r="G3366" s="13" t="s">
        <v>6118</v>
      </c>
      <c r="H3366" s="13" t="s">
        <v>6119</v>
      </c>
      <c r="I3366" s="13" t="s">
        <v>63</v>
      </c>
      <c r="J3366" s="17" t="s">
        <v>71</v>
      </c>
      <c r="K3366" s="17" t="s">
        <v>58</v>
      </c>
      <c r="L3366" s="18" t="s">
        <v>52</v>
      </c>
      <c r="M3366" s="19">
        <v>75.0</v>
      </c>
      <c r="N3366" s="19">
        <v>31.0</v>
      </c>
    </row>
    <row r="3367">
      <c r="A3367" s="12">
        <v>3365.0</v>
      </c>
      <c r="B3367" s="13" t="s">
        <v>5315</v>
      </c>
      <c r="C3367" s="14">
        <v>12.0</v>
      </c>
      <c r="D3367" s="15" t="s">
        <v>6096</v>
      </c>
      <c r="E3367" s="16" t="s">
        <v>52</v>
      </c>
      <c r="F3367" s="13" t="s">
        <v>894</v>
      </c>
      <c r="G3367" s="13" t="s">
        <v>895</v>
      </c>
      <c r="H3367" s="13" t="s">
        <v>6120</v>
      </c>
      <c r="I3367" s="13" t="s">
        <v>63</v>
      </c>
      <c r="J3367" s="17" t="s">
        <v>71</v>
      </c>
      <c r="K3367" s="17" t="s">
        <v>58</v>
      </c>
      <c r="L3367" s="18" t="s">
        <v>52</v>
      </c>
      <c r="M3367" s="19">
        <v>75.0</v>
      </c>
      <c r="N3367" s="19">
        <v>31.0</v>
      </c>
    </row>
    <row r="3368">
      <c r="A3368" s="12">
        <v>3366.0</v>
      </c>
      <c r="B3368" s="13" t="s">
        <v>5315</v>
      </c>
      <c r="C3368" s="14">
        <v>13.0</v>
      </c>
      <c r="D3368" s="15" t="s">
        <v>6096</v>
      </c>
      <c r="E3368" s="16" t="s">
        <v>52</v>
      </c>
      <c r="F3368" s="13" t="s">
        <v>2095</v>
      </c>
      <c r="G3368" s="13" t="s">
        <v>3434</v>
      </c>
      <c r="H3368" s="13" t="s">
        <v>6121</v>
      </c>
      <c r="I3368" s="13" t="s">
        <v>63</v>
      </c>
      <c r="J3368" s="17" t="s">
        <v>71</v>
      </c>
      <c r="K3368" s="17" t="s">
        <v>58</v>
      </c>
      <c r="L3368" s="18" t="s">
        <v>52</v>
      </c>
      <c r="M3368" s="19">
        <v>75.0</v>
      </c>
      <c r="N3368" s="19">
        <v>31.0</v>
      </c>
    </row>
    <row r="3369">
      <c r="A3369" s="12">
        <v>3367.0</v>
      </c>
      <c r="B3369" s="13" t="s">
        <v>5315</v>
      </c>
      <c r="C3369" s="14">
        <v>14.0</v>
      </c>
      <c r="D3369" s="15" t="s">
        <v>6096</v>
      </c>
      <c r="E3369" s="16" t="s">
        <v>52</v>
      </c>
      <c r="F3369" s="13" t="s">
        <v>6122</v>
      </c>
      <c r="G3369" s="13" t="s">
        <v>6123</v>
      </c>
      <c r="H3369" s="13" t="s">
        <v>6124</v>
      </c>
      <c r="I3369" s="13" t="s">
        <v>63</v>
      </c>
      <c r="J3369" s="17" t="s">
        <v>71</v>
      </c>
      <c r="K3369" s="17" t="s">
        <v>58</v>
      </c>
      <c r="L3369" s="18" t="s">
        <v>52</v>
      </c>
      <c r="M3369" s="19">
        <v>75.0</v>
      </c>
      <c r="N3369" s="19">
        <v>31.0</v>
      </c>
    </row>
    <row r="3370">
      <c r="A3370" s="12">
        <v>3368.0</v>
      </c>
      <c r="B3370" s="13" t="s">
        <v>5315</v>
      </c>
      <c r="C3370" s="14">
        <v>15.0</v>
      </c>
      <c r="D3370" s="15" t="s">
        <v>6096</v>
      </c>
      <c r="E3370" s="16" t="s">
        <v>52</v>
      </c>
      <c r="F3370" s="13" t="s">
        <v>2053</v>
      </c>
      <c r="G3370" s="13" t="s">
        <v>1406</v>
      </c>
      <c r="H3370" s="13" t="s">
        <v>6125</v>
      </c>
      <c r="I3370" s="13" t="s">
        <v>63</v>
      </c>
      <c r="J3370" s="17" t="s">
        <v>71</v>
      </c>
      <c r="K3370" s="17" t="s">
        <v>58</v>
      </c>
      <c r="L3370" s="18" t="s">
        <v>52</v>
      </c>
      <c r="M3370" s="19">
        <v>75.0</v>
      </c>
      <c r="N3370" s="19">
        <v>31.0</v>
      </c>
    </row>
    <row r="3371">
      <c r="A3371" s="12">
        <v>3369.0</v>
      </c>
      <c r="B3371" s="13" t="s">
        <v>5315</v>
      </c>
      <c r="C3371" s="14">
        <v>16.0</v>
      </c>
      <c r="D3371" s="15" t="s">
        <v>6102</v>
      </c>
      <c r="E3371" s="16" t="s">
        <v>52</v>
      </c>
      <c r="F3371" s="13" t="s">
        <v>6126</v>
      </c>
      <c r="G3371" s="13" t="s">
        <v>6127</v>
      </c>
      <c r="H3371" s="13" t="s">
        <v>6128</v>
      </c>
      <c r="I3371" s="13" t="s">
        <v>63</v>
      </c>
      <c r="J3371" s="17" t="s">
        <v>71</v>
      </c>
      <c r="K3371" s="17" t="s">
        <v>58</v>
      </c>
      <c r="L3371" s="18" t="s">
        <v>52</v>
      </c>
      <c r="M3371" s="19">
        <v>75.0</v>
      </c>
      <c r="N3371" s="19">
        <v>31.0</v>
      </c>
    </row>
    <row r="3372">
      <c r="A3372" s="12">
        <v>3370.0</v>
      </c>
      <c r="B3372" s="13" t="s">
        <v>5315</v>
      </c>
      <c r="C3372" s="14">
        <v>17.0</v>
      </c>
      <c r="D3372" s="15" t="s">
        <v>6102</v>
      </c>
      <c r="E3372" s="16" t="s">
        <v>52</v>
      </c>
      <c r="F3372" s="13" t="s">
        <v>6129</v>
      </c>
      <c r="G3372" s="13" t="s">
        <v>6130</v>
      </c>
      <c r="H3372" s="13" t="s">
        <v>6131</v>
      </c>
      <c r="I3372" s="13" t="s">
        <v>63</v>
      </c>
      <c r="J3372" s="17" t="s">
        <v>71</v>
      </c>
      <c r="K3372" s="17" t="s">
        <v>58</v>
      </c>
      <c r="L3372" s="18" t="s">
        <v>52</v>
      </c>
      <c r="M3372" s="19">
        <v>75.0</v>
      </c>
      <c r="N3372" s="19">
        <v>31.0</v>
      </c>
    </row>
    <row r="3373">
      <c r="A3373" s="12">
        <v>3371.0</v>
      </c>
      <c r="B3373" s="13" t="s">
        <v>5315</v>
      </c>
      <c r="C3373" s="14">
        <v>18.0</v>
      </c>
      <c r="D3373" s="15" t="s">
        <v>6102</v>
      </c>
      <c r="E3373" s="16" t="s">
        <v>52</v>
      </c>
      <c r="F3373" s="13" t="s">
        <v>1384</v>
      </c>
      <c r="G3373" s="13" t="s">
        <v>6132</v>
      </c>
      <c r="H3373" s="13" t="s">
        <v>6131</v>
      </c>
      <c r="I3373" s="13" t="s">
        <v>63</v>
      </c>
      <c r="J3373" s="17" t="s">
        <v>71</v>
      </c>
      <c r="K3373" s="17" t="s">
        <v>58</v>
      </c>
      <c r="L3373" s="18" t="s">
        <v>52</v>
      </c>
      <c r="M3373" s="19">
        <v>75.0</v>
      </c>
      <c r="N3373" s="19">
        <v>31.0</v>
      </c>
    </row>
    <row r="3374">
      <c r="A3374" s="12">
        <v>3372.0</v>
      </c>
      <c r="B3374" s="13" t="s">
        <v>5315</v>
      </c>
      <c r="C3374" s="14">
        <v>19.0</v>
      </c>
      <c r="D3374" s="15" t="s">
        <v>6102</v>
      </c>
      <c r="E3374" s="16" t="s">
        <v>52</v>
      </c>
      <c r="F3374" s="13" t="s">
        <v>6133</v>
      </c>
      <c r="G3374" s="13" t="s">
        <v>3023</v>
      </c>
      <c r="H3374" s="13" t="s">
        <v>6134</v>
      </c>
      <c r="I3374" s="13" t="s">
        <v>63</v>
      </c>
      <c r="J3374" s="17" t="s">
        <v>71</v>
      </c>
      <c r="K3374" s="17" t="s">
        <v>58</v>
      </c>
      <c r="L3374" s="18" t="s">
        <v>52</v>
      </c>
      <c r="M3374" s="19">
        <v>75.0</v>
      </c>
      <c r="N3374" s="19">
        <v>31.0</v>
      </c>
    </row>
    <row r="3375">
      <c r="A3375" s="12">
        <v>3373.0</v>
      </c>
      <c r="B3375" s="13" t="s">
        <v>5315</v>
      </c>
      <c r="C3375" s="14">
        <v>20.0</v>
      </c>
      <c r="D3375" s="15" t="s">
        <v>6102</v>
      </c>
      <c r="E3375" s="16" t="s">
        <v>52</v>
      </c>
      <c r="F3375" s="13" t="s">
        <v>1738</v>
      </c>
      <c r="G3375" s="13" t="s">
        <v>6135</v>
      </c>
      <c r="H3375" s="13" t="s">
        <v>6136</v>
      </c>
      <c r="I3375" s="13" t="s">
        <v>63</v>
      </c>
      <c r="J3375" s="17" t="s">
        <v>71</v>
      </c>
      <c r="K3375" s="17" t="s">
        <v>58</v>
      </c>
      <c r="L3375" s="18" t="s">
        <v>52</v>
      </c>
      <c r="M3375" s="19">
        <v>75.0</v>
      </c>
      <c r="N3375" s="19">
        <v>31.0</v>
      </c>
    </row>
    <row r="3376">
      <c r="A3376" s="12">
        <v>3374.0</v>
      </c>
      <c r="B3376" s="13" t="s">
        <v>5315</v>
      </c>
      <c r="C3376" s="14">
        <v>21.0</v>
      </c>
      <c r="D3376" s="15" t="s">
        <v>6102</v>
      </c>
      <c r="E3376" s="16" t="s">
        <v>52</v>
      </c>
      <c r="F3376" s="13" t="s">
        <v>6137</v>
      </c>
      <c r="G3376" s="13" t="s">
        <v>6138</v>
      </c>
      <c r="H3376" s="13" t="s">
        <v>6139</v>
      </c>
      <c r="I3376" s="13" t="s">
        <v>63</v>
      </c>
      <c r="J3376" s="17" t="s">
        <v>71</v>
      </c>
      <c r="K3376" s="17" t="s">
        <v>58</v>
      </c>
      <c r="L3376" s="18" t="s">
        <v>52</v>
      </c>
      <c r="M3376" s="19">
        <v>75.0</v>
      </c>
      <c r="N3376" s="19">
        <v>31.0</v>
      </c>
    </row>
    <row r="3377">
      <c r="A3377" s="12">
        <v>3375.0</v>
      </c>
      <c r="B3377" s="13" t="s">
        <v>5315</v>
      </c>
      <c r="C3377" s="14">
        <v>22.0</v>
      </c>
      <c r="D3377" s="15" t="s">
        <v>6140</v>
      </c>
      <c r="E3377" s="16" t="s">
        <v>52</v>
      </c>
      <c r="F3377" s="13" t="s">
        <v>1857</v>
      </c>
      <c r="G3377" s="13" t="s">
        <v>6141</v>
      </c>
      <c r="H3377" s="13" t="s">
        <v>6142</v>
      </c>
      <c r="I3377" s="13" t="s">
        <v>63</v>
      </c>
      <c r="J3377" s="17" t="s">
        <v>71</v>
      </c>
      <c r="K3377" s="17" t="s">
        <v>58</v>
      </c>
      <c r="L3377" s="18" t="s">
        <v>52</v>
      </c>
      <c r="M3377" s="19">
        <v>75.0</v>
      </c>
      <c r="N3377" s="19">
        <v>31.0</v>
      </c>
    </row>
    <row r="3378">
      <c r="A3378" s="12">
        <v>3376.0</v>
      </c>
      <c r="B3378" s="13" t="s">
        <v>5315</v>
      </c>
      <c r="C3378" s="14">
        <v>23.0</v>
      </c>
      <c r="D3378" s="15" t="s">
        <v>6140</v>
      </c>
      <c r="E3378" s="16" t="s">
        <v>52</v>
      </c>
      <c r="F3378" s="13" t="s">
        <v>2680</v>
      </c>
      <c r="G3378" s="13" t="s">
        <v>6143</v>
      </c>
      <c r="H3378" s="13" t="s">
        <v>6144</v>
      </c>
      <c r="I3378" s="13" t="s">
        <v>63</v>
      </c>
      <c r="J3378" s="17" t="s">
        <v>71</v>
      </c>
      <c r="K3378" s="17" t="s">
        <v>58</v>
      </c>
      <c r="L3378" s="18" t="s">
        <v>52</v>
      </c>
      <c r="M3378" s="19">
        <v>75.0</v>
      </c>
      <c r="N3378" s="19">
        <v>31.0</v>
      </c>
    </row>
    <row r="3379">
      <c r="A3379" s="12">
        <v>3377.0</v>
      </c>
      <c r="B3379" s="13" t="s">
        <v>5315</v>
      </c>
      <c r="C3379" s="14">
        <v>24.0</v>
      </c>
      <c r="D3379" s="15" t="s">
        <v>6140</v>
      </c>
      <c r="E3379" s="16" t="s">
        <v>52</v>
      </c>
      <c r="F3379" s="13" t="s">
        <v>1805</v>
      </c>
      <c r="G3379" s="13" t="s">
        <v>6145</v>
      </c>
      <c r="H3379" s="13" t="s">
        <v>6146</v>
      </c>
      <c r="I3379" s="13" t="s">
        <v>63</v>
      </c>
      <c r="J3379" s="17" t="s">
        <v>71</v>
      </c>
      <c r="K3379" s="17" t="s">
        <v>58</v>
      </c>
      <c r="L3379" s="18" t="s">
        <v>52</v>
      </c>
      <c r="M3379" s="19">
        <v>75.0</v>
      </c>
      <c r="N3379" s="19">
        <v>31.0</v>
      </c>
    </row>
    <row r="3380">
      <c r="A3380" s="12">
        <v>3378.0</v>
      </c>
      <c r="B3380" s="13" t="s">
        <v>5315</v>
      </c>
      <c r="C3380" s="14">
        <v>25.0</v>
      </c>
      <c r="D3380" s="15" t="s">
        <v>6140</v>
      </c>
      <c r="E3380" s="16" t="s">
        <v>52</v>
      </c>
      <c r="F3380" s="13" t="s">
        <v>4800</v>
      </c>
      <c r="G3380" s="13" t="s">
        <v>6147</v>
      </c>
      <c r="H3380" s="13" t="s">
        <v>6148</v>
      </c>
      <c r="I3380" s="13" t="s">
        <v>63</v>
      </c>
      <c r="J3380" s="17" t="s">
        <v>71</v>
      </c>
      <c r="K3380" s="17" t="s">
        <v>58</v>
      </c>
      <c r="L3380" s="18" t="s">
        <v>52</v>
      </c>
      <c r="M3380" s="19">
        <v>75.0</v>
      </c>
      <c r="N3380" s="19">
        <v>31.0</v>
      </c>
    </row>
    <row r="3381">
      <c r="A3381" s="12">
        <v>3379.0</v>
      </c>
      <c r="B3381" s="13" t="s">
        <v>5315</v>
      </c>
      <c r="C3381" s="14">
        <v>26.0</v>
      </c>
      <c r="D3381" s="15" t="s">
        <v>6140</v>
      </c>
      <c r="E3381" s="16" t="s">
        <v>52</v>
      </c>
      <c r="F3381" s="13" t="s">
        <v>6149</v>
      </c>
      <c r="G3381" s="13" t="s">
        <v>6150</v>
      </c>
      <c r="H3381" s="13" t="s">
        <v>6151</v>
      </c>
      <c r="I3381" s="13" t="s">
        <v>63</v>
      </c>
      <c r="J3381" s="17" t="s">
        <v>71</v>
      </c>
      <c r="K3381" s="17" t="s">
        <v>58</v>
      </c>
      <c r="L3381" s="18" t="s">
        <v>52</v>
      </c>
      <c r="M3381" s="19">
        <v>75.0</v>
      </c>
      <c r="N3381" s="19">
        <v>31.0</v>
      </c>
    </row>
    <row r="3382">
      <c r="A3382" s="12">
        <v>3380.0</v>
      </c>
      <c r="B3382" s="13" t="s">
        <v>5315</v>
      </c>
      <c r="C3382" s="14">
        <v>27.0</v>
      </c>
      <c r="D3382" s="15" t="s">
        <v>6140</v>
      </c>
      <c r="E3382" s="16" t="s">
        <v>52</v>
      </c>
      <c r="F3382" s="13" t="s">
        <v>4959</v>
      </c>
      <c r="G3382" s="13" t="s">
        <v>5091</v>
      </c>
      <c r="H3382" s="13" t="s">
        <v>6152</v>
      </c>
      <c r="I3382" s="13" t="s">
        <v>63</v>
      </c>
      <c r="J3382" s="17" t="s">
        <v>71</v>
      </c>
      <c r="K3382" s="17" t="s">
        <v>58</v>
      </c>
      <c r="L3382" s="18" t="s">
        <v>52</v>
      </c>
      <c r="M3382" s="19">
        <v>75.0</v>
      </c>
      <c r="N3382" s="19">
        <v>31.0</v>
      </c>
    </row>
    <row r="3383">
      <c r="A3383" s="12">
        <v>3381.0</v>
      </c>
      <c r="B3383" s="13" t="s">
        <v>5315</v>
      </c>
      <c r="C3383" s="14">
        <v>28.0</v>
      </c>
      <c r="D3383" s="15" t="s">
        <v>6140</v>
      </c>
      <c r="E3383" s="16" t="s">
        <v>52</v>
      </c>
      <c r="F3383" s="13" t="s">
        <v>3439</v>
      </c>
      <c r="G3383" s="13" t="s">
        <v>61</v>
      </c>
      <c r="H3383" s="13" t="s">
        <v>6153</v>
      </c>
      <c r="I3383" s="13" t="s">
        <v>63</v>
      </c>
      <c r="J3383" s="17" t="s">
        <v>71</v>
      </c>
      <c r="K3383" s="17" t="s">
        <v>58</v>
      </c>
      <c r="L3383" s="18" t="s">
        <v>52</v>
      </c>
      <c r="M3383" s="19">
        <v>75.0</v>
      </c>
      <c r="N3383" s="19">
        <v>31.0</v>
      </c>
    </row>
    <row r="3384">
      <c r="A3384" s="12">
        <v>3382.0</v>
      </c>
      <c r="B3384" s="13" t="s">
        <v>5315</v>
      </c>
      <c r="C3384" s="14">
        <v>29.0</v>
      </c>
      <c r="D3384" s="15" t="s">
        <v>6140</v>
      </c>
      <c r="E3384" s="16" t="s">
        <v>52</v>
      </c>
      <c r="F3384" s="13" t="s">
        <v>1807</v>
      </c>
      <c r="G3384" s="13" t="s">
        <v>1808</v>
      </c>
      <c r="H3384" s="13" t="s">
        <v>6154</v>
      </c>
      <c r="I3384" s="13" t="s">
        <v>63</v>
      </c>
      <c r="J3384" s="17" t="s">
        <v>71</v>
      </c>
      <c r="K3384" s="17" t="s">
        <v>58</v>
      </c>
      <c r="L3384" s="18" t="s">
        <v>52</v>
      </c>
      <c r="M3384" s="19">
        <v>75.0</v>
      </c>
      <c r="N3384" s="19">
        <v>31.0</v>
      </c>
    </row>
    <row r="3385">
      <c r="A3385" s="12">
        <v>3383.0</v>
      </c>
      <c r="B3385" s="13" t="s">
        <v>5315</v>
      </c>
      <c r="C3385" s="14">
        <v>30.0</v>
      </c>
      <c r="D3385" s="15" t="s">
        <v>6140</v>
      </c>
      <c r="E3385" s="16" t="s">
        <v>52</v>
      </c>
      <c r="F3385" s="13" t="s">
        <v>3412</v>
      </c>
      <c r="G3385" s="13" t="s">
        <v>61</v>
      </c>
      <c r="H3385" s="13" t="s">
        <v>6155</v>
      </c>
      <c r="I3385" s="13" t="s">
        <v>63</v>
      </c>
      <c r="J3385" s="17" t="s">
        <v>71</v>
      </c>
      <c r="K3385" s="17" t="s">
        <v>58</v>
      </c>
      <c r="L3385" s="18" t="s">
        <v>52</v>
      </c>
      <c r="M3385" s="19">
        <v>75.0</v>
      </c>
      <c r="N3385" s="19">
        <v>31.0</v>
      </c>
    </row>
  </sheetData>
  <autoFilter ref="$A$2:$L$3385"/>
  <mergeCells count="2">
    <mergeCell ref="A1:D1"/>
    <mergeCell ref="E1:L1"/>
  </mergeCells>
  <conditionalFormatting sqref="K3:K3385">
    <cfRule type="cellIs" dxfId="0" priority="1" stopIfTrue="1" operator="equal">
      <formula>"Đã chèn"</formula>
    </cfRule>
  </conditionalFormatting>
  <conditionalFormatting sqref="A3:L3385">
    <cfRule type="expression" dxfId="1" priority="2" stopIfTrue="1">
      <formula>$J3="NÊN BỎ"</formula>
    </cfRule>
  </conditionalFormatting>
  <conditionalFormatting sqref="J3:J3385">
    <cfRule type="cellIs" dxfId="2" priority="3" stopIfTrue="1" operator="equal">
      <formula>"CẦN SOÁT"</formula>
    </cfRule>
  </conditionalFormatting>
  <conditionalFormatting sqref="J3:J3385">
    <cfRule type="cellIs" dxfId="3" priority="4" stopIfTrue="1" operator="equal">
      <formula>"CÓ THỂ ĐI"</formula>
    </cfRule>
  </conditionalFormatting>
  <conditionalFormatting sqref="J3:J3385">
    <cfRule type="cellIs" dxfId="4" priority="5" stopIfTrue="1" operator="equal">
      <formula>"PHÙ HỢP CAO"</formula>
    </cfRule>
  </conditionalFormatting>
  <conditionalFormatting sqref="A3:L3385">
    <cfRule type="expression" dxfId="5" priority="6" stopIfTrue="1">
      <formula>ISEVEN($M3)</formula>
    </cfRule>
  </conditionalFormatting>
  <dataValidations>
    <dataValidation type="list" allowBlank="1" sqref="K3:K3385">
      <formula1>"Chưa làm,Đang làm,Đã chèn,Đề xuất bỏ,Bỏ qua"</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4.13"/>
    <col customWidth="1" min="2" max="2" width="15.13"/>
    <col customWidth="1" min="3" max="3" width="26.38"/>
    <col customWidth="1" min="4" max="4" width="48.5"/>
    <col customWidth="1" min="5" max="5" width="15.25"/>
    <col customWidth="1" min="6" max="9" width="10.13"/>
    <col customWidth="1" min="10" max="10" width="16.38"/>
    <col customWidth="1" min="11" max="11" width="10.75"/>
    <col customWidth="1" min="12" max="12" width="20.13"/>
    <col customWidth="1" min="13" max="412" width="23.88"/>
  </cols>
  <sheetData>
    <row r="1" ht="33.0" customHeight="1">
      <c r="A1" s="3" t="s">
        <v>6</v>
      </c>
      <c r="B1" s="3" t="s">
        <v>26</v>
      </c>
      <c r="C1" s="3" t="s">
        <v>29</v>
      </c>
      <c r="D1" s="3" t="s">
        <v>33</v>
      </c>
      <c r="E1" s="3" t="s">
        <v>37</v>
      </c>
      <c r="F1" s="3" t="s">
        <v>42</v>
      </c>
      <c r="G1" s="3" t="s">
        <v>44</v>
      </c>
      <c r="H1" s="3" t="s">
        <v>46</v>
      </c>
      <c r="I1" s="3" t="s">
        <v>47</v>
      </c>
      <c r="J1" s="3" t="s">
        <v>34</v>
      </c>
      <c r="K1" s="3" t="s">
        <v>49</v>
      </c>
      <c r="L1" s="3" t="s">
        <v>39</v>
      </c>
      <c r="M1" s="3" t="str">
        <f t="array" ref="M1:OV1">TOROW({"Anchortext "&amp;TEXT(SEQUENCE(200,1),"000"),"URL "&amp;TEXT(SEQUENCE(200,1),"000")&amp;" (bài đặt link)"})</f>
        <v>Anchortext 001</v>
      </c>
      <c r="N1" s="3" t="s">
        <v>112</v>
      </c>
      <c r="O1" s="3" t="s">
        <v>113</v>
      </c>
      <c r="P1" s="3" t="s">
        <v>114</v>
      </c>
      <c r="Q1" s="3" t="s">
        <v>116</v>
      </c>
      <c r="R1" s="3" t="s">
        <v>119</v>
      </c>
      <c r="S1" s="3" t="s">
        <v>120</v>
      </c>
      <c r="T1" s="3" t="s">
        <v>121</v>
      </c>
      <c r="U1" s="3" t="s">
        <v>122</v>
      </c>
      <c r="V1" s="3" t="s">
        <v>125</v>
      </c>
      <c r="W1" s="3" t="s">
        <v>127</v>
      </c>
      <c r="X1" s="3" t="s">
        <v>129</v>
      </c>
      <c r="Y1" s="3" t="s">
        <v>130</v>
      </c>
      <c r="Z1" s="3" t="s">
        <v>131</v>
      </c>
      <c r="AA1" s="3" t="s">
        <v>133</v>
      </c>
      <c r="AB1" s="3" t="s">
        <v>136</v>
      </c>
      <c r="AC1" s="3" t="s">
        <v>137</v>
      </c>
      <c r="AD1" s="3" t="s">
        <v>138</v>
      </c>
      <c r="AE1" s="3" t="s">
        <v>139</v>
      </c>
      <c r="AF1" s="3" t="s">
        <v>142</v>
      </c>
      <c r="AG1" s="3" t="s">
        <v>144</v>
      </c>
      <c r="AH1" s="3" t="s">
        <v>145</v>
      </c>
      <c r="AI1" s="3" t="s">
        <v>146</v>
      </c>
      <c r="AJ1" s="3" t="s">
        <v>148</v>
      </c>
      <c r="AK1" s="3" t="s">
        <v>149</v>
      </c>
      <c r="AL1" s="3" t="s">
        <v>154</v>
      </c>
      <c r="AM1" s="3" t="s">
        <v>155</v>
      </c>
      <c r="AN1" s="3" t="s">
        <v>156</v>
      </c>
      <c r="AO1" s="3" t="s">
        <v>157</v>
      </c>
      <c r="AP1" s="3" t="s">
        <v>158</v>
      </c>
      <c r="AQ1" s="3" t="s">
        <v>159</v>
      </c>
      <c r="AR1" s="3" t="s">
        <v>163</v>
      </c>
      <c r="AS1" s="3" t="s">
        <v>165</v>
      </c>
      <c r="AT1" s="3" t="s">
        <v>167</v>
      </c>
      <c r="AU1" s="3" t="s">
        <v>169</v>
      </c>
      <c r="AV1" s="3" t="s">
        <v>171</v>
      </c>
      <c r="AW1" s="3" t="s">
        <v>173</v>
      </c>
      <c r="AX1" s="3" t="s">
        <v>176</v>
      </c>
      <c r="AY1" s="3" t="s">
        <v>178</v>
      </c>
      <c r="AZ1" s="3" t="s">
        <v>180</v>
      </c>
      <c r="BA1" s="3" t="s">
        <v>181</v>
      </c>
      <c r="BB1" s="3" t="s">
        <v>183</v>
      </c>
      <c r="BC1" s="3" t="s">
        <v>184</v>
      </c>
      <c r="BD1" s="3" t="s">
        <v>185</v>
      </c>
      <c r="BE1" s="3" t="s">
        <v>187</v>
      </c>
      <c r="BF1" s="3" t="s">
        <v>189</v>
      </c>
      <c r="BG1" s="3" t="s">
        <v>190</v>
      </c>
      <c r="BH1" s="3" t="s">
        <v>191</v>
      </c>
      <c r="BI1" s="3" t="s">
        <v>192</v>
      </c>
      <c r="BJ1" s="3" t="s">
        <v>194</v>
      </c>
      <c r="BK1" s="3" t="s">
        <v>197</v>
      </c>
      <c r="BL1" s="3" t="s">
        <v>199</v>
      </c>
      <c r="BM1" s="3" t="s">
        <v>200</v>
      </c>
      <c r="BN1" s="3" t="s">
        <v>203</v>
      </c>
      <c r="BO1" s="3" t="s">
        <v>204</v>
      </c>
      <c r="BP1" s="3" t="s">
        <v>205</v>
      </c>
      <c r="BQ1" s="3" t="s">
        <v>208</v>
      </c>
      <c r="BR1" s="3" t="s">
        <v>209</v>
      </c>
      <c r="BS1" s="3" t="s">
        <v>211</v>
      </c>
      <c r="BT1" s="3" t="s">
        <v>214</v>
      </c>
      <c r="BU1" s="3" t="s">
        <v>216</v>
      </c>
      <c r="BV1" s="3" t="s">
        <v>217</v>
      </c>
      <c r="BW1" s="3" t="s">
        <v>220</v>
      </c>
      <c r="BX1" s="3" t="s">
        <v>223</v>
      </c>
      <c r="BY1" s="3" t="s">
        <v>225</v>
      </c>
      <c r="BZ1" s="3" t="s">
        <v>227</v>
      </c>
      <c r="CA1" s="3" t="s">
        <v>228</v>
      </c>
      <c r="CB1" s="3" t="s">
        <v>229</v>
      </c>
      <c r="CC1" s="3" t="s">
        <v>230</v>
      </c>
      <c r="CD1" s="3" t="s">
        <v>232</v>
      </c>
      <c r="CE1" s="3" t="s">
        <v>234</v>
      </c>
      <c r="CF1" s="3" t="s">
        <v>236</v>
      </c>
      <c r="CG1" s="3" t="s">
        <v>237</v>
      </c>
      <c r="CH1" s="3" t="s">
        <v>238</v>
      </c>
      <c r="CI1" s="3" t="s">
        <v>239</v>
      </c>
      <c r="CJ1" s="3" t="s">
        <v>241</v>
      </c>
      <c r="CK1" s="3" t="s">
        <v>243</v>
      </c>
      <c r="CL1" s="3" t="s">
        <v>244</v>
      </c>
      <c r="CM1" s="3" t="s">
        <v>245</v>
      </c>
      <c r="CN1" s="3" t="s">
        <v>246</v>
      </c>
      <c r="CO1" s="3" t="s">
        <v>248</v>
      </c>
      <c r="CP1" s="3" t="s">
        <v>251</v>
      </c>
      <c r="CQ1" s="3" t="s">
        <v>252</v>
      </c>
      <c r="CR1" s="3" t="s">
        <v>254</v>
      </c>
      <c r="CS1" s="3" t="s">
        <v>255</v>
      </c>
      <c r="CT1" s="3" t="s">
        <v>258</v>
      </c>
      <c r="CU1" s="3" t="s">
        <v>260</v>
      </c>
      <c r="CV1" s="3" t="s">
        <v>261</v>
      </c>
      <c r="CW1" s="3" t="s">
        <v>262</v>
      </c>
      <c r="CX1" s="3" t="s">
        <v>263</v>
      </c>
      <c r="CY1" s="3" t="s">
        <v>264</v>
      </c>
      <c r="CZ1" s="3" t="s">
        <v>268</v>
      </c>
      <c r="DA1" s="3" t="s">
        <v>269</v>
      </c>
      <c r="DB1" s="3" t="s">
        <v>277</v>
      </c>
      <c r="DC1" s="3" t="s">
        <v>280</v>
      </c>
      <c r="DD1" s="3" t="s">
        <v>281</v>
      </c>
      <c r="DE1" s="3" t="s">
        <v>282</v>
      </c>
      <c r="DF1" s="3" t="s">
        <v>286</v>
      </c>
      <c r="DG1" s="3" t="s">
        <v>287</v>
      </c>
      <c r="DH1" s="3" t="s">
        <v>288</v>
      </c>
      <c r="DI1" s="3" t="s">
        <v>290</v>
      </c>
      <c r="DJ1" s="3" t="s">
        <v>293</v>
      </c>
      <c r="DK1" s="3" t="s">
        <v>294</v>
      </c>
      <c r="DL1" s="3" t="s">
        <v>295</v>
      </c>
      <c r="DM1" s="3" t="s">
        <v>299</v>
      </c>
      <c r="DN1" s="3" t="s">
        <v>300</v>
      </c>
      <c r="DO1" s="3" t="s">
        <v>301</v>
      </c>
      <c r="DP1" s="3" t="s">
        <v>304</v>
      </c>
      <c r="DQ1" s="3" t="s">
        <v>305</v>
      </c>
      <c r="DR1" s="3" t="s">
        <v>307</v>
      </c>
      <c r="DS1" s="3" t="s">
        <v>309</v>
      </c>
      <c r="DT1" s="3" t="s">
        <v>312</v>
      </c>
      <c r="DU1" s="3" t="s">
        <v>313</v>
      </c>
      <c r="DV1" s="3" t="s">
        <v>317</v>
      </c>
      <c r="DW1" s="3" t="s">
        <v>318</v>
      </c>
      <c r="DX1" s="3" t="s">
        <v>319</v>
      </c>
      <c r="DY1" s="3" t="s">
        <v>321</v>
      </c>
      <c r="DZ1" s="3" t="s">
        <v>323</v>
      </c>
      <c r="EA1" s="3" t="s">
        <v>324</v>
      </c>
      <c r="EB1" s="3" t="s">
        <v>326</v>
      </c>
      <c r="EC1" s="3" t="s">
        <v>330</v>
      </c>
      <c r="ED1" s="3" t="s">
        <v>331</v>
      </c>
      <c r="EE1" s="3" t="s">
        <v>332</v>
      </c>
      <c r="EF1" s="3" t="s">
        <v>333</v>
      </c>
      <c r="EG1" s="3" t="s">
        <v>336</v>
      </c>
      <c r="EH1" s="3" t="s">
        <v>339</v>
      </c>
      <c r="EI1" s="3" t="s">
        <v>340</v>
      </c>
      <c r="EJ1" s="3" t="s">
        <v>342</v>
      </c>
      <c r="EK1" s="3" t="s">
        <v>345</v>
      </c>
      <c r="EL1" s="3" t="s">
        <v>346</v>
      </c>
      <c r="EM1" s="3" t="s">
        <v>348</v>
      </c>
      <c r="EN1" s="3" t="s">
        <v>352</v>
      </c>
      <c r="EO1" s="3" t="s">
        <v>354</v>
      </c>
      <c r="EP1" s="3" t="s">
        <v>356</v>
      </c>
      <c r="EQ1" s="3" t="s">
        <v>359</v>
      </c>
      <c r="ER1" s="3" t="s">
        <v>362</v>
      </c>
      <c r="ES1" s="3" t="s">
        <v>364</v>
      </c>
      <c r="ET1" s="3" t="s">
        <v>366</v>
      </c>
      <c r="EU1" s="3" t="s">
        <v>368</v>
      </c>
      <c r="EV1" s="3" t="s">
        <v>370</v>
      </c>
      <c r="EW1" s="3" t="s">
        <v>371</v>
      </c>
      <c r="EX1" s="3" t="s">
        <v>373</v>
      </c>
      <c r="EY1" s="3" t="s">
        <v>374</v>
      </c>
      <c r="EZ1" s="3" t="s">
        <v>376</v>
      </c>
      <c r="FA1" s="3" t="s">
        <v>378</v>
      </c>
      <c r="FB1" s="3" t="s">
        <v>380</v>
      </c>
      <c r="FC1" s="3" t="s">
        <v>382</v>
      </c>
      <c r="FD1" s="3" t="s">
        <v>383</v>
      </c>
      <c r="FE1" s="3" t="s">
        <v>384</v>
      </c>
      <c r="FF1" s="3" t="s">
        <v>385</v>
      </c>
      <c r="FG1" s="3" t="s">
        <v>386</v>
      </c>
      <c r="FH1" s="3" t="s">
        <v>388</v>
      </c>
      <c r="FI1" s="3" t="s">
        <v>389</v>
      </c>
      <c r="FJ1" s="3" t="s">
        <v>390</v>
      </c>
      <c r="FK1" s="3" t="s">
        <v>393</v>
      </c>
      <c r="FL1" s="3" t="s">
        <v>395</v>
      </c>
      <c r="FM1" s="3" t="s">
        <v>396</v>
      </c>
      <c r="FN1" s="3" t="s">
        <v>397</v>
      </c>
      <c r="FO1" s="3" t="s">
        <v>398</v>
      </c>
      <c r="FP1" s="3" t="s">
        <v>399</v>
      </c>
      <c r="FQ1" s="3" t="s">
        <v>400</v>
      </c>
      <c r="FR1" s="3" t="s">
        <v>401</v>
      </c>
      <c r="FS1" s="3" t="s">
        <v>402</v>
      </c>
      <c r="FT1" s="3" t="s">
        <v>405</v>
      </c>
      <c r="FU1" s="3" t="s">
        <v>407</v>
      </c>
      <c r="FV1" s="3" t="s">
        <v>408</v>
      </c>
      <c r="FW1" s="3" t="s">
        <v>410</v>
      </c>
      <c r="FX1" s="3" t="s">
        <v>411</v>
      </c>
      <c r="FY1" s="3" t="s">
        <v>412</v>
      </c>
      <c r="FZ1" s="3" t="s">
        <v>414</v>
      </c>
      <c r="GA1" s="3" t="s">
        <v>417</v>
      </c>
      <c r="GB1" s="3" t="s">
        <v>419</v>
      </c>
      <c r="GC1" s="3" t="s">
        <v>421</v>
      </c>
      <c r="GD1" s="3" t="s">
        <v>422</v>
      </c>
      <c r="GE1" s="3" t="s">
        <v>424</v>
      </c>
      <c r="GF1" s="3" t="s">
        <v>425</v>
      </c>
      <c r="GG1" s="3" t="s">
        <v>426</v>
      </c>
      <c r="GH1" s="3" t="s">
        <v>428</v>
      </c>
      <c r="GI1" s="3" t="s">
        <v>429</v>
      </c>
      <c r="GJ1" s="3" t="s">
        <v>430</v>
      </c>
      <c r="GK1" s="3" t="s">
        <v>431</v>
      </c>
      <c r="GL1" s="3" t="s">
        <v>432</v>
      </c>
      <c r="GM1" s="3" t="s">
        <v>434</v>
      </c>
      <c r="GN1" s="3" t="s">
        <v>435</v>
      </c>
      <c r="GO1" s="3" t="s">
        <v>436</v>
      </c>
      <c r="GP1" s="3" t="s">
        <v>437</v>
      </c>
      <c r="GQ1" s="3" t="s">
        <v>438</v>
      </c>
      <c r="GR1" s="3" t="s">
        <v>439</v>
      </c>
      <c r="GS1" s="3" t="s">
        <v>440</v>
      </c>
      <c r="GT1" s="3" t="s">
        <v>441</v>
      </c>
      <c r="GU1" s="3" t="s">
        <v>442</v>
      </c>
      <c r="GV1" s="3" t="s">
        <v>443</v>
      </c>
      <c r="GW1" s="3" t="s">
        <v>445</v>
      </c>
      <c r="GX1" s="3" t="s">
        <v>446</v>
      </c>
      <c r="GY1" s="3" t="s">
        <v>447</v>
      </c>
      <c r="GZ1" s="3" t="s">
        <v>448</v>
      </c>
      <c r="HA1" s="3" t="s">
        <v>449</v>
      </c>
      <c r="HB1" s="3" t="s">
        <v>450</v>
      </c>
      <c r="HC1" s="3" t="s">
        <v>452</v>
      </c>
      <c r="HD1" s="3" t="s">
        <v>453</v>
      </c>
      <c r="HE1" s="3" t="s">
        <v>454</v>
      </c>
      <c r="HF1" s="3" t="s">
        <v>455</v>
      </c>
      <c r="HG1" s="3" t="s">
        <v>456</v>
      </c>
      <c r="HH1" s="3" t="s">
        <v>458</v>
      </c>
      <c r="HI1" s="3" t="s">
        <v>459</v>
      </c>
      <c r="HJ1" s="3" t="s">
        <v>460</v>
      </c>
      <c r="HK1" s="3" t="s">
        <v>461</v>
      </c>
      <c r="HL1" s="3" t="s">
        <v>462</v>
      </c>
      <c r="HM1" s="3" t="s">
        <v>464</v>
      </c>
      <c r="HN1" s="3" t="s">
        <v>466</v>
      </c>
      <c r="HO1" s="3" t="s">
        <v>467</v>
      </c>
      <c r="HP1" s="3" t="s">
        <v>468</v>
      </c>
      <c r="HQ1" s="3" t="s">
        <v>469</v>
      </c>
      <c r="HR1" s="3" t="s">
        <v>470</v>
      </c>
      <c r="HS1" s="3" t="s">
        <v>472</v>
      </c>
      <c r="HT1" s="3" t="s">
        <v>473</v>
      </c>
      <c r="HU1" s="3" t="s">
        <v>474</v>
      </c>
      <c r="HV1" s="3" t="s">
        <v>476</v>
      </c>
      <c r="HW1" s="3" t="s">
        <v>477</v>
      </c>
      <c r="HX1" s="3" t="s">
        <v>478</v>
      </c>
      <c r="HY1" s="3" t="s">
        <v>479</v>
      </c>
      <c r="HZ1" s="3" t="s">
        <v>480</v>
      </c>
      <c r="IA1" s="3" t="s">
        <v>481</v>
      </c>
      <c r="IB1" s="3" t="s">
        <v>482</v>
      </c>
      <c r="IC1" s="3" t="s">
        <v>483</v>
      </c>
      <c r="ID1" s="3" t="s">
        <v>484</v>
      </c>
      <c r="IE1" s="3" t="s">
        <v>485</v>
      </c>
      <c r="IF1" s="3" t="s">
        <v>486</v>
      </c>
      <c r="IG1" s="3" t="s">
        <v>488</v>
      </c>
      <c r="IH1" s="3" t="s">
        <v>490</v>
      </c>
      <c r="II1" s="3" t="s">
        <v>491</v>
      </c>
      <c r="IJ1" s="3" t="s">
        <v>492</v>
      </c>
      <c r="IK1" s="3" t="s">
        <v>494</v>
      </c>
      <c r="IL1" s="3" t="s">
        <v>496</v>
      </c>
      <c r="IM1" s="3" t="s">
        <v>497</v>
      </c>
      <c r="IN1" s="3" t="s">
        <v>498</v>
      </c>
      <c r="IO1" s="3" t="s">
        <v>499</v>
      </c>
      <c r="IP1" s="3" t="s">
        <v>502</v>
      </c>
      <c r="IQ1" s="3" t="s">
        <v>503</v>
      </c>
      <c r="IR1" s="3" t="s">
        <v>504</v>
      </c>
      <c r="IS1" s="3" t="s">
        <v>505</v>
      </c>
      <c r="IT1" s="3" t="s">
        <v>507</v>
      </c>
      <c r="IU1" s="3" t="s">
        <v>508</v>
      </c>
      <c r="IV1" s="3" t="s">
        <v>509</v>
      </c>
      <c r="IW1" s="3" t="s">
        <v>510</v>
      </c>
      <c r="IX1" s="3" t="s">
        <v>511</v>
      </c>
      <c r="IY1" s="3" t="s">
        <v>513</v>
      </c>
      <c r="IZ1" s="3" t="s">
        <v>514</v>
      </c>
      <c r="JA1" s="3" t="s">
        <v>515</v>
      </c>
      <c r="JB1" s="3" t="s">
        <v>516</v>
      </c>
      <c r="JC1" s="3" t="s">
        <v>517</v>
      </c>
      <c r="JD1" s="3" t="s">
        <v>519</v>
      </c>
      <c r="JE1" s="3" t="s">
        <v>521</v>
      </c>
      <c r="JF1" s="3" t="s">
        <v>522</v>
      </c>
      <c r="JG1" s="3" t="s">
        <v>523</v>
      </c>
      <c r="JH1" s="3" t="s">
        <v>525</v>
      </c>
      <c r="JI1" s="3" t="s">
        <v>526</v>
      </c>
      <c r="JJ1" s="3" t="s">
        <v>527</v>
      </c>
      <c r="JK1" s="3" t="s">
        <v>529</v>
      </c>
      <c r="JL1" s="3" t="s">
        <v>531</v>
      </c>
      <c r="JM1" s="3" t="s">
        <v>532</v>
      </c>
      <c r="JN1" s="3" t="s">
        <v>533</v>
      </c>
      <c r="JO1" s="3" t="s">
        <v>534</v>
      </c>
      <c r="JP1" s="3" t="s">
        <v>536</v>
      </c>
      <c r="JQ1" s="3" t="s">
        <v>538</v>
      </c>
      <c r="JR1" s="3" t="s">
        <v>539</v>
      </c>
      <c r="JS1" s="3" t="s">
        <v>540</v>
      </c>
      <c r="JT1" s="3" t="s">
        <v>542</v>
      </c>
      <c r="JU1" s="3" t="s">
        <v>543</v>
      </c>
      <c r="JV1" s="3" t="s">
        <v>545</v>
      </c>
      <c r="JW1" s="3" t="s">
        <v>546</v>
      </c>
      <c r="JX1" s="3" t="s">
        <v>547</v>
      </c>
      <c r="JY1" s="3" t="s">
        <v>548</v>
      </c>
      <c r="JZ1" s="3" t="s">
        <v>549</v>
      </c>
      <c r="KA1" s="3" t="s">
        <v>550</v>
      </c>
      <c r="KB1" s="3" t="s">
        <v>551</v>
      </c>
      <c r="KC1" s="3" t="s">
        <v>553</v>
      </c>
      <c r="KD1" s="3" t="s">
        <v>554</v>
      </c>
      <c r="KE1" s="3" t="s">
        <v>555</v>
      </c>
      <c r="KF1" s="3" t="s">
        <v>556</v>
      </c>
      <c r="KG1" s="3" t="s">
        <v>558</v>
      </c>
      <c r="KH1" s="3" t="s">
        <v>559</v>
      </c>
      <c r="KI1" s="3" t="s">
        <v>560</v>
      </c>
      <c r="KJ1" s="3" t="s">
        <v>562</v>
      </c>
      <c r="KK1" s="3" t="s">
        <v>563</v>
      </c>
      <c r="KL1" s="3" t="s">
        <v>564</v>
      </c>
      <c r="KM1" s="3" t="s">
        <v>565</v>
      </c>
      <c r="KN1" s="3" t="s">
        <v>566</v>
      </c>
      <c r="KO1" s="3" t="s">
        <v>567</v>
      </c>
      <c r="KP1" s="3" t="s">
        <v>568</v>
      </c>
      <c r="KQ1" s="3" t="s">
        <v>569</v>
      </c>
      <c r="KR1" s="3" t="s">
        <v>571</v>
      </c>
      <c r="KS1" s="3" t="s">
        <v>572</v>
      </c>
      <c r="KT1" s="3" t="s">
        <v>573</v>
      </c>
      <c r="KU1" s="3" t="s">
        <v>574</v>
      </c>
      <c r="KV1" s="3" t="s">
        <v>575</v>
      </c>
      <c r="KW1" s="3" t="s">
        <v>577</v>
      </c>
      <c r="KX1" s="3" t="s">
        <v>578</v>
      </c>
      <c r="KY1" s="3" t="s">
        <v>579</v>
      </c>
      <c r="KZ1" s="3" t="s">
        <v>580</v>
      </c>
      <c r="LA1" s="3" t="s">
        <v>581</v>
      </c>
      <c r="LB1" s="3" t="s">
        <v>583</v>
      </c>
      <c r="LC1" s="3" t="s">
        <v>584</v>
      </c>
      <c r="LD1" s="3" t="s">
        <v>585</v>
      </c>
      <c r="LE1" s="3" t="s">
        <v>587</v>
      </c>
      <c r="LF1" s="3" t="s">
        <v>588</v>
      </c>
      <c r="LG1" s="3" t="s">
        <v>589</v>
      </c>
      <c r="LH1" s="3" t="s">
        <v>590</v>
      </c>
      <c r="LI1" s="3" t="s">
        <v>591</v>
      </c>
      <c r="LJ1" s="3" t="s">
        <v>594</v>
      </c>
      <c r="LK1" s="3" t="s">
        <v>595</v>
      </c>
      <c r="LL1" s="3" t="s">
        <v>596</v>
      </c>
      <c r="LM1" s="3" t="s">
        <v>597</v>
      </c>
      <c r="LN1" s="3" t="s">
        <v>598</v>
      </c>
      <c r="LO1" s="3" t="s">
        <v>599</v>
      </c>
      <c r="LP1" s="3" t="s">
        <v>600</v>
      </c>
      <c r="LQ1" s="3" t="s">
        <v>601</v>
      </c>
      <c r="LR1" s="3" t="s">
        <v>603</v>
      </c>
      <c r="LS1" s="3" t="s">
        <v>604</v>
      </c>
      <c r="LT1" s="3" t="s">
        <v>606</v>
      </c>
      <c r="LU1" s="3" t="s">
        <v>607</v>
      </c>
      <c r="LV1" s="3" t="s">
        <v>608</v>
      </c>
      <c r="LW1" s="3" t="s">
        <v>609</v>
      </c>
      <c r="LX1" s="3" t="s">
        <v>610</v>
      </c>
      <c r="LY1" s="3" t="s">
        <v>611</v>
      </c>
      <c r="LZ1" s="3" t="s">
        <v>613</v>
      </c>
      <c r="MA1" s="3" t="s">
        <v>614</v>
      </c>
      <c r="MB1" s="3" t="s">
        <v>616</v>
      </c>
      <c r="MC1" s="3" t="s">
        <v>617</v>
      </c>
      <c r="MD1" s="3" t="s">
        <v>618</v>
      </c>
      <c r="ME1" s="3" t="s">
        <v>619</v>
      </c>
      <c r="MF1" s="3" t="s">
        <v>620</v>
      </c>
      <c r="MG1" s="3" t="s">
        <v>621</v>
      </c>
      <c r="MH1" s="3" t="s">
        <v>622</v>
      </c>
      <c r="MI1" s="3" t="s">
        <v>624</v>
      </c>
      <c r="MJ1" s="3" t="s">
        <v>625</v>
      </c>
      <c r="MK1" s="3" t="s">
        <v>626</v>
      </c>
      <c r="ML1" s="3" t="s">
        <v>627</v>
      </c>
      <c r="MM1" s="3" t="s">
        <v>628</v>
      </c>
      <c r="MN1" s="3" t="s">
        <v>629</v>
      </c>
      <c r="MO1" s="3" t="s">
        <v>630</v>
      </c>
      <c r="MP1" s="3" t="s">
        <v>631</v>
      </c>
      <c r="MQ1" s="3" t="s">
        <v>633</v>
      </c>
      <c r="MR1" s="3" t="s">
        <v>634</v>
      </c>
      <c r="MS1" s="3" t="s">
        <v>635</v>
      </c>
      <c r="MT1" s="3" t="s">
        <v>636</v>
      </c>
      <c r="MU1" s="3" t="s">
        <v>637</v>
      </c>
      <c r="MV1" s="3" t="s">
        <v>638</v>
      </c>
      <c r="MW1" s="3" t="s">
        <v>640</v>
      </c>
      <c r="MX1" s="3" t="s">
        <v>641</v>
      </c>
      <c r="MY1" s="3" t="s">
        <v>643</v>
      </c>
      <c r="MZ1" s="3" t="s">
        <v>644</v>
      </c>
      <c r="NA1" s="3" t="s">
        <v>645</v>
      </c>
      <c r="NB1" s="3" t="s">
        <v>646</v>
      </c>
      <c r="NC1" s="3" t="s">
        <v>647</v>
      </c>
      <c r="ND1" s="3" t="s">
        <v>648</v>
      </c>
      <c r="NE1" s="3" t="s">
        <v>649</v>
      </c>
      <c r="NF1" s="3" t="s">
        <v>650</v>
      </c>
      <c r="NG1" s="3" t="s">
        <v>652</v>
      </c>
      <c r="NH1" s="3" t="s">
        <v>653</v>
      </c>
      <c r="NI1" s="3" t="s">
        <v>654</v>
      </c>
      <c r="NJ1" s="3" t="s">
        <v>655</v>
      </c>
      <c r="NK1" s="3" t="s">
        <v>656</v>
      </c>
      <c r="NL1" s="3" t="s">
        <v>657</v>
      </c>
      <c r="NM1" s="3" t="s">
        <v>659</v>
      </c>
      <c r="NN1" s="3" t="s">
        <v>661</v>
      </c>
      <c r="NO1" s="3" t="s">
        <v>662</v>
      </c>
      <c r="NP1" s="3" t="s">
        <v>663</v>
      </c>
      <c r="NQ1" s="3" t="s">
        <v>664</v>
      </c>
      <c r="NR1" s="3" t="s">
        <v>665</v>
      </c>
      <c r="NS1" s="3" t="s">
        <v>666</v>
      </c>
      <c r="NT1" s="3" t="s">
        <v>667</v>
      </c>
      <c r="NU1" s="3" t="s">
        <v>668</v>
      </c>
      <c r="NV1" s="3" t="s">
        <v>669</v>
      </c>
      <c r="NW1" s="3" t="s">
        <v>670</v>
      </c>
      <c r="NX1" s="3" t="s">
        <v>671</v>
      </c>
      <c r="NY1" s="3" t="s">
        <v>674</v>
      </c>
      <c r="NZ1" s="3" t="s">
        <v>675</v>
      </c>
      <c r="OA1" s="3" t="s">
        <v>676</v>
      </c>
      <c r="OB1" s="3" t="s">
        <v>677</v>
      </c>
      <c r="OC1" s="3" t="s">
        <v>678</v>
      </c>
      <c r="OD1" s="3" t="s">
        <v>679</v>
      </c>
      <c r="OE1" s="3" t="s">
        <v>680</v>
      </c>
      <c r="OF1" s="3" t="s">
        <v>681</v>
      </c>
      <c r="OG1" s="3" t="s">
        <v>682</v>
      </c>
      <c r="OH1" s="3" t="s">
        <v>684</v>
      </c>
      <c r="OI1" s="3" t="s">
        <v>685</v>
      </c>
      <c r="OJ1" s="3" t="s">
        <v>686</v>
      </c>
      <c r="OK1" s="3" t="s">
        <v>687</v>
      </c>
      <c r="OL1" s="3" t="s">
        <v>688</v>
      </c>
      <c r="OM1" s="3" t="s">
        <v>689</v>
      </c>
      <c r="ON1" s="3" t="s">
        <v>690</v>
      </c>
      <c r="OO1" s="3" t="s">
        <v>691</v>
      </c>
      <c r="OP1" s="3" t="s">
        <v>693</v>
      </c>
      <c r="OQ1" s="3" t="s">
        <v>694</v>
      </c>
      <c r="OR1" s="3" t="s">
        <v>695</v>
      </c>
      <c r="OS1" s="3" t="s">
        <v>696</v>
      </c>
      <c r="OT1" s="3" t="s">
        <v>697</v>
      </c>
      <c r="OU1" s="3" t="s">
        <v>698</v>
      </c>
      <c r="OV1" s="3" t="s">
        <v>699</v>
      </c>
    </row>
    <row r="2" ht="18.0" customHeight="1">
      <c r="A2" s="29">
        <v>1.0</v>
      </c>
      <c r="B2" s="30" t="s">
        <v>196</v>
      </c>
      <c r="C2" s="31" t="s">
        <v>51</v>
      </c>
      <c r="D2" s="30" t="s">
        <v>50</v>
      </c>
      <c r="E2" s="29">
        <v>30.0</v>
      </c>
      <c r="F2" s="29">
        <f>COUNTIF('Tổng hợp 75 trang đích'!$B$2:$B$3400,$D2)</f>
        <v>30</v>
      </c>
      <c r="G2" s="29">
        <f>COUNTIFS('Tổng hợp 75 trang đích'!$B$2:$B$3400,$D2,'Tổng hợp 75 trang đích'!$K$2:$K$3400,"PHÙ HỢP CAO")</f>
        <v>2</v>
      </c>
      <c r="H2" s="29">
        <f>COUNTIFS('Tổng hợp 75 trang đích'!$B$2:$B$3400,$D2,'Tổng hợp 75 trang đích'!$K$2:$K$3400,"CÓ THỂ ĐI")</f>
        <v>1</v>
      </c>
      <c r="I2" s="29">
        <f>COUNTIFS('Tổng hợp 75 trang đích'!$B$2:$B$3400,$D2,'Tổng hợp 75 trang đích'!$K$2:$K$3400,"CẦN SOÁT")</f>
        <v>27</v>
      </c>
      <c r="J2" s="32" t="s">
        <v>714</v>
      </c>
      <c r="K2" s="32" t="b">
        <v>0</v>
      </c>
      <c r="L2" s="33" t="s">
        <v>52</v>
      </c>
      <c r="M2" s="30" t="str">
        <f>IFERROR(__xludf.DUMMYFUNCTION("IFERROR(TOROW(CHOOSECOLS(SORT(FILTER({'Tổng hợp 75 trang đích'!$J$2:$J$3400,'Tổng hợp 75 trang đích'!$I$2:$I$3400,MATCH('Tổng hợp 75 trang đích'!$K$2:$K$3400,{""PHÙ HỢP CAO"",""CÓ THỂ ĐI"",""CẦN SOÁT""},0)},'Tổng hợp 75 trang đích'!$B$2:$B$3400=$D2),3,TRU"&amp;"E),1,2)),"""")"),"lãi suất vay mua xe ô tô")</f>
        <v>lãi suất vay mua xe ô tô</v>
      </c>
      <c r="N2" s="34" t="str">
        <f>IFERROR(__xludf.DUMMYFUNCTION("""COMPUTED_VALUE"""),"https://techcombank.com/thong-tin/blog/thu-tuc-mua-xe-tra-gop")</f>
        <v>https://techcombank.com/thong-tin/blog/thu-tuc-mua-xe-tra-gop</v>
      </c>
      <c r="O2" s="30" t="str">
        <f>IFERROR(__xludf.DUMMYFUNCTION("""COMPUTED_VALUE"""),"lãi suất vay mua ô tô")</f>
        <v>lãi suất vay mua ô tô</v>
      </c>
      <c r="P2" s="34" t="str">
        <f>IFERROR(__xludf.DUMMYFUNCTION("""COMPUTED_VALUE"""),"https://techcombank.com/thong-tin/blog/nen-mua-xe-tra-gop-hay-tra-thang")</f>
        <v>https://techcombank.com/thong-tin/blog/nen-mua-xe-tra-gop-hay-tra-thang</v>
      </c>
      <c r="Q2" s="30" t="str">
        <f>IFERROR(__xludf.DUMMYFUNCTION("""COMPUTED_VALUE"""),"lãi suất vay mua ô tô")</f>
        <v>lãi suất vay mua ô tô</v>
      </c>
      <c r="R2" s="34" t="str">
        <f>IFERROR(__xludf.DUMMYFUNCTION("""COMPUTED_VALUE"""),"https://techcombank.com/thong-tin/blog/vay-the-chap-xe-o-to-cu")</f>
        <v>https://techcombank.com/thong-tin/blog/vay-the-chap-xe-o-to-cu</v>
      </c>
      <c r="S2" s="30" t="str">
        <f>IFERROR(__xludf.DUMMYFUNCTION("""COMPUTED_VALUE"""),"lãi suất vay mua ô tô")</f>
        <v>lãi suất vay mua ô tô</v>
      </c>
      <c r="T2" s="34" t="str">
        <f>IFERROR(__xludf.DUMMYFUNCTION("""COMPUTED_VALUE"""),"https://techcombank.com/thong-tin/blog/doi-xe-xang-lay-xe-dien")</f>
        <v>https://techcombank.com/thong-tin/blog/doi-xe-xang-lay-xe-dien</v>
      </c>
      <c r="U2" s="30" t="str">
        <f>IFERROR(__xludf.DUMMYFUNCTION("""COMPUTED_VALUE"""),"lãi suất vay mua ô tô các ngân hàng")</f>
        <v>lãi suất vay mua ô tô các ngân hàng</v>
      </c>
      <c r="V2" s="34" t="str">
        <f>IFERROR(__xludf.DUMMYFUNCTION("""COMPUTED_VALUE"""),"https://techcombank.com/thong-tin/blog/tai-khoan-ngan-hang-la-gi")</f>
        <v>https://techcombank.com/thong-tin/blog/tai-khoan-ngan-hang-la-gi</v>
      </c>
      <c r="W2" s="30" t="str">
        <f>IFERROR(__xludf.DUMMYFUNCTION("""COMPUTED_VALUE"""),"lãi suất vay mua ô tô các ngân hàng")</f>
        <v>lãi suất vay mua ô tô các ngân hàng</v>
      </c>
      <c r="X2" s="34" t="str">
        <f>IFERROR(__xludf.DUMMYFUNCTION("""COMPUTED_VALUE"""),"https://techcombank.com/thong-tin/blog/mua-bao-hiem-o-to-dien")</f>
        <v>https://techcombank.com/thong-tin/blog/mua-bao-hiem-o-to-dien</v>
      </c>
      <c r="Y2" s="30" t="str">
        <f>IFERROR(__xludf.DUMMYFUNCTION("""COMPUTED_VALUE"""),"lãi suất vay mua xe ô tô")</f>
        <v>lãi suất vay mua xe ô tô</v>
      </c>
      <c r="Z2" s="34" t="str">
        <f>IFERROR(__xludf.DUMMYFUNCTION("""COMPUTED_VALUE"""),"https://techcombank.com/thong-tin/blog/cho-vay-tung-lan")</f>
        <v>https://techcombank.com/thong-tin/blog/cho-vay-tung-lan</v>
      </c>
      <c r="AA2" s="30" t="str">
        <f>IFERROR(__xludf.DUMMYFUNCTION("""COMPUTED_VALUE"""),"mua xe trả góp lãi suất bao nhiêu")</f>
        <v>mua xe trả góp lãi suất bao nhiêu</v>
      </c>
      <c r="AB2" s="34" t="str">
        <f>IFERROR(__xludf.DUMMYFUNCTION("""COMPUTED_VALUE"""),"https://techcombank.com/thong-tin/blog/lam-ho-so-tra-gop-dien-thoai")</f>
        <v>https://techcombank.com/thong-tin/blog/lam-ho-so-tra-gop-dien-thoai</v>
      </c>
      <c r="AC2" s="30" t="str">
        <f>IFERROR(__xludf.DUMMYFUNCTION("""COMPUTED_VALUE"""),"mua xe trả góp lãi suất bao nhiêu")</f>
        <v>mua xe trả góp lãi suất bao nhiêu</v>
      </c>
      <c r="AD2" s="34" t="str">
        <f>IFERROR(__xludf.DUMMYFUNCTION("""COMPUTED_VALUE"""),"https://techcombank.com/thong-tin/blog/nen-mua-xe-o-to-dien-hay-xe-xang")</f>
        <v>https://techcombank.com/thong-tin/blog/nen-mua-xe-o-to-dien-hay-xe-xang</v>
      </c>
      <c r="AE2" s="30" t="str">
        <f>IFERROR(__xludf.DUMMYFUNCTION("""COMPUTED_VALUE"""),"lãi suất vay mua ô tô các ngân hàng")</f>
        <v>lãi suất vay mua ô tô các ngân hàng</v>
      </c>
      <c r="AF2" s="34" t="str">
        <f>IFERROR(__xludf.DUMMYFUNCTION("""COMPUTED_VALUE"""),"https://techcombank.com/thong-tin/blog/tin-chap-doanh-nghiep")</f>
        <v>https://techcombank.com/thong-tin/blog/tin-chap-doanh-nghiep</v>
      </c>
      <c r="AG2" s="30" t="str">
        <f>IFERROR(__xludf.DUMMYFUNCTION("""COMPUTED_VALUE"""),"mua xe trả góp lãi suất bao nhiêu")</f>
        <v>mua xe trả góp lãi suất bao nhiêu</v>
      </c>
      <c r="AH2" s="34" t="str">
        <f>IFERROR(__xludf.DUMMYFUNCTION("""COMPUTED_VALUE"""),"https://techcombank.com/thong-tin/blog/vay-mua-nha-o-xa-hoi")</f>
        <v>https://techcombank.com/thong-tin/blog/vay-mua-nha-o-xa-hoi</v>
      </c>
      <c r="AI2" s="30" t="str">
        <f>IFERROR(__xludf.DUMMYFUNCTION("""COMPUTED_VALUE"""),"lãi suất vay mua ô tô các ngân hàng")</f>
        <v>lãi suất vay mua ô tô các ngân hàng</v>
      </c>
      <c r="AJ2" s="34" t="str">
        <f>IFERROR(__xludf.DUMMYFUNCTION("""COMPUTED_VALUE"""),"https://techcombank.com/thong-tin/blog/cach-tinh-lai-vay-ngan-hang")</f>
        <v>https://techcombank.com/thong-tin/blog/cach-tinh-lai-vay-ngan-hang</v>
      </c>
      <c r="AK2" s="30" t="str">
        <f>IFERROR(__xludf.DUMMYFUNCTION("""COMPUTED_VALUE"""),"mua xe trả góp lãi suất bao nhiêu")</f>
        <v>mua xe trả góp lãi suất bao nhiêu</v>
      </c>
      <c r="AL2" s="34" t="str">
        <f>IFERROR(__xludf.DUMMYFUNCTION("""COMPUTED_VALUE"""),"https://techcombank.com/thong-tin/blog/mo-the-tin-dung-co-loi-ich-gi")</f>
        <v>https://techcombank.com/thong-tin/blog/mo-the-tin-dung-co-loi-ich-gi</v>
      </c>
      <c r="AM2" s="30" t="str">
        <f>IFERROR(__xludf.DUMMYFUNCTION("""COMPUTED_VALUE"""),"lãi suất vay mua ô tô các ngân hàng")</f>
        <v>lãi suất vay mua ô tô các ngân hàng</v>
      </c>
      <c r="AN2" s="34" t="str">
        <f>IFERROR(__xludf.DUMMYFUNCTION("""COMPUTED_VALUE"""),"https://techcombank.com/thong-tin/blog/lai-suat-vay-tin-chap")</f>
        <v>https://techcombank.com/thong-tin/blog/lai-suat-vay-tin-chap</v>
      </c>
      <c r="AO2" s="30" t="str">
        <f>IFERROR(__xludf.DUMMYFUNCTION("""COMPUTED_VALUE"""),"lãi suất vay mua ô tô các ngân hàng")</f>
        <v>lãi suất vay mua ô tô các ngân hàng</v>
      </c>
      <c r="AP2" s="34" t="str">
        <f>IFERROR(__xludf.DUMMYFUNCTION("""COMPUTED_VALUE"""),"https://techcombank.com/thong-tin/blog/cac-hinh-thuc-vay-von-ngan-hang")</f>
        <v>https://techcombank.com/thong-tin/blog/cac-hinh-thuc-vay-von-ngan-hang</v>
      </c>
      <c r="AQ2" s="30" t="str">
        <f>IFERROR(__xludf.DUMMYFUNCTION("""COMPUTED_VALUE"""),"lãi suất vay mua ô tô các ngân hàng")</f>
        <v>lãi suất vay mua ô tô các ngân hàng</v>
      </c>
      <c r="AR2" s="34" t="str">
        <f>IFERROR(__xludf.DUMMYFUNCTION("""COMPUTED_VALUE"""),"https://techcombank.com/thong-tin/blog/vay-tin-chap-va-vay-the-chap")</f>
        <v>https://techcombank.com/thong-tin/blog/vay-tin-chap-va-vay-the-chap</v>
      </c>
      <c r="AS2" s="30" t="str">
        <f>IFERROR(__xludf.DUMMYFUNCTION("""COMPUTED_VALUE"""),"lãi suất vay mua xe ô tô")</f>
        <v>lãi suất vay mua xe ô tô</v>
      </c>
      <c r="AT2" s="34" t="str">
        <f>IFERROR(__xludf.DUMMYFUNCTION("""COMPUTED_VALUE"""),"https://techcombank.com/thong-tin/blog/lai-suat-vay-the-chap-so-do")</f>
        <v>https://techcombank.com/thong-tin/blog/lai-suat-vay-the-chap-so-do</v>
      </c>
      <c r="AU2" s="30" t="str">
        <f>IFERROR(__xludf.DUMMYFUNCTION("""COMPUTED_VALUE"""),"lãi suất vay mua ô tô")</f>
        <v>lãi suất vay mua ô tô</v>
      </c>
      <c r="AV2" s="34" t="str">
        <f>IFERROR(__xludf.DUMMYFUNCTION("""COMPUTED_VALUE"""),"https://techcombank.com/thong-tin/blog/co-100-trieu-co-mua-nen-mua-tra-gop")</f>
        <v>https://techcombank.com/thong-tin/blog/co-100-trieu-co-mua-nen-mua-tra-gop</v>
      </c>
      <c r="AW2" s="30" t="str">
        <f>IFERROR(__xludf.DUMMYFUNCTION("""COMPUTED_VALUE"""),"mua xe trả góp lãi suất bao nhiêu")</f>
        <v>mua xe trả góp lãi suất bao nhiêu</v>
      </c>
      <c r="AX2" s="34" t="str">
        <f>IFERROR(__xludf.DUMMYFUNCTION("""COMPUTED_VALUE"""),"https://techcombank.com/thong-tin/blog/nen-vay-tin-chap-o-dau")</f>
        <v>https://techcombank.com/thong-tin/blog/nen-vay-tin-chap-o-dau</v>
      </c>
      <c r="AY2" s="30" t="str">
        <f>IFERROR(__xludf.DUMMYFUNCTION("""COMPUTED_VALUE"""),"lãi suất vay mua ô tô")</f>
        <v>lãi suất vay mua ô tô</v>
      </c>
      <c r="AZ2" s="34" t="str">
        <f>IFERROR(__xludf.DUMMYFUNCTION("""COMPUTED_VALUE"""),"https://techcombank.com/thong-tin/blog/vay-the-chap-so-hong")</f>
        <v>https://techcombank.com/thong-tin/blog/vay-the-chap-so-hong</v>
      </c>
      <c r="BA2" s="30" t="str">
        <f>IFERROR(__xludf.DUMMYFUNCTION("""COMPUTED_VALUE"""),"mua xe trả góp lãi suất bao nhiêu")</f>
        <v>mua xe trả góp lãi suất bao nhiêu</v>
      </c>
      <c r="BB2" s="34" t="str">
        <f>IFERROR(__xludf.DUMMYFUNCTION("""COMPUTED_VALUE"""),"https://techcombank.com/thong-tin/blog/mua-nha-tra-gop-dua-truoc-100-trieu")</f>
        <v>https://techcombank.com/thong-tin/blog/mua-nha-tra-gop-dua-truoc-100-trieu</v>
      </c>
      <c r="BC2" s="30" t="str">
        <f>IFERROR(__xludf.DUMMYFUNCTION("""COMPUTED_VALUE"""),"mua xe trả góp lãi suất bao nhiêu")</f>
        <v>mua xe trả góp lãi suất bao nhiêu</v>
      </c>
      <c r="BD2" s="34" t="str">
        <f>IFERROR(__xludf.DUMMYFUNCTION("""COMPUTED_VALUE"""),"https://techcombank.com/thong-tin/blog/vay-300-trieu")</f>
        <v>https://techcombank.com/thong-tin/blog/vay-300-trieu</v>
      </c>
      <c r="BE2" s="30" t="str">
        <f>IFERROR(__xludf.DUMMYFUNCTION("""COMPUTED_VALUE"""),"mua xe trả góp lãi suất bao nhiêu")</f>
        <v>mua xe trả góp lãi suất bao nhiêu</v>
      </c>
      <c r="BF2" s="34" t="str">
        <f>IFERROR(__xludf.DUMMYFUNCTION("""COMPUTED_VALUE"""),"https://techcombank.com/thong-tin/blog/vay-100-trieu")</f>
        <v>https://techcombank.com/thong-tin/blog/vay-100-trieu</v>
      </c>
      <c r="BG2" s="30" t="str">
        <f>IFERROR(__xludf.DUMMYFUNCTION("""COMPUTED_VALUE"""),"mua xe trả góp lãi suất bao nhiêu")</f>
        <v>mua xe trả góp lãi suất bao nhiêu</v>
      </c>
      <c r="BH2" s="34" t="str">
        <f>IFERROR(__xludf.DUMMYFUNCTION("""COMPUTED_VALUE"""),"https://techcombank.com/thong-tin/blog/vay-30-trieu")</f>
        <v>https://techcombank.com/thong-tin/blog/vay-30-trieu</v>
      </c>
      <c r="BI2" s="30" t="str">
        <f>IFERROR(__xludf.DUMMYFUNCTION("""COMPUTED_VALUE"""),"lãi suất vay mua ô tô các ngân hàng")</f>
        <v>lãi suất vay mua ô tô các ngân hàng</v>
      </c>
      <c r="BJ2" s="34" t="str">
        <f>IFERROR(__xludf.DUMMYFUNCTION("""COMPUTED_VALUE"""),"https://techcombank.com/thong-tin/blog/vay-the-chap-kinh-doanh")</f>
        <v>https://techcombank.com/thong-tin/blog/vay-the-chap-kinh-doanh</v>
      </c>
      <c r="BK2" s="30" t="str">
        <f>IFERROR(__xludf.DUMMYFUNCTION("""COMPUTED_VALUE"""),"mua xe trả góp lãi suất bao nhiêu")</f>
        <v>mua xe trả góp lãi suất bao nhiêu</v>
      </c>
      <c r="BL2" s="34" t="str">
        <f>IFERROR(__xludf.DUMMYFUNCTION("""COMPUTED_VALUE"""),"https://techcombank.com/thong-tin/blog/vay-200-trieu")</f>
        <v>https://techcombank.com/thong-tin/blog/vay-200-trieu</v>
      </c>
      <c r="BM2" s="30" t="str">
        <f>IFERROR(__xludf.DUMMYFUNCTION("""COMPUTED_VALUE"""),"mua xe trả góp lãi suất bao nhiêu")</f>
        <v>mua xe trả góp lãi suất bao nhiêu</v>
      </c>
      <c r="BN2" s="34" t="str">
        <f>IFERROR(__xludf.DUMMYFUNCTION("""COMPUTED_VALUE"""),"https://techcombank.com/thong-tin/blog/cach-su-dung-the-tin-dung")</f>
        <v>https://techcombank.com/thong-tin/blog/cach-su-dung-the-tin-dung</v>
      </c>
      <c r="BO2" s="30" t="str">
        <f>IFERROR(__xludf.DUMMYFUNCTION("""COMPUTED_VALUE"""),"lãi suất vay mua ô tô")</f>
        <v>lãi suất vay mua ô tô</v>
      </c>
      <c r="BP2" s="34" t="str">
        <f>IFERROR(__xludf.DUMMYFUNCTION("""COMPUTED_VALUE"""),"https://techcombank.com/thong-tin/blog/vay-tra-gop")</f>
        <v>https://techcombank.com/thong-tin/blog/vay-tra-gop</v>
      </c>
      <c r="BQ2" s="30" t="str">
        <f>IFERROR(__xludf.DUMMYFUNCTION("""COMPUTED_VALUE"""),"lãi suất vay mua ô tô các ngân hàng")</f>
        <v>lãi suất vay mua ô tô các ngân hàng</v>
      </c>
      <c r="BR2" s="34" t="str">
        <f>IFERROR(__xludf.DUMMYFUNCTION("""COMPUTED_VALUE"""),"https://techcombank.com/thong-tin/blog/lai-suat-vay-the-chap")</f>
        <v>https://techcombank.com/thong-tin/blog/lai-suat-vay-the-chap</v>
      </c>
      <c r="BS2" s="30" t="str">
        <f>IFERROR(__xludf.DUMMYFUNCTION("""COMPUTED_VALUE"""),"lãi suất vay mua ô tô các ngân hàng")</f>
        <v>lãi suất vay mua ô tô các ngân hàng</v>
      </c>
      <c r="BT2" s="34" t="str">
        <f>IFERROR(__xludf.DUMMYFUNCTION("""COMPUTED_VALUE"""),"https://techcombank.com/thong-tin/blog/lai-suat-vay-thau-chi")</f>
        <v>https://techcombank.com/thong-tin/blog/lai-suat-vay-thau-chi</v>
      </c>
      <c r="BU2" s="30"/>
      <c r="BV2" s="30"/>
      <c r="BW2" s="30"/>
      <c r="BX2" s="30"/>
      <c r="BY2" s="30"/>
      <c r="BZ2" s="30"/>
      <c r="CA2" s="30"/>
      <c r="CB2" s="30"/>
      <c r="CC2" s="30"/>
      <c r="CD2" s="30"/>
      <c r="CE2" s="30"/>
      <c r="CF2" s="30"/>
      <c r="CG2" s="30"/>
      <c r="CH2" s="30"/>
      <c r="CI2" s="30"/>
      <c r="CJ2" s="30"/>
      <c r="CK2" s="30"/>
      <c r="CL2" s="30"/>
      <c r="CM2" s="30"/>
      <c r="CN2" s="30"/>
      <c r="CO2" s="30"/>
      <c r="CP2" s="30"/>
      <c r="CQ2" s="30"/>
      <c r="CR2" s="30"/>
      <c r="CS2" s="30"/>
      <c r="CT2" s="30"/>
      <c r="CU2" s="30"/>
      <c r="CV2" s="30"/>
      <c r="CW2" s="30"/>
      <c r="CX2" s="30"/>
      <c r="CY2" s="30"/>
      <c r="CZ2" s="30"/>
      <c r="DA2" s="30"/>
      <c r="DB2" s="30"/>
      <c r="DC2" s="30"/>
      <c r="DD2" s="30"/>
      <c r="DE2" s="30"/>
      <c r="DF2" s="30"/>
      <c r="DG2" s="30"/>
      <c r="DH2" s="30"/>
      <c r="DI2" s="30"/>
      <c r="DJ2" s="30"/>
      <c r="DK2" s="30"/>
      <c r="DL2" s="30"/>
      <c r="DM2" s="30"/>
      <c r="DN2" s="30"/>
      <c r="DO2" s="30"/>
      <c r="DP2" s="30"/>
      <c r="DQ2" s="30"/>
      <c r="DR2" s="30"/>
      <c r="DS2" s="30"/>
      <c r="DT2" s="30"/>
      <c r="DU2" s="30"/>
      <c r="DV2" s="30"/>
      <c r="DW2" s="30"/>
      <c r="DX2" s="30"/>
      <c r="DY2" s="30"/>
      <c r="DZ2" s="30"/>
      <c r="EA2" s="30"/>
      <c r="EB2" s="30"/>
      <c r="EC2" s="30"/>
      <c r="ED2" s="30"/>
      <c r="EE2" s="30"/>
      <c r="EF2" s="30"/>
      <c r="EG2" s="30"/>
      <c r="EH2" s="30"/>
      <c r="EI2" s="30"/>
      <c r="EJ2" s="30"/>
      <c r="EK2" s="30"/>
      <c r="EL2" s="30"/>
      <c r="EM2" s="30"/>
      <c r="EN2" s="30"/>
      <c r="EO2" s="30"/>
      <c r="EP2" s="30"/>
      <c r="EQ2" s="30"/>
      <c r="ER2" s="30"/>
      <c r="ES2" s="30"/>
      <c r="ET2" s="30"/>
      <c r="EU2" s="30"/>
      <c r="EV2" s="30"/>
      <c r="EW2" s="30"/>
      <c r="EX2" s="30"/>
      <c r="EY2" s="30"/>
      <c r="EZ2" s="30"/>
      <c r="FA2" s="30"/>
      <c r="FB2" s="30"/>
      <c r="FC2" s="30"/>
      <c r="FD2" s="30"/>
      <c r="FE2" s="30"/>
      <c r="FF2" s="30"/>
      <c r="FG2" s="30"/>
      <c r="FH2" s="30"/>
      <c r="FI2" s="30"/>
      <c r="FJ2" s="30"/>
      <c r="FK2" s="30"/>
      <c r="FL2" s="30"/>
      <c r="FM2" s="30"/>
      <c r="FN2" s="30"/>
      <c r="FO2" s="30"/>
      <c r="FP2" s="30"/>
      <c r="FQ2" s="30"/>
      <c r="FR2" s="30"/>
      <c r="FS2" s="30"/>
      <c r="FT2" s="30"/>
      <c r="FU2" s="30"/>
      <c r="FV2" s="30"/>
      <c r="FW2" s="30"/>
      <c r="FX2" s="30"/>
      <c r="FY2" s="30"/>
      <c r="FZ2" s="30"/>
      <c r="GA2" s="30"/>
      <c r="GB2" s="30"/>
      <c r="GC2" s="30"/>
      <c r="GD2" s="30"/>
      <c r="GE2" s="30"/>
      <c r="GF2" s="30"/>
      <c r="GG2" s="30"/>
      <c r="GH2" s="30"/>
      <c r="GI2" s="30"/>
      <c r="GJ2" s="30"/>
      <c r="GK2" s="30"/>
      <c r="GL2" s="30"/>
      <c r="GM2" s="30"/>
      <c r="GN2" s="30"/>
      <c r="GO2" s="30"/>
      <c r="GP2" s="30"/>
      <c r="GQ2" s="30"/>
      <c r="GR2" s="30"/>
      <c r="GS2" s="30"/>
      <c r="GT2" s="30"/>
      <c r="GU2" s="30"/>
      <c r="GV2" s="30"/>
      <c r="GW2" s="30"/>
      <c r="GX2" s="30"/>
      <c r="GY2" s="30"/>
      <c r="GZ2" s="30"/>
      <c r="HA2" s="30"/>
      <c r="HB2" s="30"/>
      <c r="HC2" s="30"/>
      <c r="HD2" s="30"/>
      <c r="HE2" s="30"/>
      <c r="HF2" s="30"/>
      <c r="HG2" s="30"/>
      <c r="HH2" s="30"/>
      <c r="HI2" s="30"/>
      <c r="HJ2" s="30"/>
      <c r="HK2" s="30"/>
      <c r="HL2" s="30"/>
      <c r="HM2" s="30"/>
      <c r="HN2" s="30"/>
      <c r="HO2" s="30"/>
      <c r="HP2" s="30"/>
      <c r="HQ2" s="30"/>
      <c r="HR2" s="30"/>
      <c r="HS2" s="30"/>
      <c r="HT2" s="30"/>
      <c r="HU2" s="30"/>
      <c r="HV2" s="30"/>
      <c r="HW2" s="30"/>
      <c r="HX2" s="30"/>
      <c r="HY2" s="30"/>
      <c r="HZ2" s="30"/>
      <c r="IA2" s="30"/>
      <c r="IB2" s="30"/>
      <c r="IC2" s="30"/>
      <c r="ID2" s="30"/>
      <c r="IE2" s="30"/>
      <c r="IF2" s="30"/>
      <c r="IG2" s="30"/>
      <c r="IH2" s="30"/>
      <c r="II2" s="30"/>
      <c r="IJ2" s="30"/>
      <c r="IK2" s="30"/>
      <c r="IL2" s="30"/>
      <c r="IM2" s="30"/>
      <c r="IN2" s="30"/>
      <c r="IO2" s="30"/>
      <c r="IP2" s="30"/>
      <c r="IQ2" s="30"/>
      <c r="IR2" s="30"/>
      <c r="IS2" s="30"/>
      <c r="IT2" s="30"/>
      <c r="IU2" s="30"/>
      <c r="IV2" s="30"/>
      <c r="IW2" s="30"/>
      <c r="IX2" s="30"/>
      <c r="IY2" s="30"/>
      <c r="IZ2" s="30"/>
      <c r="JA2" s="30"/>
      <c r="JB2" s="30"/>
      <c r="JC2" s="30"/>
      <c r="JD2" s="30"/>
      <c r="JE2" s="30"/>
      <c r="JF2" s="30"/>
      <c r="JG2" s="30"/>
      <c r="JH2" s="30"/>
      <c r="JI2" s="30"/>
      <c r="JJ2" s="30"/>
      <c r="JK2" s="30"/>
      <c r="JL2" s="30"/>
      <c r="JM2" s="30"/>
      <c r="JN2" s="30"/>
      <c r="JO2" s="30"/>
      <c r="JP2" s="30"/>
      <c r="JQ2" s="30"/>
      <c r="JR2" s="30"/>
      <c r="JS2" s="30"/>
      <c r="JT2" s="30"/>
      <c r="JU2" s="30"/>
      <c r="JV2" s="30"/>
      <c r="JW2" s="30"/>
      <c r="JX2" s="30"/>
      <c r="JY2" s="30"/>
      <c r="JZ2" s="30"/>
      <c r="KA2" s="30"/>
      <c r="KB2" s="30"/>
      <c r="KC2" s="30"/>
      <c r="KD2" s="30"/>
      <c r="KE2" s="30"/>
      <c r="KF2" s="30"/>
      <c r="KG2" s="30"/>
      <c r="KH2" s="30"/>
      <c r="KI2" s="30"/>
      <c r="KJ2" s="30"/>
      <c r="KK2" s="30"/>
      <c r="KL2" s="30"/>
      <c r="KM2" s="30"/>
      <c r="KN2" s="30"/>
      <c r="KO2" s="30"/>
      <c r="KP2" s="30"/>
      <c r="KQ2" s="30"/>
      <c r="KR2" s="30"/>
      <c r="KS2" s="30"/>
      <c r="KT2" s="30"/>
      <c r="KU2" s="30"/>
      <c r="KV2" s="30"/>
      <c r="KW2" s="30"/>
      <c r="KX2" s="30"/>
      <c r="KY2" s="30"/>
      <c r="KZ2" s="30"/>
      <c r="LA2" s="30"/>
      <c r="LB2" s="30"/>
      <c r="LC2" s="30"/>
      <c r="LD2" s="30"/>
      <c r="LE2" s="30"/>
      <c r="LF2" s="30"/>
      <c r="LG2" s="30"/>
      <c r="LH2" s="30"/>
      <c r="LI2" s="30"/>
      <c r="LJ2" s="30"/>
      <c r="LK2" s="30"/>
      <c r="LL2" s="30"/>
      <c r="LM2" s="30"/>
      <c r="LN2" s="30"/>
      <c r="LO2" s="30"/>
      <c r="LP2" s="30"/>
      <c r="LQ2" s="30"/>
      <c r="LR2" s="30"/>
      <c r="LS2" s="30"/>
      <c r="LT2" s="30"/>
      <c r="LU2" s="30"/>
      <c r="LV2" s="30"/>
      <c r="LW2" s="30"/>
      <c r="LX2" s="30"/>
      <c r="LY2" s="30"/>
      <c r="LZ2" s="30"/>
      <c r="MA2" s="30"/>
      <c r="MB2" s="30"/>
      <c r="MC2" s="30"/>
      <c r="MD2" s="30"/>
      <c r="ME2" s="30"/>
      <c r="MF2" s="30"/>
      <c r="MG2" s="30"/>
      <c r="MH2" s="30"/>
      <c r="MI2" s="30"/>
      <c r="MJ2" s="30"/>
      <c r="MK2" s="30"/>
      <c r="ML2" s="30"/>
      <c r="MM2" s="30"/>
      <c r="MN2" s="30"/>
      <c r="MO2" s="30"/>
      <c r="MP2" s="30"/>
      <c r="MQ2" s="30"/>
      <c r="MR2" s="30"/>
      <c r="MS2" s="30"/>
      <c r="MT2" s="30"/>
      <c r="MU2" s="30"/>
      <c r="MV2" s="30"/>
      <c r="MW2" s="30"/>
      <c r="MX2" s="30"/>
      <c r="MY2" s="30"/>
      <c r="MZ2" s="30"/>
      <c r="NA2" s="30"/>
      <c r="NB2" s="30"/>
      <c r="NC2" s="30"/>
      <c r="ND2" s="30"/>
      <c r="NE2" s="30"/>
      <c r="NF2" s="30"/>
      <c r="NG2" s="30"/>
      <c r="NH2" s="30"/>
      <c r="NI2" s="30"/>
      <c r="NJ2" s="30"/>
      <c r="NK2" s="30"/>
      <c r="NL2" s="30"/>
      <c r="NM2" s="30"/>
      <c r="NN2" s="30"/>
      <c r="NO2" s="30"/>
      <c r="NP2" s="30"/>
      <c r="NQ2" s="30"/>
      <c r="NR2" s="30"/>
      <c r="NS2" s="30"/>
      <c r="NT2" s="30"/>
      <c r="NU2" s="30"/>
      <c r="NV2" s="30"/>
      <c r="NW2" s="30"/>
      <c r="NX2" s="30"/>
      <c r="NY2" s="30"/>
      <c r="NZ2" s="30"/>
      <c r="OA2" s="30"/>
      <c r="OB2" s="30"/>
      <c r="OC2" s="30"/>
      <c r="OD2" s="30"/>
      <c r="OE2" s="30"/>
      <c r="OF2" s="30"/>
      <c r="OG2" s="30"/>
      <c r="OH2" s="30"/>
      <c r="OI2" s="30"/>
      <c r="OJ2" s="30"/>
      <c r="OK2" s="30"/>
      <c r="OL2" s="30"/>
      <c r="OM2" s="30"/>
      <c r="ON2" s="30"/>
      <c r="OO2" s="30"/>
      <c r="OP2" s="30"/>
      <c r="OQ2" s="30"/>
      <c r="OR2" s="30"/>
      <c r="OS2" s="30"/>
      <c r="OT2" s="30"/>
      <c r="OU2" s="30"/>
      <c r="OV2" s="30"/>
    </row>
    <row r="3" ht="18.0" customHeight="1">
      <c r="A3" s="29">
        <v>2.0</v>
      </c>
      <c r="B3" s="30" t="s">
        <v>487</v>
      </c>
      <c r="C3" s="31" t="s">
        <v>869</v>
      </c>
      <c r="D3" s="30" t="s">
        <v>218</v>
      </c>
      <c r="E3" s="29">
        <v>100.0</v>
      </c>
      <c r="F3" s="29">
        <f>COUNTIF('Tổng hợp 75 trang đích'!$B$2:$B$3400,$D3)</f>
        <v>100</v>
      </c>
      <c r="G3" s="29">
        <f>COUNTIFS('Tổng hợp 75 trang đích'!$B$2:$B$3400,$D3,'Tổng hợp 75 trang đích'!$K$2:$K$3400,"PHÙ HỢP CAO")</f>
        <v>0</v>
      </c>
      <c r="H3" s="29">
        <f>COUNTIFS('Tổng hợp 75 trang đích'!$B$2:$B$3400,$D3,'Tổng hợp 75 trang đích'!$K$2:$K$3400,"CÓ THỂ ĐI")</f>
        <v>1</v>
      </c>
      <c r="I3" s="29">
        <f>COUNTIFS('Tổng hợp 75 trang đích'!$B$2:$B$3400,$D3,'Tổng hợp 75 trang đích'!$K$2:$K$3400,"CẦN SOÁT")</f>
        <v>24</v>
      </c>
      <c r="J3" s="32" t="s">
        <v>714</v>
      </c>
      <c r="K3" s="32" t="b">
        <v>0</v>
      </c>
      <c r="L3" s="33" t="s">
        <v>52</v>
      </c>
      <c r="M3" s="30" t="str">
        <f>IFERROR(__xludf.DUMMYFUNCTION("IFERROR(TOROW(CHOOSECOLS(SORT(FILTER({'Tổng hợp 75 trang đích'!$J$2:$J$3400,'Tổng hợp 75 trang đích'!$I$2:$I$3400,MATCH('Tổng hợp 75 trang đích'!$K$2:$K$3400,{""PHÙ HỢP CAO"",""CÓ THỂ ĐI"",""CẦN SOÁT""},0)},'Tổng hợp 75 trang đích'!$B$2:$B$3400=$D3),3,TRU"&amp;"E),1,2)),"""")"),"cách nộp thuế đất online")</f>
        <v>cách nộp thuế đất online</v>
      </c>
      <c r="N3" s="34" t="str">
        <f>IFERROR(__xludf.DUMMYFUNCTION("""COMPUTED_VALUE"""),"https://techcombank.com/thong-tin/blog/cach-nop-thue-dien-tu")</f>
        <v>https://techcombank.com/thong-tin/blog/cach-nop-thue-dien-tu</v>
      </c>
      <c r="O3" s="30" t="str">
        <f>IFERROR(__xludf.DUMMYFUNCTION("""COMPUTED_VALUE"""),"nộp thuế đất online")</f>
        <v>nộp thuế đất online</v>
      </c>
      <c r="P3" s="34" t="str">
        <f>IFERROR(__xludf.DUMMYFUNCTION("""COMPUTED_VALUE"""),"https://techcombank.com/thong-tin/blog/kinh-doanh-online")</f>
        <v>https://techcombank.com/thong-tin/blog/kinh-doanh-online</v>
      </c>
      <c r="Q3" s="30" t="str">
        <f>IFERROR(__xludf.DUMMYFUNCTION("""COMPUTED_VALUE"""),"cách nộp thuế đất online")</f>
        <v>cách nộp thuế đất online</v>
      </c>
      <c r="R3" s="34" t="str">
        <f>IFERROR(__xludf.DUMMYFUNCTION("""COMPUTED_VALUE"""),"https://techcombank.com/thong-tin/blog/vay-tin-chap-cho-doanh-nghiep-moi-thanh-lap")</f>
        <v>https://techcombank.com/thong-tin/blog/vay-tin-chap-cho-doanh-nghiep-moi-thanh-lap</v>
      </c>
      <c r="S3" s="30" t="str">
        <f>IFERROR(__xludf.DUMMYFUNCTION("""COMPUTED_VALUE"""),"cách nộp thuế đất online")</f>
        <v>cách nộp thuế đất online</v>
      </c>
      <c r="T3" s="34" t="str">
        <f>IFERROR(__xludf.DUMMYFUNCTION("""COMPUTED_VALUE"""),"https://techcombank.com/thong-tin/blog/thue-vat-la-gi")</f>
        <v>https://techcombank.com/thong-tin/blog/thue-vat-la-gi</v>
      </c>
      <c r="U3" s="30" t="str">
        <f>IFERROR(__xludf.DUMMYFUNCTION("""COMPUTED_VALUE"""),"cách nộp thuế đất online")</f>
        <v>cách nộp thuế đất online</v>
      </c>
      <c r="V3" s="34" t="str">
        <f>IFERROR(__xludf.DUMMYFUNCTION("""COMPUTED_VALUE"""),"https://techcombank.com/thong-tin/blog/tra-cuu-no-thue-hai-quan")</f>
        <v>https://techcombank.com/thong-tin/blog/tra-cuu-no-thue-hai-quan</v>
      </c>
      <c r="W3" s="30" t="str">
        <f>IFERROR(__xludf.DUMMYFUNCTION("""COMPUTED_VALUE"""),"cách nộp thuế đất online")</f>
        <v>cách nộp thuế đất online</v>
      </c>
      <c r="X3" s="34" t="str">
        <f>IFERROR(__xludf.DUMMYFUNCTION("""COMPUTED_VALUE"""),"https://techcombank.com/thong-tin/blog/tra-cuu-no-thue-ho-kinh-doanh")</f>
        <v>https://techcombank.com/thong-tin/blog/tra-cuu-no-thue-ho-kinh-doanh</v>
      </c>
      <c r="Y3" s="30" t="str">
        <f>IFERROR(__xludf.DUMMYFUNCTION("""COMPUTED_VALUE"""),"nộp thuế đất online")</f>
        <v>nộp thuế đất online</v>
      </c>
      <c r="Z3" s="34" t="str">
        <f>IFERROR(__xludf.DUMMYFUNCTION("""COMPUTED_VALUE"""),"https://techcombank.com/thong-tin/blog/ke-khai-thue-ho-kinh-doanh-ca-the-online")</f>
        <v>https://techcombank.com/thong-tin/blog/ke-khai-thue-ho-kinh-doanh-ca-the-online</v>
      </c>
      <c r="AA3" s="30" t="str">
        <f>IFERROR(__xludf.DUMMYFUNCTION("""COMPUTED_VALUE"""),"cách nộp thuế đất online")</f>
        <v>cách nộp thuế đất online</v>
      </c>
      <c r="AB3" s="34" t="str">
        <f>IFERROR(__xludf.DUMMYFUNCTION("""COMPUTED_VALUE"""),"https://techcombank.com/thong-tin/blog/thue-thuong-mai-dien-tu")</f>
        <v>https://techcombank.com/thong-tin/blog/thue-thuong-mai-dien-tu</v>
      </c>
      <c r="AC3" s="30" t="str">
        <f>IFERROR(__xludf.DUMMYFUNCTION("""COMPUTED_VALUE"""),"cách nộp thuế đất online")</f>
        <v>cách nộp thuế đất online</v>
      </c>
      <c r="AD3" s="34" t="str">
        <f>IFERROR(__xludf.DUMMYFUNCTION("""COMPUTED_VALUE"""),"https://techcombank.com/thong-tin/blog/thue-thu-nhap-doanh-nghiep")</f>
        <v>https://techcombank.com/thong-tin/blog/thue-thu-nhap-doanh-nghiep</v>
      </c>
      <c r="AE3" s="30" t="str">
        <f>IFERROR(__xludf.DUMMYFUNCTION("""COMPUTED_VALUE"""),"cách nộp thuế đất online")</f>
        <v>cách nộp thuế đất online</v>
      </c>
      <c r="AF3" s="34" t="str">
        <f>IFERROR(__xludf.DUMMYFUNCTION("""COMPUTED_VALUE"""),"https://techcombank.com/thong-tin/blog/nop-thue-hai-quan")</f>
        <v>https://techcombank.com/thong-tin/blog/nop-thue-hai-quan</v>
      </c>
      <c r="AG3" s="30" t="str">
        <f>IFERROR(__xludf.DUMMYFUNCTION("""COMPUTED_VALUE"""),"nộp thuế đất online")</f>
        <v>nộp thuế đất online</v>
      </c>
      <c r="AH3" s="34" t="str">
        <f>IFERROR(__xludf.DUMMYFUNCTION("""COMPUTED_VALUE"""),"https://techcombank.com/thong-tin/blog/cach-tinh-thue-thu-nhap-ca-nhan-2025")</f>
        <v>https://techcombank.com/thong-tin/blog/cach-tinh-thue-thu-nhap-ca-nhan-2025</v>
      </c>
      <c r="AI3" s="30" t="str">
        <f>IFERROR(__xludf.DUMMYFUNCTION("""COMPUTED_VALUE"""),"nộp thuế đất online")</f>
        <v>nộp thuế đất online</v>
      </c>
      <c r="AJ3" s="34" t="str">
        <f>IFERROR(__xludf.DUMMYFUNCTION("""COMPUTED_VALUE"""),"https://techcombank.com/thong-tin/blog/kiem-tra-thue-thu-nhap-ca-nhan")</f>
        <v>https://techcombank.com/thong-tin/blog/kiem-tra-thue-thu-nhap-ca-nhan</v>
      </c>
      <c r="AK3" s="30" t="str">
        <f>IFERROR(__xludf.DUMMYFUNCTION("""COMPUTED_VALUE"""),"đóng thuế đất online")</f>
        <v>đóng thuế đất online</v>
      </c>
      <c r="AL3" s="34" t="str">
        <f>IFERROR(__xludf.DUMMYFUNCTION("""COMPUTED_VALUE"""),"https://techcombank.com/thong-tin/blog/thue-thu-nhap-ca-nhan")</f>
        <v>https://techcombank.com/thong-tin/blog/thue-thu-nhap-ca-nhan</v>
      </c>
      <c r="AM3" s="30" t="str">
        <f>IFERROR(__xludf.DUMMYFUNCTION("""COMPUTED_VALUE"""),"cách nộp thuế đất online")</f>
        <v>cách nộp thuế đất online</v>
      </c>
      <c r="AN3" s="34" t="str">
        <f>IFERROR(__xludf.DUMMYFUNCTION("""COMPUTED_VALUE"""),"https://techcombank.com/thong-tin/blog/giai-dap-ve-thue-doanh-nghiep")</f>
        <v>https://techcombank.com/thong-tin/blog/giai-dap-ve-thue-doanh-nghiep</v>
      </c>
      <c r="AO3" s="30" t="str">
        <f>IFERROR(__xludf.DUMMYFUNCTION("""COMPUTED_VALUE"""),"cách nộp thuế đất online")</f>
        <v>cách nộp thuế đất online</v>
      </c>
      <c r="AP3" s="34" t="str">
        <f>IFERROR(__xludf.DUMMYFUNCTION("""COMPUTED_VALUE"""),"https://techcombank.com/thong-tin/blog/ho-kinh-doanh-ca-the")</f>
        <v>https://techcombank.com/thong-tin/blog/ho-kinh-doanh-ca-the</v>
      </c>
      <c r="AQ3" s="30" t="str">
        <f>IFERROR(__xludf.DUMMYFUNCTION("""COMPUTED_VALUE"""),"cách nộp thuế đất online")</f>
        <v>cách nộp thuế đất online</v>
      </c>
      <c r="AR3" s="34" t="str">
        <f>IFERROR(__xludf.DUMMYFUNCTION("""COMPUTED_VALUE"""),"https://techcombank.com/thong-tin/blog/cach-dang-ky-ma-so-thue-ho-kinh-doanh-online")</f>
        <v>https://techcombank.com/thong-tin/blog/cach-dang-ky-ma-so-thue-ho-kinh-doanh-online</v>
      </c>
      <c r="AS3" s="30" t="str">
        <f>IFERROR(__xludf.DUMMYFUNCTION("""COMPUTED_VALUE"""),"cách nộp thuế đất online")</f>
        <v>cách nộp thuế đất online</v>
      </c>
      <c r="AT3" s="34" t="str">
        <f>IFERROR(__xludf.DUMMYFUNCTION("""COMPUTED_VALUE"""),"https://techcombank.com/thong-tin/blog/kiem-tra-ma-so-thue-doanh-nghiep")</f>
        <v>https://techcombank.com/thong-tin/blog/kiem-tra-ma-so-thue-doanh-nghiep</v>
      </c>
      <c r="AU3" s="30" t="str">
        <f>IFERROR(__xludf.DUMMYFUNCTION("""COMPUTED_VALUE"""),"cách nộp thuế đất online")</f>
        <v>cách nộp thuế đất online</v>
      </c>
      <c r="AV3" s="34" t="str">
        <f>IFERROR(__xludf.DUMMYFUNCTION("""COMPUTED_VALUE"""),"https://techcombank.com/thong-tin/blog/tra-cuu-ma-so-thue-ho-kinh-doanh")</f>
        <v>https://techcombank.com/thong-tin/blog/tra-cuu-ma-so-thue-ho-kinh-doanh</v>
      </c>
      <c r="AW3" s="30" t="str">
        <f>IFERROR(__xludf.DUMMYFUNCTION("""COMPUTED_VALUE"""),"cách nộp thuế đất online")</f>
        <v>cách nộp thuế đất online</v>
      </c>
      <c r="AX3" s="34" t="str">
        <f>IFERROR(__xludf.DUMMYFUNCTION("""COMPUTED_VALUE"""),"https://techcombank.com/thong-tin/blog/quyet-toan-thue-doanh-nghiep")</f>
        <v>https://techcombank.com/thong-tin/blog/quyet-toan-thue-doanh-nghiep</v>
      </c>
      <c r="AY3" s="30" t="str">
        <f>IFERROR(__xludf.DUMMYFUNCTION("""COMPUTED_VALUE"""),"cách nộp thuế đất online")</f>
        <v>cách nộp thuế đất online</v>
      </c>
      <c r="AZ3" s="34" t="str">
        <f>IFERROR(__xludf.DUMMYFUNCTION("""COMPUTED_VALUE"""),"https://techcombank.com/thong-tin/blog/ho-kinh-doanh-dong-thue-nhu-nao")</f>
        <v>https://techcombank.com/thong-tin/blog/ho-kinh-doanh-dong-thue-nhu-nao</v>
      </c>
      <c r="BA3" s="30" t="str">
        <f>IFERROR(__xludf.DUMMYFUNCTION("""COMPUTED_VALUE"""),"nộp thuế đất online")</f>
        <v>nộp thuế đất online</v>
      </c>
      <c r="BB3" s="34" t="str">
        <f>IFERROR(__xludf.DUMMYFUNCTION("""COMPUTED_VALUE"""),"https://techcombank.com/thong-tin/blog/dang-ky-thue-ho-kinh-doanh-ca-the-online")</f>
        <v>https://techcombank.com/thong-tin/blog/dang-ky-thue-ho-kinh-doanh-ca-the-online</v>
      </c>
      <c r="BC3" s="30" t="str">
        <f>IFERROR(__xludf.DUMMYFUNCTION("""COMPUTED_VALUE"""),"cách nộp thuế đất online")</f>
        <v>cách nộp thuế đất online</v>
      </c>
      <c r="BD3" s="34" t="str">
        <f>IFERROR(__xludf.DUMMYFUNCTION("""COMPUTED_VALUE"""),"https://techcombank.com/thong-tin/blog/thue-khoan-ho-kinh-doanh-la-gi")</f>
        <v>https://techcombank.com/thong-tin/blog/thue-khoan-ho-kinh-doanh-la-gi</v>
      </c>
      <c r="BE3" s="30" t="str">
        <f>IFERROR(__xludf.DUMMYFUNCTION("""COMPUTED_VALUE"""),"cách nộp thuế đất online")</f>
        <v>cách nộp thuế đất online</v>
      </c>
      <c r="BF3" s="34" t="str">
        <f>IFERROR(__xludf.DUMMYFUNCTION("""COMPUTED_VALUE"""),"https://techcombank.com/thong-tin/blog/nop-tien-mat-vao-tai-khoan-cong-ty")</f>
        <v>https://techcombank.com/thong-tin/blog/nop-tien-mat-vao-tai-khoan-cong-ty</v>
      </c>
      <c r="BG3" s="30" t="str">
        <f>IFERROR(__xludf.DUMMYFUNCTION("""COMPUTED_VALUE"""),"cách nộp thuế đất online")</f>
        <v>cách nộp thuế đất online</v>
      </c>
      <c r="BH3" s="34" t="str">
        <f>IFERROR(__xludf.DUMMYFUNCTION("""COMPUTED_VALUE"""),"https://techcombank.com/thong-tin/blog/cach-tra-cuu-hoa-don-dien-tu")</f>
        <v>https://techcombank.com/thong-tin/blog/cach-tra-cuu-hoa-don-dien-tu</v>
      </c>
      <c r="BI3" s="30" t="str">
        <f>IFERROR(__xludf.DUMMYFUNCTION("""COMPUTED_VALUE"""),"cách nộp thuế đất online")</f>
        <v>cách nộp thuế đất online</v>
      </c>
      <c r="BJ3" s="34" t="str">
        <f>IFERROR(__xludf.DUMMYFUNCTION("""COMPUTED_VALUE"""),"https://techcombank.com/thong-tin/blog/cach-tinh-thue-thu-nhap-doanh-nghiep")</f>
        <v>https://techcombank.com/thong-tin/blog/cach-tinh-thue-thu-nhap-doanh-nghiep</v>
      </c>
      <c r="BK3" s="30" t="str">
        <f>IFERROR(__xludf.DUMMYFUNCTION("""COMPUTED_VALUE"""),"nộp thuế đất online")</f>
        <v>nộp thuế đất online</v>
      </c>
      <c r="BL3" s="34" t="str">
        <f>IFERROR(__xludf.DUMMYFUNCTION("""COMPUTED_VALUE"""),"https://techcombank.com/thong-tin/blog/truy-thu-thue-ho-kinh-doanh")</f>
        <v>https://techcombank.com/thong-tin/blog/truy-thu-thue-ho-kinh-doanh</v>
      </c>
      <c r="BM3" s="30" t="str">
        <f>IFERROR(__xludf.DUMMYFUNCTION("""COMPUTED_VALUE"""),"nộp thuế đất online")</f>
        <v>nộp thuế đất online</v>
      </c>
      <c r="BN3" s="34" t="str">
        <f>IFERROR(__xludf.DUMMYFUNCTION("""COMPUTED_VALUE"""),"https://techcombank.com/thong-tin/blog/kiem-tra-thue-ho-kinh-doanh")</f>
        <v>https://techcombank.com/thong-tin/blog/kiem-tra-thue-ho-kinh-doanh</v>
      </c>
      <c r="BO3" s="30" t="str">
        <f>IFERROR(__xludf.DUMMYFUNCTION("""COMPUTED_VALUE"""),"đóng thuế đất online")</f>
        <v>đóng thuế đất online</v>
      </c>
      <c r="BP3" s="34" t="str">
        <f>IFERROR(__xludf.DUMMYFUNCTION("""COMPUTED_VALUE"""),"https://techcombank.com/thong-tin/blog/tra-cuu-no-thue-ca-nhan")</f>
        <v>https://techcombank.com/thong-tin/blog/tra-cuu-no-thue-ca-nhan</v>
      </c>
      <c r="BQ3" s="30" t="str">
        <f>IFERROR(__xludf.DUMMYFUNCTION("""COMPUTED_VALUE"""),"nộp thuế đất online")</f>
        <v>nộp thuế đất online</v>
      </c>
      <c r="BR3" s="34" t="str">
        <f>IFERROR(__xludf.DUMMYFUNCTION("""COMPUTED_VALUE"""),"https://techcombank.com/thong-tin/blog/hoan-thue-thu-nhap-ca-nhan")</f>
        <v>https://techcombank.com/thong-tin/blog/hoan-thue-thu-nhap-ca-nhan</v>
      </c>
      <c r="BS3" s="30" t="str">
        <f>IFERROR(__xludf.DUMMYFUNCTION("""COMPUTED_VALUE"""),"nộp thuế đất online")</f>
        <v>nộp thuế đất online</v>
      </c>
      <c r="BT3" s="34" t="str">
        <f>IFERROR(__xludf.DUMMYFUNCTION("""COMPUTED_VALUE"""),"https://techcombank.com/thong-tin/blog/ke-khai-thue-doanh-nghiep")</f>
        <v>https://techcombank.com/thong-tin/blog/ke-khai-thue-doanh-nghiep</v>
      </c>
      <c r="BU3" s="30" t="str">
        <f>IFERROR(__xludf.DUMMYFUNCTION("""COMPUTED_VALUE"""),"nộp thuế đất online")</f>
        <v>nộp thuế đất online</v>
      </c>
      <c r="BV3" s="34" t="str">
        <f>IFERROR(__xludf.DUMMYFUNCTION("""COMPUTED_VALUE"""),"https://techcombank.com/thong-tin/blog/tra-cuu-no-thue-doanh-nghiep")</f>
        <v>https://techcombank.com/thong-tin/blog/tra-cuu-no-thue-doanh-nghiep</v>
      </c>
      <c r="BW3" s="30" t="str">
        <f>IFERROR(__xludf.DUMMYFUNCTION("""COMPUTED_VALUE"""),"nộp thuế đất online")</f>
        <v>nộp thuế đất online</v>
      </c>
      <c r="BX3" s="34" t="str">
        <f>IFERROR(__xludf.DUMMYFUNCTION("""COMPUTED_VALUE"""),"https://techcombank.com/thong-tin/blog/tien-chuyen-vao-tai-khoan-co-bi-tinh-thue-khong")</f>
        <v>https://techcombank.com/thong-tin/blog/tien-chuyen-vao-tai-khoan-co-bi-tinh-thue-khong</v>
      </c>
      <c r="BY3" s="30" t="str">
        <f>IFERROR(__xludf.DUMMYFUNCTION("""COMPUTED_VALUE"""),"đóng thuế đất online")</f>
        <v>đóng thuế đất online</v>
      </c>
      <c r="BZ3" s="34" t="str">
        <f>IFERROR(__xludf.DUMMYFUNCTION("""COMPUTED_VALUE"""),"https://techcombank.com/thong-tin/blog/lai-suat-vay-the-chap-so-do")</f>
        <v>https://techcombank.com/thong-tin/blog/lai-suat-vay-the-chap-so-do</v>
      </c>
      <c r="CA3" s="30" t="str">
        <f>IFERROR(__xludf.DUMMYFUNCTION("""COMPUTED_VALUE"""),"cách nộp thuế đất online")</f>
        <v>cách nộp thuế đất online</v>
      </c>
      <c r="CB3" s="34" t="str">
        <f>IFERROR(__xludf.DUMMYFUNCTION("""COMPUTED_VALUE"""),"https://techcombank.com/thong-tin/blog/han-muc-vay-the-chap-so-do")</f>
        <v>https://techcombank.com/thong-tin/blog/han-muc-vay-the-chap-so-do</v>
      </c>
      <c r="CC3" s="30" t="str">
        <f>IFERROR(__xludf.DUMMYFUNCTION("""COMPUTED_VALUE"""),"đóng thuế đất online")</f>
        <v>đóng thuế đất online</v>
      </c>
      <c r="CD3" s="34" t="str">
        <f>IFERROR(__xludf.DUMMYFUNCTION("""COMPUTED_VALUE"""),"https://techcombank.com/thong-tin/blog/tim-hieu-ve-chinh-sach-thue-moi")</f>
        <v>https://techcombank.com/thong-tin/blog/tim-hieu-ve-chinh-sach-thue-moi</v>
      </c>
      <c r="CE3" s="30" t="str">
        <f>IFERROR(__xludf.DUMMYFUNCTION("""COMPUTED_VALUE"""),"đóng thuế đất online")</f>
        <v>đóng thuế đất online</v>
      </c>
      <c r="CF3" s="34" t="str">
        <f>IFERROR(__xludf.DUMMYFUNCTION("""COMPUTED_VALUE"""),"https://techcombank.com/thong-tin/blog/chuyen-doi-ho-kinh-doanh-len-doanh-nghiep")</f>
        <v>https://techcombank.com/thong-tin/blog/chuyen-doi-ho-kinh-doanh-len-doanh-nghiep</v>
      </c>
      <c r="CG3" s="30" t="str">
        <f>IFERROR(__xludf.DUMMYFUNCTION("""COMPUTED_VALUE"""),"đóng thuế đất online")</f>
        <v>đóng thuế đất online</v>
      </c>
      <c r="CH3" s="34" t="str">
        <f>IFERROR(__xludf.DUMMYFUNCTION("""COMPUTED_VALUE"""),"https://techcombank.com/thong-tin/blog/nen-thanh-lap-ho-kinh-doanh-ke-khai-hay-doanh-nghiep")</f>
        <v>https://techcombank.com/thong-tin/blog/nen-thanh-lap-ho-kinh-doanh-ke-khai-hay-doanh-nghiep</v>
      </c>
      <c r="CI3" s="30" t="str">
        <f>IFERROR(__xludf.DUMMYFUNCTION("""COMPUTED_VALUE"""),"đóng thuế đất online")</f>
        <v>đóng thuế đất online</v>
      </c>
      <c r="CJ3" s="34" t="str">
        <f>IFERROR(__xludf.DUMMYFUNCTION("""COMPUTED_VALUE"""),"https://techcombank.com/thong-tin/blog/dong-ma-so-thue-ho-kinh-doanh")</f>
        <v>https://techcombank.com/thong-tin/blog/dong-ma-so-thue-ho-kinh-doanh</v>
      </c>
      <c r="CK3" s="30" t="str">
        <f>IFERROR(__xludf.DUMMYFUNCTION("""COMPUTED_VALUE"""),"cách nộp thuế đất online")</f>
        <v>cách nộp thuế đất online</v>
      </c>
      <c r="CL3" s="34" t="str">
        <f>IFERROR(__xludf.DUMMYFUNCTION("""COMPUTED_VALUE"""),"https://techcombank.com/thong-tin/blog/khach-hang-vip-bat-dong-san")</f>
        <v>https://techcombank.com/thong-tin/blog/khach-hang-vip-bat-dong-san</v>
      </c>
      <c r="CM3" s="30" t="str">
        <f>IFERROR(__xludf.DUMMYFUNCTION("""COMPUTED_VALUE"""),"đóng thuế đất online")</f>
        <v>đóng thuế đất online</v>
      </c>
      <c r="CN3" s="34" t="str">
        <f>IFERROR(__xludf.DUMMYFUNCTION("""COMPUTED_VALUE"""),"https://techcombank.com/thong-tin/blog/cach-dau-tu")</f>
        <v>https://techcombank.com/thong-tin/blog/cach-dau-tu</v>
      </c>
      <c r="CO3" s="30" t="str">
        <f>IFERROR(__xludf.DUMMYFUNCTION("""COMPUTED_VALUE"""),"cách nộp thuế đất online")</f>
        <v>cách nộp thuế đất online</v>
      </c>
      <c r="CP3" s="34" t="str">
        <f>IFERROR(__xludf.DUMMYFUNCTION("""COMPUTED_VALUE"""),"https://techcombank.com/thong-tin/blog/eco-card")</f>
        <v>https://techcombank.com/thong-tin/blog/eco-card</v>
      </c>
      <c r="CQ3" s="30" t="str">
        <f>IFERROR(__xludf.DUMMYFUNCTION("""COMPUTED_VALUE"""),"đóng thuế đất online")</f>
        <v>đóng thuế đất online</v>
      </c>
      <c r="CR3" s="34" t="str">
        <f>IFERROR(__xludf.DUMMYFUNCTION("""COMPUTED_VALUE"""),"https://techcombank.com/thong-tin/blog/chuyen-gia-du-doan-gia-bat-dong-san-2025-va-cac-no-luc-tu-ngan-hang")</f>
        <v>https://techcombank.com/thong-tin/blog/chuyen-gia-du-doan-gia-bat-dong-san-2025-va-cac-no-luc-tu-ngan-hang</v>
      </c>
      <c r="CS3" s="30" t="str">
        <f>IFERROR(__xludf.DUMMYFUNCTION("""COMPUTED_VALUE"""),"đóng thuế đất online")</f>
        <v>đóng thuế đất online</v>
      </c>
      <c r="CT3" s="34" t="str">
        <f>IFERROR(__xludf.DUMMYFUNCTION("""COMPUTED_VALUE"""),"https://techcombank.com/thong-tin/blog/thue-phi-co-dinh-khi-chuyen-doi-tu-ho-kinh-doanh-len-doanh-nghiep")</f>
        <v>https://techcombank.com/thong-tin/blog/thue-phi-co-dinh-khi-chuyen-doi-tu-ho-kinh-doanh-len-doanh-nghiep</v>
      </c>
      <c r="CU3" s="30" t="str">
        <f>IFERROR(__xludf.DUMMYFUNCTION("""COMPUTED_VALUE"""),"đóng thuế đất online")</f>
        <v>đóng thuế đất online</v>
      </c>
      <c r="CV3" s="34" t="str">
        <f>IFERROR(__xludf.DUMMYFUNCTION("""COMPUTED_VALUE"""),"https://techcombank.com/thong-tin/blog/nhung-chi-phi-khong-duoc-tru-khi-tinh-thue-tndn")</f>
        <v>https://techcombank.com/thong-tin/blog/nhung-chi-phi-khong-duoc-tru-khi-tinh-thue-tndn</v>
      </c>
      <c r="CW3" s="30" t="str">
        <f>IFERROR(__xludf.DUMMYFUNCTION("""COMPUTED_VALUE"""),"nộp thuế đất online")</f>
        <v>nộp thuế đất online</v>
      </c>
      <c r="CX3" s="34" t="str">
        <f>IFERROR(__xludf.DUMMYFUNCTION("""COMPUTED_VALUE"""),"https://techcombank.com/thong-tin/blog/hoa-don-dien-tu")</f>
        <v>https://techcombank.com/thong-tin/blog/hoa-don-dien-tu</v>
      </c>
      <c r="CY3" s="30" t="str">
        <f>IFERROR(__xludf.DUMMYFUNCTION("""COMPUTED_VALUE"""),"nộp thuế đất online")</f>
        <v>nộp thuế đất online</v>
      </c>
      <c r="CZ3" s="34" t="str">
        <f>IFERROR(__xludf.DUMMYFUNCTION("""COMPUTED_VALUE"""),"https://techcombank.com/thong-tin/blog/one-stop-shop")</f>
        <v>https://techcombank.com/thong-tin/blog/one-stop-shop</v>
      </c>
      <c r="DA3" s="30" t="str">
        <f>IFERROR(__xludf.DUMMYFUNCTION("""COMPUTED_VALUE"""),"đóng thuế đất online")</f>
        <v>đóng thuế đất online</v>
      </c>
      <c r="DB3" s="34" t="str">
        <f>IFERROR(__xludf.DUMMYFUNCTION("""COMPUTED_VALUE"""),"https://techcombank.com/thong-tin/blog/cac-sai-lam-pho-bien-khi-chuyen-doi-ho-kinh-doanh-len-sme")</f>
        <v>https://techcombank.com/thong-tin/blog/cac-sai-lam-pho-bien-khi-chuyen-doi-ho-kinh-doanh-len-sme</v>
      </c>
      <c r="DC3" s="30" t="str">
        <f>IFERROR(__xludf.DUMMYFUNCTION("""COMPUTED_VALUE"""),"nộp thuế đất online")</f>
        <v>nộp thuế đất online</v>
      </c>
      <c r="DD3" s="34" t="str">
        <f>IFERROR(__xludf.DUMMYFUNCTION("""COMPUTED_VALUE"""),"https://techcombank.com/thong-tin/blog/hoan-thue-doanh-nghiep")</f>
        <v>https://techcombank.com/thong-tin/blog/hoan-thue-doanh-nghiep</v>
      </c>
      <c r="DE3" s="30" t="str">
        <f>IFERROR(__xludf.DUMMYFUNCTION("""COMPUTED_VALUE"""),"đóng thuế đất online")</f>
        <v>đóng thuế đất online</v>
      </c>
      <c r="DF3" s="34" t="str">
        <f>IFERROR(__xludf.DUMMYFUNCTION("""COMPUTED_VALUE"""),"https://techcombank.com/thong-tin/blog/cong-ty-su-dung-tai-khoan-ca-nhan")</f>
        <v>https://techcombank.com/thong-tin/blog/cong-ty-su-dung-tai-khoan-ca-nhan</v>
      </c>
      <c r="DG3" s="30" t="str">
        <f>IFERROR(__xludf.DUMMYFUNCTION("""COMPUTED_VALUE"""),"đóng thuế đất online")</f>
        <v>đóng thuế đất online</v>
      </c>
      <c r="DH3" s="34" t="str">
        <f>IFERROR(__xludf.DUMMYFUNCTION("""COMPUTED_VALUE"""),"https://techcombank.com/thong-tin/blog/kinh-nghiem-chuyen-doi-tu-ho-kinh-doanh-len-doanh-nghiep")</f>
        <v>https://techcombank.com/thong-tin/blog/kinh-nghiem-chuyen-doi-tu-ho-kinh-doanh-len-doanh-nghiep</v>
      </c>
      <c r="DI3" s="30" t="str">
        <f>IFERROR(__xludf.DUMMYFUNCTION("""COMPUTED_VALUE"""),"nộp thuế đất online")</f>
        <v>nộp thuế đất online</v>
      </c>
      <c r="DJ3" s="34" t="str">
        <f>IFERROR(__xludf.DUMMYFUNCTION("""COMPUTED_VALUE"""),"https://techcombank.com/thong-tin/blog/top-phan-mem-ban-hang")</f>
        <v>https://techcombank.com/thong-tin/blog/top-phan-mem-ban-hang</v>
      </c>
      <c r="DK3" s="30" t="str">
        <f>IFERROR(__xludf.DUMMYFUNCTION("""COMPUTED_VALUE"""),"đóng thuế đất online")</f>
        <v>đóng thuế đất online</v>
      </c>
      <c r="DL3" s="34" t="str">
        <f>IFERROR(__xludf.DUMMYFUNCTION("""COMPUTED_VALUE"""),"https://techcombank.com/thong-tin/blog/dieu-kien-thanh-lap-doanh-nghiep")</f>
        <v>https://techcombank.com/thong-tin/blog/dieu-kien-thanh-lap-doanh-nghiep</v>
      </c>
      <c r="DM3" s="30" t="str">
        <f>IFERROR(__xludf.DUMMYFUNCTION("""COMPUTED_VALUE"""),"đóng thuế đất online")</f>
        <v>đóng thuế đất online</v>
      </c>
      <c r="DN3" s="34" t="str">
        <f>IFERROR(__xludf.DUMMYFUNCTION("""COMPUTED_VALUE"""),"https://techcombank.com/thong-tin/blog/luat-thuong-mai-dien-tu")</f>
        <v>https://techcombank.com/thong-tin/blog/luat-thuong-mai-dien-tu</v>
      </c>
      <c r="DO3" s="30" t="str">
        <f>IFERROR(__xludf.DUMMYFUNCTION("""COMPUTED_VALUE"""),"nộp thuế đất online")</f>
        <v>nộp thuế đất online</v>
      </c>
      <c r="DP3" s="34" t="str">
        <f>IFERROR(__xludf.DUMMYFUNCTION("""COMPUTED_VALUE"""),"https://techcombank.com/thong-tin/blog/ho-so-dang-ky-thanh-lap-doanh-nghiep")</f>
        <v>https://techcombank.com/thong-tin/blog/ho-so-dang-ky-thanh-lap-doanh-nghiep</v>
      </c>
      <c r="DQ3" s="30" t="str">
        <f>IFERROR(__xludf.DUMMYFUNCTION("""COMPUTED_VALUE"""),"nộp thuế đất online")</f>
        <v>nộp thuế đất online</v>
      </c>
      <c r="DR3" s="34" t="str">
        <f>IFERROR(__xludf.DUMMYFUNCTION("""COMPUTED_VALUE"""),"https://techcombank.com/thong-tin/blog/doanh-nghiep-moi-thanh-lap-duoc-uu-dai-gi")</f>
        <v>https://techcombank.com/thong-tin/blog/doanh-nghiep-moi-thanh-lap-duoc-uu-dai-gi</v>
      </c>
      <c r="DS3" s="30" t="str">
        <f>IFERROR(__xludf.DUMMYFUNCTION("""COMPUTED_VALUE"""),"đóng thuế đất online")</f>
        <v>đóng thuế đất online</v>
      </c>
      <c r="DT3" s="34" t="str">
        <f>IFERROR(__xludf.DUMMYFUNCTION("""COMPUTED_VALUE"""),"https://techcombank.com/thong-tin/blog/phat-cham-dang-ky-thue-ho-kinh-doanh")</f>
        <v>https://techcombank.com/thong-tin/blog/phat-cham-dang-ky-thue-ho-kinh-doanh</v>
      </c>
      <c r="DU3" s="30" t="str">
        <f>IFERROR(__xludf.DUMMYFUNCTION("""COMPUTED_VALUE"""),"đóng thuế đất online")</f>
        <v>đóng thuế đất online</v>
      </c>
      <c r="DV3" s="34" t="str">
        <f>IFERROR(__xludf.DUMMYFUNCTION("""COMPUTED_VALUE"""),"https://techcombank.com/thong-tin/blog/thu-tuc-thanh-lap-doanh-nghiep")</f>
        <v>https://techcombank.com/thong-tin/blog/thu-tuc-thanh-lap-doanh-nghiep</v>
      </c>
      <c r="DW3" s="30" t="str">
        <f>IFERROR(__xludf.DUMMYFUNCTION("""COMPUTED_VALUE"""),"nộp thuế đất online")</f>
        <v>nộp thuế đất online</v>
      </c>
      <c r="DX3" s="34" t="str">
        <f>IFERROR(__xludf.DUMMYFUNCTION("""COMPUTED_VALUE"""),"https://techcombank.com/thong-tin/blog/chi-phi-mo-tai-khoan-ngan-hang-cho-cong-ty")</f>
        <v>https://techcombank.com/thong-tin/blog/chi-phi-mo-tai-khoan-ngan-hang-cho-cong-ty</v>
      </c>
      <c r="DY3" s="30" t="str">
        <f>IFERROR(__xludf.DUMMYFUNCTION("""COMPUTED_VALUE"""),"đóng thuế đất online")</f>
        <v>đóng thuế đất online</v>
      </c>
      <c r="DZ3" s="34" t="str">
        <f>IFERROR(__xludf.DUMMYFUNCTION("""COMPUTED_VALUE"""),"https://techcombank.com/thong-tin/blog/thue-doanh-nghiep-2025")</f>
        <v>https://techcombank.com/thong-tin/blog/thue-doanh-nghiep-2025</v>
      </c>
      <c r="EA3" s="30" t="str">
        <f>IFERROR(__xludf.DUMMYFUNCTION("""COMPUTED_VALUE"""),"nộp thuế đất online")</f>
        <v>nộp thuế đất online</v>
      </c>
      <c r="EB3" s="34" t="str">
        <f>IFERROR(__xludf.DUMMYFUNCTION("""COMPUTED_VALUE"""),"https://techcombank.com/thong-tin/blog/khoi-nghiep-truoc-chinh-sach-thue-moi")</f>
        <v>https://techcombank.com/thong-tin/blog/khoi-nghiep-truoc-chinh-sach-thue-moi</v>
      </c>
      <c r="EC3" s="30" t="str">
        <f>IFERROR(__xludf.DUMMYFUNCTION("""COMPUTED_VALUE"""),"đóng thuế đất online")</f>
        <v>đóng thuế đất online</v>
      </c>
      <c r="ED3" s="34" t="str">
        <f>IFERROR(__xludf.DUMMYFUNCTION("""COMPUTED_VALUE"""),"https://techcombank.com/thong-tin/blog/dong-tai-khoan-ngan-hang-cong-ty")</f>
        <v>https://techcombank.com/thong-tin/blog/dong-tai-khoan-ngan-hang-cong-ty</v>
      </c>
      <c r="EE3" s="30" t="str">
        <f>IFERROR(__xludf.DUMMYFUNCTION("""COMPUTED_VALUE"""),"nộp thuế đất online")</f>
        <v>nộp thuế đất online</v>
      </c>
      <c r="EF3" s="34" t="str">
        <f>IFERROR(__xludf.DUMMYFUNCTION("""COMPUTED_VALUE"""),"https://techcombank.com/thong-tin/blog/luu-y-khi-chuyen-tien-vao-tai-khoan-cong-ty")</f>
        <v>https://techcombank.com/thong-tin/blog/luu-y-khi-chuyen-tien-vao-tai-khoan-cong-ty</v>
      </c>
      <c r="EG3" s="30" t="str">
        <f>IFERROR(__xludf.DUMMYFUNCTION("""COMPUTED_VALUE"""),"đóng thuế đất online")</f>
        <v>đóng thuế đất online</v>
      </c>
      <c r="EH3" s="34" t="str">
        <f>IFERROR(__xludf.DUMMYFUNCTION("""COMPUTED_VALUE"""),"https://techcombank.com/thong-tin/blog/hieu-hiet-ve-tuan-thu-thue-cho-cac-doanh-nghiep-khoi-nghiep")</f>
        <v>https://techcombank.com/thong-tin/blog/hieu-hiet-ve-tuan-thu-thue-cho-cac-doanh-nghiep-khoi-nghiep</v>
      </c>
      <c r="EI3" s="30" t="str">
        <f>IFERROR(__xludf.DUMMYFUNCTION("""COMPUTED_VALUE"""),"nộp thuế đất online")</f>
        <v>nộp thuế đất online</v>
      </c>
      <c r="EJ3" s="34" t="str">
        <f>IFERROR(__xludf.DUMMYFUNCTION("""COMPUTED_VALUE"""),"https://techcombank.com/thong-tin/blog/khai-bao-tai-khoan-ngan-hang-voi-co-quan-thue")</f>
        <v>https://techcombank.com/thong-tin/blog/khai-bao-tai-khoan-ngan-hang-voi-co-quan-thue</v>
      </c>
      <c r="EK3" s="30" t="str">
        <f>IFERROR(__xludf.DUMMYFUNCTION("""COMPUTED_VALUE"""),"đóng thuế đất online")</f>
        <v>đóng thuế đất online</v>
      </c>
      <c r="EL3" s="34" t="str">
        <f>IFERROR(__xludf.DUMMYFUNCTION("""COMPUTED_VALUE"""),"https://techcombank.com/thong-tin/blog/hoa-don-dien-tu-ho-kinh-doanh")</f>
        <v>https://techcombank.com/thong-tin/blog/hoa-don-dien-tu-ho-kinh-doanh</v>
      </c>
      <c r="EM3" s="30" t="str">
        <f>IFERROR(__xludf.DUMMYFUNCTION("""COMPUTED_VALUE"""),"nộp thuế đất online")</f>
        <v>nộp thuế đất online</v>
      </c>
      <c r="EN3" s="34" t="str">
        <f>IFERROR(__xludf.DUMMYFUNCTION("""COMPUTED_VALUE"""),"https://techcombank.com/thong-tin/blog/may-tinh-tien")</f>
        <v>https://techcombank.com/thong-tin/blog/may-tinh-tien</v>
      </c>
      <c r="EO3" s="30" t="str">
        <f>IFERROR(__xludf.DUMMYFUNCTION("""COMPUTED_VALUE"""),"nộp thuế đất online")</f>
        <v>nộp thuế đất online</v>
      </c>
      <c r="EP3" s="34" t="str">
        <f>IFERROR(__xludf.DUMMYFUNCTION("""COMPUTED_VALUE"""),"https://techcombank.com/thong-tin/blog/phan-mem-xuat-hoa-don-dien-tu")</f>
        <v>https://techcombank.com/thong-tin/blog/phan-mem-xuat-hoa-don-dien-tu</v>
      </c>
      <c r="EQ3" s="30" t="str">
        <f>IFERROR(__xludf.DUMMYFUNCTION("""COMPUTED_VALUE"""),"đóng thuế đất online")</f>
        <v>đóng thuế đất online</v>
      </c>
      <c r="ER3" s="34" t="str">
        <f>IFERROR(__xludf.DUMMYFUNCTION("""COMPUTED_VALUE"""),"https://techcombank.com/thong-tin/blog/ho-kinh-doanh-la-gi")</f>
        <v>https://techcombank.com/thong-tin/blog/ho-kinh-doanh-la-gi</v>
      </c>
      <c r="ES3" s="30" t="str">
        <f>IFERROR(__xludf.DUMMYFUNCTION("""COMPUTED_VALUE"""),"nộp thuế đất online")</f>
        <v>nộp thuế đất online</v>
      </c>
      <c r="ET3" s="34" t="str">
        <f>IFERROR(__xludf.DUMMYFUNCTION("""COMPUTED_VALUE"""),"https://techcombank.com/thong-tin/blog/thanh-lap-ho-kinh-doanh-ca-the")</f>
        <v>https://techcombank.com/thong-tin/blog/thanh-lap-ho-kinh-doanh-ca-the</v>
      </c>
      <c r="EU3" s="30" t="str">
        <f>IFERROR(__xludf.DUMMYFUNCTION("""COMPUTED_VALUE"""),"đóng thuế đất online")</f>
        <v>đóng thuế đất online</v>
      </c>
      <c r="EV3" s="34" t="str">
        <f>IFERROR(__xludf.DUMMYFUNCTION("""COMPUTED_VALUE"""),"https://techcombank.com/thong-tin/blog/thue-ho-kinh-doanh-2025")</f>
        <v>https://techcombank.com/thong-tin/blog/thue-ho-kinh-doanh-2025</v>
      </c>
      <c r="EW3" s="30" t="str">
        <f>IFERROR(__xludf.DUMMYFUNCTION("""COMPUTED_VALUE"""),"nộp thuế đất online")</f>
        <v>nộp thuế đất online</v>
      </c>
      <c r="EX3" s="34" t="str">
        <f>IFERROR(__xludf.DUMMYFUNCTION("""COMPUTED_VALUE"""),"https://techcombank.com/thong-tin/blog/mo-tai-khoan-doanh-nghiep")</f>
        <v>https://techcombank.com/thong-tin/blog/mo-tai-khoan-doanh-nghiep</v>
      </c>
      <c r="EY3" s="30" t="str">
        <f>IFERROR(__xludf.DUMMYFUNCTION("""COMPUTED_VALUE"""),"đóng thuế đất online")</f>
        <v>đóng thuế đất online</v>
      </c>
      <c r="EZ3" s="34" t="str">
        <f>IFERROR(__xludf.DUMMYFUNCTION("""COMPUTED_VALUE"""),"https://techcombank.com/thong-tin/blog/loi-ich-khi-ho-kinh-doanh-chuyen-len-doanh-nghiep")</f>
        <v>https://techcombank.com/thong-tin/blog/loi-ich-khi-ho-kinh-doanh-chuyen-len-doanh-nghiep</v>
      </c>
      <c r="FA3" s="30" t="str">
        <f>IFERROR(__xludf.DUMMYFUNCTION("""COMPUTED_VALUE"""),"đóng thuế đất online")</f>
        <v>đóng thuế đất online</v>
      </c>
      <c r="FB3" s="34" t="str">
        <f>IFERROR(__xludf.DUMMYFUNCTION("""COMPUTED_VALUE"""),"https://techcombank.com/thong-tin/blog/tiem-nang-chuyen-doi-tu-ho-kinh-doanh-len-doanh-nghiep-sme")</f>
        <v>https://techcombank.com/thong-tin/blog/tiem-nang-chuyen-doi-tu-ho-kinh-doanh-len-doanh-nghiep-sme</v>
      </c>
      <c r="FC3" s="30" t="str">
        <f>IFERROR(__xludf.DUMMYFUNCTION("""COMPUTED_VALUE"""),"nộp thuế đất online")</f>
        <v>nộp thuế đất online</v>
      </c>
      <c r="FD3" s="34" t="str">
        <f>IFERROR(__xludf.DUMMYFUNCTION("""COMPUTED_VALUE"""),"https://techcombank.com/thong-tin/blog/due-diligence")</f>
        <v>https://techcombank.com/thong-tin/blog/due-diligence</v>
      </c>
      <c r="FE3" s="30" t="str">
        <f>IFERROR(__xludf.DUMMYFUNCTION("""COMPUTED_VALUE"""),"đóng thuế đất online")</f>
        <v>đóng thuế đất online</v>
      </c>
      <c r="FF3" s="34" t="str">
        <f>IFERROR(__xludf.DUMMYFUNCTION("""COMPUTED_VALUE"""),"https://techcombank.com/thong-tin/blog/giay-phep-kinh-doanh")</f>
        <v>https://techcombank.com/thong-tin/blog/giay-phep-kinh-doanh</v>
      </c>
      <c r="FG3" s="30" t="str">
        <f>IFERROR(__xludf.DUMMYFUNCTION("""COMPUTED_VALUE"""),"đóng thuế đất online")</f>
        <v>đóng thuế đất online</v>
      </c>
      <c r="FH3" s="34" t="str">
        <f>IFERROR(__xludf.DUMMYFUNCTION("""COMPUTED_VALUE"""),"https://techcombank.com/thong-tin/blog/dang-ky-kinh-doanh-la-gi")</f>
        <v>https://techcombank.com/thong-tin/blog/dang-ky-kinh-doanh-la-gi</v>
      </c>
      <c r="FI3" s="30" t="str">
        <f>IFERROR(__xludf.DUMMYFUNCTION("""COMPUTED_VALUE"""),"nộp thuế đất online")</f>
        <v>nộp thuế đất online</v>
      </c>
      <c r="FJ3" s="34" t="str">
        <f>IFERROR(__xludf.DUMMYFUNCTION("""COMPUTED_VALUE"""),"https://techcombank.com/thong-tin/blog/thay-doi-dia-chi-ho-kinh-doanh")</f>
        <v>https://techcombank.com/thong-tin/blog/thay-doi-dia-chi-ho-kinh-doanh</v>
      </c>
      <c r="FK3" s="30" t="str">
        <f>IFERROR(__xludf.DUMMYFUNCTION("""COMPUTED_VALUE"""),"đóng thuế đất online")</f>
        <v>đóng thuế đất online</v>
      </c>
      <c r="FL3" s="34" t="str">
        <f>IFERROR(__xludf.DUMMYFUNCTION("""COMPUTED_VALUE"""),"https://techcombank.com/thong-tin/blog/chuan-bi-cho-doanh-nghiep-khoi-nghiep-truoc-nhung-thay-doi-ve-thue")</f>
        <v>https://techcombank.com/thong-tin/blog/chuan-bi-cho-doanh-nghiep-khoi-nghiep-truoc-nhung-thay-doi-ve-thue</v>
      </c>
      <c r="FM3" s="30" t="str">
        <f>IFERROR(__xludf.DUMMYFUNCTION("""COMPUTED_VALUE"""),"cách nộp thuế đất online")</f>
        <v>cách nộp thuế đất online</v>
      </c>
      <c r="FN3" s="34" t="str">
        <f>IFERROR(__xludf.DUMMYFUNCTION("""COMPUTED_VALUE"""),"https://techcombank.com/thong-tin/blog/dieu-kien-vay-von-ngan-hang")</f>
        <v>https://techcombank.com/thong-tin/blog/dieu-kien-vay-von-ngan-hang</v>
      </c>
      <c r="FO3" s="30" t="str">
        <f>IFERROR(__xludf.DUMMYFUNCTION("""COMPUTED_VALUE"""),"nộp thuế đất online")</f>
        <v>nộp thuế đất online</v>
      </c>
      <c r="FP3" s="34" t="str">
        <f>IFERROR(__xludf.DUMMYFUNCTION("""COMPUTED_VALUE"""),"https://techcombank.com/thong-tin/blog/luu-y-khi-chuyen-doi-tu-ho-kinh-doanh-len-doanh-nghiep")</f>
        <v>https://techcombank.com/thong-tin/blog/luu-y-khi-chuyen-doi-tu-ho-kinh-doanh-len-doanh-nghiep</v>
      </c>
      <c r="FQ3" s="30" t="str">
        <f>IFERROR(__xludf.DUMMYFUNCTION("""COMPUTED_VALUE"""),"nộp thuế đất online")</f>
        <v>nộp thuế đất online</v>
      </c>
      <c r="FR3" s="34" t="str">
        <f>IFERROR(__xludf.DUMMYFUNCTION("""COMPUTED_VALUE"""),"https://techcombank.com/thong-tin/blog/cach-kiem-tra-tai-khoan-ngan-hang-cua-cong-ty")</f>
        <v>https://techcombank.com/thong-tin/blog/cach-kiem-tra-tai-khoan-ngan-hang-cua-cong-ty</v>
      </c>
      <c r="FS3" s="30" t="str">
        <f>IFERROR(__xludf.DUMMYFUNCTION("""COMPUTED_VALUE"""),"đóng thuế đất online")</f>
        <v>đóng thuế đất online</v>
      </c>
      <c r="FT3" s="34" t="str">
        <f>IFERROR(__xludf.DUMMYFUNCTION("""COMPUTED_VALUE"""),"https://techcombank.com/thong-tin/blog/thue-doanh-nghiep")</f>
        <v>https://techcombank.com/thong-tin/blog/thue-doanh-nghiep</v>
      </c>
      <c r="FU3" s="30" t="str">
        <f>IFERROR(__xludf.DUMMYFUNCTION("""COMPUTED_VALUE"""),"nộp thuế đất online")</f>
        <v>nộp thuế đất online</v>
      </c>
      <c r="FV3" s="34" t="str">
        <f>IFERROR(__xludf.DUMMYFUNCTION("""COMPUTED_VALUE"""),"https://techcombank.com/thong-tin/blog/dang-ky-ma-so-thue-ca-nhan")</f>
        <v>https://techcombank.com/thong-tin/blog/dang-ky-ma-so-thue-ca-nhan</v>
      </c>
      <c r="FW3" s="30" t="str">
        <f>IFERROR(__xludf.DUMMYFUNCTION("""COMPUTED_VALUE"""),"cách nộp thuế đất online")</f>
        <v>cách nộp thuế đất online</v>
      </c>
      <c r="FX3" s="34" t="str">
        <f>IFERROR(__xludf.DUMMYFUNCTION("""COMPUTED_VALUE"""),"https://techcombank.com/thong-tin/blog/cach-tao-ma-qr")</f>
        <v>https://techcombank.com/thong-tin/blog/cach-tao-ma-qr</v>
      </c>
      <c r="FY3" s="30" t="str">
        <f>IFERROR(__xludf.DUMMYFUNCTION("""COMPUTED_VALUE"""),"đóng thuế đất online")</f>
        <v>đóng thuế đất online</v>
      </c>
      <c r="FZ3" s="34" t="str">
        <f>IFERROR(__xludf.DUMMYFUNCTION("""COMPUTED_VALUE"""),"https://techcombank.com/thong-tin/blog/chuyen-doi-hoa-don-dien-tu")</f>
        <v>https://techcombank.com/thong-tin/blog/chuyen-doi-hoa-don-dien-tu</v>
      </c>
      <c r="GA3" s="30" t="str">
        <f>IFERROR(__xludf.DUMMYFUNCTION("""COMPUTED_VALUE"""),"nộp thuế đất online")</f>
        <v>nộp thuế đất online</v>
      </c>
      <c r="GB3" s="34" t="str">
        <f>IFERROR(__xludf.DUMMYFUNCTION("""COMPUTED_VALUE"""),"https://techcombank.com/thong-tin/blog/chinh-sach-thue-moi")</f>
        <v>https://techcombank.com/thong-tin/blog/chinh-sach-thue-moi</v>
      </c>
      <c r="GC3" s="30" t="str">
        <f>IFERROR(__xludf.DUMMYFUNCTION("""COMPUTED_VALUE"""),"đóng thuế đất online")</f>
        <v>đóng thuế đất online</v>
      </c>
      <c r="GD3" s="34" t="str">
        <f>IFERROR(__xludf.DUMMYFUNCTION("""COMPUTED_VALUE"""),"https://techcombank.com/thong-tin/blog/vay-the-chap-kinh-doanh")</f>
        <v>https://techcombank.com/thong-tin/blog/vay-the-chap-kinh-doanh</v>
      </c>
      <c r="GE3" s="30" t="str">
        <f>IFERROR(__xludf.DUMMYFUNCTION("""COMPUTED_VALUE"""),"nộp thuế đất online")</f>
        <v>nộp thuế đất online</v>
      </c>
      <c r="GF3" s="34" t="str">
        <f>IFERROR(__xludf.DUMMYFUNCTION("""COMPUTED_VALUE"""),"https://techcombank.com/thong-tin/blog/cach-su-dung-tai-khoan-cong-ty")</f>
        <v>https://techcombank.com/thong-tin/blog/cach-su-dung-tai-khoan-cong-ty</v>
      </c>
      <c r="GG3" s="30" t="str">
        <f>IFERROR(__xludf.DUMMYFUNCTION("""COMPUTED_VALUE"""),"nộp thuế đất online")</f>
        <v>nộp thuế đất online</v>
      </c>
      <c r="GH3" s="34" t="str">
        <f>IFERROR(__xludf.DUMMYFUNCTION("""COMPUTED_VALUE"""),"https://techcombank.com/thong-tin/blog/cach-tinh-thue-ho-kinh-doanh-nho-le")</f>
        <v>https://techcombank.com/thong-tin/blog/cach-tinh-thue-ho-kinh-doanh-nho-le</v>
      </c>
      <c r="GI3" s="30" t="str">
        <f>IFERROR(__xludf.DUMMYFUNCTION("""COMPUTED_VALUE"""),"đóng thuế đất online")</f>
        <v>đóng thuế đất online</v>
      </c>
      <c r="GJ3" s="34" t="str">
        <f>IFERROR(__xludf.DUMMYFUNCTION("""COMPUTED_VALUE"""),"https://techcombank.com/thong-tin/blog/nhung-ho-kinh-doanh-duoc-mien-thue")</f>
        <v>https://techcombank.com/thong-tin/blog/nhung-ho-kinh-doanh-duoc-mien-thue</v>
      </c>
      <c r="GK3" s="30" t="str">
        <f>IFERROR(__xludf.DUMMYFUNCTION("""COMPUTED_VALUE"""),"cách nộp thuế đất online")</f>
        <v>cách nộp thuế đất online</v>
      </c>
      <c r="GL3" s="34" t="str">
        <f>IFERROR(__xludf.DUMMYFUNCTION("""COMPUTED_VALUE"""),"https://techcombank.com/thong-tin/blog/lai-suat-vay-kinh-doanh")</f>
        <v>https://techcombank.com/thong-tin/blog/lai-suat-vay-kinh-doanh</v>
      </c>
      <c r="GM3" s="30" t="str">
        <f>IFERROR(__xludf.DUMMYFUNCTION("""COMPUTED_VALUE"""),"nộp thuế đất online")</f>
        <v>nộp thuế đất online</v>
      </c>
      <c r="GN3" s="34" t="str">
        <f>IFERROR(__xludf.DUMMYFUNCTION("""COMPUTED_VALUE"""),"https://techcombank.com/thong-tin/blog/bao-lanh-bao-hanh")</f>
        <v>https://techcombank.com/thong-tin/blog/bao-lanh-bao-hanh</v>
      </c>
      <c r="GO3" s="30" t="str">
        <f>IFERROR(__xludf.DUMMYFUNCTION("""COMPUTED_VALUE"""),"cách nộp thuế đất online")</f>
        <v>cách nộp thuế đất online</v>
      </c>
      <c r="GP3" s="34" t="str">
        <f>IFERROR(__xludf.DUMMYFUNCTION("""COMPUTED_VALUE"""),"https://techcombank.com/thong-tin/blog/bao-lanh-ngan-hang-infographic")</f>
        <v>https://techcombank.com/thong-tin/blog/bao-lanh-ngan-hang-infographic</v>
      </c>
      <c r="GQ3" s="30" t="str">
        <f>IFERROR(__xludf.DUMMYFUNCTION("""COMPUTED_VALUE"""),"nộp thuế đất online")</f>
        <v>nộp thuế đất online</v>
      </c>
      <c r="GR3" s="34" t="str">
        <f>IFERROR(__xludf.DUMMYFUNCTION("""COMPUTED_VALUE"""),"https://techcombank.com/thong-tin/blog/tin-dung-doanh-nghiep")</f>
        <v>https://techcombank.com/thong-tin/blog/tin-dung-doanh-nghiep</v>
      </c>
      <c r="GS3" s="30" t="str">
        <f>IFERROR(__xludf.DUMMYFUNCTION("""COMPUTED_VALUE"""),"đóng thuế đất online")</f>
        <v>đóng thuế đất online</v>
      </c>
      <c r="GT3" s="34" t="str">
        <f>IFERROR(__xludf.DUMMYFUNCTION("""COMPUTED_VALUE"""),"https://techcombank.com/thong-tin/blog/vay-bo-sung-von-luu-dong")</f>
        <v>https://techcombank.com/thong-tin/blog/vay-bo-sung-von-luu-dong</v>
      </c>
      <c r="GU3" s="30" t="str">
        <f>IFERROR(__xludf.DUMMYFUNCTION("""COMPUTED_VALUE"""),"đóng thuế đất online")</f>
        <v>đóng thuế đất online</v>
      </c>
      <c r="GV3" s="34" t="str">
        <f>IFERROR(__xludf.DUMMYFUNCTION("""COMPUTED_VALUE"""),"https://techcombank.com/thong-tin/blog/roa")</f>
        <v>https://techcombank.com/thong-tin/blog/roa</v>
      </c>
      <c r="GW3" s="30" t="str">
        <f>IFERROR(__xludf.DUMMYFUNCTION("""COMPUTED_VALUE"""),"cách nộp thuế đất online")</f>
        <v>cách nộp thuế đất online</v>
      </c>
      <c r="GX3" s="34" t="str">
        <f>IFERROR(__xludf.DUMMYFUNCTION("""COMPUTED_VALUE"""),"https://techcombank.com/thong-tin/blog/ebitda-la-gi")</f>
        <v>https://techcombank.com/thong-tin/blog/ebitda-la-gi</v>
      </c>
      <c r="GY3" s="30" t="str">
        <f>IFERROR(__xludf.DUMMYFUNCTION("""COMPUTED_VALUE"""),"đóng thuế đất online")</f>
        <v>đóng thuế đất online</v>
      </c>
      <c r="GZ3" s="34" t="str">
        <f>IFERROR(__xludf.DUMMYFUNCTION("""COMPUTED_VALUE"""),"https://techcombank.com/thong-tin/blog/vay-von-doanh-nghiep-nho")</f>
        <v>https://techcombank.com/thong-tin/blog/vay-von-doanh-nghiep-nho</v>
      </c>
      <c r="HA3" s="30" t="str">
        <f>IFERROR(__xludf.DUMMYFUNCTION("""COMPUTED_VALUE"""),"đóng thuế đất online")</f>
        <v>đóng thuế đất online</v>
      </c>
      <c r="HB3" s="34" t="str">
        <f>IFERROR(__xludf.DUMMYFUNCTION("""COMPUTED_VALUE"""),"https://techcombank.com/thong-tin/blog/von-luu-dong-la-gi")</f>
        <v>https://techcombank.com/thong-tin/blog/von-luu-dong-la-gi</v>
      </c>
      <c r="HC3" s="30" t="str">
        <f>IFERROR(__xludf.DUMMYFUNCTION("""COMPUTED_VALUE"""),"nộp thuế đất online")</f>
        <v>nộp thuế đất online</v>
      </c>
      <c r="HD3" s="34" t="str">
        <f>IFERROR(__xludf.DUMMYFUNCTION("""COMPUTED_VALUE"""),"https://techcombank.com/thong-tin/blog/bao-lanh-thuc-hien-hop-dong")</f>
        <v>https://techcombank.com/thong-tin/blog/bao-lanh-thuc-hien-hop-dong</v>
      </c>
      <c r="HE3" s="30"/>
      <c r="HF3" s="30"/>
      <c r="HG3" s="30"/>
      <c r="HH3" s="30"/>
      <c r="HI3" s="30"/>
      <c r="HJ3" s="30"/>
      <c r="HK3" s="30"/>
      <c r="HL3" s="30"/>
      <c r="HM3" s="30"/>
      <c r="HN3" s="30"/>
      <c r="HO3" s="30"/>
      <c r="HP3" s="30"/>
      <c r="HQ3" s="30"/>
      <c r="HR3" s="30"/>
      <c r="HS3" s="30"/>
      <c r="HT3" s="30"/>
      <c r="HU3" s="30"/>
      <c r="HV3" s="30"/>
      <c r="HW3" s="30"/>
      <c r="HX3" s="30"/>
      <c r="HY3" s="30"/>
      <c r="HZ3" s="30"/>
      <c r="IA3" s="30"/>
      <c r="IB3" s="30"/>
      <c r="IC3" s="30"/>
      <c r="ID3" s="30"/>
      <c r="IE3" s="30"/>
      <c r="IF3" s="30"/>
      <c r="IG3" s="30"/>
      <c r="IH3" s="30"/>
      <c r="II3" s="30"/>
      <c r="IJ3" s="30"/>
      <c r="IK3" s="30"/>
      <c r="IL3" s="30"/>
      <c r="IM3" s="30"/>
      <c r="IN3" s="30"/>
      <c r="IO3" s="30"/>
      <c r="IP3" s="30"/>
      <c r="IQ3" s="30"/>
      <c r="IR3" s="30"/>
      <c r="IS3" s="30"/>
      <c r="IT3" s="30"/>
      <c r="IU3" s="30"/>
      <c r="IV3" s="30"/>
      <c r="IW3" s="30"/>
      <c r="IX3" s="30"/>
      <c r="IY3" s="30"/>
      <c r="IZ3" s="30"/>
      <c r="JA3" s="30"/>
      <c r="JB3" s="30"/>
      <c r="JC3" s="30"/>
      <c r="JD3" s="30"/>
      <c r="JE3" s="30"/>
      <c r="JF3" s="30"/>
      <c r="JG3" s="30"/>
      <c r="JH3" s="30"/>
      <c r="JI3" s="30"/>
      <c r="JJ3" s="30"/>
      <c r="JK3" s="30"/>
      <c r="JL3" s="30"/>
      <c r="JM3" s="30"/>
      <c r="JN3" s="30"/>
      <c r="JO3" s="30"/>
      <c r="JP3" s="30"/>
      <c r="JQ3" s="30"/>
      <c r="JR3" s="30"/>
      <c r="JS3" s="30"/>
      <c r="JT3" s="30"/>
      <c r="JU3" s="30"/>
      <c r="JV3" s="30"/>
      <c r="JW3" s="30"/>
      <c r="JX3" s="30"/>
      <c r="JY3" s="30"/>
      <c r="JZ3" s="30"/>
      <c r="KA3" s="30"/>
      <c r="KB3" s="30"/>
      <c r="KC3" s="30"/>
      <c r="KD3" s="30"/>
      <c r="KE3" s="30"/>
      <c r="KF3" s="30"/>
      <c r="KG3" s="30"/>
      <c r="KH3" s="30"/>
      <c r="KI3" s="30"/>
      <c r="KJ3" s="30"/>
      <c r="KK3" s="30"/>
      <c r="KL3" s="30"/>
      <c r="KM3" s="30"/>
      <c r="KN3" s="30"/>
      <c r="KO3" s="30"/>
      <c r="KP3" s="30"/>
      <c r="KQ3" s="30"/>
      <c r="KR3" s="30"/>
      <c r="KS3" s="30"/>
      <c r="KT3" s="30"/>
      <c r="KU3" s="30"/>
      <c r="KV3" s="30"/>
      <c r="KW3" s="30"/>
      <c r="KX3" s="30"/>
      <c r="KY3" s="30"/>
      <c r="KZ3" s="30"/>
      <c r="LA3" s="30"/>
      <c r="LB3" s="30"/>
      <c r="LC3" s="30"/>
      <c r="LD3" s="30"/>
      <c r="LE3" s="30"/>
      <c r="LF3" s="30"/>
      <c r="LG3" s="30"/>
      <c r="LH3" s="30"/>
      <c r="LI3" s="30"/>
      <c r="LJ3" s="30"/>
      <c r="LK3" s="30"/>
      <c r="LL3" s="30"/>
      <c r="LM3" s="30"/>
      <c r="LN3" s="30"/>
      <c r="LO3" s="30"/>
      <c r="LP3" s="30"/>
      <c r="LQ3" s="30"/>
      <c r="LR3" s="30"/>
      <c r="LS3" s="30"/>
      <c r="LT3" s="30"/>
      <c r="LU3" s="30"/>
      <c r="LV3" s="30"/>
      <c r="LW3" s="30"/>
      <c r="LX3" s="30"/>
      <c r="LY3" s="30"/>
      <c r="LZ3" s="30"/>
      <c r="MA3" s="30"/>
      <c r="MB3" s="30"/>
      <c r="MC3" s="30"/>
      <c r="MD3" s="30"/>
      <c r="ME3" s="30"/>
      <c r="MF3" s="30"/>
      <c r="MG3" s="30"/>
      <c r="MH3" s="30"/>
      <c r="MI3" s="30"/>
      <c r="MJ3" s="30"/>
      <c r="MK3" s="30"/>
      <c r="ML3" s="30"/>
      <c r="MM3" s="30"/>
      <c r="MN3" s="30"/>
      <c r="MO3" s="30"/>
      <c r="MP3" s="30"/>
      <c r="MQ3" s="30"/>
      <c r="MR3" s="30"/>
      <c r="MS3" s="30"/>
      <c r="MT3" s="30"/>
      <c r="MU3" s="30"/>
      <c r="MV3" s="30"/>
      <c r="MW3" s="30"/>
      <c r="MX3" s="30"/>
      <c r="MY3" s="30"/>
      <c r="MZ3" s="30"/>
      <c r="NA3" s="30"/>
      <c r="NB3" s="30"/>
      <c r="NC3" s="30"/>
      <c r="ND3" s="30"/>
      <c r="NE3" s="30"/>
      <c r="NF3" s="30"/>
      <c r="NG3" s="30"/>
      <c r="NH3" s="30"/>
      <c r="NI3" s="30"/>
      <c r="NJ3" s="30"/>
      <c r="NK3" s="30"/>
      <c r="NL3" s="30"/>
      <c r="NM3" s="30"/>
      <c r="NN3" s="30"/>
      <c r="NO3" s="30"/>
      <c r="NP3" s="30"/>
      <c r="NQ3" s="30"/>
      <c r="NR3" s="30"/>
      <c r="NS3" s="30"/>
      <c r="NT3" s="30"/>
      <c r="NU3" s="30"/>
      <c r="NV3" s="30"/>
      <c r="NW3" s="30"/>
      <c r="NX3" s="30"/>
      <c r="NY3" s="30"/>
      <c r="NZ3" s="30"/>
      <c r="OA3" s="30"/>
      <c r="OB3" s="30"/>
      <c r="OC3" s="30"/>
      <c r="OD3" s="30"/>
      <c r="OE3" s="30"/>
      <c r="OF3" s="30"/>
      <c r="OG3" s="30"/>
      <c r="OH3" s="30"/>
      <c r="OI3" s="30"/>
      <c r="OJ3" s="30"/>
      <c r="OK3" s="30"/>
      <c r="OL3" s="30"/>
      <c r="OM3" s="30"/>
      <c r="ON3" s="30"/>
      <c r="OO3" s="30"/>
      <c r="OP3" s="30"/>
      <c r="OQ3" s="30"/>
      <c r="OR3" s="30"/>
      <c r="OS3" s="30"/>
      <c r="OT3" s="30"/>
      <c r="OU3" s="30"/>
      <c r="OV3" s="30"/>
    </row>
    <row r="4" ht="18.0" customHeight="1">
      <c r="A4" s="29">
        <v>3.0</v>
      </c>
      <c r="B4" s="30" t="s">
        <v>487</v>
      </c>
      <c r="C4" s="31" t="s">
        <v>1517</v>
      </c>
      <c r="D4" s="30" t="s">
        <v>222</v>
      </c>
      <c r="E4" s="29">
        <v>50.0</v>
      </c>
      <c r="F4" s="29">
        <f>COUNTIF('Tổng hợp 75 trang đích'!$B$2:$B$3400,$D4)</f>
        <v>50</v>
      </c>
      <c r="G4" s="29">
        <f>COUNTIFS('Tổng hợp 75 trang đích'!$B$2:$B$3400,$D4,'Tổng hợp 75 trang đích'!$K$2:$K$3400,"PHÙ HỢP CAO")</f>
        <v>3</v>
      </c>
      <c r="H4" s="29">
        <f>COUNTIFS('Tổng hợp 75 trang đích'!$B$2:$B$3400,$D4,'Tổng hợp 75 trang đích'!$K$2:$K$3400,"CÓ THỂ ĐI")</f>
        <v>2</v>
      </c>
      <c r="I4" s="29">
        <f>COUNTIFS('Tổng hợp 75 trang đích'!$B$2:$B$3400,$D4,'Tổng hợp 75 trang đích'!$K$2:$K$3400,"CẦN SOÁT")</f>
        <v>45</v>
      </c>
      <c r="J4" s="32" t="s">
        <v>714</v>
      </c>
      <c r="K4" s="32" t="b">
        <v>0</v>
      </c>
      <c r="L4" s="33" t="s">
        <v>52</v>
      </c>
      <c r="M4" s="30" t="str">
        <f>IFERROR(__xludf.DUMMYFUNCTION("IFERROR(TOROW(CHOOSECOLS(SORT(FILTER({'Tổng hợp 75 trang đích'!$J$2:$J$3400,'Tổng hợp 75 trang đích'!$I$2:$I$3400,MATCH('Tổng hợp 75 trang đích'!$K$2:$K$3400,{""PHÙ HỢP CAO"",""CÓ THỂ ĐI"",""CẦN SOÁT""},0)},'Tổng hợp 75 trang đích'!$B$2:$B$3400=$D4),3,TRU"&amp;"E),1,2)),"""")"),"nộp thuế hộ trên etax")</f>
        <v>nộp thuế hộ trên etax</v>
      </c>
      <c r="N4" s="34" t="str">
        <f>IFERROR(__xludf.DUMMYFUNCTION("""COMPUTED_VALUE"""),"https://techcombank.com/thong-tin/blog/lien-ket-tai-khoan-ngan-hang-voi-etax-mobile")</f>
        <v>https://techcombank.com/thong-tin/blog/lien-ket-tai-khoan-ngan-hang-voi-etax-mobile</v>
      </c>
      <c r="O4" s="30" t="str">
        <f>IFERROR(__xludf.DUMMYFUNCTION("""COMPUTED_VALUE"""),"nộp thuế hộ trên etax")</f>
        <v>nộp thuế hộ trên etax</v>
      </c>
      <c r="P4" s="34" t="str">
        <f>IFERROR(__xludf.DUMMYFUNCTION("""COMPUTED_VALUE"""),"https://techcombank.com/thong-tin/blog/quyet-toan-thue-thu-nhap-ca-nhan")</f>
        <v>https://techcombank.com/thong-tin/blog/quyet-toan-thue-thu-nhap-ca-nhan</v>
      </c>
      <c r="Q4" s="30" t="str">
        <f>IFERROR(__xludf.DUMMYFUNCTION("""COMPUTED_VALUE"""),"nộp thuế online")</f>
        <v>nộp thuế online</v>
      </c>
      <c r="R4" s="34" t="str">
        <f>IFERROR(__xludf.DUMMYFUNCTION("""COMPUTED_VALUE"""),"https://techcombank.com/thong-tin/blog/ke-khai-thue-ho-kinh-doanh-ca-the-online")</f>
        <v>https://techcombank.com/thong-tin/blog/ke-khai-thue-ho-kinh-doanh-ca-the-online</v>
      </c>
      <c r="S4" s="30" t="str">
        <f>IFERROR(__xludf.DUMMYFUNCTION("""COMPUTED_VALUE"""),"nộp thuế online")</f>
        <v>nộp thuế online</v>
      </c>
      <c r="T4" s="34" t="str">
        <f>IFERROR(__xludf.DUMMYFUNCTION("""COMPUTED_VALUE"""),"https://techcombank.com/thong-tin/blog/hoan-thue-thu-nhap-ca-nhan")</f>
        <v>https://techcombank.com/thong-tin/blog/hoan-thue-thu-nhap-ca-nhan</v>
      </c>
      <c r="U4" s="30" t="str">
        <f>IFERROR(__xludf.DUMMYFUNCTION("""COMPUTED_VALUE"""),"nộp thuế online")</f>
        <v>nộp thuế online</v>
      </c>
      <c r="V4" s="34" t="str">
        <f>IFERROR(__xludf.DUMMYFUNCTION("""COMPUTED_VALUE"""),"https://techcombank.com/thong-tin/blog/nop-thue-hai-quan")</f>
        <v>https://techcombank.com/thong-tin/blog/nop-thue-hai-quan</v>
      </c>
      <c r="W4" s="30" t="str">
        <f>IFERROR(__xludf.DUMMYFUNCTION("""COMPUTED_VALUE"""),"nộp thuế online")</f>
        <v>nộp thuế online</v>
      </c>
      <c r="X4" s="34" t="str">
        <f>IFERROR(__xludf.DUMMYFUNCTION("""COMPUTED_VALUE"""),"https://techcombank.com/thong-tin/blog/hoan-thue-doanh-nghiep")</f>
        <v>https://techcombank.com/thong-tin/blog/hoan-thue-doanh-nghiep</v>
      </c>
      <c r="Y4" s="30" t="str">
        <f>IFERROR(__xludf.DUMMYFUNCTION("""COMPUTED_VALUE"""),"nộp thuế online")</f>
        <v>nộp thuế online</v>
      </c>
      <c r="Z4" s="34" t="str">
        <f>IFERROR(__xludf.DUMMYFUNCTION("""COMPUTED_VALUE"""),"https://techcombank.com/thong-tin/blog/tra-cuu-no-thue-hai-quan")</f>
        <v>https://techcombank.com/thong-tin/blog/tra-cuu-no-thue-hai-quan</v>
      </c>
      <c r="AA4" s="30" t="str">
        <f>IFERROR(__xludf.DUMMYFUNCTION("""COMPUTED_VALUE"""),"nộp thuế hộ trên etax")</f>
        <v>nộp thuế hộ trên etax</v>
      </c>
      <c r="AB4" s="34" t="str">
        <f>IFERROR(__xludf.DUMMYFUNCTION("""COMPUTED_VALUE"""),"https://techcombank.com/thong-tin/blog/tra-cuu-no-thue-ho-kinh-doanh")</f>
        <v>https://techcombank.com/thong-tin/blog/tra-cuu-no-thue-ho-kinh-doanh</v>
      </c>
      <c r="AC4" s="30" t="str">
        <f>IFERROR(__xludf.DUMMYFUNCTION("""COMPUTED_VALUE"""),"nộp thuế online")</f>
        <v>nộp thuế online</v>
      </c>
      <c r="AD4" s="34" t="str">
        <f>IFERROR(__xludf.DUMMYFUNCTION("""COMPUTED_VALUE"""),"https://techcombank.com/thong-tin/blog/truy-thu-thue-ho-kinh-doanh")</f>
        <v>https://techcombank.com/thong-tin/blog/truy-thu-thue-ho-kinh-doanh</v>
      </c>
      <c r="AE4" s="30" t="str">
        <f>IFERROR(__xludf.DUMMYFUNCTION("""COMPUTED_VALUE"""),"nộp thuế hộ trên etax")</f>
        <v>nộp thuế hộ trên etax</v>
      </c>
      <c r="AF4" s="34" t="str">
        <f>IFERROR(__xludf.DUMMYFUNCTION("""COMPUTED_VALUE"""),"https://techcombank.com/thong-tin/blog/kiem-tra-thue-ho-kinh-doanh")</f>
        <v>https://techcombank.com/thong-tin/blog/kiem-tra-thue-ho-kinh-doanh</v>
      </c>
      <c r="AG4" s="30" t="str">
        <f>IFERROR(__xludf.DUMMYFUNCTION("""COMPUTED_VALUE"""),"nộp thuế online")</f>
        <v>nộp thuế online</v>
      </c>
      <c r="AH4" s="34" t="str">
        <f>IFERROR(__xludf.DUMMYFUNCTION("""COMPUTED_VALUE"""),"https://techcombank.com/thong-tin/blog/tra-cuu-no-thue-ca-nhan")</f>
        <v>https://techcombank.com/thong-tin/blog/tra-cuu-no-thue-ca-nhan</v>
      </c>
      <c r="AI4" s="30" t="str">
        <f>IFERROR(__xludf.DUMMYFUNCTION("""COMPUTED_VALUE"""),"nộp thuế hộ trên etax")</f>
        <v>nộp thuế hộ trên etax</v>
      </c>
      <c r="AJ4" s="34" t="str">
        <f>IFERROR(__xludf.DUMMYFUNCTION("""COMPUTED_VALUE"""),"https://techcombank.com/thong-tin/blog/thue-thuong-mai-dien-tu")</f>
        <v>https://techcombank.com/thong-tin/blog/thue-thuong-mai-dien-tu</v>
      </c>
      <c r="AK4" s="30" t="str">
        <f>IFERROR(__xludf.DUMMYFUNCTION("""COMPUTED_VALUE"""),"nộp thuế hộ trên etax")</f>
        <v>nộp thuế hộ trên etax</v>
      </c>
      <c r="AL4" s="34" t="str">
        <f>IFERROR(__xludf.DUMMYFUNCTION("""COMPUTED_VALUE"""),"https://techcombank.com/thong-tin/blog/ho-kinh-doanh-dong-thue-nhu-nao")</f>
        <v>https://techcombank.com/thong-tin/blog/ho-kinh-doanh-dong-thue-nhu-nao</v>
      </c>
      <c r="AM4" s="30" t="str">
        <f>IFERROR(__xludf.DUMMYFUNCTION("""COMPUTED_VALUE"""),"nộp thuế online")</f>
        <v>nộp thuế online</v>
      </c>
      <c r="AN4" s="34" t="str">
        <f>IFERROR(__xludf.DUMMYFUNCTION("""COMPUTED_VALUE"""),"https://techcombank.com/thong-tin/blog/thue-thu-nhap-doanh-nghiep")</f>
        <v>https://techcombank.com/thong-tin/blog/thue-thu-nhap-doanh-nghiep</v>
      </c>
      <c r="AO4" s="30" t="str">
        <f>IFERROR(__xludf.DUMMYFUNCTION("""COMPUTED_VALUE"""),"nộp thuế online")</f>
        <v>nộp thuế online</v>
      </c>
      <c r="AP4" s="34" t="str">
        <f>IFERROR(__xludf.DUMMYFUNCTION("""COMPUTED_VALUE"""),"https://techcombank.com/thong-tin/blog/quyet-toan-thue-doanh-nghiep")</f>
        <v>https://techcombank.com/thong-tin/blog/quyet-toan-thue-doanh-nghiep</v>
      </c>
      <c r="AQ4" s="30" t="str">
        <f>IFERROR(__xludf.DUMMYFUNCTION("""COMPUTED_VALUE"""),"nộp thuế online")</f>
        <v>nộp thuế online</v>
      </c>
      <c r="AR4" s="34" t="str">
        <f>IFERROR(__xludf.DUMMYFUNCTION("""COMPUTED_VALUE"""),"https://techcombank.com/thong-tin/blog/ke-khai-thue-doanh-nghiep")</f>
        <v>https://techcombank.com/thong-tin/blog/ke-khai-thue-doanh-nghiep</v>
      </c>
      <c r="AS4" s="30" t="str">
        <f>IFERROR(__xludf.DUMMYFUNCTION("""COMPUTED_VALUE"""),"nộp thuế online")</f>
        <v>nộp thuế online</v>
      </c>
      <c r="AT4" s="34" t="str">
        <f>IFERROR(__xludf.DUMMYFUNCTION("""COMPUTED_VALUE"""),"https://techcombank.com/thong-tin/blog/tra-cuu-no-thue-doanh-nghiep")</f>
        <v>https://techcombank.com/thong-tin/blog/tra-cuu-no-thue-doanh-nghiep</v>
      </c>
      <c r="AU4" s="30" t="str">
        <f>IFERROR(__xludf.DUMMYFUNCTION("""COMPUTED_VALUE"""),"nộp thuế hộ trên etax")</f>
        <v>nộp thuế hộ trên etax</v>
      </c>
      <c r="AV4" s="34" t="str">
        <f>IFERROR(__xludf.DUMMYFUNCTION("""COMPUTED_VALUE"""),"https://techcombank.com/thong-tin/blog/tien-chuyen-vao-tai-khoan-co-bi-tinh-thue-khong")</f>
        <v>https://techcombank.com/thong-tin/blog/tien-chuyen-vao-tai-khoan-co-bi-tinh-thue-khong</v>
      </c>
      <c r="AW4" s="30" t="str">
        <f>IFERROR(__xludf.DUMMYFUNCTION("""COMPUTED_VALUE"""),"nộp thuế online")</f>
        <v>nộp thuế online</v>
      </c>
      <c r="AX4" s="34" t="str">
        <f>IFERROR(__xludf.DUMMYFUNCTION("""COMPUTED_VALUE"""),"https://techcombank.com/thong-tin/blog/cach-tinh-thue-thu-nhap-ca-nhan-2025")</f>
        <v>https://techcombank.com/thong-tin/blog/cach-tinh-thue-thu-nhap-ca-nhan-2025</v>
      </c>
      <c r="AY4" s="30" t="str">
        <f>IFERROR(__xludf.DUMMYFUNCTION("""COMPUTED_VALUE"""),"nộp thuế hộ trên etax")</f>
        <v>nộp thuế hộ trên etax</v>
      </c>
      <c r="AZ4" s="34" t="str">
        <f>IFERROR(__xludf.DUMMYFUNCTION("""COMPUTED_VALUE"""),"https://techcombank.com/thong-tin/blog/thue-thu-nhap-ca-nhan")</f>
        <v>https://techcombank.com/thong-tin/blog/thue-thu-nhap-ca-nhan</v>
      </c>
      <c r="BA4" s="30" t="str">
        <f>IFERROR(__xludf.DUMMYFUNCTION("""COMPUTED_VALUE"""),"nộp thuế online")</f>
        <v>nộp thuế online</v>
      </c>
      <c r="BB4" s="34" t="str">
        <f>IFERROR(__xludf.DUMMYFUNCTION("""COMPUTED_VALUE"""),"https://techcombank.com/thong-tin/blog/kinh-doanh-online")</f>
        <v>https://techcombank.com/thong-tin/blog/kinh-doanh-online</v>
      </c>
      <c r="BC4" s="30" t="str">
        <f>IFERROR(__xludf.DUMMYFUNCTION("""COMPUTED_VALUE"""),"nộp thuế online")</f>
        <v>nộp thuế online</v>
      </c>
      <c r="BD4" s="34" t="str">
        <f>IFERROR(__xludf.DUMMYFUNCTION("""COMPUTED_VALUE"""),"https://techcombank.com/thong-tin/blog/nop-thue-dat-qua-ngan-hang")</f>
        <v>https://techcombank.com/thong-tin/blog/nop-thue-dat-qua-ngan-hang</v>
      </c>
      <c r="BE4" s="30" t="str">
        <f>IFERROR(__xludf.DUMMYFUNCTION("""COMPUTED_VALUE"""),"nộp thuế hộ trên etax")</f>
        <v>nộp thuế hộ trên etax</v>
      </c>
      <c r="BF4" s="34" t="str">
        <f>IFERROR(__xludf.DUMMYFUNCTION("""COMPUTED_VALUE"""),"https://techcombank.com/thong-tin/blog/tim-hieu-ve-chinh-sach-thue-moi")</f>
        <v>https://techcombank.com/thong-tin/blog/tim-hieu-ve-chinh-sach-thue-moi</v>
      </c>
      <c r="BG4" s="30" t="str">
        <f>IFERROR(__xludf.DUMMYFUNCTION("""COMPUTED_VALUE"""),"nộp thuế online")</f>
        <v>nộp thuế online</v>
      </c>
      <c r="BH4" s="34" t="str">
        <f>IFERROR(__xludf.DUMMYFUNCTION("""COMPUTED_VALUE"""),"https://techcombank.com/thong-tin/blog/chuyen-doi-ho-kinh-doanh-len-doanh-nghiep")</f>
        <v>https://techcombank.com/thong-tin/blog/chuyen-doi-ho-kinh-doanh-len-doanh-nghiep</v>
      </c>
      <c r="BI4" s="30" t="str">
        <f>IFERROR(__xludf.DUMMYFUNCTION("""COMPUTED_VALUE"""),"nộp thuế online")</f>
        <v>nộp thuế online</v>
      </c>
      <c r="BJ4" s="34" t="str">
        <f>IFERROR(__xludf.DUMMYFUNCTION("""COMPUTED_VALUE"""),"https://techcombank.com/thong-tin/blog/nen-thanh-lap-ho-kinh-doanh-ke-khai-hay-doanh-nghiep")</f>
        <v>https://techcombank.com/thong-tin/blog/nen-thanh-lap-ho-kinh-doanh-ke-khai-hay-doanh-nghiep</v>
      </c>
      <c r="BK4" s="30" t="str">
        <f>IFERROR(__xludf.DUMMYFUNCTION("""COMPUTED_VALUE"""),"nộp thuế online")</f>
        <v>nộp thuế online</v>
      </c>
      <c r="BL4" s="34" t="str">
        <f>IFERROR(__xludf.DUMMYFUNCTION("""COMPUTED_VALUE"""),"https://techcombank.com/thong-tin/blog/giai-dap-ve-thue-doanh-nghiep")</f>
        <v>https://techcombank.com/thong-tin/blog/giai-dap-ve-thue-doanh-nghiep</v>
      </c>
      <c r="BM4" s="30" t="str">
        <f>IFERROR(__xludf.DUMMYFUNCTION("""COMPUTED_VALUE"""),"nộp thuế online")</f>
        <v>nộp thuế online</v>
      </c>
      <c r="BN4" s="34" t="str">
        <f>IFERROR(__xludf.DUMMYFUNCTION("""COMPUTED_VALUE"""),"https://techcombank.com/thong-tin/blog/dong-ma-so-thue-ho-kinh-doanh")</f>
        <v>https://techcombank.com/thong-tin/blog/dong-ma-so-thue-ho-kinh-doanh</v>
      </c>
      <c r="BO4" s="30" t="str">
        <f>IFERROR(__xludf.DUMMYFUNCTION("""COMPUTED_VALUE"""),"nộp thuế online")</f>
        <v>nộp thuế online</v>
      </c>
      <c r="BP4" s="34" t="str">
        <f>IFERROR(__xludf.DUMMYFUNCTION("""COMPUTED_VALUE"""),"https://techcombank.com/thong-tin/blog/thue-phi-co-dinh-khi-chuyen-doi-tu-ho-kinh-doanh-len-doanh-nghiep")</f>
        <v>https://techcombank.com/thong-tin/blog/thue-phi-co-dinh-khi-chuyen-doi-tu-ho-kinh-doanh-len-doanh-nghiep</v>
      </c>
      <c r="BQ4" s="30" t="str">
        <f>IFERROR(__xludf.DUMMYFUNCTION("""COMPUTED_VALUE"""),"nộp thuế hộ trên etax")</f>
        <v>nộp thuế hộ trên etax</v>
      </c>
      <c r="BR4" s="34" t="str">
        <f>IFERROR(__xludf.DUMMYFUNCTION("""COMPUTED_VALUE"""),"https://techcombank.com/thong-tin/blog/ho-kinh-doanh-ca-the")</f>
        <v>https://techcombank.com/thong-tin/blog/ho-kinh-doanh-ca-the</v>
      </c>
      <c r="BS4" s="30" t="str">
        <f>IFERROR(__xludf.DUMMYFUNCTION("""COMPUTED_VALUE"""),"nộp thuế online")</f>
        <v>nộp thuế online</v>
      </c>
      <c r="BT4" s="34" t="str">
        <f>IFERROR(__xludf.DUMMYFUNCTION("""COMPUTED_VALUE"""),"https://techcombank.com/thong-tin/blog/nhung-chi-phi-khong-duoc-tru-khi-tinh-thue-tndn")</f>
        <v>https://techcombank.com/thong-tin/blog/nhung-chi-phi-khong-duoc-tru-khi-tinh-thue-tndn</v>
      </c>
      <c r="BU4" s="30" t="str">
        <f>IFERROR(__xludf.DUMMYFUNCTION("""COMPUTED_VALUE"""),"nộp thuế hộ trên etax")</f>
        <v>nộp thuế hộ trên etax</v>
      </c>
      <c r="BV4" s="34" t="str">
        <f>IFERROR(__xludf.DUMMYFUNCTION("""COMPUTED_VALUE"""),"https://techcombank.com/thong-tin/blog/hoa-don-dien-tu")</f>
        <v>https://techcombank.com/thong-tin/blog/hoa-don-dien-tu</v>
      </c>
      <c r="BW4" s="30" t="str">
        <f>IFERROR(__xludf.DUMMYFUNCTION("""COMPUTED_VALUE"""),"nộp thuế online")</f>
        <v>nộp thuế online</v>
      </c>
      <c r="BX4" s="34" t="str">
        <f>IFERROR(__xludf.DUMMYFUNCTION("""COMPUTED_VALUE"""),"https://techcombank.com/thong-tin/blog/one-stop-shop")</f>
        <v>https://techcombank.com/thong-tin/blog/one-stop-shop</v>
      </c>
      <c r="BY4" s="30" t="str">
        <f>IFERROR(__xludf.DUMMYFUNCTION("""COMPUTED_VALUE"""),"nộp thuế online")</f>
        <v>nộp thuế online</v>
      </c>
      <c r="BZ4" s="34" t="str">
        <f>IFERROR(__xludf.DUMMYFUNCTION("""COMPUTED_VALUE"""),"https://techcombank.com/thong-tin/blog/cac-sai-lam-pho-bien-khi-chuyen-doi-ho-kinh-doanh-len-sme")</f>
        <v>https://techcombank.com/thong-tin/blog/cac-sai-lam-pho-bien-khi-chuyen-doi-ho-kinh-doanh-len-sme</v>
      </c>
      <c r="CA4" s="30" t="str">
        <f>IFERROR(__xludf.DUMMYFUNCTION("""COMPUTED_VALUE"""),"nộp thuế online")</f>
        <v>nộp thuế online</v>
      </c>
      <c r="CB4" s="34" t="str">
        <f>IFERROR(__xludf.DUMMYFUNCTION("""COMPUTED_VALUE"""),"https://techcombank.com/thong-tin/blog/cach-dang-ky-ma-so-thue-ho-kinh-doanh-online")</f>
        <v>https://techcombank.com/thong-tin/blog/cach-dang-ky-ma-so-thue-ho-kinh-doanh-online</v>
      </c>
      <c r="CC4" s="30" t="str">
        <f>IFERROR(__xludf.DUMMYFUNCTION("""COMPUTED_VALUE"""),"nộp thuế online")</f>
        <v>nộp thuế online</v>
      </c>
      <c r="CD4" s="34" t="str">
        <f>IFERROR(__xludf.DUMMYFUNCTION("""COMPUTED_VALUE"""),"https://techcombank.com/thong-tin/blog/kiem-tra-ma-so-thue-doanh-nghiep")</f>
        <v>https://techcombank.com/thong-tin/blog/kiem-tra-ma-so-thue-doanh-nghiep</v>
      </c>
      <c r="CE4" s="30" t="str">
        <f>IFERROR(__xludf.DUMMYFUNCTION("""COMPUTED_VALUE"""),"nộp thuế hộ trên etax")</f>
        <v>nộp thuế hộ trên etax</v>
      </c>
      <c r="CF4" s="34" t="str">
        <f>IFERROR(__xludf.DUMMYFUNCTION("""COMPUTED_VALUE"""),"https://techcombank.com/thong-tin/blog/tra-cuu-ma-so-thue-ho-kinh-doanh")</f>
        <v>https://techcombank.com/thong-tin/blog/tra-cuu-ma-so-thue-ho-kinh-doanh</v>
      </c>
      <c r="CG4" s="30" t="str">
        <f>IFERROR(__xludf.DUMMYFUNCTION("""COMPUTED_VALUE"""),"nộp thuế online")</f>
        <v>nộp thuế online</v>
      </c>
      <c r="CH4" s="34" t="str">
        <f>IFERROR(__xludf.DUMMYFUNCTION("""COMPUTED_VALUE"""),"https://techcombank.com/thong-tin/blog/cong-ty-su-dung-tai-khoan-ca-nhan")</f>
        <v>https://techcombank.com/thong-tin/blog/cong-ty-su-dung-tai-khoan-ca-nhan</v>
      </c>
      <c r="CI4" s="30" t="str">
        <f>IFERROR(__xludf.DUMMYFUNCTION("""COMPUTED_VALUE"""),"nộp thuế online")</f>
        <v>nộp thuế online</v>
      </c>
      <c r="CJ4" s="34" t="str">
        <f>IFERROR(__xludf.DUMMYFUNCTION("""COMPUTED_VALUE"""),"https://techcombank.com/thong-tin/blog/kinh-nghiem-chuyen-doi-tu-ho-kinh-doanh-len-doanh-nghiep")</f>
        <v>https://techcombank.com/thong-tin/blog/kinh-nghiem-chuyen-doi-tu-ho-kinh-doanh-len-doanh-nghiep</v>
      </c>
      <c r="CK4" s="30" t="str">
        <f>IFERROR(__xludf.DUMMYFUNCTION("""COMPUTED_VALUE"""),"nộp thuế online")</f>
        <v>nộp thuế online</v>
      </c>
      <c r="CL4" s="34" t="str">
        <f>IFERROR(__xludf.DUMMYFUNCTION("""COMPUTED_VALUE"""),"https://techcombank.com/thong-tin/blog/top-phan-mem-ban-hang")</f>
        <v>https://techcombank.com/thong-tin/blog/top-phan-mem-ban-hang</v>
      </c>
      <c r="CM4" s="30" t="str">
        <f>IFERROR(__xludf.DUMMYFUNCTION("""COMPUTED_VALUE"""),"nộp thuế hộ trên etax")</f>
        <v>nộp thuế hộ trên etax</v>
      </c>
      <c r="CN4" s="34" t="str">
        <f>IFERROR(__xludf.DUMMYFUNCTION("""COMPUTED_VALUE"""),"https://techcombank.com/thong-tin/blog/khai-bao-tai-khoan-ngan-hang-voi-co-quan-thue")</f>
        <v>https://techcombank.com/thong-tin/blog/khai-bao-tai-khoan-ngan-hang-voi-co-quan-thue</v>
      </c>
      <c r="CO4" s="30" t="str">
        <f>IFERROR(__xludf.DUMMYFUNCTION("""COMPUTED_VALUE"""),"nộp thuế online")</f>
        <v>nộp thuế online</v>
      </c>
      <c r="CP4" s="34" t="str">
        <f>IFERROR(__xludf.DUMMYFUNCTION("""COMPUTED_VALUE"""),"https://techcombank.com/thong-tin/blog/dang-ky-thue-ho-kinh-doanh-ca-the-online")</f>
        <v>https://techcombank.com/thong-tin/blog/dang-ky-thue-ho-kinh-doanh-ca-the-online</v>
      </c>
      <c r="CQ4" s="30" t="str">
        <f>IFERROR(__xludf.DUMMYFUNCTION("""COMPUTED_VALUE"""),"nộp thuế hộ trên etax")</f>
        <v>nộp thuế hộ trên etax</v>
      </c>
      <c r="CR4" s="34" t="str">
        <f>IFERROR(__xludf.DUMMYFUNCTION("""COMPUTED_VALUE"""),"https://techcombank.com/thong-tin/blog/luat-thuong-mai-dien-tu")</f>
        <v>https://techcombank.com/thong-tin/blog/luat-thuong-mai-dien-tu</v>
      </c>
      <c r="CS4" s="30" t="str">
        <f>IFERROR(__xludf.DUMMYFUNCTION("""COMPUTED_VALUE"""),"nộp thuế hộ trên etax")</f>
        <v>nộp thuế hộ trên etax</v>
      </c>
      <c r="CT4" s="34" t="str">
        <f>IFERROR(__xludf.DUMMYFUNCTION("""COMPUTED_VALUE"""),"https://techcombank.com/thong-tin/blog/dang-ky-ma-so-thue-ca-nhan")</f>
        <v>https://techcombank.com/thong-tin/blog/dang-ky-ma-so-thue-ca-nhan</v>
      </c>
      <c r="CU4" s="30" t="str">
        <f>IFERROR(__xludf.DUMMYFUNCTION("""COMPUTED_VALUE"""),"nộp thuế hộ trên etax")</f>
        <v>nộp thuế hộ trên etax</v>
      </c>
      <c r="CV4" s="34" t="str">
        <f>IFERROR(__xludf.DUMMYFUNCTION("""COMPUTED_VALUE"""),"https://techcombank.com/thong-tin/blog/thue-khoan-ho-kinh-doanh-la-gi")</f>
        <v>https://techcombank.com/thong-tin/blog/thue-khoan-ho-kinh-doanh-la-gi</v>
      </c>
      <c r="CW4" s="30" t="str">
        <f>IFERROR(__xludf.DUMMYFUNCTION("""COMPUTED_VALUE"""),"nộp thuế online")</f>
        <v>nộp thuế online</v>
      </c>
      <c r="CX4" s="34" t="str">
        <f>IFERROR(__xludf.DUMMYFUNCTION("""COMPUTED_VALUE"""),"https://techcombank.com/thong-tin/blog/doanh-nghiep-moi-thanh-lap-duoc-uu-dai-gi")</f>
        <v>https://techcombank.com/thong-tin/blog/doanh-nghiep-moi-thanh-lap-duoc-uu-dai-gi</v>
      </c>
      <c r="CY4" s="30" t="str">
        <f>IFERROR(__xludf.DUMMYFUNCTION("""COMPUTED_VALUE"""),"nộp thuế online")</f>
        <v>nộp thuế online</v>
      </c>
      <c r="CZ4" s="34" t="str">
        <f>IFERROR(__xludf.DUMMYFUNCTION("""COMPUTED_VALUE"""),"https://techcombank.com/thong-tin/blog/phat-cham-dang-ky-thue-ho-kinh-doanh")</f>
        <v>https://techcombank.com/thong-tin/blog/phat-cham-dang-ky-thue-ho-kinh-doanh</v>
      </c>
      <c r="DA4" s="30" t="str">
        <f>IFERROR(__xludf.DUMMYFUNCTION("""COMPUTED_VALUE"""),"nộp thuế online")</f>
        <v>nộp thuế online</v>
      </c>
      <c r="DB4" s="34" t="str">
        <f>IFERROR(__xludf.DUMMYFUNCTION("""COMPUTED_VALUE"""),"https://techcombank.com/thong-tin/blog/thu-tuc-thanh-lap-doanh-nghiep")</f>
        <v>https://techcombank.com/thong-tin/blog/thu-tuc-thanh-lap-doanh-nghiep</v>
      </c>
      <c r="DC4" s="30" t="str">
        <f>IFERROR(__xludf.DUMMYFUNCTION("""COMPUTED_VALUE"""),"nộp thuế hộ trên etax")</f>
        <v>nộp thuế hộ trên etax</v>
      </c>
      <c r="DD4" s="34" t="str">
        <f>IFERROR(__xludf.DUMMYFUNCTION("""COMPUTED_VALUE"""),"https://techcombank.com/thong-tin/blog/nhung-ho-kinh-doanh-duoc-mien-thue")</f>
        <v>https://techcombank.com/thong-tin/blog/nhung-ho-kinh-doanh-duoc-mien-thue</v>
      </c>
      <c r="DE4" s="30" t="str">
        <f>IFERROR(__xludf.DUMMYFUNCTION("""COMPUTED_VALUE"""),"nộp thuế online")</f>
        <v>nộp thuế online</v>
      </c>
      <c r="DF4" s="34" t="str">
        <f>IFERROR(__xludf.DUMMYFUNCTION("""COMPUTED_VALUE"""),"https://techcombank.com/thong-tin/blog/thue-doanh-nghiep-2025")</f>
        <v>https://techcombank.com/thong-tin/blog/thue-doanh-nghiep-2025</v>
      </c>
      <c r="DG4" s="30" t="str">
        <f>IFERROR(__xludf.DUMMYFUNCTION("""COMPUTED_VALUE"""),"nộp thuế hộ trên etax")</f>
        <v>nộp thuế hộ trên etax</v>
      </c>
      <c r="DH4" s="34" t="str">
        <f>IFERROR(__xludf.DUMMYFUNCTION("""COMPUTED_VALUE"""),"https://techcombank.com/thong-tin/blog/khoi-nghiep-truoc-chinh-sach-thue-moi")</f>
        <v>https://techcombank.com/thong-tin/blog/khoi-nghiep-truoc-chinh-sach-thue-moi</v>
      </c>
      <c r="DI4" s="30"/>
      <c r="DJ4" s="30"/>
      <c r="DK4" s="30"/>
      <c r="DL4" s="30"/>
      <c r="DM4" s="30"/>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0"/>
      <c r="FT4" s="30"/>
      <c r="FU4" s="30"/>
      <c r="FV4" s="30"/>
      <c r="FW4" s="30"/>
      <c r="FX4" s="30"/>
      <c r="FY4" s="30"/>
      <c r="FZ4" s="30"/>
      <c r="GA4" s="30"/>
      <c r="GB4" s="30"/>
      <c r="GC4" s="30"/>
      <c r="GD4" s="30"/>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30"/>
      <c r="IK4" s="30"/>
      <c r="IL4" s="30"/>
      <c r="IM4" s="30"/>
      <c r="IN4" s="30"/>
      <c r="IO4" s="30"/>
      <c r="IP4" s="30"/>
      <c r="IQ4" s="30"/>
      <c r="IR4" s="30"/>
      <c r="IS4" s="30"/>
      <c r="IT4" s="30"/>
      <c r="IU4" s="30"/>
      <c r="IV4" s="30"/>
      <c r="IW4" s="30"/>
      <c r="IX4" s="30"/>
      <c r="IY4" s="30"/>
      <c r="IZ4" s="30"/>
      <c r="JA4" s="30"/>
      <c r="JB4" s="30"/>
      <c r="JC4" s="30"/>
      <c r="JD4" s="30"/>
      <c r="JE4" s="30"/>
      <c r="JF4" s="30"/>
      <c r="JG4" s="30"/>
      <c r="JH4" s="30"/>
      <c r="JI4" s="30"/>
      <c r="JJ4" s="30"/>
      <c r="JK4" s="30"/>
      <c r="JL4" s="30"/>
      <c r="JM4" s="30"/>
      <c r="JN4" s="30"/>
      <c r="JO4" s="30"/>
      <c r="JP4" s="30"/>
      <c r="JQ4" s="30"/>
      <c r="JR4" s="30"/>
      <c r="JS4" s="30"/>
      <c r="JT4" s="30"/>
      <c r="JU4" s="30"/>
      <c r="JV4" s="30"/>
      <c r="JW4" s="30"/>
      <c r="JX4" s="30"/>
      <c r="JY4" s="30"/>
      <c r="JZ4" s="30"/>
      <c r="KA4" s="30"/>
      <c r="KB4" s="30"/>
      <c r="KC4" s="30"/>
      <c r="KD4" s="30"/>
      <c r="KE4" s="30"/>
      <c r="KF4" s="30"/>
      <c r="KG4" s="30"/>
      <c r="KH4" s="30"/>
      <c r="KI4" s="30"/>
      <c r="KJ4" s="30"/>
      <c r="KK4" s="30"/>
      <c r="KL4" s="30"/>
      <c r="KM4" s="30"/>
      <c r="KN4" s="30"/>
      <c r="KO4" s="30"/>
      <c r="KP4" s="30"/>
      <c r="KQ4" s="30"/>
      <c r="KR4" s="30"/>
      <c r="KS4" s="30"/>
      <c r="KT4" s="30"/>
      <c r="KU4" s="30"/>
      <c r="KV4" s="30"/>
      <c r="KW4" s="30"/>
      <c r="KX4" s="30"/>
      <c r="KY4" s="30"/>
      <c r="KZ4" s="30"/>
      <c r="LA4" s="30"/>
      <c r="LB4" s="30"/>
      <c r="LC4" s="30"/>
      <c r="LD4" s="30"/>
      <c r="LE4" s="30"/>
      <c r="LF4" s="30"/>
      <c r="LG4" s="30"/>
      <c r="LH4" s="30"/>
      <c r="LI4" s="30"/>
      <c r="LJ4" s="30"/>
      <c r="LK4" s="30"/>
      <c r="LL4" s="30"/>
      <c r="LM4" s="30"/>
      <c r="LN4" s="30"/>
      <c r="LO4" s="30"/>
      <c r="LP4" s="30"/>
      <c r="LQ4" s="30"/>
      <c r="LR4" s="30"/>
      <c r="LS4" s="30"/>
      <c r="LT4" s="30"/>
      <c r="LU4" s="30"/>
      <c r="LV4" s="30"/>
      <c r="LW4" s="30"/>
      <c r="LX4" s="30"/>
      <c r="LY4" s="30"/>
      <c r="LZ4" s="30"/>
      <c r="MA4" s="30"/>
      <c r="MB4" s="30"/>
      <c r="MC4" s="30"/>
      <c r="MD4" s="30"/>
      <c r="ME4" s="30"/>
      <c r="MF4" s="30"/>
      <c r="MG4" s="30"/>
      <c r="MH4" s="30"/>
      <c r="MI4" s="30"/>
      <c r="MJ4" s="30"/>
      <c r="MK4" s="30"/>
      <c r="ML4" s="30"/>
      <c r="MM4" s="30"/>
      <c r="MN4" s="30"/>
      <c r="MO4" s="30"/>
      <c r="MP4" s="30"/>
      <c r="MQ4" s="30"/>
      <c r="MR4" s="30"/>
      <c r="MS4" s="30"/>
      <c r="MT4" s="30"/>
      <c r="MU4" s="30"/>
      <c r="MV4" s="30"/>
      <c r="MW4" s="30"/>
      <c r="MX4" s="30"/>
      <c r="MY4" s="30"/>
      <c r="MZ4" s="30"/>
      <c r="NA4" s="30"/>
      <c r="NB4" s="30"/>
      <c r="NC4" s="30"/>
      <c r="ND4" s="30"/>
      <c r="NE4" s="30"/>
      <c r="NF4" s="30"/>
      <c r="NG4" s="30"/>
      <c r="NH4" s="30"/>
      <c r="NI4" s="30"/>
      <c r="NJ4" s="30"/>
      <c r="NK4" s="30"/>
      <c r="NL4" s="30"/>
      <c r="NM4" s="30"/>
      <c r="NN4" s="30"/>
      <c r="NO4" s="30"/>
      <c r="NP4" s="30"/>
      <c r="NQ4" s="30"/>
      <c r="NR4" s="30"/>
      <c r="NS4" s="30"/>
      <c r="NT4" s="30"/>
      <c r="NU4" s="30"/>
      <c r="NV4" s="30"/>
      <c r="NW4" s="30"/>
      <c r="NX4" s="30"/>
      <c r="NY4" s="30"/>
      <c r="NZ4" s="30"/>
      <c r="OA4" s="30"/>
      <c r="OB4" s="30"/>
      <c r="OC4" s="30"/>
      <c r="OD4" s="30"/>
      <c r="OE4" s="30"/>
      <c r="OF4" s="30"/>
      <c r="OG4" s="30"/>
      <c r="OH4" s="30"/>
      <c r="OI4" s="30"/>
      <c r="OJ4" s="30"/>
      <c r="OK4" s="30"/>
      <c r="OL4" s="30"/>
      <c r="OM4" s="30"/>
      <c r="ON4" s="30"/>
      <c r="OO4" s="30"/>
      <c r="OP4" s="30"/>
      <c r="OQ4" s="30"/>
      <c r="OR4" s="30"/>
      <c r="OS4" s="30"/>
      <c r="OT4" s="30"/>
      <c r="OU4" s="30"/>
      <c r="OV4" s="30"/>
    </row>
    <row r="5" ht="18.0" customHeight="1">
      <c r="A5" s="29">
        <v>4.0</v>
      </c>
      <c r="B5" s="30" t="s">
        <v>487</v>
      </c>
      <c r="C5" s="31" t="s">
        <v>829</v>
      </c>
      <c r="D5" s="30" t="s">
        <v>270</v>
      </c>
      <c r="E5" s="29">
        <v>50.0</v>
      </c>
      <c r="F5" s="29">
        <f>COUNTIF('Tổng hợp 75 trang đích'!$B$2:$B$3400,$D5)</f>
        <v>50</v>
      </c>
      <c r="G5" s="29">
        <f>COUNTIFS('Tổng hợp 75 trang đích'!$B$2:$B$3400,$D5,'Tổng hợp 75 trang đích'!$K$2:$K$3400,"PHÙ HỢP CAO")</f>
        <v>3</v>
      </c>
      <c r="H5" s="29">
        <f>COUNTIFS('Tổng hợp 75 trang đích'!$B$2:$B$3400,$D5,'Tổng hợp 75 trang đích'!$K$2:$K$3400,"CÓ THỂ ĐI")</f>
        <v>9</v>
      </c>
      <c r="I5" s="29">
        <f>COUNTIFS('Tổng hợp 75 trang đích'!$B$2:$B$3400,$D5,'Tổng hợp 75 trang đích'!$K$2:$K$3400,"CẦN SOÁT")</f>
        <v>38</v>
      </c>
      <c r="J5" s="32" t="s">
        <v>714</v>
      </c>
      <c r="K5" s="32" t="b">
        <v>0</v>
      </c>
      <c r="L5" s="33" t="s">
        <v>52</v>
      </c>
      <c r="M5" s="30" t="str">
        <f>IFERROR(__xludf.DUMMYFUNCTION("IFERROR(TOROW(CHOOSECOLS(SORT(FILTER({'Tổng hợp 75 trang đích'!$J$2:$J$3400,'Tổng hợp 75 trang đích'!$I$2:$I$3400,MATCH('Tổng hợp 75 trang đích'!$K$2:$K$3400,{""PHÙ HỢP CAO"",""CÓ THỂ ĐI"",""CẦN SOÁT""},0)},'Tổng hợp 75 trang đích'!$B$2:$B$3400=$D5),3,TRU"&amp;"E),1,2)),"""")"),"thuế thu nhập doanh nghiệp")</f>
        <v>thuế thu nhập doanh nghiệp</v>
      </c>
      <c r="N5" s="34" t="str">
        <f>IFERROR(__xludf.DUMMYFUNCTION("""COMPUTED_VALUE"""),"https://techcombank.com/thong-tin/blog/nhung-chi-phi-khong-duoc-tru-khi-tinh-thue-tndn")</f>
        <v>https://techcombank.com/thong-tin/blog/nhung-chi-phi-khong-duoc-tru-khi-tinh-thue-tndn</v>
      </c>
      <c r="O5" s="30" t="str">
        <f>IFERROR(__xludf.DUMMYFUNCTION("""COMPUTED_VALUE"""),"thuế thu nhập doanh nghiệp")</f>
        <v>thuế thu nhập doanh nghiệp</v>
      </c>
      <c r="P5" s="34" t="str">
        <f>IFERROR(__xludf.DUMMYFUNCTION("""COMPUTED_VALUE"""),"https://techcombank.com/thong-tin/blog/quyet-toan-thue-doanh-nghiep")</f>
        <v>https://techcombank.com/thong-tin/blog/quyet-toan-thue-doanh-nghiep</v>
      </c>
      <c r="Q5" s="30" t="str">
        <f>IFERROR(__xludf.DUMMYFUNCTION("""COMPUTED_VALUE"""),"thuế thu nhập doanh nghiệp")</f>
        <v>thuế thu nhập doanh nghiệp</v>
      </c>
      <c r="R5" s="34" t="str">
        <f>IFERROR(__xludf.DUMMYFUNCTION("""COMPUTED_VALUE"""),"https://techcombank.com/thong-tin/blog/doanh-nghiep-moi-thanh-lap-duoc-uu-dai-gi")</f>
        <v>https://techcombank.com/thong-tin/blog/doanh-nghiep-moi-thanh-lap-duoc-uu-dai-gi</v>
      </c>
      <c r="S5" s="30" t="str">
        <f>IFERROR(__xludf.DUMMYFUNCTION("""COMPUTED_VALUE"""),"thuế thu nhập doanh nghiệp")</f>
        <v>thuế thu nhập doanh nghiệp</v>
      </c>
      <c r="T5" s="34" t="str">
        <f>IFERROR(__xludf.DUMMYFUNCTION("""COMPUTED_VALUE"""),"https://techcombank.com/thong-tin/blog/loi-nhuan")</f>
        <v>https://techcombank.com/thong-tin/blog/loi-nhuan</v>
      </c>
      <c r="U5" s="30" t="str">
        <f>IFERROR(__xludf.DUMMYFUNCTION("""COMPUTED_VALUE"""),"thuế thu nhập doanh nghiệp")</f>
        <v>thuế thu nhập doanh nghiệp</v>
      </c>
      <c r="V5" s="34" t="str">
        <f>IFERROR(__xludf.DUMMYFUNCTION("""COMPUTED_VALUE"""),"https://techcombank.com/thong-tin/blog/hoan-thue-doanh-nghiep")</f>
        <v>https://techcombank.com/thong-tin/blog/hoan-thue-doanh-nghiep</v>
      </c>
      <c r="W5" s="30" t="str">
        <f>IFERROR(__xludf.DUMMYFUNCTION("""COMPUTED_VALUE"""),"thuế thu nhập doanh nghiệp")</f>
        <v>thuế thu nhập doanh nghiệp</v>
      </c>
      <c r="X5" s="34" t="str">
        <f>IFERROR(__xludf.DUMMYFUNCTION("""COMPUTED_VALUE"""),"https://techcombank.com/thong-tin/blog/tra-luong-tien-mat")</f>
        <v>https://techcombank.com/thong-tin/blog/tra-luong-tien-mat</v>
      </c>
      <c r="Y5" s="30" t="str">
        <f>IFERROR(__xludf.DUMMYFUNCTION("""COMPUTED_VALUE"""),"thuế thu nhập doanh nghiệp")</f>
        <v>thuế thu nhập doanh nghiệp</v>
      </c>
      <c r="Z5" s="34" t="str">
        <f>IFERROR(__xludf.DUMMYFUNCTION("""COMPUTED_VALUE"""),"https://techcombank.com/thong-tin/blog/ebitda-la-gi")</f>
        <v>https://techcombank.com/thong-tin/blog/ebitda-la-gi</v>
      </c>
      <c r="AA5" s="30" t="str">
        <f>IFERROR(__xludf.DUMMYFUNCTION("""COMPUTED_VALUE"""),"thuế thu nhập doanh nghiệp")</f>
        <v>thuế thu nhập doanh nghiệp</v>
      </c>
      <c r="AB5" s="34" t="str">
        <f>IFERROR(__xludf.DUMMYFUNCTION("""COMPUTED_VALUE"""),"https://techcombank.com/thong-tin/blog/luu-y-khi-chuyen-doi-tu-ho-kinh-doanh-len-doanh-nghiep")</f>
        <v>https://techcombank.com/thong-tin/blog/luu-y-khi-chuyen-doi-tu-ho-kinh-doanh-len-doanh-nghiep</v>
      </c>
      <c r="AC5" s="30" t="str">
        <f>IFERROR(__xludf.DUMMYFUNCTION("""COMPUTED_VALUE"""),"thuế thu nhập doanh nghiệp")</f>
        <v>thuế thu nhập doanh nghiệp</v>
      </c>
      <c r="AD5" s="34" t="str">
        <f>IFERROR(__xludf.DUMMYFUNCTION("""COMPUTED_VALUE"""),"https://techcombank.com/thong-tin/blog/tiem-nang-chuyen-doi-tu-ho-kinh-doanh-len-doanh-nghiep-sme")</f>
        <v>https://techcombank.com/thong-tin/blog/tiem-nang-chuyen-doi-tu-ho-kinh-doanh-len-doanh-nghiep-sme</v>
      </c>
      <c r="AE5" s="30" t="str">
        <f>IFERROR(__xludf.DUMMYFUNCTION("""COMPUTED_VALUE"""),"thuế thu nhập doanh nghiệp")</f>
        <v>thuế thu nhập doanh nghiệp</v>
      </c>
      <c r="AF5" s="34" t="str">
        <f>IFERROR(__xludf.DUMMYFUNCTION("""COMPUTED_VALUE"""),"https://techcombank.com/thong-tin/blog/wacc-la-gi")</f>
        <v>https://techcombank.com/thong-tin/blog/wacc-la-gi</v>
      </c>
      <c r="AG5" s="30" t="str">
        <f>IFERROR(__xludf.DUMMYFUNCTION("""COMPUTED_VALUE"""),"thuế thu nhập doanh nghiệp")</f>
        <v>thuế thu nhập doanh nghiệp</v>
      </c>
      <c r="AH5" s="34" t="str">
        <f>IFERROR(__xludf.DUMMYFUNCTION("""COMPUTED_VALUE"""),"https://techcombank.com/thong-tin/blog/cach-su-dung-tai-khoan-cong-ty")</f>
        <v>https://techcombank.com/thong-tin/blog/cach-su-dung-tai-khoan-cong-ty</v>
      </c>
      <c r="AI5" s="30" t="str">
        <f>IFERROR(__xludf.DUMMYFUNCTION("""COMPUTED_VALUE"""),"thuế thu nhập doanh nghiệp")</f>
        <v>thuế thu nhập doanh nghiệp</v>
      </c>
      <c r="AJ5" s="34" t="str">
        <f>IFERROR(__xludf.DUMMYFUNCTION("""COMPUTED_VALUE"""),"https://techcombank.com/thong-tin/blog/khau-hao")</f>
        <v>https://techcombank.com/thong-tin/blog/khau-hao</v>
      </c>
      <c r="AK5" s="30" t="str">
        <f>IFERROR(__xludf.DUMMYFUNCTION("""COMPUTED_VALUE"""),"thuế thu nhập doanh nghiệp")</f>
        <v>thuế thu nhập doanh nghiệp</v>
      </c>
      <c r="AL5" s="34" t="str">
        <f>IFERROR(__xludf.DUMMYFUNCTION("""COMPUTED_VALUE"""),"https://techcombank.com/thong-tin/blog/cach-tinh-thue-thu-nhap-doanh-nghiep")</f>
        <v>https://techcombank.com/thong-tin/blog/cach-tinh-thue-thu-nhap-doanh-nghiep</v>
      </c>
      <c r="AM5" s="30" t="str">
        <f>IFERROR(__xludf.DUMMYFUNCTION("""COMPUTED_VALUE"""),"thuế thu nhập doanh nghiệp")</f>
        <v>thuế thu nhập doanh nghiệp</v>
      </c>
      <c r="AN5" s="34" t="str">
        <f>IFERROR(__xludf.DUMMYFUNCTION("""COMPUTED_VALUE"""),"https://techcombank.com/thong-tin/blog/giai-dap-ve-thue-doanh-nghiep")</f>
        <v>https://techcombank.com/thong-tin/blog/giai-dap-ve-thue-doanh-nghiep</v>
      </c>
      <c r="AO5" s="30" t="str">
        <f>IFERROR(__xludf.DUMMYFUNCTION("""COMPUTED_VALUE"""),"thuế thu nhập doanh nghiệp")</f>
        <v>thuế thu nhập doanh nghiệp</v>
      </c>
      <c r="AP5" s="34" t="str">
        <f>IFERROR(__xludf.DUMMYFUNCTION("""COMPUTED_VALUE"""),"https://techcombank.com/thong-tin/blog/loi-nhuan-rong")</f>
        <v>https://techcombank.com/thong-tin/blog/loi-nhuan-rong</v>
      </c>
      <c r="AQ5" s="30" t="str">
        <f>IFERROR(__xludf.DUMMYFUNCTION("""COMPUTED_VALUE"""),"thuế thu nhập doanh nghiệp")</f>
        <v>thuế thu nhập doanh nghiệp</v>
      </c>
      <c r="AR5" s="34" t="str">
        <f>IFERROR(__xludf.DUMMYFUNCTION("""COMPUTED_VALUE"""),"https://techcombank.com/thong-tin/blog/kiem-tra-ma-so-thue-doanh-nghiep")</f>
        <v>https://techcombank.com/thong-tin/blog/kiem-tra-ma-so-thue-doanh-nghiep</v>
      </c>
      <c r="AS5" s="30" t="str">
        <f>IFERROR(__xludf.DUMMYFUNCTION("""COMPUTED_VALUE"""),"thuế thu nhập doanh nghiệp")</f>
        <v>thuế thu nhập doanh nghiệp</v>
      </c>
      <c r="AT5" s="34" t="str">
        <f>IFERROR(__xludf.DUMMYFUNCTION("""COMPUTED_VALUE"""),"https://techcombank.com/thong-tin/blog/thue-doanh-nghiep")</f>
        <v>https://techcombank.com/thong-tin/blog/thue-doanh-nghiep</v>
      </c>
      <c r="AU5" s="30" t="str">
        <f>IFERROR(__xludf.DUMMYFUNCTION("""COMPUTED_VALUE"""),"thuế thu nhập doanh nghiệp")</f>
        <v>thuế thu nhập doanh nghiệp</v>
      </c>
      <c r="AV5" s="34" t="str">
        <f>IFERROR(__xludf.DUMMYFUNCTION("""COMPUTED_VALUE"""),"https://techcombank.com/thong-tin/blog/tim-hieu-ve-chinh-sach-thue-moi")</f>
        <v>https://techcombank.com/thong-tin/blog/tim-hieu-ve-chinh-sach-thue-moi</v>
      </c>
      <c r="AW5" s="30" t="str">
        <f>IFERROR(__xludf.DUMMYFUNCTION("""COMPUTED_VALUE"""),"thuế thu nhập doanh nghiệp")</f>
        <v>thuế thu nhập doanh nghiệp</v>
      </c>
      <c r="AX5" s="34" t="str">
        <f>IFERROR(__xludf.DUMMYFUNCTION("""COMPUTED_VALUE"""),"https://techcombank.com/thong-tin/blog/ke-khai-thue-doanh-nghiep")</f>
        <v>https://techcombank.com/thong-tin/blog/ke-khai-thue-doanh-nghiep</v>
      </c>
      <c r="AY5" s="30" t="str">
        <f>IFERROR(__xludf.DUMMYFUNCTION("""COMPUTED_VALUE"""),"thuế thu nhập doanh nghiệp")</f>
        <v>thuế thu nhập doanh nghiệp</v>
      </c>
      <c r="AZ5" s="34" t="str">
        <f>IFERROR(__xludf.DUMMYFUNCTION("""COMPUTED_VALUE"""),"https://techcombank.com/thong-tin/blog/tra-cuu-no-thue-doanh-nghiep")</f>
        <v>https://techcombank.com/thong-tin/blog/tra-cuu-no-thue-doanh-nghiep</v>
      </c>
      <c r="BA5" s="30" t="str">
        <f>IFERROR(__xludf.DUMMYFUNCTION("""COMPUTED_VALUE"""),"thuế thu nhập doanh nghiệp")</f>
        <v>thuế thu nhập doanh nghiệp</v>
      </c>
      <c r="BB5" s="34" t="str">
        <f>IFERROR(__xludf.DUMMYFUNCTION("""COMPUTED_VALUE"""),"https://techcombank.com/thong-tin/blog/quan-ly-tai-chinh-doanh-nghiep-la-gi")</f>
        <v>https://techcombank.com/thong-tin/blog/quan-ly-tai-chinh-doanh-nghiep-la-gi</v>
      </c>
      <c r="BC5" s="30" t="str">
        <f>IFERROR(__xludf.DUMMYFUNCTION("""COMPUTED_VALUE"""),"thuế thu nhập doanh nghiệp")</f>
        <v>thuế thu nhập doanh nghiệp</v>
      </c>
      <c r="BD5" s="34" t="str">
        <f>IFERROR(__xludf.DUMMYFUNCTION("""COMPUTED_VALUE"""),"https://techcombank.com/thong-tin/blog/gia-chung-chi-quy-la-gi")</f>
        <v>https://techcombank.com/thong-tin/blog/gia-chung-chi-quy-la-gi</v>
      </c>
      <c r="BE5" s="30" t="str">
        <f>IFERROR(__xludf.DUMMYFUNCTION("""COMPUTED_VALUE"""),"thuế thu nhập doanh nghiệp")</f>
        <v>thuế thu nhập doanh nghiệp</v>
      </c>
      <c r="BF5" s="34" t="str">
        <f>IFERROR(__xludf.DUMMYFUNCTION("""COMPUTED_VALUE"""),"https://techcombank.com/thong-tin/blog/lai-suat-chung-chi-quy")</f>
        <v>https://techcombank.com/thong-tin/blog/lai-suat-chung-chi-quy</v>
      </c>
      <c r="BG5" s="30" t="str">
        <f>IFERROR(__xludf.DUMMYFUNCTION("""COMPUTED_VALUE"""),"thuế thu nhập doanh nghiệp")</f>
        <v>thuế thu nhập doanh nghiệp</v>
      </c>
      <c r="BH5" s="34" t="str">
        <f>IFERROR(__xludf.DUMMYFUNCTION("""COMPUTED_VALUE"""),"https://techcombank.com/thong-tin/blog/khoi-nghiep-truoc-chinh-sach-thue-moi")</f>
        <v>https://techcombank.com/thong-tin/blog/khoi-nghiep-truoc-chinh-sach-thue-moi</v>
      </c>
      <c r="BI5" s="30" t="str">
        <f>IFERROR(__xludf.DUMMYFUNCTION("""COMPUTED_VALUE"""),"thuế thu nhập doanh nghiệp")</f>
        <v>thuế thu nhập doanh nghiệp</v>
      </c>
      <c r="BJ5" s="34" t="str">
        <f>IFERROR(__xludf.DUMMYFUNCTION("""COMPUTED_VALUE"""),"https://techcombank.com/thong-tin/blog/roa")</f>
        <v>https://techcombank.com/thong-tin/blog/roa</v>
      </c>
      <c r="BK5" s="30" t="str">
        <f>IFERROR(__xludf.DUMMYFUNCTION("""COMPUTED_VALUE"""),"thuế thu nhập doanh nghiệp 2026")</f>
        <v>thuế thu nhập doanh nghiệp 2026</v>
      </c>
      <c r="BL5" s="34" t="str">
        <f>IFERROR(__xludf.DUMMYFUNCTION("""COMPUTED_VALUE"""),"https://techcombank.com/thong-tin/blog/nhung-ho-kinh-doanh-duoc-mien-thue")</f>
        <v>https://techcombank.com/thong-tin/blog/nhung-ho-kinh-doanh-duoc-mien-thue</v>
      </c>
      <c r="BM5" s="30" t="str">
        <f>IFERROR(__xludf.DUMMYFUNCTION("""COMPUTED_VALUE"""),"thuế thu nhập doanh nghiệp")</f>
        <v>thuế thu nhập doanh nghiệp</v>
      </c>
      <c r="BN5" s="34" t="str">
        <f>IFERROR(__xludf.DUMMYFUNCTION("""COMPUTED_VALUE"""),"https://techcombank.com/thong-tin/blog/toi-uu-hoa-chi-phi-trong-doanh-nghiep")</f>
        <v>https://techcombank.com/thong-tin/blog/toi-uu-hoa-chi-phi-trong-doanh-nghiep</v>
      </c>
      <c r="BO5" s="30" t="str">
        <f>IFERROR(__xludf.DUMMYFUNCTION("""COMPUTED_VALUE"""),"thuế thu nhập doanh nghiệp 2026")</f>
        <v>thuế thu nhập doanh nghiệp 2026</v>
      </c>
      <c r="BP5" s="34" t="str">
        <f>IFERROR(__xludf.DUMMYFUNCTION("""COMPUTED_VALUE"""),"https://techcombank.com/thong-tin/blog/ho-kinh-doanh-dong-thue-nhu-nao")</f>
        <v>https://techcombank.com/thong-tin/blog/ho-kinh-doanh-dong-thue-nhu-nao</v>
      </c>
      <c r="BQ5" s="30" t="str">
        <f>IFERROR(__xludf.DUMMYFUNCTION("""COMPUTED_VALUE"""),"thuế thu nhập doanh nghiệp 2026")</f>
        <v>thuế thu nhập doanh nghiệp 2026</v>
      </c>
      <c r="BR5" s="34" t="str">
        <f>IFERROR(__xludf.DUMMYFUNCTION("""COMPUTED_VALUE"""),"https://techcombank.com/thong-tin/blog/cach-nop-thue-dien-tu")</f>
        <v>https://techcombank.com/thong-tin/blog/cach-nop-thue-dien-tu</v>
      </c>
      <c r="BS5" s="30" t="str">
        <f>IFERROR(__xludf.DUMMYFUNCTION("""COMPUTED_VALUE"""),"thuế thu nhập doanh nghiệp")</f>
        <v>thuế thu nhập doanh nghiệp</v>
      </c>
      <c r="BT5" s="34" t="str">
        <f>IFERROR(__xludf.DUMMYFUNCTION("""COMPUTED_VALUE"""),"https://techcombank.com/thong-tin/blog/chuyen-doi-ho-kinh-doanh-len-doanh-nghiep")</f>
        <v>https://techcombank.com/thong-tin/blog/chuyen-doi-ho-kinh-doanh-len-doanh-nghiep</v>
      </c>
      <c r="BU5" s="30" t="str">
        <f>IFERROR(__xludf.DUMMYFUNCTION("""COMPUTED_VALUE"""),"thuế thu nhập doanh nghiệp")</f>
        <v>thuế thu nhập doanh nghiệp</v>
      </c>
      <c r="BV5" s="34" t="str">
        <f>IFERROR(__xludf.DUMMYFUNCTION("""COMPUTED_VALUE"""),"https://techcombank.com/thong-tin/blog/nen-thanh-lap-ho-kinh-doanh-ke-khai-hay-doanh-nghiep")</f>
        <v>https://techcombank.com/thong-tin/blog/nen-thanh-lap-ho-kinh-doanh-ke-khai-hay-doanh-nghiep</v>
      </c>
      <c r="BW5" s="30" t="str">
        <f>IFERROR(__xludf.DUMMYFUNCTION("""COMPUTED_VALUE"""),"thuế thu nhập doanh nghiệp")</f>
        <v>thuế thu nhập doanh nghiệp</v>
      </c>
      <c r="BX5" s="34" t="str">
        <f>IFERROR(__xludf.DUMMYFUNCTION("""COMPUTED_VALUE"""),"https://techcombank.com/thong-tin/blog/thue-phi-co-dinh-khi-chuyen-doi-tu-ho-kinh-doanh-len-doanh-nghiep")</f>
        <v>https://techcombank.com/thong-tin/blog/thue-phi-co-dinh-khi-chuyen-doi-tu-ho-kinh-doanh-len-doanh-nghiep</v>
      </c>
      <c r="BY5" s="30" t="str">
        <f>IFERROR(__xludf.DUMMYFUNCTION("""COMPUTED_VALUE"""),"thuế thu nhập doanh nghiệp")</f>
        <v>thuế thu nhập doanh nghiệp</v>
      </c>
      <c r="BZ5" s="34" t="str">
        <f>IFERROR(__xludf.DUMMYFUNCTION("""COMPUTED_VALUE"""),"https://techcombank.com/thong-tin/blog/ho-kinh-doanh-ca-the")</f>
        <v>https://techcombank.com/thong-tin/blog/ho-kinh-doanh-ca-the</v>
      </c>
      <c r="CA5" s="30" t="str">
        <f>IFERROR(__xludf.DUMMYFUNCTION("""COMPUTED_VALUE"""),"thuế thu nhập doanh nghiệp")</f>
        <v>thuế thu nhập doanh nghiệp</v>
      </c>
      <c r="CB5" s="34" t="str">
        <f>IFERROR(__xludf.DUMMYFUNCTION("""COMPUTED_VALUE"""),"https://techcombank.com/thong-tin/blog/tra-cuu-no-thue-hai-quan")</f>
        <v>https://techcombank.com/thong-tin/blog/tra-cuu-no-thue-hai-quan</v>
      </c>
      <c r="CC5" s="30" t="str">
        <f>IFERROR(__xludf.DUMMYFUNCTION("""COMPUTED_VALUE"""),"thuế thu nhập doanh nghiệp")</f>
        <v>thuế thu nhập doanh nghiệp</v>
      </c>
      <c r="CD5" s="34" t="str">
        <f>IFERROR(__xludf.DUMMYFUNCTION("""COMPUTED_VALUE"""),"https://techcombank.com/thong-tin/blog/cac-sai-lam-pho-bien-khi-chuyen-doi-ho-kinh-doanh-len-sme")</f>
        <v>https://techcombank.com/thong-tin/blog/cac-sai-lam-pho-bien-khi-chuyen-doi-ho-kinh-doanh-len-sme</v>
      </c>
      <c r="CE5" s="30" t="str">
        <f>IFERROR(__xludf.DUMMYFUNCTION("""COMPUTED_VALUE"""),"thuế thu nhập doanh nghiệp")</f>
        <v>thuế thu nhập doanh nghiệp</v>
      </c>
      <c r="CF5" s="34" t="str">
        <f>IFERROR(__xludf.DUMMYFUNCTION("""COMPUTED_VALUE"""),"https://techcombank.com/thong-tin/blog/cong-ty-su-dung-tai-khoan-ca-nhan")</f>
        <v>https://techcombank.com/thong-tin/blog/cong-ty-su-dung-tai-khoan-ca-nhan</v>
      </c>
      <c r="CG5" s="30" t="str">
        <f>IFERROR(__xludf.DUMMYFUNCTION("""COMPUTED_VALUE"""),"thuế thu nhập doanh nghiệp")</f>
        <v>thuế thu nhập doanh nghiệp</v>
      </c>
      <c r="CH5" s="34" t="str">
        <f>IFERROR(__xludf.DUMMYFUNCTION("""COMPUTED_VALUE"""),"https://techcombank.com/thong-tin/blog/kinh-nghiem-chuyen-doi-tu-ho-kinh-doanh-len-doanh-nghiep")</f>
        <v>https://techcombank.com/thong-tin/blog/kinh-nghiem-chuyen-doi-tu-ho-kinh-doanh-len-doanh-nghiep</v>
      </c>
      <c r="CI5" s="30" t="str">
        <f>IFERROR(__xludf.DUMMYFUNCTION("""COMPUTED_VALUE"""),"thuế thu nhập doanh nghiệp")</f>
        <v>thuế thu nhập doanh nghiệp</v>
      </c>
      <c r="CJ5" s="34" t="str">
        <f>IFERROR(__xludf.DUMMYFUNCTION("""COMPUTED_VALUE"""),"https://techcombank.com/thong-tin/blog/top-phan-mem-ban-hang")</f>
        <v>https://techcombank.com/thong-tin/blog/top-phan-mem-ban-hang</v>
      </c>
      <c r="CK5" s="30" t="str">
        <f>IFERROR(__xludf.DUMMYFUNCTION("""COMPUTED_VALUE"""),"thuế thu nhập doanh nghiệp")</f>
        <v>thuế thu nhập doanh nghiệp</v>
      </c>
      <c r="CL5" s="34" t="str">
        <f>IFERROR(__xludf.DUMMYFUNCTION("""COMPUTED_VALUE"""),"https://techcombank.com/thong-tin/blog/dong-tai-khoan-ngan-hang-cong-ty")</f>
        <v>https://techcombank.com/thong-tin/blog/dong-tai-khoan-ngan-hang-cong-ty</v>
      </c>
      <c r="CM5" s="30" t="str">
        <f>IFERROR(__xludf.DUMMYFUNCTION("""COMPUTED_VALUE"""),"thuế thu nhập doanh nghiệp")</f>
        <v>thuế thu nhập doanh nghiệp</v>
      </c>
      <c r="CN5" s="34" t="str">
        <f>IFERROR(__xludf.DUMMYFUNCTION("""COMPUTED_VALUE"""),"https://techcombank.com/thong-tin/blog/dieu-kien-thanh-lap-doanh-nghiep")</f>
        <v>https://techcombank.com/thong-tin/blog/dieu-kien-thanh-lap-doanh-nghiep</v>
      </c>
      <c r="CO5" s="30" t="str">
        <f>IFERROR(__xludf.DUMMYFUNCTION("""COMPUTED_VALUE"""),"thuế thu nhập doanh nghiệp")</f>
        <v>thuế thu nhập doanh nghiệp</v>
      </c>
      <c r="CP5" s="34" t="str">
        <f>IFERROR(__xludf.DUMMYFUNCTION("""COMPUTED_VALUE"""),"https://techcombank.com/thong-tin/blog/luu-y-khi-chuyen-tien-vao-tai-khoan-cong-ty")</f>
        <v>https://techcombank.com/thong-tin/blog/luu-y-khi-chuyen-tien-vao-tai-khoan-cong-ty</v>
      </c>
      <c r="CQ5" s="30" t="str">
        <f>IFERROR(__xludf.DUMMYFUNCTION("""COMPUTED_VALUE"""),"thuế thu nhập doanh nghiệp 2026")</f>
        <v>thuế thu nhập doanh nghiệp 2026</v>
      </c>
      <c r="CR5" s="34" t="str">
        <f>IFERROR(__xludf.DUMMYFUNCTION("""COMPUTED_VALUE"""),"https://techcombank.com/thong-tin/blog/luat-thuong-mai-dien-tu")</f>
        <v>https://techcombank.com/thong-tin/blog/luat-thuong-mai-dien-tu</v>
      </c>
      <c r="CS5" s="30" t="str">
        <f>IFERROR(__xludf.DUMMYFUNCTION("""COMPUTED_VALUE"""),"thuế thu nhập doanh nghiệp")</f>
        <v>thuế thu nhập doanh nghiệp</v>
      </c>
      <c r="CT5" s="34" t="str">
        <f>IFERROR(__xludf.DUMMYFUNCTION("""COMPUTED_VALUE"""),"https://techcombank.com/thong-tin/blog/hieu-hiet-ve-tuan-thu-thue-cho-cac-doanh-nghiep-khoi-nghiep")</f>
        <v>https://techcombank.com/thong-tin/blog/hieu-hiet-ve-tuan-thu-thue-cho-cac-doanh-nghiep-khoi-nghiep</v>
      </c>
      <c r="CU5" s="30" t="str">
        <f>IFERROR(__xludf.DUMMYFUNCTION("""COMPUTED_VALUE"""),"thuế thu nhập doanh nghiệp 2026")</f>
        <v>thuế thu nhập doanh nghiệp 2026</v>
      </c>
      <c r="CV5" s="34" t="str">
        <f>IFERROR(__xludf.DUMMYFUNCTION("""COMPUTED_VALUE"""),"https://techcombank.com/thong-tin/blog/chinh-sach-thue-moi")</f>
        <v>https://techcombank.com/thong-tin/blog/chinh-sach-thue-moi</v>
      </c>
      <c r="CW5" s="30" t="str">
        <f>IFERROR(__xludf.DUMMYFUNCTION("""COMPUTED_VALUE"""),"thuế thu nhập doanh nghiệp")</f>
        <v>thuế thu nhập doanh nghiệp</v>
      </c>
      <c r="CX5" s="34" t="str">
        <f>IFERROR(__xludf.DUMMYFUNCTION("""COMPUTED_VALUE"""),"https://techcombank.com/thong-tin/blog/thu-tuc-thanh-lap-doanh-nghiep")</f>
        <v>https://techcombank.com/thong-tin/blog/thu-tuc-thanh-lap-doanh-nghiep</v>
      </c>
      <c r="CY5" s="30" t="str">
        <f>IFERROR(__xludf.DUMMYFUNCTION("""COMPUTED_VALUE"""),"thuế thu nhập doanh nghiệp")</f>
        <v>thuế thu nhập doanh nghiệp</v>
      </c>
      <c r="CZ5" s="34" t="str">
        <f>IFERROR(__xludf.DUMMYFUNCTION("""COMPUTED_VALUE"""),"https://techcombank.com/thong-tin/blog/chi-phi-mo-tai-khoan-ngan-hang-cho-cong-ty")</f>
        <v>https://techcombank.com/thong-tin/blog/chi-phi-mo-tai-khoan-ngan-hang-cho-cong-ty</v>
      </c>
      <c r="DA5" s="30" t="str">
        <f>IFERROR(__xludf.DUMMYFUNCTION("""COMPUTED_VALUE"""),"thuế thu nhập doanh nghiệp")</f>
        <v>thuế thu nhập doanh nghiệp</v>
      </c>
      <c r="DB5" s="34" t="str">
        <f>IFERROR(__xludf.DUMMYFUNCTION("""COMPUTED_VALUE"""),"https://techcombank.com/thong-tin/blog/tien-dai-loan")</f>
        <v>https://techcombank.com/thong-tin/blog/tien-dai-loan</v>
      </c>
      <c r="DC5" s="30" t="str">
        <f>IFERROR(__xludf.DUMMYFUNCTION("""COMPUTED_VALUE"""),"thuế thu nhập doanh nghiệp")</f>
        <v>thuế thu nhập doanh nghiệp</v>
      </c>
      <c r="DD5" s="34" t="str">
        <f>IFERROR(__xludf.DUMMYFUNCTION("""COMPUTED_VALUE"""),"https://techcombank.com/thong-tin/blog/thue-doanh-nghiep-2025")</f>
        <v>https://techcombank.com/thong-tin/blog/thue-doanh-nghiep-2025</v>
      </c>
      <c r="DE5" s="30" t="str">
        <f>IFERROR(__xludf.DUMMYFUNCTION("""COMPUTED_VALUE"""),"thuế thu nhập doanh nghiệp")</f>
        <v>thuế thu nhập doanh nghiệp</v>
      </c>
      <c r="DF5" s="34" t="str">
        <f>IFERROR(__xludf.DUMMYFUNCTION("""COMPUTED_VALUE"""),"https://techcombank.com/thong-tin/blog/mo-tai-khoan-doanh-nghiep")</f>
        <v>https://techcombank.com/thong-tin/blog/mo-tai-khoan-doanh-nghiep</v>
      </c>
      <c r="DG5" s="30" t="str">
        <f>IFERROR(__xludf.DUMMYFUNCTION("""COMPUTED_VALUE"""),"thuế thu nhập doanh nghiệp")</f>
        <v>thuế thu nhập doanh nghiệp</v>
      </c>
      <c r="DH5" s="34" t="str">
        <f>IFERROR(__xludf.DUMMYFUNCTION("""COMPUTED_VALUE"""),"https://techcombank.com/thong-tin/blog/loi-ich-khi-ho-kinh-doanh-chuyen-len-doanh-nghiep")</f>
        <v>https://techcombank.com/thong-tin/blog/loi-ich-khi-ho-kinh-doanh-chuyen-len-doanh-nghiep</v>
      </c>
      <c r="DI5" s="30"/>
      <c r="DJ5" s="30"/>
      <c r="DK5" s="30"/>
      <c r="DL5" s="30"/>
      <c r="DM5" s="30"/>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0"/>
      <c r="ES5" s="30"/>
      <c r="ET5" s="30"/>
      <c r="EU5" s="30"/>
      <c r="EV5" s="30"/>
      <c r="EW5" s="30"/>
      <c r="EX5" s="30"/>
      <c r="EY5" s="30"/>
      <c r="EZ5" s="30"/>
      <c r="FA5" s="30"/>
      <c r="FB5" s="30"/>
      <c r="FC5" s="30"/>
      <c r="FD5" s="30"/>
      <c r="FE5" s="30"/>
      <c r="FF5" s="30"/>
      <c r="FG5" s="30"/>
      <c r="FH5" s="30"/>
      <c r="FI5" s="30"/>
      <c r="FJ5" s="30"/>
      <c r="FK5" s="30"/>
      <c r="FL5" s="30"/>
      <c r="FM5" s="30"/>
      <c r="FN5" s="30"/>
      <c r="FO5" s="30"/>
      <c r="FP5" s="30"/>
      <c r="FQ5" s="30"/>
      <c r="FR5" s="30"/>
      <c r="FS5" s="30"/>
      <c r="FT5" s="30"/>
      <c r="FU5" s="30"/>
      <c r="FV5" s="30"/>
      <c r="FW5" s="30"/>
      <c r="FX5" s="30"/>
      <c r="FY5" s="30"/>
      <c r="FZ5" s="30"/>
      <c r="GA5" s="30"/>
      <c r="GB5" s="30"/>
      <c r="GC5" s="30"/>
      <c r="GD5" s="30"/>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0"/>
      <c r="HO5" s="30"/>
      <c r="HP5" s="30"/>
      <c r="HQ5" s="30"/>
      <c r="HR5" s="30"/>
      <c r="HS5" s="30"/>
      <c r="HT5" s="30"/>
      <c r="HU5" s="30"/>
      <c r="HV5" s="30"/>
      <c r="HW5" s="30"/>
      <c r="HX5" s="30"/>
      <c r="HY5" s="30"/>
      <c r="HZ5" s="30"/>
      <c r="IA5" s="30"/>
      <c r="IB5" s="30"/>
      <c r="IC5" s="30"/>
      <c r="ID5" s="30"/>
      <c r="IE5" s="30"/>
      <c r="IF5" s="30"/>
      <c r="IG5" s="30"/>
      <c r="IH5" s="30"/>
      <c r="II5" s="30"/>
      <c r="IJ5" s="30"/>
      <c r="IK5" s="30"/>
      <c r="IL5" s="30"/>
      <c r="IM5" s="30"/>
      <c r="IN5" s="30"/>
      <c r="IO5" s="30"/>
      <c r="IP5" s="30"/>
      <c r="IQ5" s="30"/>
      <c r="IR5" s="30"/>
      <c r="IS5" s="30"/>
      <c r="IT5" s="30"/>
      <c r="IU5" s="30"/>
      <c r="IV5" s="30"/>
      <c r="IW5" s="30"/>
      <c r="IX5" s="30"/>
      <c r="IY5" s="30"/>
      <c r="IZ5" s="30"/>
      <c r="JA5" s="30"/>
      <c r="JB5" s="30"/>
      <c r="JC5" s="30"/>
      <c r="JD5" s="30"/>
      <c r="JE5" s="30"/>
      <c r="JF5" s="30"/>
      <c r="JG5" s="30"/>
      <c r="JH5" s="30"/>
      <c r="JI5" s="30"/>
      <c r="JJ5" s="30"/>
      <c r="JK5" s="30"/>
      <c r="JL5" s="30"/>
      <c r="JM5" s="30"/>
      <c r="JN5" s="30"/>
      <c r="JO5" s="30"/>
      <c r="JP5" s="30"/>
      <c r="JQ5" s="30"/>
      <c r="JR5" s="30"/>
      <c r="JS5" s="30"/>
      <c r="JT5" s="30"/>
      <c r="JU5" s="30"/>
      <c r="JV5" s="30"/>
      <c r="JW5" s="30"/>
      <c r="JX5" s="30"/>
      <c r="JY5" s="30"/>
      <c r="JZ5" s="30"/>
      <c r="KA5" s="30"/>
      <c r="KB5" s="30"/>
      <c r="KC5" s="30"/>
      <c r="KD5" s="30"/>
      <c r="KE5" s="30"/>
      <c r="KF5" s="30"/>
      <c r="KG5" s="30"/>
      <c r="KH5" s="30"/>
      <c r="KI5" s="30"/>
      <c r="KJ5" s="30"/>
      <c r="KK5" s="30"/>
      <c r="KL5" s="30"/>
      <c r="KM5" s="30"/>
      <c r="KN5" s="30"/>
      <c r="KO5" s="30"/>
      <c r="KP5" s="30"/>
      <c r="KQ5" s="30"/>
      <c r="KR5" s="30"/>
      <c r="KS5" s="30"/>
      <c r="KT5" s="30"/>
      <c r="KU5" s="30"/>
      <c r="KV5" s="30"/>
      <c r="KW5" s="30"/>
      <c r="KX5" s="30"/>
      <c r="KY5" s="30"/>
      <c r="KZ5" s="30"/>
      <c r="LA5" s="30"/>
      <c r="LB5" s="30"/>
      <c r="LC5" s="30"/>
      <c r="LD5" s="30"/>
      <c r="LE5" s="30"/>
      <c r="LF5" s="30"/>
      <c r="LG5" s="30"/>
      <c r="LH5" s="30"/>
      <c r="LI5" s="30"/>
      <c r="LJ5" s="30"/>
      <c r="LK5" s="30"/>
      <c r="LL5" s="30"/>
      <c r="LM5" s="30"/>
      <c r="LN5" s="30"/>
      <c r="LO5" s="30"/>
      <c r="LP5" s="30"/>
      <c r="LQ5" s="30"/>
      <c r="LR5" s="30"/>
      <c r="LS5" s="30"/>
      <c r="LT5" s="30"/>
      <c r="LU5" s="30"/>
      <c r="LV5" s="30"/>
      <c r="LW5" s="30"/>
      <c r="LX5" s="30"/>
      <c r="LY5" s="30"/>
      <c r="LZ5" s="30"/>
      <c r="MA5" s="30"/>
      <c r="MB5" s="30"/>
      <c r="MC5" s="30"/>
      <c r="MD5" s="30"/>
      <c r="ME5" s="30"/>
      <c r="MF5" s="30"/>
      <c r="MG5" s="30"/>
      <c r="MH5" s="30"/>
      <c r="MI5" s="30"/>
      <c r="MJ5" s="30"/>
      <c r="MK5" s="30"/>
      <c r="ML5" s="30"/>
      <c r="MM5" s="30"/>
      <c r="MN5" s="30"/>
      <c r="MO5" s="30"/>
      <c r="MP5" s="30"/>
      <c r="MQ5" s="30"/>
      <c r="MR5" s="30"/>
      <c r="MS5" s="30"/>
      <c r="MT5" s="30"/>
      <c r="MU5" s="30"/>
      <c r="MV5" s="30"/>
      <c r="MW5" s="30"/>
      <c r="MX5" s="30"/>
      <c r="MY5" s="30"/>
      <c r="MZ5" s="30"/>
      <c r="NA5" s="30"/>
      <c r="NB5" s="30"/>
      <c r="NC5" s="30"/>
      <c r="ND5" s="30"/>
      <c r="NE5" s="30"/>
      <c r="NF5" s="30"/>
      <c r="NG5" s="30"/>
      <c r="NH5" s="30"/>
      <c r="NI5" s="30"/>
      <c r="NJ5" s="30"/>
      <c r="NK5" s="30"/>
      <c r="NL5" s="30"/>
      <c r="NM5" s="30"/>
      <c r="NN5" s="30"/>
      <c r="NO5" s="30"/>
      <c r="NP5" s="30"/>
      <c r="NQ5" s="30"/>
      <c r="NR5" s="30"/>
      <c r="NS5" s="30"/>
      <c r="NT5" s="30"/>
      <c r="NU5" s="30"/>
      <c r="NV5" s="30"/>
      <c r="NW5" s="30"/>
      <c r="NX5" s="30"/>
      <c r="NY5" s="30"/>
      <c r="NZ5" s="30"/>
      <c r="OA5" s="30"/>
      <c r="OB5" s="30"/>
      <c r="OC5" s="30"/>
      <c r="OD5" s="30"/>
      <c r="OE5" s="30"/>
      <c r="OF5" s="30"/>
      <c r="OG5" s="30"/>
      <c r="OH5" s="30"/>
      <c r="OI5" s="30"/>
      <c r="OJ5" s="30"/>
      <c r="OK5" s="30"/>
      <c r="OL5" s="30"/>
      <c r="OM5" s="30"/>
      <c r="ON5" s="30"/>
      <c r="OO5" s="30"/>
      <c r="OP5" s="30"/>
      <c r="OQ5" s="30"/>
      <c r="OR5" s="30"/>
      <c r="OS5" s="30"/>
      <c r="OT5" s="30"/>
      <c r="OU5" s="30"/>
      <c r="OV5" s="30"/>
    </row>
    <row r="6" ht="18.0" customHeight="1">
      <c r="A6" s="29">
        <v>5.0</v>
      </c>
      <c r="B6" s="30" t="s">
        <v>487</v>
      </c>
      <c r="C6" s="31" t="s">
        <v>936</v>
      </c>
      <c r="D6" s="30" t="s">
        <v>240</v>
      </c>
      <c r="E6" s="29">
        <v>30.0</v>
      </c>
      <c r="F6" s="29">
        <f>COUNTIF('Tổng hợp 75 trang đích'!$B$2:$B$3400,$D6)</f>
        <v>30</v>
      </c>
      <c r="G6" s="29">
        <f>COUNTIFS('Tổng hợp 75 trang đích'!$B$2:$B$3400,$D6,'Tổng hợp 75 trang đích'!$K$2:$K$3400,"PHÙ HỢP CAO")</f>
        <v>2</v>
      </c>
      <c r="H6" s="29">
        <f>COUNTIFS('Tổng hợp 75 trang đích'!$B$2:$B$3400,$D6,'Tổng hợp 75 trang đích'!$K$2:$K$3400,"CÓ THỂ ĐI")</f>
        <v>16</v>
      </c>
      <c r="I6" s="29">
        <f>COUNTIFS('Tổng hợp 75 trang đích'!$B$2:$B$3400,$D6,'Tổng hợp 75 trang đích'!$K$2:$K$3400,"CẦN SOÁT")</f>
        <v>12</v>
      </c>
      <c r="J6" s="32" t="s">
        <v>714</v>
      </c>
      <c r="K6" s="32" t="b">
        <v>0</v>
      </c>
      <c r="L6" s="33" t="s">
        <v>52</v>
      </c>
      <c r="M6" s="30" t="str">
        <f>IFERROR(__xludf.DUMMYFUNCTION("IFERROR(TOROW(CHOOSECOLS(SORT(FILTER({'Tổng hợp 75 trang đích'!$J$2:$J$3400,'Tổng hợp 75 trang đích'!$I$2:$I$3400,MATCH('Tổng hợp 75 trang đích'!$K$2:$K$3400,{""PHÙ HỢP CAO"",""CÓ THỂ ĐI"",""CẦN SOÁT""},0)},'Tổng hợp 75 trang đích'!$B$2:$B$3400=$D6),3,TRU"&amp;"E),1,2)),"""")"),"thuế giá trị gia tăng")</f>
        <v>thuế giá trị gia tăng</v>
      </c>
      <c r="N6" s="34" t="str">
        <f>IFERROR(__xludf.DUMMYFUNCTION("""COMPUTED_VALUE"""),"https://techcombank.com/thong-tin/blog/ke-khai-thue-doanh-nghiep")</f>
        <v>https://techcombank.com/thong-tin/blog/ke-khai-thue-doanh-nghiep</v>
      </c>
      <c r="O6" s="30" t="str">
        <f>IFERROR(__xludf.DUMMYFUNCTION("""COMPUTED_VALUE"""),"thuế VAT")</f>
        <v>thuế VAT</v>
      </c>
      <c r="P6" s="34" t="str">
        <f>IFERROR(__xludf.DUMMYFUNCTION("""COMPUTED_VALUE"""),"https://techcombank.com/thong-tin/blog/hoan-thue-doanh-nghiep")</f>
        <v>https://techcombank.com/thong-tin/blog/hoan-thue-doanh-nghiep</v>
      </c>
      <c r="Q6" s="30" t="str">
        <f>IFERROR(__xludf.DUMMYFUNCTION("""COMPUTED_VALUE"""),"thuế giá trị gia tăng")</f>
        <v>thuế giá trị gia tăng</v>
      </c>
      <c r="R6" s="34" t="str">
        <f>IFERROR(__xludf.DUMMYFUNCTION("""COMPUTED_VALUE"""),"https://techcombank.com/thong-tin/blog/thue-thu-nhap-doanh-nghiep")</f>
        <v>https://techcombank.com/thong-tin/blog/thue-thu-nhap-doanh-nghiep</v>
      </c>
      <c r="S6" s="30" t="str">
        <f>IFERROR(__xludf.DUMMYFUNCTION("""COMPUTED_VALUE"""),"thuế giá trị gia tăng")</f>
        <v>thuế giá trị gia tăng</v>
      </c>
      <c r="T6" s="34" t="str">
        <f>IFERROR(__xludf.DUMMYFUNCTION("""COMPUTED_VALUE"""),"https://techcombank.com/thong-tin/blog/thue-thuong-mai-dien-tu")</f>
        <v>https://techcombank.com/thong-tin/blog/thue-thuong-mai-dien-tu</v>
      </c>
      <c r="U6" s="30" t="str">
        <f>IFERROR(__xludf.DUMMYFUNCTION("""COMPUTED_VALUE"""),"thuế giá trị gia tăng")</f>
        <v>thuế giá trị gia tăng</v>
      </c>
      <c r="V6" s="34" t="str">
        <f>IFERROR(__xludf.DUMMYFUNCTION("""COMPUTED_VALUE"""),"https://techcombank.com/thong-tin/blog/nhung-chi-phi-khong-duoc-tru-khi-tinh-thue-tndn")</f>
        <v>https://techcombank.com/thong-tin/blog/nhung-chi-phi-khong-duoc-tru-khi-tinh-thue-tndn</v>
      </c>
      <c r="W6" s="30" t="str">
        <f>IFERROR(__xludf.DUMMYFUNCTION("""COMPUTED_VALUE"""),"thuế VAT")</f>
        <v>thuế VAT</v>
      </c>
      <c r="X6" s="34" t="str">
        <f>IFERROR(__xludf.DUMMYFUNCTION("""COMPUTED_VALUE"""),"https://techcombank.com/thong-tin/blog/cach-tinh-tien-dien-sinh-hoat")</f>
        <v>https://techcombank.com/thong-tin/blog/cach-tinh-tien-dien-sinh-hoat</v>
      </c>
      <c r="Y6" s="30" t="str">
        <f>IFERROR(__xludf.DUMMYFUNCTION("""COMPUTED_VALUE"""),"thuế giá trị gia tăng")</f>
        <v>thuế giá trị gia tăng</v>
      </c>
      <c r="Z6" s="34" t="str">
        <f>IFERROR(__xludf.DUMMYFUNCTION("""COMPUTED_VALUE"""),"https://techcombank.com/thong-tin/blog/kinh-nghiem-chuyen-doi-tu-ho-kinh-doanh-len-doanh-nghiep")</f>
        <v>https://techcombank.com/thong-tin/blog/kinh-nghiem-chuyen-doi-tu-ho-kinh-doanh-len-doanh-nghiep</v>
      </c>
      <c r="AA6" s="30" t="str">
        <f>IFERROR(__xludf.DUMMYFUNCTION("""COMPUTED_VALUE"""),"thuế giá trị gia tăng")</f>
        <v>thuế giá trị gia tăng</v>
      </c>
      <c r="AB6" s="34" t="str">
        <f>IFERROR(__xludf.DUMMYFUNCTION("""COMPUTED_VALUE"""),"https://techcombank.com/thong-tin/blog/thue-khoan-ho-kinh-doanh-la-gi")</f>
        <v>https://techcombank.com/thong-tin/blog/thue-khoan-ho-kinh-doanh-la-gi</v>
      </c>
      <c r="AC6" s="30" t="str">
        <f>IFERROR(__xludf.DUMMYFUNCTION("""COMPUTED_VALUE"""),"thuế giá trị gia tăng")</f>
        <v>thuế giá trị gia tăng</v>
      </c>
      <c r="AD6" s="34" t="str">
        <f>IFERROR(__xludf.DUMMYFUNCTION("""COMPUTED_VALUE"""),"https://techcombank.com/thong-tin/blog/cach-su-dung-tai-khoan-cong-ty")</f>
        <v>https://techcombank.com/thong-tin/blog/cach-su-dung-tai-khoan-cong-ty</v>
      </c>
      <c r="AE6" s="30" t="str">
        <f>IFERROR(__xludf.DUMMYFUNCTION("""COMPUTED_VALUE"""),"thuế giá trị gia tăng")</f>
        <v>thuế giá trị gia tăng</v>
      </c>
      <c r="AF6" s="34" t="str">
        <f>IFERROR(__xludf.DUMMYFUNCTION("""COMPUTED_VALUE"""),"https://techcombank.com/thong-tin/blog/gia-dien-sinh-hoat")</f>
        <v>https://techcombank.com/thong-tin/blog/gia-dien-sinh-hoat</v>
      </c>
      <c r="AG6" s="30" t="str">
        <f>IFERROR(__xludf.DUMMYFUNCTION("""COMPUTED_VALUE"""),"thuế giá trị gia tăng")</f>
        <v>thuế giá trị gia tăng</v>
      </c>
      <c r="AH6" s="34" t="str">
        <f>IFERROR(__xludf.DUMMYFUNCTION("""COMPUTED_VALUE"""),"https://techcombank.com/thong-tin/blog/tra-luong-tien-mat")</f>
        <v>https://techcombank.com/thong-tin/blog/tra-luong-tien-mat</v>
      </c>
      <c r="AI6" s="30" t="str">
        <f>IFERROR(__xludf.DUMMYFUNCTION("""COMPUTED_VALUE"""),"thuế giá trị gia tăng")</f>
        <v>thuế giá trị gia tăng</v>
      </c>
      <c r="AJ6" s="34" t="str">
        <f>IFERROR(__xludf.DUMMYFUNCTION("""COMPUTED_VALUE"""),"https://techcombank.com/thong-tin/blog/cong-ty-su-dung-tai-khoan-ca-nhan")</f>
        <v>https://techcombank.com/thong-tin/blog/cong-ty-su-dung-tai-khoan-ca-nhan</v>
      </c>
      <c r="AK6" s="30" t="str">
        <f>IFERROR(__xludf.DUMMYFUNCTION("""COMPUTED_VALUE"""),"thuế giá trị gia tăng")</f>
        <v>thuế giá trị gia tăng</v>
      </c>
      <c r="AL6" s="34" t="str">
        <f>IFERROR(__xludf.DUMMYFUNCTION("""COMPUTED_VALUE"""),"https://techcombank.com/thong-tin/blog/vi-dien-tu")</f>
        <v>https://techcombank.com/thong-tin/blog/vi-dien-tu</v>
      </c>
      <c r="AM6" s="30" t="str">
        <f>IFERROR(__xludf.DUMMYFUNCTION("""COMPUTED_VALUE"""),"thuế giá trị gia tăng")</f>
        <v>thuế giá trị gia tăng</v>
      </c>
      <c r="AN6" s="34" t="str">
        <f>IFERROR(__xludf.DUMMYFUNCTION("""COMPUTED_VALUE"""),"https://techcombank.com/thong-tin/blog/hieu-hiet-ve-tuan-thu-thue-cho-cac-doanh-nghiep-khoi-nghiep")</f>
        <v>https://techcombank.com/thong-tin/blog/hieu-hiet-ve-tuan-thu-thue-cho-cac-doanh-nghiep-khoi-nghiep</v>
      </c>
      <c r="AO6" s="30" t="str">
        <f>IFERROR(__xludf.DUMMYFUNCTION("""COMPUTED_VALUE"""),"thuế giá trị gia tăng")</f>
        <v>thuế giá trị gia tăng</v>
      </c>
      <c r="AP6" s="34" t="str">
        <f>IFERROR(__xludf.DUMMYFUNCTION("""COMPUTED_VALUE"""),"https://techcombank.com/thong-tin/blog/thue-ho-kinh-doanh-2025")</f>
        <v>https://techcombank.com/thong-tin/blog/thue-ho-kinh-doanh-2025</v>
      </c>
      <c r="AQ6" s="30" t="str">
        <f>IFERROR(__xludf.DUMMYFUNCTION("""COMPUTED_VALUE"""),"thuế VAT")</f>
        <v>thuế VAT</v>
      </c>
      <c r="AR6" s="34" t="str">
        <f>IFERROR(__xludf.DUMMYFUNCTION("""COMPUTED_VALUE"""),"https://techcombank.com/thong-tin/blog/thanh-toan-khi-du-lich-thai-lan")</f>
        <v>https://techcombank.com/thong-tin/blog/thanh-toan-khi-du-lich-thai-lan</v>
      </c>
      <c r="AS6" s="30" t="str">
        <f>IFERROR(__xludf.DUMMYFUNCTION("""COMPUTED_VALUE"""),"thuế giá trị gia tăng")</f>
        <v>thuế giá trị gia tăng</v>
      </c>
      <c r="AT6" s="34" t="str">
        <f>IFERROR(__xludf.DUMMYFUNCTION("""COMPUTED_VALUE"""),"https://techcombank.com/thong-tin/blog/ho-kinh-doanh-ca-the")</f>
        <v>https://techcombank.com/thong-tin/blog/ho-kinh-doanh-ca-the</v>
      </c>
      <c r="AU6" s="30" t="str">
        <f>IFERROR(__xludf.DUMMYFUNCTION("""COMPUTED_VALUE"""),"thuế giá trị gia tăng")</f>
        <v>thuế giá trị gia tăng</v>
      </c>
      <c r="AV6" s="34" t="str">
        <f>IFERROR(__xludf.DUMMYFUNCTION("""COMPUTED_VALUE"""),"https://techcombank.com/thong-tin/blog/thue-phi-co-dinh-khi-chuyen-doi-tu-ho-kinh-doanh-len-doanh-nghiep")</f>
        <v>https://techcombank.com/thong-tin/blog/thue-phi-co-dinh-khi-chuyen-doi-tu-ho-kinh-doanh-len-doanh-nghiep</v>
      </c>
      <c r="AW6" s="30" t="str">
        <f>IFERROR(__xludf.DUMMYFUNCTION("""COMPUTED_VALUE"""),"thuế giá trị gia tăng")</f>
        <v>thuế giá trị gia tăng</v>
      </c>
      <c r="AX6" s="34" t="str">
        <f>IFERROR(__xludf.DUMMYFUNCTION("""COMPUTED_VALUE"""),"https://techcombank.com/thong-tin/blog/nhung-ho-kinh-doanh-duoc-mien-thue")</f>
        <v>https://techcombank.com/thong-tin/blog/nhung-ho-kinh-doanh-duoc-mien-thue</v>
      </c>
      <c r="AY6" s="30" t="str">
        <f>IFERROR(__xludf.DUMMYFUNCTION("""COMPUTED_VALUE"""),"thuế GTGT là gì")</f>
        <v>thuế GTGT là gì</v>
      </c>
      <c r="AZ6" s="34" t="str">
        <f>IFERROR(__xludf.DUMMYFUNCTION("""COMPUTED_VALUE"""),"https://techcombank.com/thong-tin/blog/hoa-don-dien-tu")</f>
        <v>https://techcombank.com/thong-tin/blog/hoa-don-dien-tu</v>
      </c>
      <c r="BA6" s="30" t="str">
        <f>IFERROR(__xludf.DUMMYFUNCTION("""COMPUTED_VALUE"""),"thuế giá trị gia tăng")</f>
        <v>thuế giá trị gia tăng</v>
      </c>
      <c r="BB6" s="34" t="str">
        <f>IFERROR(__xludf.DUMMYFUNCTION("""COMPUTED_VALUE"""),"https://techcombank.com/thong-tin/blog/thue-doanh-nghiep")</f>
        <v>https://techcombank.com/thong-tin/blog/thue-doanh-nghiep</v>
      </c>
      <c r="BC6" s="30" t="str">
        <f>IFERROR(__xludf.DUMMYFUNCTION("""COMPUTED_VALUE"""),"thuế giá trị gia tăng")</f>
        <v>thuế giá trị gia tăng</v>
      </c>
      <c r="BD6" s="34" t="str">
        <f>IFERROR(__xludf.DUMMYFUNCTION("""COMPUTED_VALUE"""),"https://techcombank.com/thong-tin/blog/one-stop-shop")</f>
        <v>https://techcombank.com/thong-tin/blog/one-stop-shop</v>
      </c>
      <c r="BE6" s="30" t="str">
        <f>IFERROR(__xludf.DUMMYFUNCTION("""COMPUTED_VALUE"""),"thuế VAT")</f>
        <v>thuế VAT</v>
      </c>
      <c r="BF6" s="34" t="str">
        <f>IFERROR(__xludf.DUMMYFUNCTION("""COMPUTED_VALUE"""),"https://techcombank.com/thong-tin/blog/may-tinh-tien")</f>
        <v>https://techcombank.com/thong-tin/blog/may-tinh-tien</v>
      </c>
      <c r="BG6" s="30" t="str">
        <f>IFERROR(__xludf.DUMMYFUNCTION("""COMPUTED_VALUE"""),"thuế giá trị gia tăng")</f>
        <v>thuế giá trị gia tăng</v>
      </c>
      <c r="BH6" s="34" t="str">
        <f>IFERROR(__xludf.DUMMYFUNCTION("""COMPUTED_VALUE"""),"https://techcombank.com/thong-tin/blog/app-chia-tien")</f>
        <v>https://techcombank.com/thong-tin/blog/app-chia-tien</v>
      </c>
      <c r="BI6" s="30" t="str">
        <f>IFERROR(__xludf.DUMMYFUNCTION("""COMPUTED_VALUE"""),"thuế giá trị gia tăng")</f>
        <v>thuế giá trị gia tăng</v>
      </c>
      <c r="BJ6" s="34" t="str">
        <f>IFERROR(__xludf.DUMMYFUNCTION("""COMPUTED_VALUE"""),"https://techcombank.com/thong-tin/blog/cach-nop-thue-dien-tu")</f>
        <v>https://techcombank.com/thong-tin/blog/cach-nop-thue-dien-tu</v>
      </c>
      <c r="BK6" s="30" t="str">
        <f>IFERROR(__xludf.DUMMYFUNCTION("""COMPUTED_VALUE"""),"thuế GTGT là gì")</f>
        <v>thuế GTGT là gì</v>
      </c>
      <c r="BL6" s="34" t="str">
        <f>IFERROR(__xludf.DUMMYFUNCTION("""COMPUTED_VALUE"""),"https://techcombank.com/thong-tin/blog/ke-khai-thue-ho-kinh-doanh-ca-the-online")</f>
        <v>https://techcombank.com/thong-tin/blog/ke-khai-thue-ho-kinh-doanh-ca-the-online</v>
      </c>
      <c r="BM6" s="30" t="str">
        <f>IFERROR(__xludf.DUMMYFUNCTION("""COMPUTED_VALUE"""),"thuế giá trị gia tăng")</f>
        <v>thuế giá trị gia tăng</v>
      </c>
      <c r="BN6" s="34" t="str">
        <f>IFERROR(__xludf.DUMMYFUNCTION("""COMPUTED_VALUE"""),"https://techcombank.com/thong-tin/blog/tra-cuu-no-thue-doanh-nghiep")</f>
        <v>https://techcombank.com/thong-tin/blog/tra-cuu-no-thue-doanh-nghiep</v>
      </c>
      <c r="BO6" s="30" t="str">
        <f>IFERROR(__xludf.DUMMYFUNCTION("""COMPUTED_VALUE"""),"thuế giá trị gia tăng")</f>
        <v>thuế giá trị gia tăng</v>
      </c>
      <c r="BP6" s="34" t="str">
        <f>IFERROR(__xludf.DUMMYFUNCTION("""COMPUTED_VALUE"""),"https://techcombank.com/thong-tin/blog/chuyen-doi-ho-kinh-doanh-len-doanh-nghiep")</f>
        <v>https://techcombank.com/thong-tin/blog/chuyen-doi-ho-kinh-doanh-len-doanh-nghiep</v>
      </c>
      <c r="BQ6" s="30" t="str">
        <f>IFERROR(__xludf.DUMMYFUNCTION("""COMPUTED_VALUE"""),"thuế VAT")</f>
        <v>thuế VAT</v>
      </c>
      <c r="BR6" s="34" t="str">
        <f>IFERROR(__xludf.DUMMYFUNCTION("""COMPUTED_VALUE"""),"https://techcombank.com/thong-tin/blog/giai-dap-ve-thue-doanh-nghiep")</f>
        <v>https://techcombank.com/thong-tin/blog/giai-dap-ve-thue-doanh-nghiep</v>
      </c>
      <c r="BS6" s="30" t="str">
        <f>IFERROR(__xludf.DUMMYFUNCTION("""COMPUTED_VALUE"""),"thuế giá trị gia tăng")</f>
        <v>thuế giá trị gia tăng</v>
      </c>
      <c r="BT6" s="34" t="str">
        <f>IFERROR(__xludf.DUMMYFUNCTION("""COMPUTED_VALUE"""),"https://techcombank.com/thong-tin/blog/nen-thanh-lap-ho-kinh-doanh-ke-khai-hay-doanh-nghiep")</f>
        <v>https://techcombank.com/thong-tin/blog/nen-thanh-lap-ho-kinh-doanh-ke-khai-hay-doanh-nghiep</v>
      </c>
      <c r="BU6" s="30"/>
      <c r="BV6" s="30"/>
      <c r="BW6" s="30"/>
      <c r="BX6" s="30"/>
      <c r="BY6" s="30"/>
      <c r="BZ6" s="30"/>
      <c r="CA6" s="30"/>
      <c r="CB6" s="30"/>
      <c r="CC6" s="30"/>
      <c r="CD6" s="30"/>
      <c r="CE6" s="30"/>
      <c r="CF6" s="30"/>
      <c r="CG6" s="30"/>
      <c r="CH6" s="30"/>
      <c r="CI6" s="30"/>
      <c r="CJ6" s="30"/>
      <c r="CK6" s="30"/>
      <c r="CL6" s="30"/>
      <c r="CM6" s="30"/>
      <c r="CN6" s="30"/>
      <c r="CO6" s="30"/>
      <c r="CP6" s="30"/>
      <c r="CQ6" s="30"/>
      <c r="CR6" s="30"/>
      <c r="CS6" s="30"/>
      <c r="CT6" s="30"/>
      <c r="CU6" s="30"/>
      <c r="CV6" s="30"/>
      <c r="CW6" s="30"/>
      <c r="CX6" s="30"/>
      <c r="CY6" s="30"/>
      <c r="CZ6" s="30"/>
      <c r="DA6" s="30"/>
      <c r="DB6" s="30"/>
      <c r="DC6" s="30"/>
      <c r="DD6" s="30"/>
      <c r="DE6" s="30"/>
      <c r="DF6" s="30"/>
      <c r="DG6" s="30"/>
      <c r="DH6" s="30"/>
      <c r="DI6" s="30"/>
      <c r="DJ6" s="30"/>
      <c r="DK6" s="30"/>
      <c r="DL6" s="30"/>
      <c r="DM6" s="30"/>
      <c r="DN6" s="30"/>
      <c r="DO6" s="30"/>
      <c r="DP6" s="30"/>
      <c r="DQ6" s="30"/>
      <c r="DR6" s="30"/>
      <c r="DS6" s="30"/>
      <c r="DT6" s="30"/>
      <c r="DU6" s="30"/>
      <c r="DV6" s="30"/>
      <c r="DW6" s="30"/>
      <c r="DX6" s="30"/>
      <c r="DY6" s="30"/>
      <c r="DZ6" s="30"/>
      <c r="EA6" s="30"/>
      <c r="EB6" s="30"/>
      <c r="EC6" s="30"/>
      <c r="ED6" s="30"/>
      <c r="EE6" s="30"/>
      <c r="EF6" s="30"/>
      <c r="EG6" s="30"/>
      <c r="EH6" s="30"/>
      <c r="EI6" s="30"/>
      <c r="EJ6" s="30"/>
      <c r="EK6" s="30"/>
      <c r="EL6" s="30"/>
      <c r="EM6" s="30"/>
      <c r="EN6" s="30"/>
      <c r="EO6" s="30"/>
      <c r="EP6" s="30"/>
      <c r="EQ6" s="30"/>
      <c r="ER6" s="30"/>
      <c r="ES6" s="30"/>
      <c r="ET6" s="30"/>
      <c r="EU6" s="30"/>
      <c r="EV6" s="30"/>
      <c r="EW6" s="30"/>
      <c r="EX6" s="30"/>
      <c r="EY6" s="30"/>
      <c r="EZ6" s="30"/>
      <c r="FA6" s="30"/>
      <c r="FB6" s="30"/>
      <c r="FC6" s="30"/>
      <c r="FD6" s="30"/>
      <c r="FE6" s="30"/>
      <c r="FF6" s="30"/>
      <c r="FG6" s="30"/>
      <c r="FH6" s="30"/>
      <c r="FI6" s="30"/>
      <c r="FJ6" s="30"/>
      <c r="FK6" s="30"/>
      <c r="FL6" s="30"/>
      <c r="FM6" s="30"/>
      <c r="FN6" s="30"/>
      <c r="FO6" s="30"/>
      <c r="FP6" s="30"/>
      <c r="FQ6" s="30"/>
      <c r="FR6" s="30"/>
      <c r="FS6" s="30"/>
      <c r="FT6" s="30"/>
      <c r="FU6" s="30"/>
      <c r="FV6" s="30"/>
      <c r="FW6" s="30"/>
      <c r="FX6" s="30"/>
      <c r="FY6" s="30"/>
      <c r="FZ6" s="30"/>
      <c r="GA6" s="30"/>
      <c r="GB6" s="30"/>
      <c r="GC6" s="30"/>
      <c r="GD6" s="30"/>
      <c r="GE6" s="30"/>
      <c r="GF6" s="30"/>
      <c r="GG6" s="30"/>
      <c r="GH6" s="30"/>
      <c r="GI6" s="30"/>
      <c r="GJ6" s="30"/>
      <c r="GK6" s="30"/>
      <c r="GL6" s="30"/>
      <c r="GM6" s="30"/>
      <c r="GN6" s="30"/>
      <c r="GO6" s="30"/>
      <c r="GP6" s="30"/>
      <c r="GQ6" s="30"/>
      <c r="GR6" s="30"/>
      <c r="GS6" s="30"/>
      <c r="GT6" s="30"/>
      <c r="GU6" s="30"/>
      <c r="GV6" s="30"/>
      <c r="GW6" s="30"/>
      <c r="GX6" s="30"/>
      <c r="GY6" s="30"/>
      <c r="GZ6" s="30"/>
      <c r="HA6" s="30"/>
      <c r="HB6" s="30"/>
      <c r="HC6" s="30"/>
      <c r="HD6" s="30"/>
      <c r="HE6" s="30"/>
      <c r="HF6" s="30"/>
      <c r="HG6" s="30"/>
      <c r="HH6" s="30"/>
      <c r="HI6" s="30"/>
      <c r="HJ6" s="30"/>
      <c r="HK6" s="30"/>
      <c r="HL6" s="30"/>
      <c r="HM6" s="30"/>
      <c r="HN6" s="30"/>
      <c r="HO6" s="30"/>
      <c r="HP6" s="30"/>
      <c r="HQ6" s="30"/>
      <c r="HR6" s="30"/>
      <c r="HS6" s="30"/>
      <c r="HT6" s="30"/>
      <c r="HU6" s="30"/>
      <c r="HV6" s="30"/>
      <c r="HW6" s="30"/>
      <c r="HX6" s="30"/>
      <c r="HY6" s="30"/>
      <c r="HZ6" s="30"/>
      <c r="IA6" s="30"/>
      <c r="IB6" s="30"/>
      <c r="IC6" s="30"/>
      <c r="ID6" s="30"/>
      <c r="IE6" s="30"/>
      <c r="IF6" s="30"/>
      <c r="IG6" s="30"/>
      <c r="IH6" s="30"/>
      <c r="II6" s="30"/>
      <c r="IJ6" s="30"/>
      <c r="IK6" s="30"/>
      <c r="IL6" s="30"/>
      <c r="IM6" s="30"/>
      <c r="IN6" s="30"/>
      <c r="IO6" s="30"/>
      <c r="IP6" s="30"/>
      <c r="IQ6" s="30"/>
      <c r="IR6" s="30"/>
      <c r="IS6" s="30"/>
      <c r="IT6" s="30"/>
      <c r="IU6" s="30"/>
      <c r="IV6" s="30"/>
      <c r="IW6" s="30"/>
      <c r="IX6" s="30"/>
      <c r="IY6" s="30"/>
      <c r="IZ6" s="30"/>
      <c r="JA6" s="30"/>
      <c r="JB6" s="30"/>
      <c r="JC6" s="30"/>
      <c r="JD6" s="30"/>
      <c r="JE6" s="30"/>
      <c r="JF6" s="30"/>
      <c r="JG6" s="30"/>
      <c r="JH6" s="30"/>
      <c r="JI6" s="30"/>
      <c r="JJ6" s="30"/>
      <c r="JK6" s="30"/>
      <c r="JL6" s="30"/>
      <c r="JM6" s="30"/>
      <c r="JN6" s="30"/>
      <c r="JO6" s="30"/>
      <c r="JP6" s="30"/>
      <c r="JQ6" s="30"/>
      <c r="JR6" s="30"/>
      <c r="JS6" s="30"/>
      <c r="JT6" s="30"/>
      <c r="JU6" s="30"/>
      <c r="JV6" s="30"/>
      <c r="JW6" s="30"/>
      <c r="JX6" s="30"/>
      <c r="JY6" s="30"/>
      <c r="JZ6" s="30"/>
      <c r="KA6" s="30"/>
      <c r="KB6" s="30"/>
      <c r="KC6" s="30"/>
      <c r="KD6" s="30"/>
      <c r="KE6" s="30"/>
      <c r="KF6" s="30"/>
      <c r="KG6" s="30"/>
      <c r="KH6" s="30"/>
      <c r="KI6" s="30"/>
      <c r="KJ6" s="30"/>
      <c r="KK6" s="30"/>
      <c r="KL6" s="30"/>
      <c r="KM6" s="30"/>
      <c r="KN6" s="30"/>
      <c r="KO6" s="30"/>
      <c r="KP6" s="30"/>
      <c r="KQ6" s="30"/>
      <c r="KR6" s="30"/>
      <c r="KS6" s="30"/>
      <c r="KT6" s="30"/>
      <c r="KU6" s="30"/>
      <c r="KV6" s="30"/>
      <c r="KW6" s="30"/>
      <c r="KX6" s="30"/>
      <c r="KY6" s="30"/>
      <c r="KZ6" s="30"/>
      <c r="LA6" s="30"/>
      <c r="LB6" s="30"/>
      <c r="LC6" s="30"/>
      <c r="LD6" s="30"/>
      <c r="LE6" s="30"/>
      <c r="LF6" s="30"/>
      <c r="LG6" s="30"/>
      <c r="LH6" s="30"/>
      <c r="LI6" s="30"/>
      <c r="LJ6" s="30"/>
      <c r="LK6" s="30"/>
      <c r="LL6" s="30"/>
      <c r="LM6" s="30"/>
      <c r="LN6" s="30"/>
      <c r="LO6" s="30"/>
      <c r="LP6" s="30"/>
      <c r="LQ6" s="30"/>
      <c r="LR6" s="30"/>
      <c r="LS6" s="30"/>
      <c r="LT6" s="30"/>
      <c r="LU6" s="30"/>
      <c r="LV6" s="30"/>
      <c r="LW6" s="30"/>
      <c r="LX6" s="30"/>
      <c r="LY6" s="30"/>
      <c r="LZ6" s="30"/>
      <c r="MA6" s="30"/>
      <c r="MB6" s="30"/>
      <c r="MC6" s="30"/>
      <c r="MD6" s="30"/>
      <c r="ME6" s="30"/>
      <c r="MF6" s="30"/>
      <c r="MG6" s="30"/>
      <c r="MH6" s="30"/>
      <c r="MI6" s="30"/>
      <c r="MJ6" s="30"/>
      <c r="MK6" s="30"/>
      <c r="ML6" s="30"/>
      <c r="MM6" s="30"/>
      <c r="MN6" s="30"/>
      <c r="MO6" s="30"/>
      <c r="MP6" s="30"/>
      <c r="MQ6" s="30"/>
      <c r="MR6" s="30"/>
      <c r="MS6" s="30"/>
      <c r="MT6" s="30"/>
      <c r="MU6" s="30"/>
      <c r="MV6" s="30"/>
      <c r="MW6" s="30"/>
      <c r="MX6" s="30"/>
      <c r="MY6" s="30"/>
      <c r="MZ6" s="30"/>
      <c r="NA6" s="30"/>
      <c r="NB6" s="30"/>
      <c r="NC6" s="30"/>
      <c r="ND6" s="30"/>
      <c r="NE6" s="30"/>
      <c r="NF6" s="30"/>
      <c r="NG6" s="30"/>
      <c r="NH6" s="30"/>
      <c r="NI6" s="30"/>
      <c r="NJ6" s="30"/>
      <c r="NK6" s="30"/>
      <c r="NL6" s="30"/>
      <c r="NM6" s="30"/>
      <c r="NN6" s="30"/>
      <c r="NO6" s="30"/>
      <c r="NP6" s="30"/>
      <c r="NQ6" s="30"/>
      <c r="NR6" s="30"/>
      <c r="NS6" s="30"/>
      <c r="NT6" s="30"/>
      <c r="NU6" s="30"/>
      <c r="NV6" s="30"/>
      <c r="NW6" s="30"/>
      <c r="NX6" s="30"/>
      <c r="NY6" s="30"/>
      <c r="NZ6" s="30"/>
      <c r="OA6" s="30"/>
      <c r="OB6" s="30"/>
      <c r="OC6" s="30"/>
      <c r="OD6" s="30"/>
      <c r="OE6" s="30"/>
      <c r="OF6" s="30"/>
      <c r="OG6" s="30"/>
      <c r="OH6" s="30"/>
      <c r="OI6" s="30"/>
      <c r="OJ6" s="30"/>
      <c r="OK6" s="30"/>
      <c r="OL6" s="30"/>
      <c r="OM6" s="30"/>
      <c r="ON6" s="30"/>
      <c r="OO6" s="30"/>
      <c r="OP6" s="30"/>
      <c r="OQ6" s="30"/>
      <c r="OR6" s="30"/>
      <c r="OS6" s="30"/>
      <c r="OT6" s="30"/>
      <c r="OU6" s="30"/>
      <c r="OV6" s="30"/>
    </row>
    <row r="7" ht="18.0" customHeight="1">
      <c r="A7" s="29">
        <v>6.0</v>
      </c>
      <c r="B7" s="30" t="s">
        <v>487</v>
      </c>
      <c r="C7" s="31" t="s">
        <v>990</v>
      </c>
      <c r="D7" s="30" t="s">
        <v>593</v>
      </c>
      <c r="E7" s="29">
        <v>30.0</v>
      </c>
      <c r="F7" s="29">
        <f>COUNTIF('Tổng hợp 75 trang đích'!$B$2:$B$3400,$D7)</f>
        <v>30</v>
      </c>
      <c r="G7" s="29">
        <f>COUNTIFS('Tổng hợp 75 trang đích'!$B$2:$B$3400,$D7,'Tổng hợp 75 trang đích'!$K$2:$K$3400,"PHÙ HỢP CAO")</f>
        <v>2</v>
      </c>
      <c r="H7" s="29">
        <f>COUNTIFS('Tổng hợp 75 trang đích'!$B$2:$B$3400,$D7,'Tổng hợp 75 trang đích'!$K$2:$K$3400,"CÓ THỂ ĐI")</f>
        <v>3</v>
      </c>
      <c r="I7" s="29">
        <f>COUNTIFS('Tổng hợp 75 trang đích'!$B$2:$B$3400,$D7,'Tổng hợp 75 trang đích'!$K$2:$K$3400,"CẦN SOÁT")</f>
        <v>25</v>
      </c>
      <c r="J7" s="32" t="s">
        <v>714</v>
      </c>
      <c r="K7" s="32" t="b">
        <v>0</v>
      </c>
      <c r="L7" s="33" t="s">
        <v>52</v>
      </c>
      <c r="M7" s="30" t="str">
        <f>IFERROR(__xludf.DUMMYFUNCTION("IFERROR(TOROW(CHOOSECOLS(SORT(FILTER({'Tổng hợp 75 trang đích'!$J$2:$J$3400,'Tổng hợp 75 trang đích'!$I$2:$I$3400,MATCH('Tổng hợp 75 trang đích'!$K$2:$K$3400,{""PHÙ HỢP CAO"",""CÓ THỂ ĐI"",""CẦN SOÁT""},0)},'Tổng hợp 75 trang đích'!$B$2:$B$3400=$D7),3,TRU"&amp;"E),1,2)),"""")"),"tra cứu nợ thuế doanh nghiệp")</f>
        <v>tra cứu nợ thuế doanh nghiệp</v>
      </c>
      <c r="N7" s="34" t="str">
        <f>IFERROR(__xludf.DUMMYFUNCTION("""COMPUTED_VALUE"""),"https://techcombank.com/thong-tin/blog/kiem-tra-ma-so-thue-doanh-nghiep")</f>
        <v>https://techcombank.com/thong-tin/blog/kiem-tra-ma-so-thue-doanh-nghiep</v>
      </c>
      <c r="O7" s="30" t="str">
        <f>IFERROR(__xludf.DUMMYFUNCTION("""COMPUTED_VALUE"""),"tra cứu nợ thuế doanh nghiệp")</f>
        <v>tra cứu nợ thuế doanh nghiệp</v>
      </c>
      <c r="P7" s="34" t="str">
        <f>IFERROR(__xludf.DUMMYFUNCTION("""COMPUTED_VALUE"""),"https://techcombank.com/thong-tin/blog/tra-cuu-no-thue-hai-quan")</f>
        <v>https://techcombank.com/thong-tin/blog/tra-cuu-no-thue-hai-quan</v>
      </c>
      <c r="Q7" s="30" t="str">
        <f>IFERROR(__xludf.DUMMYFUNCTION("""COMPUTED_VALUE"""),"kiểm tra nợ thuế doanh nghiệp")</f>
        <v>kiểm tra nợ thuế doanh nghiệp</v>
      </c>
      <c r="R7" s="34" t="str">
        <f>IFERROR(__xludf.DUMMYFUNCTION("""COMPUTED_VALUE"""),"https://techcombank.com/thong-tin/blog/quyet-toan-thue-doanh-nghiep")</f>
        <v>https://techcombank.com/thong-tin/blog/quyet-toan-thue-doanh-nghiep</v>
      </c>
      <c r="S7" s="30" t="str">
        <f>IFERROR(__xludf.DUMMYFUNCTION("""COMPUTED_VALUE"""),"kiểm tra nợ thuế doanh nghiệp")</f>
        <v>kiểm tra nợ thuế doanh nghiệp</v>
      </c>
      <c r="T7" s="34" t="str">
        <f>IFERROR(__xludf.DUMMYFUNCTION("""COMPUTED_VALUE"""),"https://techcombank.com/thong-tin/blog/ke-khai-thue-doanh-nghiep")</f>
        <v>https://techcombank.com/thong-tin/blog/ke-khai-thue-doanh-nghiep</v>
      </c>
      <c r="U7" s="30" t="str">
        <f>IFERROR(__xludf.DUMMYFUNCTION("""COMPUTED_VALUE"""),"tra cứu nợ thuế doanh nghiệp")</f>
        <v>tra cứu nợ thuế doanh nghiệp</v>
      </c>
      <c r="V7" s="34" t="str">
        <f>IFERROR(__xludf.DUMMYFUNCTION("""COMPUTED_VALUE"""),"https://techcombank.com/thong-tin/blog/tra-cuu-no-thue-ho-kinh-doanh")</f>
        <v>https://techcombank.com/thong-tin/blog/tra-cuu-no-thue-ho-kinh-doanh</v>
      </c>
      <c r="W7" s="30" t="str">
        <f>IFERROR(__xludf.DUMMYFUNCTION("""COMPUTED_VALUE"""),"kiểm tra nợ thuế doanh nghiệp")</f>
        <v>kiểm tra nợ thuế doanh nghiệp</v>
      </c>
      <c r="X7" s="34" t="str">
        <f>IFERROR(__xludf.DUMMYFUNCTION("""COMPUTED_VALUE"""),"https://techcombank.com/thong-tin/blog/hoan-thue-doanh-nghiep")</f>
        <v>https://techcombank.com/thong-tin/blog/hoan-thue-doanh-nghiep</v>
      </c>
      <c r="Y7" s="30" t="str">
        <f>IFERROR(__xludf.DUMMYFUNCTION("""COMPUTED_VALUE"""),"tra cứu nợ thuế theo mã số thuế")</f>
        <v>tra cứu nợ thuế theo mã số thuế</v>
      </c>
      <c r="Z7" s="34" t="str">
        <f>IFERROR(__xludf.DUMMYFUNCTION("""COMPUTED_VALUE"""),"https://techcombank.com/thong-tin/blog/mo-them-tai-khoan-ngan-hang-cho-cong-ty")</f>
        <v>https://techcombank.com/thong-tin/blog/mo-them-tai-khoan-ngan-hang-cho-cong-ty</v>
      </c>
      <c r="AA7" s="30" t="str">
        <f>IFERROR(__xludf.DUMMYFUNCTION("""COMPUTED_VALUE"""),"tra cứu nợ thuế theo mã số thuế")</f>
        <v>tra cứu nợ thuế theo mã số thuế</v>
      </c>
      <c r="AB7" s="34" t="str">
        <f>IFERROR(__xludf.DUMMYFUNCTION("""COMPUTED_VALUE"""),"https://techcombank.com/thong-tin/blog/giai-dap-ve-thue-doanh-nghiep")</f>
        <v>https://techcombank.com/thong-tin/blog/giai-dap-ve-thue-doanh-nghiep</v>
      </c>
      <c r="AC7" s="30" t="str">
        <f>IFERROR(__xludf.DUMMYFUNCTION("""COMPUTED_VALUE"""),"tra cứu nợ thuế theo mã số thuế")</f>
        <v>tra cứu nợ thuế theo mã số thuế</v>
      </c>
      <c r="AD7" s="34" t="str">
        <f>IFERROR(__xludf.DUMMYFUNCTION("""COMPUTED_VALUE"""),"https://techcombank.com/thong-tin/blog/tra-cuu-no-thue-ca-nhan")</f>
        <v>https://techcombank.com/thong-tin/blog/tra-cuu-no-thue-ca-nhan</v>
      </c>
      <c r="AE7" s="30" t="str">
        <f>IFERROR(__xludf.DUMMYFUNCTION("""COMPUTED_VALUE"""),"tra cứu nợ thuế doanh nghiệp")</f>
        <v>tra cứu nợ thuế doanh nghiệp</v>
      </c>
      <c r="AF7" s="34" t="str">
        <f>IFERROR(__xludf.DUMMYFUNCTION("""COMPUTED_VALUE"""),"https://techcombank.com/thong-tin/blog/thue-doanh-nghiep")</f>
        <v>https://techcombank.com/thong-tin/blog/thue-doanh-nghiep</v>
      </c>
      <c r="AG7" s="30" t="str">
        <f>IFERROR(__xludf.DUMMYFUNCTION("""COMPUTED_VALUE"""),"tra cứu nợ thuế theo mã số thuế")</f>
        <v>tra cứu nợ thuế theo mã số thuế</v>
      </c>
      <c r="AH7" s="34" t="str">
        <f>IFERROR(__xludf.DUMMYFUNCTION("""COMPUTED_VALUE"""),"https://techcombank.com/thong-tin/blog/tra-cuu-ma-so-thue-ho-kinh-doanh")</f>
        <v>https://techcombank.com/thong-tin/blog/tra-cuu-ma-so-thue-ho-kinh-doanh</v>
      </c>
      <c r="AI7" s="30" t="str">
        <f>IFERROR(__xludf.DUMMYFUNCTION("""COMPUTED_VALUE"""),"tra cứu nợ thuế theo mã số thuế")</f>
        <v>tra cứu nợ thuế theo mã số thuế</v>
      </c>
      <c r="AJ7" s="34" t="str">
        <f>IFERROR(__xludf.DUMMYFUNCTION("""COMPUTED_VALUE"""),"https://techcombank.com/thong-tin/blog/dang-ky-ma-so-thue-ca-nhan")</f>
        <v>https://techcombank.com/thong-tin/blog/dang-ky-ma-so-thue-ca-nhan</v>
      </c>
      <c r="AK7" s="30" t="str">
        <f>IFERROR(__xludf.DUMMYFUNCTION("""COMPUTED_VALUE"""),"tra cứu nợ thuế theo mã số thuế")</f>
        <v>tra cứu nợ thuế theo mã số thuế</v>
      </c>
      <c r="AL7" s="34" t="str">
        <f>IFERROR(__xludf.DUMMYFUNCTION("""COMPUTED_VALUE"""),"https://techcombank.com/thong-tin/blog/quyet-toan-thue-thu-nhap-ca-nhan")</f>
        <v>https://techcombank.com/thong-tin/blog/quyet-toan-thue-thu-nhap-ca-nhan</v>
      </c>
      <c r="AM7" s="30" t="str">
        <f>IFERROR(__xludf.DUMMYFUNCTION("""COMPUTED_VALUE"""),"kiểm tra nợ thuế doanh nghiệp")</f>
        <v>kiểm tra nợ thuế doanh nghiệp</v>
      </c>
      <c r="AN7" s="34" t="str">
        <f>IFERROR(__xludf.DUMMYFUNCTION("""COMPUTED_VALUE"""),"https://techcombank.com/thong-tin/blog/kiem-tra-thue-ho-kinh-doanh")</f>
        <v>https://techcombank.com/thong-tin/blog/kiem-tra-thue-ho-kinh-doanh</v>
      </c>
      <c r="AO7" s="30" t="str">
        <f>IFERROR(__xludf.DUMMYFUNCTION("""COMPUTED_VALUE"""),"tra cứu nợ thuế theo mã số thuế")</f>
        <v>tra cứu nợ thuế theo mã số thuế</v>
      </c>
      <c r="AP7" s="34" t="str">
        <f>IFERROR(__xludf.DUMMYFUNCTION("""COMPUTED_VALUE"""),"https://techcombank.com/thong-tin/blog/tim-hieu-ve-chinh-sach-thue-moi")</f>
        <v>https://techcombank.com/thong-tin/blog/tim-hieu-ve-chinh-sach-thue-moi</v>
      </c>
      <c r="AQ7" s="30" t="str">
        <f>IFERROR(__xludf.DUMMYFUNCTION("""COMPUTED_VALUE"""),"tra cứu nợ thuế theo mã số thuế")</f>
        <v>tra cứu nợ thuế theo mã số thuế</v>
      </c>
      <c r="AR7" s="34" t="str">
        <f>IFERROR(__xludf.DUMMYFUNCTION("""COMPUTED_VALUE"""),"https://techcombank.com/thong-tin/blog/hoan-thue-thu-nhap-ca-nhan")</f>
        <v>https://techcombank.com/thong-tin/blog/hoan-thue-thu-nhap-ca-nhan</v>
      </c>
      <c r="AS7" s="30" t="str">
        <f>IFERROR(__xludf.DUMMYFUNCTION("""COMPUTED_VALUE"""),"tra cứu nợ thuế theo mã số thuế")</f>
        <v>tra cứu nợ thuế theo mã số thuế</v>
      </c>
      <c r="AT7" s="34" t="str">
        <f>IFERROR(__xludf.DUMMYFUNCTION("""COMPUTED_VALUE"""),"https://techcombank.com/thong-tin/blog/dong-ma-so-thue-ho-kinh-doanh")</f>
        <v>https://techcombank.com/thong-tin/blog/dong-ma-so-thue-ho-kinh-doanh</v>
      </c>
      <c r="AU7" s="30" t="str">
        <f>IFERROR(__xludf.DUMMYFUNCTION("""COMPUTED_VALUE"""),"tra cứu nợ thuế doanh nghiệp")</f>
        <v>tra cứu nợ thuế doanh nghiệp</v>
      </c>
      <c r="AV7" s="34" t="str">
        <f>IFERROR(__xludf.DUMMYFUNCTION("""COMPUTED_VALUE"""),"https://techcombank.com/thong-tin/blog/nop-thue-hai-quan")</f>
        <v>https://techcombank.com/thong-tin/blog/nop-thue-hai-quan</v>
      </c>
      <c r="AW7" s="30" t="str">
        <f>IFERROR(__xludf.DUMMYFUNCTION("""COMPUTED_VALUE"""),"kiểm tra nợ thuế doanh nghiệp")</f>
        <v>kiểm tra nợ thuế doanh nghiệp</v>
      </c>
      <c r="AX7" s="34" t="str">
        <f>IFERROR(__xludf.DUMMYFUNCTION("""COMPUTED_VALUE"""),"https://techcombank.com/thong-tin/blog/cach-tra-cuu-hoa-don-dien-tu")</f>
        <v>https://techcombank.com/thong-tin/blog/cach-tra-cuu-hoa-don-dien-tu</v>
      </c>
      <c r="AY7" s="30" t="str">
        <f>IFERROR(__xludf.DUMMYFUNCTION("""COMPUTED_VALUE"""),"tra cứu nợ thuế theo mã số thuế")</f>
        <v>tra cứu nợ thuế theo mã số thuế</v>
      </c>
      <c r="AZ7" s="34" t="str">
        <f>IFERROR(__xludf.DUMMYFUNCTION("""COMPUTED_VALUE"""),"https://techcombank.com/thong-tin/blog/kiem-tra-thue-thu-nhap-ca-nhan")</f>
        <v>https://techcombank.com/thong-tin/blog/kiem-tra-thue-thu-nhap-ca-nhan</v>
      </c>
      <c r="BA7" s="30" t="str">
        <f>IFERROR(__xludf.DUMMYFUNCTION("""COMPUTED_VALUE"""),"tra cứu nợ thuế doanh nghiệp")</f>
        <v>tra cứu nợ thuế doanh nghiệp</v>
      </c>
      <c r="BB7" s="34" t="str">
        <f>IFERROR(__xludf.DUMMYFUNCTION("""COMPUTED_VALUE"""),"https://techcombank.com/thong-tin/blog/cach-nop-thue-dien-tu")</f>
        <v>https://techcombank.com/thong-tin/blog/cach-nop-thue-dien-tu</v>
      </c>
      <c r="BC7" s="30" t="str">
        <f>IFERROR(__xludf.DUMMYFUNCTION("""COMPUTED_VALUE"""),"tra cứu nợ thuế doanh nghiệp")</f>
        <v>tra cứu nợ thuế doanh nghiệp</v>
      </c>
      <c r="BD7" s="34" t="str">
        <f>IFERROR(__xludf.DUMMYFUNCTION("""COMPUTED_VALUE"""),"https://techcombank.com/thong-tin/blog/cach-kiem-tra-tai-khoan-ngan-hang-cua-cong-ty")</f>
        <v>https://techcombank.com/thong-tin/blog/cach-kiem-tra-tai-khoan-ngan-hang-cua-cong-ty</v>
      </c>
      <c r="BE7" s="30" t="str">
        <f>IFERROR(__xludf.DUMMYFUNCTION("""COMPUTED_VALUE"""),"tra cứu nợ thuế theo mã số thuế")</f>
        <v>tra cứu nợ thuế theo mã số thuế</v>
      </c>
      <c r="BF7" s="34" t="str">
        <f>IFERROR(__xludf.DUMMYFUNCTION("""COMPUTED_VALUE"""),"https://techcombank.com/thong-tin/blog/cach-dang-ky-ma-so-thue-ho-kinh-doanh-online")</f>
        <v>https://techcombank.com/thong-tin/blog/cach-dang-ky-ma-so-thue-ho-kinh-doanh-online</v>
      </c>
      <c r="BG7" s="30" t="str">
        <f>IFERROR(__xludf.DUMMYFUNCTION("""COMPUTED_VALUE"""),"tra cứu nợ thuế theo mã số thuế")</f>
        <v>tra cứu nợ thuế theo mã số thuế</v>
      </c>
      <c r="BH7" s="34" t="str">
        <f>IFERROR(__xludf.DUMMYFUNCTION("""COMPUTED_VALUE"""),"https://techcombank.com/thong-tin/blog/tra-cuu-hoa-don-tien-dien")</f>
        <v>https://techcombank.com/thong-tin/blog/tra-cuu-hoa-don-tien-dien</v>
      </c>
      <c r="BI7" s="30" t="str">
        <f>IFERROR(__xludf.DUMMYFUNCTION("""COMPUTED_VALUE"""),"tra cứu nợ thuế doanh nghiệp")</f>
        <v>tra cứu nợ thuế doanh nghiệp</v>
      </c>
      <c r="BJ7" s="34" t="str">
        <f>IFERROR(__xludf.DUMMYFUNCTION("""COMPUTED_VALUE"""),"https://techcombank.com/thong-tin/blog/thue-thuong-mai-dien-tu")</f>
        <v>https://techcombank.com/thong-tin/blog/thue-thuong-mai-dien-tu</v>
      </c>
      <c r="BK7" s="30" t="str">
        <f>IFERROR(__xludf.DUMMYFUNCTION("""COMPUTED_VALUE"""),"kiểm tra nợ thuế doanh nghiệp")</f>
        <v>kiểm tra nợ thuế doanh nghiệp</v>
      </c>
      <c r="BL7" s="34" t="str">
        <f>IFERROR(__xludf.DUMMYFUNCTION("""COMPUTED_VALUE"""),"https://techcombank.com/thong-tin/blog/tra-luong-tien-mat")</f>
        <v>https://techcombank.com/thong-tin/blog/tra-luong-tien-mat</v>
      </c>
      <c r="BM7" s="30" t="str">
        <f>IFERROR(__xludf.DUMMYFUNCTION("""COMPUTED_VALUE"""),"kiểm tra nợ thuế doanh nghiệp")</f>
        <v>kiểm tra nợ thuế doanh nghiệp</v>
      </c>
      <c r="BN7" s="34" t="str">
        <f>IFERROR(__xludf.DUMMYFUNCTION("""COMPUTED_VALUE"""),"https://techcombank.com/thong-tin/blog/sao-ke-tai-khoan-doanh-nghiep")</f>
        <v>https://techcombank.com/thong-tin/blog/sao-ke-tai-khoan-doanh-nghiep</v>
      </c>
      <c r="BO7" s="30" t="str">
        <f>IFERROR(__xludf.DUMMYFUNCTION("""COMPUTED_VALUE"""),"kiểm tra nợ thuế doanh nghiệp")</f>
        <v>kiểm tra nợ thuế doanh nghiệp</v>
      </c>
      <c r="BP7" s="34" t="str">
        <f>IFERROR(__xludf.DUMMYFUNCTION("""COMPUTED_VALUE"""),"https://techcombank.com/thong-tin/blog/quan-ly-tai-chinh-doanh-nghiep-la-gi")</f>
        <v>https://techcombank.com/thong-tin/blog/quan-ly-tai-chinh-doanh-nghiep-la-gi</v>
      </c>
      <c r="BQ7" s="30" t="str">
        <f>IFERROR(__xludf.DUMMYFUNCTION("""COMPUTED_VALUE"""),"kiểm tra nợ thuế doanh nghiệp")</f>
        <v>kiểm tra nợ thuế doanh nghiệp</v>
      </c>
      <c r="BR7" s="34" t="str">
        <f>IFERROR(__xludf.DUMMYFUNCTION("""COMPUTED_VALUE"""),"https://techcombank.com/thong-tin/blog/cong-ty-xuat-nhap-khau")</f>
        <v>https://techcombank.com/thong-tin/blog/cong-ty-xuat-nhap-khau</v>
      </c>
      <c r="BS7" s="30" t="str">
        <f>IFERROR(__xludf.DUMMYFUNCTION("""COMPUTED_VALUE"""),"tra cứu nợ thuế theo mã số thuế")</f>
        <v>tra cứu nợ thuế theo mã số thuế</v>
      </c>
      <c r="BT7" s="34" t="str">
        <f>IFERROR(__xludf.DUMMYFUNCTION("""COMPUTED_VALUE"""),"https://techcombank.com/thong-tin/blog/cach-tinh-thue-thu-nhap-ca-nhan-2025")</f>
        <v>https://techcombank.com/thong-tin/blog/cach-tinh-thue-thu-nhap-ca-nhan-2025</v>
      </c>
      <c r="BU7" s="30"/>
      <c r="BV7" s="30"/>
      <c r="BW7" s="30"/>
      <c r="BX7" s="30"/>
      <c r="BY7" s="30"/>
      <c r="BZ7" s="30"/>
      <c r="CA7" s="30"/>
      <c r="CB7" s="30"/>
      <c r="CC7" s="30"/>
      <c r="CD7" s="30"/>
      <c r="CE7" s="30"/>
      <c r="CF7" s="30"/>
      <c r="CG7" s="30"/>
      <c r="CH7" s="30"/>
      <c r="CI7" s="30"/>
      <c r="CJ7" s="30"/>
      <c r="CK7" s="30"/>
      <c r="CL7" s="30"/>
      <c r="CM7" s="30"/>
      <c r="CN7" s="30"/>
      <c r="CO7" s="30"/>
      <c r="CP7" s="30"/>
      <c r="CQ7" s="30"/>
      <c r="CR7" s="30"/>
      <c r="CS7" s="30"/>
      <c r="CT7" s="30"/>
      <c r="CU7" s="30"/>
      <c r="CV7" s="30"/>
      <c r="CW7" s="30"/>
      <c r="CX7" s="30"/>
      <c r="CY7" s="30"/>
      <c r="CZ7" s="30"/>
      <c r="DA7" s="30"/>
      <c r="DB7" s="30"/>
      <c r="DC7" s="30"/>
      <c r="DD7" s="30"/>
      <c r="DE7" s="30"/>
      <c r="DF7" s="30"/>
      <c r="DG7" s="30"/>
      <c r="DH7" s="30"/>
      <c r="DI7" s="30"/>
      <c r="DJ7" s="30"/>
      <c r="DK7" s="30"/>
      <c r="DL7" s="30"/>
      <c r="DM7" s="30"/>
      <c r="DN7" s="30"/>
      <c r="DO7" s="30"/>
      <c r="DP7" s="30"/>
      <c r="DQ7" s="30"/>
      <c r="DR7" s="30"/>
      <c r="DS7" s="30"/>
      <c r="DT7" s="30"/>
      <c r="DU7" s="30"/>
      <c r="DV7" s="30"/>
      <c r="DW7" s="30"/>
      <c r="DX7" s="30"/>
      <c r="DY7" s="30"/>
      <c r="DZ7" s="30"/>
      <c r="EA7" s="30"/>
      <c r="EB7" s="30"/>
      <c r="EC7" s="30"/>
      <c r="ED7" s="30"/>
      <c r="EE7" s="30"/>
      <c r="EF7" s="30"/>
      <c r="EG7" s="30"/>
      <c r="EH7" s="30"/>
      <c r="EI7" s="30"/>
      <c r="EJ7" s="30"/>
      <c r="EK7" s="30"/>
      <c r="EL7" s="30"/>
      <c r="EM7" s="30"/>
      <c r="EN7" s="30"/>
      <c r="EO7" s="30"/>
      <c r="EP7" s="30"/>
      <c r="EQ7" s="30"/>
      <c r="ER7" s="30"/>
      <c r="ES7" s="30"/>
      <c r="ET7" s="30"/>
      <c r="EU7" s="30"/>
      <c r="EV7" s="30"/>
      <c r="EW7" s="30"/>
      <c r="EX7" s="30"/>
      <c r="EY7" s="30"/>
      <c r="EZ7" s="30"/>
      <c r="FA7" s="30"/>
      <c r="FB7" s="30"/>
      <c r="FC7" s="30"/>
      <c r="FD7" s="30"/>
      <c r="FE7" s="30"/>
      <c r="FF7" s="30"/>
      <c r="FG7" s="30"/>
      <c r="FH7" s="30"/>
      <c r="FI7" s="30"/>
      <c r="FJ7" s="30"/>
      <c r="FK7" s="30"/>
      <c r="FL7" s="30"/>
      <c r="FM7" s="30"/>
      <c r="FN7" s="30"/>
      <c r="FO7" s="30"/>
      <c r="FP7" s="30"/>
      <c r="FQ7" s="30"/>
      <c r="FR7" s="30"/>
      <c r="FS7" s="30"/>
      <c r="FT7" s="30"/>
      <c r="FU7" s="30"/>
      <c r="FV7" s="30"/>
      <c r="FW7" s="30"/>
      <c r="FX7" s="30"/>
      <c r="FY7" s="30"/>
      <c r="FZ7" s="30"/>
      <c r="GA7" s="30"/>
      <c r="GB7" s="30"/>
      <c r="GC7" s="30"/>
      <c r="GD7" s="30"/>
      <c r="GE7" s="30"/>
      <c r="GF7" s="30"/>
      <c r="GG7" s="30"/>
      <c r="GH7" s="30"/>
      <c r="GI7" s="30"/>
      <c r="GJ7" s="30"/>
      <c r="GK7" s="30"/>
      <c r="GL7" s="30"/>
      <c r="GM7" s="30"/>
      <c r="GN7" s="30"/>
      <c r="GO7" s="30"/>
      <c r="GP7" s="30"/>
      <c r="GQ7" s="30"/>
      <c r="GR7" s="30"/>
      <c r="GS7" s="30"/>
      <c r="GT7" s="30"/>
      <c r="GU7" s="30"/>
      <c r="GV7" s="30"/>
      <c r="GW7" s="30"/>
      <c r="GX7" s="30"/>
      <c r="GY7" s="30"/>
      <c r="GZ7" s="30"/>
      <c r="HA7" s="30"/>
      <c r="HB7" s="30"/>
      <c r="HC7" s="30"/>
      <c r="HD7" s="30"/>
      <c r="HE7" s="30"/>
      <c r="HF7" s="30"/>
      <c r="HG7" s="30"/>
      <c r="HH7" s="30"/>
      <c r="HI7" s="30"/>
      <c r="HJ7" s="30"/>
      <c r="HK7" s="30"/>
      <c r="HL7" s="30"/>
      <c r="HM7" s="30"/>
      <c r="HN7" s="30"/>
      <c r="HO7" s="30"/>
      <c r="HP7" s="30"/>
      <c r="HQ7" s="30"/>
      <c r="HR7" s="30"/>
      <c r="HS7" s="30"/>
      <c r="HT7" s="30"/>
      <c r="HU7" s="30"/>
      <c r="HV7" s="30"/>
      <c r="HW7" s="30"/>
      <c r="HX7" s="30"/>
      <c r="HY7" s="30"/>
      <c r="HZ7" s="30"/>
      <c r="IA7" s="30"/>
      <c r="IB7" s="30"/>
      <c r="IC7" s="30"/>
      <c r="ID7" s="30"/>
      <c r="IE7" s="30"/>
      <c r="IF7" s="30"/>
      <c r="IG7" s="30"/>
      <c r="IH7" s="30"/>
      <c r="II7" s="30"/>
      <c r="IJ7" s="30"/>
      <c r="IK7" s="30"/>
      <c r="IL7" s="30"/>
      <c r="IM7" s="30"/>
      <c r="IN7" s="30"/>
      <c r="IO7" s="30"/>
      <c r="IP7" s="30"/>
      <c r="IQ7" s="30"/>
      <c r="IR7" s="30"/>
      <c r="IS7" s="30"/>
      <c r="IT7" s="30"/>
      <c r="IU7" s="30"/>
      <c r="IV7" s="30"/>
      <c r="IW7" s="30"/>
      <c r="IX7" s="30"/>
      <c r="IY7" s="30"/>
      <c r="IZ7" s="30"/>
      <c r="JA7" s="30"/>
      <c r="JB7" s="30"/>
      <c r="JC7" s="30"/>
      <c r="JD7" s="30"/>
      <c r="JE7" s="30"/>
      <c r="JF7" s="30"/>
      <c r="JG7" s="30"/>
      <c r="JH7" s="30"/>
      <c r="JI7" s="30"/>
      <c r="JJ7" s="30"/>
      <c r="JK7" s="30"/>
      <c r="JL7" s="30"/>
      <c r="JM7" s="30"/>
      <c r="JN7" s="30"/>
      <c r="JO7" s="30"/>
      <c r="JP7" s="30"/>
      <c r="JQ7" s="30"/>
      <c r="JR7" s="30"/>
      <c r="JS7" s="30"/>
      <c r="JT7" s="30"/>
      <c r="JU7" s="30"/>
      <c r="JV7" s="30"/>
      <c r="JW7" s="30"/>
      <c r="JX7" s="30"/>
      <c r="JY7" s="30"/>
      <c r="JZ7" s="30"/>
      <c r="KA7" s="30"/>
      <c r="KB7" s="30"/>
      <c r="KC7" s="30"/>
      <c r="KD7" s="30"/>
      <c r="KE7" s="30"/>
      <c r="KF7" s="30"/>
      <c r="KG7" s="30"/>
      <c r="KH7" s="30"/>
      <c r="KI7" s="30"/>
      <c r="KJ7" s="30"/>
      <c r="KK7" s="30"/>
      <c r="KL7" s="30"/>
      <c r="KM7" s="30"/>
      <c r="KN7" s="30"/>
      <c r="KO7" s="30"/>
      <c r="KP7" s="30"/>
      <c r="KQ7" s="30"/>
      <c r="KR7" s="30"/>
      <c r="KS7" s="30"/>
      <c r="KT7" s="30"/>
      <c r="KU7" s="30"/>
      <c r="KV7" s="30"/>
      <c r="KW7" s="30"/>
      <c r="KX7" s="30"/>
      <c r="KY7" s="30"/>
      <c r="KZ7" s="30"/>
      <c r="LA7" s="30"/>
      <c r="LB7" s="30"/>
      <c r="LC7" s="30"/>
      <c r="LD7" s="30"/>
      <c r="LE7" s="30"/>
      <c r="LF7" s="30"/>
      <c r="LG7" s="30"/>
      <c r="LH7" s="30"/>
      <c r="LI7" s="30"/>
      <c r="LJ7" s="30"/>
      <c r="LK7" s="30"/>
      <c r="LL7" s="30"/>
      <c r="LM7" s="30"/>
      <c r="LN7" s="30"/>
      <c r="LO7" s="30"/>
      <c r="LP7" s="30"/>
      <c r="LQ7" s="30"/>
      <c r="LR7" s="30"/>
      <c r="LS7" s="30"/>
      <c r="LT7" s="30"/>
      <c r="LU7" s="30"/>
      <c r="LV7" s="30"/>
      <c r="LW7" s="30"/>
      <c r="LX7" s="30"/>
      <c r="LY7" s="30"/>
      <c r="LZ7" s="30"/>
      <c r="MA7" s="30"/>
      <c r="MB7" s="30"/>
      <c r="MC7" s="30"/>
      <c r="MD7" s="30"/>
      <c r="ME7" s="30"/>
      <c r="MF7" s="30"/>
      <c r="MG7" s="30"/>
      <c r="MH7" s="30"/>
      <c r="MI7" s="30"/>
      <c r="MJ7" s="30"/>
      <c r="MK7" s="30"/>
      <c r="ML7" s="30"/>
      <c r="MM7" s="30"/>
      <c r="MN7" s="30"/>
      <c r="MO7" s="30"/>
      <c r="MP7" s="30"/>
      <c r="MQ7" s="30"/>
      <c r="MR7" s="30"/>
      <c r="MS7" s="30"/>
      <c r="MT7" s="30"/>
      <c r="MU7" s="30"/>
      <c r="MV7" s="30"/>
      <c r="MW7" s="30"/>
      <c r="MX7" s="30"/>
      <c r="MY7" s="30"/>
      <c r="MZ7" s="30"/>
      <c r="NA7" s="30"/>
      <c r="NB7" s="30"/>
      <c r="NC7" s="30"/>
      <c r="ND7" s="30"/>
      <c r="NE7" s="30"/>
      <c r="NF7" s="30"/>
      <c r="NG7" s="30"/>
      <c r="NH7" s="30"/>
      <c r="NI7" s="30"/>
      <c r="NJ7" s="30"/>
      <c r="NK7" s="30"/>
      <c r="NL7" s="30"/>
      <c r="NM7" s="30"/>
      <c r="NN7" s="30"/>
      <c r="NO7" s="30"/>
      <c r="NP7" s="30"/>
      <c r="NQ7" s="30"/>
      <c r="NR7" s="30"/>
      <c r="NS7" s="30"/>
      <c r="NT7" s="30"/>
      <c r="NU7" s="30"/>
      <c r="NV7" s="30"/>
      <c r="NW7" s="30"/>
      <c r="NX7" s="30"/>
      <c r="NY7" s="30"/>
      <c r="NZ7" s="30"/>
      <c r="OA7" s="30"/>
      <c r="OB7" s="30"/>
      <c r="OC7" s="30"/>
      <c r="OD7" s="30"/>
      <c r="OE7" s="30"/>
      <c r="OF7" s="30"/>
      <c r="OG7" s="30"/>
      <c r="OH7" s="30"/>
      <c r="OI7" s="30"/>
      <c r="OJ7" s="30"/>
      <c r="OK7" s="30"/>
      <c r="OL7" s="30"/>
      <c r="OM7" s="30"/>
      <c r="ON7" s="30"/>
      <c r="OO7" s="30"/>
      <c r="OP7" s="30"/>
      <c r="OQ7" s="30"/>
      <c r="OR7" s="30"/>
      <c r="OS7" s="30"/>
      <c r="OT7" s="30"/>
      <c r="OU7" s="30"/>
      <c r="OV7" s="30"/>
    </row>
    <row r="8" ht="18.0" customHeight="1">
      <c r="A8" s="29">
        <v>7.0</v>
      </c>
      <c r="B8" s="30" t="s">
        <v>487</v>
      </c>
      <c r="C8" s="31" t="s">
        <v>1059</v>
      </c>
      <c r="D8" s="30" t="s">
        <v>701</v>
      </c>
      <c r="E8" s="29">
        <v>30.0</v>
      </c>
      <c r="F8" s="29">
        <f>COUNTIF('Tổng hợp 75 trang đích'!$B$2:$B$3400,$D8)</f>
        <v>30</v>
      </c>
      <c r="G8" s="29">
        <f>COUNTIFS('Tổng hợp 75 trang đích'!$B$2:$B$3400,$D8,'Tổng hợp 75 trang đích'!$K$2:$K$3400,"PHÙ HỢP CAO")</f>
        <v>3</v>
      </c>
      <c r="H8" s="29">
        <f>COUNTIFS('Tổng hợp 75 trang đích'!$B$2:$B$3400,$D8,'Tổng hợp 75 trang đích'!$K$2:$K$3400,"CÓ THỂ ĐI")</f>
        <v>2</v>
      </c>
      <c r="I8" s="29">
        <f>COUNTIFS('Tổng hợp 75 trang đích'!$B$2:$B$3400,$D8,'Tổng hợp 75 trang đích'!$K$2:$K$3400,"CẦN SOÁT")</f>
        <v>25</v>
      </c>
      <c r="J8" s="32" t="s">
        <v>714</v>
      </c>
      <c r="K8" s="32" t="b">
        <v>0</v>
      </c>
      <c r="L8" s="33" t="s">
        <v>52</v>
      </c>
      <c r="M8" s="30" t="str">
        <f>IFERROR(__xludf.DUMMYFUNCTION("IFERROR(TOROW(CHOOSECOLS(SORT(FILTER({'Tổng hợp 75 trang đích'!$J$2:$J$3400,'Tổng hợp 75 trang đích'!$I$2:$I$3400,MATCH('Tổng hợp 75 trang đích'!$K$2:$K$3400,{""PHÙ HỢP CAO"",""CÓ THỂ ĐI"",""CẦN SOÁT""},0)},'Tổng hợp 75 trang đích'!$B$2:$B$3400=$D8),3,TRU"&amp;"E),1,2)),"""")"),"thuế doanh nghiệp")</f>
        <v>thuế doanh nghiệp</v>
      </c>
      <c r="N8" s="34" t="str">
        <f>IFERROR(__xludf.DUMMYFUNCTION("""COMPUTED_VALUE"""),"https://techcombank.com/thong-tin/blog/giai-dap-ve-thue-doanh-nghiep")</f>
        <v>https://techcombank.com/thong-tin/blog/giai-dap-ve-thue-doanh-nghiep</v>
      </c>
      <c r="O8" s="30" t="str">
        <f>IFERROR(__xludf.DUMMYFUNCTION("""COMPUTED_VALUE"""),"thuế doanh nghiệp")</f>
        <v>thuế doanh nghiệp</v>
      </c>
      <c r="P8" s="34" t="str">
        <f>IFERROR(__xludf.DUMMYFUNCTION("""COMPUTED_VALUE"""),"https://techcombank.com/thong-tin/blog/hieu-hiet-ve-tuan-thu-thue-cho-cac-doanh-nghiep-khoi-nghiep")</f>
        <v>https://techcombank.com/thong-tin/blog/hieu-hiet-ve-tuan-thu-thue-cho-cac-doanh-nghiep-khoi-nghiep</v>
      </c>
      <c r="Q8" s="30" t="str">
        <f>IFERROR(__xludf.DUMMYFUNCTION("""COMPUTED_VALUE"""),"thuế doanh nghiệp")</f>
        <v>thuế doanh nghiệp</v>
      </c>
      <c r="R8" s="34" t="str">
        <f>IFERROR(__xludf.DUMMYFUNCTION("""COMPUTED_VALUE"""),"https://techcombank.com/thong-tin/blog/thue-phi-co-dinh-khi-chuyen-doi-tu-ho-kinh-doanh-len-doanh-nghiep")</f>
        <v>https://techcombank.com/thong-tin/blog/thue-phi-co-dinh-khi-chuyen-doi-tu-ho-kinh-doanh-len-doanh-nghiep</v>
      </c>
      <c r="S8" s="30" t="str">
        <f>IFERROR(__xludf.DUMMYFUNCTION("""COMPUTED_VALUE"""),"thuế doanh nghiệp")</f>
        <v>thuế doanh nghiệp</v>
      </c>
      <c r="T8" s="34" t="str">
        <f>IFERROR(__xludf.DUMMYFUNCTION("""COMPUTED_VALUE"""),"https://techcombank.com/thong-tin/blog/thue-doanh-nghiep-2025")</f>
        <v>https://techcombank.com/thong-tin/blog/thue-doanh-nghiep-2025</v>
      </c>
      <c r="U8" s="30" t="str">
        <f>IFERROR(__xludf.DUMMYFUNCTION("""COMPUTED_VALUE"""),"các loại thuế doanh nghiệp phải nộp")</f>
        <v>các loại thuế doanh nghiệp phải nộp</v>
      </c>
      <c r="V8" s="34" t="str">
        <f>IFERROR(__xludf.DUMMYFUNCTION("""COMPUTED_VALUE"""),"https://techcombank.com/thong-tin/blog/dieu-kien-thanh-lap-doanh-nghiep")</f>
        <v>https://techcombank.com/thong-tin/blog/dieu-kien-thanh-lap-doanh-nghiep</v>
      </c>
      <c r="W8" s="30" t="str">
        <f>IFERROR(__xludf.DUMMYFUNCTION("""COMPUTED_VALUE"""),"doanh nghiệp phải nộp những loại thuế nào")</f>
        <v>doanh nghiệp phải nộp những loại thuế nào</v>
      </c>
      <c r="X8" s="34" t="str">
        <f>IFERROR(__xludf.DUMMYFUNCTION("""COMPUTED_VALUE"""),"https://techcombank.com/thong-tin/blog/huong-dan-dang-ky-thanh-lap-doanh-nghiep")</f>
        <v>https://techcombank.com/thong-tin/blog/huong-dan-dang-ky-thanh-lap-doanh-nghiep</v>
      </c>
      <c r="Y8" s="30" t="str">
        <f>IFERROR(__xludf.DUMMYFUNCTION("""COMPUTED_VALUE"""),"thuế doanh nghiệp")</f>
        <v>thuế doanh nghiệp</v>
      </c>
      <c r="Z8" s="34" t="str">
        <f>IFERROR(__xludf.DUMMYFUNCTION("""COMPUTED_VALUE"""),"https://techcombank.com/thong-tin/blog/hoan-thue-doanh-nghiep")</f>
        <v>https://techcombank.com/thong-tin/blog/hoan-thue-doanh-nghiep</v>
      </c>
      <c r="AA8" s="30" t="str">
        <f>IFERROR(__xludf.DUMMYFUNCTION("""COMPUTED_VALUE"""),"thuế doanh nghiệp")</f>
        <v>thuế doanh nghiệp</v>
      </c>
      <c r="AB8" s="34" t="str">
        <f>IFERROR(__xludf.DUMMYFUNCTION("""COMPUTED_VALUE"""),"https://techcombank.com/thong-tin/blog/dang-ky-thanh-lap-doanh-nghiep")</f>
        <v>https://techcombank.com/thong-tin/blog/dang-ky-thanh-lap-doanh-nghiep</v>
      </c>
      <c r="AC8" s="30" t="str">
        <f>IFERROR(__xludf.DUMMYFUNCTION("""COMPUTED_VALUE"""),"thuế doanh nghiệp")</f>
        <v>thuế doanh nghiệp</v>
      </c>
      <c r="AD8" s="34" t="str">
        <f>IFERROR(__xludf.DUMMYFUNCTION("""COMPUTED_VALUE"""),"https://techcombank.com/thong-tin/blog/cach-tinh-thue-thu-nhap-doanh-nghiep")</f>
        <v>https://techcombank.com/thong-tin/blog/cach-tinh-thue-thu-nhap-doanh-nghiep</v>
      </c>
      <c r="AE8" s="30" t="str">
        <f>IFERROR(__xludf.DUMMYFUNCTION("""COMPUTED_VALUE"""),"thuế doanh nghiệp")</f>
        <v>thuế doanh nghiệp</v>
      </c>
      <c r="AF8" s="34" t="str">
        <f>IFERROR(__xludf.DUMMYFUNCTION("""COMPUTED_VALUE"""),"https://techcombank.com/thong-tin/blog/kiem-tra-ma-so-thue-doanh-nghiep")</f>
        <v>https://techcombank.com/thong-tin/blog/kiem-tra-ma-so-thue-doanh-nghiep</v>
      </c>
      <c r="AG8" s="30" t="str">
        <f>IFERROR(__xludf.DUMMYFUNCTION("""COMPUTED_VALUE"""),"thuế doanh nghiệp")</f>
        <v>thuế doanh nghiệp</v>
      </c>
      <c r="AH8" s="34" t="str">
        <f>IFERROR(__xludf.DUMMYFUNCTION("""COMPUTED_VALUE"""),"https://techcombank.com/thong-tin/blog/chinh-sach-thue-moi")</f>
        <v>https://techcombank.com/thong-tin/blog/chinh-sach-thue-moi</v>
      </c>
      <c r="AI8" s="30" t="str">
        <f>IFERROR(__xludf.DUMMYFUNCTION("""COMPUTED_VALUE"""),"thuế doanh nghiệp")</f>
        <v>thuế doanh nghiệp</v>
      </c>
      <c r="AJ8" s="34" t="str">
        <f>IFERROR(__xludf.DUMMYFUNCTION("""COMPUTED_VALUE"""),"https://techcombank.com/thong-tin/blog/ho-so-dang-ky-thanh-lap-doanh-nghiep")</f>
        <v>https://techcombank.com/thong-tin/blog/ho-so-dang-ky-thanh-lap-doanh-nghiep</v>
      </c>
      <c r="AK8" s="30" t="str">
        <f>IFERROR(__xludf.DUMMYFUNCTION("""COMPUTED_VALUE"""),"thuế doanh nghiệp")</f>
        <v>thuế doanh nghiệp</v>
      </c>
      <c r="AL8" s="34" t="str">
        <f>IFERROR(__xludf.DUMMYFUNCTION("""COMPUTED_VALUE"""),"https://techcombank.com/thong-tin/blog/chuan-bi-cho-doanh-nghiep-khoi-nghiep-truoc-nhung-thay-doi-ve-thue")</f>
        <v>https://techcombank.com/thong-tin/blog/chuan-bi-cho-doanh-nghiep-khoi-nghiep-truoc-nhung-thay-doi-ve-thue</v>
      </c>
      <c r="AM8" s="30" t="str">
        <f>IFERROR(__xludf.DUMMYFUNCTION("""COMPUTED_VALUE"""),"thuế doanh nghiệp")</f>
        <v>thuế doanh nghiệp</v>
      </c>
      <c r="AN8" s="34" t="str">
        <f>IFERROR(__xludf.DUMMYFUNCTION("""COMPUTED_VALUE"""),"https://techcombank.com/thong-tin/blog/tim-hieu-ve-chinh-sach-thue-moi")</f>
        <v>https://techcombank.com/thong-tin/blog/tim-hieu-ve-chinh-sach-thue-moi</v>
      </c>
      <c r="AO8" s="30" t="str">
        <f>IFERROR(__xludf.DUMMYFUNCTION("""COMPUTED_VALUE"""),"thuế doanh nghiệp")</f>
        <v>thuế doanh nghiệp</v>
      </c>
      <c r="AP8" s="34" t="str">
        <f>IFERROR(__xludf.DUMMYFUNCTION("""COMPUTED_VALUE"""),"https://techcombank.com/thong-tin/blog/quyet-toan-thue-doanh-nghiep")</f>
        <v>https://techcombank.com/thong-tin/blog/quyet-toan-thue-doanh-nghiep</v>
      </c>
      <c r="AQ8" s="30" t="str">
        <f>IFERROR(__xludf.DUMMYFUNCTION("""COMPUTED_VALUE"""),"thuế doanh nghiệp")</f>
        <v>thuế doanh nghiệp</v>
      </c>
      <c r="AR8" s="34" t="str">
        <f>IFERROR(__xludf.DUMMYFUNCTION("""COMPUTED_VALUE"""),"https://techcombank.com/thong-tin/blog/ke-khai-thue-doanh-nghiep")</f>
        <v>https://techcombank.com/thong-tin/blog/ke-khai-thue-doanh-nghiep</v>
      </c>
      <c r="AS8" s="30" t="str">
        <f>IFERROR(__xludf.DUMMYFUNCTION("""COMPUTED_VALUE"""),"thuế doanh nghiệp")</f>
        <v>thuế doanh nghiệp</v>
      </c>
      <c r="AT8" s="34" t="str">
        <f>IFERROR(__xludf.DUMMYFUNCTION("""COMPUTED_VALUE"""),"https://techcombank.com/thong-tin/blog/dang-ky-thanh-lap-doanh-nghiep-online")</f>
        <v>https://techcombank.com/thong-tin/blog/dang-ky-thanh-lap-doanh-nghiep-online</v>
      </c>
      <c r="AU8" s="30" t="str">
        <f>IFERROR(__xludf.DUMMYFUNCTION("""COMPUTED_VALUE"""),"thuế doanh nghiệp")</f>
        <v>thuế doanh nghiệp</v>
      </c>
      <c r="AV8" s="34" t="str">
        <f>IFERROR(__xludf.DUMMYFUNCTION("""COMPUTED_VALUE"""),"https://techcombank.com/thong-tin/blog/tra-cuu-no-thue-doanh-nghiep")</f>
        <v>https://techcombank.com/thong-tin/blog/tra-cuu-no-thue-doanh-nghiep</v>
      </c>
      <c r="AW8" s="30" t="str">
        <f>IFERROR(__xludf.DUMMYFUNCTION("""COMPUTED_VALUE"""),"thuế doanh nghiệp")</f>
        <v>thuế doanh nghiệp</v>
      </c>
      <c r="AX8" s="34" t="str">
        <f>IFERROR(__xludf.DUMMYFUNCTION("""COMPUTED_VALUE"""),"https://techcombank.com/thong-tin/blog/thu-tuc-thanh-lap-doanh-nghiep")</f>
        <v>https://techcombank.com/thong-tin/blog/thu-tuc-thanh-lap-doanh-nghiep</v>
      </c>
      <c r="AY8" s="30" t="str">
        <f>IFERROR(__xludf.DUMMYFUNCTION("""COMPUTED_VALUE"""),"thuế doanh nghiệp")</f>
        <v>thuế doanh nghiệp</v>
      </c>
      <c r="AZ8" s="34" t="str">
        <f>IFERROR(__xludf.DUMMYFUNCTION("""COMPUTED_VALUE"""),"https://techcombank.com/thong-tin/blog/cach-nop-thue-dien-tu")</f>
        <v>https://techcombank.com/thong-tin/blog/cach-nop-thue-dien-tu</v>
      </c>
      <c r="BA8" s="30" t="str">
        <f>IFERROR(__xludf.DUMMYFUNCTION("""COMPUTED_VALUE"""),"thuế doanh nghiệp")</f>
        <v>thuế doanh nghiệp</v>
      </c>
      <c r="BB8" s="34" t="str">
        <f>IFERROR(__xludf.DUMMYFUNCTION("""COMPUTED_VALUE"""),"https://techcombank.com/thong-tin/blog/chuyen-doi-ho-kinh-doanh-len-doanh-nghiep")</f>
        <v>https://techcombank.com/thong-tin/blog/chuyen-doi-ho-kinh-doanh-len-doanh-nghiep</v>
      </c>
      <c r="BC8" s="30" t="str">
        <f>IFERROR(__xludf.DUMMYFUNCTION("""COMPUTED_VALUE"""),"thuế doanh nghiệp")</f>
        <v>thuế doanh nghiệp</v>
      </c>
      <c r="BD8" s="34" t="str">
        <f>IFERROR(__xludf.DUMMYFUNCTION("""COMPUTED_VALUE"""),"https://techcombank.com/thong-tin/blog/nen-thanh-lap-ho-kinh-doanh-ke-khai-hay-doanh-nghiep")</f>
        <v>https://techcombank.com/thong-tin/blog/nen-thanh-lap-ho-kinh-doanh-ke-khai-hay-doanh-nghiep</v>
      </c>
      <c r="BE8" s="30" t="str">
        <f>IFERROR(__xludf.DUMMYFUNCTION("""COMPUTED_VALUE"""),"thuế doanh nghiệp")</f>
        <v>thuế doanh nghiệp</v>
      </c>
      <c r="BF8" s="34" t="str">
        <f>IFERROR(__xludf.DUMMYFUNCTION("""COMPUTED_VALUE"""),"https://techcombank.com/thong-tin/blog/thue-thu-nhap-doanh-nghiep")</f>
        <v>https://techcombank.com/thong-tin/blog/thue-thu-nhap-doanh-nghiep</v>
      </c>
      <c r="BG8" s="30" t="str">
        <f>IFERROR(__xludf.DUMMYFUNCTION("""COMPUTED_VALUE"""),"các loại thuế doanh nghiệp phải nộp")</f>
        <v>các loại thuế doanh nghiệp phải nộp</v>
      </c>
      <c r="BH8" s="34" t="str">
        <f>IFERROR(__xludf.DUMMYFUNCTION("""COMPUTED_VALUE"""),"https://techcombank.com/thong-tin/blog/nhung-chi-phi-khong-duoc-tru-khi-tinh-thue-tndn")</f>
        <v>https://techcombank.com/thong-tin/blog/nhung-chi-phi-khong-duoc-tru-khi-tinh-thue-tndn</v>
      </c>
      <c r="BI8" s="30" t="str">
        <f>IFERROR(__xludf.DUMMYFUNCTION("""COMPUTED_VALUE"""),"thuế doanh nghiệp")</f>
        <v>thuế doanh nghiệp</v>
      </c>
      <c r="BJ8" s="34" t="str">
        <f>IFERROR(__xludf.DUMMYFUNCTION("""COMPUTED_VALUE"""),"https://techcombank.com/thong-tin/blog/ho-kinh-doanh-ca-the")</f>
        <v>https://techcombank.com/thong-tin/blog/ho-kinh-doanh-ca-the</v>
      </c>
      <c r="BK8" s="30" t="str">
        <f>IFERROR(__xludf.DUMMYFUNCTION("""COMPUTED_VALUE"""),"thuế doanh nghiệp")</f>
        <v>thuế doanh nghiệp</v>
      </c>
      <c r="BL8" s="34" t="str">
        <f>IFERROR(__xludf.DUMMYFUNCTION("""COMPUTED_VALUE"""),"https://techcombank.com/thong-tin/blog/tra-cuu-no-thue-hai-quan")</f>
        <v>https://techcombank.com/thong-tin/blog/tra-cuu-no-thue-hai-quan</v>
      </c>
      <c r="BM8" s="30" t="str">
        <f>IFERROR(__xludf.DUMMYFUNCTION("""COMPUTED_VALUE"""),"thuế doanh nghiệp")</f>
        <v>thuế doanh nghiệp</v>
      </c>
      <c r="BN8" s="34" t="str">
        <f>IFERROR(__xludf.DUMMYFUNCTION("""COMPUTED_VALUE"""),"https://techcombank.com/thong-tin/blog/cac-sai-lam-pho-bien-khi-chuyen-doi-ho-kinh-doanh-len-sme")</f>
        <v>https://techcombank.com/thong-tin/blog/cac-sai-lam-pho-bien-khi-chuyen-doi-ho-kinh-doanh-len-sme</v>
      </c>
      <c r="BO8" s="30" t="str">
        <f>IFERROR(__xludf.DUMMYFUNCTION("""COMPUTED_VALUE"""),"thuế doanh nghiệp")</f>
        <v>thuế doanh nghiệp</v>
      </c>
      <c r="BP8" s="34" t="str">
        <f>IFERROR(__xludf.DUMMYFUNCTION("""COMPUTED_VALUE"""),"https://techcombank.com/thong-tin/blog/cong-ty-su-dung-tai-khoan-ca-nhan")</f>
        <v>https://techcombank.com/thong-tin/blog/cong-ty-su-dung-tai-khoan-ca-nhan</v>
      </c>
      <c r="BQ8" s="30" t="str">
        <f>IFERROR(__xludf.DUMMYFUNCTION("""COMPUTED_VALUE"""),"thuế doanh nghiệp")</f>
        <v>thuế doanh nghiệp</v>
      </c>
      <c r="BR8" s="34" t="str">
        <f>IFERROR(__xludf.DUMMYFUNCTION("""COMPUTED_VALUE"""),"https://techcombank.com/thong-tin/blog/doanh-nghiep-moi-thanh-lap-duoc-uu-dai-gi")</f>
        <v>https://techcombank.com/thong-tin/blog/doanh-nghiep-moi-thanh-lap-duoc-uu-dai-gi</v>
      </c>
      <c r="BS8" s="30" t="str">
        <f>IFERROR(__xludf.DUMMYFUNCTION("""COMPUTED_VALUE"""),"thuế doanh nghiệp")</f>
        <v>thuế doanh nghiệp</v>
      </c>
      <c r="BT8" s="34" t="str">
        <f>IFERROR(__xludf.DUMMYFUNCTION("""COMPUTED_VALUE"""),"https://techcombank.com/thong-tin/blog/kinh-nghiem-chuyen-doi-tu-ho-kinh-doanh-len-doanh-nghiep")</f>
        <v>https://techcombank.com/thong-tin/blog/kinh-nghiem-chuyen-doi-tu-ho-kinh-doanh-len-doanh-nghiep</v>
      </c>
      <c r="BU8" s="30"/>
      <c r="BV8" s="30"/>
      <c r="BW8" s="30"/>
      <c r="BX8" s="30"/>
      <c r="BY8" s="30"/>
      <c r="BZ8" s="30"/>
      <c r="CA8" s="30"/>
      <c r="CB8" s="30"/>
      <c r="CC8" s="30"/>
      <c r="CD8" s="30"/>
      <c r="CE8" s="30"/>
      <c r="CF8" s="30"/>
      <c r="CG8" s="30"/>
      <c r="CH8" s="30"/>
      <c r="CI8" s="30"/>
      <c r="CJ8" s="30"/>
      <c r="CK8" s="30"/>
      <c r="CL8" s="30"/>
      <c r="CM8" s="30"/>
      <c r="CN8" s="30"/>
      <c r="CO8" s="30"/>
      <c r="CP8" s="30"/>
      <c r="CQ8" s="30"/>
      <c r="CR8" s="30"/>
      <c r="CS8" s="30"/>
      <c r="CT8" s="30"/>
      <c r="CU8" s="30"/>
      <c r="CV8" s="30"/>
      <c r="CW8" s="30"/>
      <c r="CX8" s="30"/>
      <c r="CY8" s="30"/>
      <c r="CZ8" s="30"/>
      <c r="DA8" s="30"/>
      <c r="DB8" s="30"/>
      <c r="DC8" s="30"/>
      <c r="DD8" s="30"/>
      <c r="DE8" s="30"/>
      <c r="DF8" s="30"/>
      <c r="DG8" s="30"/>
      <c r="DH8" s="30"/>
      <c r="DI8" s="30"/>
      <c r="DJ8" s="30"/>
      <c r="DK8" s="30"/>
      <c r="DL8" s="30"/>
      <c r="DM8" s="30"/>
      <c r="DN8" s="30"/>
      <c r="DO8" s="30"/>
      <c r="DP8" s="30"/>
      <c r="DQ8" s="30"/>
      <c r="DR8" s="30"/>
      <c r="DS8" s="30"/>
      <c r="DT8" s="30"/>
      <c r="DU8" s="30"/>
      <c r="DV8" s="30"/>
      <c r="DW8" s="30"/>
      <c r="DX8" s="30"/>
      <c r="DY8" s="30"/>
      <c r="DZ8" s="30"/>
      <c r="EA8" s="30"/>
      <c r="EB8" s="30"/>
      <c r="EC8" s="30"/>
      <c r="ED8" s="30"/>
      <c r="EE8" s="30"/>
      <c r="EF8" s="30"/>
      <c r="EG8" s="30"/>
      <c r="EH8" s="30"/>
      <c r="EI8" s="30"/>
      <c r="EJ8" s="30"/>
      <c r="EK8" s="30"/>
      <c r="EL8" s="30"/>
      <c r="EM8" s="30"/>
      <c r="EN8" s="30"/>
      <c r="EO8" s="30"/>
      <c r="EP8" s="30"/>
      <c r="EQ8" s="30"/>
      <c r="ER8" s="30"/>
      <c r="ES8" s="30"/>
      <c r="ET8" s="30"/>
      <c r="EU8" s="30"/>
      <c r="EV8" s="30"/>
      <c r="EW8" s="30"/>
      <c r="EX8" s="30"/>
      <c r="EY8" s="30"/>
      <c r="EZ8" s="30"/>
      <c r="FA8" s="30"/>
      <c r="FB8" s="30"/>
      <c r="FC8" s="30"/>
      <c r="FD8" s="30"/>
      <c r="FE8" s="30"/>
      <c r="FF8" s="30"/>
      <c r="FG8" s="30"/>
      <c r="FH8" s="30"/>
      <c r="FI8" s="30"/>
      <c r="FJ8" s="30"/>
      <c r="FK8" s="30"/>
      <c r="FL8" s="30"/>
      <c r="FM8" s="30"/>
      <c r="FN8" s="30"/>
      <c r="FO8" s="30"/>
      <c r="FP8" s="30"/>
      <c r="FQ8" s="30"/>
      <c r="FR8" s="30"/>
      <c r="FS8" s="30"/>
      <c r="FT8" s="30"/>
      <c r="FU8" s="30"/>
      <c r="FV8" s="30"/>
      <c r="FW8" s="30"/>
      <c r="FX8" s="30"/>
      <c r="FY8" s="30"/>
      <c r="FZ8" s="30"/>
      <c r="GA8" s="30"/>
      <c r="GB8" s="30"/>
      <c r="GC8" s="30"/>
      <c r="GD8" s="30"/>
      <c r="GE8" s="30"/>
      <c r="GF8" s="30"/>
      <c r="GG8" s="30"/>
      <c r="GH8" s="30"/>
      <c r="GI8" s="30"/>
      <c r="GJ8" s="30"/>
      <c r="GK8" s="30"/>
      <c r="GL8" s="30"/>
      <c r="GM8" s="30"/>
      <c r="GN8" s="30"/>
      <c r="GO8" s="30"/>
      <c r="GP8" s="30"/>
      <c r="GQ8" s="30"/>
      <c r="GR8" s="30"/>
      <c r="GS8" s="30"/>
      <c r="GT8" s="30"/>
      <c r="GU8" s="30"/>
      <c r="GV8" s="30"/>
      <c r="GW8" s="30"/>
      <c r="GX8" s="30"/>
      <c r="GY8" s="30"/>
      <c r="GZ8" s="30"/>
      <c r="HA8" s="30"/>
      <c r="HB8" s="30"/>
      <c r="HC8" s="30"/>
      <c r="HD8" s="30"/>
      <c r="HE8" s="30"/>
      <c r="HF8" s="30"/>
      <c r="HG8" s="30"/>
      <c r="HH8" s="30"/>
      <c r="HI8" s="30"/>
      <c r="HJ8" s="30"/>
      <c r="HK8" s="30"/>
      <c r="HL8" s="30"/>
      <c r="HM8" s="30"/>
      <c r="HN8" s="30"/>
      <c r="HO8" s="30"/>
      <c r="HP8" s="30"/>
      <c r="HQ8" s="30"/>
      <c r="HR8" s="30"/>
      <c r="HS8" s="30"/>
      <c r="HT8" s="30"/>
      <c r="HU8" s="30"/>
      <c r="HV8" s="30"/>
      <c r="HW8" s="30"/>
      <c r="HX8" s="30"/>
      <c r="HY8" s="30"/>
      <c r="HZ8" s="30"/>
      <c r="IA8" s="30"/>
      <c r="IB8" s="30"/>
      <c r="IC8" s="30"/>
      <c r="ID8" s="30"/>
      <c r="IE8" s="30"/>
      <c r="IF8" s="30"/>
      <c r="IG8" s="30"/>
      <c r="IH8" s="30"/>
      <c r="II8" s="30"/>
      <c r="IJ8" s="30"/>
      <c r="IK8" s="30"/>
      <c r="IL8" s="30"/>
      <c r="IM8" s="30"/>
      <c r="IN8" s="30"/>
      <c r="IO8" s="30"/>
      <c r="IP8" s="30"/>
      <c r="IQ8" s="30"/>
      <c r="IR8" s="30"/>
      <c r="IS8" s="30"/>
      <c r="IT8" s="30"/>
      <c r="IU8" s="30"/>
      <c r="IV8" s="30"/>
      <c r="IW8" s="30"/>
      <c r="IX8" s="30"/>
      <c r="IY8" s="30"/>
      <c r="IZ8" s="30"/>
      <c r="JA8" s="30"/>
      <c r="JB8" s="30"/>
      <c r="JC8" s="30"/>
      <c r="JD8" s="30"/>
      <c r="JE8" s="30"/>
      <c r="JF8" s="30"/>
      <c r="JG8" s="30"/>
      <c r="JH8" s="30"/>
      <c r="JI8" s="30"/>
      <c r="JJ8" s="30"/>
      <c r="JK8" s="30"/>
      <c r="JL8" s="30"/>
      <c r="JM8" s="30"/>
      <c r="JN8" s="30"/>
      <c r="JO8" s="30"/>
      <c r="JP8" s="30"/>
      <c r="JQ8" s="30"/>
      <c r="JR8" s="30"/>
      <c r="JS8" s="30"/>
      <c r="JT8" s="30"/>
      <c r="JU8" s="30"/>
      <c r="JV8" s="30"/>
      <c r="JW8" s="30"/>
      <c r="JX8" s="30"/>
      <c r="JY8" s="30"/>
      <c r="JZ8" s="30"/>
      <c r="KA8" s="30"/>
      <c r="KB8" s="30"/>
      <c r="KC8" s="30"/>
      <c r="KD8" s="30"/>
      <c r="KE8" s="30"/>
      <c r="KF8" s="30"/>
      <c r="KG8" s="30"/>
      <c r="KH8" s="30"/>
      <c r="KI8" s="30"/>
      <c r="KJ8" s="30"/>
      <c r="KK8" s="30"/>
      <c r="KL8" s="30"/>
      <c r="KM8" s="30"/>
      <c r="KN8" s="30"/>
      <c r="KO8" s="30"/>
      <c r="KP8" s="30"/>
      <c r="KQ8" s="30"/>
      <c r="KR8" s="30"/>
      <c r="KS8" s="30"/>
      <c r="KT8" s="30"/>
      <c r="KU8" s="30"/>
      <c r="KV8" s="30"/>
      <c r="KW8" s="30"/>
      <c r="KX8" s="30"/>
      <c r="KY8" s="30"/>
      <c r="KZ8" s="30"/>
      <c r="LA8" s="30"/>
      <c r="LB8" s="30"/>
      <c r="LC8" s="30"/>
      <c r="LD8" s="30"/>
      <c r="LE8" s="30"/>
      <c r="LF8" s="30"/>
      <c r="LG8" s="30"/>
      <c r="LH8" s="30"/>
      <c r="LI8" s="30"/>
      <c r="LJ8" s="30"/>
      <c r="LK8" s="30"/>
      <c r="LL8" s="30"/>
      <c r="LM8" s="30"/>
      <c r="LN8" s="30"/>
      <c r="LO8" s="30"/>
      <c r="LP8" s="30"/>
      <c r="LQ8" s="30"/>
      <c r="LR8" s="30"/>
      <c r="LS8" s="30"/>
      <c r="LT8" s="30"/>
      <c r="LU8" s="30"/>
      <c r="LV8" s="30"/>
      <c r="LW8" s="30"/>
      <c r="LX8" s="30"/>
      <c r="LY8" s="30"/>
      <c r="LZ8" s="30"/>
      <c r="MA8" s="30"/>
      <c r="MB8" s="30"/>
      <c r="MC8" s="30"/>
      <c r="MD8" s="30"/>
      <c r="ME8" s="30"/>
      <c r="MF8" s="30"/>
      <c r="MG8" s="30"/>
      <c r="MH8" s="30"/>
      <c r="MI8" s="30"/>
      <c r="MJ8" s="30"/>
      <c r="MK8" s="30"/>
      <c r="ML8" s="30"/>
      <c r="MM8" s="30"/>
      <c r="MN8" s="30"/>
      <c r="MO8" s="30"/>
      <c r="MP8" s="30"/>
      <c r="MQ8" s="30"/>
      <c r="MR8" s="30"/>
      <c r="MS8" s="30"/>
      <c r="MT8" s="30"/>
      <c r="MU8" s="30"/>
      <c r="MV8" s="30"/>
      <c r="MW8" s="30"/>
      <c r="MX8" s="30"/>
      <c r="MY8" s="30"/>
      <c r="MZ8" s="30"/>
      <c r="NA8" s="30"/>
      <c r="NB8" s="30"/>
      <c r="NC8" s="30"/>
      <c r="ND8" s="30"/>
      <c r="NE8" s="30"/>
      <c r="NF8" s="30"/>
      <c r="NG8" s="30"/>
      <c r="NH8" s="30"/>
      <c r="NI8" s="30"/>
      <c r="NJ8" s="30"/>
      <c r="NK8" s="30"/>
      <c r="NL8" s="30"/>
      <c r="NM8" s="30"/>
      <c r="NN8" s="30"/>
      <c r="NO8" s="30"/>
      <c r="NP8" s="30"/>
      <c r="NQ8" s="30"/>
      <c r="NR8" s="30"/>
      <c r="NS8" s="30"/>
      <c r="NT8" s="30"/>
      <c r="NU8" s="30"/>
      <c r="NV8" s="30"/>
      <c r="NW8" s="30"/>
      <c r="NX8" s="30"/>
      <c r="NY8" s="30"/>
      <c r="NZ8" s="30"/>
      <c r="OA8" s="30"/>
      <c r="OB8" s="30"/>
      <c r="OC8" s="30"/>
      <c r="OD8" s="30"/>
      <c r="OE8" s="30"/>
      <c r="OF8" s="30"/>
      <c r="OG8" s="30"/>
      <c r="OH8" s="30"/>
      <c r="OI8" s="30"/>
      <c r="OJ8" s="30"/>
      <c r="OK8" s="30"/>
      <c r="OL8" s="30"/>
      <c r="OM8" s="30"/>
      <c r="ON8" s="30"/>
      <c r="OO8" s="30"/>
      <c r="OP8" s="30"/>
      <c r="OQ8" s="30"/>
      <c r="OR8" s="30"/>
      <c r="OS8" s="30"/>
      <c r="OT8" s="30"/>
      <c r="OU8" s="30"/>
      <c r="OV8" s="30"/>
    </row>
    <row r="9" ht="18.0" customHeight="1">
      <c r="A9" s="29">
        <v>8.0</v>
      </c>
      <c r="B9" s="30" t="s">
        <v>487</v>
      </c>
      <c r="C9" s="31" t="s">
        <v>1096</v>
      </c>
      <c r="D9" s="30" t="s">
        <v>561</v>
      </c>
      <c r="E9" s="29">
        <v>30.0</v>
      </c>
      <c r="F9" s="29">
        <f>COUNTIF('Tổng hợp 75 trang đích'!$B$2:$B$3400,$D9)</f>
        <v>30</v>
      </c>
      <c r="G9" s="29">
        <f>COUNTIFS('Tổng hợp 75 trang đích'!$B$2:$B$3400,$D9,'Tổng hợp 75 trang đích'!$K$2:$K$3400,"PHÙ HỢP CAO")</f>
        <v>3</v>
      </c>
      <c r="H9" s="29">
        <f>COUNTIFS('Tổng hợp 75 trang đích'!$B$2:$B$3400,$D9,'Tổng hợp 75 trang đích'!$K$2:$K$3400,"CÓ THỂ ĐI")</f>
        <v>1</v>
      </c>
      <c r="I9" s="29">
        <f>COUNTIFS('Tổng hợp 75 trang đích'!$B$2:$B$3400,$D9,'Tổng hợp 75 trang đích'!$K$2:$K$3400,"CẦN SOÁT")</f>
        <v>26</v>
      </c>
      <c r="J9" s="32" t="s">
        <v>714</v>
      </c>
      <c r="K9" s="32" t="b">
        <v>0</v>
      </c>
      <c r="L9" s="33" t="s">
        <v>52</v>
      </c>
      <c r="M9" s="30" t="str">
        <f>IFERROR(__xludf.DUMMYFUNCTION("IFERROR(TOROW(CHOOSECOLS(SORT(FILTER({'Tổng hợp 75 trang đích'!$J$2:$J$3400,'Tổng hợp 75 trang đích'!$I$2:$I$3400,MATCH('Tổng hợp 75 trang đích'!$K$2:$K$3400,{""PHÙ HỢP CAO"",""CÓ THỂ ĐI"",""CẦN SOÁT""},0)},'Tổng hợp 75 trang đích'!$B$2:$B$3400=$D9),3,TRU"&amp;"E),1,2)),"""")"),"công ty sử dụng tài khoản cá nhân")</f>
        <v>công ty sử dụng tài khoản cá nhân</v>
      </c>
      <c r="N9" s="34" t="str">
        <f>IFERROR(__xludf.DUMMYFUNCTION("""COMPUTED_VALUE"""),"https://techcombank.com/thong-tin/blog/mo-tai-khoan-doanh-nghiep")</f>
        <v>https://techcombank.com/thong-tin/blog/mo-tai-khoan-doanh-nghiep</v>
      </c>
      <c r="O9" s="30" t="str">
        <f>IFERROR(__xludf.DUMMYFUNCTION("""COMPUTED_VALUE"""),"công ty dùng tài khoản cá nhân có được không")</f>
        <v>công ty dùng tài khoản cá nhân có được không</v>
      </c>
      <c r="P9" s="34" t="str">
        <f>IFERROR(__xludf.DUMMYFUNCTION("""COMPUTED_VALUE"""),"https://techcombank.com/thong-tin/blog/luu-y-khi-chuyen-tien-vao-tai-khoan-cong-ty")</f>
        <v>https://techcombank.com/thong-tin/blog/luu-y-khi-chuyen-tien-vao-tai-khoan-cong-ty</v>
      </c>
      <c r="Q9" s="30" t="str">
        <f>IFERROR(__xludf.DUMMYFUNCTION("""COMPUTED_VALUE"""),"công ty sử dụng tài khoản cá nhân")</f>
        <v>công ty sử dụng tài khoản cá nhân</v>
      </c>
      <c r="R9" s="34" t="str">
        <f>IFERROR(__xludf.DUMMYFUNCTION("""COMPUTED_VALUE"""),"https://techcombank.com/thong-tin/blog/cach-su-dung-tai-khoan-cong-ty")</f>
        <v>https://techcombank.com/thong-tin/blog/cach-su-dung-tai-khoan-cong-ty</v>
      </c>
      <c r="S9" s="30" t="str">
        <f>IFERROR(__xludf.DUMMYFUNCTION("""COMPUTED_VALUE"""),"công ty sử dụng tài khoản cá nhân")</f>
        <v>công ty sử dụng tài khoản cá nhân</v>
      </c>
      <c r="T9" s="34" t="str">
        <f>IFERROR(__xludf.DUMMYFUNCTION("""COMPUTED_VALUE"""),"https://techcombank.com/thong-tin/blog/tien-chuyen-vao-tai-khoan-co-bi-tinh-thue-khong")</f>
        <v>https://techcombank.com/thong-tin/blog/tien-chuyen-vao-tai-khoan-co-bi-tinh-thue-khong</v>
      </c>
      <c r="U9" s="30" t="str">
        <f>IFERROR(__xludf.DUMMYFUNCTION("""COMPUTED_VALUE"""),"công ty dùng tài khoản cá nhân có được không")</f>
        <v>công ty dùng tài khoản cá nhân có được không</v>
      </c>
      <c r="V9" s="34" t="str">
        <f>IFERROR(__xludf.DUMMYFUNCTION("""COMPUTED_VALUE"""),"https://techcombank.com/thong-tin/blog/vay-tin-chap-la-gi")</f>
        <v>https://techcombank.com/thong-tin/blog/vay-tin-chap-la-gi</v>
      </c>
      <c r="W9" s="30" t="str">
        <f>IFERROR(__xludf.DUMMYFUNCTION("""COMPUTED_VALUE"""),"công ty dùng tài khoản cá nhân có được không")</f>
        <v>công ty dùng tài khoản cá nhân có được không</v>
      </c>
      <c r="X9" s="34" t="str">
        <f>IFERROR(__xludf.DUMMYFUNCTION("""COMPUTED_VALUE"""),"https://techcombank.com/thong-tin/blog/nop-tien-mat-vao-tai-khoan-cong-ty")</f>
        <v>https://techcombank.com/thong-tin/blog/nop-tien-mat-vao-tai-khoan-cong-ty</v>
      </c>
      <c r="Y9" s="30" t="str">
        <f>IFERROR(__xludf.DUMMYFUNCTION("""COMPUTED_VALUE"""),"công ty sử dụng tài khoản cá nhân")</f>
        <v>công ty sử dụng tài khoản cá nhân</v>
      </c>
      <c r="Z9" s="34" t="str">
        <f>IFERROR(__xludf.DUMMYFUNCTION("""COMPUTED_VALUE"""),"https://techcombank.com/thong-tin/blog/dong-tai-khoan-ngan-hang-cong-ty")</f>
        <v>https://techcombank.com/thong-tin/blog/dong-tai-khoan-ngan-hang-cong-ty</v>
      </c>
      <c r="AA9" s="30" t="str">
        <f>IFERROR(__xludf.DUMMYFUNCTION("""COMPUTED_VALUE"""),"công ty sử dụng tài khoản cá nhân")</f>
        <v>công ty sử dụng tài khoản cá nhân</v>
      </c>
      <c r="AB9" s="34" t="str">
        <f>IFERROR(__xludf.DUMMYFUNCTION("""COMPUTED_VALUE"""),"https://techcombank.com/thong-tin/blog/tai-khoan-doanh-nghiep-co-the-khong")</f>
        <v>https://techcombank.com/thong-tin/blog/tai-khoan-doanh-nghiep-co-the-khong</v>
      </c>
      <c r="AC9" s="30" t="str">
        <f>IFERROR(__xludf.DUMMYFUNCTION("""COMPUTED_VALUE"""),"công ty sử dụng tài khoản cá nhân")</f>
        <v>công ty sử dụng tài khoản cá nhân</v>
      </c>
      <c r="AD9" s="34" t="str">
        <f>IFERROR(__xludf.DUMMYFUNCTION("""COMPUTED_VALUE"""),"https://techcombank.com/thong-tin/blog/cach-tinh-thue-thu-nhap-doanh-nghiep")</f>
        <v>https://techcombank.com/thong-tin/blog/cach-tinh-thue-thu-nhap-doanh-nghiep</v>
      </c>
      <c r="AE9" s="30" t="str">
        <f>IFERROR(__xludf.DUMMYFUNCTION("""COMPUTED_VALUE"""),"công ty sử dụng tài khoản cá nhân")</f>
        <v>công ty sử dụng tài khoản cá nhân</v>
      </c>
      <c r="AF9" s="34" t="str">
        <f>IFERROR(__xludf.DUMMYFUNCTION("""COMPUTED_VALUE"""),"https://techcombank.com/thong-tin/blog/thanh-toan-tien-dien-bang-the-tin-dung")</f>
        <v>https://techcombank.com/thong-tin/blog/thanh-toan-tien-dien-bang-the-tin-dung</v>
      </c>
      <c r="AG9" s="30" t="str">
        <f>IFERROR(__xludf.DUMMYFUNCTION("""COMPUTED_VALUE"""),"công ty sử dụng tài khoản cá nhân")</f>
        <v>công ty sử dụng tài khoản cá nhân</v>
      </c>
      <c r="AH9" s="34" t="str">
        <f>IFERROR(__xludf.DUMMYFUNCTION("""COMPUTED_VALUE"""),"https://techcombank.com/thong-tin/blog/mau-mo-tai-khoan-doanh-nghiep-techcombank")</f>
        <v>https://techcombank.com/thong-tin/blog/mau-mo-tai-khoan-doanh-nghiep-techcombank</v>
      </c>
      <c r="AI9" s="30" t="str">
        <f>IFERROR(__xludf.DUMMYFUNCTION("""COMPUTED_VALUE"""),"công ty dùng tài khoản cá nhân có được không")</f>
        <v>công ty dùng tài khoản cá nhân có được không</v>
      </c>
      <c r="AJ9" s="34" t="str">
        <f>IFERROR(__xludf.DUMMYFUNCTION("""COMPUTED_VALUE"""),"https://techcombank.com/thong-tin/blog/tai-khoan-cong-ty-co-chuyen-online-duoc-khong")</f>
        <v>https://techcombank.com/thong-tin/blog/tai-khoan-cong-ty-co-chuyen-online-duoc-khong</v>
      </c>
      <c r="AK9" s="30" t="str">
        <f>IFERROR(__xludf.DUMMYFUNCTION("""COMPUTED_VALUE"""),"công ty sử dụng tài khoản cá nhân")</f>
        <v>công ty sử dụng tài khoản cá nhân</v>
      </c>
      <c r="AL9" s="34" t="str">
        <f>IFERROR(__xludf.DUMMYFUNCTION("""COMPUTED_VALUE"""),"https://techcombank.com/thong-tin/blog/chi-phi-mo-tai-khoan-ngan-hang-cho-cong-ty")</f>
        <v>https://techcombank.com/thong-tin/blog/chi-phi-mo-tai-khoan-ngan-hang-cho-cong-ty</v>
      </c>
      <c r="AM9" s="30" t="str">
        <f>IFERROR(__xludf.DUMMYFUNCTION("""COMPUTED_VALUE"""),"công ty sử dụng tài khoản cá nhân")</f>
        <v>công ty sử dụng tài khoản cá nhân</v>
      </c>
      <c r="AN9" s="34" t="str">
        <f>IFERROR(__xludf.DUMMYFUNCTION("""COMPUTED_VALUE"""),"https://techcombank.com/thong-tin/blog/loi-ich-cua-tri-tue-nhan-tao")</f>
        <v>https://techcombank.com/thong-tin/blog/loi-ich-cua-tri-tue-nhan-tao</v>
      </c>
      <c r="AO9" s="30" t="str">
        <f>IFERROR(__xludf.DUMMYFUNCTION("""COMPUTED_VALUE"""),"công ty sử dụng tài khoản cá nhân")</f>
        <v>công ty sử dụng tài khoản cá nhân</v>
      </c>
      <c r="AP9" s="34" t="str">
        <f>IFERROR(__xludf.DUMMYFUNCTION("""COMPUTED_VALUE"""),"https://techcombank.com/thong-tin/blog/cac-loai-hinh-doanh-nghiep")</f>
        <v>https://techcombank.com/thong-tin/blog/cac-loai-hinh-doanh-nghiep</v>
      </c>
      <c r="AQ9" s="30" t="str">
        <f>IFERROR(__xludf.DUMMYFUNCTION("""COMPUTED_VALUE"""),"công ty sử dụng tài khoản cá nhân")</f>
        <v>công ty sử dụng tài khoản cá nhân</v>
      </c>
      <c r="AR9" s="34" t="str">
        <f>IFERROR(__xludf.DUMMYFUNCTION("""COMPUTED_VALUE"""),"https://techcombank.com/thong-tin/blog/cach-dang-ky-ma-so-thue-ho-kinh-doanh-online")</f>
        <v>https://techcombank.com/thong-tin/blog/cach-dang-ky-ma-so-thue-ho-kinh-doanh-online</v>
      </c>
      <c r="AS9" s="30" t="str">
        <f>IFERROR(__xludf.DUMMYFUNCTION("""COMPUTED_VALUE"""),"công ty sử dụng tài khoản cá nhân")</f>
        <v>công ty sử dụng tài khoản cá nhân</v>
      </c>
      <c r="AT9" s="34" t="str">
        <f>IFERROR(__xludf.DUMMYFUNCTION("""COMPUTED_VALUE"""),"https://techcombank.com/thong-tin/blog/vay-tin-chap-toi-da-duoc-bao-nhieu")</f>
        <v>https://techcombank.com/thong-tin/blog/vay-tin-chap-toi-da-duoc-bao-nhieu</v>
      </c>
      <c r="AU9" s="30" t="str">
        <f>IFERROR(__xludf.DUMMYFUNCTION("""COMPUTED_VALUE"""),"công ty sử dụng tài khoản cá nhân")</f>
        <v>công ty sử dụng tài khoản cá nhân</v>
      </c>
      <c r="AV9" s="34" t="str">
        <f>IFERROR(__xludf.DUMMYFUNCTION("""COMPUTED_VALUE"""),"https://techcombank.com/thong-tin/blog/co-nen-gui-tiet-kiem-ngan-hang")</f>
        <v>https://techcombank.com/thong-tin/blog/co-nen-gui-tiet-kiem-ngan-hang</v>
      </c>
      <c r="AW9" s="30" t="str">
        <f>IFERROR(__xludf.DUMMYFUNCTION("""COMPUTED_VALUE"""),"công ty dùng tài khoản cá nhân có được không")</f>
        <v>công ty dùng tài khoản cá nhân có được không</v>
      </c>
      <c r="AX9" s="34" t="str">
        <f>IFERROR(__xludf.DUMMYFUNCTION("""COMPUTED_VALUE"""),"https://techcombank.com/thong-tin/blog/thu-tuc-thanh-lap-doanh-nghiep")</f>
        <v>https://techcombank.com/thong-tin/blog/thu-tuc-thanh-lap-doanh-nghiep</v>
      </c>
      <c r="AY9" s="30" t="str">
        <f>IFERROR(__xludf.DUMMYFUNCTION("""COMPUTED_VALUE"""),"công ty dùng tài khoản cá nhân có được không")</f>
        <v>công ty dùng tài khoản cá nhân có được không</v>
      </c>
      <c r="AZ9" s="34" t="str">
        <f>IFERROR(__xludf.DUMMYFUNCTION("""COMPUTED_VALUE"""),"https://techcombank.com/thong-tin/blog/kinh-nghiem-chuyen-doi-tu-ho-kinh-doanh-len-doanh-nghiep")</f>
        <v>https://techcombank.com/thong-tin/blog/kinh-nghiem-chuyen-doi-tu-ho-kinh-doanh-len-doanh-nghiep</v>
      </c>
      <c r="BA9" s="30" t="str">
        <f>IFERROR(__xludf.DUMMYFUNCTION("""COMPUTED_VALUE"""),"công ty dùng tài khoản cá nhân có được không")</f>
        <v>công ty dùng tài khoản cá nhân có được không</v>
      </c>
      <c r="BB9" s="34" t="str">
        <f>IFERROR(__xludf.DUMMYFUNCTION("""COMPUTED_VALUE"""),"https://techcombank.com/thong-tin/blog/cach-kiem-tra-tai-khoan-ngan-hang-cua-cong-ty")</f>
        <v>https://techcombank.com/thong-tin/blog/cach-kiem-tra-tai-khoan-ngan-hang-cua-cong-ty</v>
      </c>
      <c r="BC9" s="30" t="str">
        <f>IFERROR(__xludf.DUMMYFUNCTION("""COMPUTED_VALUE"""),"công ty dùng tài khoản cá nhân có được không")</f>
        <v>công ty dùng tài khoản cá nhân có được không</v>
      </c>
      <c r="BD9" s="34" t="str">
        <f>IFERROR(__xludf.DUMMYFUNCTION("""COMPUTED_VALUE"""),"https://techcombank.com/thong-tin/blog/dang-ky-nhieu-tai-khoan-ngan-hang-co-sao-khong")</f>
        <v>https://techcombank.com/thong-tin/blog/dang-ky-nhieu-tai-khoan-ngan-hang-co-sao-khong</v>
      </c>
      <c r="BE9" s="30" t="str">
        <f>IFERROR(__xludf.DUMMYFUNCTION("""COMPUTED_VALUE"""),"công ty dùng tài khoản cá nhân có được không")</f>
        <v>công ty dùng tài khoản cá nhân có được không</v>
      </c>
      <c r="BF9" s="34" t="str">
        <f>IFERROR(__xludf.DUMMYFUNCTION("""COMPUTED_VALUE"""),"https://techcombank.com/thong-tin/blog/app-theo-doi-chung-chi-quy")</f>
        <v>https://techcombank.com/thong-tin/blog/app-theo-doi-chung-chi-quy</v>
      </c>
      <c r="BG9" s="30" t="str">
        <f>IFERROR(__xludf.DUMMYFUNCTION("""COMPUTED_VALUE"""),"công ty dùng tài khoản cá nhân có được không")</f>
        <v>công ty dùng tài khoản cá nhân có được không</v>
      </c>
      <c r="BH9" s="34" t="str">
        <f>IFERROR(__xludf.DUMMYFUNCTION("""COMPUTED_VALUE"""),"https://techcombank.com/thong-tin/blog/cac-loai-bao-hiem-hien-nay")</f>
        <v>https://techcombank.com/thong-tin/blog/cac-loai-bao-hiem-hien-nay</v>
      </c>
      <c r="BI9" s="30" t="str">
        <f>IFERROR(__xludf.DUMMYFUNCTION("""COMPUTED_VALUE"""),"công ty dùng tài khoản cá nhân có được không")</f>
        <v>công ty dùng tài khoản cá nhân có được không</v>
      </c>
      <c r="BJ9" s="34" t="str">
        <f>IFERROR(__xludf.DUMMYFUNCTION("""COMPUTED_VALUE"""),"https://techcombank.com/thong-tin/blog/tin-dung-tieu-dung")</f>
        <v>https://techcombank.com/thong-tin/blog/tin-dung-tieu-dung</v>
      </c>
      <c r="BK9" s="30" t="str">
        <f>IFERROR(__xludf.DUMMYFUNCTION("""COMPUTED_VALUE"""),"công ty sử dụng tài khoản cá nhân")</f>
        <v>công ty sử dụng tài khoản cá nhân</v>
      </c>
      <c r="BL9" s="34" t="str">
        <f>IFERROR(__xludf.DUMMYFUNCTION("""COMPUTED_VALUE"""),"https://techcombank.com/thong-tin/blog/no-xau-mo-the-tin-dung-duoc-khong")</f>
        <v>https://techcombank.com/thong-tin/blog/no-xau-mo-the-tin-dung-duoc-khong</v>
      </c>
      <c r="BM9" s="30" t="str">
        <f>IFERROR(__xludf.DUMMYFUNCTION("""COMPUTED_VALUE"""),"công ty sử dụng tài khoản cá nhân")</f>
        <v>công ty sử dụng tài khoản cá nhân</v>
      </c>
      <c r="BN9" s="34" t="str">
        <f>IFERROR(__xludf.DUMMYFUNCTION("""COMPUTED_VALUE"""),"https://techcombank.com/thong-tin/blog/chuyen-doi-ho-kinh-doanh-len-doanh-nghiep")</f>
        <v>https://techcombank.com/thong-tin/blog/chuyen-doi-ho-kinh-doanh-len-doanh-nghiep</v>
      </c>
      <c r="BO9" s="30" t="str">
        <f>IFERROR(__xludf.DUMMYFUNCTION("""COMPUTED_VALUE"""),"công ty sử dụng tài khoản cá nhân")</f>
        <v>công ty sử dụng tài khoản cá nhân</v>
      </c>
      <c r="BP9" s="34" t="str">
        <f>IFERROR(__xludf.DUMMYFUNCTION("""COMPUTED_VALUE"""),"https://techcombank.com/thong-tin/blog/mat-so-dien-thoai-dang-ky-tai-khoan-ngan-hang")</f>
        <v>https://techcombank.com/thong-tin/blog/mat-so-dien-thoai-dang-ky-tai-khoan-ngan-hang</v>
      </c>
      <c r="BQ9" s="30" t="str">
        <f>IFERROR(__xludf.DUMMYFUNCTION("""COMPUTED_VALUE"""),"công ty sử dụng tài khoản cá nhân")</f>
        <v>công ty sử dụng tài khoản cá nhân</v>
      </c>
      <c r="BR9" s="34" t="str">
        <f>IFERROR(__xludf.DUMMYFUNCTION("""COMPUTED_VALUE"""),"https://techcombank.com/thong-tin/blog/ghi-chep-chi-tieu")</f>
        <v>https://techcombank.com/thong-tin/blog/ghi-chep-chi-tieu</v>
      </c>
      <c r="BS9" s="30" t="str">
        <f>IFERROR(__xludf.DUMMYFUNCTION("""COMPUTED_VALUE"""),"công ty sử dụng tài khoản cá nhân")</f>
        <v>công ty sử dụng tài khoản cá nhân</v>
      </c>
      <c r="BT9" s="34" t="str">
        <f>IFERROR(__xludf.DUMMYFUNCTION("""COMPUTED_VALUE"""),"https://techcombank.com/thong-tin/blog/nen-de-tien-trong-the-hay-gui-tiet-kiem")</f>
        <v>https://techcombank.com/thong-tin/blog/nen-de-tien-trong-the-hay-gui-tiet-kiem</v>
      </c>
      <c r="BU9" s="30"/>
      <c r="BV9" s="30"/>
      <c r="BW9" s="30"/>
      <c r="BX9" s="30"/>
      <c r="BY9" s="30"/>
      <c r="BZ9" s="30"/>
      <c r="CA9" s="30"/>
      <c r="CB9" s="30"/>
      <c r="CC9" s="30"/>
      <c r="CD9" s="30"/>
      <c r="CE9" s="30"/>
      <c r="CF9" s="30"/>
      <c r="CG9" s="30"/>
      <c r="CH9" s="30"/>
      <c r="CI9" s="30"/>
      <c r="CJ9" s="30"/>
      <c r="CK9" s="30"/>
      <c r="CL9" s="30"/>
      <c r="CM9" s="30"/>
      <c r="CN9" s="30"/>
      <c r="CO9" s="30"/>
      <c r="CP9" s="30"/>
      <c r="CQ9" s="30"/>
      <c r="CR9" s="30"/>
      <c r="CS9" s="30"/>
      <c r="CT9" s="30"/>
      <c r="CU9" s="30"/>
      <c r="CV9" s="30"/>
      <c r="CW9" s="30"/>
      <c r="CX9" s="30"/>
      <c r="CY9" s="30"/>
      <c r="CZ9" s="30"/>
      <c r="DA9" s="30"/>
      <c r="DB9" s="30"/>
      <c r="DC9" s="30"/>
      <c r="DD9" s="30"/>
      <c r="DE9" s="30"/>
      <c r="DF9" s="30"/>
      <c r="DG9" s="30"/>
      <c r="DH9" s="30"/>
      <c r="DI9" s="30"/>
      <c r="DJ9" s="30"/>
      <c r="DK9" s="30"/>
      <c r="DL9" s="30"/>
      <c r="DM9" s="30"/>
      <c r="DN9" s="30"/>
      <c r="DO9" s="30"/>
      <c r="DP9" s="30"/>
      <c r="DQ9" s="30"/>
      <c r="DR9" s="30"/>
      <c r="DS9" s="30"/>
      <c r="DT9" s="30"/>
      <c r="DU9" s="30"/>
      <c r="DV9" s="30"/>
      <c r="DW9" s="30"/>
      <c r="DX9" s="30"/>
      <c r="DY9" s="30"/>
      <c r="DZ9" s="30"/>
      <c r="EA9" s="30"/>
      <c r="EB9" s="30"/>
      <c r="EC9" s="30"/>
      <c r="ED9" s="30"/>
      <c r="EE9" s="30"/>
      <c r="EF9" s="30"/>
      <c r="EG9" s="30"/>
      <c r="EH9" s="30"/>
      <c r="EI9" s="30"/>
      <c r="EJ9" s="30"/>
      <c r="EK9" s="30"/>
      <c r="EL9" s="30"/>
      <c r="EM9" s="30"/>
      <c r="EN9" s="30"/>
      <c r="EO9" s="30"/>
      <c r="EP9" s="30"/>
      <c r="EQ9" s="30"/>
      <c r="ER9" s="30"/>
      <c r="ES9" s="30"/>
      <c r="ET9" s="30"/>
      <c r="EU9" s="30"/>
      <c r="EV9" s="30"/>
      <c r="EW9" s="30"/>
      <c r="EX9" s="30"/>
      <c r="EY9" s="30"/>
      <c r="EZ9" s="30"/>
      <c r="FA9" s="30"/>
      <c r="FB9" s="30"/>
      <c r="FC9" s="30"/>
      <c r="FD9" s="30"/>
      <c r="FE9" s="30"/>
      <c r="FF9" s="30"/>
      <c r="FG9" s="30"/>
      <c r="FH9" s="30"/>
      <c r="FI9" s="30"/>
      <c r="FJ9" s="30"/>
      <c r="FK9" s="30"/>
      <c r="FL9" s="30"/>
      <c r="FM9" s="30"/>
      <c r="FN9" s="30"/>
      <c r="FO9" s="30"/>
      <c r="FP9" s="30"/>
      <c r="FQ9" s="30"/>
      <c r="FR9" s="30"/>
      <c r="FS9" s="30"/>
      <c r="FT9" s="30"/>
      <c r="FU9" s="30"/>
      <c r="FV9" s="30"/>
      <c r="FW9" s="30"/>
      <c r="FX9" s="30"/>
      <c r="FY9" s="30"/>
      <c r="FZ9" s="30"/>
      <c r="GA9" s="30"/>
      <c r="GB9" s="30"/>
      <c r="GC9" s="30"/>
      <c r="GD9" s="30"/>
      <c r="GE9" s="30"/>
      <c r="GF9" s="30"/>
      <c r="GG9" s="30"/>
      <c r="GH9" s="30"/>
      <c r="GI9" s="30"/>
      <c r="GJ9" s="30"/>
      <c r="GK9" s="30"/>
      <c r="GL9" s="30"/>
      <c r="GM9" s="30"/>
      <c r="GN9" s="30"/>
      <c r="GO9" s="30"/>
      <c r="GP9" s="30"/>
      <c r="GQ9" s="30"/>
      <c r="GR9" s="30"/>
      <c r="GS9" s="30"/>
      <c r="GT9" s="30"/>
      <c r="GU9" s="30"/>
      <c r="GV9" s="30"/>
      <c r="GW9" s="30"/>
      <c r="GX9" s="30"/>
      <c r="GY9" s="30"/>
      <c r="GZ9" s="30"/>
      <c r="HA9" s="30"/>
      <c r="HB9" s="30"/>
      <c r="HC9" s="30"/>
      <c r="HD9" s="30"/>
      <c r="HE9" s="30"/>
      <c r="HF9" s="30"/>
      <c r="HG9" s="30"/>
      <c r="HH9" s="30"/>
      <c r="HI9" s="30"/>
      <c r="HJ9" s="30"/>
      <c r="HK9" s="30"/>
      <c r="HL9" s="30"/>
      <c r="HM9" s="30"/>
      <c r="HN9" s="30"/>
      <c r="HO9" s="30"/>
      <c r="HP9" s="30"/>
      <c r="HQ9" s="30"/>
      <c r="HR9" s="30"/>
      <c r="HS9" s="30"/>
      <c r="HT9" s="30"/>
      <c r="HU9" s="30"/>
      <c r="HV9" s="30"/>
      <c r="HW9" s="30"/>
      <c r="HX9" s="30"/>
      <c r="HY9" s="30"/>
      <c r="HZ9" s="30"/>
      <c r="IA9" s="30"/>
      <c r="IB9" s="30"/>
      <c r="IC9" s="30"/>
      <c r="ID9" s="30"/>
      <c r="IE9" s="30"/>
      <c r="IF9" s="30"/>
      <c r="IG9" s="30"/>
      <c r="IH9" s="30"/>
      <c r="II9" s="30"/>
      <c r="IJ9" s="30"/>
      <c r="IK9" s="30"/>
      <c r="IL9" s="30"/>
      <c r="IM9" s="30"/>
      <c r="IN9" s="30"/>
      <c r="IO9" s="30"/>
      <c r="IP9" s="30"/>
      <c r="IQ9" s="30"/>
      <c r="IR9" s="30"/>
      <c r="IS9" s="30"/>
      <c r="IT9" s="30"/>
      <c r="IU9" s="30"/>
      <c r="IV9" s="30"/>
      <c r="IW9" s="30"/>
      <c r="IX9" s="30"/>
      <c r="IY9" s="30"/>
      <c r="IZ9" s="30"/>
      <c r="JA9" s="30"/>
      <c r="JB9" s="30"/>
      <c r="JC9" s="30"/>
      <c r="JD9" s="30"/>
      <c r="JE9" s="30"/>
      <c r="JF9" s="30"/>
      <c r="JG9" s="30"/>
      <c r="JH9" s="30"/>
      <c r="JI9" s="30"/>
      <c r="JJ9" s="30"/>
      <c r="JK9" s="30"/>
      <c r="JL9" s="30"/>
      <c r="JM9" s="30"/>
      <c r="JN9" s="30"/>
      <c r="JO9" s="30"/>
      <c r="JP9" s="30"/>
      <c r="JQ9" s="30"/>
      <c r="JR9" s="30"/>
      <c r="JS9" s="30"/>
      <c r="JT9" s="30"/>
      <c r="JU9" s="30"/>
      <c r="JV9" s="30"/>
      <c r="JW9" s="30"/>
      <c r="JX9" s="30"/>
      <c r="JY9" s="30"/>
      <c r="JZ9" s="30"/>
      <c r="KA9" s="30"/>
      <c r="KB9" s="30"/>
      <c r="KC9" s="30"/>
      <c r="KD9" s="30"/>
      <c r="KE9" s="30"/>
      <c r="KF9" s="30"/>
      <c r="KG9" s="30"/>
      <c r="KH9" s="30"/>
      <c r="KI9" s="30"/>
      <c r="KJ9" s="30"/>
      <c r="KK9" s="30"/>
      <c r="KL9" s="30"/>
      <c r="KM9" s="30"/>
      <c r="KN9" s="30"/>
      <c r="KO9" s="30"/>
      <c r="KP9" s="30"/>
      <c r="KQ9" s="30"/>
      <c r="KR9" s="30"/>
      <c r="KS9" s="30"/>
      <c r="KT9" s="30"/>
      <c r="KU9" s="30"/>
      <c r="KV9" s="30"/>
      <c r="KW9" s="30"/>
      <c r="KX9" s="30"/>
      <c r="KY9" s="30"/>
      <c r="KZ9" s="30"/>
      <c r="LA9" s="30"/>
      <c r="LB9" s="30"/>
      <c r="LC9" s="30"/>
      <c r="LD9" s="30"/>
      <c r="LE9" s="30"/>
      <c r="LF9" s="30"/>
      <c r="LG9" s="30"/>
      <c r="LH9" s="30"/>
      <c r="LI9" s="30"/>
      <c r="LJ9" s="30"/>
      <c r="LK9" s="30"/>
      <c r="LL9" s="30"/>
      <c r="LM9" s="30"/>
      <c r="LN9" s="30"/>
      <c r="LO9" s="30"/>
      <c r="LP9" s="30"/>
      <c r="LQ9" s="30"/>
      <c r="LR9" s="30"/>
      <c r="LS9" s="30"/>
      <c r="LT9" s="30"/>
      <c r="LU9" s="30"/>
      <c r="LV9" s="30"/>
      <c r="LW9" s="30"/>
      <c r="LX9" s="30"/>
      <c r="LY9" s="30"/>
      <c r="LZ9" s="30"/>
      <c r="MA9" s="30"/>
      <c r="MB9" s="30"/>
      <c r="MC9" s="30"/>
      <c r="MD9" s="30"/>
      <c r="ME9" s="30"/>
      <c r="MF9" s="30"/>
      <c r="MG9" s="30"/>
      <c r="MH9" s="30"/>
      <c r="MI9" s="30"/>
      <c r="MJ9" s="30"/>
      <c r="MK9" s="30"/>
      <c r="ML9" s="30"/>
      <c r="MM9" s="30"/>
      <c r="MN9" s="30"/>
      <c r="MO9" s="30"/>
      <c r="MP9" s="30"/>
      <c r="MQ9" s="30"/>
      <c r="MR9" s="30"/>
      <c r="MS9" s="30"/>
      <c r="MT9" s="30"/>
      <c r="MU9" s="30"/>
      <c r="MV9" s="30"/>
      <c r="MW9" s="30"/>
      <c r="MX9" s="30"/>
      <c r="MY9" s="30"/>
      <c r="MZ9" s="30"/>
      <c r="NA9" s="30"/>
      <c r="NB9" s="30"/>
      <c r="NC9" s="30"/>
      <c r="ND9" s="30"/>
      <c r="NE9" s="30"/>
      <c r="NF9" s="30"/>
      <c r="NG9" s="30"/>
      <c r="NH9" s="30"/>
      <c r="NI9" s="30"/>
      <c r="NJ9" s="30"/>
      <c r="NK9" s="30"/>
      <c r="NL9" s="30"/>
      <c r="NM9" s="30"/>
      <c r="NN9" s="30"/>
      <c r="NO9" s="30"/>
      <c r="NP9" s="30"/>
      <c r="NQ9" s="30"/>
      <c r="NR9" s="30"/>
      <c r="NS9" s="30"/>
      <c r="NT9" s="30"/>
      <c r="NU9" s="30"/>
      <c r="NV9" s="30"/>
      <c r="NW9" s="30"/>
      <c r="NX9" s="30"/>
      <c r="NY9" s="30"/>
      <c r="NZ9" s="30"/>
      <c r="OA9" s="30"/>
      <c r="OB9" s="30"/>
      <c r="OC9" s="30"/>
      <c r="OD9" s="30"/>
      <c r="OE9" s="30"/>
      <c r="OF9" s="30"/>
      <c r="OG9" s="30"/>
      <c r="OH9" s="30"/>
      <c r="OI9" s="30"/>
      <c r="OJ9" s="30"/>
      <c r="OK9" s="30"/>
      <c r="OL9" s="30"/>
      <c r="OM9" s="30"/>
      <c r="ON9" s="30"/>
      <c r="OO9" s="30"/>
      <c r="OP9" s="30"/>
      <c r="OQ9" s="30"/>
      <c r="OR9" s="30"/>
      <c r="OS9" s="30"/>
      <c r="OT9" s="30"/>
      <c r="OU9" s="30"/>
      <c r="OV9" s="30"/>
    </row>
    <row r="10" ht="18.0" customHeight="1">
      <c r="A10" s="29">
        <v>9.0</v>
      </c>
      <c r="B10" s="30" t="s">
        <v>487</v>
      </c>
      <c r="C10" s="31" t="s">
        <v>1177</v>
      </c>
      <c r="D10" s="30" t="s">
        <v>341</v>
      </c>
      <c r="E10" s="29">
        <v>30.0</v>
      </c>
      <c r="F10" s="29">
        <f>COUNTIF('Tổng hợp 75 trang đích'!$B$2:$B$3400,$D10)</f>
        <v>30</v>
      </c>
      <c r="G10" s="29">
        <f>COUNTIFS('Tổng hợp 75 trang đích'!$B$2:$B$3400,$D10,'Tổng hợp 75 trang đích'!$K$2:$K$3400,"PHÙ HỢP CAO")</f>
        <v>2</v>
      </c>
      <c r="H10" s="29">
        <f>COUNTIFS('Tổng hợp 75 trang đích'!$B$2:$B$3400,$D10,'Tổng hợp 75 trang đích'!$K$2:$K$3400,"CÓ THỂ ĐI")</f>
        <v>2</v>
      </c>
      <c r="I10" s="29">
        <f>COUNTIFS('Tổng hợp 75 trang đích'!$B$2:$B$3400,$D10,'Tổng hợp 75 trang đích'!$K$2:$K$3400,"CẦN SOÁT")</f>
        <v>26</v>
      </c>
      <c r="J10" s="32" t="s">
        <v>714</v>
      </c>
      <c r="K10" s="32" t="b">
        <v>0</v>
      </c>
      <c r="L10" s="33" t="s">
        <v>52</v>
      </c>
      <c r="M10" s="30" t="str">
        <f>IFERROR(__xludf.DUMMYFUNCTION("IFERROR(TOROW(CHOOSECOLS(SORT(FILTER({'Tổng hợp 75 trang đích'!$J$2:$J$3400,'Tổng hợp 75 trang đích'!$I$2:$I$3400,MATCH('Tổng hợp 75 trang đích'!$K$2:$K$3400,{""PHÙ HỢP CAO"",""CÓ THỂ ĐI"",""CẦN SOÁT""},0)},'Tổng hợp 75 trang đích'!$B$2:$B$3400=$D10),3,TR"&amp;"UE),1,2)),"""")"),"cách tính thuế thu nhập doanh nghiệp")</f>
        <v>cách tính thuế thu nhập doanh nghiệp</v>
      </c>
      <c r="N10" s="34" t="str">
        <f>IFERROR(__xludf.DUMMYFUNCTION("""COMPUTED_VALUE"""),"https://techcombank.com/thong-tin/blog/nhung-chi-phi-khong-duoc-tru-khi-tinh-thue-tndn")</f>
        <v>https://techcombank.com/thong-tin/blog/nhung-chi-phi-khong-duoc-tru-khi-tinh-thue-tndn</v>
      </c>
      <c r="O10" s="30" t="str">
        <f>IFERROR(__xludf.DUMMYFUNCTION("""COMPUTED_VALUE"""),"cách tính thuế thu nhập doanh nghiệp")</f>
        <v>cách tính thuế thu nhập doanh nghiệp</v>
      </c>
      <c r="P10" s="34" t="str">
        <f>IFERROR(__xludf.DUMMYFUNCTION("""COMPUTED_VALUE"""),"https://techcombank.com/thong-tin/blog/khau-hao")</f>
        <v>https://techcombank.com/thong-tin/blog/khau-hao</v>
      </c>
      <c r="Q10" s="30" t="str">
        <f>IFERROR(__xludf.DUMMYFUNCTION("""COMPUTED_VALUE"""),"cách tính thuế TNDN")</f>
        <v>cách tính thuế TNDN</v>
      </c>
      <c r="R10" s="34" t="str">
        <f>IFERROR(__xludf.DUMMYFUNCTION("""COMPUTED_VALUE"""),"https://techcombank.com/thong-tin/blog/loi-nhuan-rong")</f>
        <v>https://techcombank.com/thong-tin/blog/loi-nhuan-rong</v>
      </c>
      <c r="S10" s="30" t="str">
        <f>IFERROR(__xludf.DUMMYFUNCTION("""COMPUTED_VALUE"""),"cách tính thuế TNDN")</f>
        <v>cách tính thuế TNDN</v>
      </c>
      <c r="T10" s="34" t="str">
        <f>IFERROR(__xludf.DUMMYFUNCTION("""COMPUTED_VALUE"""),"https://techcombank.com/thong-tin/blog/chuan-bi-cho-doanh-nghiep-khoi-nghiep-truoc-nhung-thay-doi-ve-thue")</f>
        <v>https://techcombank.com/thong-tin/blog/chuan-bi-cho-doanh-nghiep-khoi-nghiep-truoc-nhung-thay-doi-ve-thue</v>
      </c>
      <c r="U10" s="30" t="str">
        <f>IFERROR(__xludf.DUMMYFUNCTION("""COMPUTED_VALUE"""),"cách tính thuế thu nhập doanh nghiệp")</f>
        <v>cách tính thuế thu nhập doanh nghiệp</v>
      </c>
      <c r="V10" s="34" t="str">
        <f>IFERROR(__xludf.DUMMYFUNCTION("""COMPUTED_VALUE"""),"https://techcombank.com/thong-tin/blog/tra-luong-tien-mat")</f>
        <v>https://techcombank.com/thong-tin/blog/tra-luong-tien-mat</v>
      </c>
      <c r="W10" s="30" t="str">
        <f>IFERROR(__xludf.DUMMYFUNCTION("""COMPUTED_VALUE"""),"cách tính thuế thu nhập doanh nghiệp")</f>
        <v>cách tính thuế thu nhập doanh nghiệp</v>
      </c>
      <c r="X10" s="34" t="str">
        <f>IFERROR(__xludf.DUMMYFUNCTION("""COMPUTED_VALUE"""),"https://techcombank.com/thong-tin/blog/tiem-nang-chuyen-doi-tu-ho-kinh-doanh-len-doanh-nghiep-sme")</f>
        <v>https://techcombank.com/thong-tin/blog/tiem-nang-chuyen-doi-tu-ho-kinh-doanh-len-doanh-nghiep-sme</v>
      </c>
      <c r="Y10" s="30" t="str">
        <f>IFERROR(__xludf.DUMMYFUNCTION("""COMPUTED_VALUE"""),"công thức tính thuế TNDN")</f>
        <v>công thức tính thuế TNDN</v>
      </c>
      <c r="Z10" s="34" t="str">
        <f>IFERROR(__xludf.DUMMYFUNCTION("""COMPUTED_VALUE"""),"https://techcombank.com/thong-tin/blog/loi-nhuan")</f>
        <v>https://techcombank.com/thong-tin/blog/loi-nhuan</v>
      </c>
      <c r="AA10" s="30" t="str">
        <f>IFERROR(__xludf.DUMMYFUNCTION("""COMPUTED_VALUE"""),"công thức tính thuế TNDN")</f>
        <v>công thức tính thuế TNDN</v>
      </c>
      <c r="AB10" s="34" t="str">
        <f>IFERROR(__xludf.DUMMYFUNCTION("""COMPUTED_VALUE"""),"https://techcombank.com/thong-tin/blog/thue-doanh-nghiep")</f>
        <v>https://techcombank.com/thong-tin/blog/thue-doanh-nghiep</v>
      </c>
      <c r="AC10" s="30" t="str">
        <f>IFERROR(__xludf.DUMMYFUNCTION("""COMPUTED_VALUE"""),"cách tính thuế thu nhập doanh nghiệp")</f>
        <v>cách tính thuế thu nhập doanh nghiệp</v>
      </c>
      <c r="AD10" s="34" t="str">
        <f>IFERROR(__xludf.DUMMYFUNCTION("""COMPUTED_VALUE"""),"https://techcombank.com/thong-tin/blog/tim-hieu-ve-chinh-sach-thue-moi")</f>
        <v>https://techcombank.com/thong-tin/blog/tim-hieu-ve-chinh-sach-thue-moi</v>
      </c>
      <c r="AE10" s="30" t="str">
        <f>IFERROR(__xludf.DUMMYFUNCTION("""COMPUTED_VALUE"""),"cách tính thuế TNDN")</f>
        <v>cách tính thuế TNDN</v>
      </c>
      <c r="AF10" s="34" t="str">
        <f>IFERROR(__xludf.DUMMYFUNCTION("""COMPUTED_VALUE"""),"https://techcombank.com/thong-tin/blog/thue-thu-nhap-doanh-nghiep")</f>
        <v>https://techcombank.com/thong-tin/blog/thue-thu-nhap-doanh-nghiep</v>
      </c>
      <c r="AG10" s="30" t="str">
        <f>IFERROR(__xludf.DUMMYFUNCTION("""COMPUTED_VALUE"""),"cách tính thuế thu nhập doanh nghiệp")</f>
        <v>cách tính thuế thu nhập doanh nghiệp</v>
      </c>
      <c r="AH10" s="34" t="str">
        <f>IFERROR(__xludf.DUMMYFUNCTION("""COMPUTED_VALUE"""),"https://techcombank.com/thong-tin/blog/ebitda-la-gi")</f>
        <v>https://techcombank.com/thong-tin/blog/ebitda-la-gi</v>
      </c>
      <c r="AI10" s="30" t="str">
        <f>IFERROR(__xludf.DUMMYFUNCTION("""COMPUTED_VALUE"""),"cách tính thuế thu nhập doanh nghiệp")</f>
        <v>cách tính thuế thu nhập doanh nghiệp</v>
      </c>
      <c r="AJ10" s="34" t="str">
        <f>IFERROR(__xludf.DUMMYFUNCTION("""COMPUTED_VALUE"""),"https://techcombank.com/thong-tin/blog/kinh-nghiem-chuyen-doi-tu-ho-kinh-doanh-len-doanh-nghiep")</f>
        <v>https://techcombank.com/thong-tin/blog/kinh-nghiem-chuyen-doi-tu-ho-kinh-doanh-len-doanh-nghiep</v>
      </c>
      <c r="AK10" s="30" t="str">
        <f>IFERROR(__xludf.DUMMYFUNCTION("""COMPUTED_VALUE"""),"cách tính thuế thu nhập doanh nghiệp")</f>
        <v>cách tính thuế thu nhập doanh nghiệp</v>
      </c>
      <c r="AL10" s="34" t="str">
        <f>IFERROR(__xludf.DUMMYFUNCTION("""COMPUTED_VALUE"""),"https://techcombank.com/thong-tin/blog/cach-su-dung-tai-khoan-cong-ty")</f>
        <v>https://techcombank.com/thong-tin/blog/cach-su-dung-tai-khoan-cong-ty</v>
      </c>
      <c r="AM10" s="30" t="str">
        <f>IFERROR(__xludf.DUMMYFUNCTION("""COMPUTED_VALUE"""),"cách tính thuế thu nhập doanh nghiệp")</f>
        <v>cách tính thuế thu nhập doanh nghiệp</v>
      </c>
      <c r="AN10" s="34" t="str">
        <f>IFERROR(__xludf.DUMMYFUNCTION("""COMPUTED_VALUE"""),"https://techcombank.com/thong-tin/blog/luu-y-khi-chuyen-tien-vao-tai-khoan-cong-ty")</f>
        <v>https://techcombank.com/thong-tin/blog/luu-y-khi-chuyen-tien-vao-tai-khoan-cong-ty</v>
      </c>
      <c r="AO10" s="30" t="str">
        <f>IFERROR(__xludf.DUMMYFUNCTION("""COMPUTED_VALUE"""),"công thức tính thuế TNDN")</f>
        <v>công thức tính thuế TNDN</v>
      </c>
      <c r="AP10" s="34" t="str">
        <f>IFERROR(__xludf.DUMMYFUNCTION("""COMPUTED_VALUE"""),"https://techcombank.com/thong-tin/blog/gia-chung-chi-quy-la-gi")</f>
        <v>https://techcombank.com/thong-tin/blog/gia-chung-chi-quy-la-gi</v>
      </c>
      <c r="AQ10" s="30" t="str">
        <f>IFERROR(__xludf.DUMMYFUNCTION("""COMPUTED_VALUE"""),"cách tính thuế thu nhập doanh nghiệp")</f>
        <v>cách tính thuế thu nhập doanh nghiệp</v>
      </c>
      <c r="AR10" s="34" t="str">
        <f>IFERROR(__xludf.DUMMYFUNCTION("""COMPUTED_VALUE"""),"https://techcombank.com/thong-tin/blog/doanh-nghiep-moi-thanh-lap-duoc-uu-dai-gi")</f>
        <v>https://techcombank.com/thong-tin/blog/doanh-nghiep-moi-thanh-lap-duoc-uu-dai-gi</v>
      </c>
      <c r="AS10" s="30" t="str">
        <f>IFERROR(__xludf.DUMMYFUNCTION("""COMPUTED_VALUE"""),"công thức tính thuế TNDN")</f>
        <v>công thức tính thuế TNDN</v>
      </c>
      <c r="AT10" s="34" t="str">
        <f>IFERROR(__xludf.DUMMYFUNCTION("""COMPUTED_VALUE"""),"https://techcombank.com/thong-tin/blog/lai-suat-chung-chi-quy")</f>
        <v>https://techcombank.com/thong-tin/blog/lai-suat-chung-chi-quy</v>
      </c>
      <c r="AU10" s="30" t="str">
        <f>IFERROR(__xludf.DUMMYFUNCTION("""COMPUTED_VALUE"""),"cách tính thuế thu nhập doanh nghiệp")</f>
        <v>cách tính thuế thu nhập doanh nghiệp</v>
      </c>
      <c r="AV10" s="34" t="str">
        <f>IFERROR(__xludf.DUMMYFUNCTION("""COMPUTED_VALUE"""),"https://techcombank.com/thong-tin/blog/cach-nop-thue-dien-tu")</f>
        <v>https://techcombank.com/thong-tin/blog/cach-nop-thue-dien-tu</v>
      </c>
      <c r="AW10" s="30" t="str">
        <f>IFERROR(__xludf.DUMMYFUNCTION("""COMPUTED_VALUE"""),"cách tính thuế thu nhập doanh nghiệp")</f>
        <v>cách tính thuế thu nhập doanh nghiệp</v>
      </c>
      <c r="AX10" s="34" t="str">
        <f>IFERROR(__xludf.DUMMYFUNCTION("""COMPUTED_VALUE"""),"https://techcombank.com/thong-tin/blog/nen-thanh-lap-ho-kinh-doanh-ke-khai-hay-doanh-nghiep")</f>
        <v>https://techcombank.com/thong-tin/blog/nen-thanh-lap-ho-kinh-doanh-ke-khai-hay-doanh-nghiep</v>
      </c>
      <c r="AY10" s="30" t="str">
        <f>IFERROR(__xludf.DUMMYFUNCTION("""COMPUTED_VALUE"""),"cách tính thuế thu nhập doanh nghiệp")</f>
        <v>cách tính thuế thu nhập doanh nghiệp</v>
      </c>
      <c r="AZ10" s="34" t="str">
        <f>IFERROR(__xludf.DUMMYFUNCTION("""COMPUTED_VALUE"""),"https://techcombank.com/thong-tin/blog/thue-doanh-nghiep-2025")</f>
        <v>https://techcombank.com/thong-tin/blog/thue-doanh-nghiep-2025</v>
      </c>
      <c r="BA10" s="30" t="str">
        <f>IFERROR(__xludf.DUMMYFUNCTION("""COMPUTED_VALUE"""),"công thức tính thuế TNDN")</f>
        <v>công thức tính thuế TNDN</v>
      </c>
      <c r="BB10" s="34" t="str">
        <f>IFERROR(__xludf.DUMMYFUNCTION("""COMPUTED_VALUE"""),"https://techcombank.com/thong-tin/blog/cach-tinh-thue-thu-nhap-ca-nhan-2025")</f>
        <v>https://techcombank.com/thong-tin/blog/cach-tinh-thue-thu-nhap-ca-nhan-2025</v>
      </c>
      <c r="BC10" s="30" t="str">
        <f>IFERROR(__xludf.DUMMYFUNCTION("""COMPUTED_VALUE"""),"công thức tính thuế TNDN")</f>
        <v>công thức tính thuế TNDN</v>
      </c>
      <c r="BD10" s="34" t="str">
        <f>IFERROR(__xludf.DUMMYFUNCTION("""COMPUTED_VALUE"""),"https://techcombank.com/thong-tin/blog/thue-khoan-ho-kinh-doanh-la-gi")</f>
        <v>https://techcombank.com/thong-tin/blog/thue-khoan-ho-kinh-doanh-la-gi</v>
      </c>
      <c r="BE10" s="30" t="str">
        <f>IFERROR(__xludf.DUMMYFUNCTION("""COMPUTED_VALUE"""),"công thức tính thuế TNDN")</f>
        <v>công thức tính thuế TNDN</v>
      </c>
      <c r="BF10" s="34" t="str">
        <f>IFERROR(__xludf.DUMMYFUNCTION("""COMPUTED_VALUE"""),"https://techcombank.com/thong-tin/blog/co-50-trieu-nen-mua-vang-hay-gui-tiet-kiem")</f>
        <v>https://techcombank.com/thong-tin/blog/co-50-trieu-nen-mua-vang-hay-gui-tiet-kiem</v>
      </c>
      <c r="BG10" s="30" t="str">
        <f>IFERROR(__xludf.DUMMYFUNCTION("""COMPUTED_VALUE"""),"công thức tính thuế TNDN")</f>
        <v>công thức tính thuế TNDN</v>
      </c>
      <c r="BH10" s="34" t="str">
        <f>IFERROR(__xludf.DUMMYFUNCTION("""COMPUTED_VALUE"""),"https://techcombank.com/thong-tin/blog/wacc-la-gi")</f>
        <v>https://techcombank.com/thong-tin/blog/wacc-la-gi</v>
      </c>
      <c r="BI10" s="30" t="str">
        <f>IFERROR(__xludf.DUMMYFUNCTION("""COMPUTED_VALUE"""),"công thức tính thuế TNDN")</f>
        <v>công thức tính thuế TNDN</v>
      </c>
      <c r="BJ10" s="34" t="str">
        <f>IFERROR(__xludf.DUMMYFUNCTION("""COMPUTED_VALUE"""),"https://techcombank.com/thong-tin/blog/thue-thu-nhap-ca-nhan")</f>
        <v>https://techcombank.com/thong-tin/blog/thue-thu-nhap-ca-nhan</v>
      </c>
      <c r="BK10" s="30" t="str">
        <f>IFERROR(__xludf.DUMMYFUNCTION("""COMPUTED_VALUE"""),"cách tính thuế TNDN")</f>
        <v>cách tính thuế TNDN</v>
      </c>
      <c r="BL10" s="34" t="str">
        <f>IFERROR(__xludf.DUMMYFUNCTION("""COMPUTED_VALUE"""),"https://techcombank.com/thong-tin/blog/quyet-toan-thue-doanh-nghiep")</f>
        <v>https://techcombank.com/thong-tin/blog/quyet-toan-thue-doanh-nghiep</v>
      </c>
      <c r="BM10" s="30" t="str">
        <f>IFERROR(__xludf.DUMMYFUNCTION("""COMPUTED_VALUE"""),"cách tính thuế TNDN")</f>
        <v>cách tính thuế TNDN</v>
      </c>
      <c r="BN10" s="34" t="str">
        <f>IFERROR(__xludf.DUMMYFUNCTION("""COMPUTED_VALUE"""),"https://techcombank.com/thong-tin/blog/thue-vat-la-gi")</f>
        <v>https://techcombank.com/thong-tin/blog/thue-vat-la-gi</v>
      </c>
      <c r="BO10" s="30" t="str">
        <f>IFERROR(__xludf.DUMMYFUNCTION("""COMPUTED_VALUE"""),"cách tính thuế TNDN")</f>
        <v>cách tính thuế TNDN</v>
      </c>
      <c r="BP10" s="34" t="str">
        <f>IFERROR(__xludf.DUMMYFUNCTION("""COMPUTED_VALUE"""),"https://techcombank.com/thong-tin/blog/cach-tra-cuu-hoa-don-dien-tu")</f>
        <v>https://techcombank.com/thong-tin/blog/cach-tra-cuu-hoa-don-dien-tu</v>
      </c>
      <c r="BQ10" s="30" t="str">
        <f>IFERROR(__xludf.DUMMYFUNCTION("""COMPUTED_VALUE"""),"cách tính thuế thu nhập doanh nghiệp")</f>
        <v>cách tính thuế thu nhập doanh nghiệp</v>
      </c>
      <c r="BR10" s="34" t="str">
        <f>IFERROR(__xludf.DUMMYFUNCTION("""COMPUTED_VALUE"""),"https://techcombank.com/thong-tin/blog/khoi-nghiep-truoc-chinh-sach-thue-moi")</f>
        <v>https://techcombank.com/thong-tin/blog/khoi-nghiep-truoc-chinh-sach-thue-moi</v>
      </c>
      <c r="BS10" s="30" t="str">
        <f>IFERROR(__xludf.DUMMYFUNCTION("""COMPUTED_VALUE"""),"cách tính thuế thu nhập doanh nghiệp")</f>
        <v>cách tính thuế thu nhập doanh nghiệp</v>
      </c>
      <c r="BT10" s="34" t="str">
        <f>IFERROR(__xludf.DUMMYFUNCTION("""COMPUTED_VALUE"""),"https://techcombank.com/thong-tin/blog/hieu-hiet-ve-tuan-thu-thue-cho-cac-doanh-nghiep-khoi-nghiep")</f>
        <v>https://techcombank.com/thong-tin/blog/hieu-hiet-ve-tuan-thu-thue-cho-cac-doanh-nghiep-khoi-nghiep</v>
      </c>
      <c r="BU10" s="30"/>
      <c r="BV10" s="30"/>
      <c r="BW10" s="30"/>
      <c r="BX10" s="30"/>
      <c r="BY10" s="30"/>
      <c r="BZ10" s="30"/>
      <c r="CA10" s="30"/>
      <c r="CB10" s="30"/>
      <c r="CC10" s="30"/>
      <c r="CD10" s="30"/>
      <c r="CE10" s="30"/>
      <c r="CF10" s="30"/>
      <c r="CG10" s="30"/>
      <c r="CH10" s="30"/>
      <c r="CI10" s="30"/>
      <c r="CJ10" s="30"/>
      <c r="CK10" s="30"/>
      <c r="CL10" s="30"/>
      <c r="CM10" s="30"/>
      <c r="CN10" s="30"/>
      <c r="CO10" s="30"/>
      <c r="CP10" s="30"/>
      <c r="CQ10" s="30"/>
      <c r="CR10" s="30"/>
      <c r="CS10" s="30"/>
      <c r="CT10" s="30"/>
      <c r="CU10" s="30"/>
      <c r="CV10" s="30"/>
      <c r="CW10" s="30"/>
      <c r="CX10" s="30"/>
      <c r="CY10" s="30"/>
      <c r="CZ10" s="30"/>
      <c r="DA10" s="30"/>
      <c r="DB10" s="30"/>
      <c r="DC10" s="30"/>
      <c r="DD10" s="30"/>
      <c r="DE10" s="30"/>
      <c r="DF10" s="30"/>
      <c r="DG10" s="30"/>
      <c r="DH10" s="30"/>
      <c r="DI10" s="30"/>
      <c r="DJ10" s="30"/>
      <c r="DK10" s="30"/>
      <c r="DL10" s="30"/>
      <c r="DM10" s="30"/>
      <c r="DN10" s="30"/>
      <c r="DO10" s="30"/>
      <c r="DP10" s="30"/>
      <c r="DQ10" s="30"/>
      <c r="DR10" s="30"/>
      <c r="DS10" s="30"/>
      <c r="DT10" s="30"/>
      <c r="DU10" s="30"/>
      <c r="DV10" s="30"/>
      <c r="DW10" s="30"/>
      <c r="DX10" s="30"/>
      <c r="DY10" s="30"/>
      <c r="DZ10" s="30"/>
      <c r="EA10" s="30"/>
      <c r="EB10" s="30"/>
      <c r="EC10" s="30"/>
      <c r="ED10" s="30"/>
      <c r="EE10" s="30"/>
      <c r="EF10" s="30"/>
      <c r="EG10" s="30"/>
      <c r="EH10" s="30"/>
      <c r="EI10" s="30"/>
      <c r="EJ10" s="30"/>
      <c r="EK10" s="30"/>
      <c r="EL10" s="30"/>
      <c r="EM10" s="30"/>
      <c r="EN10" s="30"/>
      <c r="EO10" s="30"/>
      <c r="EP10" s="30"/>
      <c r="EQ10" s="30"/>
      <c r="ER10" s="30"/>
      <c r="ES10" s="30"/>
      <c r="ET10" s="30"/>
      <c r="EU10" s="30"/>
      <c r="EV10" s="30"/>
      <c r="EW10" s="30"/>
      <c r="EX10" s="30"/>
      <c r="EY10" s="30"/>
      <c r="EZ10" s="30"/>
      <c r="FA10" s="30"/>
      <c r="FB10" s="30"/>
      <c r="FC10" s="30"/>
      <c r="FD10" s="30"/>
      <c r="FE10" s="30"/>
      <c r="FF10" s="30"/>
      <c r="FG10" s="30"/>
      <c r="FH10" s="30"/>
      <c r="FI10" s="30"/>
      <c r="FJ10" s="30"/>
      <c r="FK10" s="30"/>
      <c r="FL10" s="30"/>
      <c r="FM10" s="30"/>
      <c r="FN10" s="30"/>
      <c r="FO10" s="30"/>
      <c r="FP10" s="30"/>
      <c r="FQ10" s="30"/>
      <c r="FR10" s="30"/>
      <c r="FS10" s="30"/>
      <c r="FT10" s="30"/>
      <c r="FU10" s="30"/>
      <c r="FV10" s="30"/>
      <c r="FW10" s="30"/>
      <c r="FX10" s="30"/>
      <c r="FY10" s="30"/>
      <c r="FZ10" s="30"/>
      <c r="GA10" s="30"/>
      <c r="GB10" s="30"/>
      <c r="GC10" s="30"/>
      <c r="GD10" s="30"/>
      <c r="GE10" s="30"/>
      <c r="GF10" s="30"/>
      <c r="GG10" s="30"/>
      <c r="GH10" s="30"/>
      <c r="GI10" s="30"/>
      <c r="GJ10" s="30"/>
      <c r="GK10" s="30"/>
      <c r="GL10" s="30"/>
      <c r="GM10" s="30"/>
      <c r="GN10" s="30"/>
      <c r="GO10" s="30"/>
      <c r="GP10" s="30"/>
      <c r="GQ10" s="30"/>
      <c r="GR10" s="30"/>
      <c r="GS10" s="30"/>
      <c r="GT10" s="30"/>
      <c r="GU10" s="30"/>
      <c r="GV10" s="30"/>
      <c r="GW10" s="30"/>
      <c r="GX10" s="30"/>
      <c r="GY10" s="30"/>
      <c r="GZ10" s="30"/>
      <c r="HA10" s="30"/>
      <c r="HB10" s="30"/>
      <c r="HC10" s="30"/>
      <c r="HD10" s="30"/>
      <c r="HE10" s="30"/>
      <c r="HF10" s="30"/>
      <c r="HG10" s="30"/>
      <c r="HH10" s="30"/>
      <c r="HI10" s="30"/>
      <c r="HJ10" s="30"/>
      <c r="HK10" s="30"/>
      <c r="HL10" s="30"/>
      <c r="HM10" s="30"/>
      <c r="HN10" s="30"/>
      <c r="HO10" s="30"/>
      <c r="HP10" s="30"/>
      <c r="HQ10" s="30"/>
      <c r="HR10" s="30"/>
      <c r="HS10" s="30"/>
      <c r="HT10" s="30"/>
      <c r="HU10" s="30"/>
      <c r="HV10" s="30"/>
      <c r="HW10" s="30"/>
      <c r="HX10" s="30"/>
      <c r="HY10" s="30"/>
      <c r="HZ10" s="30"/>
      <c r="IA10" s="30"/>
      <c r="IB10" s="30"/>
      <c r="IC10" s="30"/>
      <c r="ID10" s="30"/>
      <c r="IE10" s="30"/>
      <c r="IF10" s="30"/>
      <c r="IG10" s="30"/>
      <c r="IH10" s="30"/>
      <c r="II10" s="30"/>
      <c r="IJ10" s="30"/>
      <c r="IK10" s="30"/>
      <c r="IL10" s="30"/>
      <c r="IM10" s="30"/>
      <c r="IN10" s="30"/>
      <c r="IO10" s="30"/>
      <c r="IP10" s="30"/>
      <c r="IQ10" s="30"/>
      <c r="IR10" s="30"/>
      <c r="IS10" s="30"/>
      <c r="IT10" s="30"/>
      <c r="IU10" s="30"/>
      <c r="IV10" s="30"/>
      <c r="IW10" s="30"/>
      <c r="IX10" s="30"/>
      <c r="IY10" s="30"/>
      <c r="IZ10" s="30"/>
      <c r="JA10" s="30"/>
      <c r="JB10" s="30"/>
      <c r="JC10" s="30"/>
      <c r="JD10" s="30"/>
      <c r="JE10" s="30"/>
      <c r="JF10" s="30"/>
      <c r="JG10" s="30"/>
      <c r="JH10" s="30"/>
      <c r="JI10" s="30"/>
      <c r="JJ10" s="30"/>
      <c r="JK10" s="30"/>
      <c r="JL10" s="30"/>
      <c r="JM10" s="30"/>
      <c r="JN10" s="30"/>
      <c r="JO10" s="30"/>
      <c r="JP10" s="30"/>
      <c r="JQ10" s="30"/>
      <c r="JR10" s="30"/>
      <c r="JS10" s="30"/>
      <c r="JT10" s="30"/>
      <c r="JU10" s="30"/>
      <c r="JV10" s="30"/>
      <c r="JW10" s="30"/>
      <c r="JX10" s="30"/>
      <c r="JY10" s="30"/>
      <c r="JZ10" s="30"/>
      <c r="KA10" s="30"/>
      <c r="KB10" s="30"/>
      <c r="KC10" s="30"/>
      <c r="KD10" s="30"/>
      <c r="KE10" s="30"/>
      <c r="KF10" s="30"/>
      <c r="KG10" s="30"/>
      <c r="KH10" s="30"/>
      <c r="KI10" s="30"/>
      <c r="KJ10" s="30"/>
      <c r="KK10" s="30"/>
      <c r="KL10" s="30"/>
      <c r="KM10" s="30"/>
      <c r="KN10" s="30"/>
      <c r="KO10" s="30"/>
      <c r="KP10" s="30"/>
      <c r="KQ10" s="30"/>
      <c r="KR10" s="30"/>
      <c r="KS10" s="30"/>
      <c r="KT10" s="30"/>
      <c r="KU10" s="30"/>
      <c r="KV10" s="30"/>
      <c r="KW10" s="30"/>
      <c r="KX10" s="30"/>
      <c r="KY10" s="30"/>
      <c r="KZ10" s="30"/>
      <c r="LA10" s="30"/>
      <c r="LB10" s="30"/>
      <c r="LC10" s="30"/>
      <c r="LD10" s="30"/>
      <c r="LE10" s="30"/>
      <c r="LF10" s="30"/>
      <c r="LG10" s="30"/>
      <c r="LH10" s="30"/>
      <c r="LI10" s="30"/>
      <c r="LJ10" s="30"/>
      <c r="LK10" s="30"/>
      <c r="LL10" s="30"/>
      <c r="LM10" s="30"/>
      <c r="LN10" s="30"/>
      <c r="LO10" s="30"/>
      <c r="LP10" s="30"/>
      <c r="LQ10" s="30"/>
      <c r="LR10" s="30"/>
      <c r="LS10" s="30"/>
      <c r="LT10" s="30"/>
      <c r="LU10" s="30"/>
      <c r="LV10" s="30"/>
      <c r="LW10" s="30"/>
      <c r="LX10" s="30"/>
      <c r="LY10" s="30"/>
      <c r="LZ10" s="30"/>
      <c r="MA10" s="30"/>
      <c r="MB10" s="30"/>
      <c r="MC10" s="30"/>
      <c r="MD10" s="30"/>
      <c r="ME10" s="30"/>
      <c r="MF10" s="30"/>
      <c r="MG10" s="30"/>
      <c r="MH10" s="30"/>
      <c r="MI10" s="30"/>
      <c r="MJ10" s="30"/>
      <c r="MK10" s="30"/>
      <c r="ML10" s="30"/>
      <c r="MM10" s="30"/>
      <c r="MN10" s="30"/>
      <c r="MO10" s="30"/>
      <c r="MP10" s="30"/>
      <c r="MQ10" s="30"/>
      <c r="MR10" s="30"/>
      <c r="MS10" s="30"/>
      <c r="MT10" s="30"/>
      <c r="MU10" s="30"/>
      <c r="MV10" s="30"/>
      <c r="MW10" s="30"/>
      <c r="MX10" s="30"/>
      <c r="MY10" s="30"/>
      <c r="MZ10" s="30"/>
      <c r="NA10" s="30"/>
      <c r="NB10" s="30"/>
      <c r="NC10" s="30"/>
      <c r="ND10" s="30"/>
      <c r="NE10" s="30"/>
      <c r="NF10" s="30"/>
      <c r="NG10" s="30"/>
      <c r="NH10" s="30"/>
      <c r="NI10" s="30"/>
      <c r="NJ10" s="30"/>
      <c r="NK10" s="30"/>
      <c r="NL10" s="30"/>
      <c r="NM10" s="30"/>
      <c r="NN10" s="30"/>
      <c r="NO10" s="30"/>
      <c r="NP10" s="30"/>
      <c r="NQ10" s="30"/>
      <c r="NR10" s="30"/>
      <c r="NS10" s="30"/>
      <c r="NT10" s="30"/>
      <c r="NU10" s="30"/>
      <c r="NV10" s="30"/>
      <c r="NW10" s="30"/>
      <c r="NX10" s="30"/>
      <c r="NY10" s="30"/>
      <c r="NZ10" s="30"/>
      <c r="OA10" s="30"/>
      <c r="OB10" s="30"/>
      <c r="OC10" s="30"/>
      <c r="OD10" s="30"/>
      <c r="OE10" s="30"/>
      <c r="OF10" s="30"/>
      <c r="OG10" s="30"/>
      <c r="OH10" s="30"/>
      <c r="OI10" s="30"/>
      <c r="OJ10" s="30"/>
      <c r="OK10" s="30"/>
      <c r="OL10" s="30"/>
      <c r="OM10" s="30"/>
      <c r="ON10" s="30"/>
      <c r="OO10" s="30"/>
      <c r="OP10" s="30"/>
      <c r="OQ10" s="30"/>
      <c r="OR10" s="30"/>
      <c r="OS10" s="30"/>
      <c r="OT10" s="30"/>
      <c r="OU10" s="30"/>
      <c r="OV10" s="30"/>
    </row>
    <row r="11" ht="18.0" customHeight="1">
      <c r="A11" s="29">
        <v>10.0</v>
      </c>
      <c r="B11" s="30" t="s">
        <v>1564</v>
      </c>
      <c r="C11" s="31" t="s">
        <v>2877</v>
      </c>
      <c r="D11" s="30" t="s">
        <v>1225</v>
      </c>
      <c r="E11" s="29">
        <v>30.0</v>
      </c>
      <c r="F11" s="29">
        <f>COUNTIF('Tổng hợp 75 trang đích'!$B$2:$B$3400,$D11)</f>
        <v>30</v>
      </c>
      <c r="G11" s="29">
        <f>COUNTIFS('Tổng hợp 75 trang đích'!$B$2:$B$3400,$D11,'Tổng hợp 75 trang đích'!$K$2:$K$3400,"PHÙ HỢP CAO")</f>
        <v>3</v>
      </c>
      <c r="H11" s="29">
        <f>COUNTIFS('Tổng hợp 75 trang đích'!$B$2:$B$3400,$D11,'Tổng hợp 75 trang đích'!$K$2:$K$3400,"CÓ THỂ ĐI")</f>
        <v>2</v>
      </c>
      <c r="I11" s="29">
        <f>COUNTIFS('Tổng hợp 75 trang đích'!$B$2:$B$3400,$D11,'Tổng hợp 75 trang đích'!$K$2:$K$3400,"CẦN SOÁT")</f>
        <v>25</v>
      </c>
      <c r="J11" s="32" t="s">
        <v>714</v>
      </c>
      <c r="K11" s="32" t="b">
        <v>0</v>
      </c>
      <c r="L11" s="33" t="s">
        <v>52</v>
      </c>
      <c r="M11" s="30" t="str">
        <f>IFERROR(__xludf.DUMMYFUNCTION("IFERROR(TOROW(CHOOSECOLS(SORT(FILTER({'Tổng hợp 75 trang đích'!$J$2:$J$3400,'Tổng hợp 75 trang đích'!$I$2:$I$3400,MATCH('Tổng hợp 75 trang đích'!$K$2:$K$3400,{""PHÙ HỢP CAO"",""CÓ THỂ ĐI"",""CẦN SOÁT""},0)},'Tổng hợp 75 trang đích'!$B$2:$B$3400=$D11),3,TR"&amp;"UE),1,2)),"""")"),"nạp thẻ viettel")</f>
        <v>nạp thẻ viettel</v>
      </c>
      <c r="N11" s="34" t="str">
        <f>IFERROR(__xludf.DUMMYFUNCTION("""COMPUTED_VALUE"""),"https://techcombank.com/thong-tin/blog/cach-nap-the")</f>
        <v>https://techcombank.com/thong-tin/blog/cach-nap-the</v>
      </c>
      <c r="O11" s="30" t="str">
        <f>IFERROR(__xludf.DUMMYFUNCTION("""COMPUTED_VALUE"""),"cách nạp tiền điện thoại viettel")</f>
        <v>cách nạp tiền điện thoại viettel</v>
      </c>
      <c r="P11" s="34" t="str">
        <f>IFERROR(__xludf.DUMMYFUNCTION("""COMPUTED_VALUE"""),"https://techcombank.com/thong-tin/blog/nap-tien-dien-thoai-online")</f>
        <v>https://techcombank.com/thong-tin/blog/nap-tien-dien-thoai-online</v>
      </c>
      <c r="Q11" s="30" t="str">
        <f>IFERROR(__xludf.DUMMYFUNCTION("""COMPUTED_VALUE"""),"cách nạp tiền viettel")</f>
        <v>cách nạp tiền viettel</v>
      </c>
      <c r="R11" s="34" t="str">
        <f>IFERROR(__xludf.DUMMYFUNCTION("""COMPUTED_VALUE"""),"https://techcombank.com/thong-tin/blog/thanh-toan-tra-sau-viettel-bang-tai-khoan-ngan-hang")</f>
        <v>https://techcombank.com/thong-tin/blog/thanh-toan-tra-sau-viettel-bang-tai-khoan-ngan-hang</v>
      </c>
      <c r="S11" s="30" t="str">
        <f>IFERROR(__xludf.DUMMYFUNCTION("""COMPUTED_VALUE"""),"cách nạp tiền điện thoại viettel")</f>
        <v>cách nạp tiền điện thoại viettel</v>
      </c>
      <c r="T11" s="34" t="str">
        <f>IFERROR(__xludf.DUMMYFUNCTION("""COMPUTED_VALUE"""),"https://techcombank.com/thong-tin/blog/cach-nap-the-vina")</f>
        <v>https://techcombank.com/thong-tin/blog/cach-nap-the-vina</v>
      </c>
      <c r="U11" s="30" t="str">
        <f>IFERROR(__xludf.DUMMYFUNCTION("""COMPUTED_VALUE"""),"cách nạp tiền điện thoại viettel")</f>
        <v>cách nạp tiền điện thoại viettel</v>
      </c>
      <c r="V11" s="34" t="str">
        <f>IFERROR(__xludf.DUMMYFUNCTION("""COMPUTED_VALUE"""),"https://techcombank.com/thong-tin/blog/cach-nap-the-mobi")</f>
        <v>https://techcombank.com/thong-tin/blog/cach-nap-the-mobi</v>
      </c>
      <c r="W11" s="30" t="str">
        <f>IFERROR(__xludf.DUMMYFUNCTION("""COMPUTED_VALUE"""),"nạp thẻ viettel")</f>
        <v>nạp thẻ viettel</v>
      </c>
      <c r="X11" s="34" t="str">
        <f>IFERROR(__xludf.DUMMYFUNCTION("""COMPUTED_VALUE"""),"https://techcombank.com/thong-tin/blog/mat-so-dien-thoai-dang-ky-tai-khoan-ngan-hang")</f>
        <v>https://techcombank.com/thong-tin/blog/mat-so-dien-thoai-dang-ky-tai-khoan-ngan-hang</v>
      </c>
      <c r="Y11" s="30" t="str">
        <f>IFERROR(__xludf.DUMMYFUNCTION("""COMPUTED_VALUE"""),"cách nạp tiền điện thoại viettel")</f>
        <v>cách nạp tiền điện thoại viettel</v>
      </c>
      <c r="Z11" s="34" t="str">
        <f>IFERROR(__xludf.DUMMYFUNCTION("""COMPUTED_VALUE"""),"https://techcombank.com/thong-tin/blog/so-sanh-gui-tiet-kiem-online-va-tai-quay")</f>
        <v>https://techcombank.com/thong-tin/blog/so-sanh-gui-tiet-kiem-online-va-tai-quay</v>
      </c>
      <c r="AA11" s="30" t="str">
        <f>IFERROR(__xludf.DUMMYFUNCTION("""COMPUTED_VALUE"""),"cách nạp tiền viettel")</f>
        <v>cách nạp tiền viettel</v>
      </c>
      <c r="AB11" s="34" t="str">
        <f>IFERROR(__xludf.DUMMYFUNCTION("""COMPUTED_VALUE"""),"https://techcombank.com/thong-tin/blog/app-dong-tien-dien-online")</f>
        <v>https://techcombank.com/thong-tin/blog/app-dong-tien-dien-online</v>
      </c>
      <c r="AC11" s="30" t="str">
        <f>IFERROR(__xludf.DUMMYFUNCTION("""COMPUTED_VALUE"""),"cách nạp tiền điện thoại viettel")</f>
        <v>cách nạp tiền điện thoại viettel</v>
      </c>
      <c r="AD11" s="34" t="str">
        <f>IFERROR(__xludf.DUMMYFUNCTION("""COMPUTED_VALUE"""),"https://techcombank.com/thong-tin/blog/vi-dien-tu-la-gi")</f>
        <v>https://techcombank.com/thong-tin/blog/vi-dien-tu-la-gi</v>
      </c>
      <c r="AE11" s="30" t="str">
        <f>IFERROR(__xludf.DUMMYFUNCTION("""COMPUTED_VALUE"""),"cách nạp tiền điện thoại viettel")</f>
        <v>cách nạp tiền điện thoại viettel</v>
      </c>
      <c r="AF11" s="34" t="str">
        <f>IFERROR(__xludf.DUMMYFUNCTION("""COMPUTED_VALUE"""),"https://techcombank.com/thong-tin/blog/cach-chuyen-khoan-bang-dien-thoai")</f>
        <v>https://techcombank.com/thong-tin/blog/cach-chuyen-khoan-bang-dien-thoai</v>
      </c>
      <c r="AG11" s="30" t="str">
        <f>IFERROR(__xludf.DUMMYFUNCTION("""COMPUTED_VALUE"""),"cách nạp tiền điện thoại viettel")</f>
        <v>cách nạp tiền điện thoại viettel</v>
      </c>
      <c r="AH11" s="34" t="str">
        <f>IFERROR(__xludf.DUMMYFUNCTION("""COMPUTED_VALUE"""),"https://techcombank.com/thong-tin/blog/shopeepay-la-gi")</f>
        <v>https://techcombank.com/thong-tin/blog/shopeepay-la-gi</v>
      </c>
      <c r="AI11" s="30" t="str">
        <f>IFERROR(__xludf.DUMMYFUNCTION("""COMPUTED_VALUE"""),"cách nạp tiền viettel")</f>
        <v>cách nạp tiền viettel</v>
      </c>
      <c r="AJ11" s="34" t="str">
        <f>IFERROR(__xludf.DUMMYFUNCTION("""COMPUTED_VALUE"""),"https://techcombank.com/thong-tin/blog/nap-xu-tiktok")</f>
        <v>https://techcombank.com/thong-tin/blog/nap-xu-tiktok</v>
      </c>
      <c r="AK11" s="30" t="str">
        <f>IFERROR(__xludf.DUMMYFUNCTION("""COMPUTED_VALUE"""),"cách nạp tiền viettel")</f>
        <v>cách nạp tiền viettel</v>
      </c>
      <c r="AL11" s="34" t="str">
        <f>IFERROR(__xludf.DUMMYFUNCTION("""COMPUTED_VALUE"""),"https://techcombank.com/thong-tin/blog/nhung-kho-khan-khi-tiet-kiem-tien")</f>
        <v>https://techcombank.com/thong-tin/blog/nhung-kho-khan-khi-tiet-kiem-tien</v>
      </c>
      <c r="AM11" s="30" t="str">
        <f>IFERROR(__xludf.DUMMYFUNCTION("""COMPUTED_VALUE"""),"cách nạp thẻ viettel")</f>
        <v>cách nạp thẻ viettel</v>
      </c>
      <c r="AN11" s="34" t="str">
        <f>IFERROR(__xludf.DUMMYFUNCTION("""COMPUTED_VALUE"""),"https://techcombank.com/thong-tin/blog/the-visa-ao-la-gi")</f>
        <v>https://techcombank.com/thong-tin/blog/the-visa-ao-la-gi</v>
      </c>
      <c r="AO11" s="30" t="str">
        <f>IFERROR(__xludf.DUMMYFUNCTION("""COMPUTED_VALUE"""),"cách nạp tiền điện thoại viettel")</f>
        <v>cách nạp tiền điện thoại viettel</v>
      </c>
      <c r="AP11" s="34" t="str">
        <f>IFERROR(__xludf.DUMMYFUNCTION("""COMPUTED_VALUE"""),"https://techcombank.com/thong-tin/blog/cach-dong-tien-dien-qua-tai-khoan-ngan-hang")</f>
        <v>https://techcombank.com/thong-tin/blog/cach-dong-tien-dien-qua-tai-khoan-ngan-hang</v>
      </c>
      <c r="AQ11" s="30" t="str">
        <f>IFERROR(__xludf.DUMMYFUNCTION("""COMPUTED_VALUE"""),"cách nạp tiền viettel")</f>
        <v>cách nạp tiền viettel</v>
      </c>
      <c r="AR11" s="34" t="str">
        <f>IFERROR(__xludf.DUMMYFUNCTION("""COMPUTED_VALUE"""),"https://techcombank.com/thong-tin/blog/app-vay-tien-nhanh")</f>
        <v>https://techcombank.com/thong-tin/blog/app-vay-tien-nhanh</v>
      </c>
      <c r="AS11" s="30" t="str">
        <f>IFERROR(__xludf.DUMMYFUNCTION("""COMPUTED_VALUE"""),"cách nạp thẻ viettel")</f>
        <v>cách nạp thẻ viettel</v>
      </c>
      <c r="AT11" s="34" t="str">
        <f>IFERROR(__xludf.DUMMYFUNCTION("""COMPUTED_VALUE"""),"https://techcombank.com/thong-tin/blog/cach-nap-tien-vao-the-ghi-no")</f>
        <v>https://techcombank.com/thong-tin/blog/cach-nap-tien-vao-the-ghi-no</v>
      </c>
      <c r="AU11" s="30" t="str">
        <f>IFERROR(__xludf.DUMMYFUNCTION("""COMPUTED_VALUE"""),"cách nạp tiền điện thoại viettel")</f>
        <v>cách nạp tiền điện thoại viettel</v>
      </c>
      <c r="AV11" s="34" t="str">
        <f>IFERROR(__xludf.DUMMYFUNCTION("""COMPUTED_VALUE"""),"https://techcombank.com/thong-tin/blog/mobile-banking-la-gi")</f>
        <v>https://techcombank.com/thong-tin/blog/mobile-banking-la-gi</v>
      </c>
      <c r="AW11" s="30" t="str">
        <f>IFERROR(__xludf.DUMMYFUNCTION("""COMPUTED_VALUE"""),"cách nạp tiền viettel")</f>
        <v>cách nạp tiền viettel</v>
      </c>
      <c r="AX11" s="34" t="str">
        <f>IFERROR(__xludf.DUMMYFUNCTION("""COMPUTED_VALUE"""),"https://techcombank.com/thong-tin/blog/nap-tien-vao-tai-khoan-ngan-hang")</f>
        <v>https://techcombank.com/thong-tin/blog/nap-tien-vao-tai-khoan-ngan-hang</v>
      </c>
      <c r="AY11" s="30" t="str">
        <f>IFERROR(__xludf.DUMMYFUNCTION("""COMPUTED_VALUE"""),"cách nạp tiền viettel")</f>
        <v>cách nạp tiền viettel</v>
      </c>
      <c r="AZ11" s="34" t="str">
        <f>IFERROR(__xludf.DUMMYFUNCTION("""COMPUTED_VALUE"""),"https://techcombank.com/thong-tin/blog/so-du-tien-gui-la-gi")</f>
        <v>https://techcombank.com/thong-tin/blog/so-du-tien-gui-la-gi</v>
      </c>
      <c r="BA11" s="30" t="str">
        <f>IFERROR(__xludf.DUMMYFUNCTION("""COMPUTED_VALUE"""),"nạp thẻ viettel")</f>
        <v>nạp thẻ viettel</v>
      </c>
      <c r="BB11" s="34" t="str">
        <f>IFERROR(__xludf.DUMMYFUNCTION("""COMPUTED_VALUE"""),"https://techcombank.com/thong-tin/blog/the-tin-dung-la-gi")</f>
        <v>https://techcombank.com/thong-tin/blog/the-tin-dung-la-gi</v>
      </c>
      <c r="BC11" s="30" t="str">
        <f>IFERROR(__xludf.DUMMYFUNCTION("""COMPUTED_VALUE"""),"cách nạp tiền viettel")</f>
        <v>cách nạp tiền viettel</v>
      </c>
      <c r="BD11" s="34" t="str">
        <f>IFERROR(__xludf.DUMMYFUNCTION("""COMPUTED_VALUE"""),"https://techcombank.com/thong-tin/blog/cach-su-dung-the-visa-techcombank")</f>
        <v>https://techcombank.com/thong-tin/blog/cach-su-dung-the-visa-techcombank</v>
      </c>
      <c r="BE11" s="30" t="str">
        <f>IFERROR(__xludf.DUMMYFUNCTION("""COMPUTED_VALUE"""),"nạp thẻ viettel")</f>
        <v>nạp thẻ viettel</v>
      </c>
      <c r="BF11" s="34" t="str">
        <f>IFERROR(__xludf.DUMMYFUNCTION("""COMPUTED_VALUE"""),"https://techcombank.com/thong-tin/blog/no-xau-mo-the-tin-dung-duoc-khong")</f>
        <v>https://techcombank.com/thong-tin/blog/no-xau-mo-the-tin-dung-duoc-khong</v>
      </c>
      <c r="BG11" s="30" t="str">
        <f>IFERROR(__xludf.DUMMYFUNCTION("""COMPUTED_VALUE"""),"cách nạp tiền điện thoại viettel")</f>
        <v>cách nạp tiền điện thoại viettel</v>
      </c>
      <c r="BH11" s="34" t="str">
        <f>IFERROR(__xludf.DUMMYFUNCTION("""COMPUTED_VALUE"""),"https://techcombank.com/thong-tin/blog/thanh-toan-cuoc-truyen-hinh")</f>
        <v>https://techcombank.com/thong-tin/blog/thanh-toan-cuoc-truyen-hinh</v>
      </c>
      <c r="BI11" s="30" t="str">
        <f>IFERROR(__xludf.DUMMYFUNCTION("""COMPUTED_VALUE"""),"nạp thẻ viettel")</f>
        <v>nạp thẻ viettel</v>
      </c>
      <c r="BJ11" s="34" t="str">
        <f>IFERROR(__xludf.DUMMYFUNCTION("""COMPUTED_VALUE"""),"https://techcombank.com/thong-tin/blog/the-visa-co-may-loai")</f>
        <v>https://techcombank.com/thong-tin/blog/the-visa-co-may-loai</v>
      </c>
      <c r="BK11" s="30" t="str">
        <f>IFERROR(__xludf.DUMMYFUNCTION("""COMPUTED_VALUE"""),"nạp thẻ viettel")</f>
        <v>nạp thẻ viettel</v>
      </c>
      <c r="BL11" s="34" t="str">
        <f>IFERROR(__xludf.DUMMYFUNCTION("""COMPUTED_VALUE"""),"https://techcombank.com/thong-tin/blog/nen-lam-the-visa-hay-noi-dia")</f>
        <v>https://techcombank.com/thong-tin/blog/nen-lam-the-visa-hay-noi-dia</v>
      </c>
      <c r="BM11" s="30" t="str">
        <f>IFERROR(__xludf.DUMMYFUNCTION("""COMPUTED_VALUE"""),"nạp thẻ viettel")</f>
        <v>nạp thẻ viettel</v>
      </c>
      <c r="BN11" s="34" t="str">
        <f>IFERROR(__xludf.DUMMYFUNCTION("""COMPUTED_VALUE"""),"https://techcombank.com/thong-tin/blog/the-visa-khong-thanh-toan-duoc")</f>
        <v>https://techcombank.com/thong-tin/blog/the-visa-khong-thanh-toan-duoc</v>
      </c>
      <c r="BO11" s="30" t="str">
        <f>IFERROR(__xludf.DUMMYFUNCTION("""COMPUTED_VALUE"""),"cách nạp tiền điện thoại viettel")</f>
        <v>cách nạp tiền điện thoại viettel</v>
      </c>
      <c r="BP11" s="34" t="str">
        <f>IFERROR(__xludf.DUMMYFUNCTION("""COMPUTED_VALUE"""),"https://techcombank.com/thong-tin/blog/thanh-toan-truc-tuyen")</f>
        <v>https://techcombank.com/thong-tin/blog/thanh-toan-truc-tuyen</v>
      </c>
      <c r="BQ11" s="30" t="str">
        <f>IFERROR(__xludf.DUMMYFUNCTION("""COMPUTED_VALUE"""),"cách nạp tiền điện thoại viettel")</f>
        <v>cách nạp tiền điện thoại viettel</v>
      </c>
      <c r="BR11" s="34" t="str">
        <f>IFERROR(__xludf.DUMMYFUNCTION("""COMPUTED_VALUE"""),"https://techcombank.com/thong-tin/blog/voucher-golden-gate")</f>
        <v>https://techcombank.com/thong-tin/blog/voucher-golden-gate</v>
      </c>
      <c r="BS11" s="30" t="str">
        <f>IFERROR(__xludf.DUMMYFUNCTION("""COMPUTED_VALUE"""),"cách nạp tiền điện thoại viettel")</f>
        <v>cách nạp tiền điện thoại viettel</v>
      </c>
      <c r="BT11" s="34" t="str">
        <f>IFERROR(__xludf.DUMMYFUNCTION("""COMPUTED_VALUE"""),"https://techcombank.com/thong-tin/blog/voucher-the-pizza-company")</f>
        <v>https://techcombank.com/thong-tin/blog/voucher-the-pizza-company</v>
      </c>
      <c r="BU11" s="30"/>
      <c r="BV11" s="30"/>
      <c r="BW11" s="30"/>
      <c r="BX11" s="30"/>
      <c r="BY11" s="30"/>
      <c r="BZ11" s="30"/>
      <c r="CA11" s="30"/>
      <c r="CB11" s="30"/>
      <c r="CC11" s="30"/>
      <c r="CD11" s="30"/>
      <c r="CE11" s="30"/>
      <c r="CF11" s="30"/>
      <c r="CG11" s="30"/>
      <c r="CH11" s="30"/>
      <c r="CI11" s="30"/>
      <c r="CJ11" s="30"/>
      <c r="CK11" s="30"/>
      <c r="CL11" s="30"/>
      <c r="CM11" s="30"/>
      <c r="CN11" s="30"/>
      <c r="CO11" s="30"/>
      <c r="CP11" s="30"/>
      <c r="CQ11" s="30"/>
      <c r="CR11" s="30"/>
      <c r="CS11" s="30"/>
      <c r="CT11" s="30"/>
      <c r="CU11" s="30"/>
      <c r="CV11" s="30"/>
      <c r="CW11" s="30"/>
      <c r="CX11" s="30"/>
      <c r="CY11" s="30"/>
      <c r="CZ11" s="30"/>
      <c r="DA11" s="30"/>
      <c r="DB11" s="30"/>
      <c r="DC11" s="30"/>
      <c r="DD11" s="30"/>
      <c r="DE11" s="30"/>
      <c r="DF11" s="30"/>
      <c r="DG11" s="30"/>
      <c r="DH11" s="30"/>
      <c r="DI11" s="30"/>
      <c r="DJ11" s="30"/>
      <c r="DK11" s="30"/>
      <c r="DL11" s="30"/>
      <c r="DM11" s="30"/>
      <c r="DN11" s="30"/>
      <c r="DO11" s="30"/>
      <c r="DP11" s="30"/>
      <c r="DQ11" s="30"/>
      <c r="DR11" s="30"/>
      <c r="DS11" s="30"/>
      <c r="DT11" s="30"/>
      <c r="DU11" s="30"/>
      <c r="DV11" s="30"/>
      <c r="DW11" s="30"/>
      <c r="DX11" s="30"/>
      <c r="DY11" s="30"/>
      <c r="DZ11" s="30"/>
      <c r="EA11" s="30"/>
      <c r="EB11" s="30"/>
      <c r="EC11" s="30"/>
      <c r="ED11" s="30"/>
      <c r="EE11" s="30"/>
      <c r="EF11" s="30"/>
      <c r="EG11" s="30"/>
      <c r="EH11" s="30"/>
      <c r="EI11" s="30"/>
      <c r="EJ11" s="30"/>
      <c r="EK11" s="30"/>
      <c r="EL11" s="30"/>
      <c r="EM11" s="30"/>
      <c r="EN11" s="30"/>
      <c r="EO11" s="30"/>
      <c r="EP11" s="30"/>
      <c r="EQ11" s="30"/>
      <c r="ER11" s="30"/>
      <c r="ES11" s="30"/>
      <c r="ET11" s="30"/>
      <c r="EU11" s="30"/>
      <c r="EV11" s="30"/>
      <c r="EW11" s="30"/>
      <c r="EX11" s="30"/>
      <c r="EY11" s="30"/>
      <c r="EZ11" s="30"/>
      <c r="FA11" s="30"/>
      <c r="FB11" s="30"/>
      <c r="FC11" s="30"/>
      <c r="FD11" s="30"/>
      <c r="FE11" s="30"/>
      <c r="FF11" s="30"/>
      <c r="FG11" s="30"/>
      <c r="FH11" s="30"/>
      <c r="FI11" s="30"/>
      <c r="FJ11" s="30"/>
      <c r="FK11" s="30"/>
      <c r="FL11" s="30"/>
      <c r="FM11" s="30"/>
      <c r="FN11" s="30"/>
      <c r="FO11" s="30"/>
      <c r="FP11" s="30"/>
      <c r="FQ11" s="30"/>
      <c r="FR11" s="30"/>
      <c r="FS11" s="30"/>
      <c r="FT11" s="30"/>
      <c r="FU11" s="30"/>
      <c r="FV11" s="30"/>
      <c r="FW11" s="30"/>
      <c r="FX11" s="30"/>
      <c r="FY11" s="30"/>
      <c r="FZ11" s="30"/>
      <c r="GA11" s="30"/>
      <c r="GB11" s="30"/>
      <c r="GC11" s="30"/>
      <c r="GD11" s="30"/>
      <c r="GE11" s="30"/>
      <c r="GF11" s="30"/>
      <c r="GG11" s="30"/>
      <c r="GH11" s="30"/>
      <c r="GI11" s="30"/>
      <c r="GJ11" s="30"/>
      <c r="GK11" s="30"/>
      <c r="GL11" s="30"/>
      <c r="GM11" s="30"/>
      <c r="GN11" s="30"/>
      <c r="GO11" s="30"/>
      <c r="GP11" s="30"/>
      <c r="GQ11" s="30"/>
      <c r="GR11" s="30"/>
      <c r="GS11" s="30"/>
      <c r="GT11" s="30"/>
      <c r="GU11" s="30"/>
      <c r="GV11" s="30"/>
      <c r="GW11" s="30"/>
      <c r="GX11" s="30"/>
      <c r="GY11" s="30"/>
      <c r="GZ11" s="30"/>
      <c r="HA11" s="30"/>
      <c r="HB11" s="30"/>
      <c r="HC11" s="30"/>
      <c r="HD11" s="30"/>
      <c r="HE11" s="30"/>
      <c r="HF11" s="30"/>
      <c r="HG11" s="30"/>
      <c r="HH11" s="30"/>
      <c r="HI11" s="30"/>
      <c r="HJ11" s="30"/>
      <c r="HK11" s="30"/>
      <c r="HL11" s="30"/>
      <c r="HM11" s="30"/>
      <c r="HN11" s="30"/>
      <c r="HO11" s="30"/>
      <c r="HP11" s="30"/>
      <c r="HQ11" s="30"/>
      <c r="HR11" s="30"/>
      <c r="HS11" s="30"/>
      <c r="HT11" s="30"/>
      <c r="HU11" s="30"/>
      <c r="HV11" s="30"/>
      <c r="HW11" s="30"/>
      <c r="HX11" s="30"/>
      <c r="HY11" s="30"/>
      <c r="HZ11" s="30"/>
      <c r="IA11" s="30"/>
      <c r="IB11" s="30"/>
      <c r="IC11" s="30"/>
      <c r="ID11" s="30"/>
      <c r="IE11" s="30"/>
      <c r="IF11" s="30"/>
      <c r="IG11" s="30"/>
      <c r="IH11" s="30"/>
      <c r="II11" s="30"/>
      <c r="IJ11" s="30"/>
      <c r="IK11" s="30"/>
      <c r="IL11" s="30"/>
      <c r="IM11" s="30"/>
      <c r="IN11" s="30"/>
      <c r="IO11" s="30"/>
      <c r="IP11" s="30"/>
      <c r="IQ11" s="30"/>
      <c r="IR11" s="30"/>
      <c r="IS11" s="30"/>
      <c r="IT11" s="30"/>
      <c r="IU11" s="30"/>
      <c r="IV11" s="30"/>
      <c r="IW11" s="30"/>
      <c r="IX11" s="30"/>
      <c r="IY11" s="30"/>
      <c r="IZ11" s="30"/>
      <c r="JA11" s="30"/>
      <c r="JB11" s="30"/>
      <c r="JC11" s="30"/>
      <c r="JD11" s="30"/>
      <c r="JE11" s="30"/>
      <c r="JF11" s="30"/>
      <c r="JG11" s="30"/>
      <c r="JH11" s="30"/>
      <c r="JI11" s="30"/>
      <c r="JJ11" s="30"/>
      <c r="JK11" s="30"/>
      <c r="JL11" s="30"/>
      <c r="JM11" s="30"/>
      <c r="JN11" s="30"/>
      <c r="JO11" s="30"/>
      <c r="JP11" s="30"/>
      <c r="JQ11" s="30"/>
      <c r="JR11" s="30"/>
      <c r="JS11" s="30"/>
      <c r="JT11" s="30"/>
      <c r="JU11" s="30"/>
      <c r="JV11" s="30"/>
      <c r="JW11" s="30"/>
      <c r="JX11" s="30"/>
      <c r="JY11" s="30"/>
      <c r="JZ11" s="30"/>
      <c r="KA11" s="30"/>
      <c r="KB11" s="30"/>
      <c r="KC11" s="30"/>
      <c r="KD11" s="30"/>
      <c r="KE11" s="30"/>
      <c r="KF11" s="30"/>
      <c r="KG11" s="30"/>
      <c r="KH11" s="30"/>
      <c r="KI11" s="30"/>
      <c r="KJ11" s="30"/>
      <c r="KK11" s="30"/>
      <c r="KL11" s="30"/>
      <c r="KM11" s="30"/>
      <c r="KN11" s="30"/>
      <c r="KO11" s="30"/>
      <c r="KP11" s="30"/>
      <c r="KQ11" s="30"/>
      <c r="KR11" s="30"/>
      <c r="KS11" s="30"/>
      <c r="KT11" s="30"/>
      <c r="KU11" s="30"/>
      <c r="KV11" s="30"/>
      <c r="KW11" s="30"/>
      <c r="KX11" s="30"/>
      <c r="KY11" s="30"/>
      <c r="KZ11" s="30"/>
      <c r="LA11" s="30"/>
      <c r="LB11" s="30"/>
      <c r="LC11" s="30"/>
      <c r="LD11" s="30"/>
      <c r="LE11" s="30"/>
      <c r="LF11" s="30"/>
      <c r="LG11" s="30"/>
      <c r="LH11" s="30"/>
      <c r="LI11" s="30"/>
      <c r="LJ11" s="30"/>
      <c r="LK11" s="30"/>
      <c r="LL11" s="30"/>
      <c r="LM11" s="30"/>
      <c r="LN11" s="30"/>
      <c r="LO11" s="30"/>
      <c r="LP11" s="30"/>
      <c r="LQ11" s="30"/>
      <c r="LR11" s="30"/>
      <c r="LS11" s="30"/>
      <c r="LT11" s="30"/>
      <c r="LU11" s="30"/>
      <c r="LV11" s="30"/>
      <c r="LW11" s="30"/>
      <c r="LX11" s="30"/>
      <c r="LY11" s="30"/>
      <c r="LZ11" s="30"/>
      <c r="MA11" s="30"/>
      <c r="MB11" s="30"/>
      <c r="MC11" s="30"/>
      <c r="MD11" s="30"/>
      <c r="ME11" s="30"/>
      <c r="MF11" s="30"/>
      <c r="MG11" s="30"/>
      <c r="MH11" s="30"/>
      <c r="MI11" s="30"/>
      <c r="MJ11" s="30"/>
      <c r="MK11" s="30"/>
      <c r="ML11" s="30"/>
      <c r="MM11" s="30"/>
      <c r="MN11" s="30"/>
      <c r="MO11" s="30"/>
      <c r="MP11" s="30"/>
      <c r="MQ11" s="30"/>
      <c r="MR11" s="30"/>
      <c r="MS11" s="30"/>
      <c r="MT11" s="30"/>
      <c r="MU11" s="30"/>
      <c r="MV11" s="30"/>
      <c r="MW11" s="30"/>
      <c r="MX11" s="30"/>
      <c r="MY11" s="30"/>
      <c r="MZ11" s="30"/>
      <c r="NA11" s="30"/>
      <c r="NB11" s="30"/>
      <c r="NC11" s="30"/>
      <c r="ND11" s="30"/>
      <c r="NE11" s="30"/>
      <c r="NF11" s="30"/>
      <c r="NG11" s="30"/>
      <c r="NH11" s="30"/>
      <c r="NI11" s="30"/>
      <c r="NJ11" s="30"/>
      <c r="NK11" s="30"/>
      <c r="NL11" s="30"/>
      <c r="NM11" s="30"/>
      <c r="NN11" s="30"/>
      <c r="NO11" s="30"/>
      <c r="NP11" s="30"/>
      <c r="NQ11" s="30"/>
      <c r="NR11" s="30"/>
      <c r="NS11" s="30"/>
      <c r="NT11" s="30"/>
      <c r="NU11" s="30"/>
      <c r="NV11" s="30"/>
      <c r="NW11" s="30"/>
      <c r="NX11" s="30"/>
      <c r="NY11" s="30"/>
      <c r="NZ11" s="30"/>
      <c r="OA11" s="30"/>
      <c r="OB11" s="30"/>
      <c r="OC11" s="30"/>
      <c r="OD11" s="30"/>
      <c r="OE11" s="30"/>
      <c r="OF11" s="30"/>
      <c r="OG11" s="30"/>
      <c r="OH11" s="30"/>
      <c r="OI11" s="30"/>
      <c r="OJ11" s="30"/>
      <c r="OK11" s="30"/>
      <c r="OL11" s="30"/>
      <c r="OM11" s="30"/>
      <c r="ON11" s="30"/>
      <c r="OO11" s="30"/>
      <c r="OP11" s="30"/>
      <c r="OQ11" s="30"/>
      <c r="OR11" s="30"/>
      <c r="OS11" s="30"/>
      <c r="OT11" s="30"/>
      <c r="OU11" s="30"/>
      <c r="OV11" s="30"/>
    </row>
    <row r="12" ht="18.0" customHeight="1">
      <c r="A12" s="29">
        <v>11.0</v>
      </c>
      <c r="B12" s="30" t="s">
        <v>1564</v>
      </c>
      <c r="C12" s="31" t="s">
        <v>3073</v>
      </c>
      <c r="D12" s="30" t="s">
        <v>962</v>
      </c>
      <c r="E12" s="29">
        <v>50.0</v>
      </c>
      <c r="F12" s="29">
        <f>COUNTIF('Tổng hợp 75 trang đích'!$B$2:$B$3400,$D12)</f>
        <v>50</v>
      </c>
      <c r="G12" s="29">
        <f>COUNTIFS('Tổng hợp 75 trang đích'!$B$2:$B$3400,$D12,'Tổng hợp 75 trang đích'!$K$2:$K$3400,"PHÙ HỢP CAO")</f>
        <v>0</v>
      </c>
      <c r="H12" s="29">
        <f>COUNTIFS('Tổng hợp 75 trang đích'!$B$2:$B$3400,$D12,'Tổng hợp 75 trang đích'!$K$2:$K$3400,"CÓ THỂ ĐI")</f>
        <v>1</v>
      </c>
      <c r="I12" s="29">
        <f>COUNTIFS('Tổng hợp 75 trang đích'!$B$2:$B$3400,$D12,'Tổng hợp 75 trang đích'!$K$2:$K$3400,"CẦN SOÁT")</f>
        <v>35</v>
      </c>
      <c r="J12" s="32" t="s">
        <v>714</v>
      </c>
      <c r="K12" s="32" t="b">
        <v>0</v>
      </c>
      <c r="L12" s="33" t="s">
        <v>52</v>
      </c>
      <c r="M12" s="30" t="str">
        <f>IFERROR(__xludf.DUMMYFUNCTION("IFERROR(TOROW(CHOOSECOLS(SORT(FILTER({'Tổng hợp 75 trang đích'!$J$2:$J$3400,'Tổng hợp 75 trang đích'!$I$2:$I$3400,MATCH('Tổng hợp 75 trang đích'!$K$2:$K$3400,{""PHÙ HỢP CAO"",""CÓ THỂ ĐI"",""CẦN SOÁT""},0)},'Tổng hợp 75 trang đích'!$B$2:$B$3400=$D12),3,TR"&amp;"UE),1,2)),"""")"),"giá điện sinh hoạt")</f>
        <v>giá điện sinh hoạt</v>
      </c>
      <c r="N12" s="34" t="str">
        <f>IFERROR(__xludf.DUMMYFUNCTION("""COMPUTED_VALUE"""),"https://techcombank.com/thong-tin/blog/thanh-toan-tien-dien-bang-the-tin-dung")</f>
        <v>https://techcombank.com/thong-tin/blog/thanh-toan-tien-dien-bang-the-tin-dung</v>
      </c>
      <c r="O12" s="30" t="str">
        <f>IFERROR(__xludf.DUMMYFUNCTION("""COMPUTED_VALUE"""),"giá điện sinh hoạt")</f>
        <v>giá điện sinh hoạt</v>
      </c>
      <c r="P12" s="34" t="str">
        <f>IFERROR(__xludf.DUMMYFUNCTION("""COMPUTED_VALUE"""),"https://techcombank.com/thong-tin/blog/co-loyalty-la-gi")</f>
        <v>https://techcombank.com/thong-tin/blog/co-loyalty-la-gi</v>
      </c>
      <c r="Q12" s="30" t="str">
        <f>IFERROR(__xludf.DUMMYFUNCTION("""COMPUTED_VALUE"""),"giá điện sinh hoạt")</f>
        <v>giá điện sinh hoạt</v>
      </c>
      <c r="R12" s="34" t="str">
        <f>IFERROR(__xludf.DUMMYFUNCTION("""COMPUTED_VALUE"""),"https://techcombank.com/thong-tin/blog/kinh-nghiem-vay-tien-ngan-hang-xay-nha")</f>
        <v>https://techcombank.com/thong-tin/blog/kinh-nghiem-vay-tien-ngan-hang-xay-nha</v>
      </c>
      <c r="S12" s="30" t="str">
        <f>IFERROR(__xludf.DUMMYFUNCTION("""COMPUTED_VALUE"""),"giá điện sinh hoạt")</f>
        <v>giá điện sinh hoạt</v>
      </c>
      <c r="T12" s="34" t="str">
        <f>IFERROR(__xludf.DUMMYFUNCTION("""COMPUTED_VALUE"""),"https://techcombank.com/thong-tin/blog/quan-ly-tai-chinh-cho-dan-van-phong")</f>
        <v>https://techcombank.com/thong-tin/blog/quan-ly-tai-chinh-cho-dan-van-phong</v>
      </c>
      <c r="U12" s="30" t="str">
        <f>IFERROR(__xludf.DUMMYFUNCTION("""COMPUTED_VALUE"""),"giá điện sinh hoạt")</f>
        <v>giá điện sinh hoạt</v>
      </c>
      <c r="V12" s="34" t="str">
        <f>IFERROR(__xludf.DUMMYFUNCTION("""COMPUTED_VALUE"""),"https://techcombank.com/thong-tin/blog/gui-tien-du-hoc")</f>
        <v>https://techcombank.com/thong-tin/blog/gui-tien-du-hoc</v>
      </c>
      <c r="W12" s="30" t="str">
        <f>IFERROR(__xludf.DUMMYFUNCTION("""COMPUTED_VALUE"""),"giá điện sinh hoạt")</f>
        <v>giá điện sinh hoạt</v>
      </c>
      <c r="X12" s="34" t="str">
        <f>IFERROR(__xludf.DUMMYFUNCTION("""COMPUTED_VALUE"""),"https://techcombank.com/thong-tin/blog/ebitda-la-gi")</f>
        <v>https://techcombank.com/thong-tin/blog/ebitda-la-gi</v>
      </c>
      <c r="Y12" s="30" t="str">
        <f>IFERROR(__xludf.DUMMYFUNCTION("""COMPUTED_VALUE"""),"giá điện sinh hoạt")</f>
        <v>giá điện sinh hoạt</v>
      </c>
      <c r="Z12" s="34" t="str">
        <f>IFERROR(__xludf.DUMMYFUNCTION("""COMPUTED_VALUE"""),"https://techcombank.com/thong-tin/blog/remittance-la-gi")</f>
        <v>https://techcombank.com/thong-tin/blog/remittance-la-gi</v>
      </c>
      <c r="AA12" s="30" t="str">
        <f>IFERROR(__xludf.DUMMYFUNCTION("""COMPUTED_VALUE"""),"giá điện sinh hoạt")</f>
        <v>giá điện sinh hoạt</v>
      </c>
      <c r="AB12" s="34" t="str">
        <f>IFERROR(__xludf.DUMMYFUNCTION("""COMPUTED_VALUE"""),"https://techcombank.com/thong-tin/blog/sinh-loi-rinh-loc")</f>
        <v>https://techcombank.com/thong-tin/blog/sinh-loi-rinh-loc</v>
      </c>
      <c r="AC12" s="30" t="str">
        <f>IFERROR(__xludf.DUMMYFUNCTION("""COMPUTED_VALUE"""),"giá điện sinh hoạt")</f>
        <v>giá điện sinh hoạt</v>
      </c>
      <c r="AD12" s="34" t="str">
        <f>IFERROR(__xludf.DUMMYFUNCTION("""COMPUTED_VALUE"""),"https://techcombank.com/thong-tin/blog/ty-gia-hoi-doai-la-gi")</f>
        <v>https://techcombank.com/thong-tin/blog/ty-gia-hoi-doai-la-gi</v>
      </c>
      <c r="AE12" s="30" t="str">
        <f>IFERROR(__xludf.DUMMYFUNCTION("""COMPUTED_VALUE"""),"giá điện sinh hoạt")</f>
        <v>giá điện sinh hoạt</v>
      </c>
      <c r="AF12" s="34" t="str">
        <f>IFERROR(__xludf.DUMMYFUNCTION("""COMPUTED_VALUE"""),"https://techcombank.com/thong-tin/blog/ho-kinh-doanh-can-gi-o-tai-khoan-ngan-hang")</f>
        <v>https://techcombank.com/thong-tin/blog/ho-kinh-doanh-can-gi-o-tai-khoan-ngan-hang</v>
      </c>
      <c r="AG12" s="30" t="str">
        <f>IFERROR(__xludf.DUMMYFUNCTION("""COMPUTED_VALUE"""),"giá điện sinh hoạt")</f>
        <v>giá điện sinh hoạt</v>
      </c>
      <c r="AH12" s="34" t="str">
        <f>IFERROR(__xludf.DUMMYFUNCTION("""COMPUTED_VALUE"""),"https://techcombank.com/thong-tin/blog/gia-chung-chi-quy-la-gi")</f>
        <v>https://techcombank.com/thong-tin/blog/gia-chung-chi-quy-la-gi</v>
      </c>
      <c r="AI12" s="30" t="str">
        <f>IFERROR(__xludf.DUMMYFUNCTION("""COMPUTED_VALUE"""),"giá điện sinh hoạt")</f>
        <v>giá điện sinh hoạt</v>
      </c>
      <c r="AJ12" s="34" t="str">
        <f>IFERROR(__xludf.DUMMYFUNCTION("""COMPUTED_VALUE"""),"https://techcombank.com/thong-tin/blog/uu-dai-the-tin-dung-techcombank-signature")</f>
        <v>https://techcombank.com/thong-tin/blog/uu-dai-the-tin-dung-techcombank-signature</v>
      </c>
      <c r="AK12" s="30" t="str">
        <f>IFERROR(__xludf.DUMMYFUNCTION("""COMPUTED_VALUE"""),"giá điện sinh hoạt")</f>
        <v>giá điện sinh hoạt</v>
      </c>
      <c r="AL12" s="34" t="str">
        <f>IFERROR(__xludf.DUMMYFUNCTION("""COMPUTED_VALUE"""),"https://techcombank.com/thong-tin/blog/von-luu-dong-la-gi")</f>
        <v>https://techcombank.com/thong-tin/blog/von-luu-dong-la-gi</v>
      </c>
      <c r="AM12" s="30" t="str">
        <f>IFERROR(__xludf.DUMMYFUNCTION("""COMPUTED_VALUE"""),"giá điện sinh hoạt")</f>
        <v>giá điện sinh hoạt</v>
      </c>
      <c r="AN12" s="34" t="str">
        <f>IFERROR(__xludf.DUMMYFUNCTION("""COMPUTED_VALUE"""),"https://techcombank.com/thong-tin/blog/ke-khai-thue-ho-kinh-doanh-ca-the-online")</f>
        <v>https://techcombank.com/thong-tin/blog/ke-khai-thue-ho-kinh-doanh-ca-the-online</v>
      </c>
      <c r="AO12" s="30" t="str">
        <f>IFERROR(__xludf.DUMMYFUNCTION("""COMPUTED_VALUE"""),"giá điện sinh hoạt")</f>
        <v>giá điện sinh hoạt</v>
      </c>
      <c r="AP12" s="34" t="str">
        <f>IFERROR(__xludf.DUMMYFUNCTION("""COMPUTED_VALUE"""),"https://techcombank.com/thong-tin/blog/bao-hiem-nhan-tho-la-gi")</f>
        <v>https://techcombank.com/thong-tin/blog/bao-hiem-nhan-tho-la-gi</v>
      </c>
      <c r="AQ12" s="30" t="str">
        <f>IFERROR(__xludf.DUMMYFUNCTION("""COMPUTED_VALUE"""),"giá điện sinh hoạt")</f>
        <v>giá điện sinh hoạt</v>
      </c>
      <c r="AR12" s="34" t="str">
        <f>IFERROR(__xludf.DUMMYFUNCTION("""COMPUTED_VALUE"""),"https://techcombank.com/thong-tin/blog/thoi-gian-hoan-tien-the-tin-dung")</f>
        <v>https://techcombank.com/thong-tin/blog/thoi-gian-hoan-tien-the-tin-dung</v>
      </c>
      <c r="AS12" s="30" t="str">
        <f>IFERROR(__xludf.DUMMYFUNCTION("""COMPUTED_VALUE"""),"giá điện sinh hoạt")</f>
        <v>giá điện sinh hoạt</v>
      </c>
      <c r="AT12" s="34" t="str">
        <f>IFERROR(__xludf.DUMMYFUNCTION("""COMPUTED_VALUE"""),"https://techcombank.com/thong-tin/blog/techcombank-sinh-loi-tu-dong")</f>
        <v>https://techcombank.com/thong-tin/blog/techcombank-sinh-loi-tu-dong</v>
      </c>
      <c r="AU12" s="30" t="str">
        <f>IFERROR(__xludf.DUMMYFUNCTION("""COMPUTED_VALUE"""),"giá điện sinh hoạt")</f>
        <v>giá điện sinh hoạt</v>
      </c>
      <c r="AV12" s="34" t="str">
        <f>IFERROR(__xludf.DUMMYFUNCTION("""COMPUTED_VALUE"""),"https://techcombank.com/thong-tin/blog/chu-ky-so-huong-di-nang-cao-hieu-qua-trong-hoat-dong-ngan-hang")</f>
        <v>https://techcombank.com/thong-tin/blog/chu-ky-so-huong-di-nang-cao-hieu-qua-trong-hoat-dong-ngan-hang</v>
      </c>
      <c r="AW12" s="30" t="str">
        <f>IFERROR(__xludf.DUMMYFUNCTION("""COMPUTED_VALUE"""),"giá điện sinh hoạt")</f>
        <v>giá điện sinh hoạt</v>
      </c>
      <c r="AX12" s="34" t="str">
        <f>IFERROR(__xludf.DUMMYFUNCTION("""COMPUTED_VALUE"""),"https://techcombank.com/thong-tin/blog/cach-tiet-kiem-100-trieu-1-nam")</f>
        <v>https://techcombank.com/thong-tin/blog/cach-tiet-kiem-100-trieu-1-nam</v>
      </c>
      <c r="AY12" s="30" t="str">
        <f>IFERROR(__xludf.DUMMYFUNCTION("""COMPUTED_VALUE"""),"giá điện sinh hoạt")</f>
        <v>giá điện sinh hoạt</v>
      </c>
      <c r="AZ12" s="34" t="str">
        <f>IFERROR(__xludf.DUMMYFUNCTION("""COMPUTED_VALUE"""),"https://techcombank.com/thong-tin/blog/ekyc-la-gi")</f>
        <v>https://techcombank.com/thong-tin/blog/ekyc-la-gi</v>
      </c>
      <c r="BA12" s="30" t="str">
        <f>IFERROR(__xludf.DUMMYFUNCTION("""COMPUTED_VALUE"""),"giá điện sinh hoạt")</f>
        <v>giá điện sinh hoạt</v>
      </c>
      <c r="BB12" s="34" t="str">
        <f>IFERROR(__xludf.DUMMYFUNCTION("""COMPUTED_VALUE"""),"https://techcombank.com/thong-tin/blog/cpi-la-gi")</f>
        <v>https://techcombank.com/thong-tin/blog/cpi-la-gi</v>
      </c>
      <c r="BC12" s="30" t="str">
        <f>IFERROR(__xludf.DUMMYFUNCTION("""COMPUTED_VALUE"""),"giá điện sinh hoạt")</f>
        <v>giá điện sinh hoạt</v>
      </c>
      <c r="BD12" s="34" t="str">
        <f>IFERROR(__xludf.DUMMYFUNCTION("""COMPUTED_VALUE"""),"https://techcombank.com/thong-tin/blog/dau-tu-tai-chinh-ca-nhan")</f>
        <v>https://techcombank.com/thong-tin/blog/dau-tu-tai-chinh-ca-nhan</v>
      </c>
      <c r="BE12" s="30" t="str">
        <f>IFERROR(__xludf.DUMMYFUNCTION("""COMPUTED_VALUE"""),"giá điện sinh hoạt")</f>
        <v>giá điện sinh hoạt</v>
      </c>
      <c r="BF12" s="34" t="str">
        <f>IFERROR(__xludf.DUMMYFUNCTION("""COMPUTED_VALUE"""),"https://techcombank.com/thong-tin/blog/hu-chi-tieu")</f>
        <v>https://techcombank.com/thong-tin/blog/hu-chi-tieu</v>
      </c>
      <c r="BG12" s="30" t="str">
        <f>IFERROR(__xludf.DUMMYFUNCTION("""COMPUTED_VALUE"""),"giá điện sinh hoạt mới nhất")</f>
        <v>giá điện sinh hoạt mới nhất</v>
      </c>
      <c r="BH12" s="34" t="str">
        <f>IFERROR(__xludf.DUMMYFUNCTION("""COMPUTED_VALUE"""),"https://techcombank.com/thong-tin/blog/nap-tien-vao-tai-khoan-ngan-hang")</f>
        <v>https://techcombank.com/thong-tin/blog/nap-tien-vao-tai-khoan-ngan-hang</v>
      </c>
      <c r="BI12" s="30" t="str">
        <f>IFERROR(__xludf.DUMMYFUNCTION("""COMPUTED_VALUE"""),"giá điện sinh hoạt")</f>
        <v>giá điện sinh hoạt</v>
      </c>
      <c r="BJ12" s="34" t="str">
        <f>IFERROR(__xludf.DUMMYFUNCTION("""COMPUTED_VALUE"""),"https://techcombank.com/thong-tin/blog/loi-nhuan")</f>
        <v>https://techcombank.com/thong-tin/blog/loi-nhuan</v>
      </c>
      <c r="BK12" s="30" t="str">
        <f>IFERROR(__xludf.DUMMYFUNCTION("""COMPUTED_VALUE"""),"giá điện sinh hoạt")</f>
        <v>giá điện sinh hoạt</v>
      </c>
      <c r="BL12" s="34" t="str">
        <f>IFERROR(__xludf.DUMMYFUNCTION("""COMPUTED_VALUE"""),"https://techcombank.com/thong-tin/blog/chi-tra-luong-huu")</f>
        <v>https://techcombank.com/thong-tin/blog/chi-tra-luong-huu</v>
      </c>
      <c r="BM12" s="30" t="str">
        <f>IFERROR(__xludf.DUMMYFUNCTION("""COMPUTED_VALUE"""),"giá điện sinh hoạt")</f>
        <v>giá điện sinh hoạt</v>
      </c>
      <c r="BN12" s="34" t="str">
        <f>IFERROR(__xludf.DUMMYFUNCTION("""COMPUTED_VALUE"""),"https://techcombank.com/thong-tin/blog/giai-dap-ve-thue-doanh-nghiep")</f>
        <v>https://techcombank.com/thong-tin/blog/giai-dap-ve-thue-doanh-nghiep</v>
      </c>
      <c r="BO12" s="30" t="str">
        <f>IFERROR(__xludf.DUMMYFUNCTION("""COMPUTED_VALUE"""),"giá điện sinh hoạt")</f>
        <v>giá điện sinh hoạt</v>
      </c>
      <c r="BP12" s="34" t="str">
        <f>IFERROR(__xludf.DUMMYFUNCTION("""COMPUTED_VALUE"""),"https://techcombank.com/thong-tin/blog/vong-quay-von")</f>
        <v>https://techcombank.com/thong-tin/blog/vong-quay-von</v>
      </c>
      <c r="BQ12" s="30" t="str">
        <f>IFERROR(__xludf.DUMMYFUNCTION("""COMPUTED_VALUE"""),"giá điện sinh hoạt")</f>
        <v>giá điện sinh hoạt</v>
      </c>
      <c r="BR12" s="34" t="str">
        <f>IFERROR(__xludf.DUMMYFUNCTION("""COMPUTED_VALUE"""),"https://techcombank.com/thong-tin/blog/kinh-doanh-online")</f>
        <v>https://techcombank.com/thong-tin/blog/kinh-doanh-online</v>
      </c>
      <c r="BS12" s="30" t="str">
        <f>IFERROR(__xludf.DUMMYFUNCTION("""COMPUTED_VALUE"""),"giá điện sinh hoạt")</f>
        <v>giá điện sinh hoạt</v>
      </c>
      <c r="BT12" s="34" t="str">
        <f>IFERROR(__xludf.DUMMYFUNCTION("""COMPUTED_VALUE"""),"https://techcombank.com/thong-tin/blog/cach-tiet-kiem-tien-cua-nguoi-nhat")</f>
        <v>https://techcombank.com/thong-tin/blog/cach-tiet-kiem-tien-cua-nguoi-nhat</v>
      </c>
      <c r="BU12" s="30" t="str">
        <f>IFERROR(__xludf.DUMMYFUNCTION("""COMPUTED_VALUE"""),"giá điện sinh hoạt mới nhất")</f>
        <v>giá điện sinh hoạt mới nhất</v>
      </c>
      <c r="BV12" s="34" t="str">
        <f>IFERROR(__xludf.DUMMYFUNCTION("""COMPUTED_VALUE"""),"https://techcombank.com/thong-tin/blog/khai-bao-tai-khoan-ngan-hang-voi-co-quan-thue")</f>
        <v>https://techcombank.com/thong-tin/blog/khai-bao-tai-khoan-ngan-hang-voi-co-quan-thue</v>
      </c>
      <c r="BW12" s="30" t="str">
        <f>IFERROR(__xludf.DUMMYFUNCTION("""COMPUTED_VALUE"""),"giá điện sinh hoạt mới nhất")</f>
        <v>giá điện sinh hoạt mới nhất</v>
      </c>
      <c r="BX12" s="34" t="str">
        <f>IFERROR(__xludf.DUMMYFUNCTION("""COMPUTED_VALUE"""),"https://techcombank.com/thong-tin/blog/thay-doi-dia-chi-ho-kinh-doanh")</f>
        <v>https://techcombank.com/thong-tin/blog/thay-doi-dia-chi-ho-kinh-doanh</v>
      </c>
      <c r="BY12" s="30" t="str">
        <f>IFERROR(__xludf.DUMMYFUNCTION("""COMPUTED_VALUE"""),"giá điện sinh hoạt mới nhất")</f>
        <v>giá điện sinh hoạt mới nhất</v>
      </c>
      <c r="BZ12" s="34" t="str">
        <f>IFERROR(__xludf.DUMMYFUNCTION("""COMPUTED_VALUE"""),"https://techcombank.com/thong-tin/blog/techcombank-va-cong-cuoc-chuyen-doi-so-nganh-ngan-hang")</f>
        <v>https://techcombank.com/thong-tin/blog/techcombank-va-cong-cuoc-chuyen-doi-so-nganh-ngan-hang</v>
      </c>
      <c r="CA12" s="30" t="str">
        <f>IFERROR(__xludf.DUMMYFUNCTION("""COMPUTED_VALUE"""),"giá điện sinh hoạt mới nhất")</f>
        <v>giá điện sinh hoạt mới nhất</v>
      </c>
      <c r="CB12" s="34" t="str">
        <f>IFERROR(__xludf.DUMMYFUNCTION("""COMPUTED_VALUE"""),"https://techcombank.com/thong-tin/blog/gia-xang-dau-hom-nay")</f>
        <v>https://techcombank.com/thong-tin/blog/gia-xang-dau-hom-nay</v>
      </c>
      <c r="CC12" s="30" t="str">
        <f>IFERROR(__xludf.DUMMYFUNCTION("""COMPUTED_VALUE"""),"giá điện sinh hoạt mới nhất")</f>
        <v>giá điện sinh hoạt mới nhất</v>
      </c>
      <c r="CD12" s="34" t="str">
        <f>IFERROR(__xludf.DUMMYFUNCTION("""COMPUTED_VALUE"""),"https://techcombank.com/thong-tin/blog/so-du-tai-khoan-thanh-toan")</f>
        <v>https://techcombank.com/thong-tin/blog/so-du-tai-khoan-thanh-toan</v>
      </c>
      <c r="CE12" s="30" t="str">
        <f>IFERROR(__xludf.DUMMYFUNCTION("""COMPUTED_VALUE"""),"giá điện sinh hoạt")</f>
        <v>giá điện sinh hoạt</v>
      </c>
      <c r="CF12" s="34" t="str">
        <f>IFERROR(__xludf.DUMMYFUNCTION("""COMPUTED_VALUE"""),"https://techcombank.com/thong-tin/blog/app-ngan-hang-uy-tin")</f>
        <v>https://techcombank.com/thong-tin/blog/app-ngan-hang-uy-tin</v>
      </c>
      <c r="CG12" s="30" t="str">
        <f>IFERROR(__xludf.DUMMYFUNCTION("""COMPUTED_VALUE"""),"giá điện sinh hoạt")</f>
        <v>giá điện sinh hoạt</v>
      </c>
      <c r="CH12" s="34" t="str">
        <f>IFERROR(__xludf.DUMMYFUNCTION("""COMPUTED_VALUE"""),"https://techcombank.com/thong-tin/blog/tao-ma-qr-thanh-toan-cho-cua-hang")</f>
        <v>https://techcombank.com/thong-tin/blog/tao-ma-qr-thanh-toan-cho-cua-hang</v>
      </c>
      <c r="CI12" s="30" t="str">
        <f>IFERROR(__xludf.DUMMYFUNCTION("""COMPUTED_VALUE"""),"giá điện sinh hoạt mới nhất")</f>
        <v>giá điện sinh hoạt mới nhất</v>
      </c>
      <c r="CJ12" s="34" t="str">
        <f>IFERROR(__xludf.DUMMYFUNCTION("""COMPUTED_VALUE"""),"https://techcombank.com/thong-tin/blog/cach-lay-lai-tien-da-chuyen-khoan-khi-bi-lua")</f>
        <v>https://techcombank.com/thong-tin/blog/cach-lay-lai-tien-da-chuyen-khoan-khi-bi-lua</v>
      </c>
      <c r="CK12" s="30" t="str">
        <f>IFERROR(__xludf.DUMMYFUNCTION("""COMPUTED_VALUE"""),"giá điện sinh hoạt mới nhất")</f>
        <v>giá điện sinh hoạt mới nhất</v>
      </c>
      <c r="CL12" s="34" t="str">
        <f>IFERROR(__xludf.DUMMYFUNCTION("""COMPUTED_VALUE"""),"https://techcombank.com/thong-tin/blog/cach-doi-mat-khau-tai-khoan-ngan-hang")</f>
        <v>https://techcombank.com/thong-tin/blog/cach-doi-mat-khau-tai-khoan-ngan-hang</v>
      </c>
      <c r="CM12" s="30" t="str">
        <f>IFERROR(__xludf.DUMMYFUNCTION("""COMPUTED_VALUE"""),"giá điện sinh hoạt")</f>
        <v>giá điện sinh hoạt</v>
      </c>
      <c r="CN12" s="34" t="str">
        <f>IFERROR(__xludf.DUMMYFUNCTION("""COMPUTED_VALUE"""),"https://techcombank.com/thong-tin/blog/lo-ma-qr-ngan-hang-co-sao-khong")</f>
        <v>https://techcombank.com/thong-tin/blog/lo-ma-qr-ngan-hang-co-sao-khong</v>
      </c>
      <c r="CO12" s="30" t="str">
        <f>IFERROR(__xludf.DUMMYFUNCTION("""COMPUTED_VALUE"""),"giá điện sinh hoạt mới nhất")</f>
        <v>giá điện sinh hoạt mới nhất</v>
      </c>
      <c r="CP12" s="34" t="str">
        <f>IFERROR(__xludf.DUMMYFUNCTION("""COMPUTED_VALUE"""),"https://techcombank.com/thong-tin/blog/app-ngan-hang")</f>
        <v>https://techcombank.com/thong-tin/blog/app-ngan-hang</v>
      </c>
      <c r="CQ12" s="30" t="str">
        <f>IFERROR(__xludf.DUMMYFUNCTION("""COMPUTED_VALUE"""),"giá điện sinh hoạt")</f>
        <v>giá điện sinh hoạt</v>
      </c>
      <c r="CR12" s="34" t="str">
        <f>IFERROR(__xludf.DUMMYFUNCTION("""COMPUTED_VALUE"""),"https://techcombank.com/thong-tin/blog/so-the-ngan-hang")</f>
        <v>https://techcombank.com/thong-tin/blog/so-the-ngan-hang</v>
      </c>
      <c r="CS12" s="30" t="str">
        <f>IFERROR(__xludf.DUMMYFUNCTION("""COMPUTED_VALUE"""),"giá điện sinh hoạt mới nhất")</f>
        <v>giá điện sinh hoạt mới nhất</v>
      </c>
      <c r="CT12" s="34" t="str">
        <f>IFERROR(__xludf.DUMMYFUNCTION("""COMPUTED_VALUE"""),"https://techcombank.com/thong-tin/blog/mo-tai-khoan-ngan-hang-online-co-an-toan-khong")</f>
        <v>https://techcombank.com/thong-tin/blog/mo-tai-khoan-ngan-hang-online-co-an-toan-khong</v>
      </c>
      <c r="CU12" s="30" t="str">
        <f>IFERROR(__xludf.DUMMYFUNCTION("""COMPUTED_VALUE"""),"giá điện sinh hoạt")</f>
        <v>giá điện sinh hoạt</v>
      </c>
      <c r="CV12" s="34" t="str">
        <f>IFERROR(__xludf.DUMMYFUNCTION("""COMPUTED_VALUE"""),"https://techcombank.com/thong-tin/blog/mo-tai-khoan-ngan-hang-co-mat-phi-khong")</f>
        <v>https://techcombank.com/thong-tin/blog/mo-tai-khoan-ngan-hang-co-mat-phi-khong</v>
      </c>
      <c r="CW12" s="30" t="str">
        <f>IFERROR(__xludf.DUMMYFUNCTION("""COMPUTED_VALUE"""),"giá điện sinh hoạt")</f>
        <v>giá điện sinh hoạt</v>
      </c>
      <c r="CX12" s="34" t="str">
        <f>IFERROR(__xludf.DUMMYFUNCTION("""COMPUTED_VALUE"""),"https://techcombank.com/thong-tin/blog/thanh-toan-tra-sau-viettel-bang-tai-khoan-ngan-hang")</f>
        <v>https://techcombank.com/thong-tin/blog/thanh-toan-tra-sau-viettel-bang-tai-khoan-ngan-hang</v>
      </c>
      <c r="CY12" s="30" t="str">
        <f>IFERROR(__xludf.DUMMYFUNCTION("""COMPUTED_VALUE"""),"giá điện sinh hoạt mới nhất")</f>
        <v>giá điện sinh hoạt mới nhất</v>
      </c>
      <c r="CZ12" s="34" t="str">
        <f>IFERROR(__xludf.DUMMYFUNCTION("""COMPUTED_VALUE"""),"https://techcombank.com/thong-tin/blog/co-nen-mua-so-tai-khoan-ngan-hang-dep")</f>
        <v>https://techcombank.com/thong-tin/blog/co-nen-mua-so-tai-khoan-ngan-hang-dep</v>
      </c>
      <c r="DA12" s="30" t="str">
        <f>IFERROR(__xludf.DUMMYFUNCTION("""COMPUTED_VALUE"""),"giá điện sinh hoạt")</f>
        <v>giá điện sinh hoạt</v>
      </c>
      <c r="DB12" s="34" t="str">
        <f>IFERROR(__xludf.DUMMYFUNCTION("""COMPUTED_VALUE"""),"https://techcombank.com/thong-tin/blog/ma-qr-ngan-hang-khong-hop-le")</f>
        <v>https://techcombank.com/thong-tin/blog/ma-qr-ngan-hang-khong-hop-le</v>
      </c>
      <c r="DC12" s="30" t="str">
        <f>IFERROR(__xludf.DUMMYFUNCTION("""COMPUTED_VALUE"""),"giá điện sinh hoạt")</f>
        <v>giá điện sinh hoạt</v>
      </c>
      <c r="DD12" s="34" t="str">
        <f>IFERROR(__xludf.DUMMYFUNCTION("""COMPUTED_VALUE"""),"https://techcombank.com/thong-tin/blog/rut-tien-mat-tu-tai-khoan-doanh-nghiep")</f>
        <v>https://techcombank.com/thong-tin/blog/rut-tien-mat-tu-tai-khoan-doanh-nghiep</v>
      </c>
      <c r="DE12" s="30" t="str">
        <f>IFERROR(__xludf.DUMMYFUNCTION("""COMPUTED_VALUE"""),"giá điện sinh hoạt mới nhất")</f>
        <v>giá điện sinh hoạt mới nhất</v>
      </c>
      <c r="DF12" s="34" t="str">
        <f>IFERROR(__xludf.DUMMYFUNCTION("""COMPUTED_VALUE"""),"https://techcombank.com/thong-tin/blog/cach-tao-ma-qr-code-mien-phi")</f>
        <v>https://techcombank.com/thong-tin/blog/cach-tao-ma-qr-code-mien-phi</v>
      </c>
      <c r="DG12" s="30" t="str">
        <f>IFERROR(__xludf.DUMMYFUNCTION("""COMPUTED_VALUE"""),"giá điện sinh hoạt")</f>
        <v>giá điện sinh hoạt</v>
      </c>
      <c r="DH12" s="34" t="str">
        <f>IFERROR(__xludf.DUMMYFUNCTION("""COMPUTED_VALUE"""),"https://techcombank.com/thong-tin/blog/rut-tien-bang-ma-qr-khac-ngan-hang-duoc-khong")</f>
        <v>https://techcombank.com/thong-tin/blog/rut-tien-bang-ma-qr-khac-ngan-hang-duoc-khong</v>
      </c>
      <c r="DI12" s="30"/>
      <c r="DJ12" s="30"/>
      <c r="DK12" s="30"/>
      <c r="DL12" s="30"/>
      <c r="DM12" s="30"/>
      <c r="DN12" s="30"/>
      <c r="DO12" s="30"/>
      <c r="DP12" s="30"/>
      <c r="DQ12" s="30"/>
      <c r="DR12" s="30"/>
      <c r="DS12" s="30"/>
      <c r="DT12" s="30"/>
      <c r="DU12" s="30"/>
      <c r="DV12" s="30"/>
      <c r="DW12" s="30"/>
      <c r="DX12" s="30"/>
      <c r="DY12" s="30"/>
      <c r="DZ12" s="30"/>
      <c r="EA12" s="30"/>
      <c r="EB12" s="30"/>
      <c r="EC12" s="30"/>
      <c r="ED12" s="30"/>
      <c r="EE12" s="30"/>
      <c r="EF12" s="30"/>
      <c r="EG12" s="30"/>
      <c r="EH12" s="30"/>
      <c r="EI12" s="30"/>
      <c r="EJ12" s="30"/>
      <c r="EK12" s="30"/>
      <c r="EL12" s="30"/>
      <c r="EM12" s="30"/>
      <c r="EN12" s="30"/>
      <c r="EO12" s="30"/>
      <c r="EP12" s="30"/>
      <c r="EQ12" s="30"/>
      <c r="ER12" s="30"/>
      <c r="ES12" s="30"/>
      <c r="ET12" s="30"/>
      <c r="EU12" s="30"/>
      <c r="EV12" s="30"/>
      <c r="EW12" s="30"/>
      <c r="EX12" s="30"/>
      <c r="EY12" s="30"/>
      <c r="EZ12" s="30"/>
      <c r="FA12" s="30"/>
      <c r="FB12" s="30"/>
      <c r="FC12" s="30"/>
      <c r="FD12" s="30"/>
      <c r="FE12" s="30"/>
      <c r="FF12" s="30"/>
      <c r="FG12" s="30"/>
      <c r="FH12" s="30"/>
      <c r="FI12" s="30"/>
      <c r="FJ12" s="30"/>
      <c r="FK12" s="30"/>
      <c r="FL12" s="30"/>
      <c r="FM12" s="30"/>
      <c r="FN12" s="30"/>
      <c r="FO12" s="30"/>
      <c r="FP12" s="30"/>
      <c r="FQ12" s="30"/>
      <c r="FR12" s="30"/>
      <c r="FS12" s="30"/>
      <c r="FT12" s="30"/>
      <c r="FU12" s="30"/>
      <c r="FV12" s="30"/>
      <c r="FW12" s="30"/>
      <c r="FX12" s="30"/>
      <c r="FY12" s="30"/>
      <c r="FZ12" s="30"/>
      <c r="GA12" s="30"/>
      <c r="GB12" s="30"/>
      <c r="GC12" s="30"/>
      <c r="GD12" s="30"/>
      <c r="GE12" s="30"/>
      <c r="GF12" s="30"/>
      <c r="GG12" s="30"/>
      <c r="GH12" s="30"/>
      <c r="GI12" s="30"/>
      <c r="GJ12" s="30"/>
      <c r="GK12" s="30"/>
      <c r="GL12" s="30"/>
      <c r="GM12" s="30"/>
      <c r="GN12" s="30"/>
      <c r="GO12" s="30"/>
      <c r="GP12" s="30"/>
      <c r="GQ12" s="30"/>
      <c r="GR12" s="30"/>
      <c r="GS12" s="30"/>
      <c r="GT12" s="30"/>
      <c r="GU12" s="30"/>
      <c r="GV12" s="30"/>
      <c r="GW12" s="30"/>
      <c r="GX12" s="30"/>
      <c r="GY12" s="30"/>
      <c r="GZ12" s="30"/>
      <c r="HA12" s="30"/>
      <c r="HB12" s="30"/>
      <c r="HC12" s="30"/>
      <c r="HD12" s="30"/>
      <c r="HE12" s="30"/>
      <c r="HF12" s="30"/>
      <c r="HG12" s="30"/>
      <c r="HH12" s="30"/>
      <c r="HI12" s="30"/>
      <c r="HJ12" s="30"/>
      <c r="HK12" s="30"/>
      <c r="HL12" s="30"/>
      <c r="HM12" s="30"/>
      <c r="HN12" s="30"/>
      <c r="HO12" s="30"/>
      <c r="HP12" s="30"/>
      <c r="HQ12" s="30"/>
      <c r="HR12" s="30"/>
      <c r="HS12" s="30"/>
      <c r="HT12" s="30"/>
      <c r="HU12" s="30"/>
      <c r="HV12" s="30"/>
      <c r="HW12" s="30"/>
      <c r="HX12" s="30"/>
      <c r="HY12" s="30"/>
      <c r="HZ12" s="30"/>
      <c r="IA12" s="30"/>
      <c r="IB12" s="30"/>
      <c r="IC12" s="30"/>
      <c r="ID12" s="30"/>
      <c r="IE12" s="30"/>
      <c r="IF12" s="30"/>
      <c r="IG12" s="30"/>
      <c r="IH12" s="30"/>
      <c r="II12" s="30"/>
      <c r="IJ12" s="30"/>
      <c r="IK12" s="30"/>
      <c r="IL12" s="30"/>
      <c r="IM12" s="30"/>
      <c r="IN12" s="30"/>
      <c r="IO12" s="30"/>
      <c r="IP12" s="30"/>
      <c r="IQ12" s="30"/>
      <c r="IR12" s="30"/>
      <c r="IS12" s="30"/>
      <c r="IT12" s="30"/>
      <c r="IU12" s="30"/>
      <c r="IV12" s="30"/>
      <c r="IW12" s="30"/>
      <c r="IX12" s="30"/>
      <c r="IY12" s="30"/>
      <c r="IZ12" s="30"/>
      <c r="JA12" s="30"/>
      <c r="JB12" s="30"/>
      <c r="JC12" s="30"/>
      <c r="JD12" s="30"/>
      <c r="JE12" s="30"/>
      <c r="JF12" s="30"/>
      <c r="JG12" s="30"/>
      <c r="JH12" s="30"/>
      <c r="JI12" s="30"/>
      <c r="JJ12" s="30"/>
      <c r="JK12" s="30"/>
      <c r="JL12" s="30"/>
      <c r="JM12" s="30"/>
      <c r="JN12" s="30"/>
      <c r="JO12" s="30"/>
      <c r="JP12" s="30"/>
      <c r="JQ12" s="30"/>
      <c r="JR12" s="30"/>
      <c r="JS12" s="30"/>
      <c r="JT12" s="30"/>
      <c r="JU12" s="30"/>
      <c r="JV12" s="30"/>
      <c r="JW12" s="30"/>
      <c r="JX12" s="30"/>
      <c r="JY12" s="30"/>
      <c r="JZ12" s="30"/>
      <c r="KA12" s="30"/>
      <c r="KB12" s="30"/>
      <c r="KC12" s="30"/>
      <c r="KD12" s="30"/>
      <c r="KE12" s="30"/>
      <c r="KF12" s="30"/>
      <c r="KG12" s="30"/>
      <c r="KH12" s="30"/>
      <c r="KI12" s="30"/>
      <c r="KJ12" s="30"/>
      <c r="KK12" s="30"/>
      <c r="KL12" s="30"/>
      <c r="KM12" s="30"/>
      <c r="KN12" s="30"/>
      <c r="KO12" s="30"/>
      <c r="KP12" s="30"/>
      <c r="KQ12" s="30"/>
      <c r="KR12" s="30"/>
      <c r="KS12" s="30"/>
      <c r="KT12" s="30"/>
      <c r="KU12" s="30"/>
      <c r="KV12" s="30"/>
      <c r="KW12" s="30"/>
      <c r="KX12" s="30"/>
      <c r="KY12" s="30"/>
      <c r="KZ12" s="30"/>
      <c r="LA12" s="30"/>
      <c r="LB12" s="30"/>
      <c r="LC12" s="30"/>
      <c r="LD12" s="30"/>
      <c r="LE12" s="30"/>
      <c r="LF12" s="30"/>
      <c r="LG12" s="30"/>
      <c r="LH12" s="30"/>
      <c r="LI12" s="30"/>
      <c r="LJ12" s="30"/>
      <c r="LK12" s="30"/>
      <c r="LL12" s="30"/>
      <c r="LM12" s="30"/>
      <c r="LN12" s="30"/>
      <c r="LO12" s="30"/>
      <c r="LP12" s="30"/>
      <c r="LQ12" s="30"/>
      <c r="LR12" s="30"/>
      <c r="LS12" s="30"/>
      <c r="LT12" s="30"/>
      <c r="LU12" s="30"/>
      <c r="LV12" s="30"/>
      <c r="LW12" s="30"/>
      <c r="LX12" s="30"/>
      <c r="LY12" s="30"/>
      <c r="LZ12" s="30"/>
      <c r="MA12" s="30"/>
      <c r="MB12" s="30"/>
      <c r="MC12" s="30"/>
      <c r="MD12" s="30"/>
      <c r="ME12" s="30"/>
      <c r="MF12" s="30"/>
      <c r="MG12" s="30"/>
      <c r="MH12" s="30"/>
      <c r="MI12" s="30"/>
      <c r="MJ12" s="30"/>
      <c r="MK12" s="30"/>
      <c r="ML12" s="30"/>
      <c r="MM12" s="30"/>
      <c r="MN12" s="30"/>
      <c r="MO12" s="30"/>
      <c r="MP12" s="30"/>
      <c r="MQ12" s="30"/>
      <c r="MR12" s="30"/>
      <c r="MS12" s="30"/>
      <c r="MT12" s="30"/>
      <c r="MU12" s="30"/>
      <c r="MV12" s="30"/>
      <c r="MW12" s="30"/>
      <c r="MX12" s="30"/>
      <c r="MY12" s="30"/>
      <c r="MZ12" s="30"/>
      <c r="NA12" s="30"/>
      <c r="NB12" s="30"/>
      <c r="NC12" s="30"/>
      <c r="ND12" s="30"/>
      <c r="NE12" s="30"/>
      <c r="NF12" s="30"/>
      <c r="NG12" s="30"/>
      <c r="NH12" s="30"/>
      <c r="NI12" s="30"/>
      <c r="NJ12" s="30"/>
      <c r="NK12" s="30"/>
      <c r="NL12" s="30"/>
      <c r="NM12" s="30"/>
      <c r="NN12" s="30"/>
      <c r="NO12" s="30"/>
      <c r="NP12" s="30"/>
      <c r="NQ12" s="30"/>
      <c r="NR12" s="30"/>
      <c r="NS12" s="30"/>
      <c r="NT12" s="30"/>
      <c r="NU12" s="30"/>
      <c r="NV12" s="30"/>
      <c r="NW12" s="30"/>
      <c r="NX12" s="30"/>
      <c r="NY12" s="30"/>
      <c r="NZ12" s="30"/>
      <c r="OA12" s="30"/>
      <c r="OB12" s="30"/>
      <c r="OC12" s="30"/>
      <c r="OD12" s="30"/>
      <c r="OE12" s="30"/>
      <c r="OF12" s="30"/>
      <c r="OG12" s="30"/>
      <c r="OH12" s="30"/>
      <c r="OI12" s="30"/>
      <c r="OJ12" s="30"/>
      <c r="OK12" s="30"/>
      <c r="OL12" s="30"/>
      <c r="OM12" s="30"/>
      <c r="ON12" s="30"/>
      <c r="OO12" s="30"/>
      <c r="OP12" s="30"/>
      <c r="OQ12" s="30"/>
      <c r="OR12" s="30"/>
      <c r="OS12" s="30"/>
      <c r="OT12" s="30"/>
      <c r="OU12" s="30"/>
      <c r="OV12" s="30"/>
    </row>
    <row r="13" ht="18.0" customHeight="1">
      <c r="A13" s="29">
        <v>12.0</v>
      </c>
      <c r="B13" s="30" t="s">
        <v>1564</v>
      </c>
      <c r="C13" s="31" t="s">
        <v>3275</v>
      </c>
      <c r="D13" s="30" t="s">
        <v>375</v>
      </c>
      <c r="E13" s="29">
        <v>50.0</v>
      </c>
      <c r="F13" s="29">
        <f>COUNTIF('Tổng hợp 75 trang đích'!$B$2:$B$3400,$D13)</f>
        <v>50</v>
      </c>
      <c r="G13" s="29">
        <f>COUNTIFS('Tổng hợp 75 trang đích'!$B$2:$B$3400,$D13,'Tổng hợp 75 trang đích'!$K$2:$K$3400,"PHÙ HỢP CAO")</f>
        <v>2</v>
      </c>
      <c r="H13" s="29">
        <f>COUNTIFS('Tổng hợp 75 trang đích'!$B$2:$B$3400,$D13,'Tổng hợp 75 trang đích'!$K$2:$K$3400,"CÓ THỂ ĐI")</f>
        <v>15</v>
      </c>
      <c r="I13" s="29">
        <f>COUNTIFS('Tổng hợp 75 trang đích'!$B$2:$B$3400,$D13,'Tổng hợp 75 trang đích'!$K$2:$K$3400,"CẦN SOÁT")</f>
        <v>33</v>
      </c>
      <c r="J13" s="32" t="s">
        <v>714</v>
      </c>
      <c r="K13" s="32" t="b">
        <v>0</v>
      </c>
      <c r="L13" s="33" t="s">
        <v>52</v>
      </c>
      <c r="M13" s="30" t="str">
        <f>IFERROR(__xludf.DUMMYFUNCTION("IFERROR(TOROW(CHOOSECOLS(SORT(FILTER({'Tổng hợp 75 trang đích'!$J$2:$J$3400,'Tổng hợp 75 trang đích'!$I$2:$I$3400,MATCH('Tổng hợp 75 trang đích'!$K$2:$K$3400,{""PHÙ HỢP CAO"",""CÓ THỂ ĐI"",""CẦN SOÁT""},0)},'Tổng hợp 75 trang đích'!$B$2:$B$3400=$D13),3,TR"&amp;"UE),1,2)),"""")"),"thuế thu nhập cá nhân")</f>
        <v>thuế thu nhập cá nhân</v>
      </c>
      <c r="N13" s="34" t="str">
        <f>IFERROR(__xludf.DUMMYFUNCTION("""COMPUTED_VALUE"""),"https://techcombank.com/thong-tin/blog/quyet-toan-thue-thu-nhap-ca-nhan")</f>
        <v>https://techcombank.com/thong-tin/blog/quyet-toan-thue-thu-nhap-ca-nhan</v>
      </c>
      <c r="O13" s="30" t="str">
        <f>IFERROR(__xludf.DUMMYFUNCTION("""COMPUTED_VALUE"""),"thuế thu nhập cá nhân")</f>
        <v>thuế thu nhập cá nhân</v>
      </c>
      <c r="P13" s="34" t="str">
        <f>IFERROR(__xludf.DUMMYFUNCTION("""COMPUTED_VALUE"""),"https://techcombank.com/thong-tin/blog/hoan-thue-thu-nhap-ca-nhan")</f>
        <v>https://techcombank.com/thong-tin/blog/hoan-thue-thu-nhap-ca-nhan</v>
      </c>
      <c r="Q13" s="30" t="str">
        <f>IFERROR(__xludf.DUMMYFUNCTION("""COMPUTED_VALUE"""),"thuế thu nhập cá nhân")</f>
        <v>thuế thu nhập cá nhân</v>
      </c>
      <c r="R13" s="34" t="str">
        <f>IFERROR(__xludf.DUMMYFUNCTION("""COMPUTED_VALUE"""),"https://techcombank.com/thong-tin/blog/dang-ky-ma-so-thue-ca-nhan")</f>
        <v>https://techcombank.com/thong-tin/blog/dang-ky-ma-so-thue-ca-nhan</v>
      </c>
      <c r="S13" s="30" t="str">
        <f>IFERROR(__xludf.DUMMYFUNCTION("""COMPUTED_VALUE"""),"thuế thu nhập cá nhân")</f>
        <v>thuế thu nhập cá nhân</v>
      </c>
      <c r="T13" s="34" t="str">
        <f>IFERROR(__xludf.DUMMYFUNCTION("""COMPUTED_VALUE"""),"https://techcombank.com/thong-tin/blog/sao-ke-luong")</f>
        <v>https://techcombank.com/thong-tin/blog/sao-ke-luong</v>
      </c>
      <c r="U13" s="30" t="str">
        <f>IFERROR(__xludf.DUMMYFUNCTION("""COMPUTED_VALUE"""),"thuế thu nhập cá nhân")</f>
        <v>thuế thu nhập cá nhân</v>
      </c>
      <c r="V13" s="34" t="str">
        <f>IFERROR(__xludf.DUMMYFUNCTION("""COMPUTED_VALUE"""),"https://techcombank.com/thong-tin/blog/tien-chuyen-vao-tai-khoan-co-bi-tinh-thue-khong")</f>
        <v>https://techcombank.com/thong-tin/blog/tien-chuyen-vao-tai-khoan-co-bi-tinh-thue-khong</v>
      </c>
      <c r="W13" s="30" t="str">
        <f>IFERROR(__xludf.DUMMYFUNCTION("""COMPUTED_VALUE"""),"thuế thu nhập cá nhân")</f>
        <v>thuế thu nhập cá nhân</v>
      </c>
      <c r="X13" s="34" t="str">
        <f>IFERROR(__xludf.DUMMYFUNCTION("""COMPUTED_VALUE"""),"https://techcombank.com/thong-tin/blog/kinh-nghiem-chuyen-doi-tu-ho-kinh-doanh-len-doanh-nghiep")</f>
        <v>https://techcombank.com/thong-tin/blog/kinh-nghiem-chuyen-doi-tu-ho-kinh-doanh-len-doanh-nghiep</v>
      </c>
      <c r="Y13" s="30" t="str">
        <f>IFERROR(__xludf.DUMMYFUNCTION("""COMPUTED_VALUE"""),"thuế thu nhập cá nhân")</f>
        <v>thuế thu nhập cá nhân</v>
      </c>
      <c r="Z13" s="34" t="str">
        <f>IFERROR(__xludf.DUMMYFUNCTION("""COMPUTED_VALUE"""),"https://techcombank.com/thong-tin/blog/thue-khoan-ho-kinh-doanh-la-gi")</f>
        <v>https://techcombank.com/thong-tin/blog/thue-khoan-ho-kinh-doanh-la-gi</v>
      </c>
      <c r="AA13" s="30" t="str">
        <f>IFERROR(__xludf.DUMMYFUNCTION("""COMPUTED_VALUE"""),"thuế thu nhập cá nhân")</f>
        <v>thuế thu nhập cá nhân</v>
      </c>
      <c r="AB13" s="34" t="str">
        <f>IFERROR(__xludf.DUMMYFUNCTION("""COMPUTED_VALUE"""),"https://techcombank.com/thong-tin/blog/hieu-hiet-ve-tuan-thu-thue-cho-cac-doanh-nghiep-khoi-nghiep")</f>
        <v>https://techcombank.com/thong-tin/blog/hieu-hiet-ve-tuan-thu-thue-cho-cac-doanh-nghiep-khoi-nghiep</v>
      </c>
      <c r="AC13" s="30" t="str">
        <f>IFERROR(__xludf.DUMMYFUNCTION("""COMPUTED_VALUE"""),"thuế thu nhập cá nhân")</f>
        <v>thuế thu nhập cá nhân</v>
      </c>
      <c r="AD13" s="34" t="str">
        <f>IFERROR(__xludf.DUMMYFUNCTION("""COMPUTED_VALUE"""),"https://techcombank.com/thong-tin/blog/gia-chung-chi-quy-la-gi")</f>
        <v>https://techcombank.com/thong-tin/blog/gia-chung-chi-quy-la-gi</v>
      </c>
      <c r="AE13" s="30" t="str">
        <f>IFERROR(__xludf.DUMMYFUNCTION("""COMPUTED_VALUE"""),"thuế thu nhập cá nhân")</f>
        <v>thuế thu nhập cá nhân</v>
      </c>
      <c r="AF13" s="34" t="str">
        <f>IFERROR(__xludf.DUMMYFUNCTION("""COMPUTED_VALUE"""),"https://techcombank.com/thong-tin/blog/ho-kinh-doanh-ca-the")</f>
        <v>https://techcombank.com/thong-tin/blog/ho-kinh-doanh-ca-the</v>
      </c>
      <c r="AG13" s="30" t="str">
        <f>IFERROR(__xludf.DUMMYFUNCTION("""COMPUTED_VALUE"""),"thuế thu nhập cá nhân")</f>
        <v>thuế thu nhập cá nhân</v>
      </c>
      <c r="AH13" s="34" t="str">
        <f>IFERROR(__xludf.DUMMYFUNCTION("""COMPUTED_VALUE"""),"https://techcombank.com/thong-tin/blog/kieu-hoi-la-gi")</f>
        <v>https://techcombank.com/thong-tin/blog/kieu-hoi-la-gi</v>
      </c>
      <c r="AI13" s="30" t="str">
        <f>IFERROR(__xludf.DUMMYFUNCTION("""COMPUTED_VALUE"""),"thuế thu nhập cá nhân")</f>
        <v>thuế thu nhập cá nhân</v>
      </c>
      <c r="AJ13" s="34" t="str">
        <f>IFERROR(__xludf.DUMMYFUNCTION("""COMPUTED_VALUE"""),"https://techcombank.com/thong-tin/blog/lai-suat-chung-chi-quy")</f>
        <v>https://techcombank.com/thong-tin/blog/lai-suat-chung-chi-quy</v>
      </c>
      <c r="AK13" s="30" t="str">
        <f>IFERROR(__xludf.DUMMYFUNCTION("""COMPUTED_VALUE"""),"thuế thu nhập cá nhân")</f>
        <v>thuế thu nhập cá nhân</v>
      </c>
      <c r="AL13" s="34" t="str">
        <f>IFERROR(__xludf.DUMMYFUNCTION("""COMPUTED_VALUE"""),"https://techcombank.com/thong-tin/blog/tiem-nang-chuyen-doi-tu-ho-kinh-doanh-len-doanh-nghiep-sme")</f>
        <v>https://techcombank.com/thong-tin/blog/tiem-nang-chuyen-doi-tu-ho-kinh-doanh-len-doanh-nghiep-sme</v>
      </c>
      <c r="AM13" s="30" t="str">
        <f>IFERROR(__xludf.DUMMYFUNCTION("""COMPUTED_VALUE"""),"thuế thu nhập cá nhân")</f>
        <v>thuế thu nhập cá nhân</v>
      </c>
      <c r="AN13" s="34" t="str">
        <f>IFERROR(__xludf.DUMMYFUNCTION("""COMPUTED_VALUE"""),"https://techcombank.com/thong-tin/blog/dau-tu-quy-mo")</f>
        <v>https://techcombank.com/thong-tin/blog/dau-tu-quy-mo</v>
      </c>
      <c r="AO13" s="30" t="str">
        <f>IFERROR(__xludf.DUMMYFUNCTION("""COMPUTED_VALUE"""),"thuế thu nhập cá nhân")</f>
        <v>thuế thu nhập cá nhân</v>
      </c>
      <c r="AP13" s="34" t="str">
        <f>IFERROR(__xludf.DUMMYFUNCTION("""COMPUTED_VALUE"""),"https://techcombank.com/thong-tin/blog/thue-ho-kinh-doanh-2025")</f>
        <v>https://techcombank.com/thong-tin/blog/thue-ho-kinh-doanh-2025</v>
      </c>
      <c r="AQ13" s="30" t="str">
        <f>IFERROR(__xludf.DUMMYFUNCTION("""COMPUTED_VALUE"""),"thuế thu nhập cá nhân")</f>
        <v>thuế thu nhập cá nhân</v>
      </c>
      <c r="AR13" s="34" t="str">
        <f>IFERROR(__xludf.DUMMYFUNCTION("""COMPUTED_VALUE"""),"https://techcombank.com/thong-tin/blog/luu-y-khi-chuyen-doi-tu-ho-kinh-doanh-len-doanh-nghiep")</f>
        <v>https://techcombank.com/thong-tin/blog/luu-y-khi-chuyen-doi-tu-ho-kinh-doanh-len-doanh-nghiep</v>
      </c>
      <c r="AS13" s="30" t="str">
        <f>IFERROR(__xludf.DUMMYFUNCTION("""COMPUTED_VALUE"""),"thuế thu nhập cá nhân")</f>
        <v>thuế thu nhập cá nhân</v>
      </c>
      <c r="AT13" s="34" t="str">
        <f>IFERROR(__xludf.DUMMYFUNCTION("""COMPUTED_VALUE"""),"https://techcombank.com/thong-tin/blog/chuyen-nhuong-chung-chi-tien-gui")</f>
        <v>https://techcombank.com/thong-tin/blog/chuyen-nhuong-chung-chi-tien-gui</v>
      </c>
      <c r="AU13" s="30" t="str">
        <f>IFERROR(__xludf.DUMMYFUNCTION("""COMPUTED_VALUE"""),"thuế thu nhập cá nhân")</f>
        <v>thuế thu nhập cá nhân</v>
      </c>
      <c r="AV13" s="34" t="str">
        <f>IFERROR(__xludf.DUMMYFUNCTION("""COMPUTED_VALUE"""),"https://techcombank.com/thong-tin/blog/cach-tinh-thue-ho-kinh-doanh-nho-le")</f>
        <v>https://techcombank.com/thong-tin/blog/cach-tinh-thue-ho-kinh-doanh-nho-le</v>
      </c>
      <c r="AW13" s="30" t="str">
        <f>IFERROR(__xludf.DUMMYFUNCTION("""COMPUTED_VALUE"""),"thuế thu nhập cá nhân")</f>
        <v>thuế thu nhập cá nhân</v>
      </c>
      <c r="AX13" s="34" t="str">
        <f>IFERROR(__xludf.DUMMYFUNCTION("""COMPUTED_VALUE"""),"https://techcombank.com/thong-tin/blog/tra-luong-tien-mat")</f>
        <v>https://techcombank.com/thong-tin/blog/tra-luong-tien-mat</v>
      </c>
      <c r="AY13" s="30" t="str">
        <f>IFERROR(__xludf.DUMMYFUNCTION("""COMPUTED_VALUE"""),"thuế thu nhập cá nhân")</f>
        <v>thuế thu nhập cá nhân</v>
      </c>
      <c r="AZ13" s="34" t="str">
        <f>IFERROR(__xludf.DUMMYFUNCTION("""COMPUTED_VALUE"""),"https://techcombank.com/thong-tin/blog/tra-cuu-no-thue-ca-nhan")</f>
        <v>https://techcombank.com/thong-tin/blog/tra-cuu-no-thue-ca-nhan</v>
      </c>
      <c r="BA13" s="30" t="str">
        <f>IFERROR(__xludf.DUMMYFUNCTION("""COMPUTED_VALUE"""),"thuế thu nhập cá nhân")</f>
        <v>thuế thu nhập cá nhân</v>
      </c>
      <c r="BB13" s="34" t="str">
        <f>IFERROR(__xludf.DUMMYFUNCTION("""COMPUTED_VALUE"""),"https://techcombank.com/thong-tin/blog/nhung-ho-kinh-doanh-duoc-mien-thue")</f>
        <v>https://techcombank.com/thong-tin/blog/nhung-ho-kinh-doanh-duoc-mien-thue</v>
      </c>
      <c r="BC13" s="30" t="str">
        <f>IFERROR(__xludf.DUMMYFUNCTION("""COMPUTED_VALUE"""),"thuế thu nhập cá nhân")</f>
        <v>thuế thu nhập cá nhân</v>
      </c>
      <c r="BD13" s="34" t="str">
        <f>IFERROR(__xludf.DUMMYFUNCTION("""COMPUTED_VALUE"""),"https://techcombank.com/thong-tin/blog/app-tra-luong")</f>
        <v>https://techcombank.com/thong-tin/blog/app-tra-luong</v>
      </c>
      <c r="BE13" s="30" t="str">
        <f>IFERROR(__xludf.DUMMYFUNCTION("""COMPUTED_VALUE"""),"thuế thu nhập cá nhân")</f>
        <v>thuế thu nhập cá nhân</v>
      </c>
      <c r="BF13" s="34" t="str">
        <f>IFERROR(__xludf.DUMMYFUNCTION("""COMPUTED_VALUE"""),"https://techcombank.com/thong-tin/blog/ho-kinh-doanh-dong-thue-nhu-nao")</f>
        <v>https://techcombank.com/thong-tin/blog/ho-kinh-doanh-dong-thue-nhu-nao</v>
      </c>
      <c r="BG13" s="30" t="str">
        <f>IFERROR(__xludf.DUMMYFUNCTION("""COMPUTED_VALUE"""),"thuế thu nhập cá nhân")</f>
        <v>thuế thu nhập cá nhân</v>
      </c>
      <c r="BH13" s="34" t="str">
        <f>IFERROR(__xludf.DUMMYFUNCTION("""COMPUTED_VALUE"""),"https://techcombank.com/thong-tin/blog/chinh-sach-tang-luong-huu")</f>
        <v>https://techcombank.com/thong-tin/blog/chinh-sach-tang-luong-huu</v>
      </c>
      <c r="BI13" s="30" t="str">
        <f>IFERROR(__xludf.DUMMYFUNCTION("""COMPUTED_VALUE"""),"thuế thu nhập cá nhân")</f>
        <v>thuế thu nhập cá nhân</v>
      </c>
      <c r="BJ13" s="34" t="str">
        <f>IFERROR(__xludf.DUMMYFUNCTION("""COMPUTED_VALUE"""),"https://techcombank.com/thong-tin/blog/kiem-tra-thue-thu-nhap-ca-nhan")</f>
        <v>https://techcombank.com/thong-tin/blog/kiem-tra-thue-thu-nhap-ca-nhan</v>
      </c>
      <c r="BK13" s="30" t="str">
        <f>IFERROR(__xludf.DUMMYFUNCTION("""COMPUTED_VALUE"""),"thuế thu nhập cá nhân")</f>
        <v>thuế thu nhập cá nhân</v>
      </c>
      <c r="BL13" s="34" t="str">
        <f>IFERROR(__xludf.DUMMYFUNCTION("""COMPUTED_VALUE"""),"https://techcombank.com/thong-tin/blog/hoc-cach-tiet-kiem-tien-luong")</f>
        <v>https://techcombank.com/thong-tin/blog/hoc-cach-tiet-kiem-tien-luong</v>
      </c>
      <c r="BM13" s="30" t="str">
        <f>IFERROR(__xludf.DUMMYFUNCTION("""COMPUTED_VALUE"""),"thuế thu nhập cá nhân năm 2026")</f>
        <v>thuế thu nhập cá nhân năm 2026</v>
      </c>
      <c r="BN13" s="34" t="str">
        <f>IFERROR(__xludf.DUMMYFUNCTION("""COMPUTED_VALUE"""),"https://techcombank.com/thong-tin/blog/thue-thu-nhap-doanh-nghiep")</f>
        <v>https://techcombank.com/thong-tin/blog/thue-thu-nhap-doanh-nghiep</v>
      </c>
      <c r="BO13" s="30" t="str">
        <f>IFERROR(__xludf.DUMMYFUNCTION("""COMPUTED_VALUE"""),"thuế thu nhập cá nhân")</f>
        <v>thuế thu nhập cá nhân</v>
      </c>
      <c r="BP13" s="34" t="str">
        <f>IFERROR(__xludf.DUMMYFUNCTION("""COMPUTED_VALUE"""),"https://techcombank.com/thong-tin/blog/cach-tinh-thue-thu-nhap-doanh-nghiep")</f>
        <v>https://techcombank.com/thong-tin/blog/cach-tinh-thue-thu-nhap-doanh-nghiep</v>
      </c>
      <c r="BQ13" s="30" t="str">
        <f>IFERROR(__xludf.DUMMYFUNCTION("""COMPUTED_VALUE"""),"thuế thu nhập cá nhân")</f>
        <v>thuế thu nhập cá nhân</v>
      </c>
      <c r="BR13" s="34" t="str">
        <f>IFERROR(__xludf.DUMMYFUNCTION("""COMPUTED_VALUE"""),"https://techcombank.com/thong-tin/blog/ke-khai-thue-doanh-nghiep")</f>
        <v>https://techcombank.com/thong-tin/blog/ke-khai-thue-doanh-nghiep</v>
      </c>
      <c r="BS13" s="30" t="str">
        <f>IFERROR(__xludf.DUMMYFUNCTION("""COMPUTED_VALUE"""),"thuế thu nhập cá nhân")</f>
        <v>thuế thu nhập cá nhân</v>
      </c>
      <c r="BT13" s="34" t="str">
        <f>IFERROR(__xludf.DUMMYFUNCTION("""COMPUTED_VALUE"""),"https://techcombank.com/thong-tin/blog/tim-hieu-ve-chinh-sach-thue-moi")</f>
        <v>https://techcombank.com/thong-tin/blog/tim-hieu-ve-chinh-sach-thue-moi</v>
      </c>
      <c r="BU13" s="30" t="str">
        <f>IFERROR(__xludf.DUMMYFUNCTION("""COMPUTED_VALUE"""),"thuế thu nhập cá nhân năm 2026")</f>
        <v>thuế thu nhập cá nhân năm 2026</v>
      </c>
      <c r="BV13" s="34" t="str">
        <f>IFERROR(__xludf.DUMMYFUNCTION("""COMPUTED_VALUE"""),"https://techcombank.com/thong-tin/blog/thue-thuong-mai-dien-tu")</f>
        <v>https://techcombank.com/thong-tin/blog/thue-thuong-mai-dien-tu</v>
      </c>
      <c r="BW13" s="30" t="str">
        <f>IFERROR(__xludf.DUMMYFUNCTION("""COMPUTED_VALUE"""),"thuế thu nhập cá nhân")</f>
        <v>thuế thu nhập cá nhân</v>
      </c>
      <c r="BX13" s="34" t="str">
        <f>IFERROR(__xludf.DUMMYFUNCTION("""COMPUTED_VALUE"""),"https://techcombank.com/thong-tin/blog/tra-cuu-no-thue-doanh-nghiep")</f>
        <v>https://techcombank.com/thong-tin/blog/tra-cuu-no-thue-doanh-nghiep</v>
      </c>
      <c r="BY13" s="30" t="str">
        <f>IFERROR(__xludf.DUMMYFUNCTION("""COMPUTED_VALUE"""),"thuế thu nhập cá nhân")</f>
        <v>thuế thu nhập cá nhân</v>
      </c>
      <c r="BZ13" s="34" t="str">
        <f>IFERROR(__xludf.DUMMYFUNCTION("""COMPUTED_VALUE"""),"https://techcombank.com/thong-tin/blog/giai-dap-ve-thue-doanh-nghiep")</f>
        <v>https://techcombank.com/thong-tin/blog/giai-dap-ve-thue-doanh-nghiep</v>
      </c>
      <c r="CA13" s="30" t="str">
        <f>IFERROR(__xludf.DUMMYFUNCTION("""COMPUTED_VALUE"""),"thuế thu nhập cá nhân")</f>
        <v>thuế thu nhập cá nhân</v>
      </c>
      <c r="CB13" s="34" t="str">
        <f>IFERROR(__xludf.DUMMYFUNCTION("""COMPUTED_VALUE"""),"https://techcombank.com/thong-tin/blog/ke-khai-thue-ho-kinh-doanh-ca-the-online")</f>
        <v>https://techcombank.com/thong-tin/blog/ke-khai-thue-ho-kinh-doanh-ca-the-online</v>
      </c>
      <c r="CC13" s="30" t="str">
        <f>IFERROR(__xludf.DUMMYFUNCTION("""COMPUTED_VALUE"""),"thuế thu nhập cá nhân")</f>
        <v>thuế thu nhập cá nhân</v>
      </c>
      <c r="CD13" s="34" t="str">
        <f>IFERROR(__xludf.DUMMYFUNCTION("""COMPUTED_VALUE"""),"https://techcombank.com/thong-tin/blog/chuyen-doi-ho-kinh-doanh-len-doanh-nghiep")</f>
        <v>https://techcombank.com/thong-tin/blog/chuyen-doi-ho-kinh-doanh-len-doanh-nghiep</v>
      </c>
      <c r="CE13" s="30" t="str">
        <f>IFERROR(__xludf.DUMMYFUNCTION("""COMPUTED_VALUE"""),"thuế thu nhập cá nhân")</f>
        <v>thuế thu nhập cá nhân</v>
      </c>
      <c r="CF13" s="34" t="str">
        <f>IFERROR(__xludf.DUMMYFUNCTION("""COMPUTED_VALUE"""),"https://techcombank.com/thong-tin/blog/nen-thanh-lap-ho-kinh-doanh-ke-khai-hay-doanh-nghiep")</f>
        <v>https://techcombank.com/thong-tin/blog/nen-thanh-lap-ho-kinh-doanh-ke-khai-hay-doanh-nghiep</v>
      </c>
      <c r="CG13" s="30" t="str">
        <f>IFERROR(__xludf.DUMMYFUNCTION("""COMPUTED_VALUE"""),"thuế thu nhập cá nhân")</f>
        <v>thuế thu nhập cá nhân</v>
      </c>
      <c r="CH13" s="34" t="str">
        <f>IFERROR(__xludf.DUMMYFUNCTION("""COMPUTED_VALUE"""),"https://techcombank.com/thong-tin/blog/bi-quyet-tiet-kiem-tien-mua-nha")</f>
        <v>https://techcombank.com/thong-tin/blog/bi-quyet-tiet-kiem-tien-mua-nha</v>
      </c>
      <c r="CI13" s="30" t="str">
        <f>IFERROR(__xludf.DUMMYFUNCTION("""COMPUTED_VALUE"""),"thuế thu nhập cá nhân")</f>
        <v>thuế thu nhập cá nhân</v>
      </c>
      <c r="CJ13" s="34" t="str">
        <f>IFERROR(__xludf.DUMMYFUNCTION("""COMPUTED_VALUE"""),"https://techcombank.com/thong-tin/blog/bao-hiem-nhan-tho-bao-nhieu-tien")</f>
        <v>https://techcombank.com/thong-tin/blog/bao-hiem-nhan-tho-bao-nhieu-tien</v>
      </c>
      <c r="CK13" s="30" t="str">
        <f>IFERROR(__xludf.DUMMYFUNCTION("""COMPUTED_VALUE"""),"thuế thu nhập cá nhân")</f>
        <v>thuế thu nhập cá nhân</v>
      </c>
      <c r="CL13" s="34" t="str">
        <f>IFERROR(__xludf.DUMMYFUNCTION("""COMPUTED_VALUE"""),"https://techcombank.com/thong-tin/blog/hu-chi-tieu")</f>
        <v>https://techcombank.com/thong-tin/blog/hu-chi-tieu</v>
      </c>
      <c r="CM13" s="30" t="str">
        <f>IFERROR(__xludf.DUMMYFUNCTION("""COMPUTED_VALUE"""),"thuế thu nhập cá nhân")</f>
        <v>thuế thu nhập cá nhân</v>
      </c>
      <c r="CN13" s="34" t="str">
        <f>IFERROR(__xludf.DUMMYFUNCTION("""COMPUTED_VALUE"""),"https://techcombank.com/thong-tin/blog/nop-thue-dat-qua-ngan-hang")</f>
        <v>https://techcombank.com/thong-tin/blog/nop-thue-dat-qua-ngan-hang</v>
      </c>
      <c r="CO13" s="30" t="str">
        <f>IFERROR(__xludf.DUMMYFUNCTION("""COMPUTED_VALUE"""),"thuế thu nhập cá nhân")</f>
        <v>thuế thu nhập cá nhân</v>
      </c>
      <c r="CP13" s="34" t="str">
        <f>IFERROR(__xludf.DUMMYFUNCTION("""COMPUTED_VALUE"""),"https://techcombank.com/thong-tin/blog/co-100-trieu-co-mua-nen-mua-tra-gop")</f>
        <v>https://techcombank.com/thong-tin/blog/co-100-trieu-co-mua-nen-mua-tra-gop</v>
      </c>
      <c r="CQ13" s="30" t="str">
        <f>IFERROR(__xludf.DUMMYFUNCTION("""COMPUTED_VALUE"""),"thuế thu nhập cá nhân")</f>
        <v>thuế thu nhập cá nhân</v>
      </c>
      <c r="CR13" s="34" t="str">
        <f>IFERROR(__xludf.DUMMYFUNCTION("""COMPUTED_VALUE"""),"https://techcombank.com/thong-tin/blog/dong-ma-so-thue-ho-kinh-doanh")</f>
        <v>https://techcombank.com/thong-tin/blog/dong-ma-so-thue-ho-kinh-doanh</v>
      </c>
      <c r="CS13" s="30" t="str">
        <f>IFERROR(__xludf.DUMMYFUNCTION("""COMPUTED_VALUE"""),"thuế thu nhập cá nhân")</f>
        <v>thuế thu nhập cá nhân</v>
      </c>
      <c r="CT13" s="34" t="str">
        <f>IFERROR(__xludf.DUMMYFUNCTION("""COMPUTED_VALUE"""),"https://techcombank.com/thong-tin/blog/vay-mua-nha-o-xa-hoi")</f>
        <v>https://techcombank.com/thong-tin/blog/vay-mua-nha-o-xa-hoi</v>
      </c>
      <c r="CU13" s="30" t="str">
        <f>IFERROR(__xludf.DUMMYFUNCTION("""COMPUTED_VALUE"""),"thuế thu nhập cá nhân")</f>
        <v>thuế thu nhập cá nhân</v>
      </c>
      <c r="CV13" s="34" t="str">
        <f>IFERROR(__xludf.DUMMYFUNCTION("""COMPUTED_VALUE"""),"https://techcombank.com/thong-tin/blog/vay-tien-online")</f>
        <v>https://techcombank.com/thong-tin/blog/vay-tien-online</v>
      </c>
      <c r="CW13" s="30" t="str">
        <f>IFERROR(__xludf.DUMMYFUNCTION("""COMPUTED_VALUE"""),"thuế thu nhập cá nhân")</f>
        <v>thuế thu nhập cá nhân</v>
      </c>
      <c r="CX13" s="34" t="str">
        <f>IFERROR(__xludf.DUMMYFUNCTION("""COMPUTED_VALUE"""),"https://techcombank.com/thong-tin/blog/mo-the-tin-dung-khong-can-chung-minh-thu-nhap")</f>
        <v>https://techcombank.com/thong-tin/blog/mo-the-tin-dung-khong-can-chung-minh-thu-nhap</v>
      </c>
      <c r="CY13" s="30" t="str">
        <f>IFERROR(__xludf.DUMMYFUNCTION("""COMPUTED_VALUE"""),"thuế thu nhập cá nhân")</f>
        <v>thuế thu nhập cá nhân</v>
      </c>
      <c r="CZ13" s="34" t="str">
        <f>IFERROR(__xludf.DUMMYFUNCTION("""COMPUTED_VALUE"""),"https://techcombank.com/thong-tin/blog/truy-thu-thue-ho-kinh-doanh")</f>
        <v>https://techcombank.com/thong-tin/blog/truy-thu-thue-ho-kinh-doanh</v>
      </c>
      <c r="DA13" s="30" t="str">
        <f>IFERROR(__xludf.DUMMYFUNCTION("""COMPUTED_VALUE"""),"thuế thu nhập cá nhân")</f>
        <v>thuế thu nhập cá nhân</v>
      </c>
      <c r="DB13" s="34" t="str">
        <f>IFERROR(__xludf.DUMMYFUNCTION("""COMPUTED_VALUE"""),"https://techcombank.com/thong-tin/blog/hoa-don-dien-tu")</f>
        <v>https://techcombank.com/thong-tin/blog/hoa-don-dien-tu</v>
      </c>
      <c r="DC13" s="30" t="str">
        <f>IFERROR(__xludf.DUMMYFUNCTION("""COMPUTED_VALUE"""),"thuế thu nhập cá nhân")</f>
        <v>thuế thu nhập cá nhân</v>
      </c>
      <c r="DD13" s="34" t="str">
        <f>IFERROR(__xludf.DUMMYFUNCTION("""COMPUTED_VALUE"""),"https://techcombank.com/thong-tin/blog/thue-phi-co-dinh-khi-chuyen-doi-tu-ho-kinh-doanh-len-doanh-nghiep")</f>
        <v>https://techcombank.com/thong-tin/blog/thue-phi-co-dinh-khi-chuyen-doi-tu-ho-kinh-doanh-len-doanh-nghiep</v>
      </c>
      <c r="DE13" s="30" t="str">
        <f>IFERROR(__xludf.DUMMYFUNCTION("""COMPUTED_VALUE"""),"thuế thu nhập cá nhân")</f>
        <v>thuế thu nhập cá nhân</v>
      </c>
      <c r="DF13" s="34" t="str">
        <f>IFERROR(__xludf.DUMMYFUNCTION("""COMPUTED_VALUE"""),"https://techcombank.com/thong-tin/blog/nhung-chi-phi-khong-duoc-tru-khi-tinh-thue-tndn")</f>
        <v>https://techcombank.com/thong-tin/blog/nhung-chi-phi-khong-duoc-tru-khi-tinh-thue-tndn</v>
      </c>
      <c r="DG13" s="30" t="str">
        <f>IFERROR(__xludf.DUMMYFUNCTION("""COMPUTED_VALUE"""),"thuế thu nhập cá nhân")</f>
        <v>thuế thu nhập cá nhân</v>
      </c>
      <c r="DH13" s="34" t="str">
        <f>IFERROR(__xludf.DUMMYFUNCTION("""COMPUTED_VALUE"""),"https://techcombank.com/thong-tin/blog/kiem-tra-ma-so-thue-doanh-nghiep")</f>
        <v>https://techcombank.com/thong-tin/blog/kiem-tra-ma-so-thue-doanh-nghiep</v>
      </c>
      <c r="DI13" s="30"/>
      <c r="DJ13" s="30"/>
      <c r="DK13" s="30"/>
      <c r="DL13" s="30"/>
      <c r="DM13" s="30"/>
      <c r="DN13" s="30"/>
      <c r="DO13" s="30"/>
      <c r="DP13" s="30"/>
      <c r="DQ13" s="30"/>
      <c r="DR13" s="30"/>
      <c r="DS13" s="30"/>
      <c r="DT13" s="30"/>
      <c r="DU13" s="30"/>
      <c r="DV13" s="30"/>
      <c r="DW13" s="30"/>
      <c r="DX13" s="30"/>
      <c r="DY13" s="30"/>
      <c r="DZ13" s="30"/>
      <c r="EA13" s="30"/>
      <c r="EB13" s="30"/>
      <c r="EC13" s="30"/>
      <c r="ED13" s="30"/>
      <c r="EE13" s="30"/>
      <c r="EF13" s="30"/>
      <c r="EG13" s="30"/>
      <c r="EH13" s="30"/>
      <c r="EI13" s="30"/>
      <c r="EJ13" s="30"/>
      <c r="EK13" s="30"/>
      <c r="EL13" s="30"/>
      <c r="EM13" s="30"/>
      <c r="EN13" s="30"/>
      <c r="EO13" s="30"/>
      <c r="EP13" s="30"/>
      <c r="EQ13" s="30"/>
      <c r="ER13" s="30"/>
      <c r="ES13" s="30"/>
      <c r="ET13" s="30"/>
      <c r="EU13" s="30"/>
      <c r="EV13" s="30"/>
      <c r="EW13" s="30"/>
      <c r="EX13" s="30"/>
      <c r="EY13" s="30"/>
      <c r="EZ13" s="30"/>
      <c r="FA13" s="30"/>
      <c r="FB13" s="30"/>
      <c r="FC13" s="30"/>
      <c r="FD13" s="30"/>
      <c r="FE13" s="30"/>
      <c r="FF13" s="30"/>
      <c r="FG13" s="30"/>
      <c r="FH13" s="30"/>
      <c r="FI13" s="30"/>
      <c r="FJ13" s="30"/>
      <c r="FK13" s="30"/>
      <c r="FL13" s="30"/>
      <c r="FM13" s="30"/>
      <c r="FN13" s="30"/>
      <c r="FO13" s="30"/>
      <c r="FP13" s="30"/>
      <c r="FQ13" s="30"/>
      <c r="FR13" s="30"/>
      <c r="FS13" s="30"/>
      <c r="FT13" s="30"/>
      <c r="FU13" s="30"/>
      <c r="FV13" s="30"/>
      <c r="FW13" s="30"/>
      <c r="FX13" s="30"/>
      <c r="FY13" s="30"/>
      <c r="FZ13" s="30"/>
      <c r="GA13" s="30"/>
      <c r="GB13" s="30"/>
      <c r="GC13" s="30"/>
      <c r="GD13" s="30"/>
      <c r="GE13" s="30"/>
      <c r="GF13" s="30"/>
      <c r="GG13" s="30"/>
      <c r="GH13" s="30"/>
      <c r="GI13" s="30"/>
      <c r="GJ13" s="30"/>
      <c r="GK13" s="30"/>
      <c r="GL13" s="30"/>
      <c r="GM13" s="30"/>
      <c r="GN13" s="30"/>
      <c r="GO13" s="30"/>
      <c r="GP13" s="30"/>
      <c r="GQ13" s="30"/>
      <c r="GR13" s="30"/>
      <c r="GS13" s="30"/>
      <c r="GT13" s="30"/>
      <c r="GU13" s="30"/>
      <c r="GV13" s="30"/>
      <c r="GW13" s="30"/>
      <c r="GX13" s="30"/>
      <c r="GY13" s="30"/>
      <c r="GZ13" s="30"/>
      <c r="HA13" s="30"/>
      <c r="HB13" s="30"/>
      <c r="HC13" s="30"/>
      <c r="HD13" s="30"/>
      <c r="HE13" s="30"/>
      <c r="HF13" s="30"/>
      <c r="HG13" s="30"/>
      <c r="HH13" s="30"/>
      <c r="HI13" s="30"/>
      <c r="HJ13" s="30"/>
      <c r="HK13" s="30"/>
      <c r="HL13" s="30"/>
      <c r="HM13" s="30"/>
      <c r="HN13" s="30"/>
      <c r="HO13" s="30"/>
      <c r="HP13" s="30"/>
      <c r="HQ13" s="30"/>
      <c r="HR13" s="30"/>
      <c r="HS13" s="30"/>
      <c r="HT13" s="30"/>
      <c r="HU13" s="30"/>
      <c r="HV13" s="30"/>
      <c r="HW13" s="30"/>
      <c r="HX13" s="30"/>
      <c r="HY13" s="30"/>
      <c r="HZ13" s="30"/>
      <c r="IA13" s="30"/>
      <c r="IB13" s="30"/>
      <c r="IC13" s="30"/>
      <c r="ID13" s="30"/>
      <c r="IE13" s="30"/>
      <c r="IF13" s="30"/>
      <c r="IG13" s="30"/>
      <c r="IH13" s="30"/>
      <c r="II13" s="30"/>
      <c r="IJ13" s="30"/>
      <c r="IK13" s="30"/>
      <c r="IL13" s="30"/>
      <c r="IM13" s="30"/>
      <c r="IN13" s="30"/>
      <c r="IO13" s="30"/>
      <c r="IP13" s="30"/>
      <c r="IQ13" s="30"/>
      <c r="IR13" s="30"/>
      <c r="IS13" s="30"/>
      <c r="IT13" s="30"/>
      <c r="IU13" s="30"/>
      <c r="IV13" s="30"/>
      <c r="IW13" s="30"/>
      <c r="IX13" s="30"/>
      <c r="IY13" s="30"/>
      <c r="IZ13" s="30"/>
      <c r="JA13" s="30"/>
      <c r="JB13" s="30"/>
      <c r="JC13" s="30"/>
      <c r="JD13" s="30"/>
      <c r="JE13" s="30"/>
      <c r="JF13" s="30"/>
      <c r="JG13" s="30"/>
      <c r="JH13" s="30"/>
      <c r="JI13" s="30"/>
      <c r="JJ13" s="30"/>
      <c r="JK13" s="30"/>
      <c r="JL13" s="30"/>
      <c r="JM13" s="30"/>
      <c r="JN13" s="30"/>
      <c r="JO13" s="30"/>
      <c r="JP13" s="30"/>
      <c r="JQ13" s="30"/>
      <c r="JR13" s="30"/>
      <c r="JS13" s="30"/>
      <c r="JT13" s="30"/>
      <c r="JU13" s="30"/>
      <c r="JV13" s="30"/>
      <c r="JW13" s="30"/>
      <c r="JX13" s="30"/>
      <c r="JY13" s="30"/>
      <c r="JZ13" s="30"/>
      <c r="KA13" s="30"/>
      <c r="KB13" s="30"/>
      <c r="KC13" s="30"/>
      <c r="KD13" s="30"/>
      <c r="KE13" s="30"/>
      <c r="KF13" s="30"/>
      <c r="KG13" s="30"/>
      <c r="KH13" s="30"/>
      <c r="KI13" s="30"/>
      <c r="KJ13" s="30"/>
      <c r="KK13" s="30"/>
      <c r="KL13" s="30"/>
      <c r="KM13" s="30"/>
      <c r="KN13" s="30"/>
      <c r="KO13" s="30"/>
      <c r="KP13" s="30"/>
      <c r="KQ13" s="30"/>
      <c r="KR13" s="30"/>
      <c r="KS13" s="30"/>
      <c r="KT13" s="30"/>
      <c r="KU13" s="30"/>
      <c r="KV13" s="30"/>
      <c r="KW13" s="30"/>
      <c r="KX13" s="30"/>
      <c r="KY13" s="30"/>
      <c r="KZ13" s="30"/>
      <c r="LA13" s="30"/>
      <c r="LB13" s="30"/>
      <c r="LC13" s="30"/>
      <c r="LD13" s="30"/>
      <c r="LE13" s="30"/>
      <c r="LF13" s="30"/>
      <c r="LG13" s="30"/>
      <c r="LH13" s="30"/>
      <c r="LI13" s="30"/>
      <c r="LJ13" s="30"/>
      <c r="LK13" s="30"/>
      <c r="LL13" s="30"/>
      <c r="LM13" s="30"/>
      <c r="LN13" s="30"/>
      <c r="LO13" s="30"/>
      <c r="LP13" s="30"/>
      <c r="LQ13" s="30"/>
      <c r="LR13" s="30"/>
      <c r="LS13" s="30"/>
      <c r="LT13" s="30"/>
      <c r="LU13" s="30"/>
      <c r="LV13" s="30"/>
      <c r="LW13" s="30"/>
      <c r="LX13" s="30"/>
      <c r="LY13" s="30"/>
      <c r="LZ13" s="30"/>
      <c r="MA13" s="30"/>
      <c r="MB13" s="30"/>
      <c r="MC13" s="30"/>
      <c r="MD13" s="30"/>
      <c r="ME13" s="30"/>
      <c r="MF13" s="30"/>
      <c r="MG13" s="30"/>
      <c r="MH13" s="30"/>
      <c r="MI13" s="30"/>
      <c r="MJ13" s="30"/>
      <c r="MK13" s="30"/>
      <c r="ML13" s="30"/>
      <c r="MM13" s="30"/>
      <c r="MN13" s="30"/>
      <c r="MO13" s="30"/>
      <c r="MP13" s="30"/>
      <c r="MQ13" s="30"/>
      <c r="MR13" s="30"/>
      <c r="MS13" s="30"/>
      <c r="MT13" s="30"/>
      <c r="MU13" s="30"/>
      <c r="MV13" s="30"/>
      <c r="MW13" s="30"/>
      <c r="MX13" s="30"/>
      <c r="MY13" s="30"/>
      <c r="MZ13" s="30"/>
      <c r="NA13" s="30"/>
      <c r="NB13" s="30"/>
      <c r="NC13" s="30"/>
      <c r="ND13" s="30"/>
      <c r="NE13" s="30"/>
      <c r="NF13" s="30"/>
      <c r="NG13" s="30"/>
      <c r="NH13" s="30"/>
      <c r="NI13" s="30"/>
      <c r="NJ13" s="30"/>
      <c r="NK13" s="30"/>
      <c r="NL13" s="30"/>
      <c r="NM13" s="30"/>
      <c r="NN13" s="30"/>
      <c r="NO13" s="30"/>
      <c r="NP13" s="30"/>
      <c r="NQ13" s="30"/>
      <c r="NR13" s="30"/>
      <c r="NS13" s="30"/>
      <c r="NT13" s="30"/>
      <c r="NU13" s="30"/>
      <c r="NV13" s="30"/>
      <c r="NW13" s="30"/>
      <c r="NX13" s="30"/>
      <c r="NY13" s="30"/>
      <c r="NZ13" s="30"/>
      <c r="OA13" s="30"/>
      <c r="OB13" s="30"/>
      <c r="OC13" s="30"/>
      <c r="OD13" s="30"/>
      <c r="OE13" s="30"/>
      <c r="OF13" s="30"/>
      <c r="OG13" s="30"/>
      <c r="OH13" s="30"/>
      <c r="OI13" s="30"/>
      <c r="OJ13" s="30"/>
      <c r="OK13" s="30"/>
      <c r="OL13" s="30"/>
      <c r="OM13" s="30"/>
      <c r="ON13" s="30"/>
      <c r="OO13" s="30"/>
      <c r="OP13" s="30"/>
      <c r="OQ13" s="30"/>
      <c r="OR13" s="30"/>
      <c r="OS13" s="30"/>
      <c r="OT13" s="30"/>
      <c r="OU13" s="30"/>
      <c r="OV13" s="30"/>
    </row>
    <row r="14" ht="18.0" customHeight="1">
      <c r="A14" s="29">
        <v>13.0</v>
      </c>
      <c r="B14" s="30" t="s">
        <v>1564</v>
      </c>
      <c r="C14" s="31" t="s">
        <v>3347</v>
      </c>
      <c r="D14" s="30" t="s">
        <v>1520</v>
      </c>
      <c r="E14" s="29">
        <v>30.0</v>
      </c>
      <c r="F14" s="29">
        <f>COUNTIF('Tổng hợp 75 trang đích'!$B$2:$B$3400,$D14)</f>
        <v>30</v>
      </c>
      <c r="G14" s="29">
        <f>COUNTIFS('Tổng hợp 75 trang đích'!$B$2:$B$3400,$D14,'Tổng hợp 75 trang đích'!$K$2:$K$3400,"PHÙ HỢP CAO")</f>
        <v>2</v>
      </c>
      <c r="H14" s="29">
        <f>COUNTIFS('Tổng hợp 75 trang đích'!$B$2:$B$3400,$D14,'Tổng hợp 75 trang đích'!$K$2:$K$3400,"CÓ THỂ ĐI")</f>
        <v>3</v>
      </c>
      <c r="I14" s="29">
        <f>COUNTIFS('Tổng hợp 75 trang đích'!$B$2:$B$3400,$D14,'Tổng hợp 75 trang đích'!$K$2:$K$3400,"CẦN SOÁT")</f>
        <v>25</v>
      </c>
      <c r="J14" s="32" t="s">
        <v>714</v>
      </c>
      <c r="K14" s="32" t="b">
        <v>0</v>
      </c>
      <c r="L14" s="33" t="s">
        <v>52</v>
      </c>
      <c r="M14" s="30" t="str">
        <f>IFERROR(__xludf.DUMMYFUNCTION("IFERROR(TOROW(CHOOSECOLS(SORT(FILTER({'Tổng hợp 75 trang đích'!$J$2:$J$3400,'Tổng hợp 75 trang đích'!$I$2:$I$3400,MATCH('Tổng hợp 75 trang đích'!$K$2:$K$3400,{""PHÙ HỢP CAO"",""CÓ THỂ ĐI"",""CẦN SOÁT""},0)},'Tổng hợp 75 trang đích'!$B$2:$B$3400=$D14),3,TR"&amp;"UE),1,2)),"""")"),"tra số tài khoản ngân hàng")</f>
        <v>tra số tài khoản ngân hàng</v>
      </c>
      <c r="N14" s="34" t="str">
        <f>IFERROR(__xludf.DUMMYFUNCTION("""COMPUTED_VALUE"""),"https://techcombank.com/thong-tin/blog/so-tai-khoan-ngan-hang")</f>
        <v>https://techcombank.com/thong-tin/blog/so-tai-khoan-ngan-hang</v>
      </c>
      <c r="O14" s="30" t="str">
        <f>IFERROR(__xludf.DUMMYFUNCTION("""COMPUTED_VALUE"""),"tra tài khoản ngân hàng")</f>
        <v>tra tài khoản ngân hàng</v>
      </c>
      <c r="P14" s="34" t="str">
        <f>IFERROR(__xludf.DUMMYFUNCTION("""COMPUTED_VALUE"""),"https://techcombank.com/thong-tin/blog/so-du-kha-dung")</f>
        <v>https://techcombank.com/thong-tin/blog/so-du-kha-dung</v>
      </c>
      <c r="Q14" s="30" t="str">
        <f>IFERROR(__xludf.DUMMYFUNCTION("""COMPUTED_VALUE"""),"tra tài khoản ngân hàng")</f>
        <v>tra tài khoản ngân hàng</v>
      </c>
      <c r="R14" s="34" t="str">
        <f>IFERROR(__xludf.DUMMYFUNCTION("""COMPUTED_VALUE"""),"https://techcombank.com/thong-tin/blog/ma-giao-dich-la-gi")</f>
        <v>https://techcombank.com/thong-tin/blog/ma-giao-dich-la-gi</v>
      </c>
      <c r="S14" s="30" t="str">
        <f>IFERROR(__xludf.DUMMYFUNCTION("""COMPUTED_VALUE"""),"tra số tài khoản ngân hàng")</f>
        <v>tra số tài khoản ngân hàng</v>
      </c>
      <c r="T14" s="34" t="str">
        <f>IFERROR(__xludf.DUMMYFUNCTION("""COMPUTED_VALUE"""),"https://techcombank.com/thong-tin/blog/sms-banking")</f>
        <v>https://techcombank.com/thong-tin/blog/sms-banking</v>
      </c>
      <c r="U14" s="30" t="str">
        <f>IFERROR(__xludf.DUMMYFUNCTION("""COMPUTED_VALUE"""),"tra tài khoản ngân hàng")</f>
        <v>tra tài khoản ngân hàng</v>
      </c>
      <c r="V14" s="34" t="str">
        <f>IFERROR(__xludf.DUMMYFUNCTION("""COMPUTED_VALUE"""),"https://techcombank.com/thong-tin/blog/cach-kiem-tra-tai-khoan-ngan-hang-cua-cong-ty")</f>
        <v>https://techcombank.com/thong-tin/blog/cach-kiem-tra-tai-khoan-ngan-hang-cua-cong-ty</v>
      </c>
      <c r="W14" s="30" t="str">
        <f>IFERROR(__xludf.DUMMYFUNCTION("""COMPUTED_VALUE"""),"tra số tài khoản ngân hàng")</f>
        <v>tra số tài khoản ngân hàng</v>
      </c>
      <c r="X14" s="34" t="str">
        <f>IFERROR(__xludf.DUMMYFUNCTION("""COMPUTED_VALUE"""),"https://techcombank.com/thong-tin/blog/co-nen-mua-so-tai-khoan-ngan-hang-dep")</f>
        <v>https://techcombank.com/thong-tin/blog/co-nen-mua-so-tai-khoan-ngan-hang-dep</v>
      </c>
      <c r="Y14" s="30" t="str">
        <f>IFERROR(__xludf.DUMMYFUNCTION("""COMPUTED_VALUE"""),"tra số tài khoản ngân hàng")</f>
        <v>tra số tài khoản ngân hàng</v>
      </c>
      <c r="Z14" s="34" t="str">
        <f>IFERROR(__xludf.DUMMYFUNCTION("""COMPUTED_VALUE"""),"https://techcombank.com/thong-tin/blog/cdm")</f>
        <v>https://techcombank.com/thong-tin/blog/cdm</v>
      </c>
      <c r="AA14" s="30" t="str">
        <f>IFERROR(__xludf.DUMMYFUNCTION("""COMPUTED_VALUE"""),"tra số tài khoản ngân hàng")</f>
        <v>tra số tài khoản ngân hàng</v>
      </c>
      <c r="AB14" s="34" t="str">
        <f>IFERROR(__xludf.DUMMYFUNCTION("""COMPUTED_VALUE"""),"https://techcombank.com/thong-tin/blog/lo-so-tai-khoan-ngan-hang-co-sao-khong")</f>
        <v>https://techcombank.com/thong-tin/blog/lo-so-tai-khoan-ngan-hang-co-sao-khong</v>
      </c>
      <c r="AC14" s="30" t="str">
        <f>IFERROR(__xludf.DUMMYFUNCTION("""COMPUTED_VALUE"""),"tra tài khoản ngân hàng")</f>
        <v>tra tài khoản ngân hàng</v>
      </c>
      <c r="AD14" s="34" t="str">
        <f>IFERROR(__xludf.DUMMYFUNCTION("""COMPUTED_VALUE"""),"https://techcombank.com/thong-tin/blog/cach-chon-so-tai-khoan-dep")</f>
        <v>https://techcombank.com/thong-tin/blog/cach-chon-so-tai-khoan-dep</v>
      </c>
      <c r="AE14" s="30" t="str">
        <f>IFERROR(__xludf.DUMMYFUNCTION("""COMPUTED_VALUE"""),"tra số tài khoản ngân hàng")</f>
        <v>tra số tài khoản ngân hàng</v>
      </c>
      <c r="AF14" s="34" t="str">
        <f>IFERROR(__xludf.DUMMYFUNCTION("""COMPUTED_VALUE"""),"https://techcombank.com/thong-tin/blog/8868")</f>
        <v>https://techcombank.com/thong-tin/blog/8868</v>
      </c>
      <c r="AG14" s="30" t="str">
        <f>IFERROR(__xludf.DUMMYFUNCTION("""COMPUTED_VALUE"""),"tra số tài khoản ngân hàng")</f>
        <v>tra số tài khoản ngân hàng</v>
      </c>
      <c r="AH14" s="34" t="str">
        <f>IFERROR(__xludf.DUMMYFUNCTION("""COMPUTED_VALUE"""),"https://techcombank.com/thong-tin/blog/day-so-phat-tai-phat-loc")</f>
        <v>https://techcombank.com/thong-tin/blog/day-so-phat-tai-phat-loc</v>
      </c>
      <c r="AI14" s="30" t="str">
        <f>IFERROR(__xludf.DUMMYFUNCTION("""COMPUTED_VALUE"""),"tra số tài khoản ngân hàng")</f>
        <v>tra số tài khoản ngân hàng</v>
      </c>
      <c r="AJ14" s="34" t="str">
        <f>IFERROR(__xludf.DUMMYFUNCTION("""COMPUTED_VALUE"""),"https://techcombank.com/thong-tin/blog/66666-co-y-nghia-gi")</f>
        <v>https://techcombank.com/thong-tin/blog/66666-co-y-nghia-gi</v>
      </c>
      <c r="AK14" s="30" t="str">
        <f>IFERROR(__xludf.DUMMYFUNCTION("""COMPUTED_VALUE"""),"tra số tài khoản ngân hàng")</f>
        <v>tra số tài khoản ngân hàng</v>
      </c>
      <c r="AL14" s="34" t="str">
        <f>IFERROR(__xludf.DUMMYFUNCTION("""COMPUTED_VALUE"""),"https://techcombank.com/thong-tin/blog/so-8386")</f>
        <v>https://techcombank.com/thong-tin/blog/so-8386</v>
      </c>
      <c r="AM14" s="30" t="str">
        <f>IFERROR(__xludf.DUMMYFUNCTION("""COMPUTED_VALUE"""),"tra số tài khoản ngân hàng")</f>
        <v>tra số tài khoản ngân hàng</v>
      </c>
      <c r="AN14" s="34" t="str">
        <f>IFERROR(__xludf.DUMMYFUNCTION("""COMPUTED_VALUE"""),"https://techcombank.com/thong-tin/blog/so-the-ngan-hang")</f>
        <v>https://techcombank.com/thong-tin/blog/so-the-ngan-hang</v>
      </c>
      <c r="AO14" s="30" t="str">
        <f>IFERROR(__xludf.DUMMYFUNCTION("""COMPUTED_VALUE"""),"tra số tài khoản ngân hàng")</f>
        <v>tra số tài khoản ngân hàng</v>
      </c>
      <c r="AP14" s="34" t="str">
        <f>IFERROR(__xludf.DUMMYFUNCTION("""COMPUTED_VALUE"""),"https://techcombank.com/thong-tin/blog/so-tai-khoan-dep")</f>
        <v>https://techcombank.com/thong-tin/blog/so-tai-khoan-dep</v>
      </c>
      <c r="AQ14" s="30" t="str">
        <f>IFERROR(__xludf.DUMMYFUNCTION("""COMPUTED_VALUE"""),"tra số tài khoản ngân hàng")</f>
        <v>tra số tài khoản ngân hàng</v>
      </c>
      <c r="AR14" s="34" t="str">
        <f>IFERROR(__xludf.DUMMYFUNCTION("""COMPUTED_VALUE"""),"https://techcombank.com/thong-tin/blog/99999-co-y-nghia-gi")</f>
        <v>https://techcombank.com/thong-tin/blog/99999-co-y-nghia-gi</v>
      </c>
      <c r="AS14" s="30" t="str">
        <f>IFERROR(__xludf.DUMMYFUNCTION("""COMPUTED_VALUE"""),"tra tài khoản ngân hàng")</f>
        <v>tra tài khoản ngân hàng</v>
      </c>
      <c r="AT14" s="34" t="str">
        <f>IFERROR(__xludf.DUMMYFUNCTION("""COMPUTED_VALUE"""),"https://techcombank.com/thong-tin/blog/so-du-tai-khoan-thanh-toan")</f>
        <v>https://techcombank.com/thong-tin/blog/so-du-tai-khoan-thanh-toan</v>
      </c>
      <c r="AU14" s="30" t="str">
        <f>IFERROR(__xludf.DUMMYFUNCTION("""COMPUTED_VALUE"""),"tra tài khoản ngân hàng")</f>
        <v>tra tài khoản ngân hàng</v>
      </c>
      <c r="AV14" s="34" t="str">
        <f>IFERROR(__xludf.DUMMYFUNCTION("""COMPUTED_VALUE"""),"https://techcombank.com/thong-tin/blog/so-du-tien-gui-la-gi")</f>
        <v>https://techcombank.com/thong-tin/blog/so-du-tien-gui-la-gi</v>
      </c>
      <c r="AW14" s="30" t="str">
        <f>IFERROR(__xludf.DUMMYFUNCTION("""COMPUTED_VALUE"""),"tra số tài khoản ngân hàng")</f>
        <v>tra số tài khoản ngân hàng</v>
      </c>
      <c r="AX14" s="34" t="str">
        <f>IFERROR(__xludf.DUMMYFUNCTION("""COMPUTED_VALUE"""),"https://techcombank.com/thong-tin/blog/so-6868")</f>
        <v>https://techcombank.com/thong-tin/blog/so-6868</v>
      </c>
      <c r="AY14" s="30" t="str">
        <f>IFERROR(__xludf.DUMMYFUNCTION("""COMPUTED_VALUE"""),"tra số tài khoản ngân hàng")</f>
        <v>tra số tài khoản ngân hàng</v>
      </c>
      <c r="AZ14" s="34" t="str">
        <f>IFERROR(__xludf.DUMMYFUNCTION("""COMPUTED_VALUE"""),"https://techcombank.com/thong-tin/blog/y-nghia-so-68")</f>
        <v>https://techcombank.com/thong-tin/blog/y-nghia-so-68</v>
      </c>
      <c r="BA14" s="30" t="str">
        <f>IFERROR(__xludf.DUMMYFUNCTION("""COMPUTED_VALUE"""),"tra số tài khoản ngân hàng")</f>
        <v>tra số tài khoản ngân hàng</v>
      </c>
      <c r="BB14" s="34" t="str">
        <f>IFERROR(__xludf.DUMMYFUNCTION("""COMPUTED_VALUE"""),"https://techcombank.com/thong-tin/blog/cach-chuyen-tien")</f>
        <v>https://techcombank.com/thong-tin/blog/cach-chuyen-tien</v>
      </c>
      <c r="BC14" s="30" t="str">
        <f>IFERROR(__xludf.DUMMYFUNCTION("""COMPUTED_VALUE"""),"tra số tài khoản ngân hàng")</f>
        <v>tra số tài khoản ngân hàng</v>
      </c>
      <c r="BD14" s="34" t="str">
        <f>IFERROR(__xludf.DUMMYFUNCTION("""COMPUTED_VALUE"""),"https://techcombank.com/thong-tin/blog/vip-ngan-hang")</f>
        <v>https://techcombank.com/thong-tin/blog/vip-ngan-hang</v>
      </c>
      <c r="BE14" s="30" t="str">
        <f>IFERROR(__xludf.DUMMYFUNCTION("""COMPUTED_VALUE"""),"tra tài khoản ngân hàng")</f>
        <v>tra tài khoản ngân hàng</v>
      </c>
      <c r="BF14" s="34" t="str">
        <f>IFERROR(__xludf.DUMMYFUNCTION("""COMPUTED_VALUE"""),"https://techcombank.com/thong-tin/blog/cach-chuyen-khoan-bang-dien-thoai")</f>
        <v>https://techcombank.com/thong-tin/blog/cach-chuyen-khoan-bang-dien-thoai</v>
      </c>
      <c r="BG14" s="30" t="str">
        <f>IFERROR(__xludf.DUMMYFUNCTION("""COMPUTED_VALUE"""),"tra số tài khoản ngân hàng")</f>
        <v>tra số tài khoản ngân hàng</v>
      </c>
      <c r="BH14" s="34" t="str">
        <f>IFERROR(__xludf.DUMMYFUNCTION("""COMPUTED_VALUE"""),"https://techcombank.com/thong-tin/blog/nap-tien-vao-tai-khoan-ngan-hang")</f>
        <v>https://techcombank.com/thong-tin/blog/nap-tien-vao-tai-khoan-ngan-hang</v>
      </c>
      <c r="BI14" s="30" t="str">
        <f>IFERROR(__xludf.DUMMYFUNCTION("""COMPUTED_VALUE"""),"tra số tài khoản ngân hàng")</f>
        <v>tra số tài khoản ngân hàng</v>
      </c>
      <c r="BJ14" s="34" t="str">
        <f>IFERROR(__xludf.DUMMYFUNCTION("""COMPUTED_VALUE"""),"https://techcombank.com/thong-tin/blog/1-cmnd-dang-ky-duoc-may-tai-khoan-ngan-hang")</f>
        <v>https://techcombank.com/thong-tin/blog/1-cmnd-dang-ky-duoc-may-tai-khoan-ngan-hang</v>
      </c>
      <c r="BK14" s="30" t="str">
        <f>IFERROR(__xludf.DUMMYFUNCTION("""COMPUTED_VALUE"""),"tra tài khoản ngân hàng")</f>
        <v>tra tài khoản ngân hàng</v>
      </c>
      <c r="BL14" s="34" t="str">
        <f>IFERROR(__xludf.DUMMYFUNCTION("""COMPUTED_VALUE"""),"https://techcombank.com/thong-tin/blog/cach-lay-lai-tien-da-chuyen-khoan-khi-bi-lua")</f>
        <v>https://techcombank.com/thong-tin/blog/cach-lay-lai-tien-da-chuyen-khoan-khi-bi-lua</v>
      </c>
      <c r="BM14" s="30" t="str">
        <f>IFERROR(__xludf.DUMMYFUNCTION("""COMPUTED_VALUE"""),"tra số tài khoản ngân hàng")</f>
        <v>tra số tài khoản ngân hàng</v>
      </c>
      <c r="BN14" s="34" t="str">
        <f>IFERROR(__xludf.DUMMYFUNCTION("""COMPUTED_VALUE"""),"https://techcombank.com/thong-tin/blog/cach-doi-mat-khau-tai-khoan-ngan-hang")</f>
        <v>https://techcombank.com/thong-tin/blog/cach-doi-mat-khau-tai-khoan-ngan-hang</v>
      </c>
      <c r="BO14" s="30" t="str">
        <f>IFERROR(__xludf.DUMMYFUNCTION("""COMPUTED_VALUE"""),"tra tài khoản ngân hàng")</f>
        <v>tra tài khoản ngân hàng</v>
      </c>
      <c r="BP14" s="34" t="str">
        <f>IFERROR(__xludf.DUMMYFUNCTION("""COMPUTED_VALUE"""),"https://techcombank.com/thong-tin/blog/lo-ma-qr-ngan-hang-co-sao-khong")</f>
        <v>https://techcombank.com/thong-tin/blog/lo-ma-qr-ngan-hang-co-sao-khong</v>
      </c>
      <c r="BQ14" s="30" t="str">
        <f>IFERROR(__xludf.DUMMYFUNCTION("""COMPUTED_VALUE"""),"tra số tài khoản ngân hàng")</f>
        <v>tra số tài khoản ngân hàng</v>
      </c>
      <c r="BR14" s="34" t="str">
        <f>IFERROR(__xludf.DUMMYFUNCTION("""COMPUTED_VALUE"""),"https://techcombank.com/thong-tin/blog/mo-tai-khoan-ngan-hang-online-co-an-toan-khong")</f>
        <v>https://techcombank.com/thong-tin/blog/mo-tai-khoan-ngan-hang-online-co-an-toan-khong</v>
      </c>
      <c r="BS14" s="30" t="str">
        <f>IFERROR(__xludf.DUMMYFUNCTION("""COMPUTED_VALUE"""),"tra số tài khoản ngân hàng")</f>
        <v>tra số tài khoản ngân hàng</v>
      </c>
      <c r="BT14" s="34" t="str">
        <f>IFERROR(__xludf.DUMMYFUNCTION("""COMPUTED_VALUE"""),"https://techcombank.com/thong-tin/blog/mo-tai-khoan-ngan-hang-co-mat-phi-khong")</f>
        <v>https://techcombank.com/thong-tin/blog/mo-tai-khoan-ngan-hang-co-mat-phi-khong</v>
      </c>
      <c r="BU14" s="30"/>
      <c r="BV14" s="30"/>
      <c r="BW14" s="30"/>
      <c r="BX14" s="30"/>
      <c r="BY14" s="30"/>
      <c r="BZ14" s="30"/>
      <c r="CA14" s="30"/>
      <c r="CB14" s="30"/>
      <c r="CC14" s="30"/>
      <c r="CD14" s="30"/>
      <c r="CE14" s="30"/>
      <c r="CF14" s="30"/>
      <c r="CG14" s="30"/>
      <c r="CH14" s="30"/>
      <c r="CI14" s="30"/>
      <c r="CJ14" s="30"/>
      <c r="CK14" s="30"/>
      <c r="CL14" s="30"/>
      <c r="CM14" s="30"/>
      <c r="CN14" s="30"/>
      <c r="CO14" s="30"/>
      <c r="CP14" s="30"/>
      <c r="CQ14" s="30"/>
      <c r="CR14" s="30"/>
      <c r="CS14" s="30"/>
      <c r="CT14" s="30"/>
      <c r="CU14" s="30"/>
      <c r="CV14" s="30"/>
      <c r="CW14" s="30"/>
      <c r="CX14" s="30"/>
      <c r="CY14" s="30"/>
      <c r="CZ14" s="30"/>
      <c r="DA14" s="30"/>
      <c r="DB14" s="30"/>
      <c r="DC14" s="30"/>
      <c r="DD14" s="30"/>
      <c r="DE14" s="30"/>
      <c r="DF14" s="30"/>
      <c r="DG14" s="30"/>
      <c r="DH14" s="30"/>
      <c r="DI14" s="30"/>
      <c r="DJ14" s="30"/>
      <c r="DK14" s="30"/>
      <c r="DL14" s="30"/>
      <c r="DM14" s="30"/>
      <c r="DN14" s="30"/>
      <c r="DO14" s="30"/>
      <c r="DP14" s="30"/>
      <c r="DQ14" s="30"/>
      <c r="DR14" s="30"/>
      <c r="DS14" s="30"/>
      <c r="DT14" s="30"/>
      <c r="DU14" s="30"/>
      <c r="DV14" s="30"/>
      <c r="DW14" s="30"/>
      <c r="DX14" s="30"/>
      <c r="DY14" s="30"/>
      <c r="DZ14" s="30"/>
      <c r="EA14" s="30"/>
      <c r="EB14" s="30"/>
      <c r="EC14" s="30"/>
      <c r="ED14" s="30"/>
      <c r="EE14" s="30"/>
      <c r="EF14" s="30"/>
      <c r="EG14" s="30"/>
      <c r="EH14" s="30"/>
      <c r="EI14" s="30"/>
      <c r="EJ14" s="30"/>
      <c r="EK14" s="30"/>
      <c r="EL14" s="30"/>
      <c r="EM14" s="30"/>
      <c r="EN14" s="30"/>
      <c r="EO14" s="30"/>
      <c r="EP14" s="30"/>
      <c r="EQ14" s="30"/>
      <c r="ER14" s="30"/>
      <c r="ES14" s="30"/>
      <c r="ET14" s="30"/>
      <c r="EU14" s="30"/>
      <c r="EV14" s="30"/>
      <c r="EW14" s="30"/>
      <c r="EX14" s="30"/>
      <c r="EY14" s="30"/>
      <c r="EZ14" s="30"/>
      <c r="FA14" s="30"/>
      <c r="FB14" s="30"/>
      <c r="FC14" s="30"/>
      <c r="FD14" s="30"/>
      <c r="FE14" s="30"/>
      <c r="FF14" s="30"/>
      <c r="FG14" s="30"/>
      <c r="FH14" s="30"/>
      <c r="FI14" s="30"/>
      <c r="FJ14" s="30"/>
      <c r="FK14" s="30"/>
      <c r="FL14" s="30"/>
      <c r="FM14" s="30"/>
      <c r="FN14" s="30"/>
      <c r="FO14" s="30"/>
      <c r="FP14" s="30"/>
      <c r="FQ14" s="30"/>
      <c r="FR14" s="30"/>
      <c r="FS14" s="30"/>
      <c r="FT14" s="30"/>
      <c r="FU14" s="30"/>
      <c r="FV14" s="30"/>
      <c r="FW14" s="30"/>
      <c r="FX14" s="30"/>
      <c r="FY14" s="30"/>
      <c r="FZ14" s="30"/>
      <c r="GA14" s="30"/>
      <c r="GB14" s="30"/>
      <c r="GC14" s="30"/>
      <c r="GD14" s="30"/>
      <c r="GE14" s="30"/>
      <c r="GF14" s="30"/>
      <c r="GG14" s="30"/>
      <c r="GH14" s="30"/>
      <c r="GI14" s="30"/>
      <c r="GJ14" s="30"/>
      <c r="GK14" s="30"/>
      <c r="GL14" s="30"/>
      <c r="GM14" s="30"/>
      <c r="GN14" s="30"/>
      <c r="GO14" s="30"/>
      <c r="GP14" s="30"/>
      <c r="GQ14" s="30"/>
      <c r="GR14" s="30"/>
      <c r="GS14" s="30"/>
      <c r="GT14" s="30"/>
      <c r="GU14" s="30"/>
      <c r="GV14" s="30"/>
      <c r="GW14" s="30"/>
      <c r="GX14" s="30"/>
      <c r="GY14" s="30"/>
      <c r="GZ14" s="30"/>
      <c r="HA14" s="30"/>
      <c r="HB14" s="30"/>
      <c r="HC14" s="30"/>
      <c r="HD14" s="30"/>
      <c r="HE14" s="30"/>
      <c r="HF14" s="30"/>
      <c r="HG14" s="30"/>
      <c r="HH14" s="30"/>
      <c r="HI14" s="30"/>
      <c r="HJ14" s="30"/>
      <c r="HK14" s="30"/>
      <c r="HL14" s="30"/>
      <c r="HM14" s="30"/>
      <c r="HN14" s="30"/>
      <c r="HO14" s="30"/>
      <c r="HP14" s="30"/>
      <c r="HQ14" s="30"/>
      <c r="HR14" s="30"/>
      <c r="HS14" s="30"/>
      <c r="HT14" s="30"/>
      <c r="HU14" s="30"/>
      <c r="HV14" s="30"/>
      <c r="HW14" s="30"/>
      <c r="HX14" s="30"/>
      <c r="HY14" s="30"/>
      <c r="HZ14" s="30"/>
      <c r="IA14" s="30"/>
      <c r="IB14" s="30"/>
      <c r="IC14" s="30"/>
      <c r="ID14" s="30"/>
      <c r="IE14" s="30"/>
      <c r="IF14" s="30"/>
      <c r="IG14" s="30"/>
      <c r="IH14" s="30"/>
      <c r="II14" s="30"/>
      <c r="IJ14" s="30"/>
      <c r="IK14" s="30"/>
      <c r="IL14" s="30"/>
      <c r="IM14" s="30"/>
      <c r="IN14" s="30"/>
      <c r="IO14" s="30"/>
      <c r="IP14" s="30"/>
      <c r="IQ14" s="30"/>
      <c r="IR14" s="30"/>
      <c r="IS14" s="30"/>
      <c r="IT14" s="30"/>
      <c r="IU14" s="30"/>
      <c r="IV14" s="30"/>
      <c r="IW14" s="30"/>
      <c r="IX14" s="30"/>
      <c r="IY14" s="30"/>
      <c r="IZ14" s="30"/>
      <c r="JA14" s="30"/>
      <c r="JB14" s="30"/>
      <c r="JC14" s="30"/>
      <c r="JD14" s="30"/>
      <c r="JE14" s="30"/>
      <c r="JF14" s="30"/>
      <c r="JG14" s="30"/>
      <c r="JH14" s="30"/>
      <c r="JI14" s="30"/>
      <c r="JJ14" s="30"/>
      <c r="JK14" s="30"/>
      <c r="JL14" s="30"/>
      <c r="JM14" s="30"/>
      <c r="JN14" s="30"/>
      <c r="JO14" s="30"/>
      <c r="JP14" s="30"/>
      <c r="JQ14" s="30"/>
      <c r="JR14" s="30"/>
      <c r="JS14" s="30"/>
      <c r="JT14" s="30"/>
      <c r="JU14" s="30"/>
      <c r="JV14" s="30"/>
      <c r="JW14" s="30"/>
      <c r="JX14" s="30"/>
      <c r="JY14" s="30"/>
      <c r="JZ14" s="30"/>
      <c r="KA14" s="30"/>
      <c r="KB14" s="30"/>
      <c r="KC14" s="30"/>
      <c r="KD14" s="30"/>
      <c r="KE14" s="30"/>
      <c r="KF14" s="30"/>
      <c r="KG14" s="30"/>
      <c r="KH14" s="30"/>
      <c r="KI14" s="30"/>
      <c r="KJ14" s="30"/>
      <c r="KK14" s="30"/>
      <c r="KL14" s="30"/>
      <c r="KM14" s="30"/>
      <c r="KN14" s="30"/>
      <c r="KO14" s="30"/>
      <c r="KP14" s="30"/>
      <c r="KQ14" s="30"/>
      <c r="KR14" s="30"/>
      <c r="KS14" s="30"/>
      <c r="KT14" s="30"/>
      <c r="KU14" s="30"/>
      <c r="KV14" s="30"/>
      <c r="KW14" s="30"/>
      <c r="KX14" s="30"/>
      <c r="KY14" s="30"/>
      <c r="KZ14" s="30"/>
      <c r="LA14" s="30"/>
      <c r="LB14" s="30"/>
      <c r="LC14" s="30"/>
      <c r="LD14" s="30"/>
      <c r="LE14" s="30"/>
      <c r="LF14" s="30"/>
      <c r="LG14" s="30"/>
      <c r="LH14" s="30"/>
      <c r="LI14" s="30"/>
      <c r="LJ14" s="30"/>
      <c r="LK14" s="30"/>
      <c r="LL14" s="30"/>
      <c r="LM14" s="30"/>
      <c r="LN14" s="30"/>
      <c r="LO14" s="30"/>
      <c r="LP14" s="30"/>
      <c r="LQ14" s="30"/>
      <c r="LR14" s="30"/>
      <c r="LS14" s="30"/>
      <c r="LT14" s="30"/>
      <c r="LU14" s="30"/>
      <c r="LV14" s="30"/>
      <c r="LW14" s="30"/>
      <c r="LX14" s="30"/>
      <c r="LY14" s="30"/>
      <c r="LZ14" s="30"/>
      <c r="MA14" s="30"/>
      <c r="MB14" s="30"/>
      <c r="MC14" s="30"/>
      <c r="MD14" s="30"/>
      <c r="ME14" s="30"/>
      <c r="MF14" s="30"/>
      <c r="MG14" s="30"/>
      <c r="MH14" s="30"/>
      <c r="MI14" s="30"/>
      <c r="MJ14" s="30"/>
      <c r="MK14" s="30"/>
      <c r="ML14" s="30"/>
      <c r="MM14" s="30"/>
      <c r="MN14" s="30"/>
      <c r="MO14" s="30"/>
      <c r="MP14" s="30"/>
      <c r="MQ14" s="30"/>
      <c r="MR14" s="30"/>
      <c r="MS14" s="30"/>
      <c r="MT14" s="30"/>
      <c r="MU14" s="30"/>
      <c r="MV14" s="30"/>
      <c r="MW14" s="30"/>
      <c r="MX14" s="30"/>
      <c r="MY14" s="30"/>
      <c r="MZ14" s="30"/>
      <c r="NA14" s="30"/>
      <c r="NB14" s="30"/>
      <c r="NC14" s="30"/>
      <c r="ND14" s="30"/>
      <c r="NE14" s="30"/>
      <c r="NF14" s="30"/>
      <c r="NG14" s="30"/>
      <c r="NH14" s="30"/>
      <c r="NI14" s="30"/>
      <c r="NJ14" s="30"/>
      <c r="NK14" s="30"/>
      <c r="NL14" s="30"/>
      <c r="NM14" s="30"/>
      <c r="NN14" s="30"/>
      <c r="NO14" s="30"/>
      <c r="NP14" s="30"/>
      <c r="NQ14" s="30"/>
      <c r="NR14" s="30"/>
      <c r="NS14" s="30"/>
      <c r="NT14" s="30"/>
      <c r="NU14" s="30"/>
      <c r="NV14" s="30"/>
      <c r="NW14" s="30"/>
      <c r="NX14" s="30"/>
      <c r="NY14" s="30"/>
      <c r="NZ14" s="30"/>
      <c r="OA14" s="30"/>
      <c r="OB14" s="30"/>
      <c r="OC14" s="30"/>
      <c r="OD14" s="30"/>
      <c r="OE14" s="30"/>
      <c r="OF14" s="30"/>
      <c r="OG14" s="30"/>
      <c r="OH14" s="30"/>
      <c r="OI14" s="30"/>
      <c r="OJ14" s="30"/>
      <c r="OK14" s="30"/>
      <c r="OL14" s="30"/>
      <c r="OM14" s="30"/>
      <c r="ON14" s="30"/>
      <c r="OO14" s="30"/>
      <c r="OP14" s="30"/>
      <c r="OQ14" s="30"/>
      <c r="OR14" s="30"/>
      <c r="OS14" s="30"/>
      <c r="OT14" s="30"/>
      <c r="OU14" s="30"/>
      <c r="OV14" s="30"/>
    </row>
    <row r="15" ht="18.0" customHeight="1">
      <c r="A15" s="29">
        <v>14.0</v>
      </c>
      <c r="B15" s="30" t="s">
        <v>1564</v>
      </c>
      <c r="C15" s="31" t="s">
        <v>3512</v>
      </c>
      <c r="D15" s="30" t="s">
        <v>1597</v>
      </c>
      <c r="E15" s="29">
        <v>30.0</v>
      </c>
      <c r="F15" s="29">
        <f>COUNTIF('Tổng hợp 75 trang đích'!$B$2:$B$3400,$D15)</f>
        <v>30</v>
      </c>
      <c r="G15" s="29">
        <f>COUNTIFS('Tổng hợp 75 trang đích'!$B$2:$B$3400,$D15,'Tổng hợp 75 trang đích'!$K$2:$K$3400,"PHÙ HỢP CAO")</f>
        <v>3</v>
      </c>
      <c r="H15" s="29">
        <f>COUNTIFS('Tổng hợp 75 trang đích'!$B$2:$B$3400,$D15,'Tổng hợp 75 trang đích'!$K$2:$K$3400,"CÓ THỂ ĐI")</f>
        <v>4</v>
      </c>
      <c r="I15" s="29">
        <f>COUNTIFS('Tổng hợp 75 trang đích'!$B$2:$B$3400,$D15,'Tổng hợp 75 trang đích'!$K$2:$K$3400,"CẦN SOÁT")</f>
        <v>23</v>
      </c>
      <c r="J15" s="32" t="s">
        <v>714</v>
      </c>
      <c r="K15" s="32" t="b">
        <v>0</v>
      </c>
      <c r="L15" s="33" t="s">
        <v>52</v>
      </c>
      <c r="M15" s="30" t="str">
        <f>IFERROR(__xludf.DUMMYFUNCTION("IFERROR(TOROW(CHOOSECOLS(SORT(FILTER({'Tổng hợp 75 trang đích'!$J$2:$J$3400,'Tổng hợp 75 trang đích'!$I$2:$I$3400,MATCH('Tổng hợp 75 trang đích'!$K$2:$K$3400,{""PHÙ HỢP CAO"",""CÓ THỂ ĐI"",""CẦN SOÁT""},0)},'Tổng hợp 75 trang đích'!$B$2:$B$3400=$D15),3,TR"&amp;"UE),1,2)),"""")"),"mở tài khoản ngân hàng online")</f>
        <v>mở tài khoản ngân hàng online</v>
      </c>
      <c r="N15" s="34" t="str">
        <f>IFERROR(__xludf.DUMMYFUNCTION("""COMPUTED_VALUE"""),"https://techcombank.com/thong-tin/blog/tai-khoan-ngan-hang-la-gi")</f>
        <v>https://techcombank.com/thong-tin/blog/tai-khoan-ngan-hang-la-gi</v>
      </c>
      <c r="O15" s="30" t="str">
        <f>IFERROR(__xludf.DUMMYFUNCTION("""COMPUTED_VALUE"""),"mở tài khoản ngân hàng online")</f>
        <v>mở tài khoản ngân hàng online</v>
      </c>
      <c r="P15" s="34" t="str">
        <f>IFERROR(__xludf.DUMMYFUNCTION("""COMPUTED_VALUE"""),"https://techcombank.com/thong-tin/blog/mo-tai-khoan-ngan-hang-online-co-an-toan-khong")</f>
        <v>https://techcombank.com/thong-tin/blog/mo-tai-khoan-ngan-hang-online-co-an-toan-khong</v>
      </c>
      <c r="Q15" s="30" t="str">
        <f>IFERROR(__xludf.DUMMYFUNCTION("""COMPUTED_VALUE"""),"cách tạo tài khoản ngân hàng")</f>
        <v>cách tạo tài khoản ngân hàng</v>
      </c>
      <c r="R15" s="34" t="str">
        <f>IFERROR(__xludf.DUMMYFUNCTION("""COMPUTED_VALUE"""),"https://techcombank.com/thong-tin/blog/mo-tai-khoan-ngan-hang-co-mat-phi-khong")</f>
        <v>https://techcombank.com/thong-tin/blog/mo-tai-khoan-ngan-hang-co-mat-phi-khong</v>
      </c>
      <c r="S15" s="30" t="str">
        <f>IFERROR(__xludf.DUMMYFUNCTION("""COMPUTED_VALUE"""),"mở tài khoản ngân hàng online")</f>
        <v>mở tài khoản ngân hàng online</v>
      </c>
      <c r="T15" s="34" t="str">
        <f>IFERROR(__xludf.DUMMYFUNCTION("""COMPUTED_VALUE"""),"https://techcombank.com/thong-tin/blog/nho-nguoi-than-mo-tai-khoan-ngan-hang")</f>
        <v>https://techcombank.com/thong-tin/blog/nho-nguoi-than-mo-tai-khoan-ngan-hang</v>
      </c>
      <c r="U15" s="30" t="str">
        <f>IFERROR(__xludf.DUMMYFUNCTION("""COMPUTED_VALUE"""),"mở tài khoản ngân hàng online")</f>
        <v>mở tài khoản ngân hàng online</v>
      </c>
      <c r="V15" s="34" t="str">
        <f>IFERROR(__xludf.DUMMYFUNCTION("""COMPUTED_VALUE"""),"https://techcombank.com/thong-tin/blog/1-cmnd-dang-ky-duoc-may-tai-khoan-ngan-hang")</f>
        <v>https://techcombank.com/thong-tin/blog/1-cmnd-dang-ky-duoc-may-tai-khoan-ngan-hang</v>
      </c>
      <c r="W15" s="30" t="str">
        <f>IFERROR(__xludf.DUMMYFUNCTION("""COMPUTED_VALUE"""),"mở tài khoản ngân hàng online")</f>
        <v>mở tài khoản ngân hàng online</v>
      </c>
      <c r="X15" s="34" t="str">
        <f>IFERROR(__xludf.DUMMYFUNCTION("""COMPUTED_VALUE"""),"https://techcombank.com/thong-tin/blog/bao-nhieu-tuoi-duoc-mo-tai-khoan-ngan-hang")</f>
        <v>https://techcombank.com/thong-tin/blog/bao-nhieu-tuoi-duoc-mo-tai-khoan-ngan-hang</v>
      </c>
      <c r="Y15" s="30" t="str">
        <f>IFERROR(__xludf.DUMMYFUNCTION("""COMPUTED_VALUE"""),"mở tài khoản ngân hàng online")</f>
        <v>mở tài khoản ngân hàng online</v>
      </c>
      <c r="Z15" s="34" t="str">
        <f>IFERROR(__xludf.DUMMYFUNCTION("""COMPUTED_VALUE"""),"https://techcombank.com/thong-tin/blog/xac-thuc-sinh-trac-hoc-khi-chuyen-tien")</f>
        <v>https://techcombank.com/thong-tin/blog/xac-thuc-sinh-trac-hoc-khi-chuyen-tien</v>
      </c>
      <c r="AA15" s="30" t="str">
        <f>IFERROR(__xludf.DUMMYFUNCTION("""COMPUTED_VALUE"""),"mở tài khoản ngân hàng online")</f>
        <v>mở tài khoản ngân hàng online</v>
      </c>
      <c r="AB15" s="34" t="str">
        <f>IFERROR(__xludf.DUMMYFUNCTION("""COMPUTED_VALUE"""),"https://techcombank.com/thong-tin/blog/mo-tai-khoan-doanh-nghiep")</f>
        <v>https://techcombank.com/thong-tin/blog/mo-tai-khoan-doanh-nghiep</v>
      </c>
      <c r="AC15" s="30" t="str">
        <f>IFERROR(__xludf.DUMMYFUNCTION("""COMPUTED_VALUE"""),"mở tài khoản ngân hàng online")</f>
        <v>mở tài khoản ngân hàng online</v>
      </c>
      <c r="AD15" s="34" t="str">
        <f>IFERROR(__xludf.DUMMYFUNCTION("""COMPUTED_VALUE"""),"https://techcombank.com/thong-tin/blog/dong-tai-khoan-ngan-hang-cong-ty")</f>
        <v>https://techcombank.com/thong-tin/blog/dong-tai-khoan-ngan-hang-cong-ty</v>
      </c>
      <c r="AE15" s="30" t="str">
        <f>IFERROR(__xludf.DUMMYFUNCTION("""COMPUTED_VALUE"""),"mở tài khoản ngân hàng online")</f>
        <v>mở tài khoản ngân hàng online</v>
      </c>
      <c r="AF15" s="34" t="str">
        <f>IFERROR(__xludf.DUMMYFUNCTION("""COMPUTED_VALUE"""),"https://techcombank.com/thong-tin/blog/mo-tai-khoan-ho-kinh-doanh")</f>
        <v>https://techcombank.com/thong-tin/blog/mo-tai-khoan-ho-kinh-doanh</v>
      </c>
      <c r="AG15" s="30" t="str">
        <f>IFERROR(__xludf.DUMMYFUNCTION("""COMPUTED_VALUE"""),"cách tạo tài khoản ngân hàng")</f>
        <v>cách tạo tài khoản ngân hàng</v>
      </c>
      <c r="AH15" s="34" t="str">
        <f>IFERROR(__xludf.DUMMYFUNCTION("""COMPUTED_VALUE"""),"https://techcombank.com/thong-tin/blog/lien-ket-tai-khoan-ngan-hang-voi-etax-mobile")</f>
        <v>https://techcombank.com/thong-tin/blog/lien-ket-tai-khoan-ngan-hang-voi-etax-mobile</v>
      </c>
      <c r="AI15" s="30" t="str">
        <f>IFERROR(__xludf.DUMMYFUNCTION("""COMPUTED_VALUE"""),"cách tạo tài khoản ngân hàng")</f>
        <v>cách tạo tài khoản ngân hàng</v>
      </c>
      <c r="AJ15" s="34" t="str">
        <f>IFERROR(__xludf.DUMMYFUNCTION("""COMPUTED_VALUE"""),"https://techcombank.com/thong-tin/blog/cach-kiem-tra-tai-khoan-ngan-hang-cua-cong-ty")</f>
        <v>https://techcombank.com/thong-tin/blog/cach-kiem-tra-tai-khoan-ngan-hang-cua-cong-ty</v>
      </c>
      <c r="AK15" s="30" t="str">
        <f>IFERROR(__xludf.DUMMYFUNCTION("""COMPUTED_VALUE"""),"cách tạo tài khoản ngân hàng")</f>
        <v>cách tạo tài khoản ngân hàng</v>
      </c>
      <c r="AL15" s="34" t="str">
        <f>IFERROR(__xludf.DUMMYFUNCTION("""COMPUTED_VALUE"""),"https://techcombank.com/thong-tin/blog/cach-lien-ket-epass-voi-tai-khoan-ngan-hang")</f>
        <v>https://techcombank.com/thong-tin/blog/cach-lien-ket-epass-voi-tai-khoan-ngan-hang</v>
      </c>
      <c r="AM15" s="30" t="str">
        <f>IFERROR(__xludf.DUMMYFUNCTION("""COMPUTED_VALUE"""),"mở tài khoản ngân hàng online")</f>
        <v>mở tài khoản ngân hàng online</v>
      </c>
      <c r="AN15" s="34" t="str">
        <f>IFERROR(__xludf.DUMMYFUNCTION("""COMPUTED_VALUE"""),"https://techcombank.com/thong-tin/blog/co-nen-mua-so-tai-khoan-ngan-hang-dep")</f>
        <v>https://techcombank.com/thong-tin/blog/co-nen-mua-so-tai-khoan-ngan-hang-dep</v>
      </c>
      <c r="AO15" s="30" t="str">
        <f>IFERROR(__xludf.DUMMYFUNCTION("""COMPUTED_VALUE"""),"cách tạo tài khoản ngân hàng")</f>
        <v>cách tạo tài khoản ngân hàng</v>
      </c>
      <c r="AP15" s="34" t="str">
        <f>IFERROR(__xludf.DUMMYFUNCTION("""COMPUTED_VALUE"""),"https://techcombank.com/thong-tin/blog/khai-bao-tai-khoan-ngan-hang-voi-co-quan-thue")</f>
        <v>https://techcombank.com/thong-tin/blog/khai-bao-tai-khoan-ngan-hang-voi-co-quan-thue</v>
      </c>
      <c r="AQ15" s="30" t="str">
        <f>IFERROR(__xludf.DUMMYFUNCTION("""COMPUTED_VALUE"""),"mở tài khoản ngân hàng online")</f>
        <v>mở tài khoản ngân hàng online</v>
      </c>
      <c r="AR15" s="34" t="str">
        <f>IFERROR(__xludf.DUMMYFUNCTION("""COMPUTED_VALUE"""),"https://techcombank.com/thong-tin/blog/nen-mo-tai-khoan-ngan-hang-nao-cho-doanh-nghiep")</f>
        <v>https://techcombank.com/thong-tin/blog/nen-mo-tai-khoan-ngan-hang-nao-cho-doanh-nghiep</v>
      </c>
      <c r="AS15" s="30" t="str">
        <f>IFERROR(__xludf.DUMMYFUNCTION("""COMPUTED_VALUE"""),"mở tài khoản ngân hàng online")</f>
        <v>mở tài khoản ngân hàng online</v>
      </c>
      <c r="AT15" s="34" t="str">
        <f>IFERROR(__xludf.DUMMYFUNCTION("""COMPUTED_VALUE"""),"https://techcombank.com/thong-tin/blog/mo-them-tai-khoan-ngan-hang-cho-cong-ty")</f>
        <v>https://techcombank.com/thong-tin/blog/mo-them-tai-khoan-ngan-hang-cho-cong-ty</v>
      </c>
      <c r="AU15" s="30" t="str">
        <f>IFERROR(__xludf.DUMMYFUNCTION("""COMPUTED_VALUE"""),"cách tạo tài khoản ngân hàng")</f>
        <v>cách tạo tài khoản ngân hàng</v>
      </c>
      <c r="AV15" s="34" t="str">
        <f>IFERROR(__xludf.DUMMYFUNCTION("""COMPUTED_VALUE"""),"https://techcombank.com/thong-tin/blog/techcombank-sinh-loi-tu-dong")</f>
        <v>https://techcombank.com/thong-tin/blog/techcombank-sinh-loi-tu-dong</v>
      </c>
      <c r="AW15" s="30" t="str">
        <f>IFERROR(__xludf.DUMMYFUNCTION("""COMPUTED_VALUE"""),"mở tài khoản ngân hàng online")</f>
        <v>mở tài khoản ngân hàng online</v>
      </c>
      <c r="AX15" s="34" t="str">
        <f>IFERROR(__xludf.DUMMYFUNCTION("""COMPUTED_VALUE"""),"https://techcombank.com/thong-tin/blog/nap-tien-vao-tai-khoan-ngan-hang")</f>
        <v>https://techcombank.com/thong-tin/blog/nap-tien-vao-tai-khoan-ngan-hang</v>
      </c>
      <c r="AY15" s="30" t="str">
        <f>IFERROR(__xludf.DUMMYFUNCTION("""COMPUTED_VALUE"""),"cách tạo tài khoản ngân hàng")</f>
        <v>cách tạo tài khoản ngân hàng</v>
      </c>
      <c r="AZ15" s="34" t="str">
        <f>IFERROR(__xludf.DUMMYFUNCTION("""COMPUTED_VALUE"""),"https://techcombank.com/thong-tin/blog/cach-doi-mat-khau-tai-khoan-ngan-hang")</f>
        <v>https://techcombank.com/thong-tin/blog/cach-doi-mat-khau-tai-khoan-ngan-hang</v>
      </c>
      <c r="BA15" s="30" t="str">
        <f>IFERROR(__xludf.DUMMYFUNCTION("""COMPUTED_VALUE"""),"cách tạo tài khoản ngân hàng")</f>
        <v>cách tạo tài khoản ngân hàng</v>
      </c>
      <c r="BB15" s="34" t="str">
        <f>IFERROR(__xludf.DUMMYFUNCTION("""COMPUTED_VALUE"""),"https://techcombank.com/thong-tin/blog/cach-lien-ket-tai-khoan-ngan-hang-voi-vneid")</f>
        <v>https://techcombank.com/thong-tin/blog/cach-lien-ket-tai-khoan-ngan-hang-voi-vneid</v>
      </c>
      <c r="BC15" s="30" t="str">
        <f>IFERROR(__xludf.DUMMYFUNCTION("""COMPUTED_VALUE"""),"cách tạo tài khoản ngân hàng")</f>
        <v>cách tạo tài khoản ngân hàng</v>
      </c>
      <c r="BD15" s="34" t="str">
        <f>IFERROR(__xludf.DUMMYFUNCTION("""COMPUTED_VALUE"""),"https://techcombank.com/thong-tin/blog/lo-so-tai-khoan-ngan-hang-co-sao-khong")</f>
        <v>https://techcombank.com/thong-tin/blog/lo-so-tai-khoan-ngan-hang-co-sao-khong</v>
      </c>
      <c r="BE15" s="30" t="str">
        <f>IFERROR(__xludf.DUMMYFUNCTION("""COMPUTED_VALUE"""),"mở tài khoản ngân hàng online")</f>
        <v>mở tài khoản ngân hàng online</v>
      </c>
      <c r="BF15" s="34" t="str">
        <f>IFERROR(__xludf.DUMMYFUNCTION("""COMPUTED_VALUE"""),"https://techcombank.com/thong-tin/blog/tai-khoan-ngan-hang-chua-toi-da-bao-nhieu-tien")</f>
        <v>https://techcombank.com/thong-tin/blog/tai-khoan-ngan-hang-chua-toi-da-bao-nhieu-tien</v>
      </c>
      <c r="BG15" s="30" t="str">
        <f>IFERROR(__xludf.DUMMYFUNCTION("""COMPUTED_VALUE"""),"mở tài khoản ngân hàng online")</f>
        <v>mở tài khoản ngân hàng online</v>
      </c>
      <c r="BH15" s="34" t="str">
        <f>IFERROR(__xludf.DUMMYFUNCTION("""COMPUTED_VALUE"""),"https://techcombank.com/thong-tin/blog/88-la-gi")</f>
        <v>https://techcombank.com/thong-tin/blog/88-la-gi</v>
      </c>
      <c r="BI15" s="30" t="str">
        <f>IFERROR(__xludf.DUMMYFUNCTION("""COMPUTED_VALUE"""),"mở tài khoản ngân hàng online")</f>
        <v>mở tài khoản ngân hàng online</v>
      </c>
      <c r="BJ15" s="34" t="str">
        <f>IFERROR(__xludf.DUMMYFUNCTION("""COMPUTED_VALUE"""),"https://techcombank.com/thong-tin/blog/dang-ky-nhieu-tai-khoan-ngan-hang-co-sao-khong")</f>
        <v>https://techcombank.com/thong-tin/blog/dang-ky-nhieu-tai-khoan-ngan-hang-co-sao-khong</v>
      </c>
      <c r="BK15" s="30" t="str">
        <f>IFERROR(__xludf.DUMMYFUNCTION("""COMPUTED_VALUE"""),"cách tạo tài khoản ngân hàng")</f>
        <v>cách tạo tài khoản ngân hàng</v>
      </c>
      <c r="BL15" s="34" t="str">
        <f>IFERROR(__xludf.DUMMYFUNCTION("""COMPUTED_VALUE"""),"https://techcombank.com/thong-tin/blog/thue-thu-nhap-ca-nhan")</f>
        <v>https://techcombank.com/thong-tin/blog/thue-thu-nhap-ca-nhan</v>
      </c>
      <c r="BM15" s="30" t="str">
        <f>IFERROR(__xludf.DUMMYFUNCTION("""COMPUTED_VALUE"""),"cách tạo tài khoản ngân hàng")</f>
        <v>cách tạo tài khoản ngân hàng</v>
      </c>
      <c r="BN15" s="34" t="str">
        <f>IFERROR(__xludf.DUMMYFUNCTION("""COMPUTED_VALUE"""),"https://techcombank.com/thong-tin/blog/cach-dong-tien-dien-qua-tai-khoan-ngan-hang")</f>
        <v>https://techcombank.com/thong-tin/blog/cach-dong-tien-dien-qua-tai-khoan-ngan-hang</v>
      </c>
      <c r="BO15" s="30" t="str">
        <f>IFERROR(__xludf.DUMMYFUNCTION("""COMPUTED_VALUE"""),"mở tài khoản ngân hàng online")</f>
        <v>mở tài khoản ngân hàng online</v>
      </c>
      <c r="BP15" s="34" t="str">
        <f>IFERROR(__xludf.DUMMYFUNCTION("""COMPUTED_VALUE"""),"https://techcombank.com/thong-tin/blog/mau-mo-tai-khoan-doanh-nghiep-techcombank")</f>
        <v>https://techcombank.com/thong-tin/blog/mau-mo-tai-khoan-doanh-nghiep-techcombank</v>
      </c>
      <c r="BQ15" s="30" t="str">
        <f>IFERROR(__xludf.DUMMYFUNCTION("""COMPUTED_VALUE"""),"mở tài khoản ngân hàng online")</f>
        <v>mở tài khoản ngân hàng online</v>
      </c>
      <c r="BR15" s="34" t="str">
        <f>IFERROR(__xludf.DUMMYFUNCTION("""COMPUTED_VALUE"""),"https://techcombank.com/thong-tin/blog/mo-tai-khoan-ngan-hang-duoi-18-tuoi")</f>
        <v>https://techcombank.com/thong-tin/blog/mo-tai-khoan-ngan-hang-duoi-18-tuoi</v>
      </c>
      <c r="BS15" s="30" t="str">
        <f>IFERROR(__xludf.DUMMYFUNCTION("""COMPUTED_VALUE"""),"cách tạo tài khoản ngân hàng")</f>
        <v>cách tạo tài khoản ngân hàng</v>
      </c>
      <c r="BT15" s="34" t="str">
        <f>IFERROR(__xludf.DUMMYFUNCTION("""COMPUTED_VALUE"""),"https://techcombank.com/thong-tin/blog/mat-so-dien-thoai-dang-ky-tai-khoan-ngan-hang")</f>
        <v>https://techcombank.com/thong-tin/blog/mat-so-dien-thoai-dang-ky-tai-khoan-ngan-hang</v>
      </c>
      <c r="BU15" s="30"/>
      <c r="BV15" s="30"/>
      <c r="BW15" s="30"/>
      <c r="BX15" s="30"/>
      <c r="BY15" s="30"/>
      <c r="BZ15" s="30"/>
      <c r="CA15" s="30"/>
      <c r="CB15" s="30"/>
      <c r="CC15" s="30"/>
      <c r="CD15" s="30"/>
      <c r="CE15" s="30"/>
      <c r="CF15" s="30"/>
      <c r="CG15" s="30"/>
      <c r="CH15" s="30"/>
      <c r="CI15" s="30"/>
      <c r="CJ15" s="30"/>
      <c r="CK15" s="30"/>
      <c r="CL15" s="30"/>
      <c r="CM15" s="30"/>
      <c r="CN15" s="30"/>
      <c r="CO15" s="30"/>
      <c r="CP15" s="30"/>
      <c r="CQ15" s="30"/>
      <c r="CR15" s="30"/>
      <c r="CS15" s="30"/>
      <c r="CT15" s="30"/>
      <c r="CU15" s="30"/>
      <c r="CV15" s="30"/>
      <c r="CW15" s="30"/>
      <c r="CX15" s="30"/>
      <c r="CY15" s="30"/>
      <c r="CZ15" s="30"/>
      <c r="DA15" s="30"/>
      <c r="DB15" s="30"/>
      <c r="DC15" s="30"/>
      <c r="DD15" s="30"/>
      <c r="DE15" s="30"/>
      <c r="DF15" s="30"/>
      <c r="DG15" s="30"/>
      <c r="DH15" s="30"/>
      <c r="DI15" s="30"/>
      <c r="DJ15" s="30"/>
      <c r="DK15" s="30"/>
      <c r="DL15" s="30"/>
      <c r="DM15" s="30"/>
      <c r="DN15" s="30"/>
      <c r="DO15" s="30"/>
      <c r="DP15" s="30"/>
      <c r="DQ15" s="30"/>
      <c r="DR15" s="30"/>
      <c r="DS15" s="30"/>
      <c r="DT15" s="30"/>
      <c r="DU15" s="30"/>
      <c r="DV15" s="30"/>
      <c r="DW15" s="30"/>
      <c r="DX15" s="30"/>
      <c r="DY15" s="30"/>
      <c r="DZ15" s="30"/>
      <c r="EA15" s="30"/>
      <c r="EB15" s="30"/>
      <c r="EC15" s="30"/>
      <c r="ED15" s="30"/>
      <c r="EE15" s="30"/>
      <c r="EF15" s="30"/>
      <c r="EG15" s="30"/>
      <c r="EH15" s="30"/>
      <c r="EI15" s="30"/>
      <c r="EJ15" s="30"/>
      <c r="EK15" s="30"/>
      <c r="EL15" s="30"/>
      <c r="EM15" s="30"/>
      <c r="EN15" s="30"/>
      <c r="EO15" s="30"/>
      <c r="EP15" s="30"/>
      <c r="EQ15" s="30"/>
      <c r="ER15" s="30"/>
      <c r="ES15" s="30"/>
      <c r="ET15" s="30"/>
      <c r="EU15" s="30"/>
      <c r="EV15" s="30"/>
      <c r="EW15" s="30"/>
      <c r="EX15" s="30"/>
      <c r="EY15" s="30"/>
      <c r="EZ15" s="30"/>
      <c r="FA15" s="30"/>
      <c r="FB15" s="30"/>
      <c r="FC15" s="30"/>
      <c r="FD15" s="30"/>
      <c r="FE15" s="30"/>
      <c r="FF15" s="30"/>
      <c r="FG15" s="30"/>
      <c r="FH15" s="30"/>
      <c r="FI15" s="30"/>
      <c r="FJ15" s="30"/>
      <c r="FK15" s="30"/>
      <c r="FL15" s="30"/>
      <c r="FM15" s="30"/>
      <c r="FN15" s="30"/>
      <c r="FO15" s="30"/>
      <c r="FP15" s="30"/>
      <c r="FQ15" s="30"/>
      <c r="FR15" s="30"/>
      <c r="FS15" s="30"/>
      <c r="FT15" s="30"/>
      <c r="FU15" s="30"/>
      <c r="FV15" s="30"/>
      <c r="FW15" s="30"/>
      <c r="FX15" s="30"/>
      <c r="FY15" s="30"/>
      <c r="FZ15" s="30"/>
      <c r="GA15" s="30"/>
      <c r="GB15" s="30"/>
      <c r="GC15" s="30"/>
      <c r="GD15" s="30"/>
      <c r="GE15" s="30"/>
      <c r="GF15" s="30"/>
      <c r="GG15" s="30"/>
      <c r="GH15" s="30"/>
      <c r="GI15" s="30"/>
      <c r="GJ15" s="30"/>
      <c r="GK15" s="30"/>
      <c r="GL15" s="30"/>
      <c r="GM15" s="30"/>
      <c r="GN15" s="30"/>
      <c r="GO15" s="30"/>
      <c r="GP15" s="30"/>
      <c r="GQ15" s="30"/>
      <c r="GR15" s="30"/>
      <c r="GS15" s="30"/>
      <c r="GT15" s="30"/>
      <c r="GU15" s="30"/>
      <c r="GV15" s="30"/>
      <c r="GW15" s="30"/>
      <c r="GX15" s="30"/>
      <c r="GY15" s="30"/>
      <c r="GZ15" s="30"/>
      <c r="HA15" s="30"/>
      <c r="HB15" s="30"/>
      <c r="HC15" s="30"/>
      <c r="HD15" s="30"/>
      <c r="HE15" s="30"/>
      <c r="HF15" s="30"/>
      <c r="HG15" s="30"/>
      <c r="HH15" s="30"/>
      <c r="HI15" s="30"/>
      <c r="HJ15" s="30"/>
      <c r="HK15" s="30"/>
      <c r="HL15" s="30"/>
      <c r="HM15" s="30"/>
      <c r="HN15" s="30"/>
      <c r="HO15" s="30"/>
      <c r="HP15" s="30"/>
      <c r="HQ15" s="30"/>
      <c r="HR15" s="30"/>
      <c r="HS15" s="30"/>
      <c r="HT15" s="30"/>
      <c r="HU15" s="30"/>
      <c r="HV15" s="30"/>
      <c r="HW15" s="30"/>
      <c r="HX15" s="30"/>
      <c r="HY15" s="30"/>
      <c r="HZ15" s="30"/>
      <c r="IA15" s="30"/>
      <c r="IB15" s="30"/>
      <c r="IC15" s="30"/>
      <c r="ID15" s="30"/>
      <c r="IE15" s="30"/>
      <c r="IF15" s="30"/>
      <c r="IG15" s="30"/>
      <c r="IH15" s="30"/>
      <c r="II15" s="30"/>
      <c r="IJ15" s="30"/>
      <c r="IK15" s="30"/>
      <c r="IL15" s="30"/>
      <c r="IM15" s="30"/>
      <c r="IN15" s="30"/>
      <c r="IO15" s="30"/>
      <c r="IP15" s="30"/>
      <c r="IQ15" s="30"/>
      <c r="IR15" s="30"/>
      <c r="IS15" s="30"/>
      <c r="IT15" s="30"/>
      <c r="IU15" s="30"/>
      <c r="IV15" s="30"/>
      <c r="IW15" s="30"/>
      <c r="IX15" s="30"/>
      <c r="IY15" s="30"/>
      <c r="IZ15" s="30"/>
      <c r="JA15" s="30"/>
      <c r="JB15" s="30"/>
      <c r="JC15" s="30"/>
      <c r="JD15" s="30"/>
      <c r="JE15" s="30"/>
      <c r="JF15" s="30"/>
      <c r="JG15" s="30"/>
      <c r="JH15" s="30"/>
      <c r="JI15" s="30"/>
      <c r="JJ15" s="30"/>
      <c r="JK15" s="30"/>
      <c r="JL15" s="30"/>
      <c r="JM15" s="30"/>
      <c r="JN15" s="30"/>
      <c r="JO15" s="30"/>
      <c r="JP15" s="30"/>
      <c r="JQ15" s="30"/>
      <c r="JR15" s="30"/>
      <c r="JS15" s="30"/>
      <c r="JT15" s="30"/>
      <c r="JU15" s="30"/>
      <c r="JV15" s="30"/>
      <c r="JW15" s="30"/>
      <c r="JX15" s="30"/>
      <c r="JY15" s="30"/>
      <c r="JZ15" s="30"/>
      <c r="KA15" s="30"/>
      <c r="KB15" s="30"/>
      <c r="KC15" s="30"/>
      <c r="KD15" s="30"/>
      <c r="KE15" s="30"/>
      <c r="KF15" s="30"/>
      <c r="KG15" s="30"/>
      <c r="KH15" s="30"/>
      <c r="KI15" s="30"/>
      <c r="KJ15" s="30"/>
      <c r="KK15" s="30"/>
      <c r="KL15" s="30"/>
      <c r="KM15" s="30"/>
      <c r="KN15" s="30"/>
      <c r="KO15" s="30"/>
      <c r="KP15" s="30"/>
      <c r="KQ15" s="30"/>
      <c r="KR15" s="30"/>
      <c r="KS15" s="30"/>
      <c r="KT15" s="30"/>
      <c r="KU15" s="30"/>
      <c r="KV15" s="30"/>
      <c r="KW15" s="30"/>
      <c r="KX15" s="30"/>
      <c r="KY15" s="30"/>
      <c r="KZ15" s="30"/>
      <c r="LA15" s="30"/>
      <c r="LB15" s="30"/>
      <c r="LC15" s="30"/>
      <c r="LD15" s="30"/>
      <c r="LE15" s="30"/>
      <c r="LF15" s="30"/>
      <c r="LG15" s="30"/>
      <c r="LH15" s="30"/>
      <c r="LI15" s="30"/>
      <c r="LJ15" s="30"/>
      <c r="LK15" s="30"/>
      <c r="LL15" s="30"/>
      <c r="LM15" s="30"/>
      <c r="LN15" s="30"/>
      <c r="LO15" s="30"/>
      <c r="LP15" s="30"/>
      <c r="LQ15" s="30"/>
      <c r="LR15" s="30"/>
      <c r="LS15" s="30"/>
      <c r="LT15" s="30"/>
      <c r="LU15" s="30"/>
      <c r="LV15" s="30"/>
      <c r="LW15" s="30"/>
      <c r="LX15" s="30"/>
      <c r="LY15" s="30"/>
      <c r="LZ15" s="30"/>
      <c r="MA15" s="30"/>
      <c r="MB15" s="30"/>
      <c r="MC15" s="30"/>
      <c r="MD15" s="30"/>
      <c r="ME15" s="30"/>
      <c r="MF15" s="30"/>
      <c r="MG15" s="30"/>
      <c r="MH15" s="30"/>
      <c r="MI15" s="30"/>
      <c r="MJ15" s="30"/>
      <c r="MK15" s="30"/>
      <c r="ML15" s="30"/>
      <c r="MM15" s="30"/>
      <c r="MN15" s="30"/>
      <c r="MO15" s="30"/>
      <c r="MP15" s="30"/>
      <c r="MQ15" s="30"/>
      <c r="MR15" s="30"/>
      <c r="MS15" s="30"/>
      <c r="MT15" s="30"/>
      <c r="MU15" s="30"/>
      <c r="MV15" s="30"/>
      <c r="MW15" s="30"/>
      <c r="MX15" s="30"/>
      <c r="MY15" s="30"/>
      <c r="MZ15" s="30"/>
      <c r="NA15" s="30"/>
      <c r="NB15" s="30"/>
      <c r="NC15" s="30"/>
      <c r="ND15" s="30"/>
      <c r="NE15" s="30"/>
      <c r="NF15" s="30"/>
      <c r="NG15" s="30"/>
      <c r="NH15" s="30"/>
      <c r="NI15" s="30"/>
      <c r="NJ15" s="30"/>
      <c r="NK15" s="30"/>
      <c r="NL15" s="30"/>
      <c r="NM15" s="30"/>
      <c r="NN15" s="30"/>
      <c r="NO15" s="30"/>
      <c r="NP15" s="30"/>
      <c r="NQ15" s="30"/>
      <c r="NR15" s="30"/>
      <c r="NS15" s="30"/>
      <c r="NT15" s="30"/>
      <c r="NU15" s="30"/>
      <c r="NV15" s="30"/>
      <c r="NW15" s="30"/>
      <c r="NX15" s="30"/>
      <c r="NY15" s="30"/>
      <c r="NZ15" s="30"/>
      <c r="OA15" s="30"/>
      <c r="OB15" s="30"/>
      <c r="OC15" s="30"/>
      <c r="OD15" s="30"/>
      <c r="OE15" s="30"/>
      <c r="OF15" s="30"/>
      <c r="OG15" s="30"/>
      <c r="OH15" s="30"/>
      <c r="OI15" s="30"/>
      <c r="OJ15" s="30"/>
      <c r="OK15" s="30"/>
      <c r="OL15" s="30"/>
      <c r="OM15" s="30"/>
      <c r="ON15" s="30"/>
      <c r="OO15" s="30"/>
      <c r="OP15" s="30"/>
      <c r="OQ15" s="30"/>
      <c r="OR15" s="30"/>
      <c r="OS15" s="30"/>
      <c r="OT15" s="30"/>
      <c r="OU15" s="30"/>
      <c r="OV15" s="30"/>
    </row>
    <row r="16" ht="18.0" customHeight="1">
      <c r="A16" s="29">
        <v>15.0</v>
      </c>
      <c r="B16" s="30" t="s">
        <v>1564</v>
      </c>
      <c r="C16" s="31" t="s">
        <v>1674</v>
      </c>
      <c r="D16" s="30" t="s">
        <v>1663</v>
      </c>
      <c r="E16" s="29">
        <v>30.0</v>
      </c>
      <c r="F16" s="29">
        <f>COUNTIF('Tổng hợp 75 trang đích'!$B$2:$B$3400,$D16)</f>
        <v>30</v>
      </c>
      <c r="G16" s="29">
        <f>COUNTIFS('Tổng hợp 75 trang đích'!$B$2:$B$3400,$D16,'Tổng hợp 75 trang đích'!$K$2:$K$3400,"PHÙ HỢP CAO")</f>
        <v>2</v>
      </c>
      <c r="H16" s="29">
        <f>COUNTIFS('Tổng hợp 75 trang đích'!$B$2:$B$3400,$D16,'Tổng hợp 75 trang đích'!$K$2:$K$3400,"CÓ THỂ ĐI")</f>
        <v>6</v>
      </c>
      <c r="I16" s="29">
        <f>COUNTIFS('Tổng hợp 75 trang đích'!$B$2:$B$3400,$D16,'Tổng hợp 75 trang đích'!$K$2:$K$3400,"CẦN SOÁT")</f>
        <v>22</v>
      </c>
      <c r="J16" s="32" t="s">
        <v>714</v>
      </c>
      <c r="K16" s="32" t="b">
        <v>0</v>
      </c>
      <c r="L16" s="33" t="s">
        <v>52</v>
      </c>
      <c r="M16" s="30" t="str">
        <f>IFERROR(__xludf.DUMMYFUNCTION("IFERROR(TOROW(CHOOSECOLS(SORT(FILTER({'Tổng hợp 75 trang đích'!$J$2:$J$3400,'Tổng hợp 75 trang đích'!$I$2:$I$3400,MATCH('Tổng hợp 75 trang đích'!$K$2:$K$3400,{""PHÙ HỢP CAO"",""CÓ THỂ ĐI"",""CẦN SOÁT""},0)},'Tổng hợp 75 trang đích'!$B$2:$B$3400=$D16),3,TR"&amp;"UE),1,2)),"""")"),"chọn ngân hàng uy tín")</f>
        <v>chọn ngân hàng uy tín</v>
      </c>
      <c r="N16" s="34" t="str">
        <f>IFERROR(__xludf.DUMMYFUNCTION("""COMPUTED_VALUE"""),"https://techcombank.com/thong-tin/blog/app-ngan-hang-uy-tin")</f>
        <v>https://techcombank.com/thong-tin/blog/app-ngan-hang-uy-tin</v>
      </c>
      <c r="O16" s="30" t="str">
        <f>IFERROR(__xludf.DUMMYFUNCTION("""COMPUTED_VALUE"""),"chọn ngân hàng uy tín")</f>
        <v>chọn ngân hàng uy tín</v>
      </c>
      <c r="P16" s="34" t="str">
        <f>IFERROR(__xludf.DUMMYFUNCTION("""COMPUTED_VALUE"""),"https://techcombank.com/thong-tin/blog/gui-tien-ngan-hang-co-an-toan-khong")</f>
        <v>https://techcombank.com/thong-tin/blog/gui-tien-ngan-hang-co-an-toan-khong</v>
      </c>
      <c r="Q16" s="30" t="str">
        <f>IFERROR(__xludf.DUMMYFUNCTION("""COMPUTED_VALUE"""),"ngân hàng uy tín")</f>
        <v>ngân hàng uy tín</v>
      </c>
      <c r="R16" s="34" t="str">
        <f>IFERROR(__xludf.DUMMYFUNCTION("""COMPUTED_VALUE"""),"https://techcombank.com/thong-tin/blog/nen-mo-tai-khoan-ngan-hang-nao-cho-doanh-nghiep")</f>
        <v>https://techcombank.com/thong-tin/blog/nen-mo-tai-khoan-ngan-hang-nao-cho-doanh-nghiep</v>
      </c>
      <c r="S16" s="30" t="str">
        <f>IFERROR(__xludf.DUMMYFUNCTION("""COMPUTED_VALUE"""),"ngân hàng uy tín")</f>
        <v>ngân hàng uy tín</v>
      </c>
      <c r="T16" s="34" t="str">
        <f>IFERROR(__xludf.DUMMYFUNCTION("""COMPUTED_VALUE"""),"https://techcombank.com/thong-tin/blog/kinh-nghiem-gui-tiet-kiem-online")</f>
        <v>https://techcombank.com/thong-tin/blog/kinh-nghiem-gui-tiet-kiem-online</v>
      </c>
      <c r="U16" s="30" t="str">
        <f>IFERROR(__xludf.DUMMYFUNCTION("""COMPUTED_VALUE"""),"ngân hàng uy tín")</f>
        <v>ngân hàng uy tín</v>
      </c>
      <c r="V16" s="34" t="str">
        <f>IFERROR(__xludf.DUMMYFUNCTION("""COMPUTED_VALUE"""),"https://techcombank.com/thong-tin/blog/gia-tri-thuong-hieu")</f>
        <v>https://techcombank.com/thong-tin/blog/gia-tri-thuong-hieu</v>
      </c>
      <c r="W16" s="30" t="str">
        <f>IFERROR(__xludf.DUMMYFUNCTION("""COMPUTED_VALUE"""),"chọn ngân hàng uy tín")</f>
        <v>chọn ngân hàng uy tín</v>
      </c>
      <c r="X16" s="34" t="str">
        <f>IFERROR(__xludf.DUMMYFUNCTION("""COMPUTED_VALUE"""),"https://techcombank.com/thong-tin/blog/rui-ro-khi-gui-tiet-kiem-ngan-hang")</f>
        <v>https://techcombank.com/thong-tin/blog/rui-ro-khi-gui-tiet-kiem-ngan-hang</v>
      </c>
      <c r="Y16" s="30" t="str">
        <f>IFERROR(__xludf.DUMMYFUNCTION("""COMPUTED_VALUE"""),"chọn ngân hàng uy tín")</f>
        <v>chọn ngân hàng uy tín</v>
      </c>
      <c r="Z16" s="34" t="str">
        <f>IFERROR(__xludf.DUMMYFUNCTION("""COMPUTED_VALUE"""),"https://techcombank.com/thong-tin/blog/tin-chap-doanh-nghiep")</f>
        <v>https://techcombank.com/thong-tin/blog/tin-chap-doanh-nghiep</v>
      </c>
      <c r="AA16" s="30" t="str">
        <f>IFERROR(__xludf.DUMMYFUNCTION("""COMPUTED_VALUE"""),"ngân hàng uy tín")</f>
        <v>ngân hàng uy tín</v>
      </c>
      <c r="AB16" s="34" t="str">
        <f>IFERROR(__xludf.DUMMYFUNCTION("""COMPUTED_VALUE"""),"https://techcombank.com/thong-tin/blog/co-nen-gui-tiet-kiem-ngan-hang")</f>
        <v>https://techcombank.com/thong-tin/blog/co-nen-gui-tiet-kiem-ngan-hang</v>
      </c>
      <c r="AC16" s="30" t="str">
        <f>IFERROR(__xludf.DUMMYFUNCTION("""COMPUTED_VALUE"""),"ngân hàng uy tín")</f>
        <v>ngân hàng uy tín</v>
      </c>
      <c r="AD16" s="34" t="str">
        <f>IFERROR(__xludf.DUMMYFUNCTION("""COMPUTED_VALUE"""),"https://techcombank.com/thong-tin/blog/dieu-kien-vay-von-ngan-hang")</f>
        <v>https://techcombank.com/thong-tin/blog/dieu-kien-vay-von-ngan-hang</v>
      </c>
      <c r="AE16" s="30" t="str">
        <f>IFERROR(__xludf.DUMMYFUNCTION("""COMPUTED_VALUE"""),"ngân hàng uy tín")</f>
        <v>ngân hàng uy tín</v>
      </c>
      <c r="AF16" s="34" t="str">
        <f>IFERROR(__xludf.DUMMYFUNCTION("""COMPUTED_VALUE"""),"https://techcombank.com/thong-tin/blog/nen-vay-tin-chap-o-dau")</f>
        <v>https://techcombank.com/thong-tin/blog/nen-vay-tin-chap-o-dau</v>
      </c>
      <c r="AG16" s="30" t="str">
        <f>IFERROR(__xludf.DUMMYFUNCTION("""COMPUTED_VALUE"""),"ngân hàng uy tín")</f>
        <v>ngân hàng uy tín</v>
      </c>
      <c r="AH16" s="34" t="str">
        <f>IFERROR(__xludf.DUMMYFUNCTION("""COMPUTED_VALUE"""),"https://techcombank.com/thong-tin/blog/nen-vay-the-chap-ngan-hang-nao")</f>
        <v>https://techcombank.com/thong-tin/blog/nen-vay-the-chap-ngan-hang-nao</v>
      </c>
      <c r="AI16" s="30" t="str">
        <f>IFERROR(__xludf.DUMMYFUNCTION("""COMPUTED_VALUE"""),"ngân hàng uy tín")</f>
        <v>ngân hàng uy tín</v>
      </c>
      <c r="AJ16" s="34" t="str">
        <f>IFERROR(__xludf.DUMMYFUNCTION("""COMPUTED_VALUE"""),"https://techcombank.com/thong-tin/blog/vay-mua-xe-tra-gop-ngan-hang-nao-tot-nhat")</f>
        <v>https://techcombank.com/thong-tin/blog/vay-mua-xe-tra-gop-ngan-hang-nao-tot-nhat</v>
      </c>
      <c r="AK16" s="30" t="str">
        <f>IFERROR(__xludf.DUMMYFUNCTION("""COMPUTED_VALUE"""),"chọn ngân hàng uy tín")</f>
        <v>chọn ngân hàng uy tín</v>
      </c>
      <c r="AL16" s="34" t="str">
        <f>IFERROR(__xludf.DUMMYFUNCTION("""COMPUTED_VALUE"""),"https://techcombank.com/thong-tin/blog/lam-the-visa-o-dau")</f>
        <v>https://techcombank.com/thong-tin/blog/lam-the-visa-o-dau</v>
      </c>
      <c r="AM16" s="30" t="str">
        <f>IFERROR(__xludf.DUMMYFUNCTION("""COMPUTED_VALUE"""),"chọn ngân hàng uy tín")</f>
        <v>chọn ngân hàng uy tín</v>
      </c>
      <c r="AN16" s="34" t="str">
        <f>IFERROR(__xludf.DUMMYFUNCTION("""COMPUTED_VALUE"""),"https://techcombank.com/thong-tin/blog/lai-suat-tiet-kiem")</f>
        <v>https://techcombank.com/thong-tin/blog/lai-suat-tiet-kiem</v>
      </c>
      <c r="AO16" s="30" t="str">
        <f>IFERROR(__xludf.DUMMYFUNCTION("""COMPUTED_VALUE"""),"ngân hàng uy tín")</f>
        <v>ngân hàng uy tín</v>
      </c>
      <c r="AP16" s="34" t="str">
        <f>IFERROR(__xludf.DUMMYFUNCTION("""COMPUTED_VALUE"""),"https://techcombank.com/thong-tin/blog/uu-dai-mo-the-tin-dung")</f>
        <v>https://techcombank.com/thong-tin/blog/uu-dai-mo-the-tin-dung</v>
      </c>
      <c r="AQ16" s="30" t="str">
        <f>IFERROR(__xludf.DUMMYFUNCTION("""COMPUTED_VALUE"""),"ngân hàng uy tín")</f>
        <v>ngân hàng uy tín</v>
      </c>
      <c r="AR16" s="34" t="str">
        <f>IFERROR(__xludf.DUMMYFUNCTION("""COMPUTED_VALUE"""),"https://techcombank.com/thong-tin/blog/app-ngan-hang")</f>
        <v>https://techcombank.com/thong-tin/blog/app-ngan-hang</v>
      </c>
      <c r="AS16" s="30" t="str">
        <f>IFERROR(__xludf.DUMMYFUNCTION("""COMPUTED_VALUE"""),"chọn ngân hàng uy tín")</f>
        <v>chọn ngân hàng uy tín</v>
      </c>
      <c r="AT16" s="34" t="str">
        <f>IFERROR(__xludf.DUMMYFUNCTION("""COMPUTED_VALUE"""),"https://techcombank.com/thong-tin/blog/cach-tinh-lai-suat-tien-gui-tiet-kiem")</f>
        <v>https://techcombank.com/thong-tin/blog/cach-tinh-lai-suat-tien-gui-tiet-kiem</v>
      </c>
      <c r="AU16" s="30" t="str">
        <f>IFERROR(__xludf.DUMMYFUNCTION("""COMPUTED_VALUE"""),"ngân hàng uy tín")</f>
        <v>ngân hàng uy tín</v>
      </c>
      <c r="AV16" s="34" t="str">
        <f>IFERROR(__xludf.DUMMYFUNCTION("""COMPUTED_VALUE"""),"https://techcombank.com/thong-tin/blog/vay-sinh-vien")</f>
        <v>https://techcombank.com/thong-tin/blog/vay-sinh-vien</v>
      </c>
      <c r="AW16" s="30" t="str">
        <f>IFERROR(__xludf.DUMMYFUNCTION("""COMPUTED_VALUE"""),"ngân hàng uy tín")</f>
        <v>ngân hàng uy tín</v>
      </c>
      <c r="AX16" s="34" t="str">
        <f>IFERROR(__xludf.DUMMYFUNCTION("""COMPUTED_VALUE"""),"https://techcombank.com/thong-tin/blog/lai-suat-vay-tieu-dung")</f>
        <v>https://techcombank.com/thong-tin/blog/lai-suat-vay-tieu-dung</v>
      </c>
      <c r="AY16" s="30" t="str">
        <f>IFERROR(__xludf.DUMMYFUNCTION("""COMPUTED_VALUE"""),"ngân hàng uy tín")</f>
        <v>ngân hàng uy tín</v>
      </c>
      <c r="AZ16" s="34" t="str">
        <f>IFERROR(__xludf.DUMMYFUNCTION("""COMPUTED_VALUE"""),"https://techcombank.com/thong-tin/blog/hoc-sinh-sinh-vien-nen-lam-the-ngan-hang-nao")</f>
        <v>https://techcombank.com/thong-tin/blog/hoc-sinh-sinh-vien-nen-lam-the-ngan-hang-nao</v>
      </c>
      <c r="BA16" s="30" t="str">
        <f>IFERROR(__xludf.DUMMYFUNCTION("""COMPUTED_VALUE"""),"ngân hàng uy tín")</f>
        <v>ngân hàng uy tín</v>
      </c>
      <c r="BB16" s="34" t="str">
        <f>IFERROR(__xludf.DUMMYFUNCTION("""COMPUTED_VALUE"""),"https://techcombank.com/thong-tin/blog/gui-tiet-kiem-ngoai-te")</f>
        <v>https://techcombank.com/thong-tin/blog/gui-tiet-kiem-ngoai-te</v>
      </c>
      <c r="BC16" s="30" t="str">
        <f>IFERROR(__xludf.DUMMYFUNCTION("""COMPUTED_VALUE"""),"ngân hàng uy tín")</f>
        <v>ngân hàng uy tín</v>
      </c>
      <c r="BD16" s="34" t="str">
        <f>IFERROR(__xludf.DUMMYFUNCTION("""COMPUTED_VALUE"""),"https://techcombank.com/thong-tin/blog/the-tin-dung-mien-lai-55-ngay")</f>
        <v>https://techcombank.com/thong-tin/blog/the-tin-dung-mien-lai-55-ngay</v>
      </c>
      <c r="BE16" s="30" t="str">
        <f>IFERROR(__xludf.DUMMYFUNCTION("""COMPUTED_VALUE"""),"ngân hàng uy tín")</f>
        <v>ngân hàng uy tín</v>
      </c>
      <c r="BF16" s="34" t="str">
        <f>IFERROR(__xludf.DUMMYFUNCTION("""COMPUTED_VALUE"""),"https://techcombank.com/thong-tin/blog/lai-suat-vay-ngan-hang")</f>
        <v>https://techcombank.com/thong-tin/blog/lai-suat-vay-ngan-hang</v>
      </c>
      <c r="BG16" s="30" t="str">
        <f>IFERROR(__xludf.DUMMYFUNCTION("""COMPUTED_VALUE"""),"chọn ngân hàng uy tín")</f>
        <v>chọn ngân hàng uy tín</v>
      </c>
      <c r="BH16" s="34" t="str">
        <f>IFERROR(__xludf.DUMMYFUNCTION("""COMPUTED_VALUE"""),"https://techcombank.com/thong-tin/blog/mat-the-tin-dung-co-lam-lai-duoc-khong")</f>
        <v>https://techcombank.com/thong-tin/blog/mat-the-tin-dung-co-lam-lai-duoc-khong</v>
      </c>
      <c r="BI16" s="30" t="str">
        <f>IFERROR(__xludf.DUMMYFUNCTION("""COMPUTED_VALUE"""),"chọn ngân hàng uy tín")</f>
        <v>chọn ngân hàng uy tín</v>
      </c>
      <c r="BJ16" s="34" t="str">
        <f>IFERROR(__xludf.DUMMYFUNCTION("""COMPUTED_VALUE"""),"https://techcombank.com/thong-tin/blog/lai-suat-chung-chi-tien-gui-cac-ngan-hang")</f>
        <v>https://techcombank.com/thong-tin/blog/lai-suat-chung-chi-tien-gui-cac-ngan-hang</v>
      </c>
      <c r="BK16" s="30" t="str">
        <f>IFERROR(__xludf.DUMMYFUNCTION("""COMPUTED_VALUE"""),"chọn ngân hàng uy tín")</f>
        <v>chọn ngân hàng uy tín</v>
      </c>
      <c r="BL16" s="34" t="str">
        <f>IFERROR(__xludf.DUMMYFUNCTION("""COMPUTED_VALUE"""),"https://techcombank.com/thong-tin/blog/lai-suat-vay-mua-o-to")</f>
        <v>https://techcombank.com/thong-tin/blog/lai-suat-vay-mua-o-to</v>
      </c>
      <c r="BM16" s="30" t="str">
        <f>IFERROR(__xludf.DUMMYFUNCTION("""COMPUTED_VALUE"""),"ngân hàng uy tín")</f>
        <v>ngân hàng uy tín</v>
      </c>
      <c r="BN16" s="34" t="str">
        <f>IFERROR(__xludf.DUMMYFUNCTION("""COMPUTED_VALUE"""),"https://techcombank.com/thong-tin/blog/lai-suat-vay-tin-chap")</f>
        <v>https://techcombank.com/thong-tin/blog/lai-suat-vay-tin-chap</v>
      </c>
      <c r="BO16" s="30" t="str">
        <f>IFERROR(__xludf.DUMMYFUNCTION("""COMPUTED_VALUE"""),"ngân hàng uy tín")</f>
        <v>ngân hàng uy tín</v>
      </c>
      <c r="BP16" s="34" t="str">
        <f>IFERROR(__xludf.DUMMYFUNCTION("""COMPUTED_VALUE"""),"https://techcombank.com/thong-tin/blog/viet-kieu-co-mo-duoc-tai-khoan-ngan-hang-khong")</f>
        <v>https://techcombank.com/thong-tin/blog/viet-kieu-co-mo-duoc-tai-khoan-ngan-hang-khong</v>
      </c>
      <c r="BQ16" s="30" t="str">
        <f>IFERROR(__xludf.DUMMYFUNCTION("""COMPUTED_VALUE"""),"ngân hàng uy tín")</f>
        <v>ngân hàng uy tín</v>
      </c>
      <c r="BR16" s="34" t="str">
        <f>IFERROR(__xludf.DUMMYFUNCTION("""COMPUTED_VALUE"""),"https://techcombank.com/thong-tin/blog/ty-gia-cac-ngan-hang")</f>
        <v>https://techcombank.com/thong-tin/blog/ty-gia-cac-ngan-hang</v>
      </c>
      <c r="BS16" s="30" t="str">
        <f>IFERROR(__xludf.DUMMYFUNCTION("""COMPUTED_VALUE"""),"chọn ngân hàng uy tín")</f>
        <v>chọn ngân hàng uy tín</v>
      </c>
      <c r="BT16" s="34" t="str">
        <f>IFERROR(__xludf.DUMMYFUNCTION("""COMPUTED_VALUE"""),"https://techcombank.com/thong-tin/blog/ty-gia-la-gi")</f>
        <v>https://techcombank.com/thong-tin/blog/ty-gia-la-gi</v>
      </c>
      <c r="BU16" s="30"/>
      <c r="BV16" s="30"/>
      <c r="BW16" s="30"/>
      <c r="BX16" s="30"/>
      <c r="BY16" s="30"/>
      <c r="BZ16" s="30"/>
      <c r="CA16" s="30"/>
      <c r="CB16" s="30"/>
      <c r="CC16" s="30"/>
      <c r="CD16" s="30"/>
      <c r="CE16" s="30"/>
      <c r="CF16" s="30"/>
      <c r="CG16" s="30"/>
      <c r="CH16" s="30"/>
      <c r="CI16" s="30"/>
      <c r="CJ16" s="30"/>
      <c r="CK16" s="30"/>
      <c r="CL16" s="30"/>
      <c r="CM16" s="30"/>
      <c r="CN16" s="30"/>
      <c r="CO16" s="30"/>
      <c r="CP16" s="30"/>
      <c r="CQ16" s="30"/>
      <c r="CR16" s="30"/>
      <c r="CS16" s="30"/>
      <c r="CT16" s="30"/>
      <c r="CU16" s="30"/>
      <c r="CV16" s="30"/>
      <c r="CW16" s="30"/>
      <c r="CX16" s="30"/>
      <c r="CY16" s="30"/>
      <c r="CZ16" s="30"/>
      <c r="DA16" s="30"/>
      <c r="DB16" s="30"/>
      <c r="DC16" s="30"/>
      <c r="DD16" s="30"/>
      <c r="DE16" s="30"/>
      <c r="DF16" s="30"/>
      <c r="DG16" s="30"/>
      <c r="DH16" s="30"/>
      <c r="DI16" s="30"/>
      <c r="DJ16" s="30"/>
      <c r="DK16" s="30"/>
      <c r="DL16" s="30"/>
      <c r="DM16" s="30"/>
      <c r="DN16" s="30"/>
      <c r="DO16" s="30"/>
      <c r="DP16" s="30"/>
      <c r="DQ16" s="30"/>
      <c r="DR16" s="30"/>
      <c r="DS16" s="30"/>
      <c r="DT16" s="30"/>
      <c r="DU16" s="30"/>
      <c r="DV16" s="30"/>
      <c r="DW16" s="30"/>
      <c r="DX16" s="30"/>
      <c r="DY16" s="30"/>
      <c r="DZ16" s="30"/>
      <c r="EA16" s="30"/>
      <c r="EB16" s="30"/>
      <c r="EC16" s="30"/>
      <c r="ED16" s="30"/>
      <c r="EE16" s="30"/>
      <c r="EF16" s="30"/>
      <c r="EG16" s="30"/>
      <c r="EH16" s="30"/>
      <c r="EI16" s="30"/>
      <c r="EJ16" s="30"/>
      <c r="EK16" s="30"/>
      <c r="EL16" s="30"/>
      <c r="EM16" s="30"/>
      <c r="EN16" s="30"/>
      <c r="EO16" s="30"/>
      <c r="EP16" s="30"/>
      <c r="EQ16" s="30"/>
      <c r="ER16" s="30"/>
      <c r="ES16" s="30"/>
      <c r="ET16" s="30"/>
      <c r="EU16" s="30"/>
      <c r="EV16" s="30"/>
      <c r="EW16" s="30"/>
      <c r="EX16" s="30"/>
      <c r="EY16" s="30"/>
      <c r="EZ16" s="30"/>
      <c r="FA16" s="30"/>
      <c r="FB16" s="30"/>
      <c r="FC16" s="30"/>
      <c r="FD16" s="30"/>
      <c r="FE16" s="30"/>
      <c r="FF16" s="30"/>
      <c r="FG16" s="30"/>
      <c r="FH16" s="30"/>
      <c r="FI16" s="30"/>
      <c r="FJ16" s="30"/>
      <c r="FK16" s="30"/>
      <c r="FL16" s="30"/>
      <c r="FM16" s="30"/>
      <c r="FN16" s="30"/>
      <c r="FO16" s="30"/>
      <c r="FP16" s="30"/>
      <c r="FQ16" s="30"/>
      <c r="FR16" s="30"/>
      <c r="FS16" s="30"/>
      <c r="FT16" s="30"/>
      <c r="FU16" s="30"/>
      <c r="FV16" s="30"/>
      <c r="FW16" s="30"/>
      <c r="FX16" s="30"/>
      <c r="FY16" s="30"/>
      <c r="FZ16" s="30"/>
      <c r="GA16" s="30"/>
      <c r="GB16" s="30"/>
      <c r="GC16" s="30"/>
      <c r="GD16" s="30"/>
      <c r="GE16" s="30"/>
      <c r="GF16" s="30"/>
      <c r="GG16" s="30"/>
      <c r="GH16" s="30"/>
      <c r="GI16" s="30"/>
      <c r="GJ16" s="30"/>
      <c r="GK16" s="30"/>
      <c r="GL16" s="30"/>
      <c r="GM16" s="30"/>
      <c r="GN16" s="30"/>
      <c r="GO16" s="30"/>
      <c r="GP16" s="30"/>
      <c r="GQ16" s="30"/>
      <c r="GR16" s="30"/>
      <c r="GS16" s="30"/>
      <c r="GT16" s="30"/>
      <c r="GU16" s="30"/>
      <c r="GV16" s="30"/>
      <c r="GW16" s="30"/>
      <c r="GX16" s="30"/>
      <c r="GY16" s="30"/>
      <c r="GZ16" s="30"/>
      <c r="HA16" s="30"/>
      <c r="HB16" s="30"/>
      <c r="HC16" s="30"/>
      <c r="HD16" s="30"/>
      <c r="HE16" s="30"/>
      <c r="HF16" s="30"/>
      <c r="HG16" s="30"/>
      <c r="HH16" s="30"/>
      <c r="HI16" s="30"/>
      <c r="HJ16" s="30"/>
      <c r="HK16" s="30"/>
      <c r="HL16" s="30"/>
      <c r="HM16" s="30"/>
      <c r="HN16" s="30"/>
      <c r="HO16" s="30"/>
      <c r="HP16" s="30"/>
      <c r="HQ16" s="30"/>
      <c r="HR16" s="30"/>
      <c r="HS16" s="30"/>
      <c r="HT16" s="30"/>
      <c r="HU16" s="30"/>
      <c r="HV16" s="30"/>
      <c r="HW16" s="30"/>
      <c r="HX16" s="30"/>
      <c r="HY16" s="30"/>
      <c r="HZ16" s="30"/>
      <c r="IA16" s="30"/>
      <c r="IB16" s="30"/>
      <c r="IC16" s="30"/>
      <c r="ID16" s="30"/>
      <c r="IE16" s="30"/>
      <c r="IF16" s="30"/>
      <c r="IG16" s="30"/>
      <c r="IH16" s="30"/>
      <c r="II16" s="30"/>
      <c r="IJ16" s="30"/>
      <c r="IK16" s="30"/>
      <c r="IL16" s="30"/>
      <c r="IM16" s="30"/>
      <c r="IN16" s="30"/>
      <c r="IO16" s="30"/>
      <c r="IP16" s="30"/>
      <c r="IQ16" s="30"/>
      <c r="IR16" s="30"/>
      <c r="IS16" s="30"/>
      <c r="IT16" s="30"/>
      <c r="IU16" s="30"/>
      <c r="IV16" s="30"/>
      <c r="IW16" s="30"/>
      <c r="IX16" s="30"/>
      <c r="IY16" s="30"/>
      <c r="IZ16" s="30"/>
      <c r="JA16" s="30"/>
      <c r="JB16" s="30"/>
      <c r="JC16" s="30"/>
      <c r="JD16" s="30"/>
      <c r="JE16" s="30"/>
      <c r="JF16" s="30"/>
      <c r="JG16" s="30"/>
      <c r="JH16" s="30"/>
      <c r="JI16" s="30"/>
      <c r="JJ16" s="30"/>
      <c r="JK16" s="30"/>
      <c r="JL16" s="30"/>
      <c r="JM16" s="30"/>
      <c r="JN16" s="30"/>
      <c r="JO16" s="30"/>
      <c r="JP16" s="30"/>
      <c r="JQ16" s="30"/>
      <c r="JR16" s="30"/>
      <c r="JS16" s="30"/>
      <c r="JT16" s="30"/>
      <c r="JU16" s="30"/>
      <c r="JV16" s="30"/>
      <c r="JW16" s="30"/>
      <c r="JX16" s="30"/>
      <c r="JY16" s="30"/>
      <c r="JZ16" s="30"/>
      <c r="KA16" s="30"/>
      <c r="KB16" s="30"/>
      <c r="KC16" s="30"/>
      <c r="KD16" s="30"/>
      <c r="KE16" s="30"/>
      <c r="KF16" s="30"/>
      <c r="KG16" s="30"/>
      <c r="KH16" s="30"/>
      <c r="KI16" s="30"/>
      <c r="KJ16" s="30"/>
      <c r="KK16" s="30"/>
      <c r="KL16" s="30"/>
      <c r="KM16" s="30"/>
      <c r="KN16" s="30"/>
      <c r="KO16" s="30"/>
      <c r="KP16" s="30"/>
      <c r="KQ16" s="30"/>
      <c r="KR16" s="30"/>
      <c r="KS16" s="30"/>
      <c r="KT16" s="30"/>
      <c r="KU16" s="30"/>
      <c r="KV16" s="30"/>
      <c r="KW16" s="30"/>
      <c r="KX16" s="30"/>
      <c r="KY16" s="30"/>
      <c r="KZ16" s="30"/>
      <c r="LA16" s="30"/>
      <c r="LB16" s="30"/>
      <c r="LC16" s="30"/>
      <c r="LD16" s="30"/>
      <c r="LE16" s="30"/>
      <c r="LF16" s="30"/>
      <c r="LG16" s="30"/>
      <c r="LH16" s="30"/>
      <c r="LI16" s="30"/>
      <c r="LJ16" s="30"/>
      <c r="LK16" s="30"/>
      <c r="LL16" s="30"/>
      <c r="LM16" s="30"/>
      <c r="LN16" s="30"/>
      <c r="LO16" s="30"/>
      <c r="LP16" s="30"/>
      <c r="LQ16" s="30"/>
      <c r="LR16" s="30"/>
      <c r="LS16" s="30"/>
      <c r="LT16" s="30"/>
      <c r="LU16" s="30"/>
      <c r="LV16" s="30"/>
      <c r="LW16" s="30"/>
      <c r="LX16" s="30"/>
      <c r="LY16" s="30"/>
      <c r="LZ16" s="30"/>
      <c r="MA16" s="30"/>
      <c r="MB16" s="30"/>
      <c r="MC16" s="30"/>
      <c r="MD16" s="30"/>
      <c r="ME16" s="30"/>
      <c r="MF16" s="30"/>
      <c r="MG16" s="30"/>
      <c r="MH16" s="30"/>
      <c r="MI16" s="30"/>
      <c r="MJ16" s="30"/>
      <c r="MK16" s="30"/>
      <c r="ML16" s="30"/>
      <c r="MM16" s="30"/>
      <c r="MN16" s="30"/>
      <c r="MO16" s="30"/>
      <c r="MP16" s="30"/>
      <c r="MQ16" s="30"/>
      <c r="MR16" s="30"/>
      <c r="MS16" s="30"/>
      <c r="MT16" s="30"/>
      <c r="MU16" s="30"/>
      <c r="MV16" s="30"/>
      <c r="MW16" s="30"/>
      <c r="MX16" s="30"/>
      <c r="MY16" s="30"/>
      <c r="MZ16" s="30"/>
      <c r="NA16" s="30"/>
      <c r="NB16" s="30"/>
      <c r="NC16" s="30"/>
      <c r="ND16" s="30"/>
      <c r="NE16" s="30"/>
      <c r="NF16" s="30"/>
      <c r="NG16" s="30"/>
      <c r="NH16" s="30"/>
      <c r="NI16" s="30"/>
      <c r="NJ16" s="30"/>
      <c r="NK16" s="30"/>
      <c r="NL16" s="30"/>
      <c r="NM16" s="30"/>
      <c r="NN16" s="30"/>
      <c r="NO16" s="30"/>
      <c r="NP16" s="30"/>
      <c r="NQ16" s="30"/>
      <c r="NR16" s="30"/>
      <c r="NS16" s="30"/>
      <c r="NT16" s="30"/>
      <c r="NU16" s="30"/>
      <c r="NV16" s="30"/>
      <c r="NW16" s="30"/>
      <c r="NX16" s="30"/>
      <c r="NY16" s="30"/>
      <c r="NZ16" s="30"/>
      <c r="OA16" s="30"/>
      <c r="OB16" s="30"/>
      <c r="OC16" s="30"/>
      <c r="OD16" s="30"/>
      <c r="OE16" s="30"/>
      <c r="OF16" s="30"/>
      <c r="OG16" s="30"/>
      <c r="OH16" s="30"/>
      <c r="OI16" s="30"/>
      <c r="OJ16" s="30"/>
      <c r="OK16" s="30"/>
      <c r="OL16" s="30"/>
      <c r="OM16" s="30"/>
      <c r="ON16" s="30"/>
      <c r="OO16" s="30"/>
      <c r="OP16" s="30"/>
      <c r="OQ16" s="30"/>
      <c r="OR16" s="30"/>
      <c r="OS16" s="30"/>
      <c r="OT16" s="30"/>
      <c r="OU16" s="30"/>
      <c r="OV16" s="30"/>
    </row>
    <row r="17" ht="18.0" customHeight="1">
      <c r="A17" s="29">
        <v>16.0</v>
      </c>
      <c r="B17" s="30" t="s">
        <v>1564</v>
      </c>
      <c r="C17" s="31" t="s">
        <v>1749</v>
      </c>
      <c r="D17" s="30" t="s">
        <v>1741</v>
      </c>
      <c r="E17" s="29">
        <v>30.0</v>
      </c>
      <c r="F17" s="29">
        <f>COUNTIF('Tổng hợp 75 trang đích'!$B$2:$B$3400,$D17)</f>
        <v>30</v>
      </c>
      <c r="G17" s="29">
        <f>COUNTIFS('Tổng hợp 75 trang đích'!$B$2:$B$3400,$D17,'Tổng hợp 75 trang đích'!$K$2:$K$3400,"PHÙ HỢP CAO")</f>
        <v>3</v>
      </c>
      <c r="H17" s="29">
        <f>COUNTIFS('Tổng hợp 75 trang đích'!$B$2:$B$3400,$D17,'Tổng hợp 75 trang đích'!$K$2:$K$3400,"CÓ THỂ ĐI")</f>
        <v>1</v>
      </c>
      <c r="I17" s="29">
        <f>COUNTIFS('Tổng hợp 75 trang đích'!$B$2:$B$3400,$D17,'Tổng hợp 75 trang đích'!$K$2:$K$3400,"CẦN SOÁT")</f>
        <v>26</v>
      </c>
      <c r="J17" s="32" t="s">
        <v>714</v>
      </c>
      <c r="K17" s="32" t="b">
        <v>0</v>
      </c>
      <c r="L17" s="33" t="s">
        <v>52</v>
      </c>
      <c r="M17" s="30" t="str">
        <f>IFERROR(__xludf.DUMMYFUNCTION("IFERROR(TOROW(CHOOSECOLS(SORT(FILTER({'Tổng hợp 75 trang đích'!$J$2:$J$3400,'Tổng hợp 75 trang đích'!$I$2:$I$3400,MATCH('Tổng hợp 75 trang đích'!$K$2:$K$3400,{""PHÙ HỢP CAO"",""CÓ THỂ ĐI"",""CẦN SOÁT""},0)},'Tổng hợp 75 trang đích'!$B$2:$B$3400=$D17),3,TR"&amp;"UE),1,2)),"""")"),"tiền chuyển khoản bị treo")</f>
        <v>tiền chuyển khoản bị treo</v>
      </c>
      <c r="N17" s="34" t="str">
        <f>IFERROR(__xludf.DUMMYFUNCTION("""COMPUTED_VALUE"""),"https://techcombank.com/thong-tin/blog/cach-chuyen-tien")</f>
        <v>https://techcombank.com/thong-tin/blog/cach-chuyen-tien</v>
      </c>
      <c r="O17" s="30" t="str">
        <f>IFERROR(__xludf.DUMMYFUNCTION("""COMPUTED_VALUE"""),"chuyển tiền thành công nhưng chưa nhận được")</f>
        <v>chuyển tiền thành công nhưng chưa nhận được</v>
      </c>
      <c r="P17" s="34" t="str">
        <f>IFERROR(__xludf.DUMMYFUNCTION("""COMPUTED_VALUE"""),"https://techcombank.com/thong-tin/blog/ma-giao-dich-la-gi")</f>
        <v>https://techcombank.com/thong-tin/blog/ma-giao-dich-la-gi</v>
      </c>
      <c r="Q17" s="30" t="str">
        <f>IFERROR(__xludf.DUMMYFUNCTION("""COMPUTED_VALUE"""),"tiền chuyển khoản bị treo")</f>
        <v>tiền chuyển khoản bị treo</v>
      </c>
      <c r="R17" s="34" t="str">
        <f>IFERROR(__xludf.DUMMYFUNCTION("""COMPUTED_VALUE"""),"https://techcombank.com/thong-tin/blog/chuyen-nham-tien-co-lay-lai-duoc-khong")</f>
        <v>https://techcombank.com/thong-tin/blog/chuyen-nham-tien-co-lay-lai-duoc-khong</v>
      </c>
      <c r="S17" s="30" t="str">
        <f>IFERROR(__xludf.DUMMYFUNCTION("""COMPUTED_VALUE"""),"chuyển khoản thành công nhưng không nhận được tiền")</f>
        <v>chuyển khoản thành công nhưng không nhận được tiền</v>
      </c>
      <c r="T17" s="34" t="str">
        <f>IFERROR(__xludf.DUMMYFUNCTION("""COMPUTED_VALUE"""),"https://techcombank.com/thong-tin/blog/ngan-hang-thu-huong-la-gi")</f>
        <v>https://techcombank.com/thong-tin/blog/ngan-hang-thu-huong-la-gi</v>
      </c>
      <c r="U17" s="30" t="str">
        <f>IFERROR(__xludf.DUMMYFUNCTION("""COMPUTED_VALUE"""),"chuyển khoản thành công nhưng không nhận được tiền")</f>
        <v>chuyển khoản thành công nhưng không nhận được tiền</v>
      </c>
      <c r="V17" s="34" t="str">
        <f>IFERROR(__xludf.DUMMYFUNCTION("""COMPUTED_VALUE"""),"https://techcombank.com/thong-tin/blog/ho-kinh-doanh-can-gi-o-tai-khoan-ngan-hang")</f>
        <v>https://techcombank.com/thong-tin/blog/ho-kinh-doanh-can-gi-o-tai-khoan-ngan-hang</v>
      </c>
      <c r="W17" s="30" t="str">
        <f>IFERROR(__xludf.DUMMYFUNCTION("""COMPUTED_VALUE"""),"tiền chuyển khoản bị treo")</f>
        <v>tiền chuyển khoản bị treo</v>
      </c>
      <c r="X17" s="34" t="str">
        <f>IFERROR(__xludf.DUMMYFUNCTION("""COMPUTED_VALUE"""),"https://techcombank.com/thong-tin/blog/loa-thong-bao-chuyen-khoan")</f>
        <v>https://techcombank.com/thong-tin/blog/loa-thong-bao-chuyen-khoan</v>
      </c>
      <c r="Y17" s="30" t="str">
        <f>IFERROR(__xludf.DUMMYFUNCTION("""COMPUTED_VALUE"""),"chuyển khoản thành công nhưng không nhận được tiền")</f>
        <v>chuyển khoản thành công nhưng không nhận được tiền</v>
      </c>
      <c r="Z17" s="34" t="str">
        <f>IFERROR(__xludf.DUMMYFUNCTION("""COMPUTED_VALUE"""),"https://techcombank.com/thong-tin/blog/ma-qr-ngan-hang-khong-hop-le")</f>
        <v>https://techcombank.com/thong-tin/blog/ma-qr-ngan-hang-khong-hop-le</v>
      </c>
      <c r="AA17" s="30" t="str">
        <f>IFERROR(__xludf.DUMMYFUNCTION("""COMPUTED_VALUE"""),"chuyển khoản thành công nhưng không nhận được tiền")</f>
        <v>chuyển khoản thành công nhưng không nhận được tiền</v>
      </c>
      <c r="AB17" s="34" t="str">
        <f>IFERROR(__xludf.DUMMYFUNCTION("""COMPUTED_VALUE"""),"https://techcombank.com/thong-tin/blog/luu-y-khi-chuyen-tien-vao-tai-khoan-cong-ty")</f>
        <v>https://techcombank.com/thong-tin/blog/luu-y-khi-chuyen-tien-vao-tai-khoan-cong-ty</v>
      </c>
      <c r="AC17" s="30" t="str">
        <f>IFERROR(__xludf.DUMMYFUNCTION("""COMPUTED_VALUE"""),"tiền chuyển khoản bị treo")</f>
        <v>tiền chuyển khoản bị treo</v>
      </c>
      <c r="AD17" s="34" t="str">
        <f>IFERROR(__xludf.DUMMYFUNCTION("""COMPUTED_VALUE"""),"https://techcombank.com/thong-tin/blog/remittance-la-gi")</f>
        <v>https://techcombank.com/thong-tin/blog/remittance-la-gi</v>
      </c>
      <c r="AE17" s="30" t="str">
        <f>IFERROR(__xludf.DUMMYFUNCTION("""COMPUTED_VALUE"""),"tiền chuyển khoản bị treo")</f>
        <v>tiền chuyển khoản bị treo</v>
      </c>
      <c r="AF17" s="34" t="str">
        <f>IFERROR(__xludf.DUMMYFUNCTION("""COMPUTED_VALUE"""),"https://techcombank.com/thong-tin/blog/cdm")</f>
        <v>https://techcombank.com/thong-tin/blog/cdm</v>
      </c>
      <c r="AG17" s="30" t="str">
        <f>IFERROR(__xludf.DUMMYFUNCTION("""COMPUTED_VALUE"""),"chuyển khoản thành công nhưng không nhận được tiền")</f>
        <v>chuyển khoản thành công nhưng không nhận được tiền</v>
      </c>
      <c r="AH17" s="34" t="str">
        <f>IFERROR(__xludf.DUMMYFUNCTION("""COMPUTED_VALUE"""),"https://techcombank.com/thong-tin/blog/cach-su-dung-tai-khoan-cong-ty")</f>
        <v>https://techcombank.com/thong-tin/blog/cach-su-dung-tai-khoan-cong-ty</v>
      </c>
      <c r="AI17" s="30" t="str">
        <f>IFERROR(__xludf.DUMMYFUNCTION("""COMPUTED_VALUE"""),"tiền chuyển khoản bị treo")</f>
        <v>tiền chuyển khoản bị treo</v>
      </c>
      <c r="AJ17" s="34" t="str">
        <f>IFERROR(__xludf.DUMMYFUNCTION("""COMPUTED_VALUE"""),"https://techcombank.com/thong-tin/blog/cach-tao-ma-qr-code-mien-phi")</f>
        <v>https://techcombank.com/thong-tin/blog/cach-tao-ma-qr-code-mien-phi</v>
      </c>
      <c r="AK17" s="30" t="str">
        <f>IFERROR(__xludf.DUMMYFUNCTION("""COMPUTED_VALUE"""),"chuyển khoản thành công nhưng không nhận được tiền")</f>
        <v>chuyển khoản thành công nhưng không nhận được tiền</v>
      </c>
      <c r="AL17" s="34" t="str">
        <f>IFERROR(__xludf.DUMMYFUNCTION("""COMPUTED_VALUE"""),"https://techcombank.com/thong-tin/blog/loa-ting-ting")</f>
        <v>https://techcombank.com/thong-tin/blog/loa-ting-ting</v>
      </c>
      <c r="AM17" s="30" t="str">
        <f>IFERROR(__xludf.DUMMYFUNCTION("""COMPUTED_VALUE"""),"tiền chuyển khoản bị treo")</f>
        <v>tiền chuyển khoản bị treo</v>
      </c>
      <c r="AN17" s="34" t="str">
        <f>IFERROR(__xludf.DUMMYFUNCTION("""COMPUTED_VALUE"""),"https://techcombank.com/thong-tin/blog/cach-lay-lai-tien-da-chuyen-khoan-khi-bi-lua")</f>
        <v>https://techcombank.com/thong-tin/blog/cach-lay-lai-tien-da-chuyen-khoan-khi-bi-lua</v>
      </c>
      <c r="AO17" s="30" t="str">
        <f>IFERROR(__xludf.DUMMYFUNCTION("""COMPUTED_VALUE"""),"chuyển khoản thành công nhưng không nhận được tiền")</f>
        <v>chuyển khoản thành công nhưng không nhận được tiền</v>
      </c>
      <c r="AP17" s="34" t="str">
        <f>IFERROR(__xludf.DUMMYFUNCTION("""COMPUTED_VALUE"""),"https://techcombank.com/thong-tin/blog/cach-nap-tien-vao-the-ghi-no")</f>
        <v>https://techcombank.com/thong-tin/blog/cach-nap-tien-vao-the-ghi-no</v>
      </c>
      <c r="AQ17" s="30" t="str">
        <f>IFERROR(__xludf.DUMMYFUNCTION("""COMPUTED_VALUE"""),"tiền chuyển khoản bị treo")</f>
        <v>tiền chuyển khoản bị treo</v>
      </c>
      <c r="AR17" s="34" t="str">
        <f>IFERROR(__xludf.DUMMYFUNCTION("""COMPUTED_VALUE"""),"https://techcombank.com/thong-tin/blog/gui-tien-du-hoc")</f>
        <v>https://techcombank.com/thong-tin/blog/gui-tien-du-hoc</v>
      </c>
      <c r="AS17" s="30" t="str">
        <f>IFERROR(__xludf.DUMMYFUNCTION("""COMPUTED_VALUE"""),"tiền chuyển khoản bị treo")</f>
        <v>tiền chuyển khoản bị treo</v>
      </c>
      <c r="AT17" s="34" t="str">
        <f>IFERROR(__xludf.DUMMYFUNCTION("""COMPUTED_VALUE"""),"https://techcombank.com/thong-tin/blog/iban-la-gi")</f>
        <v>https://techcombank.com/thong-tin/blog/iban-la-gi</v>
      </c>
      <c r="AU17" s="30" t="str">
        <f>IFERROR(__xludf.DUMMYFUNCTION("""COMPUTED_VALUE"""),"tiền chuyển khoản bị treo")</f>
        <v>tiền chuyển khoản bị treo</v>
      </c>
      <c r="AV17" s="34" t="str">
        <f>IFERROR(__xludf.DUMMYFUNCTION("""COMPUTED_VALUE"""),"https://techcombank.com/thong-tin/blog/tai-khoan-ngan-hang-bi-khoa")</f>
        <v>https://techcombank.com/thong-tin/blog/tai-khoan-ngan-hang-bi-khoa</v>
      </c>
      <c r="AW17" s="30" t="str">
        <f>IFERROR(__xludf.DUMMYFUNCTION("""COMPUTED_VALUE"""),"chuyển tiền thành công nhưng chưa nhận được")</f>
        <v>chuyển tiền thành công nhưng chưa nhận được</v>
      </c>
      <c r="AX17" s="34" t="str">
        <f>IFERROR(__xludf.DUMMYFUNCTION("""COMPUTED_VALUE"""),"https://techcombank.com/thong-tin/blog/cach-chuyen-khoan-bang-dien-thoai")</f>
        <v>https://techcombank.com/thong-tin/blog/cach-chuyen-khoan-bang-dien-thoai</v>
      </c>
      <c r="AY17" s="30" t="str">
        <f>IFERROR(__xludf.DUMMYFUNCTION("""COMPUTED_VALUE"""),"tiền chuyển khoản bị treo")</f>
        <v>tiền chuyển khoản bị treo</v>
      </c>
      <c r="AZ17" s="34" t="str">
        <f>IFERROR(__xludf.DUMMYFUNCTION("""COMPUTED_VALUE"""),"https://techcombank.com/thong-tin/blog/cach-su-dung-the-visa-techcombank")</f>
        <v>https://techcombank.com/thong-tin/blog/cach-su-dung-the-visa-techcombank</v>
      </c>
      <c r="BA17" s="30" t="str">
        <f>IFERROR(__xludf.DUMMYFUNCTION("""COMPUTED_VALUE"""),"tiền chuyển khoản bị treo")</f>
        <v>tiền chuyển khoản bị treo</v>
      </c>
      <c r="BB17" s="34" t="str">
        <f>IFERROR(__xludf.DUMMYFUNCTION("""COMPUTED_VALUE"""),"https://techcombank.com/thong-tin/blog/tai-khoan-ngan-hang-con-0-dong-co-sao-khong")</f>
        <v>https://techcombank.com/thong-tin/blog/tai-khoan-ngan-hang-con-0-dong-co-sao-khong</v>
      </c>
      <c r="BC17" s="30" t="str">
        <f>IFERROR(__xludf.DUMMYFUNCTION("""COMPUTED_VALUE"""),"tiền chuyển khoản bị treo")</f>
        <v>tiền chuyển khoản bị treo</v>
      </c>
      <c r="BD17" s="34" t="str">
        <f>IFERROR(__xludf.DUMMYFUNCTION("""COMPUTED_VALUE"""),"https://techcombank.com/thong-tin/blog/vi-dien-tu-la-gi")</f>
        <v>https://techcombank.com/thong-tin/blog/vi-dien-tu-la-gi</v>
      </c>
      <c r="BE17" s="30" t="str">
        <f>IFERROR(__xludf.DUMMYFUNCTION("""COMPUTED_VALUE"""),"tiền chuyển khoản bị treo")</f>
        <v>tiền chuyển khoản bị treo</v>
      </c>
      <c r="BF17" s="34" t="str">
        <f>IFERROR(__xludf.DUMMYFUNCTION("""COMPUTED_VALUE"""),"https://techcombank.com/thong-tin/blog/token-la-gi")</f>
        <v>https://techcombank.com/thong-tin/blog/token-la-gi</v>
      </c>
      <c r="BG17" s="30" t="str">
        <f>IFERROR(__xludf.DUMMYFUNCTION("""COMPUTED_VALUE"""),"tiền chuyển khoản bị treo")</f>
        <v>tiền chuyển khoản bị treo</v>
      </c>
      <c r="BH17" s="34" t="str">
        <f>IFERROR(__xludf.DUMMYFUNCTION("""COMPUTED_VALUE"""),"https://techcombank.com/thong-tin/blog/xac-thuc-sinh-trac-hoc-khi-chuyen-tien")</f>
        <v>https://techcombank.com/thong-tin/blog/xac-thuc-sinh-trac-hoc-khi-chuyen-tien</v>
      </c>
      <c r="BI17" s="30" t="str">
        <f>IFERROR(__xludf.DUMMYFUNCTION("""COMPUTED_VALUE"""),"tiền chuyển khoản bị treo")</f>
        <v>tiền chuyển khoản bị treo</v>
      </c>
      <c r="BJ17" s="34" t="str">
        <f>IFERROR(__xludf.DUMMYFUNCTION("""COMPUTED_VALUE"""),"https://techcombank.com/thong-tin/blog/casa-la-gi")</f>
        <v>https://techcombank.com/thong-tin/blog/casa-la-gi</v>
      </c>
      <c r="BK17" s="30" t="str">
        <f>IFERROR(__xludf.DUMMYFUNCTION("""COMPUTED_VALUE"""),"chuyển khoản thành công nhưng không nhận được tiền")</f>
        <v>chuyển khoản thành công nhưng không nhận được tiền</v>
      </c>
      <c r="BL17" s="34" t="str">
        <f>IFERROR(__xludf.DUMMYFUNCTION("""COMPUTED_VALUE"""),"https://techcombank.com/thong-tin/blog/cach-chuyen-tien-qua-ma-qr-techcombank")</f>
        <v>https://techcombank.com/thong-tin/blog/cach-chuyen-tien-qua-ma-qr-techcombank</v>
      </c>
      <c r="BM17" s="30" t="str">
        <f>IFERROR(__xludf.DUMMYFUNCTION("""COMPUTED_VALUE"""),"tiền chuyển khoản bị treo")</f>
        <v>tiền chuyển khoản bị treo</v>
      </c>
      <c r="BN17" s="34" t="str">
        <f>IFERROR(__xludf.DUMMYFUNCTION("""COMPUTED_VALUE"""),"https://techcombank.com/thong-tin/blog/the-ghi-no-co-chuyen-khoan-duoc-khong")</f>
        <v>https://techcombank.com/thong-tin/blog/the-ghi-no-co-chuyen-khoan-duoc-khong</v>
      </c>
      <c r="BO17" s="30" t="str">
        <f>IFERROR(__xludf.DUMMYFUNCTION("""COMPUTED_VALUE"""),"tiền chuyển khoản bị treo")</f>
        <v>tiền chuyển khoản bị treo</v>
      </c>
      <c r="BP17" s="34" t="str">
        <f>IFERROR(__xludf.DUMMYFUNCTION("""COMPUTED_VALUE"""),"https://techcombank.com/thong-tin/blog/chuyen-tien-dinh-cu")</f>
        <v>https://techcombank.com/thong-tin/blog/chuyen-tien-dinh-cu</v>
      </c>
      <c r="BQ17" s="30" t="str">
        <f>IFERROR(__xludf.DUMMYFUNCTION("""COMPUTED_VALUE"""),"tiền chuyển khoản bị treo")</f>
        <v>tiền chuyển khoản bị treo</v>
      </c>
      <c r="BR17" s="34" t="str">
        <f>IFERROR(__xludf.DUMMYFUNCTION("""COMPUTED_VALUE"""),"https://techcombank.com/thong-tin/blog/dinh-cu-chau-au")</f>
        <v>https://techcombank.com/thong-tin/blog/dinh-cu-chau-au</v>
      </c>
      <c r="BS17" s="30" t="str">
        <f>IFERROR(__xludf.DUMMYFUNCTION("""COMPUTED_VALUE"""),"tiền chuyển khoản bị treo")</f>
        <v>tiền chuyển khoản bị treo</v>
      </c>
      <c r="BT17" s="34" t="str">
        <f>IFERROR(__xludf.DUMMYFUNCTION("""COMPUTED_VALUE"""),"https://techcombank.com/thong-tin/blog/cam-nang-dinh-cu-my")</f>
        <v>https://techcombank.com/thong-tin/blog/cam-nang-dinh-cu-my</v>
      </c>
      <c r="BU17" s="30"/>
      <c r="BV17" s="30"/>
      <c r="BW17" s="30"/>
      <c r="BX17" s="30"/>
      <c r="BY17" s="30"/>
      <c r="BZ17" s="30"/>
      <c r="CA17" s="30"/>
      <c r="CB17" s="30"/>
      <c r="CC17" s="30"/>
      <c r="CD17" s="30"/>
      <c r="CE17" s="30"/>
      <c r="CF17" s="30"/>
      <c r="CG17" s="30"/>
      <c r="CH17" s="30"/>
      <c r="CI17" s="30"/>
      <c r="CJ17" s="30"/>
      <c r="CK17" s="30"/>
      <c r="CL17" s="30"/>
      <c r="CM17" s="30"/>
      <c r="CN17" s="30"/>
      <c r="CO17" s="30"/>
      <c r="CP17" s="30"/>
      <c r="CQ17" s="30"/>
      <c r="CR17" s="30"/>
      <c r="CS17" s="30"/>
      <c r="CT17" s="30"/>
      <c r="CU17" s="30"/>
      <c r="CV17" s="30"/>
      <c r="CW17" s="30"/>
      <c r="CX17" s="30"/>
      <c r="CY17" s="30"/>
      <c r="CZ17" s="30"/>
      <c r="DA17" s="30"/>
      <c r="DB17" s="30"/>
      <c r="DC17" s="30"/>
      <c r="DD17" s="30"/>
      <c r="DE17" s="30"/>
      <c r="DF17" s="30"/>
      <c r="DG17" s="30"/>
      <c r="DH17" s="30"/>
      <c r="DI17" s="30"/>
      <c r="DJ17" s="30"/>
      <c r="DK17" s="30"/>
      <c r="DL17" s="30"/>
      <c r="DM17" s="30"/>
      <c r="DN17" s="30"/>
      <c r="DO17" s="30"/>
      <c r="DP17" s="30"/>
      <c r="DQ17" s="30"/>
      <c r="DR17" s="30"/>
      <c r="DS17" s="30"/>
      <c r="DT17" s="30"/>
      <c r="DU17" s="30"/>
      <c r="DV17" s="30"/>
      <c r="DW17" s="30"/>
      <c r="DX17" s="30"/>
      <c r="DY17" s="30"/>
      <c r="DZ17" s="30"/>
      <c r="EA17" s="30"/>
      <c r="EB17" s="30"/>
      <c r="EC17" s="30"/>
      <c r="ED17" s="30"/>
      <c r="EE17" s="30"/>
      <c r="EF17" s="30"/>
      <c r="EG17" s="30"/>
      <c r="EH17" s="30"/>
      <c r="EI17" s="30"/>
      <c r="EJ17" s="30"/>
      <c r="EK17" s="30"/>
      <c r="EL17" s="30"/>
      <c r="EM17" s="30"/>
      <c r="EN17" s="30"/>
      <c r="EO17" s="30"/>
      <c r="EP17" s="30"/>
      <c r="EQ17" s="30"/>
      <c r="ER17" s="30"/>
      <c r="ES17" s="30"/>
      <c r="ET17" s="30"/>
      <c r="EU17" s="30"/>
      <c r="EV17" s="30"/>
      <c r="EW17" s="30"/>
      <c r="EX17" s="30"/>
      <c r="EY17" s="30"/>
      <c r="EZ17" s="30"/>
      <c r="FA17" s="30"/>
      <c r="FB17" s="30"/>
      <c r="FC17" s="30"/>
      <c r="FD17" s="30"/>
      <c r="FE17" s="30"/>
      <c r="FF17" s="30"/>
      <c r="FG17" s="30"/>
      <c r="FH17" s="30"/>
      <c r="FI17" s="30"/>
      <c r="FJ17" s="30"/>
      <c r="FK17" s="30"/>
      <c r="FL17" s="30"/>
      <c r="FM17" s="30"/>
      <c r="FN17" s="30"/>
      <c r="FO17" s="30"/>
      <c r="FP17" s="30"/>
      <c r="FQ17" s="30"/>
      <c r="FR17" s="30"/>
      <c r="FS17" s="30"/>
      <c r="FT17" s="30"/>
      <c r="FU17" s="30"/>
      <c r="FV17" s="30"/>
      <c r="FW17" s="30"/>
      <c r="FX17" s="30"/>
      <c r="FY17" s="30"/>
      <c r="FZ17" s="30"/>
      <c r="GA17" s="30"/>
      <c r="GB17" s="30"/>
      <c r="GC17" s="30"/>
      <c r="GD17" s="30"/>
      <c r="GE17" s="30"/>
      <c r="GF17" s="30"/>
      <c r="GG17" s="30"/>
      <c r="GH17" s="30"/>
      <c r="GI17" s="30"/>
      <c r="GJ17" s="30"/>
      <c r="GK17" s="30"/>
      <c r="GL17" s="30"/>
      <c r="GM17" s="30"/>
      <c r="GN17" s="30"/>
      <c r="GO17" s="30"/>
      <c r="GP17" s="30"/>
      <c r="GQ17" s="30"/>
      <c r="GR17" s="30"/>
      <c r="GS17" s="30"/>
      <c r="GT17" s="30"/>
      <c r="GU17" s="30"/>
      <c r="GV17" s="30"/>
      <c r="GW17" s="30"/>
      <c r="GX17" s="30"/>
      <c r="GY17" s="30"/>
      <c r="GZ17" s="30"/>
      <c r="HA17" s="30"/>
      <c r="HB17" s="30"/>
      <c r="HC17" s="30"/>
      <c r="HD17" s="30"/>
      <c r="HE17" s="30"/>
      <c r="HF17" s="30"/>
      <c r="HG17" s="30"/>
      <c r="HH17" s="30"/>
      <c r="HI17" s="30"/>
      <c r="HJ17" s="30"/>
      <c r="HK17" s="30"/>
      <c r="HL17" s="30"/>
      <c r="HM17" s="30"/>
      <c r="HN17" s="30"/>
      <c r="HO17" s="30"/>
      <c r="HP17" s="30"/>
      <c r="HQ17" s="30"/>
      <c r="HR17" s="30"/>
      <c r="HS17" s="30"/>
      <c r="HT17" s="30"/>
      <c r="HU17" s="30"/>
      <c r="HV17" s="30"/>
      <c r="HW17" s="30"/>
      <c r="HX17" s="30"/>
      <c r="HY17" s="30"/>
      <c r="HZ17" s="30"/>
      <c r="IA17" s="30"/>
      <c r="IB17" s="30"/>
      <c r="IC17" s="30"/>
      <c r="ID17" s="30"/>
      <c r="IE17" s="30"/>
      <c r="IF17" s="30"/>
      <c r="IG17" s="30"/>
      <c r="IH17" s="30"/>
      <c r="II17" s="30"/>
      <c r="IJ17" s="30"/>
      <c r="IK17" s="30"/>
      <c r="IL17" s="30"/>
      <c r="IM17" s="30"/>
      <c r="IN17" s="30"/>
      <c r="IO17" s="30"/>
      <c r="IP17" s="30"/>
      <c r="IQ17" s="30"/>
      <c r="IR17" s="30"/>
      <c r="IS17" s="30"/>
      <c r="IT17" s="30"/>
      <c r="IU17" s="30"/>
      <c r="IV17" s="30"/>
      <c r="IW17" s="30"/>
      <c r="IX17" s="30"/>
      <c r="IY17" s="30"/>
      <c r="IZ17" s="30"/>
      <c r="JA17" s="30"/>
      <c r="JB17" s="30"/>
      <c r="JC17" s="30"/>
      <c r="JD17" s="30"/>
      <c r="JE17" s="30"/>
      <c r="JF17" s="30"/>
      <c r="JG17" s="30"/>
      <c r="JH17" s="30"/>
      <c r="JI17" s="30"/>
      <c r="JJ17" s="30"/>
      <c r="JK17" s="30"/>
      <c r="JL17" s="30"/>
      <c r="JM17" s="30"/>
      <c r="JN17" s="30"/>
      <c r="JO17" s="30"/>
      <c r="JP17" s="30"/>
      <c r="JQ17" s="30"/>
      <c r="JR17" s="30"/>
      <c r="JS17" s="30"/>
      <c r="JT17" s="30"/>
      <c r="JU17" s="30"/>
      <c r="JV17" s="30"/>
      <c r="JW17" s="30"/>
      <c r="JX17" s="30"/>
      <c r="JY17" s="30"/>
      <c r="JZ17" s="30"/>
      <c r="KA17" s="30"/>
      <c r="KB17" s="30"/>
      <c r="KC17" s="30"/>
      <c r="KD17" s="30"/>
      <c r="KE17" s="30"/>
      <c r="KF17" s="30"/>
      <c r="KG17" s="30"/>
      <c r="KH17" s="30"/>
      <c r="KI17" s="30"/>
      <c r="KJ17" s="30"/>
      <c r="KK17" s="30"/>
      <c r="KL17" s="30"/>
      <c r="KM17" s="30"/>
      <c r="KN17" s="30"/>
      <c r="KO17" s="30"/>
      <c r="KP17" s="30"/>
      <c r="KQ17" s="30"/>
      <c r="KR17" s="30"/>
      <c r="KS17" s="30"/>
      <c r="KT17" s="30"/>
      <c r="KU17" s="30"/>
      <c r="KV17" s="30"/>
      <c r="KW17" s="30"/>
      <c r="KX17" s="30"/>
      <c r="KY17" s="30"/>
      <c r="KZ17" s="30"/>
      <c r="LA17" s="30"/>
      <c r="LB17" s="30"/>
      <c r="LC17" s="30"/>
      <c r="LD17" s="30"/>
      <c r="LE17" s="30"/>
      <c r="LF17" s="30"/>
      <c r="LG17" s="30"/>
      <c r="LH17" s="30"/>
      <c r="LI17" s="30"/>
      <c r="LJ17" s="30"/>
      <c r="LK17" s="30"/>
      <c r="LL17" s="30"/>
      <c r="LM17" s="30"/>
      <c r="LN17" s="30"/>
      <c r="LO17" s="30"/>
      <c r="LP17" s="30"/>
      <c r="LQ17" s="30"/>
      <c r="LR17" s="30"/>
      <c r="LS17" s="30"/>
      <c r="LT17" s="30"/>
      <c r="LU17" s="30"/>
      <c r="LV17" s="30"/>
      <c r="LW17" s="30"/>
      <c r="LX17" s="30"/>
      <c r="LY17" s="30"/>
      <c r="LZ17" s="30"/>
      <c r="MA17" s="30"/>
      <c r="MB17" s="30"/>
      <c r="MC17" s="30"/>
      <c r="MD17" s="30"/>
      <c r="ME17" s="30"/>
      <c r="MF17" s="30"/>
      <c r="MG17" s="30"/>
      <c r="MH17" s="30"/>
      <c r="MI17" s="30"/>
      <c r="MJ17" s="30"/>
      <c r="MK17" s="30"/>
      <c r="ML17" s="30"/>
      <c r="MM17" s="30"/>
      <c r="MN17" s="30"/>
      <c r="MO17" s="30"/>
      <c r="MP17" s="30"/>
      <c r="MQ17" s="30"/>
      <c r="MR17" s="30"/>
      <c r="MS17" s="30"/>
      <c r="MT17" s="30"/>
      <c r="MU17" s="30"/>
      <c r="MV17" s="30"/>
      <c r="MW17" s="30"/>
      <c r="MX17" s="30"/>
      <c r="MY17" s="30"/>
      <c r="MZ17" s="30"/>
      <c r="NA17" s="30"/>
      <c r="NB17" s="30"/>
      <c r="NC17" s="30"/>
      <c r="ND17" s="30"/>
      <c r="NE17" s="30"/>
      <c r="NF17" s="30"/>
      <c r="NG17" s="30"/>
      <c r="NH17" s="30"/>
      <c r="NI17" s="30"/>
      <c r="NJ17" s="30"/>
      <c r="NK17" s="30"/>
      <c r="NL17" s="30"/>
      <c r="NM17" s="30"/>
      <c r="NN17" s="30"/>
      <c r="NO17" s="30"/>
      <c r="NP17" s="30"/>
      <c r="NQ17" s="30"/>
      <c r="NR17" s="30"/>
      <c r="NS17" s="30"/>
      <c r="NT17" s="30"/>
      <c r="NU17" s="30"/>
      <c r="NV17" s="30"/>
      <c r="NW17" s="30"/>
      <c r="NX17" s="30"/>
      <c r="NY17" s="30"/>
      <c r="NZ17" s="30"/>
      <c r="OA17" s="30"/>
      <c r="OB17" s="30"/>
      <c r="OC17" s="30"/>
      <c r="OD17" s="30"/>
      <c r="OE17" s="30"/>
      <c r="OF17" s="30"/>
      <c r="OG17" s="30"/>
      <c r="OH17" s="30"/>
      <c r="OI17" s="30"/>
      <c r="OJ17" s="30"/>
      <c r="OK17" s="30"/>
      <c r="OL17" s="30"/>
      <c r="OM17" s="30"/>
      <c r="ON17" s="30"/>
      <c r="OO17" s="30"/>
      <c r="OP17" s="30"/>
      <c r="OQ17" s="30"/>
      <c r="OR17" s="30"/>
      <c r="OS17" s="30"/>
      <c r="OT17" s="30"/>
      <c r="OU17" s="30"/>
      <c r="OV17" s="30"/>
    </row>
    <row r="18" ht="18.0" customHeight="1">
      <c r="A18" s="29">
        <v>17.0</v>
      </c>
      <c r="B18" s="30" t="s">
        <v>1564</v>
      </c>
      <c r="C18" s="31" t="s">
        <v>1815</v>
      </c>
      <c r="D18" s="30" t="s">
        <v>1608</v>
      </c>
      <c r="E18" s="29">
        <v>30.0</v>
      </c>
      <c r="F18" s="29">
        <f>COUNTIF('Tổng hợp 75 trang đích'!$B$2:$B$3400,$D18)</f>
        <v>30</v>
      </c>
      <c r="G18" s="29">
        <f>COUNTIFS('Tổng hợp 75 trang đích'!$B$2:$B$3400,$D18,'Tổng hợp 75 trang đích'!$K$2:$K$3400,"PHÙ HỢP CAO")</f>
        <v>2</v>
      </c>
      <c r="H18" s="29">
        <f>COUNTIFS('Tổng hợp 75 trang đích'!$B$2:$B$3400,$D18,'Tổng hợp 75 trang đích'!$K$2:$K$3400,"CÓ THỂ ĐI")</f>
        <v>3</v>
      </c>
      <c r="I18" s="29">
        <f>COUNTIFS('Tổng hợp 75 trang đích'!$B$2:$B$3400,$D18,'Tổng hợp 75 trang đích'!$K$2:$K$3400,"CẦN SOÁT")</f>
        <v>25</v>
      </c>
      <c r="J18" s="32" t="s">
        <v>714</v>
      </c>
      <c r="K18" s="32" t="b">
        <v>0</v>
      </c>
      <c r="L18" s="33" t="s">
        <v>52</v>
      </c>
      <c r="M18" s="30" t="str">
        <f>IFERROR(__xludf.DUMMYFUNCTION("IFERROR(TOROW(CHOOSECOLS(SORT(FILTER({'Tổng hợp 75 trang đích'!$J$2:$J$3400,'Tổng hợp 75 trang đích'!$I$2:$I$3400,MATCH('Tổng hợp 75 trang đích'!$K$2:$K$3400,{""PHÙ HỢP CAO"",""CÓ THỂ ĐI"",""CẦN SOÁT""},0)},'Tổng hợp 75 trang đích'!$B$2:$B$3400=$D18),3,TR"&amp;"UE),1,2)),"""")"),"độ tuổi mở tài khoản ngân hàng")</f>
        <v>độ tuổi mở tài khoản ngân hàng</v>
      </c>
      <c r="N18" s="34" t="str">
        <f>IFERROR(__xludf.DUMMYFUNCTION("""COMPUTED_VALUE"""),"https://techcombank.com/thong-tin/blog/mo-tai-khoan-ngan-hang-cho-tre-em")</f>
        <v>https://techcombank.com/thong-tin/blog/mo-tai-khoan-ngan-hang-cho-tre-em</v>
      </c>
      <c r="O18" s="30" t="str">
        <f>IFERROR(__xludf.DUMMYFUNCTION("""COMPUTED_VALUE"""),"bao nhiêu tuổi được mở tài khoản ngân hàng")</f>
        <v>bao nhiêu tuổi được mở tài khoản ngân hàng</v>
      </c>
      <c r="P18" s="34" t="str">
        <f>IFERROR(__xludf.DUMMYFUNCTION("""COMPUTED_VALUE"""),"https://techcombank.com/thong-tin/blog/hoc-sinh-sinh-vien-nen-lam-the-ngan-hang-nao")</f>
        <v>https://techcombank.com/thong-tin/blog/hoc-sinh-sinh-vien-nen-lam-the-ngan-hang-nao</v>
      </c>
      <c r="Q18" s="30" t="str">
        <f>IFERROR(__xludf.DUMMYFUNCTION("""COMPUTED_VALUE"""),"bao nhiêu tuổi được mở tài khoản ngân hàng")</f>
        <v>bao nhiêu tuổi được mở tài khoản ngân hàng</v>
      </c>
      <c r="R18" s="34" t="str">
        <f>IFERROR(__xludf.DUMMYFUNCTION("""COMPUTED_VALUE"""),"https://techcombank.com/thong-tin/blog/cach-lam-the-atm")</f>
        <v>https://techcombank.com/thong-tin/blog/cach-lam-the-atm</v>
      </c>
      <c r="S18" s="30" t="str">
        <f>IFERROR(__xludf.DUMMYFUNCTION("""COMPUTED_VALUE"""),"bao nhiêu tuổi được mở tài khoản ngân hàng")</f>
        <v>bao nhiêu tuổi được mở tài khoản ngân hàng</v>
      </c>
      <c r="T18" s="34" t="str">
        <f>IFERROR(__xludf.DUMMYFUNCTION("""COMPUTED_VALUE"""),"https://techcombank.com/thong-tin/blog/1-nguoi-co-the-lam-duoc-bao-nhieu-the-atm")</f>
        <v>https://techcombank.com/thong-tin/blog/1-nguoi-co-the-lam-duoc-bao-nhieu-the-atm</v>
      </c>
      <c r="U18" s="30" t="str">
        <f>IFERROR(__xludf.DUMMYFUNCTION("""COMPUTED_VALUE"""),"bao nhiêu tuổi được mở tài khoản ngân hàng")</f>
        <v>bao nhiêu tuổi được mở tài khoản ngân hàng</v>
      </c>
      <c r="V18" s="34" t="str">
        <f>IFERROR(__xludf.DUMMYFUNCTION("""COMPUTED_VALUE"""),"https://techcombank.com/thong-tin/blog/lam-the-atm-bao-lau-co")</f>
        <v>https://techcombank.com/thong-tin/blog/lam-the-atm-bao-lau-co</v>
      </c>
      <c r="W18" s="30" t="str">
        <f>IFERROR(__xludf.DUMMYFUNCTION("""COMPUTED_VALUE"""),"bao nhiêu tuổi được mở tài khoản ngân hàng")</f>
        <v>bao nhiêu tuổi được mở tài khoản ngân hàng</v>
      </c>
      <c r="X18" s="34" t="str">
        <f>IFERROR(__xludf.DUMMYFUNCTION("""COMPUTED_VALUE"""),"https://techcombank.com/thong-tin/blog/quan-ly-chuoi-cua-hang")</f>
        <v>https://techcombank.com/thong-tin/blog/quan-ly-chuoi-cua-hang</v>
      </c>
      <c r="Y18" s="30" t="str">
        <f>IFERROR(__xludf.DUMMYFUNCTION("""COMPUTED_VALUE"""),"bao nhiêu tuổi được mở tài khoản ngân hàng")</f>
        <v>bao nhiêu tuổi được mở tài khoản ngân hàng</v>
      </c>
      <c r="Z18" s="34" t="str">
        <f>IFERROR(__xludf.DUMMYFUNCTION("""COMPUTED_VALUE"""),"https://techcombank.com/thong-tin/blog/cach-chuyen-tien-qua-ma-qr-techcombank")</f>
        <v>https://techcombank.com/thong-tin/blog/cach-chuyen-tien-qua-ma-qr-techcombank</v>
      </c>
      <c r="AA18" s="30" t="str">
        <f>IFERROR(__xludf.DUMMYFUNCTION("""COMPUTED_VALUE"""),"bao nhiêu tuổi được mở tài khoản ngân hàng")</f>
        <v>bao nhiêu tuổi được mở tài khoản ngân hàng</v>
      </c>
      <c r="AB18" s="34" t="str">
        <f>IFERROR(__xludf.DUMMYFUNCTION("""COMPUTED_VALUE"""),"https://techcombank.com/thong-tin/blog/nho-nguoi-than-mo-tai-khoan-ngan-hang")</f>
        <v>https://techcombank.com/thong-tin/blog/nho-nguoi-than-mo-tai-khoan-ngan-hang</v>
      </c>
      <c r="AC18" s="30" t="str">
        <f>IFERROR(__xludf.DUMMYFUNCTION("""COMPUTED_VALUE"""),"bao nhiêu tuổi được mở tài khoản ngân hàng")</f>
        <v>bao nhiêu tuổi được mở tài khoản ngân hàng</v>
      </c>
      <c r="AD18" s="34" t="str">
        <f>IFERROR(__xludf.DUMMYFUNCTION("""COMPUTED_VALUE"""),"https://techcombank.com/thong-tin/blog/lam-the-atm-co-mat-phi-khong")</f>
        <v>https://techcombank.com/thong-tin/blog/lam-the-atm-co-mat-phi-khong</v>
      </c>
      <c r="AE18" s="30" t="str">
        <f>IFERROR(__xludf.DUMMYFUNCTION("""COMPUTED_VALUE"""),"bao nhiêu tuổi được mở tài khoản ngân hàng")</f>
        <v>bao nhiêu tuổi được mở tài khoản ngân hàng</v>
      </c>
      <c r="AF18" s="34" t="str">
        <f>IFERROR(__xludf.DUMMYFUNCTION("""COMPUTED_VALUE"""),"https://techcombank.com/thong-tin/blog/ma-otp-la-gi")</f>
        <v>https://techcombank.com/thong-tin/blog/ma-otp-la-gi</v>
      </c>
      <c r="AG18" s="30" t="str">
        <f>IFERROR(__xludf.DUMMYFUNCTION("""COMPUTED_VALUE"""),"bao nhiêu tuổi được mở tài khoản ngân hàng")</f>
        <v>bao nhiêu tuổi được mở tài khoản ngân hàng</v>
      </c>
      <c r="AH18" s="34" t="str">
        <f>IFERROR(__xludf.DUMMYFUNCTION("""COMPUTED_VALUE"""),"https://techcombank.com/thong-tin/blog/ngan-hang-so-cho-doanh-nghiep")</f>
        <v>https://techcombank.com/thong-tin/blog/ngan-hang-so-cho-doanh-nghiep</v>
      </c>
      <c r="AI18" s="30" t="str">
        <f>IFERROR(__xludf.DUMMYFUNCTION("""COMPUTED_VALUE"""),"bao nhiêu tuổi được mở tài khoản ngân hàng")</f>
        <v>bao nhiêu tuổi được mở tài khoản ngân hàng</v>
      </c>
      <c r="AJ18" s="34" t="str">
        <f>IFERROR(__xludf.DUMMYFUNCTION("""COMPUTED_VALUE"""),"https://techcombank.com/thong-tin/blog/cach-chon-so-tai-khoan-dep")</f>
        <v>https://techcombank.com/thong-tin/blog/cach-chon-so-tai-khoan-dep</v>
      </c>
      <c r="AK18" s="30" t="str">
        <f>IFERROR(__xludf.DUMMYFUNCTION("""COMPUTED_VALUE"""),"bao nhiêu tuổi được mở tài khoản ngân hàng")</f>
        <v>bao nhiêu tuổi được mở tài khoản ngân hàng</v>
      </c>
      <c r="AL18" s="34" t="str">
        <f>IFERROR(__xludf.DUMMYFUNCTION("""COMPUTED_VALUE"""),"https://techcombank.com/thong-tin/blog/co-nen-dung-the-tin-dung-khong")</f>
        <v>https://techcombank.com/thong-tin/blog/co-nen-dung-the-tin-dung-khong</v>
      </c>
      <c r="AM18" s="30" t="str">
        <f>IFERROR(__xludf.DUMMYFUNCTION("""COMPUTED_VALUE"""),"bao nhiêu tuổi được mở tài khoản ngân hàng")</f>
        <v>bao nhiêu tuổi được mở tài khoản ngân hàng</v>
      </c>
      <c r="AN18" s="34" t="str">
        <f>IFERROR(__xludf.DUMMYFUNCTION("""COMPUTED_VALUE"""),"https://techcombank.com/thong-tin/blog/lam-the-visa-o-dau")</f>
        <v>https://techcombank.com/thong-tin/blog/lam-the-visa-o-dau</v>
      </c>
      <c r="AO18" s="30" t="str">
        <f>IFERROR(__xludf.DUMMYFUNCTION("""COMPUTED_VALUE"""),"bao nhiêu tuổi được mở tài khoản ngân hàng")</f>
        <v>bao nhiêu tuổi được mở tài khoản ngân hàng</v>
      </c>
      <c r="AP18" s="34" t="str">
        <f>IFERROR(__xludf.DUMMYFUNCTION("""COMPUTED_VALUE"""),"https://techcombank.com/thong-tin/blog/mo-tai-khoan-ngan-hang-duoi-18-tuoi")</f>
        <v>https://techcombank.com/thong-tin/blog/mo-tai-khoan-ngan-hang-duoi-18-tuoi</v>
      </c>
      <c r="AQ18" s="30" t="str">
        <f>IFERROR(__xludf.DUMMYFUNCTION("""COMPUTED_VALUE"""),"bao nhiêu tuổi được mở tài khoản ngân hàng")</f>
        <v>bao nhiêu tuổi được mở tài khoản ngân hàng</v>
      </c>
      <c r="AR18" s="34" t="str">
        <f>IFERROR(__xludf.DUMMYFUNCTION("""COMPUTED_VALUE"""),"https://techcombank.com/thong-tin/blog/mat-so-dien-thoai-dang-ky-tai-khoan-ngan-hang")</f>
        <v>https://techcombank.com/thong-tin/blog/mat-so-dien-thoai-dang-ky-tai-khoan-ngan-hang</v>
      </c>
      <c r="AS18" s="30" t="str">
        <f>IFERROR(__xludf.DUMMYFUNCTION("""COMPUTED_VALUE"""),"bao nhiêu tuổi được mở tài khoản ngân hàng")</f>
        <v>bao nhiêu tuổi được mở tài khoản ngân hàng</v>
      </c>
      <c r="AT18" s="34" t="str">
        <f>IFERROR(__xludf.DUMMYFUNCTION("""COMPUTED_VALUE"""),"https://techcombank.com/thong-tin/blog/vay-tin-chap-cho-doanh-nghiep-moi-thanh-lap")</f>
        <v>https://techcombank.com/thong-tin/blog/vay-tin-chap-cho-doanh-nghiep-moi-thanh-lap</v>
      </c>
      <c r="AU18" s="30" t="str">
        <f>IFERROR(__xludf.DUMMYFUNCTION("""COMPUTED_VALUE"""),"bao nhiêu tuổi được mở tài khoản ngân hàng")</f>
        <v>bao nhiêu tuổi được mở tài khoản ngân hàng</v>
      </c>
      <c r="AV18" s="34" t="str">
        <f>IFERROR(__xludf.DUMMYFUNCTION("""COMPUTED_VALUE"""),"https://techcombank.com/thong-tin/blog/vi-du-ve-ca-nhan-hoa")</f>
        <v>https://techcombank.com/thong-tin/blog/vi-du-ve-ca-nhan-hoa</v>
      </c>
      <c r="AW18" s="30" t="str">
        <f>IFERROR(__xludf.DUMMYFUNCTION("""COMPUTED_VALUE"""),"bao nhiêu tuổi được mở tài khoản ngân hàng")</f>
        <v>bao nhiêu tuổi được mở tài khoản ngân hàng</v>
      </c>
      <c r="AX18" s="34" t="str">
        <f>IFERROR(__xludf.DUMMYFUNCTION("""COMPUTED_VALUE"""),"https://techcombank.com/thong-tin/blog/lam-the-tin-dung")</f>
        <v>https://techcombank.com/thong-tin/blog/lam-the-tin-dung</v>
      </c>
      <c r="AY18" s="30" t="str">
        <f>IFERROR(__xludf.DUMMYFUNCTION("""COMPUTED_VALUE"""),"bao nhiêu tuổi được mở tài khoản ngân hàng")</f>
        <v>bao nhiêu tuổi được mở tài khoản ngân hàng</v>
      </c>
      <c r="AZ18" s="34" t="str">
        <f>IFERROR(__xludf.DUMMYFUNCTION("""COMPUTED_VALUE"""),"https://techcombank.com/thong-tin/blog/shopeepay-la-gi")</f>
        <v>https://techcombank.com/thong-tin/blog/shopeepay-la-gi</v>
      </c>
      <c r="BA18" s="30" t="str">
        <f>IFERROR(__xludf.DUMMYFUNCTION("""COMPUTED_VALUE"""),"bao nhiêu tuổi được mở tài khoản ngân hàng")</f>
        <v>bao nhiêu tuổi được mở tài khoản ngân hàng</v>
      </c>
      <c r="BB18" s="34" t="str">
        <f>IFERROR(__xludf.DUMMYFUNCTION("""COMPUTED_VALUE"""),"https://techcombank.com/thong-tin/blog/mo-tai-khoan-ho-kinh-doanh")</f>
        <v>https://techcombank.com/thong-tin/blog/mo-tai-khoan-ho-kinh-doanh</v>
      </c>
      <c r="BC18" s="30" t="str">
        <f>IFERROR(__xludf.DUMMYFUNCTION("""COMPUTED_VALUE"""),"bao nhiêu tuổi được mở tài khoản ngân hàng")</f>
        <v>bao nhiêu tuổi được mở tài khoản ngân hàng</v>
      </c>
      <c r="BD18" s="34" t="str">
        <f>IFERROR(__xludf.DUMMYFUNCTION("""COMPUTED_VALUE"""),"https://techcombank.com/thong-tin/blog/kinh-nghiem-gui-tiet-kiem-online")</f>
        <v>https://techcombank.com/thong-tin/blog/kinh-nghiem-gui-tiet-kiem-online</v>
      </c>
      <c r="BE18" s="30" t="str">
        <f>IFERROR(__xludf.DUMMYFUNCTION("""COMPUTED_VALUE"""),"bao nhiêu tuổi được mở tài khoản ngân hàng")</f>
        <v>bao nhiêu tuổi được mở tài khoản ngân hàng</v>
      </c>
      <c r="BF18" s="34" t="str">
        <f>IFERROR(__xludf.DUMMYFUNCTION("""COMPUTED_VALUE"""),"https://techcombank.com/thong-tin/blog/lam-the-visa-online")</f>
        <v>https://techcombank.com/thong-tin/blog/lam-the-visa-online</v>
      </c>
      <c r="BG18" s="30" t="str">
        <f>IFERROR(__xludf.DUMMYFUNCTION("""COMPUTED_VALUE"""),"bao nhiêu tuổi được mở tài khoản ngân hàng")</f>
        <v>bao nhiêu tuổi được mở tài khoản ngân hàng</v>
      </c>
      <c r="BH18" s="34" t="str">
        <f>IFERROR(__xludf.DUMMYFUNCTION("""COMPUTED_VALUE"""),"https://techcombank.com/thong-tin/blog/ty-le-khach-hang-su-dung-chu-ky-so-trong-linh-vuc-ngan-hang-dang-o-muc-5")</f>
        <v>https://techcombank.com/thong-tin/blog/ty-le-khach-hang-su-dung-chu-ky-so-trong-linh-vuc-ngan-hang-dang-o-muc-5</v>
      </c>
      <c r="BI18" s="30" t="str">
        <f>IFERROR(__xludf.DUMMYFUNCTION("""COMPUTED_VALUE"""),"bao nhiêu tuổi được mở tài khoản ngân hàng")</f>
        <v>bao nhiêu tuổi được mở tài khoản ngân hàng</v>
      </c>
      <c r="BJ18" s="34" t="str">
        <f>IFERROR(__xludf.DUMMYFUNCTION("""COMPUTED_VALUE"""),"https://techcombank.com/thong-tin/blog/the-debit-cho-con")</f>
        <v>https://techcombank.com/thong-tin/blog/the-debit-cho-con</v>
      </c>
      <c r="BK18" s="30" t="str">
        <f>IFERROR(__xludf.DUMMYFUNCTION("""COMPUTED_VALUE"""),"bao nhiêu tuổi được mở tài khoản ngân hàng")</f>
        <v>bao nhiêu tuổi được mở tài khoản ngân hàng</v>
      </c>
      <c r="BL18" s="34" t="str">
        <f>IFERROR(__xludf.DUMMYFUNCTION("""COMPUTED_VALUE"""),"https://techcombank.com/thong-tin/blog/lam-the-thanh-toan-quoc-te")</f>
        <v>https://techcombank.com/thong-tin/blog/lam-the-thanh-toan-quoc-te</v>
      </c>
      <c r="BM18" s="30" t="str">
        <f>IFERROR(__xludf.DUMMYFUNCTION("""COMPUTED_VALUE"""),"bao nhiêu tuổi được mở tài khoản ngân hàng")</f>
        <v>bao nhiêu tuổi được mở tài khoản ngân hàng</v>
      </c>
      <c r="BN18" s="34" t="str">
        <f>IFERROR(__xludf.DUMMYFUNCTION("""COMPUTED_VALUE"""),"https://techcombank.com/thong-tin/blog/vay-thau-chi-bang-so-tiet-kiem")</f>
        <v>https://techcombank.com/thong-tin/blog/vay-thau-chi-bang-so-tiet-kiem</v>
      </c>
      <c r="BO18" s="30" t="str">
        <f>IFERROR(__xludf.DUMMYFUNCTION("""COMPUTED_VALUE"""),"bao nhiêu tuổi được mở tài khoản ngân hàng")</f>
        <v>bao nhiêu tuổi được mở tài khoản ngân hàng</v>
      </c>
      <c r="BP18" s="34" t="str">
        <f>IFERROR(__xludf.DUMMYFUNCTION("""COMPUTED_VALUE"""),"https://techcombank.com/thong-tin/blog/thanh-toan-hoc-phi-online")</f>
        <v>https://techcombank.com/thong-tin/blog/thanh-toan-hoc-phi-online</v>
      </c>
      <c r="BQ18" s="30" t="str">
        <f>IFERROR(__xludf.DUMMYFUNCTION("""COMPUTED_VALUE"""),"bao nhiêu tuổi được mở tài khoản ngân hàng")</f>
        <v>bao nhiêu tuổi được mở tài khoản ngân hàng</v>
      </c>
      <c r="BR18" s="34" t="str">
        <f>IFERROR(__xludf.DUMMYFUNCTION("""COMPUTED_VALUE"""),"https://techcombank.com/thong-tin/blog/cach-chuyen-tien")</f>
        <v>https://techcombank.com/thong-tin/blog/cach-chuyen-tien</v>
      </c>
      <c r="BS18" s="30" t="str">
        <f>IFERROR(__xludf.DUMMYFUNCTION("""COMPUTED_VALUE"""),"bao nhiêu tuổi được mở tài khoản ngân hàng")</f>
        <v>bao nhiêu tuổi được mở tài khoản ngân hàng</v>
      </c>
      <c r="BT18" s="34" t="str">
        <f>IFERROR(__xludf.DUMMYFUNCTION("""COMPUTED_VALUE"""),"https://techcombank.com/thong-tin/blog/tai-khoan-ngan-hang-con-0-dong-co-sao-khong")</f>
        <v>https://techcombank.com/thong-tin/blog/tai-khoan-ngan-hang-con-0-dong-co-sao-khong</v>
      </c>
      <c r="BU18" s="30"/>
      <c r="BV18" s="30"/>
      <c r="BW18" s="30"/>
      <c r="BX18" s="30"/>
      <c r="BY18" s="30"/>
      <c r="BZ18" s="30"/>
      <c r="CA18" s="30"/>
      <c r="CB18" s="30"/>
      <c r="CC18" s="30"/>
      <c r="CD18" s="30"/>
      <c r="CE18" s="30"/>
      <c r="CF18" s="30"/>
      <c r="CG18" s="30"/>
      <c r="CH18" s="30"/>
      <c r="CI18" s="30"/>
      <c r="CJ18" s="30"/>
      <c r="CK18" s="30"/>
      <c r="CL18" s="30"/>
      <c r="CM18" s="30"/>
      <c r="CN18" s="30"/>
      <c r="CO18" s="30"/>
      <c r="CP18" s="30"/>
      <c r="CQ18" s="30"/>
      <c r="CR18" s="30"/>
      <c r="CS18" s="30"/>
      <c r="CT18" s="30"/>
      <c r="CU18" s="30"/>
      <c r="CV18" s="30"/>
      <c r="CW18" s="30"/>
      <c r="CX18" s="30"/>
      <c r="CY18" s="30"/>
      <c r="CZ18" s="30"/>
      <c r="DA18" s="30"/>
      <c r="DB18" s="30"/>
      <c r="DC18" s="30"/>
      <c r="DD18" s="30"/>
      <c r="DE18" s="30"/>
      <c r="DF18" s="30"/>
      <c r="DG18" s="30"/>
      <c r="DH18" s="30"/>
      <c r="DI18" s="30"/>
      <c r="DJ18" s="30"/>
      <c r="DK18" s="30"/>
      <c r="DL18" s="30"/>
      <c r="DM18" s="30"/>
      <c r="DN18" s="30"/>
      <c r="DO18" s="30"/>
      <c r="DP18" s="30"/>
      <c r="DQ18" s="30"/>
      <c r="DR18" s="30"/>
      <c r="DS18" s="30"/>
      <c r="DT18" s="30"/>
      <c r="DU18" s="30"/>
      <c r="DV18" s="30"/>
      <c r="DW18" s="30"/>
      <c r="DX18" s="30"/>
      <c r="DY18" s="30"/>
      <c r="DZ18" s="30"/>
      <c r="EA18" s="30"/>
      <c r="EB18" s="30"/>
      <c r="EC18" s="30"/>
      <c r="ED18" s="30"/>
      <c r="EE18" s="30"/>
      <c r="EF18" s="30"/>
      <c r="EG18" s="30"/>
      <c r="EH18" s="30"/>
      <c r="EI18" s="30"/>
      <c r="EJ18" s="30"/>
      <c r="EK18" s="30"/>
      <c r="EL18" s="30"/>
      <c r="EM18" s="30"/>
      <c r="EN18" s="30"/>
      <c r="EO18" s="30"/>
      <c r="EP18" s="30"/>
      <c r="EQ18" s="30"/>
      <c r="ER18" s="30"/>
      <c r="ES18" s="30"/>
      <c r="ET18" s="30"/>
      <c r="EU18" s="30"/>
      <c r="EV18" s="30"/>
      <c r="EW18" s="30"/>
      <c r="EX18" s="30"/>
      <c r="EY18" s="30"/>
      <c r="EZ18" s="30"/>
      <c r="FA18" s="30"/>
      <c r="FB18" s="30"/>
      <c r="FC18" s="30"/>
      <c r="FD18" s="30"/>
      <c r="FE18" s="30"/>
      <c r="FF18" s="30"/>
      <c r="FG18" s="30"/>
      <c r="FH18" s="30"/>
      <c r="FI18" s="30"/>
      <c r="FJ18" s="30"/>
      <c r="FK18" s="30"/>
      <c r="FL18" s="30"/>
      <c r="FM18" s="30"/>
      <c r="FN18" s="30"/>
      <c r="FO18" s="30"/>
      <c r="FP18" s="30"/>
      <c r="FQ18" s="30"/>
      <c r="FR18" s="30"/>
      <c r="FS18" s="30"/>
      <c r="FT18" s="30"/>
      <c r="FU18" s="30"/>
      <c r="FV18" s="30"/>
      <c r="FW18" s="30"/>
      <c r="FX18" s="30"/>
      <c r="FY18" s="30"/>
      <c r="FZ18" s="30"/>
      <c r="GA18" s="30"/>
      <c r="GB18" s="30"/>
      <c r="GC18" s="30"/>
      <c r="GD18" s="30"/>
      <c r="GE18" s="30"/>
      <c r="GF18" s="30"/>
      <c r="GG18" s="30"/>
      <c r="GH18" s="30"/>
      <c r="GI18" s="30"/>
      <c r="GJ18" s="30"/>
      <c r="GK18" s="30"/>
      <c r="GL18" s="30"/>
      <c r="GM18" s="30"/>
      <c r="GN18" s="30"/>
      <c r="GO18" s="30"/>
      <c r="GP18" s="30"/>
      <c r="GQ18" s="30"/>
      <c r="GR18" s="30"/>
      <c r="GS18" s="30"/>
      <c r="GT18" s="30"/>
      <c r="GU18" s="30"/>
      <c r="GV18" s="30"/>
      <c r="GW18" s="30"/>
      <c r="GX18" s="30"/>
      <c r="GY18" s="30"/>
      <c r="GZ18" s="30"/>
      <c r="HA18" s="30"/>
      <c r="HB18" s="30"/>
      <c r="HC18" s="30"/>
      <c r="HD18" s="30"/>
      <c r="HE18" s="30"/>
      <c r="HF18" s="30"/>
      <c r="HG18" s="30"/>
      <c r="HH18" s="30"/>
      <c r="HI18" s="30"/>
      <c r="HJ18" s="30"/>
      <c r="HK18" s="30"/>
      <c r="HL18" s="30"/>
      <c r="HM18" s="30"/>
      <c r="HN18" s="30"/>
      <c r="HO18" s="30"/>
      <c r="HP18" s="30"/>
      <c r="HQ18" s="30"/>
      <c r="HR18" s="30"/>
      <c r="HS18" s="30"/>
      <c r="HT18" s="30"/>
      <c r="HU18" s="30"/>
      <c r="HV18" s="30"/>
      <c r="HW18" s="30"/>
      <c r="HX18" s="30"/>
      <c r="HY18" s="30"/>
      <c r="HZ18" s="30"/>
      <c r="IA18" s="30"/>
      <c r="IB18" s="30"/>
      <c r="IC18" s="30"/>
      <c r="ID18" s="30"/>
      <c r="IE18" s="30"/>
      <c r="IF18" s="30"/>
      <c r="IG18" s="30"/>
      <c r="IH18" s="30"/>
      <c r="II18" s="30"/>
      <c r="IJ18" s="30"/>
      <c r="IK18" s="30"/>
      <c r="IL18" s="30"/>
      <c r="IM18" s="30"/>
      <c r="IN18" s="30"/>
      <c r="IO18" s="30"/>
      <c r="IP18" s="30"/>
      <c r="IQ18" s="30"/>
      <c r="IR18" s="30"/>
      <c r="IS18" s="30"/>
      <c r="IT18" s="30"/>
      <c r="IU18" s="30"/>
      <c r="IV18" s="30"/>
      <c r="IW18" s="30"/>
      <c r="IX18" s="30"/>
      <c r="IY18" s="30"/>
      <c r="IZ18" s="30"/>
      <c r="JA18" s="30"/>
      <c r="JB18" s="30"/>
      <c r="JC18" s="30"/>
      <c r="JD18" s="30"/>
      <c r="JE18" s="30"/>
      <c r="JF18" s="30"/>
      <c r="JG18" s="30"/>
      <c r="JH18" s="30"/>
      <c r="JI18" s="30"/>
      <c r="JJ18" s="30"/>
      <c r="JK18" s="30"/>
      <c r="JL18" s="30"/>
      <c r="JM18" s="30"/>
      <c r="JN18" s="30"/>
      <c r="JO18" s="30"/>
      <c r="JP18" s="30"/>
      <c r="JQ18" s="30"/>
      <c r="JR18" s="30"/>
      <c r="JS18" s="30"/>
      <c r="JT18" s="30"/>
      <c r="JU18" s="30"/>
      <c r="JV18" s="30"/>
      <c r="JW18" s="30"/>
      <c r="JX18" s="30"/>
      <c r="JY18" s="30"/>
      <c r="JZ18" s="30"/>
      <c r="KA18" s="30"/>
      <c r="KB18" s="30"/>
      <c r="KC18" s="30"/>
      <c r="KD18" s="30"/>
      <c r="KE18" s="30"/>
      <c r="KF18" s="30"/>
      <c r="KG18" s="30"/>
      <c r="KH18" s="30"/>
      <c r="KI18" s="30"/>
      <c r="KJ18" s="30"/>
      <c r="KK18" s="30"/>
      <c r="KL18" s="30"/>
      <c r="KM18" s="30"/>
      <c r="KN18" s="30"/>
      <c r="KO18" s="30"/>
      <c r="KP18" s="30"/>
      <c r="KQ18" s="30"/>
      <c r="KR18" s="30"/>
      <c r="KS18" s="30"/>
      <c r="KT18" s="30"/>
      <c r="KU18" s="30"/>
      <c r="KV18" s="30"/>
      <c r="KW18" s="30"/>
      <c r="KX18" s="30"/>
      <c r="KY18" s="30"/>
      <c r="KZ18" s="30"/>
      <c r="LA18" s="30"/>
      <c r="LB18" s="30"/>
      <c r="LC18" s="30"/>
      <c r="LD18" s="30"/>
      <c r="LE18" s="30"/>
      <c r="LF18" s="30"/>
      <c r="LG18" s="30"/>
      <c r="LH18" s="30"/>
      <c r="LI18" s="30"/>
      <c r="LJ18" s="30"/>
      <c r="LK18" s="30"/>
      <c r="LL18" s="30"/>
      <c r="LM18" s="30"/>
      <c r="LN18" s="30"/>
      <c r="LO18" s="30"/>
      <c r="LP18" s="30"/>
      <c r="LQ18" s="30"/>
      <c r="LR18" s="30"/>
      <c r="LS18" s="30"/>
      <c r="LT18" s="30"/>
      <c r="LU18" s="30"/>
      <c r="LV18" s="30"/>
      <c r="LW18" s="30"/>
      <c r="LX18" s="30"/>
      <c r="LY18" s="30"/>
      <c r="LZ18" s="30"/>
      <c r="MA18" s="30"/>
      <c r="MB18" s="30"/>
      <c r="MC18" s="30"/>
      <c r="MD18" s="30"/>
      <c r="ME18" s="30"/>
      <c r="MF18" s="30"/>
      <c r="MG18" s="30"/>
      <c r="MH18" s="30"/>
      <c r="MI18" s="30"/>
      <c r="MJ18" s="30"/>
      <c r="MK18" s="30"/>
      <c r="ML18" s="30"/>
      <c r="MM18" s="30"/>
      <c r="MN18" s="30"/>
      <c r="MO18" s="30"/>
      <c r="MP18" s="30"/>
      <c r="MQ18" s="30"/>
      <c r="MR18" s="30"/>
      <c r="MS18" s="30"/>
      <c r="MT18" s="30"/>
      <c r="MU18" s="30"/>
      <c r="MV18" s="30"/>
      <c r="MW18" s="30"/>
      <c r="MX18" s="30"/>
      <c r="MY18" s="30"/>
      <c r="MZ18" s="30"/>
      <c r="NA18" s="30"/>
      <c r="NB18" s="30"/>
      <c r="NC18" s="30"/>
      <c r="ND18" s="30"/>
      <c r="NE18" s="30"/>
      <c r="NF18" s="30"/>
      <c r="NG18" s="30"/>
      <c r="NH18" s="30"/>
      <c r="NI18" s="30"/>
      <c r="NJ18" s="30"/>
      <c r="NK18" s="30"/>
      <c r="NL18" s="30"/>
      <c r="NM18" s="30"/>
      <c r="NN18" s="30"/>
      <c r="NO18" s="30"/>
      <c r="NP18" s="30"/>
      <c r="NQ18" s="30"/>
      <c r="NR18" s="30"/>
      <c r="NS18" s="30"/>
      <c r="NT18" s="30"/>
      <c r="NU18" s="30"/>
      <c r="NV18" s="30"/>
      <c r="NW18" s="30"/>
      <c r="NX18" s="30"/>
      <c r="NY18" s="30"/>
      <c r="NZ18" s="30"/>
      <c r="OA18" s="30"/>
      <c r="OB18" s="30"/>
      <c r="OC18" s="30"/>
      <c r="OD18" s="30"/>
      <c r="OE18" s="30"/>
      <c r="OF18" s="30"/>
      <c r="OG18" s="30"/>
      <c r="OH18" s="30"/>
      <c r="OI18" s="30"/>
      <c r="OJ18" s="30"/>
      <c r="OK18" s="30"/>
      <c r="OL18" s="30"/>
      <c r="OM18" s="30"/>
      <c r="ON18" s="30"/>
      <c r="OO18" s="30"/>
      <c r="OP18" s="30"/>
      <c r="OQ18" s="30"/>
      <c r="OR18" s="30"/>
      <c r="OS18" s="30"/>
      <c r="OT18" s="30"/>
      <c r="OU18" s="30"/>
      <c r="OV18" s="30"/>
    </row>
    <row r="19" ht="18.0" customHeight="1">
      <c r="A19" s="29">
        <v>18.0</v>
      </c>
      <c r="B19" s="30" t="s">
        <v>1564</v>
      </c>
      <c r="C19" s="31" t="s">
        <v>1893</v>
      </c>
      <c r="D19" s="30" t="s">
        <v>1618</v>
      </c>
      <c r="E19" s="29">
        <v>30.0</v>
      </c>
      <c r="F19" s="29">
        <f>COUNTIF('Tổng hợp 75 trang đích'!$B$2:$B$3400,$D19)</f>
        <v>30</v>
      </c>
      <c r="G19" s="29">
        <f>COUNTIFS('Tổng hợp 75 trang đích'!$B$2:$B$3400,$D19,'Tổng hợp 75 trang đích'!$K$2:$K$3400,"PHÙ HỢP CAO")</f>
        <v>1</v>
      </c>
      <c r="H19" s="29">
        <f>COUNTIFS('Tổng hợp 75 trang đích'!$B$2:$B$3400,$D19,'Tổng hợp 75 trang đích'!$K$2:$K$3400,"CÓ THỂ ĐI")</f>
        <v>2</v>
      </c>
      <c r="I19" s="29">
        <f>COUNTIFS('Tổng hợp 75 trang đích'!$B$2:$B$3400,$D19,'Tổng hợp 75 trang đích'!$K$2:$K$3400,"CẦN SOÁT")</f>
        <v>27</v>
      </c>
      <c r="J19" s="32" t="s">
        <v>714</v>
      </c>
      <c r="K19" s="32" t="b">
        <v>0</v>
      </c>
      <c r="L19" s="33" t="s">
        <v>52</v>
      </c>
      <c r="M19" s="30" t="str">
        <f>IFERROR(__xludf.DUMMYFUNCTION("IFERROR(TOROW(CHOOSECOLS(SORT(FILTER({'Tổng hợp 75 trang đích'!$J$2:$J$3400,'Tổng hợp 75 trang đích'!$I$2:$I$3400,MATCH('Tổng hợp 75 trang đích'!$K$2:$K$3400,{""PHÙ HỢP CAO"",""CÓ THỂ ĐI"",""CẦN SOÁT""},0)},'Tổng hợp 75 trang đích'!$B$2:$B$3400=$D19),3,TR"&amp;"UE),1,2)),"""")"),"mở tài khoản ngân hàng cho học sinh")</f>
        <v>mở tài khoản ngân hàng cho học sinh</v>
      </c>
      <c r="N19" s="34" t="str">
        <f>IFERROR(__xludf.DUMMYFUNCTION("""COMPUTED_VALUE"""),"https://techcombank.com/thong-tin/blog/the-debit-cho-con")</f>
        <v>https://techcombank.com/thong-tin/blog/the-debit-cho-con</v>
      </c>
      <c r="O19" s="30" t="str">
        <f>IFERROR(__xludf.DUMMYFUNCTION("""COMPUTED_VALUE"""),"mở tài khoản ngân hàng dưới 18 tuổi")</f>
        <v>mở tài khoản ngân hàng dưới 18 tuổi</v>
      </c>
      <c r="P19" s="34" t="str">
        <f>IFERROR(__xludf.DUMMYFUNCTION("""COMPUTED_VALUE"""),"https://techcombank.com/thong-tin/blog/mo-tai-khoan-ngan-hang-bang-so-dien-thoai")</f>
        <v>https://techcombank.com/thong-tin/blog/mo-tai-khoan-ngan-hang-bang-so-dien-thoai</v>
      </c>
      <c r="Q19" s="30" t="str">
        <f>IFERROR(__xludf.DUMMYFUNCTION("""COMPUTED_VALUE"""),"mở tài khoản ngân hàng dưới 18 tuổi")</f>
        <v>mở tài khoản ngân hàng dưới 18 tuổi</v>
      </c>
      <c r="R19" s="34" t="str">
        <f>IFERROR(__xludf.DUMMYFUNCTION("""COMPUTED_VALUE"""),"https://techcombank.com/thong-tin/blog/quy-gia-dinh")</f>
        <v>https://techcombank.com/thong-tin/blog/quy-gia-dinh</v>
      </c>
      <c r="S19" s="30" t="str">
        <f>IFERROR(__xludf.DUMMYFUNCTION("""COMPUTED_VALUE"""),"mở tài khoản ngân hàng cho học sinh")</f>
        <v>mở tài khoản ngân hàng cho học sinh</v>
      </c>
      <c r="T19" s="34" t="str">
        <f>IFERROR(__xludf.DUMMYFUNCTION("""COMPUTED_VALUE"""),"https://techcombank.com/thong-tin/blog/ma-otp-la-gi")</f>
        <v>https://techcombank.com/thong-tin/blog/ma-otp-la-gi</v>
      </c>
      <c r="U19" s="30" t="str">
        <f>IFERROR(__xludf.DUMMYFUNCTION("""COMPUTED_VALUE"""),"mở tài khoản ngân hàng cho học sinh")</f>
        <v>mở tài khoản ngân hàng cho học sinh</v>
      </c>
      <c r="V19" s="34" t="str">
        <f>IFERROR(__xludf.DUMMYFUNCTION("""COMPUTED_VALUE"""),"https://techcombank.com/thong-tin/blog/mo-tai-khoan-ngan-hang-online-co-an-toan-khong")</f>
        <v>https://techcombank.com/thong-tin/blog/mo-tai-khoan-ngan-hang-online-co-an-toan-khong</v>
      </c>
      <c r="W19" s="30" t="str">
        <f>IFERROR(__xludf.DUMMYFUNCTION("""COMPUTED_VALUE"""),"mở tài khoản ngân hàng cho học sinh")</f>
        <v>mở tài khoản ngân hàng cho học sinh</v>
      </c>
      <c r="X19" s="34" t="str">
        <f>IFERROR(__xludf.DUMMYFUNCTION("""COMPUTED_VALUE"""),"https://techcombank.com/thong-tin/blog/cach-bao-ve-tai-khoan")</f>
        <v>https://techcombank.com/thong-tin/blog/cach-bao-ve-tai-khoan</v>
      </c>
      <c r="Y19" s="30" t="str">
        <f>IFERROR(__xludf.DUMMYFUNCTION("""COMPUTED_VALUE"""),"mở tài khoản ngân hàng cho học sinh")</f>
        <v>mở tài khoản ngân hàng cho học sinh</v>
      </c>
      <c r="Z19" s="34" t="str">
        <f>IFERROR(__xludf.DUMMYFUNCTION("""COMPUTED_VALUE"""),"https://techcombank.com/thong-tin/blog/xac-thuc-sinh-trac-hoc-khi-chuyen-tien")</f>
        <v>https://techcombank.com/thong-tin/blog/xac-thuc-sinh-trac-hoc-khi-chuyen-tien</v>
      </c>
      <c r="AA19" s="30" t="str">
        <f>IFERROR(__xludf.DUMMYFUNCTION("""COMPUTED_VALUE"""),"mở tài khoản ngân hàng cho học sinh")</f>
        <v>mở tài khoản ngân hàng cho học sinh</v>
      </c>
      <c r="AB19" s="34" t="str">
        <f>IFERROR(__xludf.DUMMYFUNCTION("""COMPUTED_VALUE"""),"https://techcombank.com/thong-tin/blog/cach-quet-nfc-cccd-tren-iphone")</f>
        <v>https://techcombank.com/thong-tin/blog/cach-quet-nfc-cccd-tren-iphone</v>
      </c>
      <c r="AC19" s="30" t="str">
        <f>IFERROR(__xludf.DUMMYFUNCTION("""COMPUTED_VALUE"""),"mở tài khoản ngân hàng cho học sinh")</f>
        <v>mở tài khoản ngân hàng cho học sinh</v>
      </c>
      <c r="AD19" s="34" t="str">
        <f>IFERROR(__xludf.DUMMYFUNCTION("""COMPUTED_VALUE"""),"https://techcombank.com/thong-tin/blog/ngan-hang-so-cho-doanh-nghiep")</f>
        <v>https://techcombank.com/thong-tin/blog/ngan-hang-so-cho-doanh-nghiep</v>
      </c>
      <c r="AE19" s="30" t="str">
        <f>IFERROR(__xludf.DUMMYFUNCTION("""COMPUTED_VALUE"""),"mở tài khoản ngân hàng cho học sinh")</f>
        <v>mở tài khoản ngân hàng cho học sinh</v>
      </c>
      <c r="AF19" s="34" t="str">
        <f>IFERROR(__xludf.DUMMYFUNCTION("""COMPUTED_VALUE"""),"https://techcombank.com/thong-tin/blog/mo-tai-khoan-ho-kinh-doanh")</f>
        <v>https://techcombank.com/thong-tin/blog/mo-tai-khoan-ho-kinh-doanh</v>
      </c>
      <c r="AG19" s="30" t="str">
        <f>IFERROR(__xludf.DUMMYFUNCTION("""COMPUTED_VALUE"""),"mở tài khoản ngân hàng dưới 18 tuổi")</f>
        <v>mở tài khoản ngân hàng dưới 18 tuổi</v>
      </c>
      <c r="AH19" s="34" t="str">
        <f>IFERROR(__xludf.DUMMYFUNCTION("""COMPUTED_VALUE"""),"https://techcombank.com/thong-tin/blog/mo-tai-khoan-ngan-hang-cho-tre-em")</f>
        <v>https://techcombank.com/thong-tin/blog/mo-tai-khoan-ngan-hang-cho-tre-em</v>
      </c>
      <c r="AI19" s="30" t="str">
        <f>IFERROR(__xludf.DUMMYFUNCTION("""COMPUTED_VALUE"""),"mở tài khoản ngân hàng cho học sinh")</f>
        <v>mở tài khoản ngân hàng cho học sinh</v>
      </c>
      <c r="AJ19" s="34" t="str">
        <f>IFERROR(__xludf.DUMMYFUNCTION("""COMPUTED_VALUE"""),"https://techcombank.com/thong-tin/blog/nap-xu-tiktok")</f>
        <v>https://techcombank.com/thong-tin/blog/nap-xu-tiktok</v>
      </c>
      <c r="AK19" s="30" t="str">
        <f>IFERROR(__xludf.DUMMYFUNCTION("""COMPUTED_VALUE"""),"mở tài khoản ngân hàng cho học sinh")</f>
        <v>mở tài khoản ngân hàng cho học sinh</v>
      </c>
      <c r="AL19" s="34" t="str">
        <f>IFERROR(__xludf.DUMMYFUNCTION("""COMPUTED_VALUE"""),"https://techcombank.com/thong-tin/blog/hoc-sinh-sinh-vien-nen-lam-the-ngan-hang-nao")</f>
        <v>https://techcombank.com/thong-tin/blog/hoc-sinh-sinh-vien-nen-lam-the-ngan-hang-nao</v>
      </c>
      <c r="AM19" s="30" t="str">
        <f>IFERROR(__xludf.DUMMYFUNCTION("""COMPUTED_VALUE"""),"mở tài khoản ngân hàng cho học sinh")</f>
        <v>mở tài khoản ngân hàng cho học sinh</v>
      </c>
      <c r="AN19" s="34" t="str">
        <f>IFERROR(__xludf.DUMMYFUNCTION("""COMPUTED_VALUE"""),"https://techcombank.com/thong-tin/blog/so-tai-khoan-ngan-hang")</f>
        <v>https://techcombank.com/thong-tin/blog/so-tai-khoan-ngan-hang</v>
      </c>
      <c r="AO19" s="30" t="str">
        <f>IFERROR(__xludf.DUMMYFUNCTION("""COMPUTED_VALUE"""),"mở tài khoản ngân hàng cho học sinh")</f>
        <v>mở tài khoản ngân hàng cho học sinh</v>
      </c>
      <c r="AP19" s="34" t="str">
        <f>IFERROR(__xludf.DUMMYFUNCTION("""COMPUTED_VALUE"""),"https://techcombank.com/thong-tin/blog/thanh-toan-hoc-phi-online")</f>
        <v>https://techcombank.com/thong-tin/blog/thanh-toan-hoc-phi-online</v>
      </c>
      <c r="AQ19" s="30" t="str">
        <f>IFERROR(__xludf.DUMMYFUNCTION("""COMPUTED_VALUE"""),"mở tài khoản ngân hàng cho học sinh")</f>
        <v>mở tài khoản ngân hàng cho học sinh</v>
      </c>
      <c r="AR19" s="34" t="str">
        <f>IFERROR(__xludf.DUMMYFUNCTION("""COMPUTED_VALUE"""),"https://techcombank.com/thong-tin/blog/cach-chon-so-tai-khoan-dep")</f>
        <v>https://techcombank.com/thong-tin/blog/cach-chon-so-tai-khoan-dep</v>
      </c>
      <c r="AS19" s="30" t="str">
        <f>IFERROR(__xludf.DUMMYFUNCTION("""COMPUTED_VALUE"""),"mở tài khoản ngân hàng cho học sinh")</f>
        <v>mở tài khoản ngân hàng cho học sinh</v>
      </c>
      <c r="AT19" s="34" t="str">
        <f>IFERROR(__xludf.DUMMYFUNCTION("""COMPUTED_VALUE"""),"https://techcombank.com/thong-tin/blog/dang-ky-nhieu-tai-khoan-ngan-hang-co-sao-khong")</f>
        <v>https://techcombank.com/thong-tin/blog/dang-ky-nhieu-tai-khoan-ngan-hang-co-sao-khong</v>
      </c>
      <c r="AU19" s="30" t="str">
        <f>IFERROR(__xludf.DUMMYFUNCTION("""COMPUTED_VALUE"""),"mở tài khoản ngân hàng cho học sinh")</f>
        <v>mở tài khoản ngân hàng cho học sinh</v>
      </c>
      <c r="AV19" s="34" t="str">
        <f>IFERROR(__xludf.DUMMYFUNCTION("""COMPUTED_VALUE"""),"https://techcombank.com/thong-tin/blog/cach-chuyen-tien")</f>
        <v>https://techcombank.com/thong-tin/blog/cach-chuyen-tien</v>
      </c>
      <c r="AW19" s="30" t="str">
        <f>IFERROR(__xludf.DUMMYFUNCTION("""COMPUTED_VALUE"""),"mở tài khoản ngân hàng dưới 18 tuổi")</f>
        <v>mở tài khoản ngân hàng dưới 18 tuổi</v>
      </c>
      <c r="AX19" s="34" t="str">
        <f>IFERROR(__xludf.DUMMYFUNCTION("""COMPUTED_VALUE"""),"https://techcombank.com/thong-tin/blog/bao-nhieu-tuoi-duoc-mo-tai-khoan-ngan-hang")</f>
        <v>https://techcombank.com/thong-tin/blog/bao-nhieu-tuoi-duoc-mo-tai-khoan-ngan-hang</v>
      </c>
      <c r="AY19" s="30" t="str">
        <f>IFERROR(__xludf.DUMMYFUNCTION("""COMPUTED_VALUE"""),"mở tài khoản ngân hàng cho học sinh")</f>
        <v>mở tài khoản ngân hàng cho học sinh</v>
      </c>
      <c r="AZ19" s="34" t="str">
        <f>IFERROR(__xludf.DUMMYFUNCTION("""COMPUTED_VALUE"""),"https://techcombank.com/thong-tin/blog/8868")</f>
        <v>https://techcombank.com/thong-tin/blog/8868</v>
      </c>
      <c r="BA19" s="30" t="str">
        <f>IFERROR(__xludf.DUMMYFUNCTION("""COMPUTED_VALUE"""),"mở tài khoản ngân hàng cho học sinh")</f>
        <v>mở tài khoản ngân hàng cho học sinh</v>
      </c>
      <c r="BB19" s="34" t="str">
        <f>IFERROR(__xludf.DUMMYFUNCTION("""COMPUTED_VALUE"""),"https://techcombank.com/thong-tin/blog/tai-khoan-ngan-hang-con-0-dong-co-sao-khong")</f>
        <v>https://techcombank.com/thong-tin/blog/tai-khoan-ngan-hang-con-0-dong-co-sao-khong</v>
      </c>
      <c r="BC19" s="30" t="str">
        <f>IFERROR(__xludf.DUMMYFUNCTION("""COMPUTED_VALUE"""),"mở tài khoản ngân hàng cho học sinh")</f>
        <v>mở tài khoản ngân hàng cho học sinh</v>
      </c>
      <c r="BD19" s="34" t="str">
        <f>IFERROR(__xludf.DUMMYFUNCTION("""COMPUTED_VALUE"""),"https://techcombank.com/thong-tin/blog/so-tai-khoan-dep")</f>
        <v>https://techcombank.com/thong-tin/blog/so-tai-khoan-dep</v>
      </c>
      <c r="BE19" s="30" t="str">
        <f>IFERROR(__xludf.DUMMYFUNCTION("""COMPUTED_VALUE"""),"mở tài khoản ngân hàng cho học sinh")</f>
        <v>mở tài khoản ngân hàng cho học sinh</v>
      </c>
      <c r="BF19" s="34" t="str">
        <f>IFERROR(__xludf.DUMMYFUNCTION("""COMPUTED_VALUE"""),"https://techcombank.com/thong-tin/blog/the-ghi-no-co-chuyen-khoan-duoc-khong")</f>
        <v>https://techcombank.com/thong-tin/blog/the-ghi-no-co-chuyen-khoan-duoc-khong</v>
      </c>
      <c r="BG19" s="30" t="str">
        <f>IFERROR(__xludf.DUMMYFUNCTION("""COMPUTED_VALUE"""),"mở tài khoản ngân hàng cho học sinh")</f>
        <v>mở tài khoản ngân hàng cho học sinh</v>
      </c>
      <c r="BH19" s="34" t="str">
        <f>IFERROR(__xludf.DUMMYFUNCTION("""COMPUTED_VALUE"""),"https://techcombank.com/thong-tin/blog/mo-tai-khoan-ngan-hang-trung-so-dien-thoai")</f>
        <v>https://techcombank.com/thong-tin/blog/mo-tai-khoan-ngan-hang-trung-so-dien-thoai</v>
      </c>
      <c r="BI19" s="30" t="str">
        <f>IFERROR(__xludf.DUMMYFUNCTION("""COMPUTED_VALUE"""),"mở tài khoản ngân hàng cho học sinh")</f>
        <v>mở tài khoản ngân hàng cho học sinh</v>
      </c>
      <c r="BJ19" s="34" t="str">
        <f>IFERROR(__xludf.DUMMYFUNCTION("""COMPUTED_VALUE"""),"https://techcombank.com/thong-tin/blog/shopeepay-la-gi")</f>
        <v>https://techcombank.com/thong-tin/blog/shopeepay-la-gi</v>
      </c>
      <c r="BK19" s="30" t="str">
        <f>IFERROR(__xludf.DUMMYFUNCTION("""COMPUTED_VALUE"""),"mở tài khoản ngân hàng cho học sinh")</f>
        <v>mở tài khoản ngân hàng cho học sinh</v>
      </c>
      <c r="BL19" s="34" t="str">
        <f>IFERROR(__xludf.DUMMYFUNCTION("""COMPUTED_VALUE"""),"https://techcombank.com/thong-tin/blog/viet-kieu-co-mo-duoc-tai-khoan-ngan-hang-khong")</f>
        <v>https://techcombank.com/thong-tin/blog/viet-kieu-co-mo-duoc-tai-khoan-ngan-hang-khong</v>
      </c>
      <c r="BM19" s="30" t="str">
        <f>IFERROR(__xludf.DUMMYFUNCTION("""COMPUTED_VALUE"""),"mở tài khoản ngân hàng cho học sinh")</f>
        <v>mở tài khoản ngân hàng cho học sinh</v>
      </c>
      <c r="BN19" s="34" t="str">
        <f>IFERROR(__xludf.DUMMYFUNCTION("""COMPUTED_VALUE"""),"https://techcombank.com/thong-tin/blog/mobile-banking-la-gi")</f>
        <v>https://techcombank.com/thong-tin/blog/mobile-banking-la-gi</v>
      </c>
      <c r="BO19" s="30" t="str">
        <f>IFERROR(__xludf.DUMMYFUNCTION("""COMPUTED_VALUE"""),"mở tài khoản ngân hàng cho học sinh")</f>
        <v>mở tài khoản ngân hàng cho học sinh</v>
      </c>
      <c r="BP19" s="34" t="str">
        <f>IFERROR(__xludf.DUMMYFUNCTION("""COMPUTED_VALUE"""),"https://techcombank.com/thong-tin/blog/ngan-hang-thu-huong-la-gi")</f>
        <v>https://techcombank.com/thong-tin/blog/ngan-hang-thu-huong-la-gi</v>
      </c>
      <c r="BQ19" s="30" t="str">
        <f>IFERROR(__xludf.DUMMYFUNCTION("""COMPUTED_VALUE"""),"mở tài khoản ngân hàng cho học sinh")</f>
        <v>mở tài khoản ngân hàng cho học sinh</v>
      </c>
      <c r="BR19" s="34" t="str">
        <f>IFERROR(__xludf.DUMMYFUNCTION("""COMPUTED_VALUE"""),"https://techcombank.com/thong-tin/blog/thanh-toan-khong-tien-mat-trong-nganh-giao-duc-co-hoi-va-thach-thuc")</f>
        <v>https://techcombank.com/thong-tin/blog/thanh-toan-khong-tien-mat-trong-nganh-giao-duc-co-hoi-va-thach-thuc</v>
      </c>
      <c r="BS19" s="30" t="str">
        <f>IFERROR(__xludf.DUMMYFUNCTION("""COMPUTED_VALUE"""),"mở tài khoản ngân hàng cho học sinh")</f>
        <v>mở tài khoản ngân hàng cho học sinh</v>
      </c>
      <c r="BT19" s="34" t="str">
        <f>IFERROR(__xludf.DUMMYFUNCTION("""COMPUTED_VALUE"""),"https://techcombank.com/thong-tin/blog/nap-tien-vao-tai-khoan-ngan-hang")</f>
        <v>https://techcombank.com/thong-tin/blog/nap-tien-vao-tai-khoan-ngan-hang</v>
      </c>
      <c r="BU19" s="30"/>
      <c r="BV19" s="30"/>
      <c r="BW19" s="30"/>
      <c r="BX19" s="30"/>
      <c r="BY19" s="30"/>
      <c r="BZ19" s="30"/>
      <c r="CA19" s="30"/>
      <c r="CB19" s="30"/>
      <c r="CC19" s="30"/>
      <c r="CD19" s="30"/>
      <c r="CE19" s="30"/>
      <c r="CF19" s="30"/>
      <c r="CG19" s="30"/>
      <c r="CH19" s="30"/>
      <c r="CI19" s="30"/>
      <c r="CJ19" s="30"/>
      <c r="CK19" s="30"/>
      <c r="CL19" s="30"/>
      <c r="CM19" s="30"/>
      <c r="CN19" s="30"/>
      <c r="CO19" s="30"/>
      <c r="CP19" s="30"/>
      <c r="CQ19" s="30"/>
      <c r="CR19" s="30"/>
      <c r="CS19" s="30"/>
      <c r="CT19" s="30"/>
      <c r="CU19" s="30"/>
      <c r="CV19" s="30"/>
      <c r="CW19" s="30"/>
      <c r="CX19" s="30"/>
      <c r="CY19" s="30"/>
      <c r="CZ19" s="30"/>
      <c r="DA19" s="30"/>
      <c r="DB19" s="30"/>
      <c r="DC19" s="30"/>
      <c r="DD19" s="30"/>
      <c r="DE19" s="30"/>
      <c r="DF19" s="30"/>
      <c r="DG19" s="30"/>
      <c r="DH19" s="30"/>
      <c r="DI19" s="30"/>
      <c r="DJ19" s="30"/>
      <c r="DK19" s="30"/>
      <c r="DL19" s="30"/>
      <c r="DM19" s="30"/>
      <c r="DN19" s="30"/>
      <c r="DO19" s="30"/>
      <c r="DP19" s="30"/>
      <c r="DQ19" s="30"/>
      <c r="DR19" s="30"/>
      <c r="DS19" s="30"/>
      <c r="DT19" s="30"/>
      <c r="DU19" s="30"/>
      <c r="DV19" s="30"/>
      <c r="DW19" s="30"/>
      <c r="DX19" s="30"/>
      <c r="DY19" s="30"/>
      <c r="DZ19" s="30"/>
      <c r="EA19" s="30"/>
      <c r="EB19" s="30"/>
      <c r="EC19" s="30"/>
      <c r="ED19" s="30"/>
      <c r="EE19" s="30"/>
      <c r="EF19" s="30"/>
      <c r="EG19" s="30"/>
      <c r="EH19" s="30"/>
      <c r="EI19" s="30"/>
      <c r="EJ19" s="30"/>
      <c r="EK19" s="30"/>
      <c r="EL19" s="30"/>
      <c r="EM19" s="30"/>
      <c r="EN19" s="30"/>
      <c r="EO19" s="30"/>
      <c r="EP19" s="30"/>
      <c r="EQ19" s="30"/>
      <c r="ER19" s="30"/>
      <c r="ES19" s="30"/>
      <c r="ET19" s="30"/>
      <c r="EU19" s="30"/>
      <c r="EV19" s="30"/>
      <c r="EW19" s="30"/>
      <c r="EX19" s="30"/>
      <c r="EY19" s="30"/>
      <c r="EZ19" s="30"/>
      <c r="FA19" s="30"/>
      <c r="FB19" s="30"/>
      <c r="FC19" s="30"/>
      <c r="FD19" s="30"/>
      <c r="FE19" s="30"/>
      <c r="FF19" s="30"/>
      <c r="FG19" s="30"/>
      <c r="FH19" s="30"/>
      <c r="FI19" s="30"/>
      <c r="FJ19" s="30"/>
      <c r="FK19" s="30"/>
      <c r="FL19" s="30"/>
      <c r="FM19" s="30"/>
      <c r="FN19" s="30"/>
      <c r="FO19" s="30"/>
      <c r="FP19" s="30"/>
      <c r="FQ19" s="30"/>
      <c r="FR19" s="30"/>
      <c r="FS19" s="30"/>
      <c r="FT19" s="30"/>
      <c r="FU19" s="30"/>
      <c r="FV19" s="30"/>
      <c r="FW19" s="30"/>
      <c r="FX19" s="30"/>
      <c r="FY19" s="30"/>
      <c r="FZ19" s="30"/>
      <c r="GA19" s="30"/>
      <c r="GB19" s="30"/>
      <c r="GC19" s="30"/>
      <c r="GD19" s="30"/>
      <c r="GE19" s="30"/>
      <c r="GF19" s="30"/>
      <c r="GG19" s="30"/>
      <c r="GH19" s="30"/>
      <c r="GI19" s="30"/>
      <c r="GJ19" s="30"/>
      <c r="GK19" s="30"/>
      <c r="GL19" s="30"/>
      <c r="GM19" s="30"/>
      <c r="GN19" s="30"/>
      <c r="GO19" s="30"/>
      <c r="GP19" s="30"/>
      <c r="GQ19" s="30"/>
      <c r="GR19" s="30"/>
      <c r="GS19" s="30"/>
      <c r="GT19" s="30"/>
      <c r="GU19" s="30"/>
      <c r="GV19" s="30"/>
      <c r="GW19" s="30"/>
      <c r="GX19" s="30"/>
      <c r="GY19" s="30"/>
      <c r="GZ19" s="30"/>
      <c r="HA19" s="30"/>
      <c r="HB19" s="30"/>
      <c r="HC19" s="30"/>
      <c r="HD19" s="30"/>
      <c r="HE19" s="30"/>
      <c r="HF19" s="30"/>
      <c r="HG19" s="30"/>
      <c r="HH19" s="30"/>
      <c r="HI19" s="30"/>
      <c r="HJ19" s="30"/>
      <c r="HK19" s="30"/>
      <c r="HL19" s="30"/>
      <c r="HM19" s="30"/>
      <c r="HN19" s="30"/>
      <c r="HO19" s="30"/>
      <c r="HP19" s="30"/>
      <c r="HQ19" s="30"/>
      <c r="HR19" s="30"/>
      <c r="HS19" s="30"/>
      <c r="HT19" s="30"/>
      <c r="HU19" s="30"/>
      <c r="HV19" s="30"/>
      <c r="HW19" s="30"/>
      <c r="HX19" s="30"/>
      <c r="HY19" s="30"/>
      <c r="HZ19" s="30"/>
      <c r="IA19" s="30"/>
      <c r="IB19" s="30"/>
      <c r="IC19" s="30"/>
      <c r="ID19" s="30"/>
      <c r="IE19" s="30"/>
      <c r="IF19" s="30"/>
      <c r="IG19" s="30"/>
      <c r="IH19" s="30"/>
      <c r="II19" s="30"/>
      <c r="IJ19" s="30"/>
      <c r="IK19" s="30"/>
      <c r="IL19" s="30"/>
      <c r="IM19" s="30"/>
      <c r="IN19" s="30"/>
      <c r="IO19" s="30"/>
      <c r="IP19" s="30"/>
      <c r="IQ19" s="30"/>
      <c r="IR19" s="30"/>
      <c r="IS19" s="30"/>
      <c r="IT19" s="30"/>
      <c r="IU19" s="30"/>
      <c r="IV19" s="30"/>
      <c r="IW19" s="30"/>
      <c r="IX19" s="30"/>
      <c r="IY19" s="30"/>
      <c r="IZ19" s="30"/>
      <c r="JA19" s="30"/>
      <c r="JB19" s="30"/>
      <c r="JC19" s="30"/>
      <c r="JD19" s="30"/>
      <c r="JE19" s="30"/>
      <c r="JF19" s="30"/>
      <c r="JG19" s="30"/>
      <c r="JH19" s="30"/>
      <c r="JI19" s="30"/>
      <c r="JJ19" s="30"/>
      <c r="JK19" s="30"/>
      <c r="JL19" s="30"/>
      <c r="JM19" s="30"/>
      <c r="JN19" s="30"/>
      <c r="JO19" s="30"/>
      <c r="JP19" s="30"/>
      <c r="JQ19" s="30"/>
      <c r="JR19" s="30"/>
      <c r="JS19" s="30"/>
      <c r="JT19" s="30"/>
      <c r="JU19" s="30"/>
      <c r="JV19" s="30"/>
      <c r="JW19" s="30"/>
      <c r="JX19" s="30"/>
      <c r="JY19" s="30"/>
      <c r="JZ19" s="30"/>
      <c r="KA19" s="30"/>
      <c r="KB19" s="30"/>
      <c r="KC19" s="30"/>
      <c r="KD19" s="30"/>
      <c r="KE19" s="30"/>
      <c r="KF19" s="30"/>
      <c r="KG19" s="30"/>
      <c r="KH19" s="30"/>
      <c r="KI19" s="30"/>
      <c r="KJ19" s="30"/>
      <c r="KK19" s="30"/>
      <c r="KL19" s="30"/>
      <c r="KM19" s="30"/>
      <c r="KN19" s="30"/>
      <c r="KO19" s="30"/>
      <c r="KP19" s="30"/>
      <c r="KQ19" s="30"/>
      <c r="KR19" s="30"/>
      <c r="KS19" s="30"/>
      <c r="KT19" s="30"/>
      <c r="KU19" s="30"/>
      <c r="KV19" s="30"/>
      <c r="KW19" s="30"/>
      <c r="KX19" s="30"/>
      <c r="KY19" s="30"/>
      <c r="KZ19" s="30"/>
      <c r="LA19" s="30"/>
      <c r="LB19" s="30"/>
      <c r="LC19" s="30"/>
      <c r="LD19" s="30"/>
      <c r="LE19" s="30"/>
      <c r="LF19" s="30"/>
      <c r="LG19" s="30"/>
      <c r="LH19" s="30"/>
      <c r="LI19" s="30"/>
      <c r="LJ19" s="30"/>
      <c r="LK19" s="30"/>
      <c r="LL19" s="30"/>
      <c r="LM19" s="30"/>
      <c r="LN19" s="30"/>
      <c r="LO19" s="30"/>
      <c r="LP19" s="30"/>
      <c r="LQ19" s="30"/>
      <c r="LR19" s="30"/>
      <c r="LS19" s="30"/>
      <c r="LT19" s="30"/>
      <c r="LU19" s="30"/>
      <c r="LV19" s="30"/>
      <c r="LW19" s="30"/>
      <c r="LX19" s="30"/>
      <c r="LY19" s="30"/>
      <c r="LZ19" s="30"/>
      <c r="MA19" s="30"/>
      <c r="MB19" s="30"/>
      <c r="MC19" s="30"/>
      <c r="MD19" s="30"/>
      <c r="ME19" s="30"/>
      <c r="MF19" s="30"/>
      <c r="MG19" s="30"/>
      <c r="MH19" s="30"/>
      <c r="MI19" s="30"/>
      <c r="MJ19" s="30"/>
      <c r="MK19" s="30"/>
      <c r="ML19" s="30"/>
      <c r="MM19" s="30"/>
      <c r="MN19" s="30"/>
      <c r="MO19" s="30"/>
      <c r="MP19" s="30"/>
      <c r="MQ19" s="30"/>
      <c r="MR19" s="30"/>
      <c r="MS19" s="30"/>
      <c r="MT19" s="30"/>
      <c r="MU19" s="30"/>
      <c r="MV19" s="30"/>
      <c r="MW19" s="30"/>
      <c r="MX19" s="30"/>
      <c r="MY19" s="30"/>
      <c r="MZ19" s="30"/>
      <c r="NA19" s="30"/>
      <c r="NB19" s="30"/>
      <c r="NC19" s="30"/>
      <c r="ND19" s="30"/>
      <c r="NE19" s="30"/>
      <c r="NF19" s="30"/>
      <c r="NG19" s="30"/>
      <c r="NH19" s="30"/>
      <c r="NI19" s="30"/>
      <c r="NJ19" s="30"/>
      <c r="NK19" s="30"/>
      <c r="NL19" s="30"/>
      <c r="NM19" s="30"/>
      <c r="NN19" s="30"/>
      <c r="NO19" s="30"/>
      <c r="NP19" s="30"/>
      <c r="NQ19" s="30"/>
      <c r="NR19" s="30"/>
      <c r="NS19" s="30"/>
      <c r="NT19" s="30"/>
      <c r="NU19" s="30"/>
      <c r="NV19" s="30"/>
      <c r="NW19" s="30"/>
      <c r="NX19" s="30"/>
      <c r="NY19" s="30"/>
      <c r="NZ19" s="30"/>
      <c r="OA19" s="30"/>
      <c r="OB19" s="30"/>
      <c r="OC19" s="30"/>
      <c r="OD19" s="30"/>
      <c r="OE19" s="30"/>
      <c r="OF19" s="30"/>
      <c r="OG19" s="30"/>
      <c r="OH19" s="30"/>
      <c r="OI19" s="30"/>
      <c r="OJ19" s="30"/>
      <c r="OK19" s="30"/>
      <c r="OL19" s="30"/>
      <c r="OM19" s="30"/>
      <c r="ON19" s="30"/>
      <c r="OO19" s="30"/>
      <c r="OP19" s="30"/>
      <c r="OQ19" s="30"/>
      <c r="OR19" s="30"/>
      <c r="OS19" s="30"/>
      <c r="OT19" s="30"/>
      <c r="OU19" s="30"/>
      <c r="OV19" s="30"/>
    </row>
    <row r="20" ht="18.0" customHeight="1">
      <c r="A20" s="29">
        <v>19.0</v>
      </c>
      <c r="B20" s="30" t="s">
        <v>1564</v>
      </c>
      <c r="C20" s="31" t="s">
        <v>1945</v>
      </c>
      <c r="D20" s="30" t="s">
        <v>1297</v>
      </c>
      <c r="E20" s="29">
        <v>30.0</v>
      </c>
      <c r="F20" s="29">
        <f>COUNTIF('Tổng hợp 75 trang đích'!$B$2:$B$3400,$D20)</f>
        <v>30</v>
      </c>
      <c r="G20" s="29">
        <f>COUNTIFS('Tổng hợp 75 trang đích'!$B$2:$B$3400,$D20,'Tổng hợp 75 trang đích'!$K$2:$K$3400,"PHÙ HỢP CAO")</f>
        <v>2</v>
      </c>
      <c r="H20" s="29">
        <f>COUNTIFS('Tổng hợp 75 trang đích'!$B$2:$B$3400,$D20,'Tổng hợp 75 trang đích'!$K$2:$K$3400,"CÓ THỂ ĐI")</f>
        <v>7</v>
      </c>
      <c r="I20" s="29">
        <f>COUNTIFS('Tổng hợp 75 trang đích'!$B$2:$B$3400,$D20,'Tổng hợp 75 trang đích'!$K$2:$K$3400,"CẦN SOÁT")</f>
        <v>21</v>
      </c>
      <c r="J20" s="32" t="s">
        <v>714</v>
      </c>
      <c r="K20" s="32" t="b">
        <v>0</v>
      </c>
      <c r="L20" s="33" t="s">
        <v>52</v>
      </c>
      <c r="M20" s="30" t="str">
        <f>IFERROR(__xludf.DUMMYFUNCTION("IFERROR(TOROW(CHOOSECOLS(SORT(FILTER({'Tổng hợp 75 trang đích'!$J$2:$J$3400,'Tổng hợp 75 trang đích'!$I$2:$I$3400,MATCH('Tổng hợp 75 trang đích'!$K$2:$K$3400,{""PHÙ HỢP CAO"",""CÓ THỂ ĐI"",""CẦN SOÁT""},0)},'Tổng hợp 75 trang đích'!$B$2:$B$3400=$D20),3,TR"&amp;"UE),1,2)),"""")"),"nộp tiền vào tài khoản")</f>
        <v>nộp tiền vào tài khoản</v>
      </c>
      <c r="N20" s="34" t="str">
        <f>IFERROR(__xludf.DUMMYFUNCTION("""COMPUTED_VALUE"""),"https://techcombank.com/thong-tin/blog/cdm")</f>
        <v>https://techcombank.com/thong-tin/blog/cdm</v>
      </c>
      <c r="O20" s="30" t="str">
        <f>IFERROR(__xludf.DUMMYFUNCTION("""COMPUTED_VALUE"""),"nộp tiền vào tài khoản")</f>
        <v>nộp tiền vào tài khoản</v>
      </c>
      <c r="P20" s="34" t="str">
        <f>IFERROR(__xludf.DUMMYFUNCTION("""COMPUTED_VALUE"""),"https://techcombank.com/thong-tin/blog/cach-nap-tien-vao-the-ghi-no")</f>
        <v>https://techcombank.com/thong-tin/blog/cach-nap-tien-vao-the-ghi-no</v>
      </c>
      <c r="Q20" s="30" t="str">
        <f>IFERROR(__xludf.DUMMYFUNCTION("""COMPUTED_VALUE"""),"nộp tiền vào tài khoản")</f>
        <v>nộp tiền vào tài khoản</v>
      </c>
      <c r="R20" s="34" t="str">
        <f>IFERROR(__xludf.DUMMYFUNCTION("""COMPUTED_VALUE"""),"https://techcombank.com/thong-tin/blog/tai-khoan-ngan-hang-con-0-dong-co-sao-khong")</f>
        <v>https://techcombank.com/thong-tin/blog/tai-khoan-ngan-hang-con-0-dong-co-sao-khong</v>
      </c>
      <c r="S20" s="30" t="str">
        <f>IFERROR(__xludf.DUMMYFUNCTION("""COMPUTED_VALUE"""),"nộp tiền vào tài khoản")</f>
        <v>nộp tiền vào tài khoản</v>
      </c>
      <c r="T20" s="34" t="str">
        <f>IFERROR(__xludf.DUMMYFUNCTION("""COMPUTED_VALUE"""),"https://techcombank.com/thong-tin/blog/nop-tien-mat-vao-tai-khoan-cong-ty")</f>
        <v>https://techcombank.com/thong-tin/blog/nop-tien-mat-vao-tai-khoan-cong-ty</v>
      </c>
      <c r="U20" s="30" t="str">
        <f>IFERROR(__xludf.DUMMYFUNCTION("""COMPUTED_VALUE"""),"nộp tiền vào tài khoản")</f>
        <v>nộp tiền vào tài khoản</v>
      </c>
      <c r="V20" s="34" t="str">
        <f>IFERROR(__xludf.DUMMYFUNCTION("""COMPUTED_VALUE"""),"https://techcombank.com/thong-tin/blog/cong-ty-su-dung-tai-khoan-ca-nhan")</f>
        <v>https://techcombank.com/thong-tin/blog/cong-ty-su-dung-tai-khoan-ca-nhan</v>
      </c>
      <c r="W20" s="30" t="str">
        <f>IFERROR(__xludf.DUMMYFUNCTION("""COMPUTED_VALUE"""),"nộp tiền vào tài khoản")</f>
        <v>nộp tiền vào tài khoản</v>
      </c>
      <c r="X20" s="34" t="str">
        <f>IFERROR(__xludf.DUMMYFUNCTION("""COMPUTED_VALUE"""),"https://techcombank.com/thong-tin/blog/gui-tiet-kiem-tich-luy-la-gi")</f>
        <v>https://techcombank.com/thong-tin/blog/gui-tiet-kiem-tich-luy-la-gi</v>
      </c>
      <c r="Y20" s="30" t="str">
        <f>IFERROR(__xludf.DUMMYFUNCTION("""COMPUTED_VALUE"""),"nộp tiền vào tài khoản")</f>
        <v>nộp tiền vào tài khoản</v>
      </c>
      <c r="Z20" s="34" t="str">
        <f>IFERROR(__xludf.DUMMYFUNCTION("""COMPUTED_VALUE"""),"https://techcombank.com/thong-tin/blog/tin-chap-doanh-nghiep")</f>
        <v>https://techcombank.com/thong-tin/blog/tin-chap-doanh-nghiep</v>
      </c>
      <c r="AA20" s="30" t="str">
        <f>IFERROR(__xludf.DUMMYFUNCTION("""COMPUTED_VALUE"""),"nạp tiền vào tài khoản ngân hàng")</f>
        <v>nạp tiền vào tài khoản ngân hàng</v>
      </c>
      <c r="AB20" s="34" t="str">
        <f>IFERROR(__xludf.DUMMYFUNCTION("""COMPUTED_VALUE"""),"https://techcombank.com/thong-tin/blog/the-ghi-no-visa-la-gi")</f>
        <v>https://techcombank.com/thong-tin/blog/the-ghi-no-visa-la-gi</v>
      </c>
      <c r="AC20" s="30" t="str">
        <f>IFERROR(__xludf.DUMMYFUNCTION("""COMPUTED_VALUE"""),"nạp tiền vào tài khoản ngân hàng")</f>
        <v>nạp tiền vào tài khoản ngân hàng</v>
      </c>
      <c r="AD20" s="34" t="str">
        <f>IFERROR(__xludf.DUMMYFUNCTION("""COMPUTED_VALUE"""),"https://techcombank.com/thong-tin/blog/cach-su-dung-the-visa-techcombank")</f>
        <v>https://techcombank.com/thong-tin/blog/cach-su-dung-the-visa-techcombank</v>
      </c>
      <c r="AE20" s="30" t="str">
        <f>IFERROR(__xludf.DUMMYFUNCTION("""COMPUTED_VALUE"""),"nộp tiền vào tài khoản")</f>
        <v>nộp tiền vào tài khoản</v>
      </c>
      <c r="AF20" s="34" t="str">
        <f>IFERROR(__xludf.DUMMYFUNCTION("""COMPUTED_VALUE"""),"https://techcombank.com/thong-tin/blog/cach-su-dung-tai-khoan-cong-ty")</f>
        <v>https://techcombank.com/thong-tin/blog/cach-su-dung-tai-khoan-cong-ty</v>
      </c>
      <c r="AG20" s="30" t="str">
        <f>IFERROR(__xludf.DUMMYFUNCTION("""COMPUTED_VALUE"""),"nộp tiền vào tài khoản")</f>
        <v>nộp tiền vào tài khoản</v>
      </c>
      <c r="AH20" s="34" t="str">
        <f>IFERROR(__xludf.DUMMYFUNCTION("""COMPUTED_VALUE"""),"https://techcombank.com/thong-tin/blog/lam-the-atm-co-mat-phi-khong")</f>
        <v>https://techcombank.com/thong-tin/blog/lam-the-atm-co-mat-phi-khong</v>
      </c>
      <c r="AI20" s="30" t="str">
        <f>IFERROR(__xludf.DUMMYFUNCTION("""COMPUTED_VALUE"""),"nộp tiền vào tài khoản")</f>
        <v>nộp tiền vào tài khoản</v>
      </c>
      <c r="AJ20" s="34" t="str">
        <f>IFERROR(__xludf.DUMMYFUNCTION("""COMPUTED_VALUE"""),"https://techcombank.com/thong-tin/blog/rut-tien-bang-ma-qr-khac-ngan-hang-duoc-khong")</f>
        <v>https://techcombank.com/thong-tin/blog/rut-tien-bang-ma-qr-khac-ngan-hang-duoc-khong</v>
      </c>
      <c r="AK20" s="30" t="str">
        <f>IFERROR(__xludf.DUMMYFUNCTION("""COMPUTED_VALUE"""),"nộp tiền vào tài khoản")</f>
        <v>nộp tiền vào tài khoản</v>
      </c>
      <c r="AL20" s="34" t="str">
        <f>IFERROR(__xludf.DUMMYFUNCTION("""COMPUTED_VALUE"""),"https://techcombank.com/thong-tin/blog/cach-lam-the-atm")</f>
        <v>https://techcombank.com/thong-tin/blog/cach-lam-the-atm</v>
      </c>
      <c r="AM20" s="30" t="str">
        <f>IFERROR(__xludf.DUMMYFUNCTION("""COMPUTED_VALUE"""),"nạp tiền vào tài khoản ngân hàng")</f>
        <v>nạp tiền vào tài khoản ngân hàng</v>
      </c>
      <c r="AN20" s="34" t="str">
        <f>IFERROR(__xludf.DUMMYFUNCTION("""COMPUTED_VALUE"""),"https://techcombank.com/thong-tin/blog/tra-cuu-han-muc-the-tin-dung")</f>
        <v>https://techcombank.com/thong-tin/blog/tra-cuu-han-muc-the-tin-dung</v>
      </c>
      <c r="AO20" s="30" t="str">
        <f>IFERROR(__xludf.DUMMYFUNCTION("""COMPUTED_VALUE"""),"nộp tiền vào tài khoản")</f>
        <v>nộp tiền vào tài khoản</v>
      </c>
      <c r="AP20" s="34" t="str">
        <f>IFERROR(__xludf.DUMMYFUNCTION("""COMPUTED_VALUE"""),"https://techcombank.com/thong-tin/blog/the-visa-de-lam-gi")</f>
        <v>https://techcombank.com/thong-tin/blog/the-visa-de-lam-gi</v>
      </c>
      <c r="AQ20" s="30" t="str">
        <f>IFERROR(__xludf.DUMMYFUNCTION("""COMPUTED_VALUE"""),"nộp tiền vào tài khoản")</f>
        <v>nộp tiền vào tài khoản</v>
      </c>
      <c r="AR20" s="34" t="str">
        <f>IFERROR(__xludf.DUMMYFUNCTION("""COMPUTED_VALUE"""),"https://techcombank.com/thong-tin/blog/the-atm-khong-rut-duoc-tien")</f>
        <v>https://techcombank.com/thong-tin/blog/the-atm-khong-rut-duoc-tien</v>
      </c>
      <c r="AS20" s="30" t="str">
        <f>IFERROR(__xludf.DUMMYFUNCTION("""COMPUTED_VALUE"""),"nộp tiền vào tài khoản")</f>
        <v>nộp tiền vào tài khoản</v>
      </c>
      <c r="AT20" s="34" t="str">
        <f>IFERROR(__xludf.DUMMYFUNCTION("""COMPUTED_VALUE"""),"https://techcombank.com/thong-tin/blog/lam-the-atm-bao-lau-co")</f>
        <v>https://techcombank.com/thong-tin/blog/lam-the-atm-bao-lau-co</v>
      </c>
      <c r="AU20" s="30" t="str">
        <f>IFERROR(__xludf.DUMMYFUNCTION("""COMPUTED_VALUE"""),"nạp tiền vào tài khoản ngân hàng")</f>
        <v>nạp tiền vào tài khoản ngân hàng</v>
      </c>
      <c r="AV20" s="34" t="str">
        <f>IFERROR(__xludf.DUMMYFUNCTION("""COMPUTED_VALUE"""),"https://techcombank.com/thong-tin/blog/cach-nap-the")</f>
        <v>https://techcombank.com/thong-tin/blog/cach-nap-the</v>
      </c>
      <c r="AW20" s="30" t="str">
        <f>IFERROR(__xludf.DUMMYFUNCTION("""COMPUTED_VALUE"""),"nộp tiền vào tài khoản")</f>
        <v>nộp tiền vào tài khoản</v>
      </c>
      <c r="AX20" s="34" t="str">
        <f>IFERROR(__xludf.DUMMYFUNCTION("""COMPUTED_VALUE"""),"https://techcombank.com/thong-tin/blog/cach-thanh-toan-the-tin-dung")</f>
        <v>https://techcombank.com/thong-tin/blog/cach-thanh-toan-the-tin-dung</v>
      </c>
      <c r="AY20" s="30" t="str">
        <f>IFERROR(__xludf.DUMMYFUNCTION("""COMPUTED_VALUE"""),"nạp tiền vào tài khoản ngân hàng")</f>
        <v>nạp tiền vào tài khoản ngân hàng</v>
      </c>
      <c r="AZ20" s="34" t="str">
        <f>IFERROR(__xludf.DUMMYFUNCTION("""COMPUTED_VALUE"""),"https://techcombank.com/thong-tin/blog/nap-tien-dien-thoai-online")</f>
        <v>https://techcombank.com/thong-tin/blog/nap-tien-dien-thoai-online</v>
      </c>
      <c r="BA20" s="30" t="str">
        <f>IFERROR(__xludf.DUMMYFUNCTION("""COMPUTED_VALUE"""),"nộp tiền vào tài khoản")</f>
        <v>nộp tiền vào tài khoản</v>
      </c>
      <c r="BB20" s="34" t="str">
        <f>IFERROR(__xludf.DUMMYFUNCTION("""COMPUTED_VALUE"""),"https://techcombank.com/thong-tin/blog/the-atm-gan-chip")</f>
        <v>https://techcombank.com/thong-tin/blog/the-atm-gan-chip</v>
      </c>
      <c r="BC20" s="30" t="str">
        <f>IFERROR(__xludf.DUMMYFUNCTION("""COMPUTED_VALUE"""),"nạp tiền vào tài khoản ngân hàng")</f>
        <v>nạp tiền vào tài khoản ngân hàng</v>
      </c>
      <c r="BD20" s="34" t="str">
        <f>IFERROR(__xludf.DUMMYFUNCTION("""COMPUTED_VALUE"""),"https://techcombank.com/thong-tin/blog/rut-tien-bang-ma-qr-la-gi-cach-thuc-hien-nhu-the-nao")</f>
        <v>https://techcombank.com/thong-tin/blog/rut-tien-bang-ma-qr-la-gi-cach-thuc-hien-nhu-the-nao</v>
      </c>
      <c r="BE20" s="30" t="str">
        <f>IFERROR(__xludf.DUMMYFUNCTION("""COMPUTED_VALUE"""),"nộp tiền vào tài khoản")</f>
        <v>nộp tiền vào tài khoản</v>
      </c>
      <c r="BF20" s="34" t="str">
        <f>IFERROR(__xludf.DUMMYFUNCTION("""COMPUTED_VALUE"""),"https://techcombank.com/thong-tin/blog/bi-nuot-the-atm-phai-lam-sao")</f>
        <v>https://techcombank.com/thong-tin/blog/bi-nuot-the-atm-phai-lam-sao</v>
      </c>
      <c r="BG20" s="30" t="str">
        <f>IFERROR(__xludf.DUMMYFUNCTION("""COMPUTED_VALUE"""),"nạp tiền vào tài khoản ngân hàng")</f>
        <v>nạp tiền vào tài khoản ngân hàng</v>
      </c>
      <c r="BH20" s="34" t="str">
        <f>IFERROR(__xludf.DUMMYFUNCTION("""COMPUTED_VALUE"""),"https://techcombank.com/thong-tin/blog/ma-pin-the-atm")</f>
        <v>https://techcombank.com/thong-tin/blog/ma-pin-the-atm</v>
      </c>
      <c r="BI20" s="30" t="str">
        <f>IFERROR(__xludf.DUMMYFUNCTION("""COMPUTED_VALUE"""),"nộp tiền vào tài khoản")</f>
        <v>nộp tiền vào tài khoản</v>
      </c>
      <c r="BJ20" s="34" t="str">
        <f>IFERROR(__xludf.DUMMYFUNCTION("""COMPUTED_VALUE"""),"https://techcombank.com/thong-tin/blog/1-nguoi-co-the-lam-duoc-bao-nhieu-the-atm")</f>
        <v>https://techcombank.com/thong-tin/blog/1-nguoi-co-the-lam-duoc-bao-nhieu-the-atm</v>
      </c>
      <c r="BK20" s="30" t="str">
        <f>IFERROR(__xludf.DUMMYFUNCTION("""COMPUTED_VALUE"""),"nạp tiền vào tài khoản ngân hàng")</f>
        <v>nạp tiền vào tài khoản ngân hàng</v>
      </c>
      <c r="BL20" s="34" t="str">
        <f>IFERROR(__xludf.DUMMYFUNCTION("""COMPUTED_VALUE"""),"https://techcombank.com/thong-tin/blog/cach-rut-tien-atm")</f>
        <v>https://techcombank.com/thong-tin/blog/cach-rut-tien-atm</v>
      </c>
      <c r="BM20" s="30" t="str">
        <f>IFERROR(__xludf.DUMMYFUNCTION("""COMPUTED_VALUE"""),"nạp tiền vào tài khoản ngân hàng")</f>
        <v>nạp tiền vào tài khoản ngân hàng</v>
      </c>
      <c r="BN20" s="34" t="str">
        <f>IFERROR(__xludf.DUMMYFUNCTION("""COMPUTED_VALUE"""),"https://techcombank.com/thong-tin/blog/cach-kich-hoat-the-atm")</f>
        <v>https://techcombank.com/thong-tin/blog/cach-kich-hoat-the-atm</v>
      </c>
      <c r="BO20" s="30" t="str">
        <f>IFERROR(__xludf.DUMMYFUNCTION("""COMPUTED_VALUE"""),"nộp tiền vào tài khoản")</f>
        <v>nộp tiền vào tài khoản</v>
      </c>
      <c r="BP20" s="34" t="str">
        <f>IFERROR(__xludf.DUMMYFUNCTION("""COMPUTED_VALUE"""),"https://techcombank.com/thong-tin/blog/atm-la-gi")</f>
        <v>https://techcombank.com/thong-tin/blog/atm-la-gi</v>
      </c>
      <c r="BQ20" s="30" t="str">
        <f>IFERROR(__xludf.DUMMYFUNCTION("""COMPUTED_VALUE"""),"nạp tiền vào tài khoản ngân hàng")</f>
        <v>nạp tiền vào tài khoản ngân hàng</v>
      </c>
      <c r="BR20" s="34" t="str">
        <f>IFERROR(__xludf.DUMMYFUNCTION("""COMPUTED_VALUE"""),"https://techcombank.com/thong-tin/blog/1-cmnd-dang-ky-duoc-may-tai-khoan-ngan-hang")</f>
        <v>https://techcombank.com/thong-tin/blog/1-cmnd-dang-ky-duoc-may-tai-khoan-ngan-hang</v>
      </c>
      <c r="BS20" s="30" t="str">
        <f>IFERROR(__xludf.DUMMYFUNCTION("""COMPUTED_VALUE"""),"nạp tiền vào tài khoản ngân hàng")</f>
        <v>nạp tiền vào tài khoản ngân hàng</v>
      </c>
      <c r="BT20" s="34" t="str">
        <f>IFERROR(__xludf.DUMMYFUNCTION("""COMPUTED_VALUE"""),"https://techcombank.com/thong-tin/blog/the-visa-ao-la-gi")</f>
        <v>https://techcombank.com/thong-tin/blog/the-visa-ao-la-gi</v>
      </c>
      <c r="BU20" s="30"/>
      <c r="BV20" s="30"/>
      <c r="BW20" s="30"/>
      <c r="BX20" s="30"/>
      <c r="BY20" s="30"/>
      <c r="BZ20" s="30"/>
      <c r="CA20" s="30"/>
      <c r="CB20" s="30"/>
      <c r="CC20" s="30"/>
      <c r="CD20" s="30"/>
      <c r="CE20" s="30"/>
      <c r="CF20" s="30"/>
      <c r="CG20" s="30"/>
      <c r="CH20" s="30"/>
      <c r="CI20" s="30"/>
      <c r="CJ20" s="30"/>
      <c r="CK20" s="30"/>
      <c r="CL20" s="30"/>
      <c r="CM20" s="30"/>
      <c r="CN20" s="30"/>
      <c r="CO20" s="30"/>
      <c r="CP20" s="30"/>
      <c r="CQ20" s="30"/>
      <c r="CR20" s="30"/>
      <c r="CS20" s="30"/>
      <c r="CT20" s="30"/>
      <c r="CU20" s="30"/>
      <c r="CV20" s="30"/>
      <c r="CW20" s="30"/>
      <c r="CX20" s="30"/>
      <c r="CY20" s="30"/>
      <c r="CZ20" s="30"/>
      <c r="DA20" s="30"/>
      <c r="DB20" s="30"/>
      <c r="DC20" s="30"/>
      <c r="DD20" s="30"/>
      <c r="DE20" s="30"/>
      <c r="DF20" s="30"/>
      <c r="DG20" s="30"/>
      <c r="DH20" s="30"/>
      <c r="DI20" s="30"/>
      <c r="DJ20" s="30"/>
      <c r="DK20" s="30"/>
      <c r="DL20" s="30"/>
      <c r="DM20" s="30"/>
      <c r="DN20" s="30"/>
      <c r="DO20" s="30"/>
      <c r="DP20" s="30"/>
      <c r="DQ20" s="30"/>
      <c r="DR20" s="30"/>
      <c r="DS20" s="30"/>
      <c r="DT20" s="30"/>
      <c r="DU20" s="30"/>
      <c r="DV20" s="30"/>
      <c r="DW20" s="30"/>
      <c r="DX20" s="30"/>
      <c r="DY20" s="30"/>
      <c r="DZ20" s="30"/>
      <c r="EA20" s="30"/>
      <c r="EB20" s="30"/>
      <c r="EC20" s="30"/>
      <c r="ED20" s="30"/>
      <c r="EE20" s="30"/>
      <c r="EF20" s="30"/>
      <c r="EG20" s="30"/>
      <c r="EH20" s="30"/>
      <c r="EI20" s="30"/>
      <c r="EJ20" s="30"/>
      <c r="EK20" s="30"/>
      <c r="EL20" s="30"/>
      <c r="EM20" s="30"/>
      <c r="EN20" s="30"/>
      <c r="EO20" s="30"/>
      <c r="EP20" s="30"/>
      <c r="EQ20" s="30"/>
      <c r="ER20" s="30"/>
      <c r="ES20" s="30"/>
      <c r="ET20" s="30"/>
      <c r="EU20" s="30"/>
      <c r="EV20" s="30"/>
      <c r="EW20" s="30"/>
      <c r="EX20" s="30"/>
      <c r="EY20" s="30"/>
      <c r="EZ20" s="30"/>
      <c r="FA20" s="30"/>
      <c r="FB20" s="30"/>
      <c r="FC20" s="30"/>
      <c r="FD20" s="30"/>
      <c r="FE20" s="30"/>
      <c r="FF20" s="30"/>
      <c r="FG20" s="30"/>
      <c r="FH20" s="30"/>
      <c r="FI20" s="30"/>
      <c r="FJ20" s="30"/>
      <c r="FK20" s="30"/>
      <c r="FL20" s="30"/>
      <c r="FM20" s="30"/>
      <c r="FN20" s="30"/>
      <c r="FO20" s="30"/>
      <c r="FP20" s="30"/>
      <c r="FQ20" s="30"/>
      <c r="FR20" s="30"/>
      <c r="FS20" s="30"/>
      <c r="FT20" s="30"/>
      <c r="FU20" s="30"/>
      <c r="FV20" s="30"/>
      <c r="FW20" s="30"/>
      <c r="FX20" s="30"/>
      <c r="FY20" s="30"/>
      <c r="FZ20" s="30"/>
      <c r="GA20" s="30"/>
      <c r="GB20" s="30"/>
      <c r="GC20" s="30"/>
      <c r="GD20" s="30"/>
      <c r="GE20" s="30"/>
      <c r="GF20" s="30"/>
      <c r="GG20" s="30"/>
      <c r="GH20" s="30"/>
      <c r="GI20" s="30"/>
      <c r="GJ20" s="30"/>
      <c r="GK20" s="30"/>
      <c r="GL20" s="30"/>
      <c r="GM20" s="30"/>
      <c r="GN20" s="30"/>
      <c r="GO20" s="30"/>
      <c r="GP20" s="30"/>
      <c r="GQ20" s="30"/>
      <c r="GR20" s="30"/>
      <c r="GS20" s="30"/>
      <c r="GT20" s="30"/>
      <c r="GU20" s="30"/>
      <c r="GV20" s="30"/>
      <c r="GW20" s="30"/>
      <c r="GX20" s="30"/>
      <c r="GY20" s="30"/>
      <c r="GZ20" s="30"/>
      <c r="HA20" s="30"/>
      <c r="HB20" s="30"/>
      <c r="HC20" s="30"/>
      <c r="HD20" s="30"/>
      <c r="HE20" s="30"/>
      <c r="HF20" s="30"/>
      <c r="HG20" s="30"/>
      <c r="HH20" s="30"/>
      <c r="HI20" s="30"/>
      <c r="HJ20" s="30"/>
      <c r="HK20" s="30"/>
      <c r="HL20" s="30"/>
      <c r="HM20" s="30"/>
      <c r="HN20" s="30"/>
      <c r="HO20" s="30"/>
      <c r="HP20" s="30"/>
      <c r="HQ20" s="30"/>
      <c r="HR20" s="30"/>
      <c r="HS20" s="30"/>
      <c r="HT20" s="30"/>
      <c r="HU20" s="30"/>
      <c r="HV20" s="30"/>
      <c r="HW20" s="30"/>
      <c r="HX20" s="30"/>
      <c r="HY20" s="30"/>
      <c r="HZ20" s="30"/>
      <c r="IA20" s="30"/>
      <c r="IB20" s="30"/>
      <c r="IC20" s="30"/>
      <c r="ID20" s="30"/>
      <c r="IE20" s="30"/>
      <c r="IF20" s="30"/>
      <c r="IG20" s="30"/>
      <c r="IH20" s="30"/>
      <c r="II20" s="30"/>
      <c r="IJ20" s="30"/>
      <c r="IK20" s="30"/>
      <c r="IL20" s="30"/>
      <c r="IM20" s="30"/>
      <c r="IN20" s="30"/>
      <c r="IO20" s="30"/>
      <c r="IP20" s="30"/>
      <c r="IQ20" s="30"/>
      <c r="IR20" s="30"/>
      <c r="IS20" s="30"/>
      <c r="IT20" s="30"/>
      <c r="IU20" s="30"/>
      <c r="IV20" s="30"/>
      <c r="IW20" s="30"/>
      <c r="IX20" s="30"/>
      <c r="IY20" s="30"/>
      <c r="IZ20" s="30"/>
      <c r="JA20" s="30"/>
      <c r="JB20" s="30"/>
      <c r="JC20" s="30"/>
      <c r="JD20" s="30"/>
      <c r="JE20" s="30"/>
      <c r="JF20" s="30"/>
      <c r="JG20" s="30"/>
      <c r="JH20" s="30"/>
      <c r="JI20" s="30"/>
      <c r="JJ20" s="30"/>
      <c r="JK20" s="30"/>
      <c r="JL20" s="30"/>
      <c r="JM20" s="30"/>
      <c r="JN20" s="30"/>
      <c r="JO20" s="30"/>
      <c r="JP20" s="30"/>
      <c r="JQ20" s="30"/>
      <c r="JR20" s="30"/>
      <c r="JS20" s="30"/>
      <c r="JT20" s="30"/>
      <c r="JU20" s="30"/>
      <c r="JV20" s="30"/>
      <c r="JW20" s="30"/>
      <c r="JX20" s="30"/>
      <c r="JY20" s="30"/>
      <c r="JZ20" s="30"/>
      <c r="KA20" s="30"/>
      <c r="KB20" s="30"/>
      <c r="KC20" s="30"/>
      <c r="KD20" s="30"/>
      <c r="KE20" s="30"/>
      <c r="KF20" s="30"/>
      <c r="KG20" s="30"/>
      <c r="KH20" s="30"/>
      <c r="KI20" s="30"/>
      <c r="KJ20" s="30"/>
      <c r="KK20" s="30"/>
      <c r="KL20" s="30"/>
      <c r="KM20" s="30"/>
      <c r="KN20" s="30"/>
      <c r="KO20" s="30"/>
      <c r="KP20" s="30"/>
      <c r="KQ20" s="30"/>
      <c r="KR20" s="30"/>
      <c r="KS20" s="30"/>
      <c r="KT20" s="30"/>
      <c r="KU20" s="30"/>
      <c r="KV20" s="30"/>
      <c r="KW20" s="30"/>
      <c r="KX20" s="30"/>
      <c r="KY20" s="30"/>
      <c r="KZ20" s="30"/>
      <c r="LA20" s="30"/>
      <c r="LB20" s="30"/>
      <c r="LC20" s="30"/>
      <c r="LD20" s="30"/>
      <c r="LE20" s="30"/>
      <c r="LF20" s="30"/>
      <c r="LG20" s="30"/>
      <c r="LH20" s="30"/>
      <c r="LI20" s="30"/>
      <c r="LJ20" s="30"/>
      <c r="LK20" s="30"/>
      <c r="LL20" s="30"/>
      <c r="LM20" s="30"/>
      <c r="LN20" s="30"/>
      <c r="LO20" s="30"/>
      <c r="LP20" s="30"/>
      <c r="LQ20" s="30"/>
      <c r="LR20" s="30"/>
      <c r="LS20" s="30"/>
      <c r="LT20" s="30"/>
      <c r="LU20" s="30"/>
      <c r="LV20" s="30"/>
      <c r="LW20" s="30"/>
      <c r="LX20" s="30"/>
      <c r="LY20" s="30"/>
      <c r="LZ20" s="30"/>
      <c r="MA20" s="30"/>
      <c r="MB20" s="30"/>
      <c r="MC20" s="30"/>
      <c r="MD20" s="30"/>
      <c r="ME20" s="30"/>
      <c r="MF20" s="30"/>
      <c r="MG20" s="30"/>
      <c r="MH20" s="30"/>
      <c r="MI20" s="30"/>
      <c r="MJ20" s="30"/>
      <c r="MK20" s="30"/>
      <c r="ML20" s="30"/>
      <c r="MM20" s="30"/>
      <c r="MN20" s="30"/>
      <c r="MO20" s="30"/>
      <c r="MP20" s="30"/>
      <c r="MQ20" s="30"/>
      <c r="MR20" s="30"/>
      <c r="MS20" s="30"/>
      <c r="MT20" s="30"/>
      <c r="MU20" s="30"/>
      <c r="MV20" s="30"/>
      <c r="MW20" s="30"/>
      <c r="MX20" s="30"/>
      <c r="MY20" s="30"/>
      <c r="MZ20" s="30"/>
      <c r="NA20" s="30"/>
      <c r="NB20" s="30"/>
      <c r="NC20" s="30"/>
      <c r="ND20" s="30"/>
      <c r="NE20" s="30"/>
      <c r="NF20" s="30"/>
      <c r="NG20" s="30"/>
      <c r="NH20" s="30"/>
      <c r="NI20" s="30"/>
      <c r="NJ20" s="30"/>
      <c r="NK20" s="30"/>
      <c r="NL20" s="30"/>
      <c r="NM20" s="30"/>
      <c r="NN20" s="30"/>
      <c r="NO20" s="30"/>
      <c r="NP20" s="30"/>
      <c r="NQ20" s="30"/>
      <c r="NR20" s="30"/>
      <c r="NS20" s="30"/>
      <c r="NT20" s="30"/>
      <c r="NU20" s="30"/>
      <c r="NV20" s="30"/>
      <c r="NW20" s="30"/>
      <c r="NX20" s="30"/>
      <c r="NY20" s="30"/>
      <c r="NZ20" s="30"/>
      <c r="OA20" s="30"/>
      <c r="OB20" s="30"/>
      <c r="OC20" s="30"/>
      <c r="OD20" s="30"/>
      <c r="OE20" s="30"/>
      <c r="OF20" s="30"/>
      <c r="OG20" s="30"/>
      <c r="OH20" s="30"/>
      <c r="OI20" s="30"/>
      <c r="OJ20" s="30"/>
      <c r="OK20" s="30"/>
      <c r="OL20" s="30"/>
      <c r="OM20" s="30"/>
      <c r="ON20" s="30"/>
      <c r="OO20" s="30"/>
      <c r="OP20" s="30"/>
      <c r="OQ20" s="30"/>
      <c r="OR20" s="30"/>
      <c r="OS20" s="30"/>
      <c r="OT20" s="30"/>
      <c r="OU20" s="30"/>
      <c r="OV20" s="30"/>
    </row>
    <row r="21" ht="18.0" customHeight="1">
      <c r="A21" s="29">
        <v>20.0</v>
      </c>
      <c r="B21" s="30" t="s">
        <v>1564</v>
      </c>
      <c r="C21" s="31" t="s">
        <v>2030</v>
      </c>
      <c r="D21" s="30" t="s">
        <v>2008</v>
      </c>
      <c r="E21" s="29">
        <v>30.0</v>
      </c>
      <c r="F21" s="29">
        <f>COUNTIF('Tổng hợp 75 trang đích'!$B$2:$B$3400,$D21)</f>
        <v>30</v>
      </c>
      <c r="G21" s="29">
        <f>COUNTIFS('Tổng hợp 75 trang đích'!$B$2:$B$3400,$D21,'Tổng hợp 75 trang đích'!$K$2:$K$3400,"PHÙ HỢP CAO")</f>
        <v>1</v>
      </c>
      <c r="H21" s="29">
        <f>COUNTIFS('Tổng hợp 75 trang đích'!$B$2:$B$3400,$D21,'Tổng hợp 75 trang đích'!$K$2:$K$3400,"CÓ THỂ ĐI")</f>
        <v>8</v>
      </c>
      <c r="I21" s="29">
        <f>COUNTIFS('Tổng hợp 75 trang đích'!$B$2:$B$3400,$D21,'Tổng hợp 75 trang đích'!$K$2:$K$3400,"CẦN SOÁT")</f>
        <v>21</v>
      </c>
      <c r="J21" s="32" t="s">
        <v>714</v>
      </c>
      <c r="K21" s="32" t="b">
        <v>0</v>
      </c>
      <c r="L21" s="33" t="s">
        <v>52</v>
      </c>
      <c r="M21" s="30" t="str">
        <f>IFERROR(__xludf.DUMMYFUNCTION("IFERROR(TOROW(CHOOSECOLS(SORT(FILTER({'Tổng hợp 75 trang đích'!$J$2:$J$3400,'Tổng hợp 75 trang đích'!$I$2:$I$3400,MATCH('Tổng hợp 75 trang đích'!$K$2:$K$3400,{""PHÙ HỢP CAO"",""CÓ THỂ ĐI"",""CẦN SOÁT""},0)},'Tổng hợp 75 trang đích'!$B$2:$B$3400=$D21),3,TR"&amp;"UE),1,2)),"""")"),"sao kê tài khoản ngân hàng")</f>
        <v>sao kê tài khoản ngân hàng</v>
      </c>
      <c r="N21" s="34" t="str">
        <f>IFERROR(__xludf.DUMMYFUNCTION("""COMPUTED_VALUE"""),"https://techcombank.com/thong-tin/blog/sao-ke-luong")</f>
        <v>https://techcombank.com/thong-tin/blog/sao-ke-luong</v>
      </c>
      <c r="O21" s="30" t="str">
        <f>IFERROR(__xludf.DUMMYFUNCTION("""COMPUTED_VALUE"""),"sao kê tài khoản ngân hàng")</f>
        <v>sao kê tài khoản ngân hàng</v>
      </c>
      <c r="P21" s="34" t="str">
        <f>IFERROR(__xludf.DUMMYFUNCTION("""COMPUTED_VALUE"""),"https://techcombank.com/thong-tin/blog/sao-ke-tai-khoan-doanh-nghiep")</f>
        <v>https://techcombank.com/thong-tin/blog/sao-ke-tai-khoan-doanh-nghiep</v>
      </c>
      <c r="Q21" s="30" t="str">
        <f>IFERROR(__xludf.DUMMYFUNCTION("""COMPUTED_VALUE"""),"sao kê tài khoản ngân hàng")</f>
        <v>sao kê tài khoản ngân hàng</v>
      </c>
      <c r="R21" s="34" t="str">
        <f>IFERROR(__xludf.DUMMYFUNCTION("""COMPUTED_VALUE"""),"https://techcombank.com/thong-tin/blog/vay-the-chap-qua-luong")</f>
        <v>https://techcombank.com/thong-tin/blog/vay-the-chap-qua-luong</v>
      </c>
      <c r="S21" s="30" t="str">
        <f>IFERROR(__xludf.DUMMYFUNCTION("""COMPUTED_VALUE"""),"sao kê tài khoản ngân hàng")</f>
        <v>sao kê tài khoản ngân hàng</v>
      </c>
      <c r="T21" s="34" t="str">
        <f>IFERROR(__xludf.DUMMYFUNCTION("""COMPUTED_VALUE"""),"https://techcombank.com/thong-tin/blog/tien-chuyen-vao-tai-khoan-co-bi-tinh-thue-khong")</f>
        <v>https://techcombank.com/thong-tin/blog/tien-chuyen-vao-tai-khoan-co-bi-tinh-thue-khong</v>
      </c>
      <c r="U21" s="30" t="str">
        <f>IFERROR(__xludf.DUMMYFUNCTION("""COMPUTED_VALUE"""),"sao kê tài khoản ngân hàng")</f>
        <v>sao kê tài khoản ngân hàng</v>
      </c>
      <c r="V21" s="34" t="str">
        <f>IFERROR(__xludf.DUMMYFUNCTION("""COMPUTED_VALUE"""),"https://techcombank.com/thong-tin/blog/ghi-chep-chi-tieu")</f>
        <v>https://techcombank.com/thong-tin/blog/ghi-chep-chi-tieu</v>
      </c>
      <c r="W21" s="30" t="str">
        <f>IFERROR(__xludf.DUMMYFUNCTION("""COMPUTED_VALUE"""),"sao kê tài khoản ngân hàng")</f>
        <v>sao kê tài khoản ngân hàng</v>
      </c>
      <c r="X21" s="34" t="str">
        <f>IFERROR(__xludf.DUMMYFUNCTION("""COMPUTED_VALUE"""),"https://techcombank.com/thong-tin/blog/giai-ngan-la-gi")</f>
        <v>https://techcombank.com/thong-tin/blog/giai-ngan-la-gi</v>
      </c>
      <c r="Y21" s="30" t="str">
        <f>IFERROR(__xludf.DUMMYFUNCTION("""COMPUTED_VALUE"""),"sao kê tài khoản ngân hàng")</f>
        <v>sao kê tài khoản ngân hàng</v>
      </c>
      <c r="Z21" s="34" t="str">
        <f>IFERROR(__xludf.DUMMYFUNCTION("""COMPUTED_VALUE"""),"https://techcombank.com/thong-tin/blog/the-tin-dung-quoc-te")</f>
        <v>https://techcombank.com/thong-tin/blog/the-tin-dung-quoc-te</v>
      </c>
      <c r="AA21" s="30" t="str">
        <f>IFERROR(__xludf.DUMMYFUNCTION("""COMPUTED_VALUE"""),"sao kê tài khoản ngân hàng")</f>
        <v>sao kê tài khoản ngân hàng</v>
      </c>
      <c r="AB21" s="34" t="str">
        <f>IFERROR(__xludf.DUMMYFUNCTION("""COMPUTED_VALUE"""),"https://techcombank.com/thong-tin/blog/han-muc-thau-chi-la-gi")</f>
        <v>https://techcombank.com/thong-tin/blog/han-muc-thau-chi-la-gi</v>
      </c>
      <c r="AC21" s="30" t="str">
        <f>IFERROR(__xludf.DUMMYFUNCTION("""COMPUTED_VALUE"""),"sao kê tài khoản ngân hàng")</f>
        <v>sao kê tài khoản ngân hàng</v>
      </c>
      <c r="AD21" s="34" t="str">
        <f>IFERROR(__xludf.DUMMYFUNCTION("""COMPUTED_VALUE"""),"https://techcombank.com/thong-tin/blog/gui-tien-ngan-hang-co-an-toan-khong")</f>
        <v>https://techcombank.com/thong-tin/blog/gui-tien-ngan-hang-co-an-toan-khong</v>
      </c>
      <c r="AE21" s="30" t="str">
        <f>IFERROR(__xludf.DUMMYFUNCTION("""COMPUTED_VALUE"""),"sao kê tài khoản ngân hàng")</f>
        <v>sao kê tài khoản ngân hàng</v>
      </c>
      <c r="AF21" s="34" t="str">
        <f>IFERROR(__xludf.DUMMYFUNCTION("""COMPUTED_VALUE"""),"https://techcombank.com/thong-tin/blog/vi-tra-sau")</f>
        <v>https://techcombank.com/thong-tin/blog/vi-tra-sau</v>
      </c>
      <c r="AG21" s="30" t="str">
        <f>IFERROR(__xludf.DUMMYFUNCTION("""COMPUTED_VALUE"""),"sao kê tài khoản ngân hàng")</f>
        <v>sao kê tài khoản ngân hàng</v>
      </c>
      <c r="AH21" s="34" t="str">
        <f>IFERROR(__xludf.DUMMYFUNCTION("""COMPUTED_VALUE"""),"https://techcombank.com/thong-tin/blog/loi-ich-cua-viec-tiet-kiem-tien")</f>
        <v>https://techcombank.com/thong-tin/blog/loi-ich-cua-viec-tiet-kiem-tien</v>
      </c>
      <c r="AI21" s="30" t="str">
        <f>IFERROR(__xludf.DUMMYFUNCTION("""COMPUTED_VALUE"""),"sao kê tài khoản ngân hàng")</f>
        <v>sao kê tài khoản ngân hàng</v>
      </c>
      <c r="AJ21" s="34" t="str">
        <f>IFERROR(__xludf.DUMMYFUNCTION("""COMPUTED_VALUE"""),"https://techcombank.com/thong-tin/blog/cach-tiet-kiem-tien-hieu-qua-cho-gia-dinh")</f>
        <v>https://techcombank.com/thong-tin/blog/cach-tiet-kiem-tien-hieu-qua-cho-gia-dinh</v>
      </c>
      <c r="AK21" s="30" t="str">
        <f>IFERROR(__xludf.DUMMYFUNCTION("""COMPUTED_VALUE"""),"sao kê tài khoản ngân hàng")</f>
        <v>sao kê tài khoản ngân hàng</v>
      </c>
      <c r="AL21" s="34" t="str">
        <f>IFERROR(__xludf.DUMMYFUNCTION("""COMPUTED_VALUE"""),"https://techcombank.com/thong-tin/blog/app-mua-truoc-tra-sau")</f>
        <v>https://techcombank.com/thong-tin/blog/app-mua-truoc-tra-sau</v>
      </c>
      <c r="AM21" s="30" t="str">
        <f>IFERROR(__xludf.DUMMYFUNCTION("""COMPUTED_VALUE"""),"sao kê tài khoản ngân hàng")</f>
        <v>sao kê tài khoản ngân hàng</v>
      </c>
      <c r="AN21" s="34" t="str">
        <f>IFERROR(__xludf.DUMMYFUNCTION("""COMPUTED_VALUE"""),"https://techcombank.com/thong-tin/blog/cho-vay-tieu-dung-la-gi")</f>
        <v>https://techcombank.com/thong-tin/blog/cho-vay-tieu-dung-la-gi</v>
      </c>
      <c r="AO21" s="30" t="str">
        <f>IFERROR(__xludf.DUMMYFUNCTION("""COMPUTED_VALUE"""),"sao kê tài khoản ngân hàng")</f>
        <v>sao kê tài khoản ngân hàng</v>
      </c>
      <c r="AP21" s="34" t="str">
        <f>IFERROR(__xludf.DUMMYFUNCTION("""COMPUTED_VALUE"""),"https://techcombank.com/thong-tin/blog/phan-mem-lap-ke-hoach-tai-chinh-ca-nhan")</f>
        <v>https://techcombank.com/thong-tin/blog/phan-mem-lap-ke-hoach-tai-chinh-ca-nhan</v>
      </c>
      <c r="AQ21" s="30" t="str">
        <f>IFERROR(__xludf.DUMMYFUNCTION("""COMPUTED_VALUE"""),"sao kê tài khoản ngân hàng")</f>
        <v>sao kê tài khoản ngân hàng</v>
      </c>
      <c r="AR21" s="34" t="str">
        <f>IFERROR(__xludf.DUMMYFUNCTION("""COMPUTED_VALUE"""),"https://techcombank.com/thong-tin/blog/so-tai-khoan-ngan-hang")</f>
        <v>https://techcombank.com/thong-tin/blog/so-tai-khoan-ngan-hang</v>
      </c>
      <c r="AS21" s="30" t="str">
        <f>IFERROR(__xludf.DUMMYFUNCTION("""COMPUTED_VALUE"""),"sao kê tài khoản ngân hàng")</f>
        <v>sao kê tài khoản ngân hàng</v>
      </c>
      <c r="AT21" s="34" t="str">
        <f>IFERROR(__xludf.DUMMYFUNCTION("""COMPUTED_VALUE"""),"https://techcombank.com/thong-tin/blog/the-tin-dung-den")</f>
        <v>https://techcombank.com/thong-tin/blog/the-tin-dung-den</v>
      </c>
      <c r="AU21" s="30" t="str">
        <f>IFERROR(__xludf.DUMMYFUNCTION("""COMPUTED_VALUE"""),"sao kê tài khoản ngân hàng")</f>
        <v>sao kê tài khoản ngân hàng</v>
      </c>
      <c r="AV21" s="34" t="str">
        <f>IFERROR(__xludf.DUMMYFUNCTION("""COMPUTED_VALUE"""),"https://techcombank.com/thong-tin/blog/app-quan-ly-chi-tieu")</f>
        <v>https://techcombank.com/thong-tin/blog/app-quan-ly-chi-tieu</v>
      </c>
      <c r="AW21" s="30" t="str">
        <f>IFERROR(__xludf.DUMMYFUNCTION("""COMPUTED_VALUE"""),"sao kê tài khoản ngân hàng")</f>
        <v>sao kê tài khoản ngân hàng</v>
      </c>
      <c r="AX21" s="34" t="str">
        <f>IFERROR(__xludf.DUMMYFUNCTION("""COMPUTED_VALUE"""),"https://techcombank.com/thong-tin/blog/sao-ke-the-tin-dung-la-gi")</f>
        <v>https://techcombank.com/thong-tin/blog/sao-ke-the-tin-dung-la-gi</v>
      </c>
      <c r="AY21" s="30" t="str">
        <f>IFERROR(__xludf.DUMMYFUNCTION("""COMPUTED_VALUE"""),"sao kê tài khoản ngân hàng")</f>
        <v>sao kê tài khoản ngân hàng</v>
      </c>
      <c r="AZ21" s="34" t="str">
        <f>IFERROR(__xludf.DUMMYFUNCTION("""COMPUTED_VALUE"""),"https://techcombank.com/thong-tin/blog/cashback-the-thanh-toan")</f>
        <v>https://techcombank.com/thong-tin/blog/cashback-the-thanh-toan</v>
      </c>
      <c r="BA21" s="30" t="str">
        <f>IFERROR(__xludf.DUMMYFUNCTION("""COMPUTED_VALUE"""),"cách sao kê tài khoản ngân hàng")</f>
        <v>cách sao kê tài khoản ngân hàng</v>
      </c>
      <c r="BB21" s="34" t="str">
        <f>IFERROR(__xludf.DUMMYFUNCTION("""COMPUTED_VALUE"""),"https://techcombank.com/thong-tin/blog/nang-han-muc-tin-dung")</f>
        <v>https://techcombank.com/thong-tin/blog/nang-han-muc-tin-dung</v>
      </c>
      <c r="BC21" s="30" t="str">
        <f>IFERROR(__xludf.DUMMYFUNCTION("""COMPUTED_VALUE"""),"sao kê tài khoản ngân hàng")</f>
        <v>sao kê tài khoản ngân hàng</v>
      </c>
      <c r="BD21" s="34" t="str">
        <f>IFERROR(__xludf.DUMMYFUNCTION("""COMPUTED_VALUE"""),"https://techcombank.com/thong-tin/blog/cach-tiet-kiem-tien")</f>
        <v>https://techcombank.com/thong-tin/blog/cach-tiet-kiem-tien</v>
      </c>
      <c r="BE21" s="30" t="str">
        <f>IFERROR(__xludf.DUMMYFUNCTION("""COMPUTED_VALUE"""),"sao kê tài khoản ngân hàng")</f>
        <v>sao kê tài khoản ngân hàng</v>
      </c>
      <c r="BF21" s="34" t="str">
        <f>IFERROR(__xludf.DUMMYFUNCTION("""COMPUTED_VALUE"""),"https://techcombank.com/thong-tin/blog/mo-the-tin-dung-chi-can-cccd")</f>
        <v>https://techcombank.com/thong-tin/blog/mo-the-tin-dung-chi-can-cccd</v>
      </c>
      <c r="BG21" s="30" t="str">
        <f>IFERROR(__xludf.DUMMYFUNCTION("""COMPUTED_VALUE"""),"cách sao kê tài khoản ngân hàng")</f>
        <v>cách sao kê tài khoản ngân hàng</v>
      </c>
      <c r="BH21" s="34" t="str">
        <f>IFERROR(__xludf.DUMMYFUNCTION("""COMPUTED_VALUE"""),"https://techcombank.com/thong-tin/blog/the-debit-cho-con")</f>
        <v>https://techcombank.com/thong-tin/blog/the-debit-cho-con</v>
      </c>
      <c r="BI21" s="30" t="str">
        <f>IFERROR(__xludf.DUMMYFUNCTION("""COMPUTED_VALUE"""),"sao kê tài khoản ngân hàng")</f>
        <v>sao kê tài khoản ngân hàng</v>
      </c>
      <c r="BJ21" s="34" t="str">
        <f>IFERROR(__xludf.DUMMYFUNCTION("""COMPUTED_VALUE"""),"https://techcombank.com/thong-tin/blog/thoi-gian-hoan-tien-the-tin-dung")</f>
        <v>https://techcombank.com/thong-tin/blog/thoi-gian-hoan-tien-the-tin-dung</v>
      </c>
      <c r="BK21" s="30" t="str">
        <f>IFERROR(__xludf.DUMMYFUNCTION("""COMPUTED_VALUE"""),"sao kê tài khoản ngân hàng")</f>
        <v>sao kê tài khoản ngân hàng</v>
      </c>
      <c r="BL21" s="34" t="str">
        <f>IFERROR(__xludf.DUMMYFUNCTION("""COMPUTED_VALUE"""),"https://techcombank.com/thong-tin/blog/the-ghi-no-co-rut-tien-duoc-khong")</f>
        <v>https://techcombank.com/thong-tin/blog/the-ghi-no-co-rut-tien-duoc-khong</v>
      </c>
      <c r="BM21" s="30" t="str">
        <f>IFERROR(__xludf.DUMMYFUNCTION("""COMPUTED_VALUE"""),"sao kê tài khoản ngân hàng")</f>
        <v>sao kê tài khoản ngân hàng</v>
      </c>
      <c r="BN21" s="34" t="str">
        <f>IFERROR(__xludf.DUMMYFUNCTION("""COMPUTED_VALUE"""),"https://techcombank.com/thong-tin/blog/vay-tien-online")</f>
        <v>https://techcombank.com/thong-tin/blog/vay-tien-online</v>
      </c>
      <c r="BO21" s="30" t="str">
        <f>IFERROR(__xludf.DUMMYFUNCTION("""COMPUTED_VALUE"""),"sao kê tài khoản ngân hàng")</f>
        <v>sao kê tài khoản ngân hàng</v>
      </c>
      <c r="BP21" s="34" t="str">
        <f>IFERROR(__xludf.DUMMYFUNCTION("""COMPUTED_VALUE"""),"https://techcombank.com/thong-tin/blog/the-visa-co-may-loai")</f>
        <v>https://techcombank.com/thong-tin/blog/the-visa-co-may-loai</v>
      </c>
      <c r="BQ21" s="30" t="str">
        <f>IFERROR(__xludf.DUMMYFUNCTION("""COMPUTED_VALUE"""),"sao kê tài khoản ngân hàng")</f>
        <v>sao kê tài khoản ngân hàng</v>
      </c>
      <c r="BR21" s="34" t="str">
        <f>IFERROR(__xludf.DUMMYFUNCTION("""COMPUTED_VALUE"""),"https://techcombank.com/thong-tin/blog/cic-la-gi")</f>
        <v>https://techcombank.com/thong-tin/blog/cic-la-gi</v>
      </c>
      <c r="BS21" s="30" t="str">
        <f>IFERROR(__xludf.DUMMYFUNCTION("""COMPUTED_VALUE"""),"sao kê tài khoản ngân hàng")</f>
        <v>sao kê tài khoản ngân hàng</v>
      </c>
      <c r="BT21" s="34" t="str">
        <f>IFERROR(__xludf.DUMMYFUNCTION("""COMPUTED_VALUE"""),"https://techcombank.com/thong-tin/blog/6-chiec-lo-tai-chinh-ca-nhan")</f>
        <v>https://techcombank.com/thong-tin/blog/6-chiec-lo-tai-chinh-ca-nhan</v>
      </c>
      <c r="BU21" s="30"/>
      <c r="BV21" s="30"/>
      <c r="BW21" s="30"/>
      <c r="BX21" s="30"/>
      <c r="BY21" s="30"/>
      <c r="BZ21" s="30"/>
      <c r="CA21" s="30"/>
      <c r="CB21" s="30"/>
      <c r="CC21" s="30"/>
      <c r="CD21" s="30"/>
      <c r="CE21" s="30"/>
      <c r="CF21" s="30"/>
      <c r="CG21" s="30"/>
      <c r="CH21" s="30"/>
      <c r="CI21" s="30"/>
      <c r="CJ21" s="30"/>
      <c r="CK21" s="30"/>
      <c r="CL21" s="30"/>
      <c r="CM21" s="30"/>
      <c r="CN21" s="30"/>
      <c r="CO21" s="30"/>
      <c r="CP21" s="30"/>
      <c r="CQ21" s="30"/>
      <c r="CR21" s="30"/>
      <c r="CS21" s="30"/>
      <c r="CT21" s="30"/>
      <c r="CU21" s="30"/>
      <c r="CV21" s="30"/>
      <c r="CW21" s="30"/>
      <c r="CX21" s="30"/>
      <c r="CY21" s="30"/>
      <c r="CZ21" s="30"/>
      <c r="DA21" s="30"/>
      <c r="DB21" s="30"/>
      <c r="DC21" s="30"/>
      <c r="DD21" s="30"/>
      <c r="DE21" s="30"/>
      <c r="DF21" s="30"/>
      <c r="DG21" s="30"/>
      <c r="DH21" s="30"/>
      <c r="DI21" s="30"/>
      <c r="DJ21" s="30"/>
      <c r="DK21" s="30"/>
      <c r="DL21" s="30"/>
      <c r="DM21" s="30"/>
      <c r="DN21" s="30"/>
      <c r="DO21" s="30"/>
      <c r="DP21" s="30"/>
      <c r="DQ21" s="30"/>
      <c r="DR21" s="30"/>
      <c r="DS21" s="30"/>
      <c r="DT21" s="30"/>
      <c r="DU21" s="30"/>
      <c r="DV21" s="30"/>
      <c r="DW21" s="30"/>
      <c r="DX21" s="30"/>
      <c r="DY21" s="30"/>
      <c r="DZ21" s="30"/>
      <c r="EA21" s="30"/>
      <c r="EB21" s="30"/>
      <c r="EC21" s="30"/>
      <c r="ED21" s="30"/>
      <c r="EE21" s="30"/>
      <c r="EF21" s="30"/>
      <c r="EG21" s="30"/>
      <c r="EH21" s="30"/>
      <c r="EI21" s="30"/>
      <c r="EJ21" s="30"/>
      <c r="EK21" s="30"/>
      <c r="EL21" s="30"/>
      <c r="EM21" s="30"/>
      <c r="EN21" s="30"/>
      <c r="EO21" s="30"/>
      <c r="EP21" s="30"/>
      <c r="EQ21" s="30"/>
      <c r="ER21" s="30"/>
      <c r="ES21" s="30"/>
      <c r="ET21" s="30"/>
      <c r="EU21" s="30"/>
      <c r="EV21" s="30"/>
      <c r="EW21" s="30"/>
      <c r="EX21" s="30"/>
      <c r="EY21" s="30"/>
      <c r="EZ21" s="30"/>
      <c r="FA21" s="30"/>
      <c r="FB21" s="30"/>
      <c r="FC21" s="30"/>
      <c r="FD21" s="30"/>
      <c r="FE21" s="30"/>
      <c r="FF21" s="30"/>
      <c r="FG21" s="30"/>
      <c r="FH21" s="30"/>
      <c r="FI21" s="30"/>
      <c r="FJ21" s="30"/>
      <c r="FK21" s="30"/>
      <c r="FL21" s="30"/>
      <c r="FM21" s="30"/>
      <c r="FN21" s="30"/>
      <c r="FO21" s="30"/>
      <c r="FP21" s="30"/>
      <c r="FQ21" s="30"/>
      <c r="FR21" s="30"/>
      <c r="FS21" s="30"/>
      <c r="FT21" s="30"/>
      <c r="FU21" s="30"/>
      <c r="FV21" s="30"/>
      <c r="FW21" s="30"/>
      <c r="FX21" s="30"/>
      <c r="FY21" s="30"/>
      <c r="FZ21" s="30"/>
      <c r="GA21" s="30"/>
      <c r="GB21" s="30"/>
      <c r="GC21" s="30"/>
      <c r="GD21" s="30"/>
      <c r="GE21" s="30"/>
      <c r="GF21" s="30"/>
      <c r="GG21" s="30"/>
      <c r="GH21" s="30"/>
      <c r="GI21" s="30"/>
      <c r="GJ21" s="30"/>
      <c r="GK21" s="30"/>
      <c r="GL21" s="30"/>
      <c r="GM21" s="30"/>
      <c r="GN21" s="30"/>
      <c r="GO21" s="30"/>
      <c r="GP21" s="30"/>
      <c r="GQ21" s="30"/>
      <c r="GR21" s="30"/>
      <c r="GS21" s="30"/>
      <c r="GT21" s="30"/>
      <c r="GU21" s="30"/>
      <c r="GV21" s="30"/>
      <c r="GW21" s="30"/>
      <c r="GX21" s="30"/>
      <c r="GY21" s="30"/>
      <c r="GZ21" s="30"/>
      <c r="HA21" s="30"/>
      <c r="HB21" s="30"/>
      <c r="HC21" s="30"/>
      <c r="HD21" s="30"/>
      <c r="HE21" s="30"/>
      <c r="HF21" s="30"/>
      <c r="HG21" s="30"/>
      <c r="HH21" s="30"/>
      <c r="HI21" s="30"/>
      <c r="HJ21" s="30"/>
      <c r="HK21" s="30"/>
      <c r="HL21" s="30"/>
      <c r="HM21" s="30"/>
      <c r="HN21" s="30"/>
      <c r="HO21" s="30"/>
      <c r="HP21" s="30"/>
      <c r="HQ21" s="30"/>
      <c r="HR21" s="30"/>
      <c r="HS21" s="30"/>
      <c r="HT21" s="30"/>
      <c r="HU21" s="30"/>
      <c r="HV21" s="30"/>
      <c r="HW21" s="30"/>
      <c r="HX21" s="30"/>
      <c r="HY21" s="30"/>
      <c r="HZ21" s="30"/>
      <c r="IA21" s="30"/>
      <c r="IB21" s="30"/>
      <c r="IC21" s="30"/>
      <c r="ID21" s="30"/>
      <c r="IE21" s="30"/>
      <c r="IF21" s="30"/>
      <c r="IG21" s="30"/>
      <c r="IH21" s="30"/>
      <c r="II21" s="30"/>
      <c r="IJ21" s="30"/>
      <c r="IK21" s="30"/>
      <c r="IL21" s="30"/>
      <c r="IM21" s="30"/>
      <c r="IN21" s="30"/>
      <c r="IO21" s="30"/>
      <c r="IP21" s="30"/>
      <c r="IQ21" s="30"/>
      <c r="IR21" s="30"/>
      <c r="IS21" s="30"/>
      <c r="IT21" s="30"/>
      <c r="IU21" s="30"/>
      <c r="IV21" s="30"/>
      <c r="IW21" s="30"/>
      <c r="IX21" s="30"/>
      <c r="IY21" s="30"/>
      <c r="IZ21" s="30"/>
      <c r="JA21" s="30"/>
      <c r="JB21" s="30"/>
      <c r="JC21" s="30"/>
      <c r="JD21" s="30"/>
      <c r="JE21" s="30"/>
      <c r="JF21" s="30"/>
      <c r="JG21" s="30"/>
      <c r="JH21" s="30"/>
      <c r="JI21" s="30"/>
      <c r="JJ21" s="30"/>
      <c r="JK21" s="30"/>
      <c r="JL21" s="30"/>
      <c r="JM21" s="30"/>
      <c r="JN21" s="30"/>
      <c r="JO21" s="30"/>
      <c r="JP21" s="30"/>
      <c r="JQ21" s="30"/>
      <c r="JR21" s="30"/>
      <c r="JS21" s="30"/>
      <c r="JT21" s="30"/>
      <c r="JU21" s="30"/>
      <c r="JV21" s="30"/>
      <c r="JW21" s="30"/>
      <c r="JX21" s="30"/>
      <c r="JY21" s="30"/>
      <c r="JZ21" s="30"/>
      <c r="KA21" s="30"/>
      <c r="KB21" s="30"/>
      <c r="KC21" s="30"/>
      <c r="KD21" s="30"/>
      <c r="KE21" s="30"/>
      <c r="KF21" s="30"/>
      <c r="KG21" s="30"/>
      <c r="KH21" s="30"/>
      <c r="KI21" s="30"/>
      <c r="KJ21" s="30"/>
      <c r="KK21" s="30"/>
      <c r="KL21" s="30"/>
      <c r="KM21" s="30"/>
      <c r="KN21" s="30"/>
      <c r="KO21" s="30"/>
      <c r="KP21" s="30"/>
      <c r="KQ21" s="30"/>
      <c r="KR21" s="30"/>
      <c r="KS21" s="30"/>
      <c r="KT21" s="30"/>
      <c r="KU21" s="30"/>
      <c r="KV21" s="30"/>
      <c r="KW21" s="30"/>
      <c r="KX21" s="30"/>
      <c r="KY21" s="30"/>
      <c r="KZ21" s="30"/>
      <c r="LA21" s="30"/>
      <c r="LB21" s="30"/>
      <c r="LC21" s="30"/>
      <c r="LD21" s="30"/>
      <c r="LE21" s="30"/>
      <c r="LF21" s="30"/>
      <c r="LG21" s="30"/>
      <c r="LH21" s="30"/>
      <c r="LI21" s="30"/>
      <c r="LJ21" s="30"/>
      <c r="LK21" s="30"/>
      <c r="LL21" s="30"/>
      <c r="LM21" s="30"/>
      <c r="LN21" s="30"/>
      <c r="LO21" s="30"/>
      <c r="LP21" s="30"/>
      <c r="LQ21" s="30"/>
      <c r="LR21" s="30"/>
      <c r="LS21" s="30"/>
      <c r="LT21" s="30"/>
      <c r="LU21" s="30"/>
      <c r="LV21" s="30"/>
      <c r="LW21" s="30"/>
      <c r="LX21" s="30"/>
      <c r="LY21" s="30"/>
      <c r="LZ21" s="30"/>
      <c r="MA21" s="30"/>
      <c r="MB21" s="30"/>
      <c r="MC21" s="30"/>
      <c r="MD21" s="30"/>
      <c r="ME21" s="30"/>
      <c r="MF21" s="30"/>
      <c r="MG21" s="30"/>
      <c r="MH21" s="30"/>
      <c r="MI21" s="30"/>
      <c r="MJ21" s="30"/>
      <c r="MK21" s="30"/>
      <c r="ML21" s="30"/>
      <c r="MM21" s="30"/>
      <c r="MN21" s="30"/>
      <c r="MO21" s="30"/>
      <c r="MP21" s="30"/>
      <c r="MQ21" s="30"/>
      <c r="MR21" s="30"/>
      <c r="MS21" s="30"/>
      <c r="MT21" s="30"/>
      <c r="MU21" s="30"/>
      <c r="MV21" s="30"/>
      <c r="MW21" s="30"/>
      <c r="MX21" s="30"/>
      <c r="MY21" s="30"/>
      <c r="MZ21" s="30"/>
      <c r="NA21" s="30"/>
      <c r="NB21" s="30"/>
      <c r="NC21" s="30"/>
      <c r="ND21" s="30"/>
      <c r="NE21" s="30"/>
      <c r="NF21" s="30"/>
      <c r="NG21" s="30"/>
      <c r="NH21" s="30"/>
      <c r="NI21" s="30"/>
      <c r="NJ21" s="30"/>
      <c r="NK21" s="30"/>
      <c r="NL21" s="30"/>
      <c r="NM21" s="30"/>
      <c r="NN21" s="30"/>
      <c r="NO21" s="30"/>
      <c r="NP21" s="30"/>
      <c r="NQ21" s="30"/>
      <c r="NR21" s="30"/>
      <c r="NS21" s="30"/>
      <c r="NT21" s="30"/>
      <c r="NU21" s="30"/>
      <c r="NV21" s="30"/>
      <c r="NW21" s="30"/>
      <c r="NX21" s="30"/>
      <c r="NY21" s="30"/>
      <c r="NZ21" s="30"/>
      <c r="OA21" s="30"/>
      <c r="OB21" s="30"/>
      <c r="OC21" s="30"/>
      <c r="OD21" s="30"/>
      <c r="OE21" s="30"/>
      <c r="OF21" s="30"/>
      <c r="OG21" s="30"/>
      <c r="OH21" s="30"/>
      <c r="OI21" s="30"/>
      <c r="OJ21" s="30"/>
      <c r="OK21" s="30"/>
      <c r="OL21" s="30"/>
      <c r="OM21" s="30"/>
      <c r="ON21" s="30"/>
      <c r="OO21" s="30"/>
      <c r="OP21" s="30"/>
      <c r="OQ21" s="30"/>
      <c r="OR21" s="30"/>
      <c r="OS21" s="30"/>
      <c r="OT21" s="30"/>
      <c r="OU21" s="30"/>
      <c r="OV21" s="30"/>
    </row>
    <row r="22" ht="18.0" customHeight="1">
      <c r="A22" s="29">
        <v>21.0</v>
      </c>
      <c r="B22" s="30" t="s">
        <v>1564</v>
      </c>
      <c r="C22" s="31" t="s">
        <v>2099</v>
      </c>
      <c r="D22" s="30" t="s">
        <v>1545</v>
      </c>
      <c r="E22" s="29">
        <v>30.0</v>
      </c>
      <c r="F22" s="29">
        <f>COUNTIF('Tổng hợp 75 trang đích'!$B$2:$B$3400,$D22)</f>
        <v>30</v>
      </c>
      <c r="G22" s="29">
        <f>COUNTIFS('Tổng hợp 75 trang đích'!$B$2:$B$3400,$D22,'Tổng hợp 75 trang đích'!$K$2:$K$3400,"PHÙ HỢP CAO")</f>
        <v>4</v>
      </c>
      <c r="H22" s="29">
        <f>COUNTIFS('Tổng hợp 75 trang đích'!$B$2:$B$3400,$D22,'Tổng hợp 75 trang đích'!$K$2:$K$3400,"CÓ THỂ ĐI")</f>
        <v>1</v>
      </c>
      <c r="I22" s="29">
        <f>COUNTIFS('Tổng hợp 75 trang đích'!$B$2:$B$3400,$D22,'Tổng hợp 75 trang đích'!$K$2:$K$3400,"CẦN SOÁT")</f>
        <v>25</v>
      </c>
      <c r="J22" s="32" t="s">
        <v>714</v>
      </c>
      <c r="K22" s="32" t="b">
        <v>0</v>
      </c>
      <c r="L22" s="33" t="s">
        <v>52</v>
      </c>
      <c r="M22" s="30" t="str">
        <f>IFERROR(__xludf.DUMMYFUNCTION("IFERROR(TOROW(CHOOSECOLS(SORT(FILTER({'Tổng hợp 75 trang đích'!$J$2:$J$3400,'Tổng hợp 75 trang đích'!$I$2:$I$3400,MATCH('Tổng hợp 75 trang đích'!$K$2:$K$3400,{""PHÙ HỢP CAO"",""CÓ THỂ ĐI"",""CẦN SOÁT""},0)},'Tổng hợp 75 trang đích'!$B$2:$B$3400=$D22),3,TR"&amp;"UE),1,2)),"""")"),"số tài khoản phát tài phát lộc")</f>
        <v>số tài khoản phát tài phát lộc</v>
      </c>
      <c r="N22" s="34" t="str">
        <f>IFERROR(__xludf.DUMMYFUNCTION("""COMPUTED_VALUE"""),"https://techcombank.com/thong-tin/blog/88-la-gi")</f>
        <v>https://techcombank.com/thong-tin/blog/88-la-gi</v>
      </c>
      <c r="O22" s="30" t="str">
        <f>IFERROR(__xludf.DUMMYFUNCTION("""COMPUTED_VALUE"""),"số tài khoản phát tài phát lộc")</f>
        <v>số tài khoản phát tài phát lộc</v>
      </c>
      <c r="P22" s="34" t="str">
        <f>IFERROR(__xludf.DUMMYFUNCTION("""COMPUTED_VALUE"""),"https://techcombank.com/thong-tin/blog/so-6868")</f>
        <v>https://techcombank.com/thong-tin/blog/so-6868</v>
      </c>
      <c r="Q22" s="30" t="str">
        <f>IFERROR(__xludf.DUMMYFUNCTION("""COMPUTED_VALUE"""),"dãy số phát tài phát lộc")</f>
        <v>dãy số phát tài phát lộc</v>
      </c>
      <c r="R22" s="34" t="str">
        <f>IFERROR(__xludf.DUMMYFUNCTION("""COMPUTED_VALUE"""),"https://techcombank.com/thong-tin/blog/so-tai-khoan-dep")</f>
        <v>https://techcombank.com/thong-tin/blog/so-tai-khoan-dep</v>
      </c>
      <c r="S22" s="30" t="str">
        <f>IFERROR(__xludf.DUMMYFUNCTION("""COMPUTED_VALUE"""),"số tài khoản phát tài phát lộc")</f>
        <v>số tài khoản phát tài phát lộc</v>
      </c>
      <c r="T22" s="34" t="str">
        <f>IFERROR(__xludf.DUMMYFUNCTION("""COMPUTED_VALUE"""),"https://techcombank.com/thong-tin/blog/cach-chon-so-tai-khoan-dep")</f>
        <v>https://techcombank.com/thong-tin/blog/cach-chon-so-tai-khoan-dep</v>
      </c>
      <c r="U22" s="30" t="str">
        <f>IFERROR(__xludf.DUMMYFUNCTION("""COMPUTED_VALUE"""),"số tài khoản phát tài phát lộc")</f>
        <v>số tài khoản phát tài phát lộc</v>
      </c>
      <c r="V22" s="34" t="str">
        <f>IFERROR(__xludf.DUMMYFUNCTION("""COMPUTED_VALUE"""),"https://techcombank.com/thong-tin/blog/li-xi-so-dep")</f>
        <v>https://techcombank.com/thong-tin/blog/li-xi-so-dep</v>
      </c>
      <c r="W22" s="30" t="str">
        <f>IFERROR(__xludf.DUMMYFUNCTION("""COMPUTED_VALUE"""),"số tài khoản phát tài phát lộc")</f>
        <v>số tài khoản phát tài phát lộc</v>
      </c>
      <c r="X22" s="34" t="str">
        <f>IFERROR(__xludf.DUMMYFUNCTION("""COMPUTED_VALUE"""),"https://techcombank.com/thong-tin/blog/co-nen-mua-so-tai-khoan-ngan-hang-dep")</f>
        <v>https://techcombank.com/thong-tin/blog/co-nen-mua-so-tai-khoan-ngan-hang-dep</v>
      </c>
      <c r="Y22" s="30" t="str">
        <f>IFERROR(__xludf.DUMMYFUNCTION("""COMPUTED_VALUE"""),"số tài khoản phát tài phát lộc")</f>
        <v>số tài khoản phát tài phát lộc</v>
      </c>
      <c r="Z22" s="34" t="str">
        <f>IFERROR(__xludf.DUMMYFUNCTION("""COMPUTED_VALUE"""),"https://techcombank.com/thong-tin/blog/li-xi-tet")</f>
        <v>https://techcombank.com/thong-tin/blog/li-xi-tet</v>
      </c>
      <c r="AA22" s="30" t="str">
        <f>IFERROR(__xludf.DUMMYFUNCTION("""COMPUTED_VALUE"""),"số tài khoản phát tài phát lộc")</f>
        <v>số tài khoản phát tài phát lộc</v>
      </c>
      <c r="AB22" s="34" t="str">
        <f>IFERROR(__xludf.DUMMYFUNCTION("""COMPUTED_VALUE"""),"https://techcombank.com/thong-tin/blog/vi-du-ve-ca-nhan-hoa")</f>
        <v>https://techcombank.com/thong-tin/blog/vi-du-ve-ca-nhan-hoa</v>
      </c>
      <c r="AC22" s="30" t="str">
        <f>IFERROR(__xludf.DUMMYFUNCTION("""COMPUTED_VALUE"""),"dãy số phát tài phát lộc")</f>
        <v>dãy số phát tài phát lộc</v>
      </c>
      <c r="AD22" s="34" t="str">
        <f>IFERROR(__xludf.DUMMYFUNCTION("""COMPUTED_VALUE"""),"https://techcombank.com/thong-tin/blog/8868")</f>
        <v>https://techcombank.com/thong-tin/blog/8868</v>
      </c>
      <c r="AE22" s="30" t="str">
        <f>IFERROR(__xludf.DUMMYFUNCTION("""COMPUTED_VALUE"""),"dãy số phát tài phát lộc")</f>
        <v>dãy số phát tài phát lộc</v>
      </c>
      <c r="AF22" s="34" t="str">
        <f>IFERROR(__xludf.DUMMYFUNCTION("""COMPUTED_VALUE"""),"https://techcombank.com/thong-tin/blog/66666-co-y-nghia-gi")</f>
        <v>https://techcombank.com/thong-tin/blog/66666-co-y-nghia-gi</v>
      </c>
      <c r="AG22" s="30" t="str">
        <f>IFERROR(__xludf.DUMMYFUNCTION("""COMPUTED_VALUE"""),"dãy số phát tài phát lộc")</f>
        <v>dãy số phát tài phát lộc</v>
      </c>
      <c r="AH22" s="34" t="str">
        <f>IFERROR(__xludf.DUMMYFUNCTION("""COMPUTED_VALUE"""),"https://techcombank.com/thong-tin/blog/so-8386")</f>
        <v>https://techcombank.com/thong-tin/blog/so-8386</v>
      </c>
      <c r="AI22" s="30" t="str">
        <f>IFERROR(__xludf.DUMMYFUNCTION("""COMPUTED_VALUE"""),"dãy số phát tài phát lộc")</f>
        <v>dãy số phát tài phát lộc</v>
      </c>
      <c r="AJ22" s="34" t="str">
        <f>IFERROR(__xludf.DUMMYFUNCTION("""COMPUTED_VALUE"""),"https://techcombank.com/thong-tin/blog/y-nghia-so-68")</f>
        <v>https://techcombank.com/thong-tin/blog/y-nghia-so-68</v>
      </c>
      <c r="AK22" s="30" t="str">
        <f>IFERROR(__xludf.DUMMYFUNCTION("""COMPUTED_VALUE"""),"số tài khoản phát tài phát lộc")</f>
        <v>số tài khoản phát tài phát lộc</v>
      </c>
      <c r="AL22" s="34" t="str">
        <f>IFERROR(__xludf.DUMMYFUNCTION("""COMPUTED_VALUE"""),"https://techcombank.com/thong-tin/blog/cach-chuyen-tien")</f>
        <v>https://techcombank.com/thong-tin/blog/cach-chuyen-tien</v>
      </c>
      <c r="AM22" s="30" t="str">
        <f>IFERROR(__xludf.DUMMYFUNCTION("""COMPUTED_VALUE"""),"số tài khoản phát tài phát lộc")</f>
        <v>số tài khoản phát tài phát lộc</v>
      </c>
      <c r="AN22" s="34" t="str">
        <f>IFERROR(__xludf.DUMMYFUNCTION("""COMPUTED_VALUE"""),"https://techcombank.com/thong-tin/blog/the-ghi-no-co-chuyen-khoan-duoc-khong")</f>
        <v>https://techcombank.com/thong-tin/blog/the-ghi-no-co-chuyen-khoan-duoc-khong</v>
      </c>
      <c r="AO22" s="30" t="str">
        <f>IFERROR(__xludf.DUMMYFUNCTION("""COMPUTED_VALUE"""),"số tài khoản phát tài phát lộc")</f>
        <v>số tài khoản phát tài phát lộc</v>
      </c>
      <c r="AP22" s="34" t="str">
        <f>IFERROR(__xludf.DUMMYFUNCTION("""COMPUTED_VALUE"""),"https://techcombank.com/thong-tin/blog/nen-mo-tai-khoan-ngan-hang-nao-cho-doanh-nghiep")</f>
        <v>https://techcombank.com/thong-tin/blog/nen-mo-tai-khoan-ngan-hang-nao-cho-doanh-nghiep</v>
      </c>
      <c r="AQ22" s="30" t="str">
        <f>IFERROR(__xludf.DUMMYFUNCTION("""COMPUTED_VALUE"""),"số tài khoản phát tài phát lộc")</f>
        <v>số tài khoản phát tài phát lộc</v>
      </c>
      <c r="AR22" s="34" t="str">
        <f>IFERROR(__xludf.DUMMYFUNCTION("""COMPUTED_VALUE"""),"https://techcombank.com/thong-tin/blog/mo-tai-khoan-doanh-nghiep")</f>
        <v>https://techcombank.com/thong-tin/blog/mo-tai-khoan-doanh-nghiep</v>
      </c>
      <c r="AS22" s="30" t="str">
        <f>IFERROR(__xludf.DUMMYFUNCTION("""COMPUTED_VALUE"""),"số tài khoản phát tài phát lộc")</f>
        <v>số tài khoản phát tài phát lộc</v>
      </c>
      <c r="AT22" s="34" t="str">
        <f>IFERROR(__xludf.DUMMYFUNCTION("""COMPUTED_VALUE"""),"https://techcombank.com/thong-tin/blog/tin-dung-tieu-dung")</f>
        <v>https://techcombank.com/thong-tin/blog/tin-dung-tieu-dung</v>
      </c>
      <c r="AU22" s="30" t="str">
        <f>IFERROR(__xludf.DUMMYFUNCTION("""COMPUTED_VALUE"""),"số tài khoản phát tài phát lộc")</f>
        <v>số tài khoản phát tài phát lộc</v>
      </c>
      <c r="AV22" s="34" t="str">
        <f>IFERROR(__xludf.DUMMYFUNCTION("""COMPUTED_VALUE"""),"https://techcombank.com/thong-tin/blog/tai-khoan-doanh-nghiep-co-the-khong")</f>
        <v>https://techcombank.com/thong-tin/blog/tai-khoan-doanh-nghiep-co-the-khong</v>
      </c>
      <c r="AW22" s="30" t="str">
        <f>IFERROR(__xludf.DUMMYFUNCTION("""COMPUTED_VALUE"""),"số tài khoản phát tài phát lộc")</f>
        <v>số tài khoản phát tài phát lộc</v>
      </c>
      <c r="AX22" s="34" t="str">
        <f>IFERROR(__xludf.DUMMYFUNCTION("""COMPUTED_VALUE"""),"https://techcombank.com/thong-tin/blog/chi-phi-mo-tai-khoan-ngan-hang-cho-cong-ty")</f>
        <v>https://techcombank.com/thong-tin/blog/chi-phi-mo-tai-khoan-ngan-hang-cho-cong-ty</v>
      </c>
      <c r="AY22" s="30" t="str">
        <f>IFERROR(__xludf.DUMMYFUNCTION("""COMPUTED_VALUE"""),"số tài khoản phát tài phát lộc")</f>
        <v>số tài khoản phát tài phát lộc</v>
      </c>
      <c r="AZ22" s="34" t="str">
        <f>IFERROR(__xludf.DUMMYFUNCTION("""COMPUTED_VALUE"""),"https://techcombank.com/thong-tin/blog/mo-them-tai-khoan-ngan-hang-cho-cong-ty")</f>
        <v>https://techcombank.com/thong-tin/blog/mo-them-tai-khoan-ngan-hang-cho-cong-ty</v>
      </c>
      <c r="BA22" s="30" t="str">
        <f>IFERROR(__xludf.DUMMYFUNCTION("""COMPUTED_VALUE"""),"dãy số phát tài phát lộc")</f>
        <v>dãy số phát tài phát lộc</v>
      </c>
      <c r="BB22" s="34" t="str">
        <f>IFERROR(__xludf.DUMMYFUNCTION("""COMPUTED_VALUE"""),"https://techcombank.com/thong-tin/blog/99999-co-y-nghia-gi")</f>
        <v>https://techcombank.com/thong-tin/blog/99999-co-y-nghia-gi</v>
      </c>
      <c r="BC22" s="30" t="str">
        <f>IFERROR(__xludf.DUMMYFUNCTION("""COMPUTED_VALUE"""),"số tài khoản phát tài phát lộc")</f>
        <v>số tài khoản phát tài phát lộc</v>
      </c>
      <c r="BD22" s="34" t="str">
        <f>IFERROR(__xludf.DUMMYFUNCTION("""COMPUTED_VALUE"""),"https://techcombank.com/thong-tin/blog/chuyen-khoan-lien-ngan-hang")</f>
        <v>https://techcombank.com/thong-tin/blog/chuyen-khoan-lien-ngan-hang</v>
      </c>
      <c r="BE22" s="30" t="str">
        <f>IFERROR(__xludf.DUMMYFUNCTION("""COMPUTED_VALUE"""),"số tài khoản phát tài phát lộc")</f>
        <v>số tài khoản phát tài phát lộc</v>
      </c>
      <c r="BF22" s="34" t="str">
        <f>IFERROR(__xludf.DUMMYFUNCTION("""COMPUTED_VALUE"""),"https://techcombank.com/thong-tin/blog/cach-kiem-tra-tai-khoan-ngan-hang")</f>
        <v>https://techcombank.com/thong-tin/blog/cach-kiem-tra-tai-khoan-ngan-hang</v>
      </c>
      <c r="BG22" s="30" t="str">
        <f>IFERROR(__xludf.DUMMYFUNCTION("""COMPUTED_VALUE"""),"số tài khoản phát tài phát lộc")</f>
        <v>số tài khoản phát tài phát lộc</v>
      </c>
      <c r="BH22" s="34" t="str">
        <f>IFERROR(__xludf.DUMMYFUNCTION("""COMPUTED_VALUE"""),"https://techcombank.com/thong-tin/blog/ngan-hang-so-cho-doanh-nghiep")</f>
        <v>https://techcombank.com/thong-tin/blog/ngan-hang-so-cho-doanh-nghiep</v>
      </c>
      <c r="BI22" s="30" t="str">
        <f>IFERROR(__xludf.DUMMYFUNCTION("""COMPUTED_VALUE"""),"số tài khoản phát tài phát lộc")</f>
        <v>số tài khoản phát tài phát lộc</v>
      </c>
      <c r="BJ22" s="34" t="str">
        <f>IFERROR(__xludf.DUMMYFUNCTION("""COMPUTED_VALUE"""),"https://techcombank.com/thong-tin/blog/mo-tai-khoan-ho-kinh-doanh")</f>
        <v>https://techcombank.com/thong-tin/blog/mo-tai-khoan-ho-kinh-doanh</v>
      </c>
      <c r="BK22" s="30" t="str">
        <f>IFERROR(__xludf.DUMMYFUNCTION("""COMPUTED_VALUE"""),"số tài khoản phát tài phát lộc")</f>
        <v>số tài khoản phát tài phát lộc</v>
      </c>
      <c r="BL22" s="34" t="str">
        <f>IFERROR(__xludf.DUMMYFUNCTION("""COMPUTED_VALUE"""),"https://techcombank.com/thong-tin/blog/cach-tinh-thue-thu-nhap-doanh-nghiep")</f>
        <v>https://techcombank.com/thong-tin/blog/cach-tinh-thue-thu-nhap-doanh-nghiep</v>
      </c>
      <c r="BM22" s="30" t="str">
        <f>IFERROR(__xludf.DUMMYFUNCTION("""COMPUTED_VALUE"""),"số tài khoản phát tài phát lộc")</f>
        <v>số tài khoản phát tài phát lộc</v>
      </c>
      <c r="BN22" s="34" t="str">
        <f>IFERROR(__xludf.DUMMYFUNCTION("""COMPUTED_VALUE"""),"https://techcombank.com/thong-tin/blog/app-ngan-hang-uy-tin")</f>
        <v>https://techcombank.com/thong-tin/blog/app-ngan-hang-uy-tin</v>
      </c>
      <c r="BO22" s="30" t="str">
        <f>IFERROR(__xludf.DUMMYFUNCTION("""COMPUTED_VALUE"""),"số tài khoản phát tài phát lộc")</f>
        <v>số tài khoản phát tài phát lộc</v>
      </c>
      <c r="BP22" s="34" t="str">
        <f>IFERROR(__xludf.DUMMYFUNCTION("""COMPUTED_VALUE"""),"https://techcombank.com/thong-tin/blog/nop-thue-hai-quan")</f>
        <v>https://techcombank.com/thong-tin/blog/nop-thue-hai-quan</v>
      </c>
      <c r="BQ22" s="30" t="str">
        <f>IFERROR(__xludf.DUMMYFUNCTION("""COMPUTED_VALUE"""),"số tài khoản phát tài phát lộc")</f>
        <v>số tài khoản phát tài phát lộc</v>
      </c>
      <c r="BR22" s="34" t="str">
        <f>IFERROR(__xludf.DUMMYFUNCTION("""COMPUTED_VALUE"""),"https://techcombank.com/thong-tin/blog/tai-khoan-ngan-hang-bi-khoa")</f>
        <v>https://techcombank.com/thong-tin/blog/tai-khoan-ngan-hang-bi-khoa</v>
      </c>
      <c r="BS22" s="30" t="str">
        <f>IFERROR(__xludf.DUMMYFUNCTION("""COMPUTED_VALUE"""),"số tài khoản phát tài phát lộc")</f>
        <v>số tài khoản phát tài phát lộc</v>
      </c>
      <c r="BT22" s="34" t="str">
        <f>IFERROR(__xludf.DUMMYFUNCTION("""COMPUTED_VALUE"""),"https://techcombank.com/thong-tin/blog/thue-thu-nhap-doanh-nghiep")</f>
        <v>https://techcombank.com/thong-tin/blog/thue-thu-nhap-doanh-nghiep</v>
      </c>
      <c r="BU22" s="30"/>
      <c r="BV22" s="30"/>
      <c r="BW22" s="30"/>
      <c r="BX22" s="30"/>
      <c r="BY22" s="30"/>
      <c r="BZ22" s="30"/>
      <c r="CA22" s="30"/>
      <c r="CB22" s="30"/>
      <c r="CC22" s="30"/>
      <c r="CD22" s="30"/>
      <c r="CE22" s="30"/>
      <c r="CF22" s="30"/>
      <c r="CG22" s="30"/>
      <c r="CH22" s="30"/>
      <c r="CI22" s="30"/>
      <c r="CJ22" s="30"/>
      <c r="CK22" s="30"/>
      <c r="CL22" s="30"/>
      <c r="CM22" s="30"/>
      <c r="CN22" s="30"/>
      <c r="CO22" s="30"/>
      <c r="CP22" s="30"/>
      <c r="CQ22" s="30"/>
      <c r="CR22" s="30"/>
      <c r="CS22" s="30"/>
      <c r="CT22" s="30"/>
      <c r="CU22" s="30"/>
      <c r="CV22" s="30"/>
      <c r="CW22" s="30"/>
      <c r="CX22" s="30"/>
      <c r="CY22" s="30"/>
      <c r="CZ22" s="30"/>
      <c r="DA22" s="30"/>
      <c r="DB22" s="30"/>
      <c r="DC22" s="30"/>
      <c r="DD22" s="30"/>
      <c r="DE22" s="30"/>
      <c r="DF22" s="30"/>
      <c r="DG22" s="30"/>
      <c r="DH22" s="30"/>
      <c r="DI22" s="30"/>
      <c r="DJ22" s="30"/>
      <c r="DK22" s="30"/>
      <c r="DL22" s="30"/>
      <c r="DM22" s="30"/>
      <c r="DN22" s="30"/>
      <c r="DO22" s="30"/>
      <c r="DP22" s="30"/>
      <c r="DQ22" s="30"/>
      <c r="DR22" s="30"/>
      <c r="DS22" s="30"/>
      <c r="DT22" s="30"/>
      <c r="DU22" s="30"/>
      <c r="DV22" s="30"/>
      <c r="DW22" s="30"/>
      <c r="DX22" s="30"/>
      <c r="DY22" s="30"/>
      <c r="DZ22" s="30"/>
      <c r="EA22" s="30"/>
      <c r="EB22" s="30"/>
      <c r="EC22" s="30"/>
      <c r="ED22" s="30"/>
      <c r="EE22" s="30"/>
      <c r="EF22" s="30"/>
      <c r="EG22" s="30"/>
      <c r="EH22" s="30"/>
      <c r="EI22" s="30"/>
      <c r="EJ22" s="30"/>
      <c r="EK22" s="30"/>
      <c r="EL22" s="30"/>
      <c r="EM22" s="30"/>
      <c r="EN22" s="30"/>
      <c r="EO22" s="30"/>
      <c r="EP22" s="30"/>
      <c r="EQ22" s="30"/>
      <c r="ER22" s="30"/>
      <c r="ES22" s="30"/>
      <c r="ET22" s="30"/>
      <c r="EU22" s="30"/>
      <c r="EV22" s="30"/>
      <c r="EW22" s="30"/>
      <c r="EX22" s="30"/>
      <c r="EY22" s="30"/>
      <c r="EZ22" s="30"/>
      <c r="FA22" s="30"/>
      <c r="FB22" s="30"/>
      <c r="FC22" s="30"/>
      <c r="FD22" s="30"/>
      <c r="FE22" s="30"/>
      <c r="FF22" s="30"/>
      <c r="FG22" s="30"/>
      <c r="FH22" s="30"/>
      <c r="FI22" s="30"/>
      <c r="FJ22" s="30"/>
      <c r="FK22" s="30"/>
      <c r="FL22" s="30"/>
      <c r="FM22" s="30"/>
      <c r="FN22" s="30"/>
      <c r="FO22" s="30"/>
      <c r="FP22" s="30"/>
      <c r="FQ22" s="30"/>
      <c r="FR22" s="30"/>
      <c r="FS22" s="30"/>
      <c r="FT22" s="30"/>
      <c r="FU22" s="30"/>
      <c r="FV22" s="30"/>
      <c r="FW22" s="30"/>
      <c r="FX22" s="30"/>
      <c r="FY22" s="30"/>
      <c r="FZ22" s="30"/>
      <c r="GA22" s="30"/>
      <c r="GB22" s="30"/>
      <c r="GC22" s="30"/>
      <c r="GD22" s="30"/>
      <c r="GE22" s="30"/>
      <c r="GF22" s="30"/>
      <c r="GG22" s="30"/>
      <c r="GH22" s="30"/>
      <c r="GI22" s="30"/>
      <c r="GJ22" s="30"/>
      <c r="GK22" s="30"/>
      <c r="GL22" s="30"/>
      <c r="GM22" s="30"/>
      <c r="GN22" s="30"/>
      <c r="GO22" s="30"/>
      <c r="GP22" s="30"/>
      <c r="GQ22" s="30"/>
      <c r="GR22" s="30"/>
      <c r="GS22" s="30"/>
      <c r="GT22" s="30"/>
      <c r="GU22" s="30"/>
      <c r="GV22" s="30"/>
      <c r="GW22" s="30"/>
      <c r="GX22" s="30"/>
      <c r="GY22" s="30"/>
      <c r="GZ22" s="30"/>
      <c r="HA22" s="30"/>
      <c r="HB22" s="30"/>
      <c r="HC22" s="30"/>
      <c r="HD22" s="30"/>
      <c r="HE22" s="30"/>
      <c r="HF22" s="30"/>
      <c r="HG22" s="30"/>
      <c r="HH22" s="30"/>
      <c r="HI22" s="30"/>
      <c r="HJ22" s="30"/>
      <c r="HK22" s="30"/>
      <c r="HL22" s="30"/>
      <c r="HM22" s="30"/>
      <c r="HN22" s="30"/>
      <c r="HO22" s="30"/>
      <c r="HP22" s="30"/>
      <c r="HQ22" s="30"/>
      <c r="HR22" s="30"/>
      <c r="HS22" s="30"/>
      <c r="HT22" s="30"/>
      <c r="HU22" s="30"/>
      <c r="HV22" s="30"/>
      <c r="HW22" s="30"/>
      <c r="HX22" s="30"/>
      <c r="HY22" s="30"/>
      <c r="HZ22" s="30"/>
      <c r="IA22" s="30"/>
      <c r="IB22" s="30"/>
      <c r="IC22" s="30"/>
      <c r="ID22" s="30"/>
      <c r="IE22" s="30"/>
      <c r="IF22" s="30"/>
      <c r="IG22" s="30"/>
      <c r="IH22" s="30"/>
      <c r="II22" s="30"/>
      <c r="IJ22" s="30"/>
      <c r="IK22" s="30"/>
      <c r="IL22" s="30"/>
      <c r="IM22" s="30"/>
      <c r="IN22" s="30"/>
      <c r="IO22" s="30"/>
      <c r="IP22" s="30"/>
      <c r="IQ22" s="30"/>
      <c r="IR22" s="30"/>
      <c r="IS22" s="30"/>
      <c r="IT22" s="30"/>
      <c r="IU22" s="30"/>
      <c r="IV22" s="30"/>
      <c r="IW22" s="30"/>
      <c r="IX22" s="30"/>
      <c r="IY22" s="30"/>
      <c r="IZ22" s="30"/>
      <c r="JA22" s="30"/>
      <c r="JB22" s="30"/>
      <c r="JC22" s="30"/>
      <c r="JD22" s="30"/>
      <c r="JE22" s="30"/>
      <c r="JF22" s="30"/>
      <c r="JG22" s="30"/>
      <c r="JH22" s="30"/>
      <c r="JI22" s="30"/>
      <c r="JJ22" s="30"/>
      <c r="JK22" s="30"/>
      <c r="JL22" s="30"/>
      <c r="JM22" s="30"/>
      <c r="JN22" s="30"/>
      <c r="JO22" s="30"/>
      <c r="JP22" s="30"/>
      <c r="JQ22" s="30"/>
      <c r="JR22" s="30"/>
      <c r="JS22" s="30"/>
      <c r="JT22" s="30"/>
      <c r="JU22" s="30"/>
      <c r="JV22" s="30"/>
      <c r="JW22" s="30"/>
      <c r="JX22" s="30"/>
      <c r="JY22" s="30"/>
      <c r="JZ22" s="30"/>
      <c r="KA22" s="30"/>
      <c r="KB22" s="30"/>
      <c r="KC22" s="30"/>
      <c r="KD22" s="30"/>
      <c r="KE22" s="30"/>
      <c r="KF22" s="30"/>
      <c r="KG22" s="30"/>
      <c r="KH22" s="30"/>
      <c r="KI22" s="30"/>
      <c r="KJ22" s="30"/>
      <c r="KK22" s="30"/>
      <c r="KL22" s="30"/>
      <c r="KM22" s="30"/>
      <c r="KN22" s="30"/>
      <c r="KO22" s="30"/>
      <c r="KP22" s="30"/>
      <c r="KQ22" s="30"/>
      <c r="KR22" s="30"/>
      <c r="KS22" s="30"/>
      <c r="KT22" s="30"/>
      <c r="KU22" s="30"/>
      <c r="KV22" s="30"/>
      <c r="KW22" s="30"/>
      <c r="KX22" s="30"/>
      <c r="KY22" s="30"/>
      <c r="KZ22" s="30"/>
      <c r="LA22" s="30"/>
      <c r="LB22" s="30"/>
      <c r="LC22" s="30"/>
      <c r="LD22" s="30"/>
      <c r="LE22" s="30"/>
      <c r="LF22" s="30"/>
      <c r="LG22" s="30"/>
      <c r="LH22" s="30"/>
      <c r="LI22" s="30"/>
      <c r="LJ22" s="30"/>
      <c r="LK22" s="30"/>
      <c r="LL22" s="30"/>
      <c r="LM22" s="30"/>
      <c r="LN22" s="30"/>
      <c r="LO22" s="30"/>
      <c r="LP22" s="30"/>
      <c r="LQ22" s="30"/>
      <c r="LR22" s="30"/>
      <c r="LS22" s="30"/>
      <c r="LT22" s="30"/>
      <c r="LU22" s="30"/>
      <c r="LV22" s="30"/>
      <c r="LW22" s="30"/>
      <c r="LX22" s="30"/>
      <c r="LY22" s="30"/>
      <c r="LZ22" s="30"/>
      <c r="MA22" s="30"/>
      <c r="MB22" s="30"/>
      <c r="MC22" s="30"/>
      <c r="MD22" s="30"/>
      <c r="ME22" s="30"/>
      <c r="MF22" s="30"/>
      <c r="MG22" s="30"/>
      <c r="MH22" s="30"/>
      <c r="MI22" s="30"/>
      <c r="MJ22" s="30"/>
      <c r="MK22" s="30"/>
      <c r="ML22" s="30"/>
      <c r="MM22" s="30"/>
      <c r="MN22" s="30"/>
      <c r="MO22" s="30"/>
      <c r="MP22" s="30"/>
      <c r="MQ22" s="30"/>
      <c r="MR22" s="30"/>
      <c r="MS22" s="30"/>
      <c r="MT22" s="30"/>
      <c r="MU22" s="30"/>
      <c r="MV22" s="30"/>
      <c r="MW22" s="30"/>
      <c r="MX22" s="30"/>
      <c r="MY22" s="30"/>
      <c r="MZ22" s="30"/>
      <c r="NA22" s="30"/>
      <c r="NB22" s="30"/>
      <c r="NC22" s="30"/>
      <c r="ND22" s="30"/>
      <c r="NE22" s="30"/>
      <c r="NF22" s="30"/>
      <c r="NG22" s="30"/>
      <c r="NH22" s="30"/>
      <c r="NI22" s="30"/>
      <c r="NJ22" s="30"/>
      <c r="NK22" s="30"/>
      <c r="NL22" s="30"/>
      <c r="NM22" s="30"/>
      <c r="NN22" s="30"/>
      <c r="NO22" s="30"/>
      <c r="NP22" s="30"/>
      <c r="NQ22" s="30"/>
      <c r="NR22" s="30"/>
      <c r="NS22" s="30"/>
      <c r="NT22" s="30"/>
      <c r="NU22" s="30"/>
      <c r="NV22" s="30"/>
      <c r="NW22" s="30"/>
      <c r="NX22" s="30"/>
      <c r="NY22" s="30"/>
      <c r="NZ22" s="30"/>
      <c r="OA22" s="30"/>
      <c r="OB22" s="30"/>
      <c r="OC22" s="30"/>
      <c r="OD22" s="30"/>
      <c r="OE22" s="30"/>
      <c r="OF22" s="30"/>
      <c r="OG22" s="30"/>
      <c r="OH22" s="30"/>
      <c r="OI22" s="30"/>
      <c r="OJ22" s="30"/>
      <c r="OK22" s="30"/>
      <c r="OL22" s="30"/>
      <c r="OM22" s="30"/>
      <c r="ON22" s="30"/>
      <c r="OO22" s="30"/>
      <c r="OP22" s="30"/>
      <c r="OQ22" s="30"/>
      <c r="OR22" s="30"/>
      <c r="OS22" s="30"/>
      <c r="OT22" s="30"/>
      <c r="OU22" s="30"/>
      <c r="OV22" s="30"/>
    </row>
    <row r="23" ht="18.0" customHeight="1">
      <c r="A23" s="29">
        <v>22.0</v>
      </c>
      <c r="B23" s="30" t="s">
        <v>1564</v>
      </c>
      <c r="C23" s="31" t="s">
        <v>2158</v>
      </c>
      <c r="D23" s="30" t="s">
        <v>391</v>
      </c>
      <c r="E23" s="29">
        <v>30.0</v>
      </c>
      <c r="F23" s="29">
        <f>COUNTIF('Tổng hợp 75 trang đích'!$B$2:$B$3400,$D23)</f>
        <v>30</v>
      </c>
      <c r="G23" s="29">
        <f>COUNTIFS('Tổng hợp 75 trang đích'!$B$2:$B$3400,$D23,'Tổng hợp 75 trang đích'!$K$2:$K$3400,"PHÙ HỢP CAO")</f>
        <v>2</v>
      </c>
      <c r="H23" s="29">
        <f>COUNTIFS('Tổng hợp 75 trang đích'!$B$2:$B$3400,$D23,'Tổng hợp 75 trang đích'!$K$2:$K$3400,"CÓ THỂ ĐI")</f>
        <v>3</v>
      </c>
      <c r="I23" s="29">
        <f>COUNTIFS('Tổng hợp 75 trang đích'!$B$2:$B$3400,$D23,'Tổng hợp 75 trang đích'!$K$2:$K$3400,"CẦN SOÁT")</f>
        <v>25</v>
      </c>
      <c r="J23" s="32" t="s">
        <v>714</v>
      </c>
      <c r="K23" s="32" t="b">
        <v>0</v>
      </c>
      <c r="L23" s="33" t="s">
        <v>52</v>
      </c>
      <c r="M23" s="30" t="str">
        <f>IFERROR(__xludf.DUMMYFUNCTION("IFERROR(TOROW(CHOOSECOLS(SORT(FILTER({'Tổng hợp 75 trang đích'!$J$2:$J$3400,'Tổng hợp 75 trang đích'!$I$2:$I$3400,MATCH('Tổng hợp 75 trang đích'!$K$2:$K$3400,{""PHÙ HỢP CAO"",""CÓ THỂ ĐI"",""CẦN SOÁT""},0)},'Tổng hợp 75 trang đích'!$B$2:$B$3400=$D23),3,TR"&amp;"UE),1,2)),"""")"),"tra cứu thuế TNCN")</f>
        <v>tra cứu thuế TNCN</v>
      </c>
      <c r="N23" s="34" t="str">
        <f>IFERROR(__xludf.DUMMYFUNCTION("""COMPUTED_VALUE"""),"https://techcombank.com/thong-tin/blog/tra-cuu-no-thue-ca-nhan")</f>
        <v>https://techcombank.com/thong-tin/blog/tra-cuu-no-thue-ca-nhan</v>
      </c>
      <c r="O23" s="30" t="str">
        <f>IFERROR(__xludf.DUMMYFUNCTION("""COMPUTED_VALUE"""),"kiểm tra thuế thu nhập cá nhân")</f>
        <v>kiểm tra thuế thu nhập cá nhân</v>
      </c>
      <c r="P23" s="34" t="str">
        <f>IFERROR(__xludf.DUMMYFUNCTION("""COMPUTED_VALUE"""),"https://techcombank.com/thong-tin/blog/dang-ky-ma-so-thue-ca-nhan")</f>
        <v>https://techcombank.com/thong-tin/blog/dang-ky-ma-so-thue-ca-nhan</v>
      </c>
      <c r="Q23" s="30" t="str">
        <f>IFERROR(__xludf.DUMMYFUNCTION("""COMPUTED_VALUE"""),"kiểm tra thuế TNCN online")</f>
        <v>kiểm tra thuế TNCN online</v>
      </c>
      <c r="R23" s="34" t="str">
        <f>IFERROR(__xludf.DUMMYFUNCTION("""COMPUTED_VALUE"""),"https://techcombank.com/thong-tin/blog/lien-ket-tai-khoan-ngan-hang-voi-etax-mobile")</f>
        <v>https://techcombank.com/thong-tin/blog/lien-ket-tai-khoan-ngan-hang-voi-etax-mobile</v>
      </c>
      <c r="S23" s="30" t="str">
        <f>IFERROR(__xludf.DUMMYFUNCTION("""COMPUTED_VALUE"""),"kiểm tra thuế thu nhập cá nhân")</f>
        <v>kiểm tra thuế thu nhập cá nhân</v>
      </c>
      <c r="T23" s="34" t="str">
        <f>IFERROR(__xludf.DUMMYFUNCTION("""COMPUTED_VALUE"""),"https://techcombank.com/thong-tin/blog/hoan-thue-thu-nhap-ca-nhan")</f>
        <v>https://techcombank.com/thong-tin/blog/hoan-thue-thu-nhap-ca-nhan</v>
      </c>
      <c r="U23" s="30" t="str">
        <f>IFERROR(__xludf.DUMMYFUNCTION("""COMPUTED_VALUE"""),"kiểm tra thuế thu nhập cá nhân")</f>
        <v>kiểm tra thuế thu nhập cá nhân</v>
      </c>
      <c r="V23" s="34" t="str">
        <f>IFERROR(__xludf.DUMMYFUNCTION("""COMPUTED_VALUE"""),"https://techcombank.com/thong-tin/blog/quyet-toan-thue-thu-nhap-ca-nhan")</f>
        <v>https://techcombank.com/thong-tin/blog/quyet-toan-thue-thu-nhap-ca-nhan</v>
      </c>
      <c r="W23" s="30" t="str">
        <f>IFERROR(__xludf.DUMMYFUNCTION("""COMPUTED_VALUE"""),"tra cứu thuế TNCN")</f>
        <v>tra cứu thuế TNCN</v>
      </c>
      <c r="X23" s="34" t="str">
        <f>IFERROR(__xludf.DUMMYFUNCTION("""COMPUTED_VALUE"""),"https://techcombank.com/thong-tin/blog/cach-tinh-thue-ho-kinh-doanh-nho-le")</f>
        <v>https://techcombank.com/thong-tin/blog/cach-tinh-thue-ho-kinh-doanh-nho-le</v>
      </c>
      <c r="Y23" s="30" t="str">
        <f>IFERROR(__xludf.DUMMYFUNCTION("""COMPUTED_VALUE"""),"tra cứu thuế TNCN")</f>
        <v>tra cứu thuế TNCN</v>
      </c>
      <c r="Z23" s="34" t="str">
        <f>IFERROR(__xludf.DUMMYFUNCTION("""COMPUTED_VALUE"""),"https://techcombank.com/thong-tin/blog/tra-cuu-no-thue-hai-quan")</f>
        <v>https://techcombank.com/thong-tin/blog/tra-cuu-no-thue-hai-quan</v>
      </c>
      <c r="AA23" s="30" t="str">
        <f>IFERROR(__xludf.DUMMYFUNCTION("""COMPUTED_VALUE"""),"kiểm tra thuế TNCN online")</f>
        <v>kiểm tra thuế TNCN online</v>
      </c>
      <c r="AB23" s="34" t="str">
        <f>IFERROR(__xludf.DUMMYFUNCTION("""COMPUTED_VALUE"""),"https://techcombank.com/thong-tin/blog/tra-cuu-no-thue-ho-kinh-doanh")</f>
        <v>https://techcombank.com/thong-tin/blog/tra-cuu-no-thue-ho-kinh-doanh</v>
      </c>
      <c r="AC23" s="30" t="str">
        <f>IFERROR(__xludf.DUMMYFUNCTION("""COMPUTED_VALUE"""),"tra cứu thuế TNCN")</f>
        <v>tra cứu thuế TNCN</v>
      </c>
      <c r="AD23" s="34" t="str">
        <f>IFERROR(__xludf.DUMMYFUNCTION("""COMPUTED_VALUE"""),"https://techcombank.com/thong-tin/blog/kiem-tra-thue-ho-kinh-doanh")</f>
        <v>https://techcombank.com/thong-tin/blog/kiem-tra-thue-ho-kinh-doanh</v>
      </c>
      <c r="AE23" s="30" t="str">
        <f>IFERROR(__xludf.DUMMYFUNCTION("""COMPUTED_VALUE"""),"tra cứu thuế TNCN")</f>
        <v>tra cứu thuế TNCN</v>
      </c>
      <c r="AF23" s="34" t="str">
        <f>IFERROR(__xludf.DUMMYFUNCTION("""COMPUTED_VALUE"""),"https://techcombank.com/thong-tin/blog/nhung-ho-kinh-doanh-duoc-mien-thue")</f>
        <v>https://techcombank.com/thong-tin/blog/nhung-ho-kinh-doanh-duoc-mien-thue</v>
      </c>
      <c r="AG23" s="30" t="str">
        <f>IFERROR(__xludf.DUMMYFUNCTION("""COMPUTED_VALUE"""),"kiểm tra thuế thu nhập cá nhân")</f>
        <v>kiểm tra thuế thu nhập cá nhân</v>
      </c>
      <c r="AH23" s="34" t="str">
        <f>IFERROR(__xludf.DUMMYFUNCTION("""COMPUTED_VALUE"""),"https://techcombank.com/thong-tin/blog/phan-mem-lap-ke-hoach-tai-chinh-ca-nhan")</f>
        <v>https://techcombank.com/thong-tin/blog/phan-mem-lap-ke-hoach-tai-chinh-ca-nhan</v>
      </c>
      <c r="AI23" s="30" t="str">
        <f>IFERROR(__xludf.DUMMYFUNCTION("""COMPUTED_VALUE"""),"tra cứu thuế TNCN")</f>
        <v>tra cứu thuế TNCN</v>
      </c>
      <c r="AJ23" s="34" t="str">
        <f>IFERROR(__xludf.DUMMYFUNCTION("""COMPUTED_VALUE"""),"https://techcombank.com/thong-tin/blog/ho-kinh-doanh-dong-thue-nhu-nao")</f>
        <v>https://techcombank.com/thong-tin/blog/ho-kinh-doanh-dong-thue-nhu-nao</v>
      </c>
      <c r="AK23" s="30" t="str">
        <f>IFERROR(__xludf.DUMMYFUNCTION("""COMPUTED_VALUE"""),"tra cứu thuế TNCN")</f>
        <v>tra cứu thuế TNCN</v>
      </c>
      <c r="AL23" s="34" t="str">
        <f>IFERROR(__xludf.DUMMYFUNCTION("""COMPUTED_VALUE"""),"https://techcombank.com/thong-tin/blog/tra-cuu-no-thue-doanh-nghiep")</f>
        <v>https://techcombank.com/thong-tin/blog/tra-cuu-no-thue-doanh-nghiep</v>
      </c>
      <c r="AM23" s="30" t="str">
        <f>IFERROR(__xludf.DUMMYFUNCTION("""COMPUTED_VALUE"""),"tra cứu thuế TNCN")</f>
        <v>tra cứu thuế TNCN</v>
      </c>
      <c r="AN23" s="34" t="str">
        <f>IFERROR(__xludf.DUMMYFUNCTION("""COMPUTED_VALUE"""),"https://techcombank.com/thong-tin/blog/tien-chuyen-vao-tai-khoan-co-bi-tinh-thue-khong")</f>
        <v>https://techcombank.com/thong-tin/blog/tien-chuyen-vao-tai-khoan-co-bi-tinh-thue-khong</v>
      </c>
      <c r="AO23" s="30" t="str">
        <f>IFERROR(__xludf.DUMMYFUNCTION("""COMPUTED_VALUE"""),"kiểm tra thuế thu nhập cá nhân")</f>
        <v>kiểm tra thuế thu nhập cá nhân</v>
      </c>
      <c r="AP23" s="34" t="str">
        <f>IFERROR(__xludf.DUMMYFUNCTION("""COMPUTED_VALUE"""),"https://techcombank.com/thong-tin/blog/cach-tinh-thue-thu-nhap-ca-nhan-2025")</f>
        <v>https://techcombank.com/thong-tin/blog/cach-tinh-thue-thu-nhap-ca-nhan-2025</v>
      </c>
      <c r="AQ23" s="30" t="str">
        <f>IFERROR(__xludf.DUMMYFUNCTION("""COMPUTED_VALUE"""),"tra cứu thuế TNCN")</f>
        <v>tra cứu thuế TNCN</v>
      </c>
      <c r="AR23" s="34" t="str">
        <f>IFERROR(__xludf.DUMMYFUNCTION("""COMPUTED_VALUE"""),"https://techcombank.com/thong-tin/blog/thue-thu-nhap-ca-nhan")</f>
        <v>https://techcombank.com/thong-tin/blog/thue-thu-nhap-ca-nhan</v>
      </c>
      <c r="AS23" s="30" t="str">
        <f>IFERROR(__xludf.DUMMYFUNCTION("""COMPUTED_VALUE"""),"tra cứu thuế TNCN")</f>
        <v>tra cứu thuế TNCN</v>
      </c>
      <c r="AT23" s="34" t="str">
        <f>IFERROR(__xludf.DUMMYFUNCTION("""COMPUTED_VALUE"""),"https://techcombank.com/thong-tin/blog/nop-thue-dat-qua-ngan-hang")</f>
        <v>https://techcombank.com/thong-tin/blog/nop-thue-dat-qua-ngan-hang</v>
      </c>
      <c r="AU23" s="30" t="str">
        <f>IFERROR(__xludf.DUMMYFUNCTION("""COMPUTED_VALUE"""),"tra cứu thuế TNCN")</f>
        <v>tra cứu thuế TNCN</v>
      </c>
      <c r="AV23" s="34" t="str">
        <f>IFERROR(__xludf.DUMMYFUNCTION("""COMPUTED_VALUE"""),"https://techcombank.com/thong-tin/blog/cach-nop-thue-dien-tu")</f>
        <v>https://techcombank.com/thong-tin/blog/cach-nop-thue-dien-tu</v>
      </c>
      <c r="AW23" s="30" t="str">
        <f>IFERROR(__xludf.DUMMYFUNCTION("""COMPUTED_VALUE"""),"kiểm tra thuế TNCN online")</f>
        <v>kiểm tra thuế TNCN online</v>
      </c>
      <c r="AX23" s="34" t="str">
        <f>IFERROR(__xludf.DUMMYFUNCTION("""COMPUTED_VALUE"""),"https://techcombank.com/thong-tin/blog/tra-cuu-ma-so-thue-ho-kinh-doanh")</f>
        <v>https://techcombank.com/thong-tin/blog/tra-cuu-ma-so-thue-ho-kinh-doanh</v>
      </c>
      <c r="AY23" s="30" t="str">
        <f>IFERROR(__xludf.DUMMYFUNCTION("""COMPUTED_VALUE"""),"tra cứu thuế TNCN")</f>
        <v>tra cứu thuế TNCN</v>
      </c>
      <c r="AZ23" s="34" t="str">
        <f>IFERROR(__xludf.DUMMYFUNCTION("""COMPUTED_VALUE"""),"https://techcombank.com/thong-tin/blog/nop-thue-hai-quan")</f>
        <v>https://techcombank.com/thong-tin/blog/nop-thue-hai-quan</v>
      </c>
      <c r="BA23" s="30" t="str">
        <f>IFERROR(__xludf.DUMMYFUNCTION("""COMPUTED_VALUE"""),"tra cứu thuế TNCN")</f>
        <v>tra cứu thuế TNCN</v>
      </c>
      <c r="BB23" s="34" t="str">
        <f>IFERROR(__xludf.DUMMYFUNCTION("""COMPUTED_VALUE"""),"https://techcombank.com/thong-tin/blog/ke-khai-thue-doanh-nghiep")</f>
        <v>https://techcombank.com/thong-tin/blog/ke-khai-thue-doanh-nghiep</v>
      </c>
      <c r="BC23" s="30" t="str">
        <f>IFERROR(__xludf.DUMMYFUNCTION("""COMPUTED_VALUE"""),"tra cứu thuế TNCN")</f>
        <v>tra cứu thuế TNCN</v>
      </c>
      <c r="BD23" s="34" t="str">
        <f>IFERROR(__xludf.DUMMYFUNCTION("""COMPUTED_VALUE"""),"https://techcombank.com/thong-tin/blog/thay-doi-dia-chi-ho-kinh-doanh")</f>
        <v>https://techcombank.com/thong-tin/blog/thay-doi-dia-chi-ho-kinh-doanh</v>
      </c>
      <c r="BE23" s="30" t="str">
        <f>IFERROR(__xludf.DUMMYFUNCTION("""COMPUTED_VALUE"""),"tra cứu thuế TNCN")</f>
        <v>tra cứu thuế TNCN</v>
      </c>
      <c r="BF23" s="34" t="str">
        <f>IFERROR(__xludf.DUMMYFUNCTION("""COMPUTED_VALUE"""),"https://techcombank.com/thong-tin/blog/cach-tra-cuu-hoa-don-dien-tu")</f>
        <v>https://techcombank.com/thong-tin/blog/cach-tra-cuu-hoa-don-dien-tu</v>
      </c>
      <c r="BG23" s="30" t="str">
        <f>IFERROR(__xludf.DUMMYFUNCTION("""COMPUTED_VALUE"""),"kiểm tra thuế thu nhập cá nhân")</f>
        <v>kiểm tra thuế thu nhập cá nhân</v>
      </c>
      <c r="BH23" s="34" t="str">
        <f>IFERROR(__xludf.DUMMYFUNCTION("""COMPUTED_VALUE"""),"https://techcombank.com/thong-tin/blog/tra-luong-tien-mat")</f>
        <v>https://techcombank.com/thong-tin/blog/tra-luong-tien-mat</v>
      </c>
      <c r="BI23" s="30" t="str">
        <f>IFERROR(__xludf.DUMMYFUNCTION("""COMPUTED_VALUE"""),"tra cứu thuế TNCN")</f>
        <v>tra cứu thuế TNCN</v>
      </c>
      <c r="BJ23" s="34" t="str">
        <f>IFERROR(__xludf.DUMMYFUNCTION("""COMPUTED_VALUE"""),"https://techcombank.com/thong-tin/blog/thue-thuong-mai-dien-tu")</f>
        <v>https://techcombank.com/thong-tin/blog/thue-thuong-mai-dien-tu</v>
      </c>
      <c r="BK23" s="30" t="str">
        <f>IFERROR(__xludf.DUMMYFUNCTION("""COMPUTED_VALUE"""),"kiểm tra thuế thu nhập cá nhân")</f>
        <v>kiểm tra thuế thu nhập cá nhân</v>
      </c>
      <c r="BL23" s="34" t="str">
        <f>IFERROR(__xludf.DUMMYFUNCTION("""COMPUTED_VALUE"""),"https://techcombank.com/thong-tin/blog/giai-dap-ve-thue-doanh-nghiep")</f>
        <v>https://techcombank.com/thong-tin/blog/giai-dap-ve-thue-doanh-nghiep</v>
      </c>
      <c r="BM23" s="30" t="str">
        <f>IFERROR(__xludf.DUMMYFUNCTION("""COMPUTED_VALUE"""),"kiểm tra thuế thu nhập cá nhân")</f>
        <v>kiểm tra thuế thu nhập cá nhân</v>
      </c>
      <c r="BN23" s="34" t="str">
        <f>IFERROR(__xludf.DUMMYFUNCTION("""COMPUTED_VALUE"""),"https://techcombank.com/thong-tin/blog/chuyen-doi-ho-kinh-doanh-len-doanh-nghiep")</f>
        <v>https://techcombank.com/thong-tin/blog/chuyen-doi-ho-kinh-doanh-len-doanh-nghiep</v>
      </c>
      <c r="BO23" s="30" t="str">
        <f>IFERROR(__xludf.DUMMYFUNCTION("""COMPUTED_VALUE"""),"tra cứu thuế TNCN")</f>
        <v>tra cứu thuế TNCN</v>
      </c>
      <c r="BP23" s="34" t="str">
        <f>IFERROR(__xludf.DUMMYFUNCTION("""COMPUTED_VALUE"""),"https://techcombank.com/thong-tin/blog/thue-ho-kinh-doanh-2025")</f>
        <v>https://techcombank.com/thong-tin/blog/thue-ho-kinh-doanh-2025</v>
      </c>
      <c r="BQ23" s="30" t="str">
        <f>IFERROR(__xludf.DUMMYFUNCTION("""COMPUTED_VALUE"""),"kiểm tra thuế thu nhập cá nhân")</f>
        <v>kiểm tra thuế thu nhập cá nhân</v>
      </c>
      <c r="BR23" s="34" t="str">
        <f>IFERROR(__xludf.DUMMYFUNCTION("""COMPUTED_VALUE"""),"https://techcombank.com/thong-tin/blog/bi-quyet-tiet-kiem-tien-mua-nha")</f>
        <v>https://techcombank.com/thong-tin/blog/bi-quyet-tiet-kiem-tien-mua-nha</v>
      </c>
      <c r="BS23" s="30" t="str">
        <f>IFERROR(__xludf.DUMMYFUNCTION("""COMPUTED_VALUE"""),"tra cứu thuế TNCN")</f>
        <v>tra cứu thuế TNCN</v>
      </c>
      <c r="BT23" s="34" t="str">
        <f>IFERROR(__xludf.DUMMYFUNCTION("""COMPUTED_VALUE"""),"https://techcombank.com/thong-tin/blog/thanh-toan-khi-du-lich-thai-lan")</f>
        <v>https://techcombank.com/thong-tin/blog/thanh-toan-khi-du-lich-thai-lan</v>
      </c>
      <c r="BU23" s="30"/>
      <c r="BV23" s="30"/>
      <c r="BW23" s="30"/>
      <c r="BX23" s="30"/>
      <c r="BY23" s="30"/>
      <c r="BZ23" s="30"/>
      <c r="CA23" s="30"/>
      <c r="CB23" s="30"/>
      <c r="CC23" s="30"/>
      <c r="CD23" s="30"/>
      <c r="CE23" s="30"/>
      <c r="CF23" s="30"/>
      <c r="CG23" s="30"/>
      <c r="CH23" s="30"/>
      <c r="CI23" s="30"/>
      <c r="CJ23" s="30"/>
      <c r="CK23" s="30"/>
      <c r="CL23" s="30"/>
      <c r="CM23" s="30"/>
      <c r="CN23" s="30"/>
      <c r="CO23" s="30"/>
      <c r="CP23" s="30"/>
      <c r="CQ23" s="30"/>
      <c r="CR23" s="30"/>
      <c r="CS23" s="30"/>
      <c r="CT23" s="30"/>
      <c r="CU23" s="30"/>
      <c r="CV23" s="30"/>
      <c r="CW23" s="30"/>
      <c r="CX23" s="30"/>
      <c r="CY23" s="30"/>
      <c r="CZ23" s="30"/>
      <c r="DA23" s="30"/>
      <c r="DB23" s="30"/>
      <c r="DC23" s="30"/>
      <c r="DD23" s="30"/>
      <c r="DE23" s="30"/>
      <c r="DF23" s="30"/>
      <c r="DG23" s="30"/>
      <c r="DH23" s="30"/>
      <c r="DI23" s="30"/>
      <c r="DJ23" s="30"/>
      <c r="DK23" s="30"/>
      <c r="DL23" s="30"/>
      <c r="DM23" s="30"/>
      <c r="DN23" s="30"/>
      <c r="DO23" s="30"/>
      <c r="DP23" s="30"/>
      <c r="DQ23" s="30"/>
      <c r="DR23" s="30"/>
      <c r="DS23" s="30"/>
      <c r="DT23" s="30"/>
      <c r="DU23" s="30"/>
      <c r="DV23" s="30"/>
      <c r="DW23" s="30"/>
      <c r="DX23" s="30"/>
      <c r="DY23" s="30"/>
      <c r="DZ23" s="30"/>
      <c r="EA23" s="30"/>
      <c r="EB23" s="30"/>
      <c r="EC23" s="30"/>
      <c r="ED23" s="30"/>
      <c r="EE23" s="30"/>
      <c r="EF23" s="30"/>
      <c r="EG23" s="30"/>
      <c r="EH23" s="30"/>
      <c r="EI23" s="30"/>
      <c r="EJ23" s="30"/>
      <c r="EK23" s="30"/>
      <c r="EL23" s="30"/>
      <c r="EM23" s="30"/>
      <c r="EN23" s="30"/>
      <c r="EO23" s="30"/>
      <c r="EP23" s="30"/>
      <c r="EQ23" s="30"/>
      <c r="ER23" s="30"/>
      <c r="ES23" s="30"/>
      <c r="ET23" s="30"/>
      <c r="EU23" s="30"/>
      <c r="EV23" s="30"/>
      <c r="EW23" s="30"/>
      <c r="EX23" s="30"/>
      <c r="EY23" s="30"/>
      <c r="EZ23" s="30"/>
      <c r="FA23" s="30"/>
      <c r="FB23" s="30"/>
      <c r="FC23" s="30"/>
      <c r="FD23" s="30"/>
      <c r="FE23" s="30"/>
      <c r="FF23" s="30"/>
      <c r="FG23" s="30"/>
      <c r="FH23" s="30"/>
      <c r="FI23" s="30"/>
      <c r="FJ23" s="30"/>
      <c r="FK23" s="30"/>
      <c r="FL23" s="30"/>
      <c r="FM23" s="30"/>
      <c r="FN23" s="30"/>
      <c r="FO23" s="30"/>
      <c r="FP23" s="30"/>
      <c r="FQ23" s="30"/>
      <c r="FR23" s="30"/>
      <c r="FS23" s="30"/>
      <c r="FT23" s="30"/>
      <c r="FU23" s="30"/>
      <c r="FV23" s="30"/>
      <c r="FW23" s="30"/>
      <c r="FX23" s="30"/>
      <c r="FY23" s="30"/>
      <c r="FZ23" s="30"/>
      <c r="GA23" s="30"/>
      <c r="GB23" s="30"/>
      <c r="GC23" s="30"/>
      <c r="GD23" s="30"/>
      <c r="GE23" s="30"/>
      <c r="GF23" s="30"/>
      <c r="GG23" s="30"/>
      <c r="GH23" s="30"/>
      <c r="GI23" s="30"/>
      <c r="GJ23" s="30"/>
      <c r="GK23" s="30"/>
      <c r="GL23" s="30"/>
      <c r="GM23" s="30"/>
      <c r="GN23" s="30"/>
      <c r="GO23" s="30"/>
      <c r="GP23" s="30"/>
      <c r="GQ23" s="30"/>
      <c r="GR23" s="30"/>
      <c r="GS23" s="30"/>
      <c r="GT23" s="30"/>
      <c r="GU23" s="30"/>
      <c r="GV23" s="30"/>
      <c r="GW23" s="30"/>
      <c r="GX23" s="30"/>
      <c r="GY23" s="30"/>
      <c r="GZ23" s="30"/>
      <c r="HA23" s="30"/>
      <c r="HB23" s="30"/>
      <c r="HC23" s="30"/>
      <c r="HD23" s="30"/>
      <c r="HE23" s="30"/>
      <c r="HF23" s="30"/>
      <c r="HG23" s="30"/>
      <c r="HH23" s="30"/>
      <c r="HI23" s="30"/>
      <c r="HJ23" s="30"/>
      <c r="HK23" s="30"/>
      <c r="HL23" s="30"/>
      <c r="HM23" s="30"/>
      <c r="HN23" s="30"/>
      <c r="HO23" s="30"/>
      <c r="HP23" s="30"/>
      <c r="HQ23" s="30"/>
      <c r="HR23" s="30"/>
      <c r="HS23" s="30"/>
      <c r="HT23" s="30"/>
      <c r="HU23" s="30"/>
      <c r="HV23" s="30"/>
      <c r="HW23" s="30"/>
      <c r="HX23" s="30"/>
      <c r="HY23" s="30"/>
      <c r="HZ23" s="30"/>
      <c r="IA23" s="30"/>
      <c r="IB23" s="30"/>
      <c r="IC23" s="30"/>
      <c r="ID23" s="30"/>
      <c r="IE23" s="30"/>
      <c r="IF23" s="30"/>
      <c r="IG23" s="30"/>
      <c r="IH23" s="30"/>
      <c r="II23" s="30"/>
      <c r="IJ23" s="30"/>
      <c r="IK23" s="30"/>
      <c r="IL23" s="30"/>
      <c r="IM23" s="30"/>
      <c r="IN23" s="30"/>
      <c r="IO23" s="30"/>
      <c r="IP23" s="30"/>
      <c r="IQ23" s="30"/>
      <c r="IR23" s="30"/>
      <c r="IS23" s="30"/>
      <c r="IT23" s="30"/>
      <c r="IU23" s="30"/>
      <c r="IV23" s="30"/>
      <c r="IW23" s="30"/>
      <c r="IX23" s="30"/>
      <c r="IY23" s="30"/>
      <c r="IZ23" s="30"/>
      <c r="JA23" s="30"/>
      <c r="JB23" s="30"/>
      <c r="JC23" s="30"/>
      <c r="JD23" s="30"/>
      <c r="JE23" s="30"/>
      <c r="JF23" s="30"/>
      <c r="JG23" s="30"/>
      <c r="JH23" s="30"/>
      <c r="JI23" s="30"/>
      <c r="JJ23" s="30"/>
      <c r="JK23" s="30"/>
      <c r="JL23" s="30"/>
      <c r="JM23" s="30"/>
      <c r="JN23" s="30"/>
      <c r="JO23" s="30"/>
      <c r="JP23" s="30"/>
      <c r="JQ23" s="30"/>
      <c r="JR23" s="30"/>
      <c r="JS23" s="30"/>
      <c r="JT23" s="30"/>
      <c r="JU23" s="30"/>
      <c r="JV23" s="30"/>
      <c r="JW23" s="30"/>
      <c r="JX23" s="30"/>
      <c r="JY23" s="30"/>
      <c r="JZ23" s="30"/>
      <c r="KA23" s="30"/>
      <c r="KB23" s="30"/>
      <c r="KC23" s="30"/>
      <c r="KD23" s="30"/>
      <c r="KE23" s="30"/>
      <c r="KF23" s="30"/>
      <c r="KG23" s="30"/>
      <c r="KH23" s="30"/>
      <c r="KI23" s="30"/>
      <c r="KJ23" s="30"/>
      <c r="KK23" s="30"/>
      <c r="KL23" s="30"/>
      <c r="KM23" s="30"/>
      <c r="KN23" s="30"/>
      <c r="KO23" s="30"/>
      <c r="KP23" s="30"/>
      <c r="KQ23" s="30"/>
      <c r="KR23" s="30"/>
      <c r="KS23" s="30"/>
      <c r="KT23" s="30"/>
      <c r="KU23" s="30"/>
      <c r="KV23" s="30"/>
      <c r="KW23" s="30"/>
      <c r="KX23" s="30"/>
      <c r="KY23" s="30"/>
      <c r="KZ23" s="30"/>
      <c r="LA23" s="30"/>
      <c r="LB23" s="30"/>
      <c r="LC23" s="30"/>
      <c r="LD23" s="30"/>
      <c r="LE23" s="30"/>
      <c r="LF23" s="30"/>
      <c r="LG23" s="30"/>
      <c r="LH23" s="30"/>
      <c r="LI23" s="30"/>
      <c r="LJ23" s="30"/>
      <c r="LK23" s="30"/>
      <c r="LL23" s="30"/>
      <c r="LM23" s="30"/>
      <c r="LN23" s="30"/>
      <c r="LO23" s="30"/>
      <c r="LP23" s="30"/>
      <c r="LQ23" s="30"/>
      <c r="LR23" s="30"/>
      <c r="LS23" s="30"/>
      <c r="LT23" s="30"/>
      <c r="LU23" s="30"/>
      <c r="LV23" s="30"/>
      <c r="LW23" s="30"/>
      <c r="LX23" s="30"/>
      <c r="LY23" s="30"/>
      <c r="LZ23" s="30"/>
      <c r="MA23" s="30"/>
      <c r="MB23" s="30"/>
      <c r="MC23" s="30"/>
      <c r="MD23" s="30"/>
      <c r="ME23" s="30"/>
      <c r="MF23" s="30"/>
      <c r="MG23" s="30"/>
      <c r="MH23" s="30"/>
      <c r="MI23" s="30"/>
      <c r="MJ23" s="30"/>
      <c r="MK23" s="30"/>
      <c r="ML23" s="30"/>
      <c r="MM23" s="30"/>
      <c r="MN23" s="30"/>
      <c r="MO23" s="30"/>
      <c r="MP23" s="30"/>
      <c r="MQ23" s="30"/>
      <c r="MR23" s="30"/>
      <c r="MS23" s="30"/>
      <c r="MT23" s="30"/>
      <c r="MU23" s="30"/>
      <c r="MV23" s="30"/>
      <c r="MW23" s="30"/>
      <c r="MX23" s="30"/>
      <c r="MY23" s="30"/>
      <c r="MZ23" s="30"/>
      <c r="NA23" s="30"/>
      <c r="NB23" s="30"/>
      <c r="NC23" s="30"/>
      <c r="ND23" s="30"/>
      <c r="NE23" s="30"/>
      <c r="NF23" s="30"/>
      <c r="NG23" s="30"/>
      <c r="NH23" s="30"/>
      <c r="NI23" s="30"/>
      <c r="NJ23" s="30"/>
      <c r="NK23" s="30"/>
      <c r="NL23" s="30"/>
      <c r="NM23" s="30"/>
      <c r="NN23" s="30"/>
      <c r="NO23" s="30"/>
      <c r="NP23" s="30"/>
      <c r="NQ23" s="30"/>
      <c r="NR23" s="30"/>
      <c r="NS23" s="30"/>
      <c r="NT23" s="30"/>
      <c r="NU23" s="30"/>
      <c r="NV23" s="30"/>
      <c r="NW23" s="30"/>
      <c r="NX23" s="30"/>
      <c r="NY23" s="30"/>
      <c r="NZ23" s="30"/>
      <c r="OA23" s="30"/>
      <c r="OB23" s="30"/>
      <c r="OC23" s="30"/>
      <c r="OD23" s="30"/>
      <c r="OE23" s="30"/>
      <c r="OF23" s="30"/>
      <c r="OG23" s="30"/>
      <c r="OH23" s="30"/>
      <c r="OI23" s="30"/>
      <c r="OJ23" s="30"/>
      <c r="OK23" s="30"/>
      <c r="OL23" s="30"/>
      <c r="OM23" s="30"/>
      <c r="ON23" s="30"/>
      <c r="OO23" s="30"/>
      <c r="OP23" s="30"/>
      <c r="OQ23" s="30"/>
      <c r="OR23" s="30"/>
      <c r="OS23" s="30"/>
      <c r="OT23" s="30"/>
      <c r="OU23" s="30"/>
      <c r="OV23" s="30"/>
    </row>
    <row r="24" ht="18.0" customHeight="1">
      <c r="A24" s="29">
        <v>23.0</v>
      </c>
      <c r="B24" s="30" t="s">
        <v>1564</v>
      </c>
      <c r="C24" s="31" t="s">
        <v>2196</v>
      </c>
      <c r="D24" s="30" t="s">
        <v>2195</v>
      </c>
      <c r="E24" s="29">
        <v>30.0</v>
      </c>
      <c r="F24" s="29">
        <f>COUNTIF('Tổng hợp 75 trang đích'!$B$2:$B$3400,$D24)</f>
        <v>30</v>
      </c>
      <c r="G24" s="29">
        <f>COUNTIFS('Tổng hợp 75 trang đích'!$B$2:$B$3400,$D24,'Tổng hợp 75 trang đích'!$K$2:$K$3400,"PHÙ HỢP CAO")</f>
        <v>2</v>
      </c>
      <c r="H24" s="29">
        <f>COUNTIFS('Tổng hợp 75 trang đích'!$B$2:$B$3400,$D24,'Tổng hợp 75 trang đích'!$K$2:$K$3400,"CÓ THỂ ĐI")</f>
        <v>7</v>
      </c>
      <c r="I24" s="29">
        <f>COUNTIFS('Tổng hợp 75 trang đích'!$B$2:$B$3400,$D24,'Tổng hợp 75 trang đích'!$K$2:$K$3400,"CẦN SOÁT")</f>
        <v>21</v>
      </c>
      <c r="J24" s="32" t="s">
        <v>714</v>
      </c>
      <c r="K24" s="32" t="b">
        <v>0</v>
      </c>
      <c r="L24" s="33" t="s">
        <v>52</v>
      </c>
      <c r="M24" s="30" t="str">
        <f>IFERROR(__xludf.DUMMYFUNCTION("IFERROR(TOROW(CHOOSECOLS(SORT(FILTER({'Tổng hợp 75 trang đích'!$J$2:$J$3400,'Tổng hợp 75 trang đích'!$I$2:$I$3400,MATCH('Tổng hợp 75 trang đích'!$K$2:$K$3400,{""PHÙ HỢP CAO"",""CÓ THỂ ĐI"",""CẦN SOÁT""},0)},'Tổng hợp 75 trang đích'!$B$2:$B$3400=$D24),3,TR"&amp;"UE),1,2)),"""")"),"tên đăng nhập tài khoản ngân hàng")</f>
        <v>tên đăng nhập tài khoản ngân hàng</v>
      </c>
      <c r="N24" s="34" t="str">
        <f>IFERROR(__xludf.DUMMYFUNCTION("""COMPUTED_VALUE"""),"https://techcombank.com/thong-tin/blog/cach-doi-mat-khau-tai-khoan-ngan-hang")</f>
        <v>https://techcombank.com/thong-tin/blog/cach-doi-mat-khau-tai-khoan-ngan-hang</v>
      </c>
      <c r="O24" s="30" t="str">
        <f>IFERROR(__xludf.DUMMYFUNCTION("""COMPUTED_VALUE"""),"tên đăng nhập tài khoản ngân hàng")</f>
        <v>tên đăng nhập tài khoản ngân hàng</v>
      </c>
      <c r="P24" s="34" t="str">
        <f>IFERROR(__xludf.DUMMYFUNCTION("""COMPUTED_VALUE"""),"https://techcombank.com/thong-tin/blog/cach-bao-ve-tai-khoan")</f>
        <v>https://techcombank.com/thong-tin/blog/cach-bao-ve-tai-khoan</v>
      </c>
      <c r="Q24" s="30" t="str">
        <f>IFERROR(__xludf.DUMMYFUNCTION("""COMPUTED_VALUE"""),"tên đăng nhập")</f>
        <v>tên đăng nhập</v>
      </c>
      <c r="R24" s="34" t="str">
        <f>IFERROR(__xludf.DUMMYFUNCTION("""COMPUTED_VALUE"""),"https://techcombank.com/thong-tin/blog/mau-mo-tai-khoan-doanh-nghiep-techcombank")</f>
        <v>https://techcombank.com/thong-tin/blog/mau-mo-tai-khoan-doanh-nghiep-techcombank</v>
      </c>
      <c r="S24" s="30" t="str">
        <f>IFERROR(__xludf.DUMMYFUNCTION("""COMPUTED_VALUE"""),"tên đăng nhập")</f>
        <v>tên đăng nhập</v>
      </c>
      <c r="T24" s="34" t="str">
        <f>IFERROR(__xludf.DUMMYFUNCTION("""COMPUTED_VALUE"""),"https://techcombank.com/thong-tin/blog/smart-otp-la-gi")</f>
        <v>https://techcombank.com/thong-tin/blog/smart-otp-la-gi</v>
      </c>
      <c r="U24" s="30" t="str">
        <f>IFERROR(__xludf.DUMMYFUNCTION("""COMPUTED_VALUE"""),"tên đăng nhập tài khoản ngân hàng")</f>
        <v>tên đăng nhập tài khoản ngân hàng</v>
      </c>
      <c r="V24" s="34" t="str">
        <f>IFERROR(__xludf.DUMMYFUNCTION("""COMPUTED_VALUE"""),"https://techcombank.com/thong-tin/blog/mat-so-dien-thoai-dang-ky-tai-khoan-ngan-hang")</f>
        <v>https://techcombank.com/thong-tin/blog/mat-so-dien-thoai-dang-ky-tai-khoan-ngan-hang</v>
      </c>
      <c r="W24" s="30" t="str">
        <f>IFERROR(__xludf.DUMMYFUNCTION("""COMPUTED_VALUE"""),"tên đăng nhập")</f>
        <v>tên đăng nhập</v>
      </c>
      <c r="X24" s="34" t="str">
        <f>IFERROR(__xludf.DUMMYFUNCTION("""COMPUTED_VALUE"""),"https://techcombank.com/thong-tin/blog/cach-mo-tai-khoan")</f>
        <v>https://techcombank.com/thong-tin/blog/cach-mo-tai-khoan</v>
      </c>
      <c r="Y24" s="30" t="str">
        <f>IFERROR(__xludf.DUMMYFUNCTION("""COMPUTED_VALUE"""),"tên đăng nhập tài khoản ngân hàng")</f>
        <v>tên đăng nhập tài khoản ngân hàng</v>
      </c>
      <c r="Z24" s="34" t="str">
        <f>IFERROR(__xludf.DUMMYFUNCTION("""COMPUTED_VALUE"""),"https://techcombank.com/thong-tin/blog/ekyc-la-gi")</f>
        <v>https://techcombank.com/thong-tin/blog/ekyc-la-gi</v>
      </c>
      <c r="AA24" s="30" t="str">
        <f>IFERROR(__xludf.DUMMYFUNCTION("""COMPUTED_VALUE"""),"tên đăng nhập")</f>
        <v>tên đăng nhập</v>
      </c>
      <c r="AB24" s="34" t="str">
        <f>IFERROR(__xludf.DUMMYFUNCTION("""COMPUTED_VALUE"""),"https://techcombank.com/thong-tin/blog/merchant-portal")</f>
        <v>https://techcombank.com/thong-tin/blog/merchant-portal</v>
      </c>
      <c r="AC24" s="30" t="str">
        <f>IFERROR(__xludf.DUMMYFUNCTION("""COMPUTED_VALUE"""),"tên đăng nhập")</f>
        <v>tên đăng nhập</v>
      </c>
      <c r="AD24" s="34" t="str">
        <f>IFERROR(__xludf.DUMMYFUNCTION("""COMPUTED_VALUE"""),"https://techcombank.com/thong-tin/blog/softpos")</f>
        <v>https://techcombank.com/thong-tin/blog/softpos</v>
      </c>
      <c r="AE24" s="30" t="str">
        <f>IFERROR(__xludf.DUMMYFUNCTION("""COMPUTED_VALUE"""),"tên đăng nhập")</f>
        <v>tên đăng nhập</v>
      </c>
      <c r="AF24" s="34" t="str">
        <f>IFERROR(__xludf.DUMMYFUNCTION("""COMPUTED_VALUE"""),"https://techcombank.com/thong-tin/blog/gui-ma-qr-ngan-hang")</f>
        <v>https://techcombank.com/thong-tin/blog/gui-ma-qr-ngan-hang</v>
      </c>
      <c r="AG24" s="30" t="str">
        <f>IFERROR(__xludf.DUMMYFUNCTION("""COMPUTED_VALUE"""),"tên đăng nhập")</f>
        <v>tên đăng nhập</v>
      </c>
      <c r="AH24" s="34" t="str">
        <f>IFERROR(__xludf.DUMMYFUNCTION("""COMPUTED_VALUE"""),"https://techcombank.com/thong-tin/blog/cach-kiem-tra-tai-khoan-ngan-hang-cua-cong-ty")</f>
        <v>https://techcombank.com/thong-tin/blog/cach-kiem-tra-tai-khoan-ngan-hang-cua-cong-ty</v>
      </c>
      <c r="AI24" s="30" t="str">
        <f>IFERROR(__xludf.DUMMYFUNCTION("""COMPUTED_VALUE"""),"tên đăng nhập")</f>
        <v>tên đăng nhập</v>
      </c>
      <c r="AJ24" s="34" t="str">
        <f>IFERROR(__xludf.DUMMYFUNCTION("""COMPUTED_VALUE"""),"https://techcombank.com/thong-tin/blog/thanh-toan-ve-may-bay-online")</f>
        <v>https://techcombank.com/thong-tin/blog/thanh-toan-ve-may-bay-online</v>
      </c>
      <c r="AK24" s="30" t="str">
        <f>IFERROR(__xludf.DUMMYFUNCTION("""COMPUTED_VALUE"""),"tên đăng nhập tài khoản ngân hàng")</f>
        <v>tên đăng nhập tài khoản ngân hàng</v>
      </c>
      <c r="AL24" s="34" t="str">
        <f>IFERROR(__xludf.DUMMYFUNCTION("""COMPUTED_VALUE"""),"https://techcombank.com/thong-tin/blog/cach-lam-the-atm")</f>
        <v>https://techcombank.com/thong-tin/blog/cach-lam-the-atm</v>
      </c>
      <c r="AM24" s="30" t="str">
        <f>IFERROR(__xludf.DUMMYFUNCTION("""COMPUTED_VALUE"""),"tên đăng nhập")</f>
        <v>tên đăng nhập</v>
      </c>
      <c r="AN24" s="34" t="str">
        <f>IFERROR(__xludf.DUMMYFUNCTION("""COMPUTED_VALUE"""),"https://techcombank.com/thong-tin/blog/lo-so-tai-khoan-ngan-hang-co-sao-khong")</f>
        <v>https://techcombank.com/thong-tin/blog/lo-so-tai-khoan-ngan-hang-co-sao-khong</v>
      </c>
      <c r="AO24" s="30" t="str">
        <f>IFERROR(__xludf.DUMMYFUNCTION("""COMPUTED_VALUE"""),"tên đăng nhập")</f>
        <v>tên đăng nhập</v>
      </c>
      <c r="AP24" s="34" t="str">
        <f>IFERROR(__xludf.DUMMYFUNCTION("""COMPUTED_VALUE"""),"https://techcombank.com/thong-tin/blog/lo-ma-qr-ngan-hang-co-sao-khong")</f>
        <v>https://techcombank.com/thong-tin/blog/lo-ma-qr-ngan-hang-co-sao-khong</v>
      </c>
      <c r="AQ24" s="30" t="str">
        <f>IFERROR(__xludf.DUMMYFUNCTION("""COMPUTED_VALUE"""),"tên đăng nhập")</f>
        <v>tên đăng nhập</v>
      </c>
      <c r="AR24" s="34" t="str">
        <f>IFERROR(__xludf.DUMMYFUNCTION("""COMPUTED_VALUE"""),"https://techcombank.com/thong-tin/blog/ma-otp-la-gi")</f>
        <v>https://techcombank.com/thong-tin/blog/ma-otp-la-gi</v>
      </c>
      <c r="AS24" s="30" t="str">
        <f>IFERROR(__xludf.DUMMYFUNCTION("""COMPUTED_VALUE"""),"tên đăng nhập tài khoản ngân hàng")</f>
        <v>tên đăng nhập tài khoản ngân hàng</v>
      </c>
      <c r="AT24" s="34" t="str">
        <f>IFERROR(__xludf.DUMMYFUNCTION("""COMPUTED_VALUE"""),"https://techcombank.com/thong-tin/blog/ngan-hang-thu-huong-la-gi")</f>
        <v>https://techcombank.com/thong-tin/blog/ngan-hang-thu-huong-la-gi</v>
      </c>
      <c r="AU24" s="30" t="str">
        <f>IFERROR(__xludf.DUMMYFUNCTION("""COMPUTED_VALUE"""),"tên đăng nhập")</f>
        <v>tên đăng nhập</v>
      </c>
      <c r="AV24" s="34" t="str">
        <f>IFERROR(__xludf.DUMMYFUNCTION("""COMPUTED_VALUE"""),"https://techcombank.com/thong-tin/blog/cach-thanh-toan-the-tin-dung")</f>
        <v>https://techcombank.com/thong-tin/blog/cach-thanh-toan-the-tin-dung</v>
      </c>
      <c r="AW24" s="30" t="str">
        <f>IFERROR(__xludf.DUMMYFUNCTION("""COMPUTED_VALUE"""),"tên đăng nhập tài khoản ngân hàng")</f>
        <v>tên đăng nhập tài khoản ngân hàng</v>
      </c>
      <c r="AX24" s="34" t="str">
        <f>IFERROR(__xludf.DUMMYFUNCTION("""COMPUTED_VALUE"""),"https://techcombank.com/thong-tin/blog/cach-gui-tiet-kiem-online")</f>
        <v>https://techcombank.com/thong-tin/blog/cach-gui-tiet-kiem-online</v>
      </c>
      <c r="AY24" s="30" t="str">
        <f>IFERROR(__xludf.DUMMYFUNCTION("""COMPUTED_VALUE"""),"tên đăng nhập tài khoản ngân hàng")</f>
        <v>tên đăng nhập tài khoản ngân hàng</v>
      </c>
      <c r="AZ24" s="34" t="str">
        <f>IFERROR(__xludf.DUMMYFUNCTION("""COMPUTED_VALUE"""),"https://techcombank.com/thong-tin/blog/cach-nap-tien-vao-the-ghi-no")</f>
        <v>https://techcombank.com/thong-tin/blog/cach-nap-tien-vao-the-ghi-no</v>
      </c>
      <c r="BA24" s="30" t="str">
        <f>IFERROR(__xludf.DUMMYFUNCTION("""COMPUTED_VALUE"""),"tên đăng nhập")</f>
        <v>tên đăng nhập</v>
      </c>
      <c r="BB24" s="34" t="str">
        <f>IFERROR(__xludf.DUMMYFUNCTION("""COMPUTED_VALUE"""),"https://techcombank.com/thong-tin/blog/cach-khoa-the-ngan-hang")</f>
        <v>https://techcombank.com/thong-tin/blog/cach-khoa-the-ngan-hang</v>
      </c>
      <c r="BC24" s="30" t="str">
        <f>IFERROR(__xludf.DUMMYFUNCTION("""COMPUTED_VALUE"""),"tên đăng nhập")</f>
        <v>tên đăng nhập</v>
      </c>
      <c r="BD24" s="34" t="str">
        <f>IFERROR(__xludf.DUMMYFUNCTION("""COMPUTED_VALUE"""),"https://techcombank.com/thong-tin/blog/thanh-toan-tien-dien-bang-the-tin-dung")</f>
        <v>https://techcombank.com/thong-tin/blog/thanh-toan-tien-dien-bang-the-tin-dung</v>
      </c>
      <c r="BE24" s="30" t="str">
        <f>IFERROR(__xludf.DUMMYFUNCTION("""COMPUTED_VALUE"""),"tên đăng nhập tài khoản ngân hàng")</f>
        <v>tên đăng nhập tài khoản ngân hàng</v>
      </c>
      <c r="BF24" s="34" t="str">
        <f>IFERROR(__xludf.DUMMYFUNCTION("""COMPUTED_VALUE"""),"https://techcombank.com/thong-tin/blog/tai-khoan-ngan-hang-bi-khoa")</f>
        <v>https://techcombank.com/thong-tin/blog/tai-khoan-ngan-hang-bi-khoa</v>
      </c>
      <c r="BG24" s="30" t="str">
        <f>IFERROR(__xludf.DUMMYFUNCTION("""COMPUTED_VALUE"""),"tên đăng nhập")</f>
        <v>tên đăng nhập</v>
      </c>
      <c r="BH24" s="34" t="str">
        <f>IFERROR(__xludf.DUMMYFUNCTION("""COMPUTED_VALUE"""),"https://techcombank.com/thong-tin/blog/cic-la-gi")</f>
        <v>https://techcombank.com/thong-tin/blog/cic-la-gi</v>
      </c>
      <c r="BI24" s="30" t="str">
        <f>IFERROR(__xludf.DUMMYFUNCTION("""COMPUTED_VALUE"""),"tên đăng nhập")</f>
        <v>tên đăng nhập</v>
      </c>
      <c r="BJ24" s="34" t="str">
        <f>IFERROR(__xludf.DUMMYFUNCTION("""COMPUTED_VALUE"""),"https://techcombank.com/thong-tin/blog/thanh-toan-tien-nuoc-online")</f>
        <v>https://techcombank.com/thong-tin/blog/thanh-toan-tien-nuoc-online</v>
      </c>
      <c r="BK24" s="30" t="str">
        <f>IFERROR(__xludf.DUMMYFUNCTION("""COMPUTED_VALUE"""),"tên đăng nhập")</f>
        <v>tên đăng nhập</v>
      </c>
      <c r="BL24" s="34" t="str">
        <f>IFERROR(__xludf.DUMMYFUNCTION("""COMPUTED_VALUE"""),"https://techcombank.com/thong-tin/blog/mobile-banking-la-gi")</f>
        <v>https://techcombank.com/thong-tin/blog/mobile-banking-la-gi</v>
      </c>
      <c r="BM24" s="30" t="str">
        <f>IFERROR(__xludf.DUMMYFUNCTION("""COMPUTED_VALUE"""),"tên đăng nhập")</f>
        <v>tên đăng nhập</v>
      </c>
      <c r="BN24" s="34" t="str">
        <f>IFERROR(__xludf.DUMMYFUNCTION("""COMPUTED_VALUE"""),"https://techcombank.com/thong-tin/blog/rui-ro-khi-gui-tiet-kiem-ngan-hang")</f>
        <v>https://techcombank.com/thong-tin/blog/rui-ro-khi-gui-tiet-kiem-ngan-hang</v>
      </c>
      <c r="BO24" s="30" t="str">
        <f>IFERROR(__xludf.DUMMYFUNCTION("""COMPUTED_VALUE"""),"tên đăng nhập")</f>
        <v>tên đăng nhập</v>
      </c>
      <c r="BP24" s="34" t="str">
        <f>IFERROR(__xludf.DUMMYFUNCTION("""COMPUTED_VALUE"""),"https://techcombank.com/thong-tin/blog/cach-kich-hoat-the-atm")</f>
        <v>https://techcombank.com/thong-tin/blog/cach-kich-hoat-the-atm</v>
      </c>
      <c r="BQ24" s="30" t="str">
        <f>IFERROR(__xludf.DUMMYFUNCTION("""COMPUTED_VALUE"""),"tên đăng nhập")</f>
        <v>tên đăng nhập</v>
      </c>
      <c r="BR24" s="34" t="str">
        <f>IFERROR(__xludf.DUMMYFUNCTION("""COMPUTED_VALUE"""),"https://techcombank.com/thong-tin/blog/thanh-toan-tra-sau-viettel-bang-tai-khoan-ngan-hang")</f>
        <v>https://techcombank.com/thong-tin/blog/thanh-toan-tra-sau-viettel-bang-tai-khoan-ngan-hang</v>
      </c>
      <c r="BS24" s="30" t="str">
        <f>IFERROR(__xludf.DUMMYFUNCTION("""COMPUTED_VALUE"""),"tên đăng nhập")</f>
        <v>tên đăng nhập</v>
      </c>
      <c r="BT24" s="34" t="str">
        <f>IFERROR(__xludf.DUMMYFUNCTION("""COMPUTED_VALUE"""),"https://techcombank.com/thong-tin/blog/thanh-toan-hoa-don-tieu-dung")</f>
        <v>https://techcombank.com/thong-tin/blog/thanh-toan-hoa-don-tieu-dung</v>
      </c>
      <c r="BU24" s="30"/>
      <c r="BV24" s="30"/>
      <c r="BW24" s="30"/>
      <c r="BX24" s="30"/>
      <c r="BY24" s="30"/>
      <c r="BZ24" s="30"/>
      <c r="CA24" s="30"/>
      <c r="CB24" s="30"/>
      <c r="CC24" s="30"/>
      <c r="CD24" s="30"/>
      <c r="CE24" s="30"/>
      <c r="CF24" s="30"/>
      <c r="CG24" s="30"/>
      <c r="CH24" s="30"/>
      <c r="CI24" s="30"/>
      <c r="CJ24" s="30"/>
      <c r="CK24" s="30"/>
      <c r="CL24" s="30"/>
      <c r="CM24" s="30"/>
      <c r="CN24" s="30"/>
      <c r="CO24" s="30"/>
      <c r="CP24" s="30"/>
      <c r="CQ24" s="30"/>
      <c r="CR24" s="30"/>
      <c r="CS24" s="30"/>
      <c r="CT24" s="30"/>
      <c r="CU24" s="30"/>
      <c r="CV24" s="30"/>
      <c r="CW24" s="30"/>
      <c r="CX24" s="30"/>
      <c r="CY24" s="30"/>
      <c r="CZ24" s="30"/>
      <c r="DA24" s="30"/>
      <c r="DB24" s="30"/>
      <c r="DC24" s="30"/>
      <c r="DD24" s="30"/>
      <c r="DE24" s="30"/>
      <c r="DF24" s="30"/>
      <c r="DG24" s="30"/>
      <c r="DH24" s="30"/>
      <c r="DI24" s="30"/>
      <c r="DJ24" s="30"/>
      <c r="DK24" s="30"/>
      <c r="DL24" s="30"/>
      <c r="DM24" s="30"/>
      <c r="DN24" s="30"/>
      <c r="DO24" s="30"/>
      <c r="DP24" s="30"/>
      <c r="DQ24" s="30"/>
      <c r="DR24" s="30"/>
      <c r="DS24" s="30"/>
      <c r="DT24" s="30"/>
      <c r="DU24" s="30"/>
      <c r="DV24" s="30"/>
      <c r="DW24" s="30"/>
      <c r="DX24" s="30"/>
      <c r="DY24" s="30"/>
      <c r="DZ24" s="30"/>
      <c r="EA24" s="30"/>
      <c r="EB24" s="30"/>
      <c r="EC24" s="30"/>
      <c r="ED24" s="30"/>
      <c r="EE24" s="30"/>
      <c r="EF24" s="30"/>
      <c r="EG24" s="30"/>
      <c r="EH24" s="30"/>
      <c r="EI24" s="30"/>
      <c r="EJ24" s="30"/>
      <c r="EK24" s="30"/>
      <c r="EL24" s="30"/>
      <c r="EM24" s="30"/>
      <c r="EN24" s="30"/>
      <c r="EO24" s="30"/>
      <c r="EP24" s="30"/>
      <c r="EQ24" s="30"/>
      <c r="ER24" s="30"/>
      <c r="ES24" s="30"/>
      <c r="ET24" s="30"/>
      <c r="EU24" s="30"/>
      <c r="EV24" s="30"/>
      <c r="EW24" s="30"/>
      <c r="EX24" s="30"/>
      <c r="EY24" s="30"/>
      <c r="EZ24" s="30"/>
      <c r="FA24" s="30"/>
      <c r="FB24" s="30"/>
      <c r="FC24" s="30"/>
      <c r="FD24" s="30"/>
      <c r="FE24" s="30"/>
      <c r="FF24" s="30"/>
      <c r="FG24" s="30"/>
      <c r="FH24" s="30"/>
      <c r="FI24" s="30"/>
      <c r="FJ24" s="30"/>
      <c r="FK24" s="30"/>
      <c r="FL24" s="30"/>
      <c r="FM24" s="30"/>
      <c r="FN24" s="30"/>
      <c r="FO24" s="30"/>
      <c r="FP24" s="30"/>
      <c r="FQ24" s="30"/>
      <c r="FR24" s="30"/>
      <c r="FS24" s="30"/>
      <c r="FT24" s="30"/>
      <c r="FU24" s="30"/>
      <c r="FV24" s="30"/>
      <c r="FW24" s="30"/>
      <c r="FX24" s="30"/>
      <c r="FY24" s="30"/>
      <c r="FZ24" s="30"/>
      <c r="GA24" s="30"/>
      <c r="GB24" s="30"/>
      <c r="GC24" s="30"/>
      <c r="GD24" s="30"/>
      <c r="GE24" s="30"/>
      <c r="GF24" s="30"/>
      <c r="GG24" s="30"/>
      <c r="GH24" s="30"/>
      <c r="GI24" s="30"/>
      <c r="GJ24" s="30"/>
      <c r="GK24" s="30"/>
      <c r="GL24" s="30"/>
      <c r="GM24" s="30"/>
      <c r="GN24" s="30"/>
      <c r="GO24" s="30"/>
      <c r="GP24" s="30"/>
      <c r="GQ24" s="30"/>
      <c r="GR24" s="30"/>
      <c r="GS24" s="30"/>
      <c r="GT24" s="30"/>
      <c r="GU24" s="30"/>
      <c r="GV24" s="30"/>
      <c r="GW24" s="30"/>
      <c r="GX24" s="30"/>
      <c r="GY24" s="30"/>
      <c r="GZ24" s="30"/>
      <c r="HA24" s="30"/>
      <c r="HB24" s="30"/>
      <c r="HC24" s="30"/>
      <c r="HD24" s="30"/>
      <c r="HE24" s="30"/>
      <c r="HF24" s="30"/>
      <c r="HG24" s="30"/>
      <c r="HH24" s="30"/>
      <c r="HI24" s="30"/>
      <c r="HJ24" s="30"/>
      <c r="HK24" s="30"/>
      <c r="HL24" s="30"/>
      <c r="HM24" s="30"/>
      <c r="HN24" s="30"/>
      <c r="HO24" s="30"/>
      <c r="HP24" s="30"/>
      <c r="HQ24" s="30"/>
      <c r="HR24" s="30"/>
      <c r="HS24" s="30"/>
      <c r="HT24" s="30"/>
      <c r="HU24" s="30"/>
      <c r="HV24" s="30"/>
      <c r="HW24" s="30"/>
      <c r="HX24" s="30"/>
      <c r="HY24" s="30"/>
      <c r="HZ24" s="30"/>
      <c r="IA24" s="30"/>
      <c r="IB24" s="30"/>
      <c r="IC24" s="30"/>
      <c r="ID24" s="30"/>
      <c r="IE24" s="30"/>
      <c r="IF24" s="30"/>
      <c r="IG24" s="30"/>
      <c r="IH24" s="30"/>
      <c r="II24" s="30"/>
      <c r="IJ24" s="30"/>
      <c r="IK24" s="30"/>
      <c r="IL24" s="30"/>
      <c r="IM24" s="30"/>
      <c r="IN24" s="30"/>
      <c r="IO24" s="30"/>
      <c r="IP24" s="30"/>
      <c r="IQ24" s="30"/>
      <c r="IR24" s="30"/>
      <c r="IS24" s="30"/>
      <c r="IT24" s="30"/>
      <c r="IU24" s="30"/>
      <c r="IV24" s="30"/>
      <c r="IW24" s="30"/>
      <c r="IX24" s="30"/>
      <c r="IY24" s="30"/>
      <c r="IZ24" s="30"/>
      <c r="JA24" s="30"/>
      <c r="JB24" s="30"/>
      <c r="JC24" s="30"/>
      <c r="JD24" s="30"/>
      <c r="JE24" s="30"/>
      <c r="JF24" s="30"/>
      <c r="JG24" s="30"/>
      <c r="JH24" s="30"/>
      <c r="JI24" s="30"/>
      <c r="JJ24" s="30"/>
      <c r="JK24" s="30"/>
      <c r="JL24" s="30"/>
      <c r="JM24" s="30"/>
      <c r="JN24" s="30"/>
      <c r="JO24" s="30"/>
      <c r="JP24" s="30"/>
      <c r="JQ24" s="30"/>
      <c r="JR24" s="30"/>
      <c r="JS24" s="30"/>
      <c r="JT24" s="30"/>
      <c r="JU24" s="30"/>
      <c r="JV24" s="30"/>
      <c r="JW24" s="30"/>
      <c r="JX24" s="30"/>
      <c r="JY24" s="30"/>
      <c r="JZ24" s="30"/>
      <c r="KA24" s="30"/>
      <c r="KB24" s="30"/>
      <c r="KC24" s="30"/>
      <c r="KD24" s="30"/>
      <c r="KE24" s="30"/>
      <c r="KF24" s="30"/>
      <c r="KG24" s="30"/>
      <c r="KH24" s="30"/>
      <c r="KI24" s="30"/>
      <c r="KJ24" s="30"/>
      <c r="KK24" s="30"/>
      <c r="KL24" s="30"/>
      <c r="KM24" s="30"/>
      <c r="KN24" s="30"/>
      <c r="KO24" s="30"/>
      <c r="KP24" s="30"/>
      <c r="KQ24" s="30"/>
      <c r="KR24" s="30"/>
      <c r="KS24" s="30"/>
      <c r="KT24" s="30"/>
      <c r="KU24" s="30"/>
      <c r="KV24" s="30"/>
      <c r="KW24" s="30"/>
      <c r="KX24" s="30"/>
      <c r="KY24" s="30"/>
      <c r="KZ24" s="30"/>
      <c r="LA24" s="30"/>
      <c r="LB24" s="30"/>
      <c r="LC24" s="30"/>
      <c r="LD24" s="30"/>
      <c r="LE24" s="30"/>
      <c r="LF24" s="30"/>
      <c r="LG24" s="30"/>
      <c r="LH24" s="30"/>
      <c r="LI24" s="30"/>
      <c r="LJ24" s="30"/>
      <c r="LK24" s="30"/>
      <c r="LL24" s="30"/>
      <c r="LM24" s="30"/>
      <c r="LN24" s="30"/>
      <c r="LO24" s="30"/>
      <c r="LP24" s="30"/>
      <c r="LQ24" s="30"/>
      <c r="LR24" s="30"/>
      <c r="LS24" s="30"/>
      <c r="LT24" s="30"/>
      <c r="LU24" s="30"/>
      <c r="LV24" s="30"/>
      <c r="LW24" s="30"/>
      <c r="LX24" s="30"/>
      <c r="LY24" s="30"/>
      <c r="LZ24" s="30"/>
      <c r="MA24" s="30"/>
      <c r="MB24" s="30"/>
      <c r="MC24" s="30"/>
      <c r="MD24" s="30"/>
      <c r="ME24" s="30"/>
      <c r="MF24" s="30"/>
      <c r="MG24" s="30"/>
      <c r="MH24" s="30"/>
      <c r="MI24" s="30"/>
      <c r="MJ24" s="30"/>
      <c r="MK24" s="30"/>
      <c r="ML24" s="30"/>
      <c r="MM24" s="30"/>
      <c r="MN24" s="30"/>
      <c r="MO24" s="30"/>
      <c r="MP24" s="30"/>
      <c r="MQ24" s="30"/>
      <c r="MR24" s="30"/>
      <c r="MS24" s="30"/>
      <c r="MT24" s="30"/>
      <c r="MU24" s="30"/>
      <c r="MV24" s="30"/>
      <c r="MW24" s="30"/>
      <c r="MX24" s="30"/>
      <c r="MY24" s="30"/>
      <c r="MZ24" s="30"/>
      <c r="NA24" s="30"/>
      <c r="NB24" s="30"/>
      <c r="NC24" s="30"/>
      <c r="ND24" s="30"/>
      <c r="NE24" s="30"/>
      <c r="NF24" s="30"/>
      <c r="NG24" s="30"/>
      <c r="NH24" s="30"/>
      <c r="NI24" s="30"/>
      <c r="NJ24" s="30"/>
      <c r="NK24" s="30"/>
      <c r="NL24" s="30"/>
      <c r="NM24" s="30"/>
      <c r="NN24" s="30"/>
      <c r="NO24" s="30"/>
      <c r="NP24" s="30"/>
      <c r="NQ24" s="30"/>
      <c r="NR24" s="30"/>
      <c r="NS24" s="30"/>
      <c r="NT24" s="30"/>
      <c r="NU24" s="30"/>
      <c r="NV24" s="30"/>
      <c r="NW24" s="30"/>
      <c r="NX24" s="30"/>
      <c r="NY24" s="30"/>
      <c r="NZ24" s="30"/>
      <c r="OA24" s="30"/>
      <c r="OB24" s="30"/>
      <c r="OC24" s="30"/>
      <c r="OD24" s="30"/>
      <c r="OE24" s="30"/>
      <c r="OF24" s="30"/>
      <c r="OG24" s="30"/>
      <c r="OH24" s="30"/>
      <c r="OI24" s="30"/>
      <c r="OJ24" s="30"/>
      <c r="OK24" s="30"/>
      <c r="OL24" s="30"/>
      <c r="OM24" s="30"/>
      <c r="ON24" s="30"/>
      <c r="OO24" s="30"/>
      <c r="OP24" s="30"/>
      <c r="OQ24" s="30"/>
      <c r="OR24" s="30"/>
      <c r="OS24" s="30"/>
      <c r="OT24" s="30"/>
      <c r="OU24" s="30"/>
      <c r="OV24" s="30"/>
    </row>
    <row r="25" ht="18.0" customHeight="1">
      <c r="A25" s="29">
        <v>24.0</v>
      </c>
      <c r="B25" s="30" t="s">
        <v>1564</v>
      </c>
      <c r="C25" s="31" t="s">
        <v>1441</v>
      </c>
      <c r="D25" s="30" t="s">
        <v>350</v>
      </c>
      <c r="E25" s="29">
        <v>30.0</v>
      </c>
      <c r="F25" s="29">
        <f>COUNTIF('Tổng hợp 75 trang đích'!$B$2:$B$3400,$D25)</f>
        <v>30</v>
      </c>
      <c r="G25" s="29">
        <f>COUNTIFS('Tổng hợp 75 trang đích'!$B$2:$B$3400,$D25,'Tổng hợp 75 trang đích'!$K$2:$K$3400,"PHÙ HỢP CAO")</f>
        <v>1</v>
      </c>
      <c r="H25" s="29">
        <f>COUNTIFS('Tổng hợp 75 trang đích'!$B$2:$B$3400,$D25,'Tổng hợp 75 trang đích'!$K$2:$K$3400,"CÓ THỂ ĐI")</f>
        <v>8</v>
      </c>
      <c r="I25" s="29">
        <f>COUNTIFS('Tổng hợp 75 trang đích'!$B$2:$B$3400,$D25,'Tổng hợp 75 trang đích'!$K$2:$K$3400,"CẦN SOÁT")</f>
        <v>21</v>
      </c>
      <c r="J25" s="32" t="s">
        <v>714</v>
      </c>
      <c r="K25" s="32" t="b">
        <v>0</v>
      </c>
      <c r="L25" s="33" t="s">
        <v>52</v>
      </c>
      <c r="M25" s="30" t="str">
        <f>IFERROR(__xludf.DUMMYFUNCTION("IFERROR(TOROW(CHOOSECOLS(SORT(FILTER({'Tổng hợp 75 trang đích'!$J$2:$J$3400,'Tổng hợp 75 trang đích'!$I$2:$I$3400,MATCH('Tổng hợp 75 trang đích'!$K$2:$K$3400,{""PHÙ HỢP CAO"",""CÓ THỂ ĐI"",""CẦN SOÁT""},0)},'Tổng hợp 75 trang đích'!$B$2:$B$3400=$D25),3,TR"&amp;"UE),1,2)),"""")"),"thuế thu nhập cá nhân")</f>
        <v>thuế thu nhập cá nhân</v>
      </c>
      <c r="N25" s="34" t="str">
        <f>IFERROR(__xludf.DUMMYFUNCTION("""COMPUTED_VALUE"""),"https://techcombank.com/thong-tin/blog/tien-chuyen-vao-tai-khoan-co-bi-tinh-thue-khong")</f>
        <v>https://techcombank.com/thong-tin/blog/tien-chuyen-vao-tai-khoan-co-bi-tinh-thue-khong</v>
      </c>
      <c r="O25" s="30" t="str">
        <f>IFERROR(__xludf.DUMMYFUNCTION("""COMPUTED_VALUE"""),"thuế TNCN")</f>
        <v>thuế TNCN</v>
      </c>
      <c r="P25" s="34" t="str">
        <f>IFERROR(__xludf.DUMMYFUNCTION("""COMPUTED_VALUE"""),"https://techcombank.com/thong-tin/blog/tra-cuu-no-thue-ca-nhan")</f>
        <v>https://techcombank.com/thong-tin/blog/tra-cuu-no-thue-ca-nhan</v>
      </c>
      <c r="Q25" s="30" t="str">
        <f>IFERROR(__xludf.DUMMYFUNCTION("""COMPUTED_VALUE"""),"thuế TNCN")</f>
        <v>thuế TNCN</v>
      </c>
      <c r="R25" s="34" t="str">
        <f>IFERROR(__xludf.DUMMYFUNCTION("""COMPUTED_VALUE"""),"https://techcombank.com/thong-tin/blog/thue-ho-kinh-doanh-2025")</f>
        <v>https://techcombank.com/thong-tin/blog/thue-ho-kinh-doanh-2025</v>
      </c>
      <c r="S25" s="30" t="str">
        <f>IFERROR(__xludf.DUMMYFUNCTION("""COMPUTED_VALUE"""),"thuế thu nhập cá nhân")</f>
        <v>thuế thu nhập cá nhân</v>
      </c>
      <c r="T25" s="34" t="str">
        <f>IFERROR(__xludf.DUMMYFUNCTION("""COMPUTED_VALUE"""),"https://techcombank.com/thong-tin/blog/sao-ke-luong")</f>
        <v>https://techcombank.com/thong-tin/blog/sao-ke-luong</v>
      </c>
      <c r="U25" s="30" t="str">
        <f>IFERROR(__xludf.DUMMYFUNCTION("""COMPUTED_VALUE"""),"thuế thu nhập cá nhân")</f>
        <v>thuế thu nhập cá nhân</v>
      </c>
      <c r="V25" s="34" t="str">
        <f>IFERROR(__xludf.DUMMYFUNCTION("""COMPUTED_VALUE"""),"https://techcombank.com/thong-tin/blog/kinh-nghiem-chuyen-doi-tu-ho-kinh-doanh-len-doanh-nghiep")</f>
        <v>https://techcombank.com/thong-tin/blog/kinh-nghiem-chuyen-doi-tu-ho-kinh-doanh-len-doanh-nghiep</v>
      </c>
      <c r="W25" s="30" t="str">
        <f>IFERROR(__xludf.DUMMYFUNCTION("""COMPUTED_VALUE"""),"thuế thu nhập cá nhân")</f>
        <v>thuế thu nhập cá nhân</v>
      </c>
      <c r="X25" s="34" t="str">
        <f>IFERROR(__xludf.DUMMYFUNCTION("""COMPUTED_VALUE"""),"https://techcombank.com/thong-tin/blog/thue-khoan-ho-kinh-doanh-la-gi")</f>
        <v>https://techcombank.com/thong-tin/blog/thue-khoan-ho-kinh-doanh-la-gi</v>
      </c>
      <c r="Y25" s="30" t="str">
        <f>IFERROR(__xludf.DUMMYFUNCTION("""COMPUTED_VALUE"""),"thuế TNCN")</f>
        <v>thuế TNCN</v>
      </c>
      <c r="Z25" s="34" t="str">
        <f>IFERROR(__xludf.DUMMYFUNCTION("""COMPUTED_VALUE"""),"https://techcombank.com/thong-tin/blog/khoi-nghiep-truoc-chinh-sach-thue-moi")</f>
        <v>https://techcombank.com/thong-tin/blog/khoi-nghiep-truoc-chinh-sach-thue-moi</v>
      </c>
      <c r="AA25" s="30" t="str">
        <f>IFERROR(__xludf.DUMMYFUNCTION("""COMPUTED_VALUE"""),"thuế thu nhập cá nhân")</f>
        <v>thuế thu nhập cá nhân</v>
      </c>
      <c r="AB25" s="34" t="str">
        <f>IFERROR(__xludf.DUMMYFUNCTION("""COMPUTED_VALUE"""),"https://techcombank.com/thong-tin/blog/hieu-hiet-ve-tuan-thu-thue-cho-cac-doanh-nghiep-khoi-nghiep")</f>
        <v>https://techcombank.com/thong-tin/blog/hieu-hiet-ve-tuan-thu-thue-cho-cac-doanh-nghiep-khoi-nghiep</v>
      </c>
      <c r="AC25" s="30" t="str">
        <f>IFERROR(__xludf.DUMMYFUNCTION("""COMPUTED_VALUE"""),"thuế thu nhập cá nhân")</f>
        <v>thuế thu nhập cá nhân</v>
      </c>
      <c r="AD25" s="34" t="str">
        <f>IFERROR(__xludf.DUMMYFUNCTION("""COMPUTED_VALUE"""),"https://techcombank.com/thong-tin/blog/gia-chung-chi-quy-la-gi")</f>
        <v>https://techcombank.com/thong-tin/blog/gia-chung-chi-quy-la-gi</v>
      </c>
      <c r="AE25" s="30" t="str">
        <f>IFERROR(__xludf.DUMMYFUNCTION("""COMPUTED_VALUE"""),"thuế TNCN")</f>
        <v>thuế TNCN</v>
      </c>
      <c r="AF25" s="34" t="str">
        <f>IFERROR(__xludf.DUMMYFUNCTION("""COMPUTED_VALUE"""),"https://techcombank.com/thong-tin/blog/cach-tinh-thue-ho-kinh-doanh-nho-le")</f>
        <v>https://techcombank.com/thong-tin/blog/cach-tinh-thue-ho-kinh-doanh-nho-le</v>
      </c>
      <c r="AG25" s="30" t="str">
        <f>IFERROR(__xludf.DUMMYFUNCTION("""COMPUTED_VALUE"""),"thuế TNCN")</f>
        <v>thuế TNCN</v>
      </c>
      <c r="AH25" s="34" t="str">
        <f>IFERROR(__xludf.DUMMYFUNCTION("""COMPUTED_VALUE"""),"https://techcombank.com/thong-tin/blog/quyet-toan-thue-thu-nhap-ca-nhan")</f>
        <v>https://techcombank.com/thong-tin/blog/quyet-toan-thue-thu-nhap-ca-nhan</v>
      </c>
      <c r="AI25" s="30" t="str">
        <f>IFERROR(__xludf.DUMMYFUNCTION("""COMPUTED_VALUE"""),"thuế thu nhập cá nhân")</f>
        <v>thuế thu nhập cá nhân</v>
      </c>
      <c r="AJ25" s="34" t="str">
        <f>IFERROR(__xludf.DUMMYFUNCTION("""COMPUTED_VALUE"""),"https://techcombank.com/thong-tin/blog/hoan-thue-thu-nhap-ca-nhan")</f>
        <v>https://techcombank.com/thong-tin/blog/hoan-thue-thu-nhap-ca-nhan</v>
      </c>
      <c r="AK25" s="30" t="str">
        <f>IFERROR(__xludf.DUMMYFUNCTION("""COMPUTED_VALUE"""),"thuế TNCN")</f>
        <v>thuế TNCN</v>
      </c>
      <c r="AL25" s="34" t="str">
        <f>IFERROR(__xludf.DUMMYFUNCTION("""COMPUTED_VALUE"""),"https://techcombank.com/thong-tin/blog/nhung-ho-kinh-doanh-duoc-mien-thue")</f>
        <v>https://techcombank.com/thong-tin/blog/nhung-ho-kinh-doanh-duoc-mien-thue</v>
      </c>
      <c r="AM25" s="30" t="str">
        <f>IFERROR(__xludf.DUMMYFUNCTION("""COMPUTED_VALUE"""),"thuế TNCN")</f>
        <v>thuế TNCN</v>
      </c>
      <c r="AN25" s="34" t="str">
        <f>IFERROR(__xludf.DUMMYFUNCTION("""COMPUTED_VALUE"""),"https://techcombank.com/thong-tin/blog/app-tra-luong")</f>
        <v>https://techcombank.com/thong-tin/blog/app-tra-luong</v>
      </c>
      <c r="AO25" s="30" t="str">
        <f>IFERROR(__xludf.DUMMYFUNCTION("""COMPUTED_VALUE"""),"mức đóng thuế thu nhập cá nhân")</f>
        <v>mức đóng thuế thu nhập cá nhân</v>
      </c>
      <c r="AP25" s="34" t="str">
        <f>IFERROR(__xludf.DUMMYFUNCTION("""COMPUTED_VALUE"""),"https://techcombank.com/thong-tin/blog/chinh-sach-tang-luong-huu")</f>
        <v>https://techcombank.com/thong-tin/blog/chinh-sach-tang-luong-huu</v>
      </c>
      <c r="AQ25" s="30" t="str">
        <f>IFERROR(__xludf.DUMMYFUNCTION("""COMPUTED_VALUE"""),"thuế thu nhập cá nhân")</f>
        <v>thuế thu nhập cá nhân</v>
      </c>
      <c r="AR25" s="34" t="str">
        <f>IFERROR(__xludf.DUMMYFUNCTION("""COMPUTED_VALUE"""),"https://techcombank.com/thong-tin/blog/dang-ky-ma-so-thue-ca-nhan")</f>
        <v>https://techcombank.com/thong-tin/blog/dang-ky-ma-so-thue-ca-nhan</v>
      </c>
      <c r="AS25" s="30" t="str">
        <f>IFERROR(__xludf.DUMMYFUNCTION("""COMPUTED_VALUE"""),"thuế thu nhập cá nhân")</f>
        <v>thuế thu nhập cá nhân</v>
      </c>
      <c r="AT25" s="34" t="str">
        <f>IFERROR(__xludf.DUMMYFUNCTION("""COMPUTED_VALUE"""),"https://techcombank.com/thong-tin/blog/cach-tinh-thue-thu-nhap-ca-nhan-2025")</f>
        <v>https://techcombank.com/thong-tin/blog/cach-tinh-thue-thu-nhap-ca-nhan-2025</v>
      </c>
      <c r="AU25" s="30" t="str">
        <f>IFERROR(__xludf.DUMMYFUNCTION("""COMPUTED_VALUE"""),"thuế thu nhập cá nhân")</f>
        <v>thuế thu nhập cá nhân</v>
      </c>
      <c r="AV25" s="34" t="str">
        <f>IFERROR(__xludf.DUMMYFUNCTION("""COMPUTED_VALUE"""),"https://techcombank.com/thong-tin/blog/hoc-cach-tiet-kiem-tien-luong")</f>
        <v>https://techcombank.com/thong-tin/blog/hoc-cach-tiet-kiem-tien-luong</v>
      </c>
      <c r="AW25" s="30" t="str">
        <f>IFERROR(__xludf.DUMMYFUNCTION("""COMPUTED_VALUE"""),"thuế thu nhập cá nhân")</f>
        <v>thuế thu nhập cá nhân</v>
      </c>
      <c r="AX25" s="34" t="str">
        <f>IFERROR(__xludf.DUMMYFUNCTION("""COMPUTED_VALUE"""),"https://techcombank.com/thong-tin/blog/thue-thu-nhap-doanh-nghiep")</f>
        <v>https://techcombank.com/thong-tin/blog/thue-thu-nhap-doanh-nghiep</v>
      </c>
      <c r="AY25" s="30" t="str">
        <f>IFERROR(__xludf.DUMMYFUNCTION("""COMPUTED_VALUE"""),"thuế thu nhập cá nhân")</f>
        <v>thuế thu nhập cá nhân</v>
      </c>
      <c r="AZ25" s="34" t="str">
        <f>IFERROR(__xludf.DUMMYFUNCTION("""COMPUTED_VALUE"""),"https://techcombank.com/thong-tin/blog/cach-tinh-thue-thu-nhap-doanh-nghiep")</f>
        <v>https://techcombank.com/thong-tin/blog/cach-tinh-thue-thu-nhap-doanh-nghiep</v>
      </c>
      <c r="BA25" s="30" t="str">
        <f>IFERROR(__xludf.DUMMYFUNCTION("""COMPUTED_VALUE"""),"thuế thu nhập cá nhân")</f>
        <v>thuế thu nhập cá nhân</v>
      </c>
      <c r="BB25" s="34" t="str">
        <f>IFERROR(__xludf.DUMMYFUNCTION("""COMPUTED_VALUE"""),"https://techcombank.com/thong-tin/blog/cach-nop-thue-dien-tu")</f>
        <v>https://techcombank.com/thong-tin/blog/cach-nop-thue-dien-tu</v>
      </c>
      <c r="BC25" s="30" t="str">
        <f>IFERROR(__xludf.DUMMYFUNCTION("""COMPUTED_VALUE"""),"thuế TNCN")</f>
        <v>thuế TNCN</v>
      </c>
      <c r="BD25" s="34" t="str">
        <f>IFERROR(__xludf.DUMMYFUNCTION("""COMPUTED_VALUE"""),"https://techcombank.com/thong-tin/blog/ke-khai-thue-doanh-nghiep")</f>
        <v>https://techcombank.com/thong-tin/blog/ke-khai-thue-doanh-nghiep</v>
      </c>
      <c r="BE25" s="30" t="str">
        <f>IFERROR(__xludf.DUMMYFUNCTION("""COMPUTED_VALUE"""),"thuế thu nhập cá nhân")</f>
        <v>thuế thu nhập cá nhân</v>
      </c>
      <c r="BF25" s="34" t="str">
        <f>IFERROR(__xludf.DUMMYFUNCTION("""COMPUTED_VALUE"""),"https://techcombank.com/thong-tin/blog/tim-hieu-ve-chinh-sach-thue-moi")</f>
        <v>https://techcombank.com/thong-tin/blog/tim-hieu-ve-chinh-sach-thue-moi</v>
      </c>
      <c r="BG25" s="30" t="str">
        <f>IFERROR(__xludf.DUMMYFUNCTION("""COMPUTED_VALUE"""),"thuế thu nhập cá nhân")</f>
        <v>thuế thu nhập cá nhân</v>
      </c>
      <c r="BH25" s="34" t="str">
        <f>IFERROR(__xludf.DUMMYFUNCTION("""COMPUTED_VALUE"""),"https://techcombank.com/thong-tin/blog/tra-luong-tien-mat")</f>
        <v>https://techcombank.com/thong-tin/blog/tra-luong-tien-mat</v>
      </c>
      <c r="BI25" s="30" t="str">
        <f>IFERROR(__xludf.DUMMYFUNCTION("""COMPUTED_VALUE"""),"thuế TNCN")</f>
        <v>thuế TNCN</v>
      </c>
      <c r="BJ25" s="34" t="str">
        <f>IFERROR(__xludf.DUMMYFUNCTION("""COMPUTED_VALUE"""),"https://techcombank.com/thong-tin/blog/thue-thuong-mai-dien-tu")</f>
        <v>https://techcombank.com/thong-tin/blog/thue-thuong-mai-dien-tu</v>
      </c>
      <c r="BK25" s="30" t="str">
        <f>IFERROR(__xludf.DUMMYFUNCTION("""COMPUTED_VALUE"""),"thuế thu nhập cá nhân")</f>
        <v>thuế thu nhập cá nhân</v>
      </c>
      <c r="BL25" s="34" t="str">
        <f>IFERROR(__xludf.DUMMYFUNCTION("""COMPUTED_VALUE"""),"https://techcombank.com/thong-tin/blog/tra-cuu-no-thue-doanh-nghiep")</f>
        <v>https://techcombank.com/thong-tin/blog/tra-cuu-no-thue-doanh-nghiep</v>
      </c>
      <c r="BM25" s="30" t="str">
        <f>IFERROR(__xludf.DUMMYFUNCTION("""COMPUTED_VALUE"""),"thuế TNCN")</f>
        <v>thuế TNCN</v>
      </c>
      <c r="BN25" s="34" t="str">
        <f>IFERROR(__xludf.DUMMYFUNCTION("""COMPUTED_VALUE"""),"https://techcombank.com/thong-tin/blog/ke-khai-thue-ho-kinh-doanh-ca-the-online")</f>
        <v>https://techcombank.com/thong-tin/blog/ke-khai-thue-ho-kinh-doanh-ca-the-online</v>
      </c>
      <c r="BO25" s="30" t="str">
        <f>IFERROR(__xludf.DUMMYFUNCTION("""COMPUTED_VALUE"""),"thuế thu nhập cá nhân")</f>
        <v>thuế thu nhập cá nhân</v>
      </c>
      <c r="BP25" s="34" t="str">
        <f>IFERROR(__xludf.DUMMYFUNCTION("""COMPUTED_VALUE"""),"https://techcombank.com/thong-tin/blog/giai-dap-ve-thue-doanh-nghiep")</f>
        <v>https://techcombank.com/thong-tin/blog/giai-dap-ve-thue-doanh-nghiep</v>
      </c>
      <c r="BQ25" s="30" t="str">
        <f>IFERROR(__xludf.DUMMYFUNCTION("""COMPUTED_VALUE"""),"thuế thu nhập cá nhân")</f>
        <v>thuế thu nhập cá nhân</v>
      </c>
      <c r="BR25" s="34" t="str">
        <f>IFERROR(__xludf.DUMMYFUNCTION("""COMPUTED_VALUE"""),"https://techcombank.com/thong-tin/blog/chuyen-doi-ho-kinh-doanh-len-doanh-nghiep")</f>
        <v>https://techcombank.com/thong-tin/blog/chuyen-doi-ho-kinh-doanh-len-doanh-nghiep</v>
      </c>
      <c r="BS25" s="30" t="str">
        <f>IFERROR(__xludf.DUMMYFUNCTION("""COMPUTED_VALUE"""),"thuế thu nhập cá nhân")</f>
        <v>thuế thu nhập cá nhân</v>
      </c>
      <c r="BT25" s="34" t="str">
        <f>IFERROR(__xludf.DUMMYFUNCTION("""COMPUTED_VALUE"""),"https://techcombank.com/thong-tin/blog/nen-thanh-lap-ho-kinh-doanh-ke-khai-hay-doanh-nghiep")</f>
        <v>https://techcombank.com/thong-tin/blog/nen-thanh-lap-ho-kinh-doanh-ke-khai-hay-doanh-nghiep</v>
      </c>
      <c r="BU25" s="30"/>
      <c r="BV25" s="30"/>
      <c r="BW25" s="30"/>
      <c r="BX25" s="30"/>
      <c r="BY25" s="30"/>
      <c r="BZ25" s="30"/>
      <c r="CA25" s="30"/>
      <c r="CB25" s="30"/>
      <c r="CC25" s="30"/>
      <c r="CD25" s="30"/>
      <c r="CE25" s="30"/>
      <c r="CF25" s="30"/>
      <c r="CG25" s="30"/>
      <c r="CH25" s="30"/>
      <c r="CI25" s="30"/>
      <c r="CJ25" s="30"/>
      <c r="CK25" s="30"/>
      <c r="CL25" s="30"/>
      <c r="CM25" s="30"/>
      <c r="CN25" s="30"/>
      <c r="CO25" s="30"/>
      <c r="CP25" s="30"/>
      <c r="CQ25" s="30"/>
      <c r="CR25" s="30"/>
      <c r="CS25" s="30"/>
      <c r="CT25" s="30"/>
      <c r="CU25" s="30"/>
      <c r="CV25" s="30"/>
      <c r="CW25" s="30"/>
      <c r="CX25" s="30"/>
      <c r="CY25" s="30"/>
      <c r="CZ25" s="30"/>
      <c r="DA25" s="30"/>
      <c r="DB25" s="30"/>
      <c r="DC25" s="30"/>
      <c r="DD25" s="30"/>
      <c r="DE25" s="30"/>
      <c r="DF25" s="30"/>
      <c r="DG25" s="30"/>
      <c r="DH25" s="30"/>
      <c r="DI25" s="30"/>
      <c r="DJ25" s="30"/>
      <c r="DK25" s="30"/>
      <c r="DL25" s="30"/>
      <c r="DM25" s="30"/>
      <c r="DN25" s="30"/>
      <c r="DO25" s="30"/>
      <c r="DP25" s="30"/>
      <c r="DQ25" s="30"/>
      <c r="DR25" s="30"/>
      <c r="DS25" s="30"/>
      <c r="DT25" s="30"/>
      <c r="DU25" s="30"/>
      <c r="DV25" s="30"/>
      <c r="DW25" s="30"/>
      <c r="DX25" s="30"/>
      <c r="DY25" s="30"/>
      <c r="DZ25" s="30"/>
      <c r="EA25" s="30"/>
      <c r="EB25" s="30"/>
      <c r="EC25" s="30"/>
      <c r="ED25" s="30"/>
      <c r="EE25" s="30"/>
      <c r="EF25" s="30"/>
      <c r="EG25" s="30"/>
      <c r="EH25" s="30"/>
      <c r="EI25" s="30"/>
      <c r="EJ25" s="30"/>
      <c r="EK25" s="30"/>
      <c r="EL25" s="30"/>
      <c r="EM25" s="30"/>
      <c r="EN25" s="30"/>
      <c r="EO25" s="30"/>
      <c r="EP25" s="30"/>
      <c r="EQ25" s="30"/>
      <c r="ER25" s="30"/>
      <c r="ES25" s="30"/>
      <c r="ET25" s="30"/>
      <c r="EU25" s="30"/>
      <c r="EV25" s="30"/>
      <c r="EW25" s="30"/>
      <c r="EX25" s="30"/>
      <c r="EY25" s="30"/>
      <c r="EZ25" s="30"/>
      <c r="FA25" s="30"/>
      <c r="FB25" s="30"/>
      <c r="FC25" s="30"/>
      <c r="FD25" s="30"/>
      <c r="FE25" s="30"/>
      <c r="FF25" s="30"/>
      <c r="FG25" s="30"/>
      <c r="FH25" s="30"/>
      <c r="FI25" s="30"/>
      <c r="FJ25" s="30"/>
      <c r="FK25" s="30"/>
      <c r="FL25" s="30"/>
      <c r="FM25" s="30"/>
      <c r="FN25" s="30"/>
      <c r="FO25" s="30"/>
      <c r="FP25" s="30"/>
      <c r="FQ25" s="30"/>
      <c r="FR25" s="30"/>
      <c r="FS25" s="30"/>
      <c r="FT25" s="30"/>
      <c r="FU25" s="30"/>
      <c r="FV25" s="30"/>
      <c r="FW25" s="30"/>
      <c r="FX25" s="30"/>
      <c r="FY25" s="30"/>
      <c r="FZ25" s="30"/>
      <c r="GA25" s="30"/>
      <c r="GB25" s="30"/>
      <c r="GC25" s="30"/>
      <c r="GD25" s="30"/>
      <c r="GE25" s="30"/>
      <c r="GF25" s="30"/>
      <c r="GG25" s="30"/>
      <c r="GH25" s="30"/>
      <c r="GI25" s="30"/>
      <c r="GJ25" s="30"/>
      <c r="GK25" s="30"/>
      <c r="GL25" s="30"/>
      <c r="GM25" s="30"/>
      <c r="GN25" s="30"/>
      <c r="GO25" s="30"/>
      <c r="GP25" s="30"/>
      <c r="GQ25" s="30"/>
      <c r="GR25" s="30"/>
      <c r="GS25" s="30"/>
      <c r="GT25" s="30"/>
      <c r="GU25" s="30"/>
      <c r="GV25" s="30"/>
      <c r="GW25" s="30"/>
      <c r="GX25" s="30"/>
      <c r="GY25" s="30"/>
      <c r="GZ25" s="30"/>
      <c r="HA25" s="30"/>
      <c r="HB25" s="30"/>
      <c r="HC25" s="30"/>
      <c r="HD25" s="30"/>
      <c r="HE25" s="30"/>
      <c r="HF25" s="30"/>
      <c r="HG25" s="30"/>
      <c r="HH25" s="30"/>
      <c r="HI25" s="30"/>
      <c r="HJ25" s="30"/>
      <c r="HK25" s="30"/>
      <c r="HL25" s="30"/>
      <c r="HM25" s="30"/>
      <c r="HN25" s="30"/>
      <c r="HO25" s="30"/>
      <c r="HP25" s="30"/>
      <c r="HQ25" s="30"/>
      <c r="HR25" s="30"/>
      <c r="HS25" s="30"/>
      <c r="HT25" s="30"/>
      <c r="HU25" s="30"/>
      <c r="HV25" s="30"/>
      <c r="HW25" s="30"/>
      <c r="HX25" s="30"/>
      <c r="HY25" s="30"/>
      <c r="HZ25" s="30"/>
      <c r="IA25" s="30"/>
      <c r="IB25" s="30"/>
      <c r="IC25" s="30"/>
      <c r="ID25" s="30"/>
      <c r="IE25" s="30"/>
      <c r="IF25" s="30"/>
      <c r="IG25" s="30"/>
      <c r="IH25" s="30"/>
      <c r="II25" s="30"/>
      <c r="IJ25" s="30"/>
      <c r="IK25" s="30"/>
      <c r="IL25" s="30"/>
      <c r="IM25" s="30"/>
      <c r="IN25" s="30"/>
      <c r="IO25" s="30"/>
      <c r="IP25" s="30"/>
      <c r="IQ25" s="30"/>
      <c r="IR25" s="30"/>
      <c r="IS25" s="30"/>
      <c r="IT25" s="30"/>
      <c r="IU25" s="30"/>
      <c r="IV25" s="30"/>
      <c r="IW25" s="30"/>
      <c r="IX25" s="30"/>
      <c r="IY25" s="30"/>
      <c r="IZ25" s="30"/>
      <c r="JA25" s="30"/>
      <c r="JB25" s="30"/>
      <c r="JC25" s="30"/>
      <c r="JD25" s="30"/>
      <c r="JE25" s="30"/>
      <c r="JF25" s="30"/>
      <c r="JG25" s="30"/>
      <c r="JH25" s="30"/>
      <c r="JI25" s="30"/>
      <c r="JJ25" s="30"/>
      <c r="JK25" s="30"/>
      <c r="JL25" s="30"/>
      <c r="JM25" s="30"/>
      <c r="JN25" s="30"/>
      <c r="JO25" s="30"/>
      <c r="JP25" s="30"/>
      <c r="JQ25" s="30"/>
      <c r="JR25" s="30"/>
      <c r="JS25" s="30"/>
      <c r="JT25" s="30"/>
      <c r="JU25" s="30"/>
      <c r="JV25" s="30"/>
      <c r="JW25" s="30"/>
      <c r="JX25" s="30"/>
      <c r="JY25" s="30"/>
      <c r="JZ25" s="30"/>
      <c r="KA25" s="30"/>
      <c r="KB25" s="30"/>
      <c r="KC25" s="30"/>
      <c r="KD25" s="30"/>
      <c r="KE25" s="30"/>
      <c r="KF25" s="30"/>
      <c r="KG25" s="30"/>
      <c r="KH25" s="30"/>
      <c r="KI25" s="30"/>
      <c r="KJ25" s="30"/>
      <c r="KK25" s="30"/>
      <c r="KL25" s="30"/>
      <c r="KM25" s="30"/>
      <c r="KN25" s="30"/>
      <c r="KO25" s="30"/>
      <c r="KP25" s="30"/>
      <c r="KQ25" s="30"/>
      <c r="KR25" s="30"/>
      <c r="KS25" s="30"/>
      <c r="KT25" s="30"/>
      <c r="KU25" s="30"/>
      <c r="KV25" s="30"/>
      <c r="KW25" s="30"/>
      <c r="KX25" s="30"/>
      <c r="KY25" s="30"/>
      <c r="KZ25" s="30"/>
      <c r="LA25" s="30"/>
      <c r="LB25" s="30"/>
      <c r="LC25" s="30"/>
      <c r="LD25" s="30"/>
      <c r="LE25" s="30"/>
      <c r="LF25" s="30"/>
      <c r="LG25" s="30"/>
      <c r="LH25" s="30"/>
      <c r="LI25" s="30"/>
      <c r="LJ25" s="30"/>
      <c r="LK25" s="30"/>
      <c r="LL25" s="30"/>
      <c r="LM25" s="30"/>
      <c r="LN25" s="30"/>
      <c r="LO25" s="30"/>
      <c r="LP25" s="30"/>
      <c r="LQ25" s="30"/>
      <c r="LR25" s="30"/>
      <c r="LS25" s="30"/>
      <c r="LT25" s="30"/>
      <c r="LU25" s="30"/>
      <c r="LV25" s="30"/>
      <c r="LW25" s="30"/>
      <c r="LX25" s="30"/>
      <c r="LY25" s="30"/>
      <c r="LZ25" s="30"/>
      <c r="MA25" s="30"/>
      <c r="MB25" s="30"/>
      <c r="MC25" s="30"/>
      <c r="MD25" s="30"/>
      <c r="ME25" s="30"/>
      <c r="MF25" s="30"/>
      <c r="MG25" s="30"/>
      <c r="MH25" s="30"/>
      <c r="MI25" s="30"/>
      <c r="MJ25" s="30"/>
      <c r="MK25" s="30"/>
      <c r="ML25" s="30"/>
      <c r="MM25" s="30"/>
      <c r="MN25" s="30"/>
      <c r="MO25" s="30"/>
      <c r="MP25" s="30"/>
      <c r="MQ25" s="30"/>
      <c r="MR25" s="30"/>
      <c r="MS25" s="30"/>
      <c r="MT25" s="30"/>
      <c r="MU25" s="30"/>
      <c r="MV25" s="30"/>
      <c r="MW25" s="30"/>
      <c r="MX25" s="30"/>
      <c r="MY25" s="30"/>
      <c r="MZ25" s="30"/>
      <c r="NA25" s="30"/>
      <c r="NB25" s="30"/>
      <c r="NC25" s="30"/>
      <c r="ND25" s="30"/>
      <c r="NE25" s="30"/>
      <c r="NF25" s="30"/>
      <c r="NG25" s="30"/>
      <c r="NH25" s="30"/>
      <c r="NI25" s="30"/>
      <c r="NJ25" s="30"/>
      <c r="NK25" s="30"/>
      <c r="NL25" s="30"/>
      <c r="NM25" s="30"/>
      <c r="NN25" s="30"/>
      <c r="NO25" s="30"/>
      <c r="NP25" s="30"/>
      <c r="NQ25" s="30"/>
      <c r="NR25" s="30"/>
      <c r="NS25" s="30"/>
      <c r="NT25" s="30"/>
      <c r="NU25" s="30"/>
      <c r="NV25" s="30"/>
      <c r="NW25" s="30"/>
      <c r="NX25" s="30"/>
      <c r="NY25" s="30"/>
      <c r="NZ25" s="30"/>
      <c r="OA25" s="30"/>
      <c r="OB25" s="30"/>
      <c r="OC25" s="30"/>
      <c r="OD25" s="30"/>
      <c r="OE25" s="30"/>
      <c r="OF25" s="30"/>
      <c r="OG25" s="30"/>
      <c r="OH25" s="30"/>
      <c r="OI25" s="30"/>
      <c r="OJ25" s="30"/>
      <c r="OK25" s="30"/>
      <c r="OL25" s="30"/>
      <c r="OM25" s="30"/>
      <c r="ON25" s="30"/>
      <c r="OO25" s="30"/>
      <c r="OP25" s="30"/>
      <c r="OQ25" s="30"/>
      <c r="OR25" s="30"/>
      <c r="OS25" s="30"/>
      <c r="OT25" s="30"/>
      <c r="OU25" s="30"/>
      <c r="OV25" s="30"/>
    </row>
    <row r="26" ht="18.0" customHeight="1">
      <c r="A26" s="29">
        <v>25.0</v>
      </c>
      <c r="B26" s="30" t="s">
        <v>1564</v>
      </c>
      <c r="C26" s="31" t="s">
        <v>2296</v>
      </c>
      <c r="D26" s="30" t="s">
        <v>1966</v>
      </c>
      <c r="E26" s="29">
        <v>30.0</v>
      </c>
      <c r="F26" s="29">
        <f>COUNTIF('Tổng hợp 75 trang đích'!$B$2:$B$3400,$D26)</f>
        <v>30</v>
      </c>
      <c r="G26" s="29">
        <f>COUNTIFS('Tổng hợp 75 trang đích'!$B$2:$B$3400,$D26,'Tổng hợp 75 trang đích'!$K$2:$K$3400,"PHÙ HỢP CAO")</f>
        <v>1</v>
      </c>
      <c r="H26" s="29">
        <f>COUNTIFS('Tổng hợp 75 trang đích'!$B$2:$B$3400,$D26,'Tổng hợp 75 trang đích'!$K$2:$K$3400,"CÓ THỂ ĐI")</f>
        <v>6</v>
      </c>
      <c r="I26" s="29">
        <f>COUNTIFS('Tổng hợp 75 trang đích'!$B$2:$B$3400,$D26,'Tổng hợp 75 trang đích'!$K$2:$K$3400,"CẦN SOÁT")</f>
        <v>23</v>
      </c>
      <c r="J26" s="32" t="s">
        <v>714</v>
      </c>
      <c r="K26" s="32" t="b">
        <v>0</v>
      </c>
      <c r="L26" s="33" t="s">
        <v>52</v>
      </c>
      <c r="M26" s="30" t="str">
        <f>IFERROR(__xludf.DUMMYFUNCTION("IFERROR(TOROW(CHOOSECOLS(SORT(FILTER({'Tổng hợp 75 trang đích'!$J$2:$J$3400,'Tổng hợp 75 trang đích'!$I$2:$I$3400,MATCH('Tổng hợp 75 trang đích'!$K$2:$K$3400,{""PHÙ HỢP CAO"",""CÓ THỂ ĐI"",""CẦN SOÁT""},0)},'Tổng hợp 75 trang đích'!$B$2:$B$3400=$D26),3,TR"&amp;"UE),1,2)),"""")"),"rút tiền không cần thẻ")</f>
        <v>rút tiền không cần thẻ</v>
      </c>
      <c r="N26" s="34" t="str">
        <f>IFERROR(__xludf.DUMMYFUNCTION("""COMPUTED_VALUE"""),"https://techcombank.com/thong-tin/blog/the-atm-khong-rut-duoc-tien")</f>
        <v>https://techcombank.com/thong-tin/blog/the-atm-khong-rut-duoc-tien</v>
      </c>
      <c r="O26" s="30" t="str">
        <f>IFERROR(__xludf.DUMMYFUNCTION("""COMPUTED_VALUE"""),"rút tiền không cần thẻ")</f>
        <v>rút tiền không cần thẻ</v>
      </c>
      <c r="P26" s="34" t="str">
        <f>IFERROR(__xludf.DUMMYFUNCTION("""COMPUTED_VALUE"""),"https://techcombank.com/thong-tin/blog/cach-su-dung-the-ghi-no")</f>
        <v>https://techcombank.com/thong-tin/blog/cach-su-dung-the-ghi-no</v>
      </c>
      <c r="Q26" s="30" t="str">
        <f>IFERROR(__xludf.DUMMYFUNCTION("""COMPUTED_VALUE"""),"rút tiền không cần thẻ")</f>
        <v>rút tiền không cần thẻ</v>
      </c>
      <c r="R26" s="34" t="str">
        <f>IFERROR(__xludf.DUMMYFUNCTION("""COMPUTED_VALUE"""),"https://techcombank.com/thong-tin/blog/the-ghi-no-co-rut-tien-duoc-khong")</f>
        <v>https://techcombank.com/thong-tin/blog/the-ghi-no-co-rut-tien-duoc-khong</v>
      </c>
      <c r="S26" s="30" t="str">
        <f>IFERROR(__xludf.DUMMYFUNCTION("""COMPUTED_VALUE"""),"rút tiền bằng mã QR")</f>
        <v>rút tiền bằng mã QR</v>
      </c>
      <c r="T26" s="34" t="str">
        <f>IFERROR(__xludf.DUMMYFUNCTION("""COMPUTED_VALUE"""),"https://techcombank.com/thong-tin/blog/thue-ho-kinh-doanh-2025")</f>
        <v>https://techcombank.com/thong-tin/blog/thue-ho-kinh-doanh-2025</v>
      </c>
      <c r="U26" s="30" t="str">
        <f>IFERROR(__xludf.DUMMYFUNCTION("""COMPUTED_VALUE"""),"rút tiền không cần thẻ")</f>
        <v>rút tiền không cần thẻ</v>
      </c>
      <c r="V26" s="34" t="str">
        <f>IFERROR(__xludf.DUMMYFUNCTION("""COMPUTED_VALUE"""),"https://techcombank.com/thong-tin/blog/cach-kich-hoat-the-atm")</f>
        <v>https://techcombank.com/thong-tin/blog/cach-kich-hoat-the-atm</v>
      </c>
      <c r="W26" s="30" t="str">
        <f>IFERROR(__xludf.DUMMYFUNCTION("""COMPUTED_VALUE"""),"rút tiền không cần thẻ")</f>
        <v>rút tiền không cần thẻ</v>
      </c>
      <c r="X26" s="34" t="str">
        <f>IFERROR(__xludf.DUMMYFUNCTION("""COMPUTED_VALUE"""),"https://techcombank.com/thong-tin/blog/so-tai-khoan-ngan-hang")</f>
        <v>https://techcombank.com/thong-tin/blog/so-tai-khoan-ngan-hang</v>
      </c>
      <c r="Y26" s="30" t="str">
        <f>IFERROR(__xludf.DUMMYFUNCTION("""COMPUTED_VALUE"""),"rút tiền bằng mã QR")</f>
        <v>rút tiền bằng mã QR</v>
      </c>
      <c r="Z26" s="34" t="str">
        <f>IFERROR(__xludf.DUMMYFUNCTION("""COMPUTED_VALUE"""),"https://techcombank.com/thong-tin/blog/app-ngan-hang-uy-tin")</f>
        <v>https://techcombank.com/thong-tin/blog/app-ngan-hang-uy-tin</v>
      </c>
      <c r="AA26" s="30" t="str">
        <f>IFERROR(__xludf.DUMMYFUNCTION("""COMPUTED_VALUE"""),"cách rút tiền bằng mã QR")</f>
        <v>cách rút tiền bằng mã QR</v>
      </c>
      <c r="AB26" s="34" t="str">
        <f>IFERROR(__xludf.DUMMYFUNCTION("""COMPUTED_VALUE"""),"https://techcombank.com/thong-tin/blog/quet-ma-qr-techcombank")</f>
        <v>https://techcombank.com/thong-tin/blog/quet-ma-qr-techcombank</v>
      </c>
      <c r="AC26" s="30" t="str">
        <f>IFERROR(__xludf.DUMMYFUNCTION("""COMPUTED_VALUE"""),"cách rút tiền bằng mã QR")</f>
        <v>cách rút tiền bằng mã QR</v>
      </c>
      <c r="AD26" s="34" t="str">
        <f>IFERROR(__xludf.DUMMYFUNCTION("""COMPUTED_VALUE"""),"https://techcombank.com/thong-tin/blog/gui-ma-qr-ngan-hang")</f>
        <v>https://techcombank.com/thong-tin/blog/gui-ma-qr-ngan-hang</v>
      </c>
      <c r="AE26" s="30" t="str">
        <f>IFERROR(__xludf.DUMMYFUNCTION("""COMPUTED_VALUE"""),"cách rút tiền bằng mã QR")</f>
        <v>cách rút tiền bằng mã QR</v>
      </c>
      <c r="AF26" s="34" t="str">
        <f>IFERROR(__xludf.DUMMYFUNCTION("""COMPUTED_VALUE"""),"https://techcombank.com/thong-tin/blog/cach-tao-ma-qr")</f>
        <v>https://techcombank.com/thong-tin/blog/cach-tao-ma-qr</v>
      </c>
      <c r="AG26" s="30" t="str">
        <f>IFERROR(__xludf.DUMMYFUNCTION("""COMPUTED_VALUE"""),"rút tiền bằng mã QR")</f>
        <v>rút tiền bằng mã QR</v>
      </c>
      <c r="AH26" s="34" t="str">
        <f>IFERROR(__xludf.DUMMYFUNCTION("""COMPUTED_VALUE"""),"https://techcombank.com/thong-tin/blog/tao-ma-qr-thanh-toan-cho-cua-hang")</f>
        <v>https://techcombank.com/thong-tin/blog/tao-ma-qr-thanh-toan-cho-cua-hang</v>
      </c>
      <c r="AI26" s="30" t="str">
        <f>IFERROR(__xludf.DUMMYFUNCTION("""COMPUTED_VALUE"""),"rút tiền bằng mã QR")</f>
        <v>rút tiền bằng mã QR</v>
      </c>
      <c r="AJ26" s="34" t="str">
        <f>IFERROR(__xludf.DUMMYFUNCTION("""COMPUTED_VALUE"""),"https://techcombank.com/thong-tin/blog/pos")</f>
        <v>https://techcombank.com/thong-tin/blog/pos</v>
      </c>
      <c r="AK26" s="30" t="str">
        <f>IFERROR(__xludf.DUMMYFUNCTION("""COMPUTED_VALUE"""),"rút tiền không cần thẻ")</f>
        <v>rút tiền không cần thẻ</v>
      </c>
      <c r="AL26" s="34" t="str">
        <f>IFERROR(__xludf.DUMMYFUNCTION("""COMPUTED_VALUE"""),"https://techcombank.com/thong-tin/blog/softpos")</f>
        <v>https://techcombank.com/thong-tin/blog/softpos</v>
      </c>
      <c r="AM26" s="30" t="str">
        <f>IFERROR(__xludf.DUMMYFUNCTION("""COMPUTED_VALUE"""),"cách rút tiền bằng mã QR")</f>
        <v>cách rút tiền bằng mã QR</v>
      </c>
      <c r="AN26" s="34" t="str">
        <f>IFERROR(__xludf.DUMMYFUNCTION("""COMPUTED_VALUE"""),"https://techcombank.com/thong-tin/blog/ma-qr-ngan-hang-khong-hop-le")</f>
        <v>https://techcombank.com/thong-tin/blog/ma-qr-ngan-hang-khong-hop-le</v>
      </c>
      <c r="AO26" s="30" t="str">
        <f>IFERROR(__xludf.DUMMYFUNCTION("""COMPUTED_VALUE"""),"rút tiền không cần thẻ")</f>
        <v>rút tiền không cần thẻ</v>
      </c>
      <c r="AP26" s="34" t="str">
        <f>IFERROR(__xludf.DUMMYFUNCTION("""COMPUTED_VALUE"""),"https://techcombank.com/thong-tin/blog/rut-tien-mat-tu-tai-khoan-doanh-nghiep")</f>
        <v>https://techcombank.com/thong-tin/blog/rut-tien-mat-tu-tai-khoan-doanh-nghiep</v>
      </c>
      <c r="AQ26" s="30" t="str">
        <f>IFERROR(__xludf.DUMMYFUNCTION("""COMPUTED_VALUE"""),"rút tiền không cần thẻ")</f>
        <v>rút tiền không cần thẻ</v>
      </c>
      <c r="AR26" s="34" t="str">
        <f>IFERROR(__xludf.DUMMYFUNCTION("""COMPUTED_VALUE"""),"https://techcombank.com/thong-tin/blog/in-ma-qr-ngan-hang")</f>
        <v>https://techcombank.com/thong-tin/blog/in-ma-qr-ngan-hang</v>
      </c>
      <c r="AS26" s="30" t="str">
        <f>IFERROR(__xludf.DUMMYFUNCTION("""COMPUTED_VALUE"""),"rút tiền không cần thẻ")</f>
        <v>rút tiền không cần thẻ</v>
      </c>
      <c r="AT26" s="34" t="str">
        <f>IFERROR(__xludf.DUMMYFUNCTION("""COMPUTED_VALUE"""),"https://techcombank.com/thong-tin/blog/mm-yy-la-gi")</f>
        <v>https://techcombank.com/thong-tin/blog/mm-yy-la-gi</v>
      </c>
      <c r="AU26" s="30" t="str">
        <f>IFERROR(__xludf.DUMMYFUNCTION("""COMPUTED_VALUE"""),"rút tiền không cần thẻ")</f>
        <v>rút tiền không cần thẻ</v>
      </c>
      <c r="AV26" s="34" t="str">
        <f>IFERROR(__xludf.DUMMYFUNCTION("""COMPUTED_VALUE"""),"https://techcombank.com/thong-tin/blog/cdm")</f>
        <v>https://techcombank.com/thong-tin/blog/cdm</v>
      </c>
      <c r="AW26" s="30" t="str">
        <f>IFERROR(__xludf.DUMMYFUNCTION("""COMPUTED_VALUE"""),"cách rút tiền bằng mã QR")</f>
        <v>cách rút tiền bằng mã QR</v>
      </c>
      <c r="AX26" s="34" t="str">
        <f>IFERROR(__xludf.DUMMYFUNCTION("""COMPUTED_VALUE"""),"https://techcombank.com/thong-tin/blog/ma-qr-lam-gia-duoc-khong")</f>
        <v>https://techcombank.com/thong-tin/blog/ma-qr-lam-gia-duoc-khong</v>
      </c>
      <c r="AY26" s="30" t="str">
        <f>IFERROR(__xludf.DUMMYFUNCTION("""COMPUTED_VALUE"""),"cách rút tiền bằng mã QR")</f>
        <v>cách rút tiền bằng mã QR</v>
      </c>
      <c r="AZ26" s="34" t="str">
        <f>IFERROR(__xludf.DUMMYFUNCTION("""COMPUTED_VALUE"""),"https://techcombank.com/thong-tin/blog/ma-qr-techcombank")</f>
        <v>https://techcombank.com/thong-tin/blog/ma-qr-techcombank</v>
      </c>
      <c r="BA26" s="30" t="str">
        <f>IFERROR(__xludf.DUMMYFUNCTION("""COMPUTED_VALUE"""),"cách rút tiền bằng mã QR")</f>
        <v>cách rút tiền bằng mã QR</v>
      </c>
      <c r="BB26" s="34" t="str">
        <f>IFERROR(__xludf.DUMMYFUNCTION("""COMPUTED_VALUE"""),"https://techcombank.com/thong-tin/blog/cach-su-dung-tai-khoan-cong-ty")</f>
        <v>https://techcombank.com/thong-tin/blog/cach-su-dung-tai-khoan-cong-ty</v>
      </c>
      <c r="BC26" s="30" t="str">
        <f>IFERROR(__xludf.DUMMYFUNCTION("""COMPUTED_VALUE"""),"rút tiền bằng mã QR")</f>
        <v>rút tiền bằng mã QR</v>
      </c>
      <c r="BD26" s="34" t="str">
        <f>IFERROR(__xludf.DUMMYFUNCTION("""COMPUTED_VALUE"""),"https://techcombank.com/thong-tin/blog/qr-code-doanh-nghiep")</f>
        <v>https://techcombank.com/thong-tin/blog/qr-code-doanh-nghiep</v>
      </c>
      <c r="BE26" s="30" t="str">
        <f>IFERROR(__xludf.DUMMYFUNCTION("""COMPUTED_VALUE"""),"cách rút tiền bằng mã QR")</f>
        <v>cách rút tiền bằng mã QR</v>
      </c>
      <c r="BF26" s="34" t="str">
        <f>IFERROR(__xludf.DUMMYFUNCTION("""COMPUTED_VALUE"""),"https://techcombank.com/thong-tin/blog/thanh-toan-bang-ma-qr")</f>
        <v>https://techcombank.com/thong-tin/blog/thanh-toan-bang-ma-qr</v>
      </c>
      <c r="BG26" s="30" t="str">
        <f>IFERROR(__xludf.DUMMYFUNCTION("""COMPUTED_VALUE"""),"cách rút tiền bằng mã QR")</f>
        <v>cách rút tiền bằng mã QR</v>
      </c>
      <c r="BH26" s="34" t="str">
        <f>IFERROR(__xludf.DUMMYFUNCTION("""COMPUTED_VALUE"""),"https://techcombank.com/thong-tin/blog/lam-ma-qr-ngan-hang-co-mat-phi-khong")</f>
        <v>https://techcombank.com/thong-tin/blog/lam-ma-qr-ngan-hang-co-mat-phi-khong</v>
      </c>
      <c r="BI26" s="30" t="str">
        <f>IFERROR(__xludf.DUMMYFUNCTION("""COMPUTED_VALUE"""),"cách rút tiền bằng mã QR")</f>
        <v>cách rút tiền bằng mã QR</v>
      </c>
      <c r="BJ26" s="34" t="str">
        <f>IFERROR(__xludf.DUMMYFUNCTION("""COMPUTED_VALUE"""),"https://techcombank.com/thong-tin/blog/cach-tao-ma-qr-code-mien-phi")</f>
        <v>https://techcombank.com/thong-tin/blog/cach-tao-ma-qr-code-mien-phi</v>
      </c>
      <c r="BK26" s="30" t="str">
        <f>IFERROR(__xludf.DUMMYFUNCTION("""COMPUTED_VALUE"""),"rút tiền bằng mã QR")</f>
        <v>rút tiền bằng mã QR</v>
      </c>
      <c r="BL26" s="34" t="str">
        <f>IFERROR(__xludf.DUMMYFUNCTION("""COMPUTED_VALUE"""),"https://techcombank.com/thong-tin/blog/qr-dong")</f>
        <v>https://techcombank.com/thong-tin/blog/qr-dong</v>
      </c>
      <c r="BM26" s="30" t="str">
        <f>IFERROR(__xludf.DUMMYFUNCTION("""COMPUTED_VALUE"""),"rút tiền không cần thẻ")</f>
        <v>rút tiền không cần thẻ</v>
      </c>
      <c r="BN26" s="34" t="str">
        <f>IFERROR(__xludf.DUMMYFUNCTION("""COMPUTED_VALUE"""),"https://techcombank.com/thong-tin/blog/lam-the-atm-co-mat-phi-khong")</f>
        <v>https://techcombank.com/thong-tin/blog/lam-the-atm-co-mat-phi-khong</v>
      </c>
      <c r="BO26" s="30" t="str">
        <f>IFERROR(__xludf.DUMMYFUNCTION("""COMPUTED_VALUE"""),"rút tiền không cần thẻ")</f>
        <v>rút tiền không cần thẻ</v>
      </c>
      <c r="BP26" s="34" t="str">
        <f>IFERROR(__xludf.DUMMYFUNCTION("""COMPUTED_VALUE"""),"https://techcombank.com/thong-tin/blog/nap-tien-vao-tai-khoan-ngan-hang")</f>
        <v>https://techcombank.com/thong-tin/blog/nap-tien-vao-tai-khoan-ngan-hang</v>
      </c>
      <c r="BQ26" s="30" t="str">
        <f>IFERROR(__xludf.DUMMYFUNCTION("""COMPUTED_VALUE"""),"rút tiền bằng mã QR")</f>
        <v>rút tiền bằng mã QR</v>
      </c>
      <c r="BR26" s="34" t="str">
        <f>IFERROR(__xludf.DUMMYFUNCTION("""COMPUTED_VALUE"""),"https://techcombank.com/thong-tin/blog/thanh-toan-ma-qr-tro-thanh-phuong-thuc-duoc-ua-chuong-va-trien-khai-manh-me")</f>
        <v>https://techcombank.com/thong-tin/blog/thanh-toan-ma-qr-tro-thanh-phuong-thuc-duoc-ua-chuong-va-trien-khai-manh-me</v>
      </c>
      <c r="BS26" s="30" t="str">
        <f>IFERROR(__xludf.DUMMYFUNCTION("""COMPUTED_VALUE"""),"rút tiền không cần thẻ")</f>
        <v>rút tiền không cần thẻ</v>
      </c>
      <c r="BT26" s="34" t="str">
        <f>IFERROR(__xludf.DUMMYFUNCTION("""COMPUTED_VALUE"""),"https://techcombank.com/thong-tin/blog/tra-cuu-han-muc-the-tin-dung")</f>
        <v>https://techcombank.com/thong-tin/blog/tra-cuu-han-muc-the-tin-dung</v>
      </c>
      <c r="BU26" s="30"/>
      <c r="BV26" s="30"/>
      <c r="BW26" s="30"/>
      <c r="BX26" s="30"/>
      <c r="BY26" s="30"/>
      <c r="BZ26" s="30"/>
      <c r="CA26" s="30"/>
      <c r="CB26" s="30"/>
      <c r="CC26" s="30"/>
      <c r="CD26" s="30"/>
      <c r="CE26" s="30"/>
      <c r="CF26" s="30"/>
      <c r="CG26" s="30"/>
      <c r="CH26" s="30"/>
      <c r="CI26" s="30"/>
      <c r="CJ26" s="30"/>
      <c r="CK26" s="30"/>
      <c r="CL26" s="30"/>
      <c r="CM26" s="30"/>
      <c r="CN26" s="30"/>
      <c r="CO26" s="30"/>
      <c r="CP26" s="30"/>
      <c r="CQ26" s="30"/>
      <c r="CR26" s="30"/>
      <c r="CS26" s="30"/>
      <c r="CT26" s="30"/>
      <c r="CU26" s="30"/>
      <c r="CV26" s="30"/>
      <c r="CW26" s="30"/>
      <c r="CX26" s="30"/>
      <c r="CY26" s="30"/>
      <c r="CZ26" s="30"/>
      <c r="DA26" s="30"/>
      <c r="DB26" s="30"/>
      <c r="DC26" s="30"/>
      <c r="DD26" s="30"/>
      <c r="DE26" s="30"/>
      <c r="DF26" s="30"/>
      <c r="DG26" s="30"/>
      <c r="DH26" s="30"/>
      <c r="DI26" s="30"/>
      <c r="DJ26" s="30"/>
      <c r="DK26" s="30"/>
      <c r="DL26" s="30"/>
      <c r="DM26" s="30"/>
      <c r="DN26" s="30"/>
      <c r="DO26" s="30"/>
      <c r="DP26" s="30"/>
      <c r="DQ26" s="30"/>
      <c r="DR26" s="30"/>
      <c r="DS26" s="30"/>
      <c r="DT26" s="30"/>
      <c r="DU26" s="30"/>
      <c r="DV26" s="30"/>
      <c r="DW26" s="30"/>
      <c r="DX26" s="30"/>
      <c r="DY26" s="30"/>
      <c r="DZ26" s="30"/>
      <c r="EA26" s="30"/>
      <c r="EB26" s="30"/>
      <c r="EC26" s="30"/>
      <c r="ED26" s="30"/>
      <c r="EE26" s="30"/>
      <c r="EF26" s="30"/>
      <c r="EG26" s="30"/>
      <c r="EH26" s="30"/>
      <c r="EI26" s="30"/>
      <c r="EJ26" s="30"/>
      <c r="EK26" s="30"/>
      <c r="EL26" s="30"/>
      <c r="EM26" s="30"/>
      <c r="EN26" s="30"/>
      <c r="EO26" s="30"/>
      <c r="EP26" s="30"/>
      <c r="EQ26" s="30"/>
      <c r="ER26" s="30"/>
      <c r="ES26" s="30"/>
      <c r="ET26" s="30"/>
      <c r="EU26" s="30"/>
      <c r="EV26" s="30"/>
      <c r="EW26" s="30"/>
      <c r="EX26" s="30"/>
      <c r="EY26" s="30"/>
      <c r="EZ26" s="30"/>
      <c r="FA26" s="30"/>
      <c r="FB26" s="30"/>
      <c r="FC26" s="30"/>
      <c r="FD26" s="30"/>
      <c r="FE26" s="30"/>
      <c r="FF26" s="30"/>
      <c r="FG26" s="30"/>
      <c r="FH26" s="30"/>
      <c r="FI26" s="30"/>
      <c r="FJ26" s="30"/>
      <c r="FK26" s="30"/>
      <c r="FL26" s="30"/>
      <c r="FM26" s="30"/>
      <c r="FN26" s="30"/>
      <c r="FO26" s="30"/>
      <c r="FP26" s="30"/>
      <c r="FQ26" s="30"/>
      <c r="FR26" s="30"/>
      <c r="FS26" s="30"/>
      <c r="FT26" s="30"/>
      <c r="FU26" s="30"/>
      <c r="FV26" s="30"/>
      <c r="FW26" s="30"/>
      <c r="FX26" s="30"/>
      <c r="FY26" s="30"/>
      <c r="FZ26" s="30"/>
      <c r="GA26" s="30"/>
      <c r="GB26" s="30"/>
      <c r="GC26" s="30"/>
      <c r="GD26" s="30"/>
      <c r="GE26" s="30"/>
      <c r="GF26" s="30"/>
      <c r="GG26" s="30"/>
      <c r="GH26" s="30"/>
      <c r="GI26" s="30"/>
      <c r="GJ26" s="30"/>
      <c r="GK26" s="30"/>
      <c r="GL26" s="30"/>
      <c r="GM26" s="30"/>
      <c r="GN26" s="30"/>
      <c r="GO26" s="30"/>
      <c r="GP26" s="30"/>
      <c r="GQ26" s="30"/>
      <c r="GR26" s="30"/>
      <c r="GS26" s="30"/>
      <c r="GT26" s="30"/>
      <c r="GU26" s="30"/>
      <c r="GV26" s="30"/>
      <c r="GW26" s="30"/>
      <c r="GX26" s="30"/>
      <c r="GY26" s="30"/>
      <c r="GZ26" s="30"/>
      <c r="HA26" s="30"/>
      <c r="HB26" s="30"/>
      <c r="HC26" s="30"/>
      <c r="HD26" s="30"/>
      <c r="HE26" s="30"/>
      <c r="HF26" s="30"/>
      <c r="HG26" s="30"/>
      <c r="HH26" s="30"/>
      <c r="HI26" s="30"/>
      <c r="HJ26" s="30"/>
      <c r="HK26" s="30"/>
      <c r="HL26" s="30"/>
      <c r="HM26" s="30"/>
      <c r="HN26" s="30"/>
      <c r="HO26" s="30"/>
      <c r="HP26" s="30"/>
      <c r="HQ26" s="30"/>
      <c r="HR26" s="30"/>
      <c r="HS26" s="30"/>
      <c r="HT26" s="30"/>
      <c r="HU26" s="30"/>
      <c r="HV26" s="30"/>
      <c r="HW26" s="30"/>
      <c r="HX26" s="30"/>
      <c r="HY26" s="30"/>
      <c r="HZ26" s="30"/>
      <c r="IA26" s="30"/>
      <c r="IB26" s="30"/>
      <c r="IC26" s="30"/>
      <c r="ID26" s="30"/>
      <c r="IE26" s="30"/>
      <c r="IF26" s="30"/>
      <c r="IG26" s="30"/>
      <c r="IH26" s="30"/>
      <c r="II26" s="30"/>
      <c r="IJ26" s="30"/>
      <c r="IK26" s="30"/>
      <c r="IL26" s="30"/>
      <c r="IM26" s="30"/>
      <c r="IN26" s="30"/>
      <c r="IO26" s="30"/>
      <c r="IP26" s="30"/>
      <c r="IQ26" s="30"/>
      <c r="IR26" s="30"/>
      <c r="IS26" s="30"/>
      <c r="IT26" s="30"/>
      <c r="IU26" s="30"/>
      <c r="IV26" s="30"/>
      <c r="IW26" s="30"/>
      <c r="IX26" s="30"/>
      <c r="IY26" s="30"/>
      <c r="IZ26" s="30"/>
      <c r="JA26" s="30"/>
      <c r="JB26" s="30"/>
      <c r="JC26" s="30"/>
      <c r="JD26" s="30"/>
      <c r="JE26" s="30"/>
      <c r="JF26" s="30"/>
      <c r="JG26" s="30"/>
      <c r="JH26" s="30"/>
      <c r="JI26" s="30"/>
      <c r="JJ26" s="30"/>
      <c r="JK26" s="30"/>
      <c r="JL26" s="30"/>
      <c r="JM26" s="30"/>
      <c r="JN26" s="30"/>
      <c r="JO26" s="30"/>
      <c r="JP26" s="30"/>
      <c r="JQ26" s="30"/>
      <c r="JR26" s="30"/>
      <c r="JS26" s="30"/>
      <c r="JT26" s="30"/>
      <c r="JU26" s="30"/>
      <c r="JV26" s="30"/>
      <c r="JW26" s="30"/>
      <c r="JX26" s="30"/>
      <c r="JY26" s="30"/>
      <c r="JZ26" s="30"/>
      <c r="KA26" s="30"/>
      <c r="KB26" s="30"/>
      <c r="KC26" s="30"/>
      <c r="KD26" s="30"/>
      <c r="KE26" s="30"/>
      <c r="KF26" s="30"/>
      <c r="KG26" s="30"/>
      <c r="KH26" s="30"/>
      <c r="KI26" s="30"/>
      <c r="KJ26" s="30"/>
      <c r="KK26" s="30"/>
      <c r="KL26" s="30"/>
      <c r="KM26" s="30"/>
      <c r="KN26" s="30"/>
      <c r="KO26" s="30"/>
      <c r="KP26" s="30"/>
      <c r="KQ26" s="30"/>
      <c r="KR26" s="30"/>
      <c r="KS26" s="30"/>
      <c r="KT26" s="30"/>
      <c r="KU26" s="30"/>
      <c r="KV26" s="30"/>
      <c r="KW26" s="30"/>
      <c r="KX26" s="30"/>
      <c r="KY26" s="30"/>
      <c r="KZ26" s="30"/>
      <c r="LA26" s="30"/>
      <c r="LB26" s="30"/>
      <c r="LC26" s="30"/>
      <c r="LD26" s="30"/>
      <c r="LE26" s="30"/>
      <c r="LF26" s="30"/>
      <c r="LG26" s="30"/>
      <c r="LH26" s="30"/>
      <c r="LI26" s="30"/>
      <c r="LJ26" s="30"/>
      <c r="LK26" s="30"/>
      <c r="LL26" s="30"/>
      <c r="LM26" s="30"/>
      <c r="LN26" s="30"/>
      <c r="LO26" s="30"/>
      <c r="LP26" s="30"/>
      <c r="LQ26" s="30"/>
      <c r="LR26" s="30"/>
      <c r="LS26" s="30"/>
      <c r="LT26" s="30"/>
      <c r="LU26" s="30"/>
      <c r="LV26" s="30"/>
      <c r="LW26" s="30"/>
      <c r="LX26" s="30"/>
      <c r="LY26" s="30"/>
      <c r="LZ26" s="30"/>
      <c r="MA26" s="30"/>
      <c r="MB26" s="30"/>
      <c r="MC26" s="30"/>
      <c r="MD26" s="30"/>
      <c r="ME26" s="30"/>
      <c r="MF26" s="30"/>
      <c r="MG26" s="30"/>
      <c r="MH26" s="30"/>
      <c r="MI26" s="30"/>
      <c r="MJ26" s="30"/>
      <c r="MK26" s="30"/>
      <c r="ML26" s="30"/>
      <c r="MM26" s="30"/>
      <c r="MN26" s="30"/>
      <c r="MO26" s="30"/>
      <c r="MP26" s="30"/>
      <c r="MQ26" s="30"/>
      <c r="MR26" s="30"/>
      <c r="MS26" s="30"/>
      <c r="MT26" s="30"/>
      <c r="MU26" s="30"/>
      <c r="MV26" s="30"/>
      <c r="MW26" s="30"/>
      <c r="MX26" s="30"/>
      <c r="MY26" s="30"/>
      <c r="MZ26" s="30"/>
      <c r="NA26" s="30"/>
      <c r="NB26" s="30"/>
      <c r="NC26" s="30"/>
      <c r="ND26" s="30"/>
      <c r="NE26" s="30"/>
      <c r="NF26" s="30"/>
      <c r="NG26" s="30"/>
      <c r="NH26" s="30"/>
      <c r="NI26" s="30"/>
      <c r="NJ26" s="30"/>
      <c r="NK26" s="30"/>
      <c r="NL26" s="30"/>
      <c r="NM26" s="30"/>
      <c r="NN26" s="30"/>
      <c r="NO26" s="30"/>
      <c r="NP26" s="30"/>
      <c r="NQ26" s="30"/>
      <c r="NR26" s="30"/>
      <c r="NS26" s="30"/>
      <c r="NT26" s="30"/>
      <c r="NU26" s="30"/>
      <c r="NV26" s="30"/>
      <c r="NW26" s="30"/>
      <c r="NX26" s="30"/>
      <c r="NY26" s="30"/>
      <c r="NZ26" s="30"/>
      <c r="OA26" s="30"/>
      <c r="OB26" s="30"/>
      <c r="OC26" s="30"/>
      <c r="OD26" s="30"/>
      <c r="OE26" s="30"/>
      <c r="OF26" s="30"/>
      <c r="OG26" s="30"/>
      <c r="OH26" s="30"/>
      <c r="OI26" s="30"/>
      <c r="OJ26" s="30"/>
      <c r="OK26" s="30"/>
      <c r="OL26" s="30"/>
      <c r="OM26" s="30"/>
      <c r="ON26" s="30"/>
      <c r="OO26" s="30"/>
      <c r="OP26" s="30"/>
      <c r="OQ26" s="30"/>
      <c r="OR26" s="30"/>
      <c r="OS26" s="30"/>
      <c r="OT26" s="30"/>
      <c r="OU26" s="30"/>
      <c r="OV26" s="30"/>
    </row>
    <row r="27" ht="18.0" customHeight="1">
      <c r="A27" s="29">
        <v>26.0</v>
      </c>
      <c r="B27" s="30" t="s">
        <v>1564</v>
      </c>
      <c r="C27" s="31" t="s">
        <v>2403</v>
      </c>
      <c r="D27" s="30" t="s">
        <v>1905</v>
      </c>
      <c r="E27" s="29">
        <v>30.0</v>
      </c>
      <c r="F27" s="29">
        <f>COUNTIF('Tổng hợp 75 trang đích'!$B$2:$B$3400,$D27)</f>
        <v>30</v>
      </c>
      <c r="G27" s="29">
        <f>COUNTIFS('Tổng hợp 75 trang đích'!$B$2:$B$3400,$D27,'Tổng hợp 75 trang đích'!$K$2:$K$3400,"PHÙ HỢP CAO")</f>
        <v>3</v>
      </c>
      <c r="H27" s="29">
        <f>COUNTIFS('Tổng hợp 75 trang đích'!$B$2:$B$3400,$D27,'Tổng hợp 75 trang đích'!$K$2:$K$3400,"CÓ THỂ ĐI")</f>
        <v>1</v>
      </c>
      <c r="I27" s="29">
        <f>COUNTIFS('Tổng hợp 75 trang đích'!$B$2:$B$3400,$D27,'Tổng hợp 75 trang đích'!$K$2:$K$3400,"CẦN SOÁT")</f>
        <v>10</v>
      </c>
      <c r="J27" s="32" t="s">
        <v>714</v>
      </c>
      <c r="K27" s="32" t="b">
        <v>0</v>
      </c>
      <c r="L27" s="33" t="s">
        <v>52</v>
      </c>
      <c r="M27" s="30" t="str">
        <f>IFERROR(__xludf.DUMMYFUNCTION("IFERROR(TOROW(CHOOSECOLS(SORT(FILTER({'Tổng hợp 75 trang đích'!$J$2:$J$3400,'Tổng hợp 75 trang đích'!$I$2:$I$3400,MATCH('Tổng hợp 75 trang đích'!$K$2:$K$3400,{""PHÙ HỢP CAO"",""CÓ THỂ ĐI"",""CẦN SOÁT""},0)},'Tổng hợp 75 trang đích'!$B$2:$B$3400=$D27),3,TR"&amp;"UE),1,2)),"""")"),"quét NFC CCCD")</f>
        <v>quét NFC CCCD</v>
      </c>
      <c r="N27" s="34" t="str">
        <f>IFERROR(__xludf.DUMMYFUNCTION("""COMPUTED_VALUE"""),"https://techcombank.com/thong-tin/blog/xac-thuc-sinh-trac-hoc-khi-chuyen-tien")</f>
        <v>https://techcombank.com/thong-tin/blog/xac-thuc-sinh-trac-hoc-khi-chuyen-tien</v>
      </c>
      <c r="O27" s="30" t="str">
        <f>IFERROR(__xludf.DUMMYFUNCTION("""COMPUTED_VALUE"""),"quét NFC CCCD")</f>
        <v>quét NFC CCCD</v>
      </c>
      <c r="P27" s="34" t="str">
        <f>IFERROR(__xludf.DUMMYFUNCTION("""COMPUTED_VALUE"""),"https://techcombank.com/thong-tin/blog/ekyc-la-gi")</f>
        <v>https://techcombank.com/thong-tin/blog/ekyc-la-gi</v>
      </c>
      <c r="Q27" s="30" t="str">
        <f>IFERROR(__xludf.DUMMYFUNCTION("""COMPUTED_VALUE"""),"cách quét NFC căn cước")</f>
        <v>cách quét NFC căn cước</v>
      </c>
      <c r="R27" s="34" t="str">
        <f>IFERROR(__xludf.DUMMYFUNCTION("""COMPUTED_VALUE"""),"https://techcombank.com/thong-tin/blog/cach-dang-ky-dinh-danh-muc-2")</f>
        <v>https://techcombank.com/thong-tin/blog/cach-dang-ky-dinh-danh-muc-2</v>
      </c>
      <c r="S27" s="30" t="str">
        <f>IFERROR(__xludf.DUMMYFUNCTION("""COMPUTED_VALUE"""),"quét NFC CCCD")</f>
        <v>quét NFC CCCD</v>
      </c>
      <c r="T27" s="34" t="str">
        <f>IFERROR(__xludf.DUMMYFUNCTION("""COMPUTED_VALUE"""),"https://techcombank.com/thong-tin/blog/mo-tai-khoan-ngan-hang-bang-so-dien-thoai")</f>
        <v>https://techcombank.com/thong-tin/blog/mo-tai-khoan-ngan-hang-bang-so-dien-thoai</v>
      </c>
      <c r="U27" s="30" t="str">
        <f>IFERROR(__xludf.DUMMYFUNCTION("""COMPUTED_VALUE"""),"quét NFC CCCD")</f>
        <v>quét NFC CCCD</v>
      </c>
      <c r="V27" s="34" t="str">
        <f>IFERROR(__xludf.DUMMYFUNCTION("""COMPUTED_VALUE"""),"https://techcombank.com/thong-tin/blog/mo-tai-khoan-ngan-hang-online-co-an-toan-khong")</f>
        <v>https://techcombank.com/thong-tin/blog/mo-tai-khoan-ngan-hang-online-co-an-toan-khong</v>
      </c>
      <c r="W27" s="30" t="str">
        <f>IFERROR(__xludf.DUMMYFUNCTION("""COMPUTED_VALUE"""),"quét NFC CCCD")</f>
        <v>quét NFC CCCD</v>
      </c>
      <c r="X27" s="34" t="str">
        <f>IFERROR(__xludf.DUMMYFUNCTION("""COMPUTED_VALUE"""),"https://techcombank.com/thong-tin/blog/cach-mo-tai-khoan")</f>
        <v>https://techcombank.com/thong-tin/blog/cach-mo-tai-khoan</v>
      </c>
      <c r="Y27" s="30" t="str">
        <f>IFERROR(__xludf.DUMMYFUNCTION("""COMPUTED_VALUE"""),"cách quét NFC căn cước")</f>
        <v>cách quét NFC căn cước</v>
      </c>
      <c r="Z27" s="34" t="str">
        <f>IFERROR(__xludf.DUMMYFUNCTION("""COMPUTED_VALUE"""),"https://techcombank.com/thong-tin/blog/dang-ky-ma-so-thue-ca-nhan")</f>
        <v>https://techcombank.com/thong-tin/blog/dang-ky-ma-so-thue-ca-nhan</v>
      </c>
      <c r="AA27" s="30" t="str">
        <f>IFERROR(__xludf.DUMMYFUNCTION("""COMPUTED_VALUE"""),"quét NFC CCCD")</f>
        <v>quét NFC CCCD</v>
      </c>
      <c r="AB27" s="34" t="str">
        <f>IFERROR(__xludf.DUMMYFUNCTION("""COMPUTED_VALUE"""),"https://techcombank.com/thong-tin/blog/spaylater")</f>
        <v>https://techcombank.com/thong-tin/blog/spaylater</v>
      </c>
      <c r="AC27" s="30" t="str">
        <f>IFERROR(__xludf.DUMMYFUNCTION("""COMPUTED_VALUE"""),"quét NFC CCCD")</f>
        <v>quét NFC CCCD</v>
      </c>
      <c r="AD27" s="34" t="str">
        <f>IFERROR(__xludf.DUMMYFUNCTION("""COMPUTED_VALUE"""),"https://techcombank.com/thong-tin/blog/thanh-toan-khong-cham-tuong-lai-cua-thanh-toan-so-tai-viet-nam")</f>
        <v>https://techcombank.com/thong-tin/blog/thanh-toan-khong-cham-tuong-lai-cua-thanh-toan-so-tai-viet-nam</v>
      </c>
      <c r="AE27" s="30" t="str">
        <f>IFERROR(__xludf.DUMMYFUNCTION("""COMPUTED_VALUE"""),"cách quét NFC căn cước")</f>
        <v>cách quét NFC căn cước</v>
      </c>
      <c r="AF27" s="34" t="str">
        <f>IFERROR(__xludf.DUMMYFUNCTION("""COMPUTED_VALUE"""),"https://techcombank.com/thong-tin/blog/the-mastercard-la-gi")</f>
        <v>https://techcombank.com/thong-tin/blog/the-mastercard-la-gi</v>
      </c>
      <c r="AG27" s="30" t="str">
        <f>IFERROR(__xludf.DUMMYFUNCTION("""COMPUTED_VALUE"""),"cách quét NFC căn cước")</f>
        <v>cách quét NFC căn cước</v>
      </c>
      <c r="AH27" s="34" t="str">
        <f>IFERROR(__xludf.DUMMYFUNCTION("""COMPUTED_VALUE"""),"https://techcombank.com/thong-tin/blog/quy-trinh-gui-tien-tiet-kiem")</f>
        <v>https://techcombank.com/thong-tin/blog/quy-trinh-gui-tien-tiet-kiem</v>
      </c>
      <c r="AI27" s="30" t="str">
        <f>IFERROR(__xludf.DUMMYFUNCTION("""COMPUTED_VALUE"""),"cách quét NFC căn cước")</f>
        <v>cách quét NFC căn cước</v>
      </c>
      <c r="AJ27" s="34" t="str">
        <f>IFERROR(__xludf.DUMMYFUNCTION("""COMPUTED_VALUE"""),"https://techcombank.com/thong-tin/blog/cach-khoa-the-ngan-hang")</f>
        <v>https://techcombank.com/thong-tin/blog/cach-khoa-the-ngan-hang</v>
      </c>
      <c r="AK27" s="30" t="str">
        <f>IFERROR(__xludf.DUMMYFUNCTION("""COMPUTED_VALUE"""),"cách quét NFC căn cước")</f>
        <v>cách quét NFC căn cước</v>
      </c>
      <c r="AL27" s="34" t="str">
        <f>IFERROR(__xludf.DUMMYFUNCTION("""COMPUTED_VALUE"""),"https://techcombank.com/thong-tin/blog/app-vay-tien-nhanh")</f>
        <v>https://techcombank.com/thong-tin/blog/app-vay-tien-nhanh</v>
      </c>
      <c r="AM27" s="30" t="str">
        <f>IFERROR(__xludf.DUMMYFUNCTION("""COMPUTED_VALUE"""),"cách quét NFC căn cước")</f>
        <v>cách quét NFC căn cước</v>
      </c>
      <c r="AN27" s="34" t="str">
        <f>IFERROR(__xludf.DUMMYFUNCTION("""COMPUTED_VALUE"""),"https://techcombank.com/thong-tin/blog/cach-chon-so-tai-khoan-dep")</f>
        <v>https://techcombank.com/thong-tin/blog/cach-chon-so-tai-khoan-dep</v>
      </c>
      <c r="AO27" s="30" t="str">
        <f>IFERROR(__xludf.DUMMYFUNCTION("""COMPUTED_VALUE"""),"quét NFC CCCD trên iPhone")</f>
        <v>quét NFC CCCD trên iPhone</v>
      </c>
      <c r="AP27" s="34" t="str">
        <f>IFERROR(__xludf.DUMMYFUNCTION("""COMPUTED_VALUE"""),"https://techcombank.com/thong-tin/blog/1-cmnd-dang-ky-duoc-may-tai-khoan-ngan-hang")</f>
        <v>https://techcombank.com/thong-tin/blog/1-cmnd-dang-ky-duoc-may-tai-khoan-ngan-hang</v>
      </c>
      <c r="AQ27" s="30" t="str">
        <f>IFERROR(__xludf.DUMMYFUNCTION("""COMPUTED_VALUE"""),"quét NFC CCCD")</f>
        <v>quét NFC CCCD</v>
      </c>
      <c r="AR27" s="34" t="str">
        <f>IFERROR(__xludf.DUMMYFUNCTION("""COMPUTED_VALUE"""),"https://techcombank.com/thong-tin/blog/cach-chuyen-tien")</f>
        <v>https://techcombank.com/thong-tin/blog/cach-chuyen-tien</v>
      </c>
      <c r="AS27" s="30" t="str">
        <f>IFERROR(__xludf.DUMMYFUNCTION("""COMPUTED_VALUE"""),"quét NFC CCCD trên iPhone")</f>
        <v>quét NFC CCCD trên iPhone</v>
      </c>
      <c r="AT27" s="34" t="str">
        <f>IFERROR(__xludf.DUMMYFUNCTION("""COMPUTED_VALUE"""),"https://techcombank.com/thong-tin/blog/the-ghi-no-co-chuyen-khoan-duoc-khong")</f>
        <v>https://techcombank.com/thong-tin/blog/the-ghi-no-co-chuyen-khoan-duoc-khong</v>
      </c>
      <c r="AU27" s="30" t="str">
        <f>IFERROR(__xludf.DUMMYFUNCTION("""COMPUTED_VALUE"""),"quét NFC CCCD trên iPhone")</f>
        <v>quét NFC CCCD trên iPhone</v>
      </c>
      <c r="AV27" s="34" t="str">
        <f>IFERROR(__xludf.DUMMYFUNCTION("""COMPUTED_VALUE"""),"https://techcombank.com/thong-tin/blog/cach-chuyen-khoan-bang-dien-thoai")</f>
        <v>https://techcombank.com/thong-tin/blog/cach-chuyen-khoan-bang-dien-thoai</v>
      </c>
      <c r="AW27" s="30" t="str">
        <f>IFERROR(__xludf.DUMMYFUNCTION("""COMPUTED_VALUE"""),"cách quét NFC căn cước")</f>
        <v>cách quét NFC căn cước</v>
      </c>
      <c r="AX27" s="34" t="str">
        <f>IFERROR(__xludf.DUMMYFUNCTION("""COMPUTED_VALUE"""),"https://techcombank.com/thong-tin/blog/mobile-banking-la-gi")</f>
        <v>https://techcombank.com/thong-tin/blog/mobile-banking-la-gi</v>
      </c>
      <c r="AY27" s="30" t="str">
        <f>IFERROR(__xludf.DUMMYFUNCTION("""COMPUTED_VALUE"""),"quét NFC CCCD")</f>
        <v>quét NFC CCCD</v>
      </c>
      <c r="AZ27" s="34" t="str">
        <f>IFERROR(__xludf.DUMMYFUNCTION("""COMPUTED_VALUE"""),"https://techcombank.com/thong-tin/blog/ngan-hang-thu-huong-la-gi")</f>
        <v>https://techcombank.com/thong-tin/blog/ngan-hang-thu-huong-la-gi</v>
      </c>
      <c r="BA27" s="30" t="str">
        <f>IFERROR(__xludf.DUMMYFUNCTION("""COMPUTED_VALUE"""),"cách quét NFC căn cước")</f>
        <v>cách quét NFC căn cước</v>
      </c>
      <c r="BB27" s="34" t="str">
        <f>IFERROR(__xludf.DUMMYFUNCTION("""COMPUTED_VALUE"""),"https://techcombank.com/thong-tin/blog/cach-chuyen-tien-qua-ma-qr-techcombank")</f>
        <v>https://techcombank.com/thong-tin/blog/cach-chuyen-tien-qua-ma-qr-techcombank</v>
      </c>
      <c r="BC27" s="30" t="str">
        <f>IFERROR(__xludf.DUMMYFUNCTION("""COMPUTED_VALUE"""),"quét NFC CCCD")</f>
        <v>quét NFC CCCD</v>
      </c>
      <c r="BD27" s="34" t="str">
        <f>IFERROR(__xludf.DUMMYFUNCTION("""COMPUTED_VALUE"""),"https://techcombank.com/thong-tin/blog/nap-tien-vao-tai-khoan-ngan-hang")</f>
        <v>https://techcombank.com/thong-tin/blog/nap-tien-vao-tai-khoan-ngan-hang</v>
      </c>
      <c r="BE27" s="30" t="str">
        <f>IFERROR(__xludf.DUMMYFUNCTION("""COMPUTED_VALUE"""),"quét NFC CCCD trên iPhone")</f>
        <v>quét NFC CCCD trên iPhone</v>
      </c>
      <c r="BF27" s="34" t="str">
        <f>IFERROR(__xludf.DUMMYFUNCTION("""COMPUTED_VALUE"""),"https://techcombank.com/thong-tin/blog/uu-dai-mua-iphone-18")</f>
        <v>https://techcombank.com/thong-tin/blog/uu-dai-mua-iphone-18</v>
      </c>
      <c r="BG27" s="30" t="str">
        <f>IFERROR(__xludf.DUMMYFUNCTION("""COMPUTED_VALUE"""),"quét NFC CCCD trên iPhone")</f>
        <v>quét NFC CCCD trên iPhone</v>
      </c>
      <c r="BH27" s="34" t="str">
        <f>IFERROR(__xludf.DUMMYFUNCTION("""COMPUTED_VALUE"""),"https://techcombank.com/thong-tin/blog/99999-co-y-nghia-gi")</f>
        <v>https://techcombank.com/thong-tin/blog/99999-co-y-nghia-gi</v>
      </c>
      <c r="BI27" s="30" t="str">
        <f>IFERROR(__xludf.DUMMYFUNCTION("""COMPUTED_VALUE"""),"quét NFC CCCD trên iPhone")</f>
        <v>quét NFC CCCD trên iPhone</v>
      </c>
      <c r="BJ27" s="34" t="str">
        <f>IFERROR(__xludf.DUMMYFUNCTION("""COMPUTED_VALUE"""),"https://techcombank.com/thong-tin/blog/chuyen-khoan-lien-ngan-hang")</f>
        <v>https://techcombank.com/thong-tin/blog/chuyen-khoan-lien-ngan-hang</v>
      </c>
      <c r="BK27" s="30" t="str">
        <f>IFERROR(__xludf.DUMMYFUNCTION("""COMPUTED_VALUE"""),"cách quét NFC căn cước")</f>
        <v>cách quét NFC căn cước</v>
      </c>
      <c r="BL27" s="34" t="str">
        <f>IFERROR(__xludf.DUMMYFUNCTION("""COMPUTED_VALUE"""),"https://techcombank.com/thong-tin/blog/cach-kiem-tra-tai-khoan-ngan-hang")</f>
        <v>https://techcombank.com/thong-tin/blog/cach-kiem-tra-tai-khoan-ngan-hang</v>
      </c>
      <c r="BM27" s="30" t="str">
        <f>IFERROR(__xludf.DUMMYFUNCTION("""COMPUTED_VALUE"""),"cách quét NFC căn cước")</f>
        <v>cách quét NFC căn cước</v>
      </c>
      <c r="BN27" s="34" t="str">
        <f>IFERROR(__xludf.DUMMYFUNCTION("""COMPUTED_VALUE"""),"https://techcombank.com/thong-tin/blog/thanh-toan-tra-sau-viettel-bang-tai-khoan-ngan-hang")</f>
        <v>https://techcombank.com/thong-tin/blog/thanh-toan-tra-sau-viettel-bang-tai-khoan-ngan-hang</v>
      </c>
      <c r="BO27" s="30" t="str">
        <f>IFERROR(__xludf.DUMMYFUNCTION("""COMPUTED_VALUE"""),"quét NFC CCCD")</f>
        <v>quét NFC CCCD</v>
      </c>
      <c r="BP27" s="34" t="str">
        <f>IFERROR(__xludf.DUMMYFUNCTION("""COMPUTED_VALUE"""),"https://techcombank.com/thong-tin/blog/so-tai-khoan-ngan-hang")</f>
        <v>https://techcombank.com/thong-tin/blog/so-tai-khoan-ngan-hang</v>
      </c>
      <c r="BQ27" s="30" t="str">
        <f>IFERROR(__xludf.DUMMYFUNCTION("""COMPUTED_VALUE"""),"quét NFC CCCD")</f>
        <v>quét NFC CCCD</v>
      </c>
      <c r="BR27" s="34" t="str">
        <f>IFERROR(__xludf.DUMMYFUNCTION("""COMPUTED_VALUE"""),"https://techcombank.com/thong-tin/blog/gui-ma-qr-ngan-hang")</f>
        <v>https://techcombank.com/thong-tin/blog/gui-ma-qr-ngan-hang</v>
      </c>
      <c r="BS27" s="30" t="str">
        <f>IFERROR(__xludf.DUMMYFUNCTION("""COMPUTED_VALUE"""),"quét NFC CCCD trên iPhone")</f>
        <v>quét NFC CCCD trên iPhone</v>
      </c>
      <c r="BT27" s="34" t="str">
        <f>IFERROR(__xludf.DUMMYFUNCTION("""COMPUTED_VALUE"""),"https://techcombank.com/thong-tin/blog/tao-ma-qr-thanh-toan-cho-cua-hang")</f>
        <v>https://techcombank.com/thong-tin/blog/tao-ma-qr-thanh-toan-cho-cua-hang</v>
      </c>
      <c r="BU27" s="30"/>
      <c r="BV27" s="30"/>
      <c r="BW27" s="30"/>
      <c r="BX27" s="30"/>
      <c r="BY27" s="30"/>
      <c r="BZ27" s="30"/>
      <c r="CA27" s="30"/>
      <c r="CB27" s="30"/>
      <c r="CC27" s="30"/>
      <c r="CD27" s="30"/>
      <c r="CE27" s="30"/>
      <c r="CF27" s="30"/>
      <c r="CG27" s="30"/>
      <c r="CH27" s="30"/>
      <c r="CI27" s="30"/>
      <c r="CJ27" s="30"/>
      <c r="CK27" s="30"/>
      <c r="CL27" s="30"/>
      <c r="CM27" s="30"/>
      <c r="CN27" s="30"/>
      <c r="CO27" s="30"/>
      <c r="CP27" s="30"/>
      <c r="CQ27" s="30"/>
      <c r="CR27" s="30"/>
      <c r="CS27" s="30"/>
      <c r="CT27" s="30"/>
      <c r="CU27" s="30"/>
      <c r="CV27" s="30"/>
      <c r="CW27" s="30"/>
      <c r="CX27" s="30"/>
      <c r="CY27" s="30"/>
      <c r="CZ27" s="30"/>
      <c r="DA27" s="30"/>
      <c r="DB27" s="30"/>
      <c r="DC27" s="30"/>
      <c r="DD27" s="30"/>
      <c r="DE27" s="30"/>
      <c r="DF27" s="30"/>
      <c r="DG27" s="30"/>
      <c r="DH27" s="30"/>
      <c r="DI27" s="30"/>
      <c r="DJ27" s="30"/>
      <c r="DK27" s="30"/>
      <c r="DL27" s="30"/>
      <c r="DM27" s="30"/>
      <c r="DN27" s="30"/>
      <c r="DO27" s="30"/>
      <c r="DP27" s="30"/>
      <c r="DQ27" s="30"/>
      <c r="DR27" s="30"/>
      <c r="DS27" s="30"/>
      <c r="DT27" s="30"/>
      <c r="DU27" s="30"/>
      <c r="DV27" s="30"/>
      <c r="DW27" s="30"/>
      <c r="DX27" s="30"/>
      <c r="DY27" s="30"/>
      <c r="DZ27" s="30"/>
      <c r="EA27" s="30"/>
      <c r="EB27" s="30"/>
      <c r="EC27" s="30"/>
      <c r="ED27" s="30"/>
      <c r="EE27" s="30"/>
      <c r="EF27" s="30"/>
      <c r="EG27" s="30"/>
      <c r="EH27" s="30"/>
      <c r="EI27" s="30"/>
      <c r="EJ27" s="30"/>
      <c r="EK27" s="30"/>
      <c r="EL27" s="30"/>
      <c r="EM27" s="30"/>
      <c r="EN27" s="30"/>
      <c r="EO27" s="30"/>
      <c r="EP27" s="30"/>
      <c r="EQ27" s="30"/>
      <c r="ER27" s="30"/>
      <c r="ES27" s="30"/>
      <c r="ET27" s="30"/>
      <c r="EU27" s="30"/>
      <c r="EV27" s="30"/>
      <c r="EW27" s="30"/>
      <c r="EX27" s="30"/>
      <c r="EY27" s="30"/>
      <c r="EZ27" s="30"/>
      <c r="FA27" s="30"/>
      <c r="FB27" s="30"/>
      <c r="FC27" s="30"/>
      <c r="FD27" s="30"/>
      <c r="FE27" s="30"/>
      <c r="FF27" s="30"/>
      <c r="FG27" s="30"/>
      <c r="FH27" s="30"/>
      <c r="FI27" s="30"/>
      <c r="FJ27" s="30"/>
      <c r="FK27" s="30"/>
      <c r="FL27" s="30"/>
      <c r="FM27" s="30"/>
      <c r="FN27" s="30"/>
      <c r="FO27" s="30"/>
      <c r="FP27" s="30"/>
      <c r="FQ27" s="30"/>
      <c r="FR27" s="30"/>
      <c r="FS27" s="30"/>
      <c r="FT27" s="30"/>
      <c r="FU27" s="30"/>
      <c r="FV27" s="30"/>
      <c r="FW27" s="30"/>
      <c r="FX27" s="30"/>
      <c r="FY27" s="30"/>
      <c r="FZ27" s="30"/>
      <c r="GA27" s="30"/>
      <c r="GB27" s="30"/>
      <c r="GC27" s="30"/>
      <c r="GD27" s="30"/>
      <c r="GE27" s="30"/>
      <c r="GF27" s="30"/>
      <c r="GG27" s="30"/>
      <c r="GH27" s="30"/>
      <c r="GI27" s="30"/>
      <c r="GJ27" s="30"/>
      <c r="GK27" s="30"/>
      <c r="GL27" s="30"/>
      <c r="GM27" s="30"/>
      <c r="GN27" s="30"/>
      <c r="GO27" s="30"/>
      <c r="GP27" s="30"/>
      <c r="GQ27" s="30"/>
      <c r="GR27" s="30"/>
      <c r="GS27" s="30"/>
      <c r="GT27" s="30"/>
      <c r="GU27" s="30"/>
      <c r="GV27" s="30"/>
      <c r="GW27" s="30"/>
      <c r="GX27" s="30"/>
      <c r="GY27" s="30"/>
      <c r="GZ27" s="30"/>
      <c r="HA27" s="30"/>
      <c r="HB27" s="30"/>
      <c r="HC27" s="30"/>
      <c r="HD27" s="30"/>
      <c r="HE27" s="30"/>
      <c r="HF27" s="30"/>
      <c r="HG27" s="30"/>
      <c r="HH27" s="30"/>
      <c r="HI27" s="30"/>
      <c r="HJ27" s="30"/>
      <c r="HK27" s="30"/>
      <c r="HL27" s="30"/>
      <c r="HM27" s="30"/>
      <c r="HN27" s="30"/>
      <c r="HO27" s="30"/>
      <c r="HP27" s="30"/>
      <c r="HQ27" s="30"/>
      <c r="HR27" s="30"/>
      <c r="HS27" s="30"/>
      <c r="HT27" s="30"/>
      <c r="HU27" s="30"/>
      <c r="HV27" s="30"/>
      <c r="HW27" s="30"/>
      <c r="HX27" s="30"/>
      <c r="HY27" s="30"/>
      <c r="HZ27" s="30"/>
      <c r="IA27" s="30"/>
      <c r="IB27" s="30"/>
      <c r="IC27" s="30"/>
      <c r="ID27" s="30"/>
      <c r="IE27" s="30"/>
      <c r="IF27" s="30"/>
      <c r="IG27" s="30"/>
      <c r="IH27" s="30"/>
      <c r="II27" s="30"/>
      <c r="IJ27" s="30"/>
      <c r="IK27" s="30"/>
      <c r="IL27" s="30"/>
      <c r="IM27" s="30"/>
      <c r="IN27" s="30"/>
      <c r="IO27" s="30"/>
      <c r="IP27" s="30"/>
      <c r="IQ27" s="30"/>
      <c r="IR27" s="30"/>
      <c r="IS27" s="30"/>
      <c r="IT27" s="30"/>
      <c r="IU27" s="30"/>
      <c r="IV27" s="30"/>
      <c r="IW27" s="30"/>
      <c r="IX27" s="30"/>
      <c r="IY27" s="30"/>
      <c r="IZ27" s="30"/>
      <c r="JA27" s="30"/>
      <c r="JB27" s="30"/>
      <c r="JC27" s="30"/>
      <c r="JD27" s="30"/>
      <c r="JE27" s="30"/>
      <c r="JF27" s="30"/>
      <c r="JG27" s="30"/>
      <c r="JH27" s="30"/>
      <c r="JI27" s="30"/>
      <c r="JJ27" s="30"/>
      <c r="JK27" s="30"/>
      <c r="JL27" s="30"/>
      <c r="JM27" s="30"/>
      <c r="JN27" s="30"/>
      <c r="JO27" s="30"/>
      <c r="JP27" s="30"/>
      <c r="JQ27" s="30"/>
      <c r="JR27" s="30"/>
      <c r="JS27" s="30"/>
      <c r="JT27" s="30"/>
      <c r="JU27" s="30"/>
      <c r="JV27" s="30"/>
      <c r="JW27" s="30"/>
      <c r="JX27" s="30"/>
      <c r="JY27" s="30"/>
      <c r="JZ27" s="30"/>
      <c r="KA27" s="30"/>
      <c r="KB27" s="30"/>
      <c r="KC27" s="30"/>
      <c r="KD27" s="30"/>
      <c r="KE27" s="30"/>
      <c r="KF27" s="30"/>
      <c r="KG27" s="30"/>
      <c r="KH27" s="30"/>
      <c r="KI27" s="30"/>
      <c r="KJ27" s="30"/>
      <c r="KK27" s="30"/>
      <c r="KL27" s="30"/>
      <c r="KM27" s="30"/>
      <c r="KN27" s="30"/>
      <c r="KO27" s="30"/>
      <c r="KP27" s="30"/>
      <c r="KQ27" s="30"/>
      <c r="KR27" s="30"/>
      <c r="KS27" s="30"/>
      <c r="KT27" s="30"/>
      <c r="KU27" s="30"/>
      <c r="KV27" s="30"/>
      <c r="KW27" s="30"/>
      <c r="KX27" s="30"/>
      <c r="KY27" s="30"/>
      <c r="KZ27" s="30"/>
      <c r="LA27" s="30"/>
      <c r="LB27" s="30"/>
      <c r="LC27" s="30"/>
      <c r="LD27" s="30"/>
      <c r="LE27" s="30"/>
      <c r="LF27" s="30"/>
      <c r="LG27" s="30"/>
      <c r="LH27" s="30"/>
      <c r="LI27" s="30"/>
      <c r="LJ27" s="30"/>
      <c r="LK27" s="30"/>
      <c r="LL27" s="30"/>
      <c r="LM27" s="30"/>
      <c r="LN27" s="30"/>
      <c r="LO27" s="30"/>
      <c r="LP27" s="30"/>
      <c r="LQ27" s="30"/>
      <c r="LR27" s="30"/>
      <c r="LS27" s="30"/>
      <c r="LT27" s="30"/>
      <c r="LU27" s="30"/>
      <c r="LV27" s="30"/>
      <c r="LW27" s="30"/>
      <c r="LX27" s="30"/>
      <c r="LY27" s="30"/>
      <c r="LZ27" s="30"/>
      <c r="MA27" s="30"/>
      <c r="MB27" s="30"/>
      <c r="MC27" s="30"/>
      <c r="MD27" s="30"/>
      <c r="ME27" s="30"/>
      <c r="MF27" s="30"/>
      <c r="MG27" s="30"/>
      <c r="MH27" s="30"/>
      <c r="MI27" s="30"/>
      <c r="MJ27" s="30"/>
      <c r="MK27" s="30"/>
      <c r="ML27" s="30"/>
      <c r="MM27" s="30"/>
      <c r="MN27" s="30"/>
      <c r="MO27" s="30"/>
      <c r="MP27" s="30"/>
      <c r="MQ27" s="30"/>
      <c r="MR27" s="30"/>
      <c r="MS27" s="30"/>
      <c r="MT27" s="30"/>
      <c r="MU27" s="30"/>
      <c r="MV27" s="30"/>
      <c r="MW27" s="30"/>
      <c r="MX27" s="30"/>
      <c r="MY27" s="30"/>
      <c r="MZ27" s="30"/>
      <c r="NA27" s="30"/>
      <c r="NB27" s="30"/>
      <c r="NC27" s="30"/>
      <c r="ND27" s="30"/>
      <c r="NE27" s="30"/>
      <c r="NF27" s="30"/>
      <c r="NG27" s="30"/>
      <c r="NH27" s="30"/>
      <c r="NI27" s="30"/>
      <c r="NJ27" s="30"/>
      <c r="NK27" s="30"/>
      <c r="NL27" s="30"/>
      <c r="NM27" s="30"/>
      <c r="NN27" s="30"/>
      <c r="NO27" s="30"/>
      <c r="NP27" s="30"/>
      <c r="NQ27" s="30"/>
      <c r="NR27" s="30"/>
      <c r="NS27" s="30"/>
      <c r="NT27" s="30"/>
      <c r="NU27" s="30"/>
      <c r="NV27" s="30"/>
      <c r="NW27" s="30"/>
      <c r="NX27" s="30"/>
      <c r="NY27" s="30"/>
      <c r="NZ27" s="30"/>
      <c r="OA27" s="30"/>
      <c r="OB27" s="30"/>
      <c r="OC27" s="30"/>
      <c r="OD27" s="30"/>
      <c r="OE27" s="30"/>
      <c r="OF27" s="30"/>
      <c r="OG27" s="30"/>
      <c r="OH27" s="30"/>
      <c r="OI27" s="30"/>
      <c r="OJ27" s="30"/>
      <c r="OK27" s="30"/>
      <c r="OL27" s="30"/>
      <c r="OM27" s="30"/>
      <c r="ON27" s="30"/>
      <c r="OO27" s="30"/>
      <c r="OP27" s="30"/>
      <c r="OQ27" s="30"/>
      <c r="OR27" s="30"/>
      <c r="OS27" s="30"/>
      <c r="OT27" s="30"/>
      <c r="OU27" s="30"/>
      <c r="OV27" s="30"/>
    </row>
    <row r="28" ht="18.0" customHeight="1">
      <c r="A28" s="29">
        <v>27.0</v>
      </c>
      <c r="B28" s="30" t="s">
        <v>1564</v>
      </c>
      <c r="C28" s="31" t="s">
        <v>2408</v>
      </c>
      <c r="D28" s="30" t="s">
        <v>433</v>
      </c>
      <c r="E28" s="29">
        <v>30.0</v>
      </c>
      <c r="F28" s="29">
        <f>COUNTIF('Tổng hợp 75 trang đích'!$B$2:$B$3400,$D28)</f>
        <v>30</v>
      </c>
      <c r="G28" s="29">
        <f>COUNTIFS('Tổng hợp 75 trang đích'!$B$2:$B$3400,$D28,'Tổng hợp 75 trang đích'!$K$2:$K$3400,"PHÙ HỢP CAO")</f>
        <v>2</v>
      </c>
      <c r="H28" s="29">
        <f>COUNTIFS('Tổng hợp 75 trang đích'!$B$2:$B$3400,$D28,'Tổng hợp 75 trang đích'!$K$2:$K$3400,"CÓ THỂ ĐI")</f>
        <v>7</v>
      </c>
      <c r="I28" s="29">
        <f>COUNTIFS('Tổng hợp 75 trang đích'!$B$2:$B$3400,$D28,'Tổng hợp 75 trang đích'!$K$2:$K$3400,"CẦN SOÁT")</f>
        <v>13</v>
      </c>
      <c r="J28" s="32" t="s">
        <v>714</v>
      </c>
      <c r="K28" s="32" t="b">
        <v>0</v>
      </c>
      <c r="L28" s="33" t="s">
        <v>52</v>
      </c>
      <c r="M28" s="30" t="str">
        <f>IFERROR(__xludf.DUMMYFUNCTION("IFERROR(TOROW(CHOOSECOLS(SORT(FILTER({'Tổng hợp 75 trang đích'!$J$2:$J$3400,'Tổng hợp 75 trang đích'!$I$2:$I$3400,MATCH('Tổng hợp 75 trang đích'!$K$2:$K$3400,{""PHÙ HỢP CAO"",""CÓ THỂ ĐI"",""CẦN SOÁT""},0)},'Tổng hợp 75 trang đích'!$B$2:$B$3400=$D28),3,TR"&amp;"UE),1,2)),"""")"),"Techcombank Eco")</f>
        <v>Techcombank Eco</v>
      </c>
      <c r="N28" s="34" t="str">
        <f>IFERROR(__xludf.DUMMYFUNCTION("""COMPUTED_VALUE"""),"https://techcombank.com/thong-tin/blog/dau-chan-carbon")</f>
        <v>https://techcombank.com/thong-tin/blog/dau-chan-carbon</v>
      </c>
      <c r="O28" s="30" t="str">
        <f>IFERROR(__xludf.DUMMYFUNCTION("""COMPUTED_VALUE"""),"eco card")</f>
        <v>eco card</v>
      </c>
      <c r="P28" s="34" t="str">
        <f>IFERROR(__xludf.DUMMYFUNCTION("""COMPUTED_VALUE"""),"https://techcombank.com/thong-tin/blog/san-pham-xanh")</f>
        <v>https://techcombank.com/thong-tin/blog/san-pham-xanh</v>
      </c>
      <c r="Q28" s="30" t="str">
        <f>IFERROR(__xludf.DUMMYFUNCTION("""COMPUTED_VALUE"""),"eco card")</f>
        <v>eco card</v>
      </c>
      <c r="R28" s="34" t="str">
        <f>IFERROR(__xludf.DUMMYFUNCTION("""COMPUTED_VALUE"""),"https://techcombank.com/thong-tin/blog/phi-rut-tien-mat-the-tin-dung")</f>
        <v>https://techcombank.com/thong-tin/blog/phi-rut-tien-mat-the-tin-dung</v>
      </c>
      <c r="S28" s="30" t="str">
        <f>IFERROR(__xludf.DUMMYFUNCTION("""COMPUTED_VALUE"""),"eco card")</f>
        <v>eco card</v>
      </c>
      <c r="T28" s="34" t="str">
        <f>IFERROR(__xludf.DUMMYFUNCTION("""COMPUTED_VALUE"""),"https://techcombank.com/thong-tin/blog/qr-code-doanh-nghiep")</f>
        <v>https://techcombank.com/thong-tin/blog/qr-code-doanh-nghiep</v>
      </c>
      <c r="U28" s="30" t="str">
        <f>IFERROR(__xludf.DUMMYFUNCTION("""COMPUTED_VALUE"""),"thẻ Eco")</f>
        <v>thẻ Eco</v>
      </c>
      <c r="V28" s="34" t="str">
        <f>IFERROR(__xludf.DUMMYFUNCTION("""COMPUTED_VALUE"""),"https://techcombank.com/thong-tin/blog/voucher-starbucks")</f>
        <v>https://techcombank.com/thong-tin/blog/voucher-starbucks</v>
      </c>
      <c r="W28" s="30" t="str">
        <f>IFERROR(__xludf.DUMMYFUNCTION("""COMPUTED_VALUE"""),"eco card")</f>
        <v>eco card</v>
      </c>
      <c r="X28" s="34" t="str">
        <f>IFERROR(__xludf.DUMMYFUNCTION("""COMPUTED_VALUE"""),"https://techcombank.com/thong-tin/blog/han-muc-thau-chi-la-gi")</f>
        <v>https://techcombank.com/thong-tin/blog/han-muc-thau-chi-la-gi</v>
      </c>
      <c r="Y28" s="30" t="str">
        <f>IFERROR(__xludf.DUMMYFUNCTION("""COMPUTED_VALUE"""),"thẻ Eco")</f>
        <v>thẻ Eco</v>
      </c>
      <c r="Z28" s="34" t="str">
        <f>IFERROR(__xludf.DUMMYFUNCTION("""COMPUTED_VALUE"""),"https://techcombank.com/thong-tin/blog/esg")</f>
        <v>https://techcombank.com/thong-tin/blog/esg</v>
      </c>
      <c r="AA28" s="30" t="str">
        <f>IFERROR(__xludf.DUMMYFUNCTION("""COMPUTED_VALUE"""),"Techcombank Eco")</f>
        <v>Techcombank Eco</v>
      </c>
      <c r="AB28" s="34" t="str">
        <f>IFERROR(__xludf.DUMMYFUNCTION("""COMPUTED_VALUE"""),"https://techcombank.com/thong-tin/blog/the-tin-dung-mien-phi-thuong-nien")</f>
        <v>https://techcombank.com/thong-tin/blog/the-tin-dung-mien-phi-thuong-nien</v>
      </c>
      <c r="AC28" s="30" t="str">
        <f>IFERROR(__xludf.DUMMYFUNCTION("""COMPUTED_VALUE"""),"eco card")</f>
        <v>eco card</v>
      </c>
      <c r="AD28" s="34" t="str">
        <f>IFERROR(__xludf.DUMMYFUNCTION("""COMPUTED_VALUE"""),"https://techcombank.com/thong-tin/blog/rut-tien-tiet-kiem-truoc-thoi-han")</f>
        <v>https://techcombank.com/thong-tin/blog/rut-tien-tiet-kiem-truoc-thoi-han</v>
      </c>
      <c r="AE28" s="30" t="str">
        <f>IFERROR(__xludf.DUMMYFUNCTION("""COMPUTED_VALUE"""),"Techcombank Eco")</f>
        <v>Techcombank Eco</v>
      </c>
      <c r="AF28" s="34" t="str">
        <f>IFERROR(__xludf.DUMMYFUNCTION("""COMPUTED_VALUE"""),"https://techcombank.com/thong-tin/blog/the-tin-dung-nao-nhieu-uu-dai-nhat")</f>
        <v>https://techcombank.com/thong-tin/blog/the-tin-dung-nao-nhieu-uu-dai-nhat</v>
      </c>
      <c r="AG28" s="30" t="str">
        <f>IFERROR(__xludf.DUMMYFUNCTION("""COMPUTED_VALUE"""),"thẻ Eco")</f>
        <v>thẻ Eco</v>
      </c>
      <c r="AH28" s="34" t="str">
        <f>IFERROR(__xludf.DUMMYFUNCTION("""COMPUTED_VALUE"""),"https://techcombank.com/thong-tin/blog/tieu-dung-ben-vung")</f>
        <v>https://techcombank.com/thong-tin/blog/tieu-dung-ben-vung</v>
      </c>
      <c r="AI28" s="30" t="str">
        <f>IFERROR(__xludf.DUMMYFUNCTION("""COMPUTED_VALUE"""),"Techcombank Eco")</f>
        <v>Techcombank Eco</v>
      </c>
      <c r="AJ28" s="34" t="str">
        <f>IFERROR(__xludf.DUMMYFUNCTION("""COMPUTED_VALUE"""),"https://techcombank.com/thong-tin/blog/mr-eco")</f>
        <v>https://techcombank.com/thong-tin/blog/mr-eco</v>
      </c>
      <c r="AK28" s="30" t="str">
        <f>IFERROR(__xludf.DUMMYFUNCTION("""COMPUTED_VALUE"""),"thẻ Eco")</f>
        <v>thẻ Eco</v>
      </c>
      <c r="AL28" s="34" t="str">
        <f>IFERROR(__xludf.DUMMYFUNCTION("""COMPUTED_VALUE"""),"https://techcombank.com/thong-tin/blog/phi-thuong-nien-la-gi")</f>
        <v>https://techcombank.com/thong-tin/blog/phi-thuong-nien-la-gi</v>
      </c>
      <c r="AM28" s="30" t="str">
        <f>IFERROR(__xludf.DUMMYFUNCTION("""COMPUTED_VALUE"""),"Techcombank Eco")</f>
        <v>Techcombank Eco</v>
      </c>
      <c r="AN28" s="34" t="str">
        <f>IFERROR(__xludf.DUMMYFUNCTION("""COMPUTED_VALUE"""),"https://techcombank.com/thong-tin/blog/tra-gop-hoc-phi")</f>
        <v>https://techcombank.com/thong-tin/blog/tra-gop-hoc-phi</v>
      </c>
      <c r="AO28" s="30" t="str">
        <f>IFERROR(__xludf.DUMMYFUNCTION("""COMPUTED_VALUE"""),"thẻ Eco")</f>
        <v>thẻ Eco</v>
      </c>
      <c r="AP28" s="34" t="str">
        <f>IFERROR(__xludf.DUMMYFUNCTION("""COMPUTED_VALUE"""),"https://techcombank.com/thong-tin/blog/the-tin-dung-quoc-te")</f>
        <v>https://techcombank.com/thong-tin/blog/the-tin-dung-quoc-te</v>
      </c>
      <c r="AQ28" s="30" t="str">
        <f>IFERROR(__xludf.DUMMYFUNCTION("""COMPUTED_VALUE"""),"Techcombank Eco")</f>
        <v>Techcombank Eco</v>
      </c>
      <c r="AR28" s="34" t="str">
        <f>IFERROR(__xludf.DUMMYFUNCTION("""COMPUTED_VALUE"""),"https://techcombank.com/thong-tin/blog/uu-dai-the-tin-dung")</f>
        <v>https://techcombank.com/thong-tin/blog/uu-dai-the-tin-dung</v>
      </c>
      <c r="AS28" s="30" t="str">
        <f>IFERROR(__xludf.DUMMYFUNCTION("""COMPUTED_VALUE"""),"thẻ Eco")</f>
        <v>thẻ Eco</v>
      </c>
      <c r="AT28" s="34" t="str">
        <f>IFERROR(__xludf.DUMMYFUNCTION("""COMPUTED_VALUE"""),"https://techcombank.com/thong-tin/blog/the-tin-dung-hoan-tien")</f>
        <v>https://techcombank.com/thong-tin/blog/the-tin-dung-hoan-tien</v>
      </c>
      <c r="AU28" s="30" t="str">
        <f>IFERROR(__xludf.DUMMYFUNCTION("""COMPUTED_VALUE"""),"Techcombank Eco")</f>
        <v>Techcombank Eco</v>
      </c>
      <c r="AV28" s="34" t="str">
        <f>IFERROR(__xludf.DUMMYFUNCTION("""COMPUTED_VALUE"""),"https://techcombank.com/thong-tin/blog/cac-loai-the-tin-dung")</f>
        <v>https://techcombank.com/thong-tin/blog/cac-loai-the-tin-dung</v>
      </c>
      <c r="AW28" s="30" t="str">
        <f>IFERROR(__xludf.DUMMYFUNCTION("""COMPUTED_VALUE"""),"thẻ Eco")</f>
        <v>thẻ Eco</v>
      </c>
      <c r="AX28" s="34" t="str">
        <f>IFERROR(__xludf.DUMMYFUNCTION("""COMPUTED_VALUE"""),"https://techcombank.com/thong-tin/blog/xu-huong-tieu-dung")</f>
        <v>https://techcombank.com/thong-tin/blog/xu-huong-tieu-dung</v>
      </c>
      <c r="AY28" s="30" t="str">
        <f>IFERROR(__xludf.DUMMYFUNCTION("""COMPUTED_VALUE"""),"Techcombank Eco")</f>
        <v>Techcombank Eco</v>
      </c>
      <c r="AZ28" s="34" t="str">
        <f>IFERROR(__xludf.DUMMYFUNCTION("""COMPUTED_VALUE"""),"https://techcombank.com/thong-tin/blog/oneu")</f>
        <v>https://techcombank.com/thong-tin/blog/oneu</v>
      </c>
      <c r="BA28" s="30" t="str">
        <f>IFERROR(__xludf.DUMMYFUNCTION("""COMPUTED_VALUE"""),"thẻ Eco")</f>
        <v>thẻ Eco</v>
      </c>
      <c r="BB28" s="34" t="str">
        <f>IFERROR(__xludf.DUMMYFUNCTION("""COMPUTED_VALUE"""),"https://techcombank.com/thong-tin/blog/the-tin-dung-techcombank-visa-eco")</f>
        <v>https://techcombank.com/thong-tin/blog/the-tin-dung-techcombank-visa-eco</v>
      </c>
      <c r="BC28" s="30" t="str">
        <f>IFERROR(__xludf.DUMMYFUNCTION("""COMPUTED_VALUE"""),"thẻ Eco")</f>
        <v>thẻ Eco</v>
      </c>
      <c r="BD28" s="34" t="str">
        <f>IFERROR(__xludf.DUMMYFUNCTION("""COMPUTED_VALUE"""),"https://techcombank.com/thong-tin/blog/giao-thong-xanh")</f>
        <v>https://techcombank.com/thong-tin/blog/giao-thong-xanh</v>
      </c>
      <c r="BE28" s="30" t="str">
        <f>IFERROR(__xludf.DUMMYFUNCTION("""COMPUTED_VALUE"""),"thẻ Eco")</f>
        <v>thẻ Eco</v>
      </c>
      <c r="BF28" s="34" t="str">
        <f>IFERROR(__xludf.DUMMYFUNCTION("""COMPUTED_VALUE"""),"https://techcombank.com/thong-tin/blog/cach-tiet-kiem-tien-hieu-qua-cho-gia-dinh")</f>
        <v>https://techcombank.com/thong-tin/blog/cach-tiet-kiem-tien-hieu-qua-cho-gia-dinh</v>
      </c>
      <c r="BG28" s="30" t="str">
        <f>IFERROR(__xludf.DUMMYFUNCTION("""COMPUTED_VALUE"""),"eco card")</f>
        <v>eco card</v>
      </c>
      <c r="BH28" s="34" t="str">
        <f>IFERROR(__xludf.DUMMYFUNCTION("""COMPUTED_VALUE"""),"https://techcombank.com/thong-tin/blog/the-ghi-no-va-the-tin-dung")</f>
        <v>https://techcombank.com/thong-tin/blog/the-ghi-no-va-the-tin-dung</v>
      </c>
      <c r="BI28" s="30" t="str">
        <f>IFERROR(__xludf.DUMMYFUNCTION("""COMPUTED_VALUE"""),"Techcombank Eco")</f>
        <v>Techcombank Eco</v>
      </c>
      <c r="BJ28" s="34" t="str">
        <f>IFERROR(__xludf.DUMMYFUNCTION("""COMPUTED_VALUE"""),"https://techcombank.com/thong-tin/blog/khau-vi-nha-dau-tu-tpdn-thay-doi-the-nao-sau-nhung-bien-dong-vua-qua")</f>
        <v>https://techcombank.com/thong-tin/blog/khau-vi-nha-dau-tu-tpdn-thay-doi-the-nao-sau-nhung-bien-dong-vua-qua</v>
      </c>
      <c r="BK28" s="30" t="str">
        <f>IFERROR(__xludf.DUMMYFUNCTION("""COMPUTED_VALUE"""),"eco card")</f>
        <v>eco card</v>
      </c>
      <c r="BL28" s="34" t="str">
        <f>IFERROR(__xludf.DUMMYFUNCTION("""COMPUTED_VALUE"""),"https://techcombank.com/thong-tin/blog/gia-tri-tai-san-rong")</f>
        <v>https://techcombank.com/thong-tin/blog/gia-tri-tai-san-rong</v>
      </c>
      <c r="BM28" s="30" t="str">
        <f>IFERROR(__xludf.DUMMYFUNCTION("""COMPUTED_VALUE"""),"thẻ Eco")</f>
        <v>thẻ Eco</v>
      </c>
      <c r="BN28" s="34" t="str">
        <f>IFERROR(__xludf.DUMMYFUNCTION("""COMPUTED_VALUE"""),"https://techcombank.com/thong-tin/blog/the-ghi-no-la-gi")</f>
        <v>https://techcombank.com/thong-tin/blog/the-ghi-no-la-gi</v>
      </c>
      <c r="BO28" s="30" t="str">
        <f>IFERROR(__xludf.DUMMYFUNCTION("""COMPUTED_VALUE"""),"Techcombank Eco")</f>
        <v>Techcombank Eco</v>
      </c>
      <c r="BP28" s="34" t="str">
        <f>IFERROR(__xludf.DUMMYFUNCTION("""COMPUTED_VALUE"""),"https://techcombank.com/thong-tin/blog/mo-the-ghi-no")</f>
        <v>https://techcombank.com/thong-tin/blog/mo-the-ghi-no</v>
      </c>
      <c r="BQ28" s="30" t="str">
        <f>IFERROR(__xludf.DUMMYFUNCTION("""COMPUTED_VALUE"""),"thẻ Eco")</f>
        <v>thẻ Eco</v>
      </c>
      <c r="BR28" s="34" t="str">
        <f>IFERROR(__xludf.DUMMYFUNCTION("""COMPUTED_VALUE"""),"https://techcombank.com/thong-tin/blog/the-ghi-no-noi-dia")</f>
        <v>https://techcombank.com/thong-tin/blog/the-ghi-no-noi-dia</v>
      </c>
      <c r="BS28" s="30" t="str">
        <f>IFERROR(__xludf.DUMMYFUNCTION("""COMPUTED_VALUE"""),"Techcombank Eco")</f>
        <v>Techcombank Eco</v>
      </c>
      <c r="BT28" s="34" t="str">
        <f>IFERROR(__xludf.DUMMYFUNCTION("""COMPUTED_VALUE"""),"https://techcombank.com/thong-tin/blog/cach-nap-tien-vao-the-ghi-no")</f>
        <v>https://techcombank.com/thong-tin/blog/cach-nap-tien-vao-the-ghi-no</v>
      </c>
      <c r="BU28" s="30"/>
      <c r="BV28" s="30"/>
      <c r="BW28" s="30"/>
      <c r="BX28" s="30"/>
      <c r="BY28" s="30"/>
      <c r="BZ28" s="30"/>
      <c r="CA28" s="30"/>
      <c r="CB28" s="30"/>
      <c r="CC28" s="30"/>
      <c r="CD28" s="30"/>
      <c r="CE28" s="30"/>
      <c r="CF28" s="30"/>
      <c r="CG28" s="30"/>
      <c r="CH28" s="30"/>
      <c r="CI28" s="30"/>
      <c r="CJ28" s="30"/>
      <c r="CK28" s="30"/>
      <c r="CL28" s="30"/>
      <c r="CM28" s="30"/>
      <c r="CN28" s="30"/>
      <c r="CO28" s="30"/>
      <c r="CP28" s="30"/>
      <c r="CQ28" s="30"/>
      <c r="CR28" s="30"/>
      <c r="CS28" s="30"/>
      <c r="CT28" s="30"/>
      <c r="CU28" s="30"/>
      <c r="CV28" s="30"/>
      <c r="CW28" s="30"/>
      <c r="CX28" s="30"/>
      <c r="CY28" s="30"/>
      <c r="CZ28" s="30"/>
      <c r="DA28" s="30"/>
      <c r="DB28" s="30"/>
      <c r="DC28" s="30"/>
      <c r="DD28" s="30"/>
      <c r="DE28" s="30"/>
      <c r="DF28" s="30"/>
      <c r="DG28" s="30"/>
      <c r="DH28" s="30"/>
      <c r="DI28" s="30"/>
      <c r="DJ28" s="30"/>
      <c r="DK28" s="30"/>
      <c r="DL28" s="30"/>
      <c r="DM28" s="30"/>
      <c r="DN28" s="30"/>
      <c r="DO28" s="30"/>
      <c r="DP28" s="30"/>
      <c r="DQ28" s="30"/>
      <c r="DR28" s="30"/>
      <c r="DS28" s="30"/>
      <c r="DT28" s="30"/>
      <c r="DU28" s="30"/>
      <c r="DV28" s="30"/>
      <c r="DW28" s="30"/>
      <c r="DX28" s="30"/>
      <c r="DY28" s="30"/>
      <c r="DZ28" s="30"/>
      <c r="EA28" s="30"/>
      <c r="EB28" s="30"/>
      <c r="EC28" s="30"/>
      <c r="ED28" s="30"/>
      <c r="EE28" s="30"/>
      <c r="EF28" s="30"/>
      <c r="EG28" s="30"/>
      <c r="EH28" s="30"/>
      <c r="EI28" s="30"/>
      <c r="EJ28" s="30"/>
      <c r="EK28" s="30"/>
      <c r="EL28" s="30"/>
      <c r="EM28" s="30"/>
      <c r="EN28" s="30"/>
      <c r="EO28" s="30"/>
      <c r="EP28" s="30"/>
      <c r="EQ28" s="30"/>
      <c r="ER28" s="30"/>
      <c r="ES28" s="30"/>
      <c r="ET28" s="30"/>
      <c r="EU28" s="30"/>
      <c r="EV28" s="30"/>
      <c r="EW28" s="30"/>
      <c r="EX28" s="30"/>
      <c r="EY28" s="30"/>
      <c r="EZ28" s="30"/>
      <c r="FA28" s="30"/>
      <c r="FB28" s="30"/>
      <c r="FC28" s="30"/>
      <c r="FD28" s="30"/>
      <c r="FE28" s="30"/>
      <c r="FF28" s="30"/>
      <c r="FG28" s="30"/>
      <c r="FH28" s="30"/>
      <c r="FI28" s="30"/>
      <c r="FJ28" s="30"/>
      <c r="FK28" s="30"/>
      <c r="FL28" s="30"/>
      <c r="FM28" s="30"/>
      <c r="FN28" s="30"/>
      <c r="FO28" s="30"/>
      <c r="FP28" s="30"/>
      <c r="FQ28" s="30"/>
      <c r="FR28" s="30"/>
      <c r="FS28" s="30"/>
      <c r="FT28" s="30"/>
      <c r="FU28" s="30"/>
      <c r="FV28" s="30"/>
      <c r="FW28" s="30"/>
      <c r="FX28" s="30"/>
      <c r="FY28" s="30"/>
      <c r="FZ28" s="30"/>
      <c r="GA28" s="30"/>
      <c r="GB28" s="30"/>
      <c r="GC28" s="30"/>
      <c r="GD28" s="30"/>
      <c r="GE28" s="30"/>
      <c r="GF28" s="30"/>
      <c r="GG28" s="30"/>
      <c r="GH28" s="30"/>
      <c r="GI28" s="30"/>
      <c r="GJ28" s="30"/>
      <c r="GK28" s="30"/>
      <c r="GL28" s="30"/>
      <c r="GM28" s="30"/>
      <c r="GN28" s="30"/>
      <c r="GO28" s="30"/>
      <c r="GP28" s="30"/>
      <c r="GQ28" s="30"/>
      <c r="GR28" s="30"/>
      <c r="GS28" s="30"/>
      <c r="GT28" s="30"/>
      <c r="GU28" s="30"/>
      <c r="GV28" s="30"/>
      <c r="GW28" s="30"/>
      <c r="GX28" s="30"/>
      <c r="GY28" s="30"/>
      <c r="GZ28" s="30"/>
      <c r="HA28" s="30"/>
      <c r="HB28" s="30"/>
      <c r="HC28" s="30"/>
      <c r="HD28" s="30"/>
      <c r="HE28" s="30"/>
      <c r="HF28" s="30"/>
      <c r="HG28" s="30"/>
      <c r="HH28" s="30"/>
      <c r="HI28" s="30"/>
      <c r="HJ28" s="30"/>
      <c r="HK28" s="30"/>
      <c r="HL28" s="30"/>
      <c r="HM28" s="30"/>
      <c r="HN28" s="30"/>
      <c r="HO28" s="30"/>
      <c r="HP28" s="30"/>
      <c r="HQ28" s="30"/>
      <c r="HR28" s="30"/>
      <c r="HS28" s="30"/>
      <c r="HT28" s="30"/>
      <c r="HU28" s="30"/>
      <c r="HV28" s="30"/>
      <c r="HW28" s="30"/>
      <c r="HX28" s="30"/>
      <c r="HY28" s="30"/>
      <c r="HZ28" s="30"/>
      <c r="IA28" s="30"/>
      <c r="IB28" s="30"/>
      <c r="IC28" s="30"/>
      <c r="ID28" s="30"/>
      <c r="IE28" s="30"/>
      <c r="IF28" s="30"/>
      <c r="IG28" s="30"/>
      <c r="IH28" s="30"/>
      <c r="II28" s="30"/>
      <c r="IJ28" s="30"/>
      <c r="IK28" s="30"/>
      <c r="IL28" s="30"/>
      <c r="IM28" s="30"/>
      <c r="IN28" s="30"/>
      <c r="IO28" s="30"/>
      <c r="IP28" s="30"/>
      <c r="IQ28" s="30"/>
      <c r="IR28" s="30"/>
      <c r="IS28" s="30"/>
      <c r="IT28" s="30"/>
      <c r="IU28" s="30"/>
      <c r="IV28" s="30"/>
      <c r="IW28" s="30"/>
      <c r="IX28" s="30"/>
      <c r="IY28" s="30"/>
      <c r="IZ28" s="30"/>
      <c r="JA28" s="30"/>
      <c r="JB28" s="30"/>
      <c r="JC28" s="30"/>
      <c r="JD28" s="30"/>
      <c r="JE28" s="30"/>
      <c r="JF28" s="30"/>
      <c r="JG28" s="30"/>
      <c r="JH28" s="30"/>
      <c r="JI28" s="30"/>
      <c r="JJ28" s="30"/>
      <c r="JK28" s="30"/>
      <c r="JL28" s="30"/>
      <c r="JM28" s="30"/>
      <c r="JN28" s="30"/>
      <c r="JO28" s="30"/>
      <c r="JP28" s="30"/>
      <c r="JQ28" s="30"/>
      <c r="JR28" s="30"/>
      <c r="JS28" s="30"/>
      <c r="JT28" s="30"/>
      <c r="JU28" s="30"/>
      <c r="JV28" s="30"/>
      <c r="JW28" s="30"/>
      <c r="JX28" s="30"/>
      <c r="JY28" s="30"/>
      <c r="JZ28" s="30"/>
      <c r="KA28" s="30"/>
      <c r="KB28" s="30"/>
      <c r="KC28" s="30"/>
      <c r="KD28" s="30"/>
      <c r="KE28" s="30"/>
      <c r="KF28" s="30"/>
      <c r="KG28" s="30"/>
      <c r="KH28" s="30"/>
      <c r="KI28" s="30"/>
      <c r="KJ28" s="30"/>
      <c r="KK28" s="30"/>
      <c r="KL28" s="30"/>
      <c r="KM28" s="30"/>
      <c r="KN28" s="30"/>
      <c r="KO28" s="30"/>
      <c r="KP28" s="30"/>
      <c r="KQ28" s="30"/>
      <c r="KR28" s="30"/>
      <c r="KS28" s="30"/>
      <c r="KT28" s="30"/>
      <c r="KU28" s="30"/>
      <c r="KV28" s="30"/>
      <c r="KW28" s="30"/>
      <c r="KX28" s="30"/>
      <c r="KY28" s="30"/>
      <c r="KZ28" s="30"/>
      <c r="LA28" s="30"/>
      <c r="LB28" s="30"/>
      <c r="LC28" s="30"/>
      <c r="LD28" s="30"/>
      <c r="LE28" s="30"/>
      <c r="LF28" s="30"/>
      <c r="LG28" s="30"/>
      <c r="LH28" s="30"/>
      <c r="LI28" s="30"/>
      <c r="LJ28" s="30"/>
      <c r="LK28" s="30"/>
      <c r="LL28" s="30"/>
      <c r="LM28" s="30"/>
      <c r="LN28" s="30"/>
      <c r="LO28" s="30"/>
      <c r="LP28" s="30"/>
      <c r="LQ28" s="30"/>
      <c r="LR28" s="30"/>
      <c r="LS28" s="30"/>
      <c r="LT28" s="30"/>
      <c r="LU28" s="30"/>
      <c r="LV28" s="30"/>
      <c r="LW28" s="30"/>
      <c r="LX28" s="30"/>
      <c r="LY28" s="30"/>
      <c r="LZ28" s="30"/>
      <c r="MA28" s="30"/>
      <c r="MB28" s="30"/>
      <c r="MC28" s="30"/>
      <c r="MD28" s="30"/>
      <c r="ME28" s="30"/>
      <c r="MF28" s="30"/>
      <c r="MG28" s="30"/>
      <c r="MH28" s="30"/>
      <c r="MI28" s="30"/>
      <c r="MJ28" s="30"/>
      <c r="MK28" s="30"/>
      <c r="ML28" s="30"/>
      <c r="MM28" s="30"/>
      <c r="MN28" s="30"/>
      <c r="MO28" s="30"/>
      <c r="MP28" s="30"/>
      <c r="MQ28" s="30"/>
      <c r="MR28" s="30"/>
      <c r="MS28" s="30"/>
      <c r="MT28" s="30"/>
      <c r="MU28" s="30"/>
      <c r="MV28" s="30"/>
      <c r="MW28" s="30"/>
      <c r="MX28" s="30"/>
      <c r="MY28" s="30"/>
      <c r="MZ28" s="30"/>
      <c r="NA28" s="30"/>
      <c r="NB28" s="30"/>
      <c r="NC28" s="30"/>
      <c r="ND28" s="30"/>
      <c r="NE28" s="30"/>
      <c r="NF28" s="30"/>
      <c r="NG28" s="30"/>
      <c r="NH28" s="30"/>
      <c r="NI28" s="30"/>
      <c r="NJ28" s="30"/>
      <c r="NK28" s="30"/>
      <c r="NL28" s="30"/>
      <c r="NM28" s="30"/>
      <c r="NN28" s="30"/>
      <c r="NO28" s="30"/>
      <c r="NP28" s="30"/>
      <c r="NQ28" s="30"/>
      <c r="NR28" s="30"/>
      <c r="NS28" s="30"/>
      <c r="NT28" s="30"/>
      <c r="NU28" s="30"/>
      <c r="NV28" s="30"/>
      <c r="NW28" s="30"/>
      <c r="NX28" s="30"/>
      <c r="NY28" s="30"/>
      <c r="NZ28" s="30"/>
      <c r="OA28" s="30"/>
      <c r="OB28" s="30"/>
      <c r="OC28" s="30"/>
      <c r="OD28" s="30"/>
      <c r="OE28" s="30"/>
      <c r="OF28" s="30"/>
      <c r="OG28" s="30"/>
      <c r="OH28" s="30"/>
      <c r="OI28" s="30"/>
      <c r="OJ28" s="30"/>
      <c r="OK28" s="30"/>
      <c r="OL28" s="30"/>
      <c r="OM28" s="30"/>
      <c r="ON28" s="30"/>
      <c r="OO28" s="30"/>
      <c r="OP28" s="30"/>
      <c r="OQ28" s="30"/>
      <c r="OR28" s="30"/>
      <c r="OS28" s="30"/>
      <c r="OT28" s="30"/>
      <c r="OU28" s="30"/>
      <c r="OV28" s="30"/>
    </row>
    <row r="29" ht="18.0" customHeight="1">
      <c r="A29" s="29">
        <v>28.0</v>
      </c>
      <c r="B29" s="30" t="s">
        <v>3094</v>
      </c>
      <c r="C29" s="31" t="s">
        <v>5059</v>
      </c>
      <c r="D29" s="30" t="s">
        <v>2091</v>
      </c>
      <c r="E29" s="29">
        <v>200.0</v>
      </c>
      <c r="F29" s="29">
        <f>COUNTIF('Tổng hợp 75 trang đích'!$B$2:$B$3400,$D29)</f>
        <v>200</v>
      </c>
      <c r="G29" s="29">
        <f>COUNTIFS('Tổng hợp 75 trang đích'!$B$2:$B$3400,$D29,'Tổng hợp 75 trang đích'!$K$2:$K$3400,"PHÙ HỢP CAO")</f>
        <v>3</v>
      </c>
      <c r="H29" s="29">
        <f>COUNTIFS('Tổng hợp 75 trang đích'!$B$2:$B$3400,$D29,'Tổng hợp 75 trang đích'!$K$2:$K$3400,"CÓ THỂ ĐI")</f>
        <v>2</v>
      </c>
      <c r="I29" s="29">
        <f>COUNTIFS('Tổng hợp 75 trang đích'!$B$2:$B$3400,$D29,'Tổng hợp 75 trang đích'!$K$2:$K$3400,"CẦN SOÁT")</f>
        <v>195</v>
      </c>
      <c r="J29" s="32" t="s">
        <v>714</v>
      </c>
      <c r="K29" s="32" t="b">
        <v>0</v>
      </c>
      <c r="L29" s="33" t="s">
        <v>52</v>
      </c>
      <c r="M29" s="30" t="str">
        <f>IFERROR(__xludf.DUMMYFUNCTION("IFERROR(TOROW(CHOOSECOLS(SORT(FILTER({'Tổng hợp 75 trang đích'!$J$2:$J$3400,'Tổng hợp 75 trang đích'!$I$2:$I$3400,MATCH('Tổng hợp 75 trang đích'!$K$2:$K$3400,{""PHÙ HỢP CAO"",""CÓ THỂ ĐI"",""CẦN SOÁT""},0)},'Tổng hợp 75 trang đích'!$B$2:$B$3400=$D29),3,TR"&amp;"UE),1,2)),"""")"),"cic là gì")</f>
        <v>cic là gì</v>
      </c>
      <c r="N29" s="34" t="str">
        <f>IFERROR(__xludf.DUMMYFUNCTION("""COMPUTED_VALUE"""),"https://techcombank.com/thong-tin/blog/diem-tin-dung")</f>
        <v>https://techcombank.com/thong-tin/blog/diem-tin-dung</v>
      </c>
      <c r="O29" s="30" t="str">
        <f>IFERROR(__xludf.DUMMYFUNCTION("""COMPUTED_VALUE"""),"tra cứu cic")</f>
        <v>tra cứu cic</v>
      </c>
      <c r="P29" s="34" t="str">
        <f>IFERROR(__xludf.DUMMYFUNCTION("""COMPUTED_VALUE"""),"https://techcombank.com/thong-tin/blog/lich-su-tin-dung")</f>
        <v>https://techcombank.com/thong-tin/blog/lich-su-tin-dung</v>
      </c>
      <c r="Q29" s="30" t="str">
        <f>IFERROR(__xludf.DUMMYFUNCTION("""COMPUTED_VALUE"""),"kiểm tra cic")</f>
        <v>kiểm tra cic</v>
      </c>
      <c r="R29" s="34" t="str">
        <f>IFERROR(__xludf.DUMMYFUNCTION("""COMPUTED_VALUE"""),"https://techcombank.com/thong-tin/blog/no-nhom-3")</f>
        <v>https://techcombank.com/thong-tin/blog/no-nhom-3</v>
      </c>
      <c r="S29" s="30" t="str">
        <f>IFERROR(__xludf.DUMMYFUNCTION("""COMPUTED_VALUE"""),"cic là gì")</f>
        <v>cic là gì</v>
      </c>
      <c r="T29" s="34" t="str">
        <f>IFERROR(__xludf.DUMMYFUNCTION("""COMPUTED_VALUE"""),"https://techcombank.com/thong-tin/blog/no-chu-y-la-gi")</f>
        <v>https://techcombank.com/thong-tin/blog/no-chu-y-la-gi</v>
      </c>
      <c r="U29" s="30" t="str">
        <f>IFERROR(__xludf.DUMMYFUNCTION("""COMPUTED_VALUE"""),"tra cứu cic")</f>
        <v>tra cứu cic</v>
      </c>
      <c r="V29" s="34" t="str">
        <f>IFERROR(__xludf.DUMMYFUNCTION("""COMPUTED_VALUE"""),"https://techcombank.com/thong-tin/blog/no-xau-nhom-2")</f>
        <v>https://techcombank.com/thong-tin/blog/no-xau-nhom-2</v>
      </c>
      <c r="W29" s="30" t="str">
        <f>IFERROR(__xludf.DUMMYFUNCTION("""COMPUTED_VALUE"""),"cic là gì")</f>
        <v>cic là gì</v>
      </c>
      <c r="X29" s="34" t="str">
        <f>IFERROR(__xludf.DUMMYFUNCTION("""COMPUTED_VALUE"""),"https://techcombank.com/thong-tin/blog/vay-von-doanh-nghiep-khong-the-chap")</f>
        <v>https://techcombank.com/thong-tin/blog/vay-von-doanh-nghiep-khong-the-chap</v>
      </c>
      <c r="Y29" s="30" t="str">
        <f>IFERROR(__xludf.DUMMYFUNCTION("""COMPUTED_VALUE"""),"kiểm tra cic")</f>
        <v>kiểm tra cic</v>
      </c>
      <c r="Z29" s="34" t="str">
        <f>IFERROR(__xludf.DUMMYFUNCTION("""COMPUTED_VALUE"""),"https://techcombank.com/thong-tin/blog/kiem-tra-no-xau")</f>
        <v>https://techcombank.com/thong-tin/blog/kiem-tra-no-xau</v>
      </c>
      <c r="AA29" s="30" t="str">
        <f>IFERROR(__xludf.DUMMYFUNCTION("""COMPUTED_VALUE"""),"kiểm tra cic")</f>
        <v>kiểm tra cic</v>
      </c>
      <c r="AB29" s="34" t="str">
        <f>IFERROR(__xludf.DUMMYFUNCTION("""COMPUTED_VALUE"""),"https://techcombank.com/thong-tin/blog/no-xau")</f>
        <v>https://techcombank.com/thong-tin/blog/no-xau</v>
      </c>
      <c r="AC29" s="30" t="str">
        <f>IFERROR(__xludf.DUMMYFUNCTION("""COMPUTED_VALUE"""),"kiểm tra cic")</f>
        <v>kiểm tra cic</v>
      </c>
      <c r="AD29" s="34" t="str">
        <f>IFERROR(__xludf.DUMMYFUNCTION("""COMPUTED_VALUE"""),"https://techcombank.com/thong-tin/blog/no-xau-la-gi")</f>
        <v>https://techcombank.com/thong-tin/blog/no-xau-la-gi</v>
      </c>
      <c r="AE29" s="30" t="str">
        <f>IFERROR(__xludf.DUMMYFUNCTION("""COMPUTED_VALUE"""),"kiểm tra cic")</f>
        <v>kiểm tra cic</v>
      </c>
      <c r="AF29" s="34" t="str">
        <f>IFERROR(__xludf.DUMMYFUNCTION("""COMPUTED_VALUE"""),"https://techcombank.com/thong-tin/blog/han-muc-thau-chi-la-gi")</f>
        <v>https://techcombank.com/thong-tin/blog/han-muc-thau-chi-la-gi</v>
      </c>
      <c r="AG29" s="30" t="str">
        <f>IFERROR(__xludf.DUMMYFUNCTION("""COMPUTED_VALUE"""),"cic là gì")</f>
        <v>cic là gì</v>
      </c>
      <c r="AH29" s="34" t="str">
        <f>IFERROR(__xludf.DUMMYFUNCTION("""COMPUTED_VALUE"""),"https://techcombank.com/thong-tin/blog/qua-han-thanh-toan-the-tin-dung-1-ngay")</f>
        <v>https://techcombank.com/thong-tin/blog/qua-han-thanh-toan-the-tin-dung-1-ngay</v>
      </c>
      <c r="AI29" s="30" t="str">
        <f>IFERROR(__xludf.DUMMYFUNCTION("""COMPUTED_VALUE"""),"cic là gì")</f>
        <v>cic là gì</v>
      </c>
      <c r="AJ29" s="34" t="str">
        <f>IFERROR(__xludf.DUMMYFUNCTION("""COMPUTED_VALUE"""),"https://techcombank.com/thong-tin/blog/no-xau-co-lam-the-visa-duoc-khong")</f>
        <v>https://techcombank.com/thong-tin/blog/no-xau-co-lam-the-visa-duoc-khong</v>
      </c>
      <c r="AK29" s="30" t="str">
        <f>IFERROR(__xludf.DUMMYFUNCTION("""COMPUTED_VALUE"""),"tra cứu cic")</f>
        <v>tra cứu cic</v>
      </c>
      <c r="AL29" s="34" t="str">
        <f>IFERROR(__xludf.DUMMYFUNCTION("""COMPUTED_VALUE"""),"https://techcombank.com/thong-tin/blog/thanh-toan-toi-thieu-the-tin-dung")</f>
        <v>https://techcombank.com/thong-tin/blog/thanh-toan-toi-thieu-the-tin-dung</v>
      </c>
      <c r="AM29" s="30" t="str">
        <f>IFERROR(__xludf.DUMMYFUNCTION("""COMPUTED_VALUE"""),"cic là gì")</f>
        <v>cic là gì</v>
      </c>
      <c r="AN29" s="34" t="str">
        <f>IFERROR(__xludf.DUMMYFUNCTION("""COMPUTED_VALUE"""),"https://techcombank.com/thong-tin/blog/spaylater")</f>
        <v>https://techcombank.com/thong-tin/blog/spaylater</v>
      </c>
      <c r="AO29" s="30" t="str">
        <f>IFERROR(__xludf.DUMMYFUNCTION("""COMPUTED_VALUE"""),"cic là gì")</f>
        <v>cic là gì</v>
      </c>
      <c r="AP29" s="34" t="str">
        <f>IFERROR(__xludf.DUMMYFUNCTION("""COMPUTED_VALUE"""),"https://techcombank.com/thong-tin/blog/app-mua-truoc-tra-sau")</f>
        <v>https://techcombank.com/thong-tin/blog/app-mua-truoc-tra-sau</v>
      </c>
      <c r="AQ29" s="30" t="str">
        <f>IFERROR(__xludf.DUMMYFUNCTION("""COMPUTED_VALUE"""),"kiểm tra cic")</f>
        <v>kiểm tra cic</v>
      </c>
      <c r="AR29" s="34" t="str">
        <f>IFERROR(__xludf.DUMMYFUNCTION("""COMPUTED_VALUE"""),"https://techcombank.com/thong-tin/blog/no-xau-mo-the-tin-dung-duoc-khong")</f>
        <v>https://techcombank.com/thong-tin/blog/no-xau-mo-the-tin-dung-duoc-khong</v>
      </c>
      <c r="AS29" s="30" t="str">
        <f>IFERROR(__xludf.DUMMYFUNCTION("""COMPUTED_VALUE"""),"cic là gì")</f>
        <v>cic là gì</v>
      </c>
      <c r="AT29" s="34" t="str">
        <f>IFERROR(__xludf.DUMMYFUNCTION("""COMPUTED_VALUE"""),"https://techcombank.com/thong-tin/blog/no-the-tin-dung-qua-han")</f>
        <v>https://techcombank.com/thong-tin/blog/no-the-tin-dung-qua-han</v>
      </c>
      <c r="AU29" s="30" t="str">
        <f>IFERROR(__xludf.DUMMYFUNCTION("""COMPUTED_VALUE"""),"cic là gì")</f>
        <v>cic là gì</v>
      </c>
      <c r="AV29" s="34" t="str">
        <f>IFERROR(__xludf.DUMMYFUNCTION("""COMPUTED_VALUE"""),"https://techcombank.com/thong-tin/blog/luu-y-khi-su-dung-the-tin-dung")</f>
        <v>https://techcombank.com/thong-tin/blog/luu-y-khi-su-dung-the-tin-dung</v>
      </c>
      <c r="AW29" s="30" t="str">
        <f>IFERROR(__xludf.DUMMYFUNCTION("""COMPUTED_VALUE"""),"cic là gì")</f>
        <v>cic là gì</v>
      </c>
      <c r="AX29" s="34" t="str">
        <f>IFERROR(__xludf.DUMMYFUNCTION("""COMPUTED_VALUE"""),"https://techcombank.com/thong-tin/blog/no-xau-co-vay-the-chap-duoc-khong")</f>
        <v>https://techcombank.com/thong-tin/blog/no-xau-co-vay-the-chap-duoc-khong</v>
      </c>
      <c r="AY29" s="30" t="str">
        <f>IFERROR(__xludf.DUMMYFUNCTION("""COMPUTED_VALUE"""),"tra cứu cic")</f>
        <v>tra cứu cic</v>
      </c>
      <c r="AZ29" s="34" t="str">
        <f>IFERROR(__xludf.DUMMYFUNCTION("""COMPUTED_VALUE"""),"https://techcombank.com/thong-tin/blog/han-muc-vay-the-chap-so-do")</f>
        <v>https://techcombank.com/thong-tin/blog/han-muc-vay-the-chap-so-do</v>
      </c>
      <c r="BA29" s="30" t="str">
        <f>IFERROR(__xludf.DUMMYFUNCTION("""COMPUTED_VALUE"""),"kiểm tra cic")</f>
        <v>kiểm tra cic</v>
      </c>
      <c r="BB29" s="34" t="str">
        <f>IFERROR(__xludf.DUMMYFUNCTION("""COMPUTED_VALUE"""),"https://techcombank.com/thong-tin/blog/vay-tin-chap-no-xau")</f>
        <v>https://techcombank.com/thong-tin/blog/vay-tin-chap-no-xau</v>
      </c>
      <c r="BC29" s="30" t="str">
        <f>IFERROR(__xludf.DUMMYFUNCTION("""COMPUTED_VALUE"""),"tra cứu cic")</f>
        <v>tra cứu cic</v>
      </c>
      <c r="BD29" s="34" t="str">
        <f>IFERROR(__xludf.DUMMYFUNCTION("""COMPUTED_VALUE"""),"https://techcombank.com/thong-tin/blog/kinh-nghiem-vay-the-chap-ngan-hang")</f>
        <v>https://techcombank.com/thong-tin/blog/kinh-nghiem-vay-the-chap-ngan-hang</v>
      </c>
      <c r="BE29" s="30" t="str">
        <f>IFERROR(__xludf.DUMMYFUNCTION("""COMPUTED_VALUE"""),"kiểm tra cic")</f>
        <v>kiểm tra cic</v>
      </c>
      <c r="BF29" s="34" t="str">
        <f>IFERROR(__xludf.DUMMYFUNCTION("""COMPUTED_VALUE"""),"https://techcombank.com/thong-tin/blog/han-muc-tra-gop-the-tin-dung")</f>
        <v>https://techcombank.com/thong-tin/blog/han-muc-tra-gop-the-tin-dung</v>
      </c>
      <c r="BG29" s="30" t="str">
        <f>IFERROR(__xludf.DUMMYFUNCTION("""COMPUTED_VALUE"""),"tra cứu cic")</f>
        <v>tra cứu cic</v>
      </c>
      <c r="BH29" s="34" t="str">
        <f>IFERROR(__xludf.DUMMYFUNCTION("""COMPUTED_VALUE"""),"https://techcombank.com/thong-tin/blog/sao-ke-the-tin-dung-la-gi")</f>
        <v>https://techcombank.com/thong-tin/blog/sao-ke-the-tin-dung-la-gi</v>
      </c>
      <c r="BI29" s="30" t="str">
        <f>IFERROR(__xludf.DUMMYFUNCTION("""COMPUTED_VALUE"""),"cic là gì")</f>
        <v>cic là gì</v>
      </c>
      <c r="BJ29" s="34" t="str">
        <f>IFERROR(__xludf.DUMMYFUNCTION("""COMPUTED_VALUE"""),"https://techcombank.com/thong-tin/blog/vay-tin-chap-khong-tra-duoc-co-sao-khong")</f>
        <v>https://techcombank.com/thong-tin/blog/vay-tin-chap-khong-tra-duoc-co-sao-khong</v>
      </c>
      <c r="BK29" s="30" t="str">
        <f>IFERROR(__xludf.DUMMYFUNCTION("""COMPUTED_VALUE"""),"kiểm tra cic")</f>
        <v>kiểm tra cic</v>
      </c>
      <c r="BL29" s="34" t="str">
        <f>IFERROR(__xludf.DUMMYFUNCTION("""COMPUTED_VALUE"""),"https://techcombank.com/thong-tin/blog/rut-tien-mat-tu-the-tin-dung")</f>
        <v>https://techcombank.com/thong-tin/blog/rut-tien-mat-tu-the-tin-dung</v>
      </c>
      <c r="BM29" s="30" t="str">
        <f>IFERROR(__xludf.DUMMYFUNCTION("""COMPUTED_VALUE"""),"kiểm tra cic")</f>
        <v>kiểm tra cic</v>
      </c>
      <c r="BN29" s="34" t="str">
        <f>IFERROR(__xludf.DUMMYFUNCTION("""COMPUTED_VALUE"""),"https://techcombank.com/thong-tin/blog/han-muc-the-tin-dung")</f>
        <v>https://techcombank.com/thong-tin/blog/han-muc-the-tin-dung</v>
      </c>
      <c r="BO29" s="30" t="str">
        <f>IFERROR(__xludf.DUMMYFUNCTION("""COMPUTED_VALUE"""),"tra cứu cic miễn phí")</f>
        <v>tra cứu cic miễn phí</v>
      </c>
      <c r="BP29" s="34" t="str">
        <f>IFERROR(__xludf.DUMMYFUNCTION("""COMPUTED_VALUE"""),"https://techcombank.com/thong-tin/blog/kiem-tra-thue-thu-nhap-ca-nhan")</f>
        <v>https://techcombank.com/thong-tin/blog/kiem-tra-thue-thu-nhap-ca-nhan</v>
      </c>
      <c r="BQ29" s="30" t="str">
        <f>IFERROR(__xludf.DUMMYFUNCTION("""COMPUTED_VALUE"""),"tra cứu cic miễn phí")</f>
        <v>tra cứu cic miễn phí</v>
      </c>
      <c r="BR29" s="34" t="str">
        <f>IFERROR(__xludf.DUMMYFUNCTION("""COMPUTED_VALUE"""),"https://techcombank.com/thong-tin/blog/kiem-tra-ma-so-thue-doanh-nghiep")</f>
        <v>https://techcombank.com/thong-tin/blog/kiem-tra-ma-so-thue-doanh-nghiep</v>
      </c>
      <c r="BS29" s="30" t="str">
        <f>IFERROR(__xludf.DUMMYFUNCTION("""COMPUTED_VALUE"""),"kiểm tra cic")</f>
        <v>kiểm tra cic</v>
      </c>
      <c r="BT29" s="34" t="str">
        <f>IFERROR(__xludf.DUMMYFUNCTION("""COMPUTED_VALUE"""),"https://techcombank.com/thong-tin/blog/ngan-hang-so-cho-doanh-nghiep")</f>
        <v>https://techcombank.com/thong-tin/blog/ngan-hang-so-cho-doanh-nghiep</v>
      </c>
      <c r="BU29" s="30" t="str">
        <f>IFERROR(__xludf.DUMMYFUNCTION("""COMPUTED_VALUE"""),"kiểm tra cic")</f>
        <v>kiểm tra cic</v>
      </c>
      <c r="BV29" s="34" t="str">
        <f>IFERROR(__xludf.DUMMYFUNCTION("""COMPUTED_VALUE"""),"https://techcombank.com/thong-tin/blog/giai-ngan-la-gi")</f>
        <v>https://techcombank.com/thong-tin/blog/giai-ngan-la-gi</v>
      </c>
      <c r="BW29" s="30" t="str">
        <f>IFERROR(__xludf.DUMMYFUNCTION("""COMPUTED_VALUE"""),"tra cứu cic")</f>
        <v>tra cứu cic</v>
      </c>
      <c r="BX29" s="34" t="str">
        <f>IFERROR(__xludf.DUMMYFUNCTION("""COMPUTED_VALUE"""),"https://techcombank.com/thong-tin/blog/thanh-toan-tien-internet-online")</f>
        <v>https://techcombank.com/thong-tin/blog/thanh-toan-tien-internet-online</v>
      </c>
      <c r="BY29" s="30" t="str">
        <f>IFERROR(__xludf.DUMMYFUNCTION("""COMPUTED_VALUE"""),"kiểm tra cic")</f>
        <v>kiểm tra cic</v>
      </c>
      <c r="BZ29" s="34" t="str">
        <f>IFERROR(__xludf.DUMMYFUNCTION("""COMPUTED_VALUE"""),"https://techcombank.com/thong-tin/blog/the-ghi-no-visa-la-gi")</f>
        <v>https://techcombank.com/thong-tin/blog/the-ghi-no-visa-la-gi</v>
      </c>
      <c r="CA29" s="30" t="str">
        <f>IFERROR(__xludf.DUMMYFUNCTION("""COMPUTED_VALUE"""),"kiểm tra cic")</f>
        <v>kiểm tra cic</v>
      </c>
      <c r="CB29" s="34" t="str">
        <f>IFERROR(__xludf.DUMMYFUNCTION("""COMPUTED_VALUE"""),"https://techcombank.com/thong-tin/blog/tra-gop-lazada")</f>
        <v>https://techcombank.com/thong-tin/blog/tra-gop-lazada</v>
      </c>
      <c r="CC29" s="30" t="str">
        <f>IFERROR(__xludf.DUMMYFUNCTION("""COMPUTED_VALUE"""),"kiểm tra cic")</f>
        <v>kiểm tra cic</v>
      </c>
      <c r="CD29" s="34" t="str">
        <f>IFERROR(__xludf.DUMMYFUNCTION("""COMPUTED_VALUE"""),"https://techcombank.com/thong-tin/blog/lam-ho-so-tra-gop-dien-thoai")</f>
        <v>https://techcombank.com/thong-tin/blog/lam-ho-so-tra-gop-dien-thoai</v>
      </c>
      <c r="CE29" s="30" t="str">
        <f>IFERROR(__xludf.DUMMYFUNCTION("""COMPUTED_VALUE"""),"kiểm tra cic")</f>
        <v>kiểm tra cic</v>
      </c>
      <c r="CF29" s="34" t="str">
        <f>IFERROR(__xludf.DUMMYFUNCTION("""COMPUTED_VALUE"""),"https://techcombank.com/thong-tin/blog/tra-gop-shopee")</f>
        <v>https://techcombank.com/thong-tin/blog/tra-gop-shopee</v>
      </c>
      <c r="CG29" s="30" t="str">
        <f>IFERROR(__xludf.DUMMYFUNCTION("""COMPUTED_VALUE"""),"kiểm tra cic")</f>
        <v>kiểm tra cic</v>
      </c>
      <c r="CH29" s="34" t="str">
        <f>IFERROR(__xludf.DUMMYFUNCTION("""COMPUTED_VALUE"""),"https://techcombank.com/thong-tin/blog/thanh-toan-tra-gop-qua-the-tin-dung")</f>
        <v>https://techcombank.com/thong-tin/blog/thanh-toan-tra-gop-qua-the-tin-dung</v>
      </c>
      <c r="CI29" s="30" t="str">
        <f>IFERROR(__xludf.DUMMYFUNCTION("""COMPUTED_VALUE"""),"kiểm tra cic")</f>
        <v>kiểm tra cic</v>
      </c>
      <c r="CJ29" s="34" t="str">
        <f>IFERROR(__xludf.DUMMYFUNCTION("""COMPUTED_VALUE"""),"https://techcombank.com/thong-tin/blog/mat-so-dien-thoai-dang-ky-tai-khoan-ngan-hang")</f>
        <v>https://techcombank.com/thong-tin/blog/mat-so-dien-thoai-dang-ky-tai-khoan-ngan-hang</v>
      </c>
      <c r="CK29" s="30" t="str">
        <f>IFERROR(__xludf.DUMMYFUNCTION("""COMPUTED_VALUE"""),"cic là gì")</f>
        <v>cic là gì</v>
      </c>
      <c r="CL29" s="34" t="str">
        <f>IFERROR(__xludf.DUMMYFUNCTION("""COMPUTED_VALUE"""),"https://techcombank.com/thong-tin/blog/du-no-tin-dung-la-gi")</f>
        <v>https://techcombank.com/thong-tin/blog/du-no-tin-dung-la-gi</v>
      </c>
      <c r="CM29" s="30" t="str">
        <f>IFERROR(__xludf.DUMMYFUNCTION("""COMPUTED_VALUE"""),"kiểm tra cic")</f>
        <v>kiểm tra cic</v>
      </c>
      <c r="CN29" s="34" t="str">
        <f>IFERROR(__xludf.DUMMYFUNCTION("""COMPUTED_VALUE"""),"https://techcombank.com/thong-tin/blog/tous-les-jours")</f>
        <v>https://techcombank.com/thong-tin/blog/tous-les-jours</v>
      </c>
      <c r="CO29" s="30" t="str">
        <f>IFERROR(__xludf.DUMMYFUNCTION("""COMPUTED_VALUE"""),"kiểm tra cic")</f>
        <v>kiểm tra cic</v>
      </c>
      <c r="CP29" s="34" t="str">
        <f>IFERROR(__xludf.DUMMYFUNCTION("""COMPUTED_VALUE"""),"https://techcombank.com/thong-tin/blog/the-visa-co-can-mat-khau-khong")</f>
        <v>https://techcombank.com/thong-tin/blog/the-visa-co-can-mat-khau-khong</v>
      </c>
      <c r="CQ29" s="30" t="str">
        <f>IFERROR(__xludf.DUMMYFUNCTION("""COMPUTED_VALUE"""),"tra cứu cic")</f>
        <v>tra cứu cic</v>
      </c>
      <c r="CR29" s="34" t="str">
        <f>IFERROR(__xludf.DUMMYFUNCTION("""COMPUTED_VALUE"""),"https://techcombank.com/thong-tin/blog/thanh-toan-cuoc-truyen-hinh")</f>
        <v>https://techcombank.com/thong-tin/blog/thanh-toan-cuoc-truyen-hinh</v>
      </c>
      <c r="CS29" s="30" t="str">
        <f>IFERROR(__xludf.DUMMYFUNCTION("""COMPUTED_VALUE"""),"kiểm tra cic")</f>
        <v>kiểm tra cic</v>
      </c>
      <c r="CT29" s="34" t="str">
        <f>IFERROR(__xludf.DUMMYFUNCTION("""COMPUTED_VALUE"""),"https://techcombank.com/thong-tin/blog/the-tin-dung-quoc-te")</f>
        <v>https://techcombank.com/thong-tin/blog/the-tin-dung-quoc-te</v>
      </c>
      <c r="CU29" s="30" t="str">
        <f>IFERROR(__xludf.DUMMYFUNCTION("""COMPUTED_VALUE"""),"tra cứu cic")</f>
        <v>tra cứu cic</v>
      </c>
      <c r="CV29" s="34" t="str">
        <f>IFERROR(__xludf.DUMMYFUNCTION("""COMPUTED_VALUE"""),"https://techcombank.com/thong-tin/blog/vay-ngan-hang-1-ty-moi-thang-tra-bao-nhieu")</f>
        <v>https://techcombank.com/thong-tin/blog/vay-ngan-hang-1-ty-moi-thang-tra-bao-nhieu</v>
      </c>
      <c r="CW29" s="30" t="str">
        <f>IFERROR(__xludf.DUMMYFUNCTION("""COMPUTED_VALUE"""),"kiểm tra cic")</f>
        <v>kiểm tra cic</v>
      </c>
      <c r="CX29" s="34" t="str">
        <f>IFERROR(__xludf.DUMMYFUNCTION("""COMPUTED_VALUE"""),"https://techcombank.com/thong-tin/blog/cach-thanh-toan-the-tin-dung")</f>
        <v>https://techcombank.com/thong-tin/blog/cach-thanh-toan-the-tin-dung</v>
      </c>
      <c r="CY29" s="30" t="str">
        <f>IFERROR(__xludf.DUMMYFUNCTION("""COMPUTED_VALUE"""),"kiểm tra cic")</f>
        <v>kiểm tra cic</v>
      </c>
      <c r="CZ29" s="34" t="str">
        <f>IFERROR(__xludf.DUMMYFUNCTION("""COMPUTED_VALUE"""),"https://techcombank.com/thong-tin/blog/mua-truoc-tra-sau")</f>
        <v>https://techcombank.com/thong-tin/blog/mua-truoc-tra-sau</v>
      </c>
      <c r="DA29" s="30" t="str">
        <f>IFERROR(__xludf.DUMMYFUNCTION("""COMPUTED_VALUE"""),"tra cứu cic miễn phí")</f>
        <v>tra cứu cic miễn phí</v>
      </c>
      <c r="DB29" s="34" t="str">
        <f>IFERROR(__xludf.DUMMYFUNCTION("""COMPUTED_VALUE"""),"https://techcombank.com/thong-tin/blog/tra-cuu-han-muc-the-tin-dung")</f>
        <v>https://techcombank.com/thong-tin/blog/tra-cuu-han-muc-the-tin-dung</v>
      </c>
      <c r="DC29" s="30" t="str">
        <f>IFERROR(__xludf.DUMMYFUNCTION("""COMPUTED_VALUE"""),"kiểm tra cic")</f>
        <v>kiểm tra cic</v>
      </c>
      <c r="DD29" s="34" t="str">
        <f>IFERROR(__xludf.DUMMYFUNCTION("""COMPUTED_VALUE"""),"https://techcombank.com/thong-tin/blog/kich-hoat-the-tin-dung-techcombank")</f>
        <v>https://techcombank.com/thong-tin/blog/kich-hoat-the-tin-dung-techcombank</v>
      </c>
      <c r="DE29" s="30" t="str">
        <f>IFERROR(__xludf.DUMMYFUNCTION("""COMPUTED_VALUE"""),"kiểm tra cic")</f>
        <v>kiểm tra cic</v>
      </c>
      <c r="DF29" s="34" t="str">
        <f>IFERROR(__xludf.DUMMYFUNCTION("""COMPUTED_VALUE"""),"https://techcombank.com/thong-tin/blog/cach-kich-hoat-the-atm")</f>
        <v>https://techcombank.com/thong-tin/blog/cach-kich-hoat-the-atm</v>
      </c>
      <c r="DG29" s="30" t="str">
        <f>IFERROR(__xludf.DUMMYFUNCTION("""COMPUTED_VALUE"""),"kiểm tra cic")</f>
        <v>kiểm tra cic</v>
      </c>
      <c r="DH29" s="34" t="str">
        <f>IFERROR(__xludf.DUMMYFUNCTION("""COMPUTED_VALUE"""),"https://techcombank.com/thong-tin/blog/tra-luong-tien-mat")</f>
        <v>https://techcombank.com/thong-tin/blog/tra-luong-tien-mat</v>
      </c>
      <c r="DI29" s="30" t="str">
        <f>IFERROR(__xludf.DUMMYFUNCTION("""COMPUTED_VALUE"""),"tra cứu cic")</f>
        <v>tra cứu cic</v>
      </c>
      <c r="DJ29" s="34" t="str">
        <f>IFERROR(__xludf.DUMMYFUNCTION("""COMPUTED_VALUE"""),"https://techcombank.com/thong-tin/blog/so-the-tin-dung")</f>
        <v>https://techcombank.com/thong-tin/blog/so-the-tin-dung</v>
      </c>
      <c r="DK29" s="30" t="str">
        <f>IFERROR(__xludf.DUMMYFUNCTION("""COMPUTED_VALUE"""),"kiểm tra cic")</f>
        <v>kiểm tra cic</v>
      </c>
      <c r="DL29" s="34" t="str">
        <f>IFERROR(__xludf.DUMMYFUNCTION("""COMPUTED_VALUE"""),"https://techcombank.com/thong-tin/blog/the-tin-dung-hoan-tien")</f>
        <v>https://techcombank.com/thong-tin/blog/the-tin-dung-hoan-tien</v>
      </c>
      <c r="DM29" s="30" t="str">
        <f>IFERROR(__xludf.DUMMYFUNCTION("""COMPUTED_VALUE"""),"kiểm tra cic")</f>
        <v>kiểm tra cic</v>
      </c>
      <c r="DN29" s="34" t="str">
        <f>IFERROR(__xludf.DUMMYFUNCTION("""COMPUTED_VALUE"""),"https://techcombank.com/thong-tin/blog/sang-ngang-the-tin-dung")</f>
        <v>https://techcombank.com/thong-tin/blog/sang-ngang-the-tin-dung</v>
      </c>
      <c r="DO29" s="30" t="str">
        <f>IFERROR(__xludf.DUMMYFUNCTION("""COMPUTED_VALUE"""),"kiểm tra cic")</f>
        <v>kiểm tra cic</v>
      </c>
      <c r="DP29" s="34" t="str">
        <f>IFERROR(__xludf.DUMMYFUNCTION("""COMPUTED_VALUE"""),"https://techcombank.com/thong-tin/blog/thanh-toan-online-bang-the-tin-dung")</f>
        <v>https://techcombank.com/thong-tin/blog/thanh-toan-online-bang-the-tin-dung</v>
      </c>
      <c r="DQ29" s="30" t="str">
        <f>IFERROR(__xludf.DUMMYFUNCTION("""COMPUTED_VALUE"""),"tra cứu cic")</f>
        <v>tra cứu cic</v>
      </c>
      <c r="DR29" s="34" t="str">
        <f>IFERROR(__xludf.DUMMYFUNCTION("""COMPUTED_VALUE"""),"https://techcombank.com/thong-tin/blog/hoan-thue-thu-nhap-ca-nhan")</f>
        <v>https://techcombank.com/thong-tin/blog/hoan-thue-thu-nhap-ca-nhan</v>
      </c>
      <c r="DS29" s="30" t="str">
        <f>IFERROR(__xludf.DUMMYFUNCTION("""COMPUTED_VALUE"""),"kiểm tra cic")</f>
        <v>kiểm tra cic</v>
      </c>
      <c r="DT29" s="34" t="str">
        <f>IFERROR(__xludf.DUMMYFUNCTION("""COMPUTED_VALUE"""),"https://techcombank.com/thong-tin/blog/the-tin-dung-ao")</f>
        <v>https://techcombank.com/thong-tin/blog/the-tin-dung-ao</v>
      </c>
      <c r="DU29" s="30" t="str">
        <f>IFERROR(__xludf.DUMMYFUNCTION("""COMPUTED_VALUE"""),"kiểm tra cic")</f>
        <v>kiểm tra cic</v>
      </c>
      <c r="DV29" s="34" t="str">
        <f>IFERROR(__xludf.DUMMYFUNCTION("""COMPUTED_VALUE"""),"https://techcombank.com/thong-tin/blog/the-tin-dung-co-ma-pin-khong")</f>
        <v>https://techcombank.com/thong-tin/blog/the-tin-dung-co-ma-pin-khong</v>
      </c>
      <c r="DW29" s="30" t="str">
        <f>IFERROR(__xludf.DUMMYFUNCTION("""COMPUTED_VALUE"""),"kiểm tra cic")</f>
        <v>kiểm tra cic</v>
      </c>
      <c r="DX29" s="34" t="str">
        <f>IFERROR(__xludf.DUMMYFUNCTION("""COMPUTED_VALUE"""),"https://techcombank.com/thong-tin/blog/mat-the-tin-dung-co-lam-lai-duoc-khong")</f>
        <v>https://techcombank.com/thong-tin/blog/mat-the-tin-dung-co-lam-lai-duoc-khong</v>
      </c>
      <c r="DY29" s="30" t="str">
        <f>IFERROR(__xludf.DUMMYFUNCTION("""COMPUTED_VALUE"""),"kiểm tra cic")</f>
        <v>kiểm tra cic</v>
      </c>
      <c r="DZ29" s="34" t="str">
        <f>IFERROR(__xludf.DUMMYFUNCTION("""COMPUTED_VALUE"""),"https://techcombank.com/thong-tin/blog/ghi-chep-chi-tieu")</f>
        <v>https://techcombank.com/thong-tin/blog/ghi-chep-chi-tieu</v>
      </c>
      <c r="EA29" s="30" t="str">
        <f>IFERROR(__xludf.DUMMYFUNCTION("""COMPUTED_VALUE"""),"kiểm tra cic")</f>
        <v>kiểm tra cic</v>
      </c>
      <c r="EB29" s="34" t="str">
        <f>IFERROR(__xludf.DUMMYFUNCTION("""COMPUTED_VALUE"""),"https://techcombank.com/thong-tin/blog/mo-tai-khoan-ho-kinh-doanh")</f>
        <v>https://techcombank.com/thong-tin/blog/mo-tai-khoan-ho-kinh-doanh</v>
      </c>
      <c r="EC29" s="30" t="str">
        <f>IFERROR(__xludf.DUMMYFUNCTION("""COMPUTED_VALUE"""),"kiểm tra cic")</f>
        <v>kiểm tra cic</v>
      </c>
      <c r="ED29" s="34" t="str">
        <f>IFERROR(__xludf.DUMMYFUNCTION("""COMPUTED_VALUE"""),"https://techcombank.com/thong-tin/blog/voucher-highland")</f>
        <v>https://techcombank.com/thong-tin/blog/voucher-highland</v>
      </c>
      <c r="EE29" s="30" t="str">
        <f>IFERROR(__xludf.DUMMYFUNCTION("""COMPUTED_VALUE"""),"tra cứu cic")</f>
        <v>tra cứu cic</v>
      </c>
      <c r="EF29" s="34" t="str">
        <f>IFERROR(__xludf.DUMMYFUNCTION("""COMPUTED_VALUE"""),"https://techcombank.com/thong-tin/blog/tien-singapore")</f>
        <v>https://techcombank.com/thong-tin/blog/tien-singapore</v>
      </c>
      <c r="EG29" s="30" t="str">
        <f>IFERROR(__xludf.DUMMYFUNCTION("""COMPUTED_VALUE"""),"tra cứu cic")</f>
        <v>tra cứu cic</v>
      </c>
      <c r="EH29" s="34" t="str">
        <f>IFERROR(__xludf.DUMMYFUNCTION("""COMPUTED_VALUE"""),"https://techcombank.com/thong-tin/blog/merchant-portal")</f>
        <v>https://techcombank.com/thong-tin/blog/merchant-portal</v>
      </c>
      <c r="EI29" s="30" t="str">
        <f>IFERROR(__xludf.DUMMYFUNCTION("""COMPUTED_VALUE"""),"kiểm tra cic")</f>
        <v>kiểm tra cic</v>
      </c>
      <c r="EJ29" s="34" t="str">
        <f>IFERROR(__xludf.DUMMYFUNCTION("""COMPUTED_VALUE"""),"https://techcombank.com/thong-tin/blog/mo-the-tin-dung-co-loi-ich-gi")</f>
        <v>https://techcombank.com/thong-tin/blog/mo-the-tin-dung-co-loi-ich-gi</v>
      </c>
      <c r="EK29" s="30" t="str">
        <f>IFERROR(__xludf.DUMMYFUNCTION("""COMPUTED_VALUE"""),"kiểm tra cic")</f>
        <v>kiểm tra cic</v>
      </c>
      <c r="EL29" s="34" t="str">
        <f>IFERROR(__xludf.DUMMYFUNCTION("""COMPUTED_VALUE"""),"https://techcombank.com/thong-tin/blog/lam-the-tin-dung")</f>
        <v>https://techcombank.com/thong-tin/blog/lam-the-tin-dung</v>
      </c>
      <c r="EM29" s="30" t="str">
        <f>IFERROR(__xludf.DUMMYFUNCTION("""COMPUTED_VALUE"""),"kiểm tra cic")</f>
        <v>kiểm tra cic</v>
      </c>
      <c r="EN29" s="34" t="str">
        <f>IFERROR(__xludf.DUMMYFUNCTION("""COMPUTED_VALUE"""),"https://techcombank.com/thong-tin/blog/the-tin-dung-mien-lai-55-ngay")</f>
        <v>https://techcombank.com/thong-tin/blog/the-tin-dung-mien-lai-55-ngay</v>
      </c>
      <c r="EO29" s="30" t="str">
        <f>IFERROR(__xludf.DUMMYFUNCTION("""COMPUTED_VALUE"""),"tra cứu cic")</f>
        <v>tra cứu cic</v>
      </c>
      <c r="EP29" s="34" t="str">
        <f>IFERROR(__xludf.DUMMYFUNCTION("""COMPUTED_VALUE"""),"https://techcombank.com/thong-tin/blog/softpos")</f>
        <v>https://techcombank.com/thong-tin/blog/softpos</v>
      </c>
      <c r="EQ29" s="30" t="str">
        <f>IFERROR(__xludf.DUMMYFUNCTION("""COMPUTED_VALUE"""),"kiểm tra cic")</f>
        <v>kiểm tra cic</v>
      </c>
      <c r="ER29" s="34" t="str">
        <f>IFERROR(__xludf.DUMMYFUNCTION("""COMPUTED_VALUE"""),"https://techcombank.com/thong-tin/blog/khach-hang-vip-bat-dong-san")</f>
        <v>https://techcombank.com/thong-tin/blog/khach-hang-vip-bat-dong-san</v>
      </c>
      <c r="ES29" s="30" t="str">
        <f>IFERROR(__xludf.DUMMYFUNCTION("""COMPUTED_VALUE"""),"kiểm tra cic")</f>
        <v>kiểm tra cic</v>
      </c>
      <c r="ET29" s="34" t="str">
        <f>IFERROR(__xludf.DUMMYFUNCTION("""COMPUTED_VALUE"""),"https://techcombank.com/thong-tin/blog/uu-dai-mo-the-tin-dung")</f>
        <v>https://techcombank.com/thong-tin/blog/uu-dai-mo-the-tin-dung</v>
      </c>
      <c r="EU29" s="30" t="str">
        <f>IFERROR(__xludf.DUMMYFUNCTION("""COMPUTED_VALUE"""),"kiểm tra cic")</f>
        <v>kiểm tra cic</v>
      </c>
      <c r="EV29" s="34" t="str">
        <f>IFERROR(__xludf.DUMMYFUNCTION("""COMPUTED_VALUE"""),"https://techcombank.com/thong-tin/blog/gui-tiet-kiem-lay-lai-hang-thang")</f>
        <v>https://techcombank.com/thong-tin/blog/gui-tiet-kiem-lay-lai-hang-thang</v>
      </c>
      <c r="EW29" s="30" t="str">
        <f>IFERROR(__xludf.DUMMYFUNCTION("""COMPUTED_VALUE"""),"kiểm tra cic")</f>
        <v>kiểm tra cic</v>
      </c>
      <c r="EX29" s="34" t="str">
        <f>IFERROR(__xludf.DUMMYFUNCTION("""COMPUTED_VALUE"""),"https://techcombank.com/thong-tin/blog/the-tin-dung-la-gi")</f>
        <v>https://techcombank.com/thong-tin/blog/the-tin-dung-la-gi</v>
      </c>
      <c r="EY29" s="30" t="str">
        <f>IFERROR(__xludf.DUMMYFUNCTION("""COMPUTED_VALUE"""),"kiểm tra cic")</f>
        <v>kiểm tra cic</v>
      </c>
      <c r="EZ29" s="34" t="str">
        <f>IFERROR(__xludf.DUMMYFUNCTION("""COMPUTED_VALUE"""),"https://techcombank.com/thong-tin/blog/hoan-thue-doanh-nghiep")</f>
        <v>https://techcombank.com/thong-tin/blog/hoan-thue-doanh-nghiep</v>
      </c>
      <c r="FA29" s="30" t="str">
        <f>IFERROR(__xludf.DUMMYFUNCTION("""COMPUTED_VALUE"""),"kiểm tra cic")</f>
        <v>kiểm tra cic</v>
      </c>
      <c r="FB29" s="34" t="str">
        <f>IFERROR(__xludf.DUMMYFUNCTION("""COMPUTED_VALUE"""),"https://techcombank.com/thong-tin/blog/cach-huy-the-tin-dung")</f>
        <v>https://techcombank.com/thong-tin/blog/cach-huy-the-tin-dung</v>
      </c>
      <c r="FC29" s="30" t="str">
        <f>IFERROR(__xludf.DUMMYFUNCTION("""COMPUTED_VALUE"""),"tra cứu cic")</f>
        <v>tra cứu cic</v>
      </c>
      <c r="FD29" s="34" t="str">
        <f>IFERROR(__xludf.DUMMYFUNCTION("""COMPUTED_VALUE"""),"https://techcombank.com/thong-tin/blog/bao-lanh-thuc-hien-hop-dong")</f>
        <v>https://techcombank.com/thong-tin/blog/bao-lanh-thuc-hien-hop-dong</v>
      </c>
      <c r="FE29" s="30" t="str">
        <f>IFERROR(__xludf.DUMMYFUNCTION("""COMPUTED_VALUE"""),"kiểm tra cic")</f>
        <v>kiểm tra cic</v>
      </c>
      <c r="FF29" s="34" t="str">
        <f>IFERROR(__xludf.DUMMYFUNCTION("""COMPUTED_VALUE"""),"https://techcombank.com/thong-tin/blog/chuyen-tien-tu-han-sang-viet-nam")</f>
        <v>https://techcombank.com/thong-tin/blog/chuyen-tien-tu-han-sang-viet-nam</v>
      </c>
      <c r="FG29" s="30" t="str">
        <f>IFERROR(__xludf.DUMMYFUNCTION("""COMPUTED_VALUE"""),"kiểm tra cic")</f>
        <v>kiểm tra cic</v>
      </c>
      <c r="FH29" s="34" t="str">
        <f>IFERROR(__xludf.DUMMYFUNCTION("""COMPUTED_VALUE"""),"https://techcombank.com/thong-tin/blog/thanh-toan-tien-dien-bang-the-tin-dung")</f>
        <v>https://techcombank.com/thong-tin/blog/thanh-toan-tien-dien-bang-the-tin-dung</v>
      </c>
      <c r="FI29" s="30" t="str">
        <f>IFERROR(__xludf.DUMMYFUNCTION("""COMPUTED_VALUE"""),"tra cứu cic")</f>
        <v>tra cứu cic</v>
      </c>
      <c r="FJ29" s="34" t="str">
        <f>IFERROR(__xludf.DUMMYFUNCTION("""COMPUTED_VALUE"""),"https://techcombank.com/thong-tin/blog/nop-thue-hai-quan")</f>
        <v>https://techcombank.com/thong-tin/blog/nop-thue-hai-quan</v>
      </c>
      <c r="FK29" s="30" t="str">
        <f>IFERROR(__xludf.DUMMYFUNCTION("""COMPUTED_VALUE"""),"kiểm tra cic")</f>
        <v>kiểm tra cic</v>
      </c>
      <c r="FL29" s="34" t="str">
        <f>IFERROR(__xludf.DUMMYFUNCTION("""COMPUTED_VALUE"""),"https://techcombank.com/thong-tin/blog/in-ma-qr-ngan-hang")</f>
        <v>https://techcombank.com/thong-tin/blog/in-ma-qr-ngan-hang</v>
      </c>
      <c r="FM29" s="30" t="str">
        <f>IFERROR(__xludf.DUMMYFUNCTION("""COMPUTED_VALUE"""),"kiểm tra cic")</f>
        <v>kiểm tra cic</v>
      </c>
      <c r="FN29" s="34" t="str">
        <f>IFERROR(__xludf.DUMMYFUNCTION("""COMPUTED_VALUE"""),"https://techcombank.com/thong-tin/blog/cac-loai-the-tin-dung")</f>
        <v>https://techcombank.com/thong-tin/blog/cac-loai-the-tin-dung</v>
      </c>
      <c r="FO29" s="30" t="str">
        <f>IFERROR(__xludf.DUMMYFUNCTION("""COMPUTED_VALUE"""),"tra cứu cic")</f>
        <v>tra cứu cic</v>
      </c>
      <c r="FP29" s="34" t="str">
        <f>IFERROR(__xludf.DUMMYFUNCTION("""COMPUTED_VALUE"""),"https://techcombank.com/thong-tin/blog/so-cvv-la-gi")</f>
        <v>https://techcombank.com/thong-tin/blog/so-cvv-la-gi</v>
      </c>
      <c r="FQ29" s="30" t="str">
        <f>IFERROR(__xludf.DUMMYFUNCTION("""COMPUTED_VALUE"""),"tra cứu cic")</f>
        <v>tra cứu cic</v>
      </c>
      <c r="FR29" s="34" t="str">
        <f>IFERROR(__xludf.DUMMYFUNCTION("""COMPUTED_VALUE"""),"https://techcombank.com/thong-tin/blog/so-tai-khoan-ngan-hang")</f>
        <v>https://techcombank.com/thong-tin/blog/so-tai-khoan-ngan-hang</v>
      </c>
      <c r="FS29" s="30" t="str">
        <f>IFERROR(__xludf.DUMMYFUNCTION("""COMPUTED_VALUE"""),"kiểm tra cic")</f>
        <v>kiểm tra cic</v>
      </c>
      <c r="FT29" s="34" t="str">
        <f>IFERROR(__xludf.DUMMYFUNCTION("""COMPUTED_VALUE"""),"https://techcombank.com/thong-tin/blog/gui-tien-du-hoc")</f>
        <v>https://techcombank.com/thong-tin/blog/gui-tien-du-hoc</v>
      </c>
      <c r="FU29" s="30" t="str">
        <f>IFERROR(__xludf.DUMMYFUNCTION("""COMPUTED_VALUE"""),"kiểm tra cic")</f>
        <v>kiểm tra cic</v>
      </c>
      <c r="FV29" s="34" t="str">
        <f>IFERROR(__xludf.DUMMYFUNCTION("""COMPUTED_VALUE"""),"https://techcombank.com/thong-tin/blog/tien-nhan-roi-nen-lam-gi")</f>
        <v>https://techcombank.com/thong-tin/blog/tien-nhan-roi-nen-lam-gi</v>
      </c>
      <c r="FW29" s="30" t="str">
        <f>IFERROR(__xludf.DUMMYFUNCTION("""COMPUTED_VALUE"""),"kiểm tra cic")</f>
        <v>kiểm tra cic</v>
      </c>
      <c r="FX29" s="34" t="str">
        <f>IFERROR(__xludf.DUMMYFUNCTION("""COMPUTED_VALUE"""),"https://techcombank.com/thong-tin/blog/ma-qr-techcombank")</f>
        <v>https://techcombank.com/thong-tin/blog/ma-qr-techcombank</v>
      </c>
      <c r="FY29" s="30" t="str">
        <f>IFERROR(__xludf.DUMMYFUNCTION("""COMPUTED_VALUE"""),"kiểm tra cic")</f>
        <v>kiểm tra cic</v>
      </c>
      <c r="FZ29" s="34" t="str">
        <f>IFERROR(__xludf.DUMMYFUNCTION("""COMPUTED_VALUE"""),"https://techcombank.com/thong-tin/blog/chuyen-tien-tu-my-ve-viet-nam")</f>
        <v>https://techcombank.com/thong-tin/blog/chuyen-tien-tu-my-ve-viet-nam</v>
      </c>
      <c r="GA29" s="30" t="str">
        <f>IFERROR(__xludf.DUMMYFUNCTION("""COMPUTED_VALUE"""),"tra cứu cic")</f>
        <v>tra cứu cic</v>
      </c>
      <c r="GB29" s="34" t="str">
        <f>IFERROR(__xludf.DUMMYFUNCTION("""COMPUTED_VALUE"""),"https://techcombank.com/thong-tin/blog/cach-tinh-thue-thu-nhap-ca-nhan-2025")</f>
        <v>https://techcombank.com/thong-tin/blog/cach-tinh-thue-thu-nhap-ca-nhan-2025</v>
      </c>
      <c r="GC29" s="30" t="str">
        <f>IFERROR(__xludf.DUMMYFUNCTION("""COMPUTED_VALUE"""),"kiểm tra cic")</f>
        <v>kiểm tra cic</v>
      </c>
      <c r="GD29" s="34" t="str">
        <f>IFERROR(__xludf.DUMMYFUNCTION("""COMPUTED_VALUE"""),"https://techcombank.com/thong-tin/blog/mat-the-tin-dung-co-bi-mat-tien-khong")</f>
        <v>https://techcombank.com/thong-tin/blog/mat-the-tin-dung-co-bi-mat-tien-khong</v>
      </c>
      <c r="GE29" s="30" t="str">
        <f>IFERROR(__xludf.DUMMYFUNCTION("""COMPUTED_VALUE"""),"kiểm tra cic")</f>
        <v>kiểm tra cic</v>
      </c>
      <c r="GF29" s="34" t="str">
        <f>IFERROR(__xludf.DUMMYFUNCTION("""COMPUTED_VALUE"""),"https://techcombank.com/thong-tin/blog/cach-lam-the-ngan-hang-chay-quang-cao-facebook")</f>
        <v>https://techcombank.com/thong-tin/blog/cach-lam-the-ngan-hang-chay-quang-cao-facebook</v>
      </c>
      <c r="GG29" s="30" t="str">
        <f>IFERROR(__xludf.DUMMYFUNCTION("""COMPUTED_VALUE"""),"kiểm tra cic")</f>
        <v>kiểm tra cic</v>
      </c>
      <c r="GH29" s="34" t="str">
        <f>IFERROR(__xludf.DUMMYFUNCTION("""COMPUTED_VALUE"""),"https://techcombank.com/thong-tin/blog/co-nen-dung-the-tin-dung-khong")</f>
        <v>https://techcombank.com/thong-tin/blog/co-nen-dung-the-tin-dung-khong</v>
      </c>
      <c r="GI29" s="30" t="str">
        <f>IFERROR(__xludf.DUMMYFUNCTION("""COMPUTED_VALUE"""),"tra cứu cic")</f>
        <v>tra cứu cic</v>
      </c>
      <c r="GJ29" s="34" t="str">
        <f>IFERROR(__xludf.DUMMYFUNCTION("""COMPUTED_VALUE"""),"https://techcombank.com/thong-tin/blog/ma-buu-chinh-the-tin-dung")</f>
        <v>https://techcombank.com/thong-tin/blog/ma-buu-chinh-the-tin-dung</v>
      </c>
      <c r="GK29" s="30" t="str">
        <f>IFERROR(__xludf.DUMMYFUNCTION("""COMPUTED_VALUE"""),"kiểm tra cic")</f>
        <v>kiểm tra cic</v>
      </c>
      <c r="GL29" s="34" t="str">
        <f>IFERROR(__xludf.DUMMYFUNCTION("""COMPUTED_VALUE"""),"https://techcombank.com/thong-tin/blog/uu-diem-cua-blockchain")</f>
        <v>https://techcombank.com/thong-tin/blog/uu-diem-cua-blockchain</v>
      </c>
      <c r="GM29" s="30" t="str">
        <f>IFERROR(__xludf.DUMMYFUNCTION("""COMPUTED_VALUE"""),"kiểm tra cic")</f>
        <v>kiểm tra cic</v>
      </c>
      <c r="GN29" s="34" t="str">
        <f>IFERROR(__xludf.DUMMYFUNCTION("""COMPUTED_VALUE"""),"https://techcombank.com/thong-tin/blog/mm-yy-la-gi")</f>
        <v>https://techcombank.com/thong-tin/blog/mm-yy-la-gi</v>
      </c>
      <c r="GO29" s="30" t="str">
        <f>IFERROR(__xludf.DUMMYFUNCTION("""COMPUTED_VALUE"""),"tra cứu cic")</f>
        <v>tra cứu cic</v>
      </c>
      <c r="GP29" s="34" t="str">
        <f>IFERROR(__xludf.DUMMYFUNCTION("""COMPUTED_VALUE"""),"https://techcombank.com/thong-tin/blog/cach-kiem-tra-tai-khoan-ngan-hang")</f>
        <v>https://techcombank.com/thong-tin/blog/cach-kiem-tra-tai-khoan-ngan-hang</v>
      </c>
      <c r="GQ29" s="30" t="str">
        <f>IFERROR(__xludf.DUMMYFUNCTION("""COMPUTED_VALUE"""),"kiểm tra cic")</f>
        <v>kiểm tra cic</v>
      </c>
      <c r="GR29" s="34" t="str">
        <f>IFERROR(__xludf.DUMMYFUNCTION("""COMPUTED_VALUE"""),"https://techcombank.com/thong-tin/blog/nen-de-tien-trong-the-hay-gui-tiet-kiem")</f>
        <v>https://techcombank.com/thong-tin/blog/nen-de-tien-trong-the-hay-gui-tiet-kiem</v>
      </c>
      <c r="GS29" s="30" t="str">
        <f>IFERROR(__xludf.DUMMYFUNCTION("""COMPUTED_VALUE"""),"kiểm tra cic")</f>
        <v>kiểm tra cic</v>
      </c>
      <c r="GT29" s="34" t="str">
        <f>IFERROR(__xludf.DUMMYFUNCTION("""COMPUTED_VALUE"""),"https://techcombank.com/thong-tin/blog/tin-dung-doanh-nghiep")</f>
        <v>https://techcombank.com/thong-tin/blog/tin-dung-doanh-nghiep</v>
      </c>
      <c r="GU29" s="30" t="str">
        <f>IFERROR(__xludf.DUMMYFUNCTION("""COMPUTED_VALUE"""),"tra cứu cic")</f>
        <v>tra cứu cic</v>
      </c>
      <c r="GV29" s="34" t="str">
        <f>IFERROR(__xludf.DUMMYFUNCTION("""COMPUTED_VALUE"""),"https://techcombank.com/thong-tin/blog/nop-thue-dat-qua-ngan-hang")</f>
        <v>https://techcombank.com/thong-tin/blog/nop-thue-dat-qua-ngan-hang</v>
      </c>
      <c r="GW29" s="30" t="str">
        <f>IFERROR(__xludf.DUMMYFUNCTION("""COMPUTED_VALUE"""),"kiểm tra cic")</f>
        <v>kiểm tra cic</v>
      </c>
      <c r="GX29" s="34" t="str">
        <f>IFERROR(__xludf.DUMMYFUNCTION("""COMPUTED_VALUE"""),"https://techcombank.com/thong-tin/blog/voucher-the-pizza-company")</f>
        <v>https://techcombank.com/thong-tin/blog/voucher-the-pizza-company</v>
      </c>
      <c r="GY29" s="30" t="str">
        <f>IFERROR(__xludf.DUMMYFUNCTION("""COMPUTED_VALUE"""),"kiểm tra cic")</f>
        <v>kiểm tra cic</v>
      </c>
      <c r="GZ29" s="34" t="str">
        <f>IFERROR(__xludf.DUMMYFUNCTION("""COMPUTED_VALUE"""),"https://techcombank.com/thong-tin/blog/chuyen-khoan-thanh-cong-nhung-khong-nhan-duoc-tien")</f>
        <v>https://techcombank.com/thong-tin/blog/chuyen-khoan-thanh-cong-nhung-khong-nhan-duoc-tien</v>
      </c>
      <c r="HA29" s="30" t="str">
        <f>IFERROR(__xludf.DUMMYFUNCTION("""COMPUTED_VALUE"""),"kiểm tra cic")</f>
        <v>kiểm tra cic</v>
      </c>
      <c r="HB29" s="34" t="str">
        <f>IFERROR(__xludf.DUMMYFUNCTION("""COMPUTED_VALUE"""),"https://techcombank.com/thong-tin/blog/khai-bao-tai-khoan-ngan-hang-voi-co-quan-thue")</f>
        <v>https://techcombank.com/thong-tin/blog/khai-bao-tai-khoan-ngan-hang-voi-co-quan-thue</v>
      </c>
      <c r="HC29" s="30" t="str">
        <f>IFERROR(__xludf.DUMMYFUNCTION("""COMPUTED_VALUE"""),"cic là gì")</f>
        <v>cic là gì</v>
      </c>
      <c r="HD29" s="34" t="str">
        <f>IFERROR(__xludf.DUMMYFUNCTION("""COMPUTED_VALUE"""),"https://techcombank.com/thong-tin/blog/du-no-la-gi")</f>
        <v>https://techcombank.com/thong-tin/blog/du-no-la-gi</v>
      </c>
      <c r="HE29" s="30" t="str">
        <f>IFERROR(__xludf.DUMMYFUNCTION("""COMPUTED_VALUE"""),"cic là gì")</f>
        <v>cic là gì</v>
      </c>
      <c r="HF29" s="34" t="str">
        <f>IFERROR(__xludf.DUMMYFUNCTION("""COMPUTED_VALUE"""),"https://techcombank.com/thong-tin/blog/cam-ket-tin-dung")</f>
        <v>https://techcombank.com/thong-tin/blog/cam-ket-tin-dung</v>
      </c>
      <c r="HG29" s="30" t="str">
        <f>IFERROR(__xludf.DUMMYFUNCTION("""COMPUTED_VALUE"""),"tra cứu cic")</f>
        <v>tra cứu cic</v>
      </c>
      <c r="HH29" s="34" t="str">
        <f>IFERROR(__xludf.DUMMYFUNCTION("""COMPUTED_VALUE"""),"https://techcombank.com/thong-tin/blog/xep-hang-tin-dung")</f>
        <v>https://techcombank.com/thong-tin/blog/xep-hang-tin-dung</v>
      </c>
      <c r="HI29" s="30" t="str">
        <f>IFERROR(__xludf.DUMMYFUNCTION("""COMPUTED_VALUE"""),"kiểm tra cic")</f>
        <v>kiểm tra cic</v>
      </c>
      <c r="HJ29" s="34" t="str">
        <f>IFERROR(__xludf.DUMMYFUNCTION("""COMPUTED_VALUE"""),"https://techcombank.com/thong-tin/blog/thanh-toan-quoc-te")</f>
        <v>https://techcombank.com/thong-tin/blog/thanh-toan-quoc-te</v>
      </c>
      <c r="HK29" s="30" t="str">
        <f>IFERROR(__xludf.DUMMYFUNCTION("""COMPUTED_VALUE"""),"kiểm tra cic")</f>
        <v>kiểm tra cic</v>
      </c>
      <c r="HL29" s="34" t="str">
        <f>IFERROR(__xludf.DUMMYFUNCTION("""COMPUTED_VALUE"""),"https://techcombank.com/thong-tin/blog/dang-ky-nhieu-tai-khoan-ngan-hang-co-sao-khong")</f>
        <v>https://techcombank.com/thong-tin/blog/dang-ky-nhieu-tai-khoan-ngan-hang-co-sao-khong</v>
      </c>
      <c r="HM29" s="30" t="str">
        <f>IFERROR(__xludf.DUMMYFUNCTION("""COMPUTED_VALUE"""),"kiểm tra cic")</f>
        <v>kiểm tra cic</v>
      </c>
      <c r="HN29" s="34" t="str">
        <f>IFERROR(__xludf.DUMMYFUNCTION("""COMPUTED_VALUE"""),"https://techcombank.com/thong-tin/blog/the-mastercard-la-gi")</f>
        <v>https://techcombank.com/thong-tin/blog/the-mastercard-la-gi</v>
      </c>
      <c r="HO29" s="30" t="str">
        <f>IFERROR(__xludf.DUMMYFUNCTION("""COMPUTED_VALUE"""),"tra cứu cic")</f>
        <v>tra cứu cic</v>
      </c>
      <c r="HP29" s="34" t="str">
        <f>IFERROR(__xludf.DUMMYFUNCTION("""COMPUTED_VALUE"""),"https://techcombank.com/thong-tin/blog/tai-khoan-ngan-hang-bi-khoa")</f>
        <v>https://techcombank.com/thong-tin/blog/tai-khoan-ngan-hang-bi-khoa</v>
      </c>
      <c r="HQ29" s="30" t="str">
        <f>IFERROR(__xludf.DUMMYFUNCTION("""COMPUTED_VALUE"""),"cic là gì")</f>
        <v>cic là gì</v>
      </c>
      <c r="HR29" s="34" t="str">
        <f>IFERROR(__xludf.DUMMYFUNCTION("""COMPUTED_VALUE"""),"https://techcombank.com/thong-tin/blog/vay-han-muc-la-gi")</f>
        <v>https://techcombank.com/thong-tin/blog/vay-han-muc-la-gi</v>
      </c>
      <c r="HS29" s="30" t="str">
        <f>IFERROR(__xludf.DUMMYFUNCTION("""COMPUTED_VALUE"""),"kiểm tra cic")</f>
        <v>kiểm tra cic</v>
      </c>
      <c r="HT29" s="34" t="str">
        <f>IFERROR(__xludf.DUMMYFUNCTION("""COMPUTED_VALUE"""),"https://techcombank.com/thong-tin/blog/vang-14k-gia-hom-nay")</f>
        <v>https://techcombank.com/thong-tin/blog/vang-14k-gia-hom-nay</v>
      </c>
      <c r="HU29" s="30" t="str">
        <f>IFERROR(__xludf.DUMMYFUNCTION("""COMPUTED_VALUE"""),"kiểm tra cic")</f>
        <v>kiểm tra cic</v>
      </c>
      <c r="HV29" s="34" t="str">
        <f>IFERROR(__xludf.DUMMYFUNCTION("""COMPUTED_VALUE"""),"https://techcombank.com/thong-tin/blog/app-ngan-hang-uy-tin")</f>
        <v>https://techcombank.com/thong-tin/blog/app-ngan-hang-uy-tin</v>
      </c>
      <c r="HW29" s="30" t="str">
        <f>IFERROR(__xludf.DUMMYFUNCTION("""COMPUTED_VALUE"""),"tra cứu cic")</f>
        <v>tra cứu cic</v>
      </c>
      <c r="HX29" s="34" t="str">
        <f>IFERROR(__xludf.DUMMYFUNCTION("""COMPUTED_VALUE"""),"https://techcombank.com/thong-tin/blog/ma-swift-ngan-hang")</f>
        <v>https://techcombank.com/thong-tin/blog/ma-swift-ngan-hang</v>
      </c>
      <c r="HY29" s="30" t="str">
        <f>IFERROR(__xludf.DUMMYFUNCTION("""COMPUTED_VALUE"""),"kiểm tra cic")</f>
        <v>kiểm tra cic</v>
      </c>
      <c r="HZ29" s="34" t="str">
        <f>IFERROR(__xludf.DUMMYFUNCTION("""COMPUTED_VALUE"""),"https://techcombank.com/thong-tin/blog/cach-su-dung-the-visa-techcombank")</f>
        <v>https://techcombank.com/thong-tin/blog/cach-su-dung-the-visa-techcombank</v>
      </c>
      <c r="IA29" s="30" t="str">
        <f>IFERROR(__xludf.DUMMYFUNCTION("""COMPUTED_VALUE"""),"kiểm tra cic")</f>
        <v>kiểm tra cic</v>
      </c>
      <c r="IB29" s="34" t="str">
        <f>IFERROR(__xludf.DUMMYFUNCTION("""COMPUTED_VALUE"""),"https://techcombank.com/thong-tin/blog/mua-nha-tra-gop-dua-truoc-100-trieu")</f>
        <v>https://techcombank.com/thong-tin/blog/mua-nha-tra-gop-dua-truoc-100-trieu</v>
      </c>
      <c r="IC29" s="30" t="str">
        <f>IFERROR(__xludf.DUMMYFUNCTION("""COMPUTED_VALUE"""),"kiểm tra cic")</f>
        <v>kiểm tra cic</v>
      </c>
      <c r="ID29" s="34" t="str">
        <f>IFERROR(__xludf.DUMMYFUNCTION("""COMPUTED_VALUE"""),"https://techcombank.com/thong-tin/blog/di-du-lich-nuoc-ngoai-can-chuan-bi-gi")</f>
        <v>https://techcombank.com/thong-tin/blog/di-du-lich-nuoc-ngoai-can-chuan-bi-gi</v>
      </c>
      <c r="IE29" s="30" t="str">
        <f>IFERROR(__xludf.DUMMYFUNCTION("""COMPUTED_VALUE"""),"tra cứu cic")</f>
        <v>tra cứu cic</v>
      </c>
      <c r="IF29" s="34" t="str">
        <f>IFERROR(__xludf.DUMMYFUNCTION("""COMPUTED_VALUE"""),"https://techcombank.com/thong-tin/blog/ma-mcc")</f>
        <v>https://techcombank.com/thong-tin/blog/ma-mcc</v>
      </c>
      <c r="IG29" s="30" t="str">
        <f>IFERROR(__xludf.DUMMYFUNCTION("""COMPUTED_VALUE"""),"kiểm tra cic")</f>
        <v>kiểm tra cic</v>
      </c>
      <c r="IH29" s="34" t="str">
        <f>IFERROR(__xludf.DUMMYFUNCTION("""COMPUTED_VALUE"""),"https://techcombank.com/thong-tin/blog/ngan-hang-thu-huong-la-gi")</f>
        <v>https://techcombank.com/thong-tin/blog/ngan-hang-thu-huong-la-gi</v>
      </c>
      <c r="II29" s="30" t="str">
        <f>IFERROR(__xludf.DUMMYFUNCTION("""COMPUTED_VALUE"""),"kiểm tra cic")</f>
        <v>kiểm tra cic</v>
      </c>
      <c r="IJ29" s="34" t="str">
        <f>IFERROR(__xludf.DUMMYFUNCTION("""COMPUTED_VALUE"""),"https://techcombank.com/thong-tin/blog/the-visa-khong-thanh-toan-duoc")</f>
        <v>https://techcombank.com/thong-tin/blog/the-visa-khong-thanh-toan-duoc</v>
      </c>
      <c r="IK29" s="30" t="str">
        <f>IFERROR(__xludf.DUMMYFUNCTION("""COMPUTED_VALUE"""),"tra cứu cic")</f>
        <v>tra cứu cic</v>
      </c>
      <c r="IL29" s="34" t="str">
        <f>IFERROR(__xludf.DUMMYFUNCTION("""COMPUTED_VALUE"""),"https://techcombank.com/thong-tin/blog/tra-cuu-ma-so-thue-ho-kinh-doanh")</f>
        <v>https://techcombank.com/thong-tin/blog/tra-cuu-ma-so-thue-ho-kinh-doanh</v>
      </c>
      <c r="IM29" s="30" t="str">
        <f>IFERROR(__xludf.DUMMYFUNCTION("""COMPUTED_VALUE"""),"kiểm tra cic")</f>
        <v>kiểm tra cic</v>
      </c>
      <c r="IN29" s="34" t="str">
        <f>IFERROR(__xludf.DUMMYFUNCTION("""COMPUTED_VALUE"""),"https://techcombank.com/thong-tin/blog/6-chiec-lo-tai-chinh-ca-nhan")</f>
        <v>https://techcombank.com/thong-tin/blog/6-chiec-lo-tai-chinh-ca-nhan</v>
      </c>
      <c r="IO29" s="30" t="str">
        <f>IFERROR(__xludf.DUMMYFUNCTION("""COMPUTED_VALUE"""),"tra cứu cic")</f>
        <v>tra cứu cic</v>
      </c>
      <c r="IP29" s="34" t="str">
        <f>IFERROR(__xludf.DUMMYFUNCTION("""COMPUTED_VALUE"""),"https://techcombank.com/thong-tin/blog/so-the-visa-hop-le")</f>
        <v>https://techcombank.com/thong-tin/blog/so-the-visa-hop-le</v>
      </c>
      <c r="IQ29" s="30" t="str">
        <f>IFERROR(__xludf.DUMMYFUNCTION("""COMPUTED_VALUE"""),"kiểm tra cic")</f>
        <v>kiểm tra cic</v>
      </c>
      <c r="IR29" s="34" t="str">
        <f>IFERROR(__xludf.DUMMYFUNCTION("""COMPUTED_VALUE"""),"https://techcombank.com/thong-tin/blog/cho-vay-kinh-doanh-ho-gia-dinh")</f>
        <v>https://techcombank.com/thong-tin/blog/cho-vay-kinh-doanh-ho-gia-dinh</v>
      </c>
      <c r="IS29" s="30" t="str">
        <f>IFERROR(__xludf.DUMMYFUNCTION("""COMPUTED_VALUE"""),"tra cứu cic")</f>
        <v>tra cứu cic</v>
      </c>
      <c r="IT29" s="34" t="str">
        <f>IFERROR(__xludf.DUMMYFUNCTION("""COMPUTED_VALUE"""),"https://techcombank.com/thong-tin/blog/cua-hang-tien-loi")</f>
        <v>https://techcombank.com/thong-tin/blog/cua-hang-tien-loi</v>
      </c>
      <c r="IU29" s="30" t="str">
        <f>IFERROR(__xludf.DUMMYFUNCTION("""COMPUTED_VALUE"""),"tra cứu cic")</f>
        <v>tra cứu cic</v>
      </c>
      <c r="IV29" s="34" t="str">
        <f>IFERROR(__xludf.DUMMYFUNCTION("""COMPUTED_VALUE"""),"https://techcombank.com/thong-tin/blog/app-dong-tien-dien-online")</f>
        <v>https://techcombank.com/thong-tin/blog/app-dong-tien-dien-online</v>
      </c>
      <c r="IW29" s="30" t="str">
        <f>IFERROR(__xludf.DUMMYFUNCTION("""COMPUTED_VALUE"""),"kiểm tra cic")</f>
        <v>kiểm tra cic</v>
      </c>
      <c r="IX29" s="34" t="str">
        <f>IFERROR(__xludf.DUMMYFUNCTION("""COMPUTED_VALUE"""),"https://techcombank.com/thong-tin/blog/lam-the-visa-online")</f>
        <v>https://techcombank.com/thong-tin/blog/lam-the-visa-online</v>
      </c>
      <c r="IY29" s="30" t="str">
        <f>IFERROR(__xludf.DUMMYFUNCTION("""COMPUTED_VALUE"""),"kiểm tra cic")</f>
        <v>kiểm tra cic</v>
      </c>
      <c r="IZ29" s="34" t="str">
        <f>IFERROR(__xludf.DUMMYFUNCTION("""COMPUTED_VALUE"""),"https://techcombank.com/thong-tin/blog/dat-ve-may-bay")</f>
        <v>https://techcombank.com/thong-tin/blog/dat-ve-may-bay</v>
      </c>
      <c r="JA29" s="30" t="str">
        <f>IFERROR(__xludf.DUMMYFUNCTION("""COMPUTED_VALUE"""),"kiểm tra cic")</f>
        <v>kiểm tra cic</v>
      </c>
      <c r="JB29" s="34" t="str">
        <f>IFERROR(__xludf.DUMMYFUNCTION("""COMPUTED_VALUE"""),"https://techcombank.com/thong-tin/blog/remittance-la-gi")</f>
        <v>https://techcombank.com/thong-tin/blog/remittance-la-gi</v>
      </c>
      <c r="JC29" s="30" t="str">
        <f>IFERROR(__xludf.DUMMYFUNCTION("""COMPUTED_VALUE"""),"kiểm tra cic")</f>
        <v>kiểm tra cic</v>
      </c>
      <c r="JD29" s="34" t="str">
        <f>IFERROR(__xludf.DUMMYFUNCTION("""COMPUTED_VALUE"""),"https://techcombank.com/thong-tin/blog/cach-tao-ma-qr")</f>
        <v>https://techcombank.com/thong-tin/blog/cach-tao-ma-qr</v>
      </c>
      <c r="JE29" s="30" t="str">
        <f>IFERROR(__xludf.DUMMYFUNCTION("""COMPUTED_VALUE"""),"kiểm tra cic")</f>
        <v>kiểm tra cic</v>
      </c>
      <c r="JF29" s="34" t="str">
        <f>IFERROR(__xludf.DUMMYFUNCTION("""COMPUTED_VALUE"""),"https://techcombank.com/thong-tin/blog/the-visa-co-thanh-toan-quoc-te-duoc-khong")</f>
        <v>https://techcombank.com/thong-tin/blog/the-visa-co-thanh-toan-quoc-te-duoc-khong</v>
      </c>
      <c r="JG29" s="30" t="str">
        <f>IFERROR(__xludf.DUMMYFUNCTION("""COMPUTED_VALUE"""),"kiểm tra cic")</f>
        <v>kiểm tra cic</v>
      </c>
      <c r="JH29" s="34" t="str">
        <f>IFERROR(__xludf.DUMMYFUNCTION("""COMPUTED_VALUE"""),"https://techcombank.com/thong-tin/blog/vay-mua-dien-thoai")</f>
        <v>https://techcombank.com/thong-tin/blog/vay-mua-dien-thoai</v>
      </c>
      <c r="JI29" s="30" t="str">
        <f>IFERROR(__xludf.DUMMYFUNCTION("""COMPUTED_VALUE"""),"tra cứu cic")</f>
        <v>tra cứu cic</v>
      </c>
      <c r="JJ29" s="34" t="str">
        <f>IFERROR(__xludf.DUMMYFUNCTION("""COMPUTED_VALUE"""),"https://techcombank.com/thong-tin/blog/ten-dang-nhap-tai-khoan-ngan-hang-la-gi")</f>
        <v>https://techcombank.com/thong-tin/blog/ten-dang-nhap-tai-khoan-ngan-hang-la-gi</v>
      </c>
      <c r="JK29" s="30" t="str">
        <f>IFERROR(__xludf.DUMMYFUNCTION("""COMPUTED_VALUE"""),"tra cứu cic")</f>
        <v>tra cứu cic</v>
      </c>
      <c r="JL29" s="34" t="str">
        <f>IFERROR(__xludf.DUMMYFUNCTION("""COMPUTED_VALUE"""),"https://techcombank.com/thong-tin/blog/thanh-toan-ve-may-bay-online")</f>
        <v>https://techcombank.com/thong-tin/blog/thanh-toan-ve-may-bay-online</v>
      </c>
      <c r="JM29" s="30" t="str">
        <f>IFERROR(__xludf.DUMMYFUNCTION("""COMPUTED_VALUE"""),"kiểm tra cic")</f>
        <v>kiểm tra cic</v>
      </c>
      <c r="JN29" s="34" t="str">
        <f>IFERROR(__xludf.DUMMYFUNCTION("""COMPUTED_VALUE"""),"https://techcombank.com/thong-tin/blog/vay-15-trieu")</f>
        <v>https://techcombank.com/thong-tin/blog/vay-15-trieu</v>
      </c>
      <c r="JO29" s="30" t="str">
        <f>IFERROR(__xludf.DUMMYFUNCTION("""COMPUTED_VALUE"""),"kiểm tra cic")</f>
        <v>kiểm tra cic</v>
      </c>
      <c r="JP29" s="34" t="str">
        <f>IFERROR(__xludf.DUMMYFUNCTION("""COMPUTED_VALUE"""),"https://techcombank.com/thong-tin/blog/thu-tuc-vay-von-ngan-hang-de-xay-nha")</f>
        <v>https://techcombank.com/thong-tin/blog/thu-tuc-vay-von-ngan-hang-de-xay-nha</v>
      </c>
      <c r="JQ29" s="30" t="str">
        <f>IFERROR(__xludf.DUMMYFUNCTION("""COMPUTED_VALUE"""),"kiểm tra cic")</f>
        <v>kiểm tra cic</v>
      </c>
      <c r="JR29" s="34" t="str">
        <f>IFERROR(__xludf.DUMMYFUNCTION("""COMPUTED_VALUE"""),"https://techcombank.com/thong-tin/blog/tat-toan-so-tiet-kiem")</f>
        <v>https://techcombank.com/thong-tin/blog/tat-toan-so-tiet-kiem</v>
      </c>
      <c r="JS29" s="30" t="str">
        <f>IFERROR(__xludf.DUMMYFUNCTION("""COMPUTED_VALUE"""),"kiểm tra cic")</f>
        <v>kiểm tra cic</v>
      </c>
      <c r="JT29" s="34" t="str">
        <f>IFERROR(__xludf.DUMMYFUNCTION("""COMPUTED_VALUE"""),"https://techcombank.com/thong-tin/blog/tin-chap-doanh-nghiep")</f>
        <v>https://techcombank.com/thong-tin/blog/tin-chap-doanh-nghiep</v>
      </c>
      <c r="JU29" s="30" t="str">
        <f>IFERROR(__xludf.DUMMYFUNCTION("""COMPUTED_VALUE"""),"kiểm tra cic")</f>
        <v>kiểm tra cic</v>
      </c>
      <c r="JV29" s="34" t="str">
        <f>IFERROR(__xludf.DUMMYFUNCTION("""COMPUTED_VALUE"""),"https://techcombank.com/thong-tin/blog/thu-tuc-chuyen-tien-ra-nuoc-ngoai")</f>
        <v>https://techcombank.com/thong-tin/blog/thu-tuc-chuyen-tien-ra-nuoc-ngoai</v>
      </c>
      <c r="JW29" s="30" t="str">
        <f>IFERROR(__xludf.DUMMYFUNCTION("""COMPUTED_VALUE"""),"kiểm tra cic")</f>
        <v>kiểm tra cic</v>
      </c>
      <c r="JX29" s="34" t="str">
        <f>IFERROR(__xludf.DUMMYFUNCTION("""COMPUTED_VALUE"""),"https://techcombank.com/thong-tin/blog/qr-dong")</f>
        <v>https://techcombank.com/thong-tin/blog/qr-dong</v>
      </c>
      <c r="JY29" s="30" t="str">
        <f>IFERROR(__xludf.DUMMYFUNCTION("""COMPUTED_VALUE"""),"tra cứu cic")</f>
        <v>tra cứu cic</v>
      </c>
      <c r="JZ29" s="34" t="str">
        <f>IFERROR(__xludf.DUMMYFUNCTION("""COMPUTED_VALUE"""),"https://techcombank.com/thong-tin/blog/so-the-ngan-hang")</f>
        <v>https://techcombank.com/thong-tin/blog/so-the-ngan-hang</v>
      </c>
      <c r="KA29" s="30" t="str">
        <f>IFERROR(__xludf.DUMMYFUNCTION("""COMPUTED_VALUE"""),"cic là gì")</f>
        <v>cic là gì</v>
      </c>
      <c r="KB29" s="34" t="str">
        <f>IFERROR(__xludf.DUMMYFUNCTION("""COMPUTED_VALUE"""),"https://techcombank.com/thong-tin/blog/vay-tin-chap-toi-da-duoc-bao-nhieu")</f>
        <v>https://techcombank.com/thong-tin/blog/vay-tin-chap-toi-da-duoc-bao-nhieu</v>
      </c>
      <c r="KC29" s="30" t="str">
        <f>IFERROR(__xludf.DUMMYFUNCTION("""COMPUTED_VALUE"""),"kiểm tra cic")</f>
        <v>kiểm tra cic</v>
      </c>
      <c r="KD29" s="34" t="str">
        <f>IFERROR(__xludf.DUMMYFUNCTION("""COMPUTED_VALUE"""),"https://techcombank.com/thong-tin/blog/bao-hiem-vat-chat-xe-o-to")</f>
        <v>https://techcombank.com/thong-tin/blog/bao-hiem-vat-chat-xe-o-to</v>
      </c>
      <c r="KE29" s="30" t="str">
        <f>IFERROR(__xludf.DUMMYFUNCTION("""COMPUTED_VALUE"""),"kiểm tra cic")</f>
        <v>kiểm tra cic</v>
      </c>
      <c r="KF29" s="34" t="str">
        <f>IFERROR(__xludf.DUMMYFUNCTION("""COMPUTED_VALUE"""),"https://techcombank.com/thong-tin/blog/quy-trinh-cho-vay-tieu-dung")</f>
        <v>https://techcombank.com/thong-tin/blog/quy-trinh-cho-vay-tieu-dung</v>
      </c>
      <c r="KG29" s="30" t="str">
        <f>IFERROR(__xludf.DUMMYFUNCTION("""COMPUTED_VALUE"""),"tra cứu cic")</f>
        <v>tra cứu cic</v>
      </c>
      <c r="KH29" s="34" t="str">
        <f>IFERROR(__xludf.DUMMYFUNCTION("""COMPUTED_VALUE"""),"https://techcombank.com/thong-tin/blog/chuyen-tien-tu-duc-ve-viet-nam")</f>
        <v>https://techcombank.com/thong-tin/blog/chuyen-tien-tu-duc-ve-viet-nam</v>
      </c>
      <c r="KI29" s="30" t="str">
        <f>IFERROR(__xludf.DUMMYFUNCTION("""COMPUTED_VALUE"""),"kiểm tra cic")</f>
        <v>kiểm tra cic</v>
      </c>
      <c r="KJ29" s="34" t="str">
        <f>IFERROR(__xludf.DUMMYFUNCTION("""COMPUTED_VALUE"""),"https://techcombank.com/thong-tin/blog/cach-chuyen-tien")</f>
        <v>https://techcombank.com/thong-tin/blog/cach-chuyen-tien</v>
      </c>
      <c r="KK29" s="30" t="str">
        <f>IFERROR(__xludf.DUMMYFUNCTION("""COMPUTED_VALUE"""),"tra cứu cic")</f>
        <v>tra cứu cic</v>
      </c>
      <c r="KL29" s="34" t="str">
        <f>IFERROR(__xludf.DUMMYFUNCTION("""COMPUTED_VALUE"""),"https://techcombank.com/thong-tin/blog/mua-ve-xem-phim")</f>
        <v>https://techcombank.com/thong-tin/blog/mua-ve-xem-phim</v>
      </c>
      <c r="KM29" s="30" t="str">
        <f>IFERROR(__xludf.DUMMYFUNCTION("""COMPUTED_VALUE"""),"kiểm tra cic")</f>
        <v>kiểm tra cic</v>
      </c>
      <c r="KN29" s="34" t="str">
        <f>IFERROR(__xludf.DUMMYFUNCTION("""COMPUTED_VALUE"""),"https://techcombank.com/thong-tin/blog/cach-mo-tai-khoan")</f>
        <v>https://techcombank.com/thong-tin/blog/cach-mo-tai-khoan</v>
      </c>
      <c r="KO29" s="30" t="str">
        <f>IFERROR(__xludf.DUMMYFUNCTION("""COMPUTED_VALUE"""),"tra cứu cic")</f>
        <v>tra cứu cic</v>
      </c>
      <c r="KP29" s="34" t="str">
        <f>IFERROR(__xludf.DUMMYFUNCTION("""COMPUTED_VALUE"""),"https://techcombank.com/thong-tin/blog/vay-the-chap-xe-o-to-cu")</f>
        <v>https://techcombank.com/thong-tin/blog/vay-the-chap-xe-o-to-cu</v>
      </c>
      <c r="KQ29" s="30" t="str">
        <f>IFERROR(__xludf.DUMMYFUNCTION("""COMPUTED_VALUE"""),"kiểm tra cic")</f>
        <v>kiểm tra cic</v>
      </c>
      <c r="KR29" s="34" t="str">
        <f>IFERROR(__xludf.DUMMYFUNCTION("""COMPUTED_VALUE"""),"https://techcombank.com/thong-tin/blog/so-sanh-bao-hiem-suc-khoe-bo-sung")</f>
        <v>https://techcombank.com/thong-tin/blog/so-sanh-bao-hiem-suc-khoe-bo-sung</v>
      </c>
      <c r="KS29" s="30" t="str">
        <f>IFERROR(__xludf.DUMMYFUNCTION("""COMPUTED_VALUE"""),"kiểm tra cic")</f>
        <v>kiểm tra cic</v>
      </c>
      <c r="KT29" s="34" t="str">
        <f>IFERROR(__xludf.DUMMYFUNCTION("""COMPUTED_VALUE"""),"https://techcombank.com/thong-tin/blog/rut-tien-mat-tu-tai-khoan-doanh-nghiep")</f>
        <v>https://techcombank.com/thong-tin/blog/rut-tien-mat-tu-tai-khoan-doanh-nghiep</v>
      </c>
      <c r="KU29" s="30" t="str">
        <f>IFERROR(__xludf.DUMMYFUNCTION("""COMPUTED_VALUE"""),"kiểm tra cic")</f>
        <v>kiểm tra cic</v>
      </c>
      <c r="KV29" s="34" t="str">
        <f>IFERROR(__xludf.DUMMYFUNCTION("""COMPUTED_VALUE"""),"https://techcombank.com/thong-tin/blog/the-chap-la-gi")</f>
        <v>https://techcombank.com/thong-tin/blog/the-chap-la-gi</v>
      </c>
      <c r="KW29" s="30" t="str">
        <f>IFERROR(__xludf.DUMMYFUNCTION("""COMPUTED_VALUE"""),"tra cứu cic")</f>
        <v>tra cứu cic</v>
      </c>
      <c r="KX29" s="34" t="str">
        <f>IFERROR(__xludf.DUMMYFUNCTION("""COMPUTED_VALUE"""),"https://techcombank.com/thong-tin/blog/thay-doi-dia-chi-ho-kinh-doanh")</f>
        <v>https://techcombank.com/thong-tin/blog/thay-doi-dia-chi-ho-kinh-doanh</v>
      </c>
      <c r="KY29" s="30" t="str">
        <f>IFERROR(__xludf.DUMMYFUNCTION("""COMPUTED_VALUE"""),"kiểm tra cic")</f>
        <v>kiểm tra cic</v>
      </c>
      <c r="KZ29" s="34" t="str">
        <f>IFERROR(__xludf.DUMMYFUNCTION("""COMPUTED_VALUE"""),"https://techcombank.com/thong-tin/blog/cach-lien-ket-epass-voi-tai-khoan-ngan-hang")</f>
        <v>https://techcombank.com/thong-tin/blog/cach-lien-ket-epass-voi-tai-khoan-ngan-hang</v>
      </c>
      <c r="LA29" s="30" t="str">
        <f>IFERROR(__xludf.DUMMYFUNCTION("""COMPUTED_VALUE"""),"tra cứu cic")</f>
        <v>tra cứu cic</v>
      </c>
      <c r="LB29" s="34" t="str">
        <f>IFERROR(__xludf.DUMMYFUNCTION("""COMPUTED_VALUE"""),"https://techcombank.com/thong-tin/blog/1000-te-bang-bao-nhieu-tien-viet")</f>
        <v>https://techcombank.com/thong-tin/blog/1000-te-bang-bao-nhieu-tien-viet</v>
      </c>
      <c r="LC29" s="30" t="str">
        <f>IFERROR(__xludf.DUMMYFUNCTION("""COMPUTED_VALUE"""),"cic là gì")</f>
        <v>cic là gì</v>
      </c>
      <c r="LD29" s="34" t="str">
        <f>IFERROR(__xludf.DUMMYFUNCTION("""COMPUTED_VALUE"""),"https://techcombank.com/thong-tin/blog/kinh-nghiem-vay-tien-mua-nha")</f>
        <v>https://techcombank.com/thong-tin/blog/kinh-nghiem-vay-tien-mua-nha</v>
      </c>
      <c r="LE29" s="30" t="str">
        <f>IFERROR(__xludf.DUMMYFUNCTION("""COMPUTED_VALUE"""),"kiểm tra cic")</f>
        <v>kiểm tra cic</v>
      </c>
      <c r="LF29" s="34" t="str">
        <f>IFERROR(__xludf.DUMMYFUNCTION("""COMPUTED_VALUE"""),"https://techcombank.com/thong-tin/blog/dao-han-la-gi")</f>
        <v>https://techcombank.com/thong-tin/blog/dao-han-la-gi</v>
      </c>
      <c r="LG29" s="30" t="str">
        <f>IFERROR(__xludf.DUMMYFUNCTION("""COMPUTED_VALUE"""),"kiểm tra cic")</f>
        <v>kiểm tra cic</v>
      </c>
      <c r="LH29" s="34" t="str">
        <f>IFERROR(__xludf.DUMMYFUNCTION("""COMPUTED_VALUE"""),"https://techcombank.com/thong-tin/blog/tai-khoan-thanh-toan-la-gi")</f>
        <v>https://techcombank.com/thong-tin/blog/tai-khoan-thanh-toan-la-gi</v>
      </c>
      <c r="LI29" s="30" t="str">
        <f>IFERROR(__xludf.DUMMYFUNCTION("""COMPUTED_VALUE"""),"kiểm tra cic")</f>
        <v>kiểm tra cic</v>
      </c>
      <c r="LJ29" s="34" t="str">
        <f>IFERROR(__xludf.DUMMYFUNCTION("""COMPUTED_VALUE"""),"https://techcombank.com/thong-tin/blog/cach-rut-tien-atm")</f>
        <v>https://techcombank.com/thong-tin/blog/cach-rut-tien-atm</v>
      </c>
      <c r="LK29" s="30" t="str">
        <f>IFERROR(__xludf.DUMMYFUNCTION("""COMPUTED_VALUE"""),"tra cứu cic")</f>
        <v>tra cứu cic</v>
      </c>
      <c r="LL29" s="34" t="str">
        <f>IFERROR(__xludf.DUMMYFUNCTION("""COMPUTED_VALUE"""),"https://techcombank.com/thong-tin/blog/1-yen-bang-bao-nhieu-tien-viet-nam")</f>
        <v>https://techcombank.com/thong-tin/blog/1-yen-bang-bao-nhieu-tien-viet-nam</v>
      </c>
      <c r="LM29" s="30" t="str">
        <f>IFERROR(__xludf.DUMMYFUNCTION("""COMPUTED_VALUE"""),"cic là gì")</f>
        <v>cic là gì</v>
      </c>
      <c r="LN29" s="34" t="str">
        <f>IFERROR(__xludf.DUMMYFUNCTION("""COMPUTED_VALUE"""),"https://techcombank.com/thong-tin/blog/vay-tra-gop")</f>
        <v>https://techcombank.com/thong-tin/blog/vay-tra-gop</v>
      </c>
      <c r="LO29" s="30" t="str">
        <f>IFERROR(__xludf.DUMMYFUNCTION("""COMPUTED_VALUE"""),"tra cứu cic")</f>
        <v>tra cứu cic</v>
      </c>
      <c r="LP29" s="34" t="str">
        <f>IFERROR(__xludf.DUMMYFUNCTION("""COMPUTED_VALUE"""),"https://techcombank.com/thong-tin/blog/merchant-la-gi")</f>
        <v>https://techcombank.com/thong-tin/blog/merchant-la-gi</v>
      </c>
      <c r="LQ29" s="30" t="str">
        <f>IFERROR(__xludf.DUMMYFUNCTION("""COMPUTED_VALUE"""),"kiểm tra cic")</f>
        <v>kiểm tra cic</v>
      </c>
      <c r="LR29" s="34" t="str">
        <f>IFERROR(__xludf.DUMMYFUNCTION("""COMPUTED_VALUE"""),"https://techcombank.com/thong-tin/blog/chuyen-tien-tro-cap-than-nhan-o-nuoc-ngoai")</f>
        <v>https://techcombank.com/thong-tin/blog/chuyen-tien-tro-cap-than-nhan-o-nuoc-ngoai</v>
      </c>
      <c r="LS29" s="30" t="str">
        <f>IFERROR(__xludf.DUMMYFUNCTION("""COMPUTED_VALUE"""),"kiểm tra cic")</f>
        <v>kiểm tra cic</v>
      </c>
      <c r="LT29" s="34" t="str">
        <f>IFERROR(__xludf.DUMMYFUNCTION("""COMPUTED_VALUE"""),"https://techcombank.com/thong-tin/blog/tat-toan")</f>
        <v>https://techcombank.com/thong-tin/blog/tat-toan</v>
      </c>
      <c r="LU29" s="30" t="str">
        <f>IFERROR(__xludf.DUMMYFUNCTION("""COMPUTED_VALUE"""),"kiểm tra cic")</f>
        <v>kiểm tra cic</v>
      </c>
      <c r="LV29" s="34" t="str">
        <f>IFERROR(__xludf.DUMMYFUNCTION("""COMPUTED_VALUE"""),"https://techcombank.com/thong-tin/blog/hieu-hiet-ve-tuan-thu-thue-cho-cac-doanh-nghiep-khoi-nghiep")</f>
        <v>https://techcombank.com/thong-tin/blog/hieu-hiet-ve-tuan-thu-thue-cho-cac-doanh-nghiep-khoi-nghiep</v>
      </c>
      <c r="LW29" s="30" t="str">
        <f>IFERROR(__xludf.DUMMYFUNCTION("""COMPUTED_VALUE"""),"kiểm tra cic")</f>
        <v>kiểm tra cic</v>
      </c>
      <c r="LX29" s="34" t="str">
        <f>IFERROR(__xludf.DUMMYFUNCTION("""COMPUTED_VALUE"""),"https://techcombank.com/thong-tin/blog/dieu-kien-mua-usd-tu-ngan-hang")</f>
        <v>https://techcombank.com/thong-tin/blog/dieu-kien-mua-usd-tu-ngan-hang</v>
      </c>
      <c r="LY29" s="30" t="str">
        <f>IFERROR(__xludf.DUMMYFUNCTION("""COMPUTED_VALUE"""),"kiểm tra cic")</f>
        <v>kiểm tra cic</v>
      </c>
      <c r="LZ29" s="34" t="str">
        <f>IFERROR(__xludf.DUMMYFUNCTION("""COMPUTED_VALUE"""),"https://techcombank.com/thong-tin/blog/mo-tai-khoan-ngan-hang-bang-so-dien-thoai")</f>
        <v>https://techcombank.com/thong-tin/blog/mo-tai-khoan-ngan-hang-bang-so-dien-thoai</v>
      </c>
      <c r="MA29" s="30" t="str">
        <f>IFERROR(__xludf.DUMMYFUNCTION("""COMPUTED_VALUE"""),"kiểm tra cic")</f>
        <v>kiểm tra cic</v>
      </c>
      <c r="MB29" s="34" t="str">
        <f>IFERROR(__xludf.DUMMYFUNCTION("""COMPUTED_VALUE"""),"https://techcombank.com/thong-tin/blog/thanh-toan-khi-du-lich-han-quoc")</f>
        <v>https://techcombank.com/thong-tin/blog/thanh-toan-khi-du-lich-han-quoc</v>
      </c>
      <c r="MC29" s="30" t="str">
        <f>IFERROR(__xludf.DUMMYFUNCTION("""COMPUTED_VALUE"""),"kiểm tra cic")</f>
        <v>kiểm tra cic</v>
      </c>
      <c r="MD29" s="34" t="str">
        <f>IFERROR(__xludf.DUMMYFUNCTION("""COMPUTED_VALUE"""),"https://techcombank.com/thong-tin/blog/ty-gia-hoi-doai-la-gi")</f>
        <v>https://techcombank.com/thong-tin/blog/ty-gia-hoi-doai-la-gi</v>
      </c>
      <c r="ME29" s="30" t="str">
        <f>IFERROR(__xludf.DUMMYFUNCTION("""COMPUTED_VALUE"""),"tra cứu cic")</f>
        <v>tra cứu cic</v>
      </c>
      <c r="MF29" s="34" t="str">
        <f>IFERROR(__xludf.DUMMYFUNCTION("""COMPUTED_VALUE"""),"https://techcombank.com/thong-tin/blog/1-te-bang-bao-nhieu-tien-viet-nam")</f>
        <v>https://techcombank.com/thong-tin/blog/1-te-bang-bao-nhieu-tien-viet-nam</v>
      </c>
      <c r="MG29" s="30" t="str">
        <f>IFERROR(__xludf.DUMMYFUNCTION("""COMPUTED_VALUE"""),"kiểm tra cic")</f>
        <v>kiểm tra cic</v>
      </c>
      <c r="MH29" s="34" t="str">
        <f>IFERROR(__xludf.DUMMYFUNCTION("""COMPUTED_VALUE"""),"https://techcombank.com/thong-tin/blog/thanh-toan-bang-ma-qr")</f>
        <v>https://techcombank.com/thong-tin/blog/thanh-toan-bang-ma-qr</v>
      </c>
      <c r="MI29" s="30" t="str">
        <f>IFERROR(__xludf.DUMMYFUNCTION("""COMPUTED_VALUE"""),"kiểm tra cic")</f>
        <v>kiểm tra cic</v>
      </c>
      <c r="MJ29" s="34" t="str">
        <f>IFERROR(__xludf.DUMMYFUNCTION("""COMPUTED_VALUE"""),"https://techcombank.com/thong-tin/blog/tai-khoan-ngan-hang-duoi-50k-co-bi-khoa-khong")</f>
        <v>https://techcombank.com/thong-tin/blog/tai-khoan-ngan-hang-duoi-50k-co-bi-khoa-khong</v>
      </c>
      <c r="MK29" s="30" t="str">
        <f>IFERROR(__xludf.DUMMYFUNCTION("""COMPUTED_VALUE"""),"kiểm tra cic")</f>
        <v>kiểm tra cic</v>
      </c>
      <c r="ML29" s="34" t="str">
        <f>IFERROR(__xludf.DUMMYFUNCTION("""COMPUTED_VALUE"""),"https://techcombank.com/thong-tin/blog/truy-thu-thue-ho-kinh-doanh")</f>
        <v>https://techcombank.com/thong-tin/blog/truy-thu-thue-ho-kinh-doanh</v>
      </c>
      <c r="MM29" s="30" t="str">
        <f>IFERROR(__xludf.DUMMYFUNCTION("""COMPUTED_VALUE"""),"kiểm tra cic")</f>
        <v>kiểm tra cic</v>
      </c>
      <c r="MN29" s="34" t="str">
        <f>IFERROR(__xludf.DUMMYFUNCTION("""COMPUTED_VALUE"""),"https://techcombank.com/thong-tin/blog/nap-xu-tiktok")</f>
        <v>https://techcombank.com/thong-tin/blog/nap-xu-tiktok</v>
      </c>
      <c r="MO29" s="30" t="str">
        <f>IFERROR(__xludf.DUMMYFUNCTION("""COMPUTED_VALUE"""),"cic là gì")</f>
        <v>cic là gì</v>
      </c>
      <c r="MP29" s="34" t="str">
        <f>IFERROR(__xludf.DUMMYFUNCTION("""COMPUTED_VALUE"""),"https://techcombank.com/thong-tin/blog/ho-so-vay-von-cua-doanh-nghiep-gom-nhung-gi")</f>
        <v>https://techcombank.com/thong-tin/blog/ho-so-vay-von-cua-doanh-nghiep-gom-nhung-gi</v>
      </c>
      <c r="MQ29" s="30" t="str">
        <f>IFERROR(__xludf.DUMMYFUNCTION("""COMPUTED_VALUE"""),"kiểm tra cic")</f>
        <v>kiểm tra cic</v>
      </c>
      <c r="MR29" s="34" t="str">
        <f>IFERROR(__xludf.DUMMYFUNCTION("""COMPUTED_VALUE"""),"https://techcombank.com/thong-tin/blog/cac-loai-the-ngan-hang")</f>
        <v>https://techcombank.com/thong-tin/blog/cac-loai-the-ngan-hang</v>
      </c>
      <c r="MS29" s="30" t="str">
        <f>IFERROR(__xludf.DUMMYFUNCTION("""COMPUTED_VALUE"""),"tra cứu cic")</f>
        <v>tra cứu cic</v>
      </c>
      <c r="MT29" s="34" t="str">
        <f>IFERROR(__xludf.DUMMYFUNCTION("""COMPUTED_VALUE"""),"https://techcombank.com/thong-tin/blog/dieu-kien-thanh-lap-doanh-nghiep")</f>
        <v>https://techcombank.com/thong-tin/blog/dieu-kien-thanh-lap-doanh-nghiep</v>
      </c>
      <c r="MU29" s="30" t="str">
        <f>IFERROR(__xludf.DUMMYFUNCTION("""COMPUTED_VALUE"""),"kiểm tra cic")</f>
        <v>kiểm tra cic</v>
      </c>
      <c r="MV29" s="34" t="str">
        <f>IFERROR(__xludf.DUMMYFUNCTION("""COMPUTED_VALUE"""),"https://techcombank.com/thong-tin/blog/iban-la-gi")</f>
        <v>https://techcombank.com/thong-tin/blog/iban-la-gi</v>
      </c>
      <c r="MW29" s="30" t="str">
        <f>IFERROR(__xludf.DUMMYFUNCTION("""COMPUTED_VALUE"""),"kiểm tra cic")</f>
        <v>kiểm tra cic</v>
      </c>
      <c r="MX29" s="34" t="str">
        <f>IFERROR(__xludf.DUMMYFUNCTION("""COMPUTED_VALUE"""),"https://techcombank.com/thong-tin/blog/cach-thanh-toan-quang-cao-tiktok")</f>
        <v>https://techcombank.com/thong-tin/blog/cach-thanh-toan-quang-cao-tiktok</v>
      </c>
      <c r="MY29" s="30" t="str">
        <f>IFERROR(__xludf.DUMMYFUNCTION("""COMPUTED_VALUE"""),"kiểm tra cic")</f>
        <v>kiểm tra cic</v>
      </c>
      <c r="MZ29" s="34" t="str">
        <f>IFERROR(__xludf.DUMMYFUNCTION("""COMPUTED_VALUE"""),"https://techcombank.com/thong-tin/blog/cach-sao-ke-tai-khoan-ngan-hang")</f>
        <v>https://techcombank.com/thong-tin/blog/cach-sao-ke-tai-khoan-ngan-hang</v>
      </c>
      <c r="NA29" s="30" t="str">
        <f>IFERROR(__xludf.DUMMYFUNCTION("""COMPUTED_VALUE"""),"kiểm tra cic")</f>
        <v>kiểm tra cic</v>
      </c>
      <c r="NB29" s="34" t="str">
        <f>IFERROR(__xludf.DUMMYFUNCTION("""COMPUTED_VALUE"""),"https://techcombank.com/thong-tin/blog/cach-nap-the-viettel")</f>
        <v>https://techcombank.com/thong-tin/blog/cach-nap-the-viettel</v>
      </c>
      <c r="NC29" s="30" t="str">
        <f>IFERROR(__xludf.DUMMYFUNCTION("""COMPUTED_VALUE"""),"kiểm tra cic")</f>
        <v>kiểm tra cic</v>
      </c>
      <c r="ND29" s="34" t="str">
        <f>IFERROR(__xludf.DUMMYFUNCTION("""COMPUTED_VALUE"""),"https://techcombank.com/thong-tin/blog/the-debit")</f>
        <v>https://techcombank.com/thong-tin/blog/the-debit</v>
      </c>
      <c r="NE29" s="30" t="str">
        <f>IFERROR(__xludf.DUMMYFUNCTION("""COMPUTED_VALUE"""),"tra cứu cic")</f>
        <v>tra cứu cic</v>
      </c>
      <c r="NF29" s="34" t="str">
        <f>IFERROR(__xludf.DUMMYFUNCTION("""COMPUTED_VALUE"""),"https://techcombank.com/thong-tin/blog/thanh-toan-khi-du-lich-hong-kong")</f>
        <v>https://techcombank.com/thong-tin/blog/thanh-toan-khi-du-lich-hong-kong</v>
      </c>
      <c r="NG29" s="30" t="str">
        <f>IFERROR(__xludf.DUMMYFUNCTION("""COMPUTED_VALUE"""),"tra cứu cic")</f>
        <v>tra cứu cic</v>
      </c>
      <c r="NH29" s="34" t="str">
        <f>IFERROR(__xludf.DUMMYFUNCTION("""COMPUTED_VALUE"""),"https://techcombank.com/thong-tin/blog/thanh-toan-khi-du-lich-singapore")</f>
        <v>https://techcombank.com/thong-tin/blog/thanh-toan-khi-du-lich-singapore</v>
      </c>
      <c r="NI29" s="30" t="str">
        <f>IFERROR(__xludf.DUMMYFUNCTION("""COMPUTED_VALUE"""),"kiểm tra cic")</f>
        <v>kiểm tra cic</v>
      </c>
      <c r="NJ29" s="34" t="str">
        <f>IFERROR(__xludf.DUMMYFUNCTION("""COMPUTED_VALUE"""),"https://techcombank.com/thong-tin/blog/cac-loai-bao-hiem-suc-khoe")</f>
        <v>https://techcombank.com/thong-tin/blog/cac-loai-bao-hiem-suc-khoe</v>
      </c>
      <c r="NK29" s="30" t="str">
        <f>IFERROR(__xludf.DUMMYFUNCTION("""COMPUTED_VALUE"""),"kiểm tra cic")</f>
        <v>kiểm tra cic</v>
      </c>
      <c r="NL29" s="34" t="str">
        <f>IFERROR(__xludf.DUMMYFUNCTION("""COMPUTED_VALUE"""),"https://techcombank.com/thong-tin/blog/wacc-la-gi")</f>
        <v>https://techcombank.com/thong-tin/blog/wacc-la-gi</v>
      </c>
      <c r="NM29" s="30" t="str">
        <f>IFERROR(__xludf.DUMMYFUNCTION("""COMPUTED_VALUE"""),"tra cứu cic")</f>
        <v>tra cứu cic</v>
      </c>
      <c r="NN29" s="34" t="str">
        <f>IFERROR(__xludf.DUMMYFUNCTION("""COMPUTED_VALUE"""),"https://techcombank.com/thong-tin/blog/cach-tra-cuu-hoa-don-dien-tu")</f>
        <v>https://techcombank.com/thong-tin/blog/cach-tra-cuu-hoa-don-dien-tu</v>
      </c>
      <c r="NO29" s="30" t="str">
        <f>IFERROR(__xludf.DUMMYFUNCTION("""COMPUTED_VALUE"""),"tra cứu cic")</f>
        <v>tra cứu cic</v>
      </c>
      <c r="NP29" s="34" t="str">
        <f>IFERROR(__xludf.DUMMYFUNCTION("""COMPUTED_VALUE"""),"https://techcombank.com/thong-tin/blog/the-ghi-no-co-rut-tien-duoc-khong")</f>
        <v>https://techcombank.com/thong-tin/blog/the-ghi-no-co-rut-tien-duoc-khong</v>
      </c>
      <c r="NQ29" s="30" t="str">
        <f>IFERROR(__xludf.DUMMYFUNCTION("""COMPUTED_VALUE"""),"kiểm tra cic")</f>
        <v>kiểm tra cic</v>
      </c>
      <c r="NR29" s="34" t="str">
        <f>IFERROR(__xludf.DUMMYFUNCTION("""COMPUTED_VALUE"""),"https://techcombank.com/thong-tin/blog/luat-thuong-mai-dien-tu")</f>
        <v>https://techcombank.com/thong-tin/blog/luat-thuong-mai-dien-tu</v>
      </c>
      <c r="NS29" s="30" t="str">
        <f>IFERROR(__xludf.DUMMYFUNCTION("""COMPUTED_VALUE"""),"kiểm tra cic")</f>
        <v>kiểm tra cic</v>
      </c>
      <c r="NT29" s="34" t="str">
        <f>IFERROR(__xludf.DUMMYFUNCTION("""COMPUTED_VALUE"""),"https://techcombank.com/thong-tin/blog/the-napas-la-gi")</f>
        <v>https://techcombank.com/thong-tin/blog/the-napas-la-gi</v>
      </c>
      <c r="NU29" s="30" t="str">
        <f>IFERROR(__xludf.DUMMYFUNCTION("""COMPUTED_VALUE"""),"kiểm tra cic")</f>
        <v>kiểm tra cic</v>
      </c>
      <c r="NV29" s="34" t="str">
        <f>IFERROR(__xludf.DUMMYFUNCTION("""COMPUTED_VALUE"""),"https://techcombank.com/thong-tin/blog/cach-nap-the-vina")</f>
        <v>https://techcombank.com/thong-tin/blog/cach-nap-the-vina</v>
      </c>
      <c r="NW29" s="30" t="str">
        <f>IFERROR(__xludf.DUMMYFUNCTION("""COMPUTED_VALUE"""),"kiểm tra cic")</f>
        <v>kiểm tra cic</v>
      </c>
      <c r="NX29" s="34" t="str">
        <f>IFERROR(__xludf.DUMMYFUNCTION("""COMPUTED_VALUE"""),"https://techcombank.com/thong-tin/blog/dac-san-nha-trang")</f>
        <v>https://techcombank.com/thong-tin/blog/dac-san-nha-trang</v>
      </c>
      <c r="NY29" s="30" t="str">
        <f>IFERROR(__xludf.DUMMYFUNCTION("""COMPUTED_VALUE"""),"kiểm tra cic")</f>
        <v>kiểm tra cic</v>
      </c>
      <c r="NZ29" s="34" t="str">
        <f>IFERROR(__xludf.DUMMYFUNCTION("""COMPUTED_VALUE"""),"https://techcombank.com/thong-tin/blog/the-ghi-no-la-gi")</f>
        <v>https://techcombank.com/thong-tin/blog/the-ghi-no-la-gi</v>
      </c>
      <c r="OA29" s="30" t="str">
        <f>IFERROR(__xludf.DUMMYFUNCTION("""COMPUTED_VALUE"""),"kiểm tra cic")</f>
        <v>kiểm tra cic</v>
      </c>
      <c r="OB29" s="34" t="str">
        <f>IFERROR(__xludf.DUMMYFUNCTION("""COMPUTED_VALUE"""),"https://techcombank.com/thong-tin/blog/cach-lien-ket-tai-khoan-ngan-hang-voi-vneid")</f>
        <v>https://techcombank.com/thong-tin/blog/cach-lien-ket-tai-khoan-ngan-hang-voi-vneid</v>
      </c>
      <c r="OC29" s="30" t="str">
        <f>IFERROR(__xludf.DUMMYFUNCTION("""COMPUTED_VALUE"""),"tra cứu cic")</f>
        <v>tra cứu cic</v>
      </c>
      <c r="OD29" s="34" t="str">
        <f>IFERROR(__xludf.DUMMYFUNCTION("""COMPUTED_VALUE"""),"https://techcombank.com/thong-tin/blog/cach-nap-the-mobi")</f>
        <v>https://techcombank.com/thong-tin/blog/cach-nap-the-mobi</v>
      </c>
      <c r="OE29" s="30" t="str">
        <f>IFERROR(__xludf.DUMMYFUNCTION("""COMPUTED_VALUE"""),"kiểm tra cic")</f>
        <v>kiểm tra cic</v>
      </c>
      <c r="OF29" s="34" t="str">
        <f>IFERROR(__xludf.DUMMYFUNCTION("""COMPUTED_VALUE"""),"https://techcombank.com/thong-tin/blog/the-atm-gan-chip")</f>
        <v>https://techcombank.com/thong-tin/blog/the-atm-gan-chip</v>
      </c>
      <c r="OG29" s="30" t="str">
        <f>IFERROR(__xludf.DUMMYFUNCTION("""COMPUTED_VALUE"""),"kiểm tra cic")</f>
        <v>kiểm tra cic</v>
      </c>
      <c r="OH29" s="34" t="str">
        <f>IFERROR(__xludf.DUMMYFUNCTION("""COMPUTED_VALUE"""),"https://techcombank.com/thong-tin/blog/quy-trinh-gui-tien-tiet-kiem")</f>
        <v>https://techcombank.com/thong-tin/blog/quy-trinh-gui-tien-tiet-kiem</v>
      </c>
      <c r="OI29" s="30" t="str">
        <f>IFERROR(__xludf.DUMMYFUNCTION("""COMPUTED_VALUE"""),"tra cứu cic")</f>
        <v>tra cứu cic</v>
      </c>
      <c r="OJ29" s="34" t="str">
        <f>IFERROR(__xludf.DUMMYFUNCTION("""COMPUTED_VALUE"""),"https://techcombank.com/thong-tin/blog/thue-thuong-mai-dien-tu")</f>
        <v>https://techcombank.com/thong-tin/blog/thue-thuong-mai-dien-tu</v>
      </c>
      <c r="OK29" s="30" t="str">
        <f>IFERROR(__xludf.DUMMYFUNCTION("""COMPUTED_VALUE"""),"kiểm tra cic")</f>
        <v>kiểm tra cic</v>
      </c>
      <c r="OL29" s="34" t="str">
        <f>IFERROR(__xludf.DUMMYFUNCTION("""COMPUTED_VALUE"""),"https://techcombank.com/thong-tin/blog/ma-pin-the-atm")</f>
        <v>https://techcombank.com/thong-tin/blog/ma-pin-the-atm</v>
      </c>
      <c r="OM29" s="30" t="str">
        <f>IFERROR(__xludf.DUMMYFUNCTION("""COMPUTED_VALUE"""),"tra cứu cic")</f>
        <v>tra cứu cic</v>
      </c>
      <c r="ON29" s="34" t="str">
        <f>IFERROR(__xludf.DUMMYFUNCTION("""COMPUTED_VALUE"""),"https://techcombank.com/thong-tin/blog/atm-la-gi")</f>
        <v>https://techcombank.com/thong-tin/blog/atm-la-gi</v>
      </c>
      <c r="OO29" s="30" t="str">
        <f>IFERROR(__xludf.DUMMYFUNCTION("""COMPUTED_VALUE"""),"kiểm tra cic")</f>
        <v>kiểm tra cic</v>
      </c>
      <c r="OP29" s="34" t="str">
        <f>IFERROR(__xludf.DUMMYFUNCTION("""COMPUTED_VALUE"""),"https://techcombank.com/thong-tin/blog/bao-hiem-suc-khoe-la-gi")</f>
        <v>https://techcombank.com/thong-tin/blog/bao-hiem-suc-khoe-la-gi</v>
      </c>
      <c r="OQ29" s="30" t="str">
        <f>IFERROR(__xludf.DUMMYFUNCTION("""COMPUTED_VALUE"""),"kiểm tra cic")</f>
        <v>kiểm tra cic</v>
      </c>
      <c r="OR29" s="34" t="str">
        <f>IFERROR(__xludf.DUMMYFUNCTION("""COMPUTED_VALUE"""),"https://techcombank.com/thong-tin/blog/sms-banking")</f>
        <v>https://techcombank.com/thong-tin/blog/sms-banking</v>
      </c>
      <c r="OS29" s="30" t="str">
        <f>IFERROR(__xludf.DUMMYFUNCTION("""COMPUTED_VALUE"""),"tra cứu cic miễn phí")</f>
        <v>tra cứu cic miễn phí</v>
      </c>
      <c r="OT29" s="34" t="str">
        <f>IFERROR(__xludf.DUMMYFUNCTION("""COMPUTED_VALUE"""),"https://techcombank.com/thong-tin/blog/phi-thuong-nien-la-gi")</f>
        <v>https://techcombank.com/thong-tin/blog/phi-thuong-nien-la-gi</v>
      </c>
      <c r="OU29" s="30" t="str">
        <f>IFERROR(__xludf.DUMMYFUNCTION("""COMPUTED_VALUE"""),"kiểm tra cic")</f>
        <v>kiểm tra cic</v>
      </c>
      <c r="OV29" s="34" t="str">
        <f>IFERROR(__xludf.DUMMYFUNCTION("""COMPUTED_VALUE"""),"https://techcombank.com/thong-tin/blog/the-atm-tu")</f>
        <v>https://techcombank.com/thong-tin/blog/the-atm-tu</v>
      </c>
    </row>
    <row r="30" ht="18.0" customHeight="1">
      <c r="A30" s="29">
        <v>29.0</v>
      </c>
      <c r="B30" s="30" t="s">
        <v>3094</v>
      </c>
      <c r="C30" s="31" t="s">
        <v>5484</v>
      </c>
      <c r="D30" s="30" t="s">
        <v>2570</v>
      </c>
      <c r="E30" s="29">
        <v>50.0</v>
      </c>
      <c r="F30" s="29">
        <f>COUNTIF('Tổng hợp 75 trang đích'!$B$2:$B$3400,$D30)</f>
        <v>50</v>
      </c>
      <c r="G30" s="29">
        <f>COUNTIFS('Tổng hợp 75 trang đích'!$B$2:$B$3400,$D30,'Tổng hợp 75 trang đích'!$K$2:$K$3400,"PHÙ HỢP CAO")</f>
        <v>3</v>
      </c>
      <c r="H30" s="29">
        <f>COUNTIFS('Tổng hợp 75 trang đích'!$B$2:$B$3400,$D30,'Tổng hợp 75 trang đích'!$K$2:$K$3400,"CÓ THỂ ĐI")</f>
        <v>1</v>
      </c>
      <c r="I30" s="29">
        <f>COUNTIFS('Tổng hợp 75 trang đích'!$B$2:$B$3400,$D30,'Tổng hợp 75 trang đích'!$K$2:$K$3400,"CẦN SOÁT")</f>
        <v>46</v>
      </c>
      <c r="J30" s="32" t="s">
        <v>714</v>
      </c>
      <c r="K30" s="32" t="b">
        <v>0</v>
      </c>
      <c r="L30" s="33" t="s">
        <v>52</v>
      </c>
      <c r="M30" s="30" t="str">
        <f>IFERROR(__xludf.DUMMYFUNCTION("IFERROR(TOROW(CHOOSECOLS(SORT(FILTER({'Tổng hợp 75 trang đích'!$J$2:$J$3400,'Tổng hợp 75 trang đích'!$I$2:$I$3400,MATCH('Tổng hợp 75 trang đích'!$K$2:$K$3400,{""PHÙ HỢP CAO"",""CÓ THỂ ĐI"",""CẦN SOÁT""},0)},'Tổng hợp 75 trang đích'!$B$2:$B$3400=$D30),3,TR"&amp;"UE),1,2)),"""")"),"rút tiền thẻ tín dụng")</f>
        <v>rút tiền thẻ tín dụng</v>
      </c>
      <c r="N30" s="34" t="str">
        <f>IFERROR(__xludf.DUMMYFUNCTION("""COMPUTED_VALUE"""),"https://techcombank.com/thong-tin/blog/phi-rut-tien-mat-the-tin-dung")</f>
        <v>https://techcombank.com/thong-tin/blog/phi-rut-tien-mat-the-tin-dung</v>
      </c>
      <c r="O30" s="30" t="str">
        <f>IFERROR(__xludf.DUMMYFUNCTION("""COMPUTED_VALUE"""),"rút tiền thẻ tín dụng")</f>
        <v>rút tiền thẻ tín dụng</v>
      </c>
      <c r="P30" s="34" t="str">
        <f>IFERROR(__xludf.DUMMYFUNCTION("""COMPUTED_VALUE"""),"https://techcombank.com/thong-tin/blog/the-visa-co-rut-tien-duoc-khong")</f>
        <v>https://techcombank.com/thong-tin/blog/the-visa-co-rut-tien-duoc-khong</v>
      </c>
      <c r="Q30" s="30" t="str">
        <f>IFERROR(__xludf.DUMMYFUNCTION("""COMPUTED_VALUE"""),"rút tiền thẻ tín dụng")</f>
        <v>rút tiền thẻ tín dụng</v>
      </c>
      <c r="R30" s="34" t="str">
        <f>IFERROR(__xludf.DUMMYFUNCTION("""COMPUTED_VALUE"""),"https://techcombank.com/thong-tin/blog/the-tin-dung-co-chuyen-khoan-duoc-khong")</f>
        <v>https://techcombank.com/thong-tin/blog/the-tin-dung-co-chuyen-khoan-duoc-khong</v>
      </c>
      <c r="S30" s="30" t="str">
        <f>IFERROR(__xludf.DUMMYFUNCTION("""COMPUTED_VALUE"""),"rút tiền thẻ tín dụng")</f>
        <v>rút tiền thẻ tín dụng</v>
      </c>
      <c r="T30" s="34" t="str">
        <f>IFERROR(__xludf.DUMMYFUNCTION("""COMPUTED_VALUE"""),"https://techcombank.com/thong-tin/blog/in-ma-qr-ngan-hang")</f>
        <v>https://techcombank.com/thong-tin/blog/in-ma-qr-ngan-hang</v>
      </c>
      <c r="U30" s="30" t="str">
        <f>IFERROR(__xludf.DUMMYFUNCTION("""COMPUTED_VALUE"""),"rút tiền thẻ tín dụng")</f>
        <v>rút tiền thẻ tín dụng</v>
      </c>
      <c r="V30" s="34" t="str">
        <f>IFERROR(__xludf.DUMMYFUNCTION("""COMPUTED_VALUE"""),"https://techcombank.com/thong-tin/blog/qua-han-thanh-toan-the-tin-dung-1-ngay")</f>
        <v>https://techcombank.com/thong-tin/blog/qua-han-thanh-toan-the-tin-dung-1-ngay</v>
      </c>
      <c r="W30" s="30" t="str">
        <f>IFERROR(__xludf.DUMMYFUNCTION("""COMPUTED_VALUE"""),"rút tiền thẻ tín dụng")</f>
        <v>rút tiền thẻ tín dụng</v>
      </c>
      <c r="X30" s="34" t="str">
        <f>IFERROR(__xludf.DUMMYFUNCTION("""COMPUTED_VALUE"""),"https://techcombank.com/thong-tin/blog/mo-the-tin-dung-co-loi-ich-gi")</f>
        <v>https://techcombank.com/thong-tin/blog/mo-the-tin-dung-co-loi-ich-gi</v>
      </c>
      <c r="Y30" s="30" t="str">
        <f>IFERROR(__xludf.DUMMYFUNCTION("""COMPUTED_VALUE"""),"rút tiền thẻ tín dụng")</f>
        <v>rút tiền thẻ tín dụng</v>
      </c>
      <c r="Z30" s="34" t="str">
        <f>IFERROR(__xludf.DUMMYFUNCTION("""COMPUTED_VALUE"""),"https://techcombank.com/thong-tin/blog/vi-dien-tu")</f>
        <v>https://techcombank.com/thong-tin/blog/vi-dien-tu</v>
      </c>
      <c r="AA30" s="30" t="str">
        <f>IFERROR(__xludf.DUMMYFUNCTION("""COMPUTED_VALUE"""),"rút tiền thẻ tín dụng")</f>
        <v>rút tiền thẻ tín dụng</v>
      </c>
      <c r="AB30" s="34" t="str">
        <f>IFERROR(__xludf.DUMMYFUNCTION("""COMPUTED_VALUE"""),"https://techcombank.com/thong-tin/blog/mat-the-tin-dung-co-bi-mat-tien-khong")</f>
        <v>https://techcombank.com/thong-tin/blog/mat-the-tin-dung-co-bi-mat-tien-khong</v>
      </c>
      <c r="AC30" s="30" t="str">
        <f>IFERROR(__xludf.DUMMYFUNCTION("""COMPUTED_VALUE"""),"rút tiền thẻ tín dụng")</f>
        <v>rút tiền thẻ tín dụng</v>
      </c>
      <c r="AD30" s="34" t="str">
        <f>IFERROR(__xludf.DUMMYFUNCTION("""COMPUTED_VALUE"""),"https://techcombank.com/thong-tin/blog/merchant-la-gi")</f>
        <v>https://techcombank.com/thong-tin/blog/merchant-la-gi</v>
      </c>
      <c r="AE30" s="30" t="str">
        <f>IFERROR(__xludf.DUMMYFUNCTION("""COMPUTED_VALUE"""),"rút tiền thẻ tín dụng")</f>
        <v>rút tiền thẻ tín dụng</v>
      </c>
      <c r="AF30" s="34" t="str">
        <f>IFERROR(__xludf.DUMMYFUNCTION("""COMPUTED_VALUE"""),"https://techcombank.com/thong-tin/blog/rut-tien-mat-tu-tai-khoan-doanh-nghiep")</f>
        <v>https://techcombank.com/thong-tin/blog/rut-tien-mat-tu-tai-khoan-doanh-nghiep</v>
      </c>
      <c r="AG30" s="30" t="str">
        <f>IFERROR(__xludf.DUMMYFUNCTION("""COMPUTED_VALUE"""),"rút tiền thẻ tín dụng")</f>
        <v>rút tiền thẻ tín dụng</v>
      </c>
      <c r="AH30" s="34" t="str">
        <f>IFERROR(__xludf.DUMMYFUNCTION("""COMPUTED_VALUE"""),"https://techcombank.com/thong-tin/blog/cdm")</f>
        <v>https://techcombank.com/thong-tin/blog/cdm</v>
      </c>
      <c r="AI30" s="30" t="str">
        <f>IFERROR(__xludf.DUMMYFUNCTION("""COMPUTED_VALUE"""),"rút tiền thẻ tín dụng")</f>
        <v>rút tiền thẻ tín dụng</v>
      </c>
      <c r="AJ30" s="34" t="str">
        <f>IFERROR(__xludf.DUMMYFUNCTION("""COMPUTED_VALUE"""),"https://techcombank.com/thong-tin/blog/cach-su-dung-tai-khoan-cong-ty")</f>
        <v>https://techcombank.com/thong-tin/blog/cach-su-dung-tai-khoan-cong-ty</v>
      </c>
      <c r="AK30" s="30" t="str">
        <f>IFERROR(__xludf.DUMMYFUNCTION("""COMPUTED_VALUE"""),"rút tiền thẻ tín dụng")</f>
        <v>rút tiền thẻ tín dụng</v>
      </c>
      <c r="AL30" s="34" t="str">
        <f>IFERROR(__xludf.DUMMYFUNCTION("""COMPUTED_VALUE"""),"https://techcombank.com/thong-tin/blog/rut-tien-bang-ma-qr-khac-ngan-hang-duoc-khong")</f>
        <v>https://techcombank.com/thong-tin/blog/rut-tien-bang-ma-qr-khac-ngan-hang-duoc-khong</v>
      </c>
      <c r="AM30" s="30" t="str">
        <f>IFERROR(__xludf.DUMMYFUNCTION("""COMPUTED_VALUE"""),"rút tiền thẻ tín dụng")</f>
        <v>rút tiền thẻ tín dụng</v>
      </c>
      <c r="AN30" s="34" t="str">
        <f>IFERROR(__xludf.DUMMYFUNCTION("""COMPUTED_VALUE"""),"https://techcombank.com/thong-tin/blog/tra-cuu-han-muc-the-tin-dung")</f>
        <v>https://techcombank.com/thong-tin/blog/tra-cuu-han-muc-the-tin-dung</v>
      </c>
      <c r="AO30" s="30" t="str">
        <f>IFERROR(__xludf.DUMMYFUNCTION("""COMPUTED_VALUE"""),"rút tiền thẻ tín dụng")</f>
        <v>rút tiền thẻ tín dụng</v>
      </c>
      <c r="AP30" s="34" t="str">
        <f>IFERROR(__xludf.DUMMYFUNCTION("""COMPUTED_VALUE"""),"https://techcombank.com/thong-tin/blog/the-visa-de-lam-gi")</f>
        <v>https://techcombank.com/thong-tin/blog/the-visa-de-lam-gi</v>
      </c>
      <c r="AQ30" s="30" t="str">
        <f>IFERROR(__xludf.DUMMYFUNCTION("""COMPUTED_VALUE"""),"rút tiền thẻ tín dụng")</f>
        <v>rút tiền thẻ tín dụng</v>
      </c>
      <c r="AR30" s="34" t="str">
        <f>IFERROR(__xludf.DUMMYFUNCTION("""COMPUTED_VALUE"""),"https://techcombank.com/thong-tin/blog/the-atm-khong-rut-duoc-tien")</f>
        <v>https://techcombank.com/thong-tin/blog/the-atm-khong-rut-duoc-tien</v>
      </c>
      <c r="AS30" s="30" t="str">
        <f>IFERROR(__xludf.DUMMYFUNCTION("""COMPUTED_VALUE"""),"rút tiền thẻ tín dụng")</f>
        <v>rút tiền thẻ tín dụng</v>
      </c>
      <c r="AT30" s="34" t="str">
        <f>IFERROR(__xludf.DUMMYFUNCTION("""COMPUTED_VALUE"""),"https://techcombank.com/thong-tin/blog/rut-tien-tiet-kiem-truoc-thoi-han")</f>
        <v>https://techcombank.com/thong-tin/blog/rut-tien-tiet-kiem-truoc-thoi-han</v>
      </c>
      <c r="AU30" s="30" t="str">
        <f>IFERROR(__xludf.DUMMYFUNCTION("""COMPUTED_VALUE"""),"rút tiền thẻ tín dụng")</f>
        <v>rút tiền thẻ tín dụng</v>
      </c>
      <c r="AV30" s="34" t="str">
        <f>IFERROR(__xludf.DUMMYFUNCTION("""COMPUTED_VALUE"""),"https://techcombank.com/thong-tin/blog/rut-tien-bang-ma-qr-la-gi-cach-thuc-hien-nhu-the-nao")</f>
        <v>https://techcombank.com/thong-tin/blog/rut-tien-bang-ma-qr-la-gi-cach-thuc-hien-nhu-the-nao</v>
      </c>
      <c r="AW30" s="30" t="str">
        <f>IFERROR(__xludf.DUMMYFUNCTION("""COMPUTED_VALUE"""),"quẹt thẻ tín dụng lấy tiền mặt")</f>
        <v>quẹt thẻ tín dụng lấy tiền mặt</v>
      </c>
      <c r="AX30" s="34" t="str">
        <f>IFERROR(__xludf.DUMMYFUNCTION("""COMPUTED_VALUE"""),"https://techcombank.com/thong-tin/blog/ty-le-thanh-toan-khong-dung-tien-mat-trong-linh-vuc-y-te-con-han-che")</f>
        <v>https://techcombank.com/thong-tin/blog/ty-le-thanh-toan-khong-dung-tien-mat-trong-linh-vuc-y-te-con-han-che</v>
      </c>
      <c r="AY30" s="30" t="str">
        <f>IFERROR(__xludf.DUMMYFUNCTION("""COMPUTED_VALUE"""),"rút tiền thẻ tín dụng")</f>
        <v>rút tiền thẻ tín dụng</v>
      </c>
      <c r="AZ30" s="34" t="str">
        <f>IFERROR(__xludf.DUMMYFUNCTION("""COMPUTED_VALUE"""),"https://techcombank.com/thong-tin/blog/thanh-toan-khong-dung-tien-mat-tro-thanh-xu-huong-tang-truong-chong-mat")</f>
        <v>https://techcombank.com/thong-tin/blog/thanh-toan-khong-dung-tien-mat-tro-thanh-xu-huong-tang-truong-chong-mat</v>
      </c>
      <c r="BA30" s="30" t="str">
        <f>IFERROR(__xludf.DUMMYFUNCTION("""COMPUTED_VALUE"""),"rút tiền thẻ tín dụng")</f>
        <v>rút tiền thẻ tín dụng</v>
      </c>
      <c r="BB30" s="34" t="str">
        <f>IFERROR(__xludf.DUMMYFUNCTION("""COMPUTED_VALUE"""),"https://techcombank.com/thong-tin/blog/tin-dung-la-gi")</f>
        <v>https://techcombank.com/thong-tin/blog/tin-dung-la-gi</v>
      </c>
      <c r="BC30" s="30" t="str">
        <f>IFERROR(__xludf.DUMMYFUNCTION("""COMPUTED_VALUE"""),"rút tiền thẻ tín dụng")</f>
        <v>rút tiền thẻ tín dụng</v>
      </c>
      <c r="BD30" s="34" t="str">
        <f>IFERROR(__xludf.DUMMYFUNCTION("""COMPUTED_VALUE"""),"https://techcombank.com/thong-tin/blog/the-tin-dung-quoc-te")</f>
        <v>https://techcombank.com/thong-tin/blog/the-tin-dung-quoc-te</v>
      </c>
      <c r="BE30" s="30" t="str">
        <f>IFERROR(__xludf.DUMMYFUNCTION("""COMPUTED_VALUE"""),"rút tiền thẻ tín dụng")</f>
        <v>rút tiền thẻ tín dụng</v>
      </c>
      <c r="BF30" s="34" t="str">
        <f>IFERROR(__xludf.DUMMYFUNCTION("""COMPUTED_VALUE"""),"https://techcombank.com/thong-tin/blog/the-visa-ao-la-gi")</f>
        <v>https://techcombank.com/thong-tin/blog/the-visa-ao-la-gi</v>
      </c>
      <c r="BG30" s="30" t="str">
        <f>IFERROR(__xludf.DUMMYFUNCTION("""COMPUTED_VALUE"""),"rút tiền thẻ tín dụng")</f>
        <v>rút tiền thẻ tín dụng</v>
      </c>
      <c r="BH30" s="34" t="str">
        <f>IFERROR(__xludf.DUMMYFUNCTION("""COMPUTED_VALUE"""),"https://techcombank.com/thong-tin/blog/cach-su-dung-the-tin-dung")</f>
        <v>https://techcombank.com/thong-tin/blog/cach-su-dung-the-tin-dung</v>
      </c>
      <c r="BI30" s="30" t="str">
        <f>IFERROR(__xludf.DUMMYFUNCTION("""COMPUTED_VALUE"""),"rút tiền thẻ tín dụng")</f>
        <v>rút tiền thẻ tín dụng</v>
      </c>
      <c r="BJ30" s="34" t="str">
        <f>IFERROR(__xludf.DUMMYFUNCTION("""COMPUTED_VALUE"""),"https://techcombank.com/thong-tin/blog/tien-gui-khong-ky-han")</f>
        <v>https://techcombank.com/thong-tin/blog/tien-gui-khong-ky-han</v>
      </c>
      <c r="BK30" s="30" t="str">
        <f>IFERROR(__xludf.DUMMYFUNCTION("""COMPUTED_VALUE"""),"rút tiền thẻ tín dụng")</f>
        <v>rút tiền thẻ tín dụng</v>
      </c>
      <c r="BL30" s="34" t="str">
        <f>IFERROR(__xludf.DUMMYFUNCTION("""COMPUTED_VALUE"""),"https://techcombank.com/thong-tin/blog/xu-huong-thanh-toan-khong-dung-tien-mat-tai-viet-nam")</f>
        <v>https://techcombank.com/thong-tin/blog/xu-huong-thanh-toan-khong-dung-tien-mat-tai-viet-nam</v>
      </c>
      <c r="BM30" s="30" t="str">
        <f>IFERROR(__xludf.DUMMYFUNCTION("""COMPUTED_VALUE"""),"rút tiền thẻ tín dụng")</f>
        <v>rút tiền thẻ tín dụng</v>
      </c>
      <c r="BN30" s="34" t="str">
        <f>IFERROR(__xludf.DUMMYFUNCTION("""COMPUTED_VALUE"""),"https://techcombank.com/thong-tin/blog/cach-rut-tien-atm")</f>
        <v>https://techcombank.com/thong-tin/blog/cach-rut-tien-atm</v>
      </c>
      <c r="BO30" s="30" t="str">
        <f>IFERROR(__xludf.DUMMYFUNCTION("""COMPUTED_VALUE"""),"rút tiền thẻ tín dụng")</f>
        <v>rút tiền thẻ tín dụng</v>
      </c>
      <c r="BP30" s="34" t="str">
        <f>IFERROR(__xludf.DUMMYFUNCTION("""COMPUTED_VALUE"""),"https://techcombank.com/thong-tin/blog/lam-the-tin-dung-co-mat-phi-khong")</f>
        <v>https://techcombank.com/thong-tin/blog/lam-the-tin-dung-co-mat-phi-khong</v>
      </c>
      <c r="BQ30" s="30" t="str">
        <f>IFERROR(__xludf.DUMMYFUNCTION("""COMPUTED_VALUE"""),"rút tiền thẻ tín dụng")</f>
        <v>rút tiền thẻ tín dụng</v>
      </c>
      <c r="BR30" s="34" t="str">
        <f>IFERROR(__xludf.DUMMYFUNCTION("""COMPUTED_VALUE"""),"https://techcombank.com/thong-tin/blog/cach-su-dung-the-visa-techcombank")</f>
        <v>https://techcombank.com/thong-tin/blog/cach-su-dung-the-visa-techcombank</v>
      </c>
      <c r="BS30" s="30" t="str">
        <f>IFERROR(__xludf.DUMMYFUNCTION("""COMPUTED_VALUE"""),"rút tiền thẻ tín dụng")</f>
        <v>rút tiền thẻ tín dụng</v>
      </c>
      <c r="BT30" s="34" t="str">
        <f>IFERROR(__xludf.DUMMYFUNCTION("""COMPUTED_VALUE"""),"https://techcombank.com/thong-tin/blog/the-tin-dung-co-ma-pin-khong")</f>
        <v>https://techcombank.com/thong-tin/blog/the-tin-dung-co-ma-pin-khong</v>
      </c>
      <c r="BU30" s="30" t="str">
        <f>IFERROR(__xludf.DUMMYFUNCTION("""COMPUTED_VALUE"""),"rút tiền thẻ tín dụng")</f>
        <v>rút tiền thẻ tín dụng</v>
      </c>
      <c r="BV30" s="34" t="str">
        <f>IFERROR(__xludf.DUMMYFUNCTION("""COMPUTED_VALUE"""),"https://techcombank.com/thong-tin/blog/the-visa")</f>
        <v>https://techcombank.com/thong-tin/blog/the-visa</v>
      </c>
      <c r="BW30" s="30" t="str">
        <f>IFERROR(__xludf.DUMMYFUNCTION("""COMPUTED_VALUE"""),"rút tiền thẻ tín dụng")</f>
        <v>rút tiền thẻ tín dụng</v>
      </c>
      <c r="BX30" s="34" t="str">
        <f>IFERROR(__xludf.DUMMYFUNCTION("""COMPUTED_VALUE"""),"https://techcombank.com/thong-tin/blog/cay-atm-gan-day")</f>
        <v>https://techcombank.com/thong-tin/blog/cay-atm-gan-day</v>
      </c>
      <c r="BY30" s="30" t="str">
        <f>IFERROR(__xludf.DUMMYFUNCTION("""COMPUTED_VALUE"""),"rút tiền thẻ tín dụng")</f>
        <v>rút tiền thẻ tín dụng</v>
      </c>
      <c r="BZ30" s="34" t="str">
        <f>IFERROR(__xludf.DUMMYFUNCTION("""COMPUTED_VALUE"""),"https://techcombank.com/thong-tin/blog/dang-vay-tra-gop-co-vay-them-duoc-khong")</f>
        <v>https://techcombank.com/thong-tin/blog/dang-vay-tra-gop-co-vay-them-duoc-khong</v>
      </c>
      <c r="CA30" s="30" t="str">
        <f>IFERROR(__xludf.DUMMYFUNCTION("""COMPUTED_VALUE"""),"rút tiền thẻ tín dụng")</f>
        <v>rút tiền thẻ tín dụng</v>
      </c>
      <c r="CB30" s="34" t="str">
        <f>IFERROR(__xludf.DUMMYFUNCTION("""COMPUTED_VALUE"""),"https://techcombank.com/thong-tin/blog/cach-su-dung-the-ghi-no")</f>
        <v>https://techcombank.com/thong-tin/blog/cach-su-dung-the-ghi-no</v>
      </c>
      <c r="CC30" s="30" t="str">
        <f>IFERROR(__xludf.DUMMYFUNCTION("""COMPUTED_VALUE"""),"rút tiền thẻ tín dụng")</f>
        <v>rút tiền thẻ tín dụng</v>
      </c>
      <c r="CD30" s="34" t="str">
        <f>IFERROR(__xludf.DUMMYFUNCTION("""COMPUTED_VALUE"""),"https://techcombank.com/thong-tin/blog/the-ghi-no-co-rut-tien-duoc-khong")</f>
        <v>https://techcombank.com/thong-tin/blog/the-ghi-no-co-rut-tien-duoc-khong</v>
      </c>
      <c r="CE30" s="30" t="str">
        <f>IFERROR(__xludf.DUMMYFUNCTION("""COMPUTED_VALUE"""),"rút tiền thẻ tín dụng")</f>
        <v>rút tiền thẻ tín dụng</v>
      </c>
      <c r="CF30" s="34" t="str">
        <f>IFERROR(__xludf.DUMMYFUNCTION("""COMPUTED_VALUE"""),"https://techcombank.com/thong-tin/blog/tien-gui-co-ky-han")</f>
        <v>https://techcombank.com/thong-tin/blog/tien-gui-co-ky-han</v>
      </c>
      <c r="CG30" s="30" t="str">
        <f>IFERROR(__xludf.DUMMYFUNCTION("""COMPUTED_VALUE"""),"rút tiền thẻ tín dụng")</f>
        <v>rút tiền thẻ tín dụng</v>
      </c>
      <c r="CH30" s="34" t="str">
        <f>IFERROR(__xludf.DUMMYFUNCTION("""COMPUTED_VALUE"""),"https://techcombank.com/thong-tin/blog/cic-la-gi")</f>
        <v>https://techcombank.com/thong-tin/blog/cic-la-gi</v>
      </c>
      <c r="CI30" s="30" t="str">
        <f>IFERROR(__xludf.DUMMYFUNCTION("""COMPUTED_VALUE"""),"rút tiền thẻ tín dụng")</f>
        <v>rút tiền thẻ tín dụng</v>
      </c>
      <c r="CJ30" s="34" t="str">
        <f>IFERROR(__xludf.DUMMYFUNCTION("""COMPUTED_VALUE"""),"https://techcombank.com/thong-tin/blog/no-xau-nhom-2")</f>
        <v>https://techcombank.com/thong-tin/blog/no-xau-nhom-2</v>
      </c>
      <c r="CK30" s="30" t="str">
        <f>IFERROR(__xludf.DUMMYFUNCTION("""COMPUTED_VALUE"""),"rút tiền thẻ tín dụng")</f>
        <v>rút tiền thẻ tín dụng</v>
      </c>
      <c r="CL30" s="34" t="str">
        <f>IFERROR(__xludf.DUMMYFUNCTION("""COMPUTED_VALUE"""),"https://techcombank.com/thong-tin/blog/han-muc-tra-gop-the-tin-dung")</f>
        <v>https://techcombank.com/thong-tin/blog/han-muc-tra-gop-the-tin-dung</v>
      </c>
      <c r="CM30" s="30" t="str">
        <f>IFERROR(__xludf.DUMMYFUNCTION("""COMPUTED_VALUE"""),"rút tiền thẻ tín dụng")</f>
        <v>rút tiền thẻ tín dụng</v>
      </c>
      <c r="CN30" s="34" t="str">
        <f>IFERROR(__xludf.DUMMYFUNCTION("""COMPUTED_VALUE"""),"https://techcombank.com/thong-tin/blog/sao-ke-the-tin-dung-la-gi")</f>
        <v>https://techcombank.com/thong-tin/blog/sao-ke-the-tin-dung-la-gi</v>
      </c>
      <c r="CO30" s="30" t="str">
        <f>IFERROR(__xludf.DUMMYFUNCTION("""COMPUTED_VALUE"""),"rút tiền thẻ tín dụng")</f>
        <v>rút tiền thẻ tín dụng</v>
      </c>
      <c r="CP30" s="34" t="str">
        <f>IFERROR(__xludf.DUMMYFUNCTION("""COMPUTED_VALUE"""),"https://techcombank.com/thong-tin/blog/no-xau-mo-the-tin-dung-duoc-khong")</f>
        <v>https://techcombank.com/thong-tin/blog/no-xau-mo-the-tin-dung-duoc-khong</v>
      </c>
      <c r="CQ30" s="30" t="str">
        <f>IFERROR(__xludf.DUMMYFUNCTION("""COMPUTED_VALUE"""),"rút tiền thẻ tín dụng")</f>
        <v>rút tiền thẻ tín dụng</v>
      </c>
      <c r="CR30" s="34" t="str">
        <f>IFERROR(__xludf.DUMMYFUNCTION("""COMPUTED_VALUE"""),"https://techcombank.com/thong-tin/blog/the-tin-dung-phu-la-gi")</f>
        <v>https://techcombank.com/thong-tin/blog/the-tin-dung-phu-la-gi</v>
      </c>
      <c r="CS30" s="30" t="str">
        <f>IFERROR(__xludf.DUMMYFUNCTION("""COMPUTED_VALUE"""),"rút tiền thẻ tín dụng")</f>
        <v>rút tiền thẻ tín dụng</v>
      </c>
      <c r="CT30" s="34" t="str">
        <f>IFERROR(__xludf.DUMMYFUNCTION("""COMPUTED_VALUE"""),"https://techcombank.com/thong-tin/blog/cach-tiet-kiem-tien-cua-nguoi-nhat")</f>
        <v>https://techcombank.com/thong-tin/blog/cach-tiet-kiem-tien-cua-nguoi-nhat</v>
      </c>
      <c r="CU30" s="30" t="str">
        <f>IFERROR(__xludf.DUMMYFUNCTION("""COMPUTED_VALUE"""),"rút tiền thẻ tín dụng")</f>
        <v>rút tiền thẻ tín dụng</v>
      </c>
      <c r="CV30" s="34" t="str">
        <f>IFERROR(__xludf.DUMMYFUNCTION("""COMPUTED_VALUE"""),"https://techcombank.com/thong-tin/blog/mo-the-tin-dung-han-muc-cao")</f>
        <v>https://techcombank.com/thong-tin/blog/mo-the-tin-dung-han-muc-cao</v>
      </c>
      <c r="CW30" s="30" t="str">
        <f>IFERROR(__xludf.DUMMYFUNCTION("""COMPUTED_VALUE"""),"rút tiền thẻ tín dụng")</f>
        <v>rút tiền thẻ tín dụng</v>
      </c>
      <c r="CX30" s="34" t="str">
        <f>IFERROR(__xludf.DUMMYFUNCTION("""COMPUTED_VALUE"""),"https://techcombank.com/thong-tin/blog/the-tin-dung-noi-dia")</f>
        <v>https://techcombank.com/thong-tin/blog/the-tin-dung-noi-dia</v>
      </c>
      <c r="CY30" s="30" t="str">
        <f>IFERROR(__xludf.DUMMYFUNCTION("""COMPUTED_VALUE"""),"rút tiền thẻ tín dụng")</f>
        <v>rút tiền thẻ tín dụng</v>
      </c>
      <c r="CZ30" s="34" t="str">
        <f>IFERROR(__xludf.DUMMYFUNCTION("""COMPUTED_VALUE"""),"https://techcombank.com/thong-tin/blog/tra-gop-qua-the-tin-dung")</f>
        <v>https://techcombank.com/thong-tin/blog/tra-gop-qua-the-tin-dung</v>
      </c>
      <c r="DA30" s="30" t="str">
        <f>IFERROR(__xludf.DUMMYFUNCTION("""COMPUTED_VALUE"""),"rút tiền thẻ tín dụng")</f>
        <v>rút tiền thẻ tín dụng</v>
      </c>
      <c r="DB30" s="34" t="str">
        <f>IFERROR(__xludf.DUMMYFUNCTION("""COMPUTED_VALUE"""),"https://techcombank.com/thong-tin/blog/the-ghi-no-visa-la-gi")</f>
        <v>https://techcombank.com/thong-tin/blog/the-ghi-no-visa-la-gi</v>
      </c>
      <c r="DC30" s="30" t="str">
        <f>IFERROR(__xludf.DUMMYFUNCTION("""COMPUTED_VALUE"""),"rút tiền thẻ tín dụng")</f>
        <v>rút tiền thẻ tín dụng</v>
      </c>
      <c r="DD30" s="34" t="str">
        <f>IFERROR(__xludf.DUMMYFUNCTION("""COMPUTED_VALUE"""),"https://techcombank.com/thong-tin/blog/tra-gop-lazada")</f>
        <v>https://techcombank.com/thong-tin/blog/tra-gop-lazada</v>
      </c>
      <c r="DE30" s="30" t="str">
        <f>IFERROR(__xludf.DUMMYFUNCTION("""COMPUTED_VALUE"""),"rút tiền thẻ tín dụng")</f>
        <v>rút tiền thẻ tín dụng</v>
      </c>
      <c r="DF30" s="34" t="str">
        <f>IFERROR(__xludf.DUMMYFUNCTION("""COMPUTED_VALUE"""),"https://techcombank.com/thong-tin/blog/lam-ho-so-tra-gop-dien-thoai")</f>
        <v>https://techcombank.com/thong-tin/blog/lam-ho-so-tra-gop-dien-thoai</v>
      </c>
      <c r="DG30" s="30" t="str">
        <f>IFERROR(__xludf.DUMMYFUNCTION("""COMPUTED_VALUE"""),"rút tiền thẻ tín dụng")</f>
        <v>rút tiền thẻ tín dụng</v>
      </c>
      <c r="DH30" s="34" t="str">
        <f>IFERROR(__xludf.DUMMYFUNCTION("""COMPUTED_VALUE"""),"https://techcombank.com/thong-tin/blog/tra-gop-shopee")</f>
        <v>https://techcombank.com/thong-tin/blog/tra-gop-shopee</v>
      </c>
      <c r="DI30" s="30"/>
      <c r="DJ30" s="30"/>
      <c r="DK30" s="30"/>
      <c r="DL30" s="30"/>
      <c r="DM30" s="30"/>
      <c r="DN30" s="30"/>
      <c r="DO30" s="30"/>
      <c r="DP30" s="30"/>
      <c r="DQ30" s="30"/>
      <c r="DR30" s="30"/>
      <c r="DS30" s="30"/>
      <c r="DT30" s="30"/>
      <c r="DU30" s="30"/>
      <c r="DV30" s="30"/>
      <c r="DW30" s="30"/>
      <c r="DX30" s="30"/>
      <c r="DY30" s="30"/>
      <c r="DZ30" s="30"/>
      <c r="EA30" s="30"/>
      <c r="EB30" s="30"/>
      <c r="EC30" s="30"/>
      <c r="ED30" s="30"/>
      <c r="EE30" s="30"/>
      <c r="EF30" s="30"/>
      <c r="EG30" s="30"/>
      <c r="EH30" s="30"/>
      <c r="EI30" s="30"/>
      <c r="EJ30" s="30"/>
      <c r="EK30" s="30"/>
      <c r="EL30" s="30"/>
      <c r="EM30" s="30"/>
      <c r="EN30" s="30"/>
      <c r="EO30" s="30"/>
      <c r="EP30" s="30"/>
      <c r="EQ30" s="30"/>
      <c r="ER30" s="30"/>
      <c r="ES30" s="30"/>
      <c r="ET30" s="30"/>
      <c r="EU30" s="30"/>
      <c r="EV30" s="30"/>
      <c r="EW30" s="30"/>
      <c r="EX30" s="30"/>
      <c r="EY30" s="30"/>
      <c r="EZ30" s="30"/>
      <c r="FA30" s="30"/>
      <c r="FB30" s="30"/>
      <c r="FC30" s="30"/>
      <c r="FD30" s="30"/>
      <c r="FE30" s="30"/>
      <c r="FF30" s="30"/>
      <c r="FG30" s="30"/>
      <c r="FH30" s="30"/>
      <c r="FI30" s="30"/>
      <c r="FJ30" s="30"/>
      <c r="FK30" s="30"/>
      <c r="FL30" s="30"/>
      <c r="FM30" s="30"/>
      <c r="FN30" s="30"/>
      <c r="FO30" s="30"/>
      <c r="FP30" s="30"/>
      <c r="FQ30" s="30"/>
      <c r="FR30" s="30"/>
      <c r="FS30" s="30"/>
      <c r="FT30" s="30"/>
      <c r="FU30" s="30"/>
      <c r="FV30" s="30"/>
      <c r="FW30" s="30"/>
      <c r="FX30" s="30"/>
      <c r="FY30" s="30"/>
      <c r="FZ30" s="30"/>
      <c r="GA30" s="30"/>
      <c r="GB30" s="30"/>
      <c r="GC30" s="30"/>
      <c r="GD30" s="30"/>
      <c r="GE30" s="30"/>
      <c r="GF30" s="30"/>
      <c r="GG30" s="30"/>
      <c r="GH30" s="30"/>
      <c r="GI30" s="30"/>
      <c r="GJ30" s="30"/>
      <c r="GK30" s="30"/>
      <c r="GL30" s="30"/>
      <c r="GM30" s="30"/>
      <c r="GN30" s="30"/>
      <c r="GO30" s="30"/>
      <c r="GP30" s="30"/>
      <c r="GQ30" s="30"/>
      <c r="GR30" s="30"/>
      <c r="GS30" s="30"/>
      <c r="GT30" s="30"/>
      <c r="GU30" s="30"/>
      <c r="GV30" s="30"/>
      <c r="GW30" s="30"/>
      <c r="GX30" s="30"/>
      <c r="GY30" s="30"/>
      <c r="GZ30" s="30"/>
      <c r="HA30" s="30"/>
      <c r="HB30" s="30"/>
      <c r="HC30" s="30"/>
      <c r="HD30" s="30"/>
      <c r="HE30" s="30"/>
      <c r="HF30" s="30"/>
      <c r="HG30" s="30"/>
      <c r="HH30" s="30"/>
      <c r="HI30" s="30"/>
      <c r="HJ30" s="30"/>
      <c r="HK30" s="30"/>
      <c r="HL30" s="30"/>
      <c r="HM30" s="30"/>
      <c r="HN30" s="30"/>
      <c r="HO30" s="30"/>
      <c r="HP30" s="30"/>
      <c r="HQ30" s="30"/>
      <c r="HR30" s="30"/>
      <c r="HS30" s="30"/>
      <c r="HT30" s="30"/>
      <c r="HU30" s="30"/>
      <c r="HV30" s="30"/>
      <c r="HW30" s="30"/>
      <c r="HX30" s="30"/>
      <c r="HY30" s="30"/>
      <c r="HZ30" s="30"/>
      <c r="IA30" s="30"/>
      <c r="IB30" s="30"/>
      <c r="IC30" s="30"/>
      <c r="ID30" s="30"/>
      <c r="IE30" s="30"/>
      <c r="IF30" s="30"/>
      <c r="IG30" s="30"/>
      <c r="IH30" s="30"/>
      <c r="II30" s="30"/>
      <c r="IJ30" s="30"/>
      <c r="IK30" s="30"/>
      <c r="IL30" s="30"/>
      <c r="IM30" s="30"/>
      <c r="IN30" s="30"/>
      <c r="IO30" s="30"/>
      <c r="IP30" s="30"/>
      <c r="IQ30" s="30"/>
      <c r="IR30" s="30"/>
      <c r="IS30" s="30"/>
      <c r="IT30" s="30"/>
      <c r="IU30" s="30"/>
      <c r="IV30" s="30"/>
      <c r="IW30" s="30"/>
      <c r="IX30" s="30"/>
      <c r="IY30" s="30"/>
      <c r="IZ30" s="30"/>
      <c r="JA30" s="30"/>
      <c r="JB30" s="30"/>
      <c r="JC30" s="30"/>
      <c r="JD30" s="30"/>
      <c r="JE30" s="30"/>
      <c r="JF30" s="30"/>
      <c r="JG30" s="30"/>
      <c r="JH30" s="30"/>
      <c r="JI30" s="30"/>
      <c r="JJ30" s="30"/>
      <c r="JK30" s="30"/>
      <c r="JL30" s="30"/>
      <c r="JM30" s="30"/>
      <c r="JN30" s="30"/>
      <c r="JO30" s="30"/>
      <c r="JP30" s="30"/>
      <c r="JQ30" s="30"/>
      <c r="JR30" s="30"/>
      <c r="JS30" s="30"/>
      <c r="JT30" s="30"/>
      <c r="JU30" s="30"/>
      <c r="JV30" s="30"/>
      <c r="JW30" s="30"/>
      <c r="JX30" s="30"/>
      <c r="JY30" s="30"/>
      <c r="JZ30" s="30"/>
      <c r="KA30" s="30"/>
      <c r="KB30" s="30"/>
      <c r="KC30" s="30"/>
      <c r="KD30" s="30"/>
      <c r="KE30" s="30"/>
      <c r="KF30" s="30"/>
      <c r="KG30" s="30"/>
      <c r="KH30" s="30"/>
      <c r="KI30" s="30"/>
      <c r="KJ30" s="30"/>
      <c r="KK30" s="30"/>
      <c r="KL30" s="30"/>
      <c r="KM30" s="30"/>
      <c r="KN30" s="30"/>
      <c r="KO30" s="30"/>
      <c r="KP30" s="30"/>
      <c r="KQ30" s="30"/>
      <c r="KR30" s="30"/>
      <c r="KS30" s="30"/>
      <c r="KT30" s="30"/>
      <c r="KU30" s="30"/>
      <c r="KV30" s="30"/>
      <c r="KW30" s="30"/>
      <c r="KX30" s="30"/>
      <c r="KY30" s="30"/>
      <c r="KZ30" s="30"/>
      <c r="LA30" s="30"/>
      <c r="LB30" s="30"/>
      <c r="LC30" s="30"/>
      <c r="LD30" s="30"/>
      <c r="LE30" s="30"/>
      <c r="LF30" s="30"/>
      <c r="LG30" s="30"/>
      <c r="LH30" s="30"/>
      <c r="LI30" s="30"/>
      <c r="LJ30" s="30"/>
      <c r="LK30" s="30"/>
      <c r="LL30" s="30"/>
      <c r="LM30" s="30"/>
      <c r="LN30" s="30"/>
      <c r="LO30" s="30"/>
      <c r="LP30" s="30"/>
      <c r="LQ30" s="30"/>
      <c r="LR30" s="30"/>
      <c r="LS30" s="30"/>
      <c r="LT30" s="30"/>
      <c r="LU30" s="30"/>
      <c r="LV30" s="30"/>
      <c r="LW30" s="30"/>
      <c r="LX30" s="30"/>
      <c r="LY30" s="30"/>
      <c r="LZ30" s="30"/>
      <c r="MA30" s="30"/>
      <c r="MB30" s="30"/>
      <c r="MC30" s="30"/>
      <c r="MD30" s="30"/>
      <c r="ME30" s="30"/>
      <c r="MF30" s="30"/>
      <c r="MG30" s="30"/>
      <c r="MH30" s="30"/>
      <c r="MI30" s="30"/>
      <c r="MJ30" s="30"/>
      <c r="MK30" s="30"/>
      <c r="ML30" s="30"/>
      <c r="MM30" s="30"/>
      <c r="MN30" s="30"/>
      <c r="MO30" s="30"/>
      <c r="MP30" s="30"/>
      <c r="MQ30" s="30"/>
      <c r="MR30" s="30"/>
      <c r="MS30" s="30"/>
      <c r="MT30" s="30"/>
      <c r="MU30" s="30"/>
      <c r="MV30" s="30"/>
      <c r="MW30" s="30"/>
      <c r="MX30" s="30"/>
      <c r="MY30" s="30"/>
      <c r="MZ30" s="30"/>
      <c r="NA30" s="30"/>
      <c r="NB30" s="30"/>
      <c r="NC30" s="30"/>
      <c r="ND30" s="30"/>
      <c r="NE30" s="30"/>
      <c r="NF30" s="30"/>
      <c r="NG30" s="30"/>
      <c r="NH30" s="30"/>
      <c r="NI30" s="30"/>
      <c r="NJ30" s="30"/>
      <c r="NK30" s="30"/>
      <c r="NL30" s="30"/>
      <c r="NM30" s="30"/>
      <c r="NN30" s="30"/>
      <c r="NO30" s="30"/>
      <c r="NP30" s="30"/>
      <c r="NQ30" s="30"/>
      <c r="NR30" s="30"/>
      <c r="NS30" s="30"/>
      <c r="NT30" s="30"/>
      <c r="NU30" s="30"/>
      <c r="NV30" s="30"/>
      <c r="NW30" s="30"/>
      <c r="NX30" s="30"/>
      <c r="NY30" s="30"/>
      <c r="NZ30" s="30"/>
      <c r="OA30" s="30"/>
      <c r="OB30" s="30"/>
      <c r="OC30" s="30"/>
      <c r="OD30" s="30"/>
      <c r="OE30" s="30"/>
      <c r="OF30" s="30"/>
      <c r="OG30" s="30"/>
      <c r="OH30" s="30"/>
      <c r="OI30" s="30"/>
      <c r="OJ30" s="30"/>
      <c r="OK30" s="30"/>
      <c r="OL30" s="30"/>
      <c r="OM30" s="30"/>
      <c r="ON30" s="30"/>
      <c r="OO30" s="30"/>
      <c r="OP30" s="30"/>
      <c r="OQ30" s="30"/>
      <c r="OR30" s="30"/>
      <c r="OS30" s="30"/>
      <c r="OT30" s="30"/>
      <c r="OU30" s="30"/>
      <c r="OV30" s="30"/>
    </row>
    <row r="31" ht="18.0" customHeight="1">
      <c r="A31" s="29">
        <v>30.0</v>
      </c>
      <c r="B31" s="30" t="s">
        <v>3094</v>
      </c>
      <c r="C31" s="31" t="s">
        <v>3090</v>
      </c>
      <c r="D31" s="30" t="s">
        <v>1860</v>
      </c>
      <c r="E31" s="29">
        <v>30.0</v>
      </c>
      <c r="F31" s="29">
        <f>COUNTIF('Tổng hợp 75 trang đích'!$B$2:$B$3400,$D31)</f>
        <v>30</v>
      </c>
      <c r="G31" s="29">
        <f>COUNTIFS('Tổng hợp 75 trang đích'!$B$2:$B$3400,$D31,'Tổng hợp 75 trang đích'!$K$2:$K$3400,"PHÙ HỢP CAO")</f>
        <v>1</v>
      </c>
      <c r="H31" s="29">
        <f>COUNTIFS('Tổng hợp 75 trang đích'!$B$2:$B$3400,$D31,'Tổng hợp 75 trang đích'!$K$2:$K$3400,"CÓ THỂ ĐI")</f>
        <v>8</v>
      </c>
      <c r="I31" s="29">
        <f>COUNTIFS('Tổng hợp 75 trang đích'!$B$2:$B$3400,$D31,'Tổng hợp 75 trang đích'!$K$2:$K$3400,"CẦN SOÁT")</f>
        <v>21</v>
      </c>
      <c r="J31" s="32" t="s">
        <v>714</v>
      </c>
      <c r="K31" s="32" t="b">
        <v>0</v>
      </c>
      <c r="L31" s="33" t="s">
        <v>52</v>
      </c>
      <c r="M31" s="30" t="str">
        <f>IFERROR(__xludf.DUMMYFUNCTION("IFERROR(TOROW(CHOOSECOLS(SORT(FILTER({'Tổng hợp 75 trang đích'!$J$2:$J$3400,'Tổng hợp 75 trang đích'!$I$2:$I$3400,MATCH('Tổng hợp 75 trang đích'!$K$2:$K$3400,{""PHÙ HỢP CAO"",""CÓ THỂ ĐI"",""CẦN SOÁT""},0)},'Tổng hợp 75 trang đích'!$B$2:$B$3400=$D31),3,TR"&amp;"UE),1,2)),"""")"),"làm thẻ tín dụng")</f>
        <v>làm thẻ tín dụng</v>
      </c>
      <c r="N31" s="34" t="str">
        <f>IFERROR(__xludf.DUMMYFUNCTION("""COMPUTED_VALUE"""),"https://techcombank.com/thong-tin/blog/lam-the-tin-dung-co-mat-phi-khong")</f>
        <v>https://techcombank.com/thong-tin/blog/lam-the-tin-dung-co-mat-phi-khong</v>
      </c>
      <c r="O31" s="30" t="str">
        <f>IFERROR(__xludf.DUMMYFUNCTION("""COMPUTED_VALUE"""),"mở thẻ tín dụng")</f>
        <v>mở thẻ tín dụng</v>
      </c>
      <c r="P31" s="34" t="str">
        <f>IFERROR(__xludf.DUMMYFUNCTION("""COMPUTED_VALUE"""),"https://techcombank.com/thong-tin/blog/mo-the-tin-dung-han-muc-cao")</f>
        <v>https://techcombank.com/thong-tin/blog/mo-the-tin-dung-han-muc-cao</v>
      </c>
      <c r="Q31" s="30" t="str">
        <f>IFERROR(__xludf.DUMMYFUNCTION("""COMPUTED_VALUE"""),"làm thẻ tín dụng")</f>
        <v>làm thẻ tín dụng</v>
      </c>
      <c r="R31" s="34" t="str">
        <f>IFERROR(__xludf.DUMMYFUNCTION("""COMPUTED_VALUE"""),"https://techcombank.com/thong-tin/blog/no-xau-mo-the-tin-dung-duoc-khong")</f>
        <v>https://techcombank.com/thong-tin/blog/no-xau-mo-the-tin-dung-duoc-khong</v>
      </c>
      <c r="S31" s="30" t="str">
        <f>IFERROR(__xludf.DUMMYFUNCTION("""COMPUTED_VALUE"""),"mở thẻ tín dụng")</f>
        <v>mở thẻ tín dụng</v>
      </c>
      <c r="T31" s="34" t="str">
        <f>IFERROR(__xludf.DUMMYFUNCTION("""COMPUTED_VALUE"""),"https://techcombank.com/thong-tin/blog/the-tin-dung-phu-la-gi")</f>
        <v>https://techcombank.com/thong-tin/blog/the-tin-dung-phu-la-gi</v>
      </c>
      <c r="U31" s="30" t="str">
        <f>IFERROR(__xludf.DUMMYFUNCTION("""COMPUTED_VALUE"""),"mở thẻ tín dụng")</f>
        <v>mở thẻ tín dụng</v>
      </c>
      <c r="V31" s="34" t="str">
        <f>IFERROR(__xludf.DUMMYFUNCTION("""COMPUTED_VALUE"""),"https://techcombank.com/thong-tin/blog/co-nen-dung-the-tin-dung-khong")</f>
        <v>https://techcombank.com/thong-tin/blog/co-nen-dung-the-tin-dung-khong</v>
      </c>
      <c r="W31" s="30" t="str">
        <f>IFERROR(__xludf.DUMMYFUNCTION("""COMPUTED_VALUE"""),"làm thẻ tín dụng")</f>
        <v>làm thẻ tín dụng</v>
      </c>
      <c r="X31" s="34" t="str">
        <f>IFERROR(__xludf.DUMMYFUNCTION("""COMPUTED_VALUE"""),"https://techcombank.com/thong-tin/blog/the-tin-dung-ao")</f>
        <v>https://techcombank.com/thong-tin/blog/the-tin-dung-ao</v>
      </c>
      <c r="Y31" s="30" t="str">
        <f>IFERROR(__xludf.DUMMYFUNCTION("""COMPUTED_VALUE"""),"mở thẻ tín dụng")</f>
        <v>mở thẻ tín dụng</v>
      </c>
      <c r="Z31" s="34" t="str">
        <f>IFERROR(__xludf.DUMMYFUNCTION("""COMPUTED_VALUE"""),"https://techcombank.com/thong-tin/blog/no-xau-co-lam-the-visa-duoc-khong")</f>
        <v>https://techcombank.com/thong-tin/blog/no-xau-co-lam-the-visa-duoc-khong</v>
      </c>
      <c r="AA31" s="30" t="str">
        <f>IFERROR(__xludf.DUMMYFUNCTION("""COMPUTED_VALUE"""),"mở thẻ tín dụng")</f>
        <v>mở thẻ tín dụng</v>
      </c>
      <c r="AB31" s="34" t="str">
        <f>IFERROR(__xludf.DUMMYFUNCTION("""COMPUTED_VALUE"""),"https://techcombank.com/thong-tin/blog/uu-dai-mo-the-tin-dung")</f>
        <v>https://techcombank.com/thong-tin/blog/uu-dai-mo-the-tin-dung</v>
      </c>
      <c r="AC31" s="30" t="str">
        <f>IFERROR(__xludf.DUMMYFUNCTION("""COMPUTED_VALUE"""),"mở thẻ tín dụng")</f>
        <v>mở thẻ tín dụng</v>
      </c>
      <c r="AD31" s="34" t="str">
        <f>IFERROR(__xludf.DUMMYFUNCTION("""COMPUTED_VALUE"""),"https://techcombank.com/thong-tin/blog/khong-su-dung-the-tin-dung-co-mat-phi-khong")</f>
        <v>https://techcombank.com/thong-tin/blog/khong-su-dung-the-tin-dung-co-mat-phi-khong</v>
      </c>
      <c r="AE31" s="30" t="str">
        <f>IFERROR(__xludf.DUMMYFUNCTION("""COMPUTED_VALUE"""),"mở thẻ tín dụng")</f>
        <v>mở thẻ tín dụng</v>
      </c>
      <c r="AF31" s="34" t="str">
        <f>IFERROR(__xludf.DUMMYFUNCTION("""COMPUTED_VALUE"""),"https://techcombank.com/thong-tin/blog/tai-khoan-doanh-nghiep-co-the-khong")</f>
        <v>https://techcombank.com/thong-tin/blog/tai-khoan-doanh-nghiep-co-the-khong</v>
      </c>
      <c r="AG31" s="30" t="str">
        <f>IFERROR(__xludf.DUMMYFUNCTION("""COMPUTED_VALUE"""),"làm thẻ tín dụng")</f>
        <v>làm thẻ tín dụng</v>
      </c>
      <c r="AH31" s="34" t="str">
        <f>IFERROR(__xludf.DUMMYFUNCTION("""COMPUTED_VALUE"""),"https://techcombank.com/thong-tin/blog/mm-yy-la-gi")</f>
        <v>https://techcombank.com/thong-tin/blog/mm-yy-la-gi</v>
      </c>
      <c r="AI31" s="30" t="str">
        <f>IFERROR(__xludf.DUMMYFUNCTION("""COMPUTED_VALUE"""),"mở thẻ tín dụng")</f>
        <v>mở thẻ tín dụng</v>
      </c>
      <c r="AJ31" s="34" t="str">
        <f>IFERROR(__xludf.DUMMYFUNCTION("""COMPUTED_VALUE"""),"https://techcombank.com/thong-tin/blog/uu-dai-the-tin-dung-techcombank-signature")</f>
        <v>https://techcombank.com/thong-tin/blog/uu-dai-the-tin-dung-techcombank-signature</v>
      </c>
      <c r="AK31" s="30" t="str">
        <f>IFERROR(__xludf.DUMMYFUNCTION("""COMPUTED_VALUE"""),"mở thẻ tín dụng")</f>
        <v>mở thẻ tín dụng</v>
      </c>
      <c r="AL31" s="34" t="str">
        <f>IFERROR(__xludf.DUMMYFUNCTION("""COMPUTED_VALUE"""),"https://techcombank.com/thong-tin/blog/the-tin-dung-mien-phi-thuong-nien")</f>
        <v>https://techcombank.com/thong-tin/blog/the-tin-dung-mien-phi-thuong-nien</v>
      </c>
      <c r="AM31" s="30" t="str">
        <f>IFERROR(__xludf.DUMMYFUNCTION("""COMPUTED_VALUE"""),"làm thẻ tín dụng")</f>
        <v>làm thẻ tín dụng</v>
      </c>
      <c r="AN31" s="34" t="str">
        <f>IFERROR(__xludf.DUMMYFUNCTION("""COMPUTED_VALUE"""),"https://techcombank.com/thong-tin/blog/uu-dai-mua-ve-may-bay-bang-the-tin-dung")</f>
        <v>https://techcombank.com/thong-tin/blog/uu-dai-mua-ve-may-bay-bang-the-tin-dung</v>
      </c>
      <c r="AO31" s="30" t="str">
        <f>IFERROR(__xludf.DUMMYFUNCTION("""COMPUTED_VALUE"""),"mở thẻ tín dụng")</f>
        <v>mở thẻ tín dụng</v>
      </c>
      <c r="AP31" s="34" t="str">
        <f>IFERROR(__xludf.DUMMYFUNCTION("""COMPUTED_VALUE"""),"https://techcombank.com/thong-tin/blog/mat-the-tin-dung-co-bi-mat-tien-khong")</f>
        <v>https://techcombank.com/thong-tin/blog/mat-the-tin-dung-co-bi-mat-tien-khong</v>
      </c>
      <c r="AQ31" s="30" t="str">
        <f>IFERROR(__xludf.DUMMYFUNCTION("""COMPUTED_VALUE"""),"làm thẻ tín dụng")</f>
        <v>làm thẻ tín dụng</v>
      </c>
      <c r="AR31" s="34" t="str">
        <f>IFERROR(__xludf.DUMMYFUNCTION("""COMPUTED_VALUE"""),"https://techcombank.com/thong-tin/blog/lam-the-atm-co-mat-phi-khong")</f>
        <v>https://techcombank.com/thong-tin/blog/lam-the-atm-co-mat-phi-khong</v>
      </c>
      <c r="AS31" s="30" t="str">
        <f>IFERROR(__xludf.DUMMYFUNCTION("""COMPUTED_VALUE"""),"mở thẻ tín dụng")</f>
        <v>mở thẻ tín dụng</v>
      </c>
      <c r="AT31" s="34" t="str">
        <f>IFERROR(__xludf.DUMMYFUNCTION("""COMPUTED_VALUE"""),"https://techcombank.com/thong-tin/blog/the-tin-dung-nao-nhieu-uu-dai-nhat")</f>
        <v>https://techcombank.com/thong-tin/blog/the-tin-dung-nao-nhieu-uu-dai-nhat</v>
      </c>
      <c r="AU31" s="30" t="str">
        <f>IFERROR(__xludf.DUMMYFUNCTION("""COMPUTED_VALUE"""),"làm thẻ tín dụng")</f>
        <v>làm thẻ tín dụng</v>
      </c>
      <c r="AV31" s="34" t="str">
        <f>IFERROR(__xludf.DUMMYFUNCTION("""COMPUTED_VALUE"""),"https://techcombank.com/thong-tin/blog/cach-lam-the-ngan-hang-chay-quang-cao-facebook")</f>
        <v>https://techcombank.com/thong-tin/blog/cach-lam-the-ngan-hang-chay-quang-cao-facebook</v>
      </c>
      <c r="AW31" s="30" t="str">
        <f>IFERROR(__xludf.DUMMYFUNCTION("""COMPUTED_VALUE"""),"làm thẻ tín dụng")</f>
        <v>làm thẻ tín dụng</v>
      </c>
      <c r="AX31" s="34" t="str">
        <f>IFERROR(__xludf.DUMMYFUNCTION("""COMPUTED_VALUE"""),"https://techcombank.com/thong-tin/blog/eco-card")</f>
        <v>https://techcombank.com/thong-tin/blog/eco-card</v>
      </c>
      <c r="AY31" s="30" t="str">
        <f>IFERROR(__xludf.DUMMYFUNCTION("""COMPUTED_VALUE"""),"làm thẻ tín dụng")</f>
        <v>làm thẻ tín dụng</v>
      </c>
      <c r="AZ31" s="34" t="str">
        <f>IFERROR(__xludf.DUMMYFUNCTION("""COMPUTED_VALUE"""),"https://techcombank.com/thong-tin/blog/mua-iphone-17")</f>
        <v>https://techcombank.com/thong-tin/blog/mua-iphone-17</v>
      </c>
      <c r="BA31" s="30" t="str">
        <f>IFERROR(__xludf.DUMMYFUNCTION("""COMPUTED_VALUE"""),"làm thẻ tín dụng")</f>
        <v>làm thẻ tín dụng</v>
      </c>
      <c r="BB31" s="34" t="str">
        <f>IFERROR(__xludf.DUMMYFUNCTION("""COMPUTED_VALUE"""),"https://techcombank.com/thong-tin/blog/cach-lam-the-atm")</f>
        <v>https://techcombank.com/thong-tin/blog/cach-lam-the-atm</v>
      </c>
      <c r="BC31" s="30" t="str">
        <f>IFERROR(__xludf.DUMMYFUNCTION("""COMPUTED_VALUE"""),"làm thẻ tín dụng")</f>
        <v>làm thẻ tín dụng</v>
      </c>
      <c r="BD31" s="34" t="str">
        <f>IFERROR(__xludf.DUMMYFUNCTION("""COMPUTED_VALUE"""),"https://techcombank.com/thong-tin/blog/the-visa-co-can-mat-khau-khong")</f>
        <v>https://techcombank.com/thong-tin/blog/the-visa-co-can-mat-khau-khong</v>
      </c>
      <c r="BE31" s="30" t="str">
        <f>IFERROR(__xludf.DUMMYFUNCTION("""COMPUTED_VALUE"""),"làm thẻ tín dụng")</f>
        <v>làm thẻ tín dụng</v>
      </c>
      <c r="BF31" s="34" t="str">
        <f>IFERROR(__xludf.DUMMYFUNCTION("""COMPUTED_VALUE"""),"https://techcombank.com/thong-tin/blog/mua-truoc-tra-sau")</f>
        <v>https://techcombank.com/thong-tin/blog/mua-truoc-tra-sau</v>
      </c>
      <c r="BG31" s="30" t="str">
        <f>IFERROR(__xludf.DUMMYFUNCTION("""COMPUTED_VALUE"""),"mở thẻ tín dụng")</f>
        <v>mở thẻ tín dụng</v>
      </c>
      <c r="BH31" s="34" t="str">
        <f>IFERROR(__xludf.DUMMYFUNCTION("""COMPUTED_VALUE"""),"https://techcombank.com/thong-tin/blog/tra-cuu-han-muc-the-tin-dung")</f>
        <v>https://techcombank.com/thong-tin/blog/tra-cuu-han-muc-the-tin-dung</v>
      </c>
      <c r="BI31" s="30" t="str">
        <f>IFERROR(__xludf.DUMMYFUNCTION("""COMPUTED_VALUE"""),"làm thẻ tín dụng")</f>
        <v>làm thẻ tín dụng</v>
      </c>
      <c r="BJ31" s="34" t="str">
        <f>IFERROR(__xludf.DUMMYFUNCTION("""COMPUTED_VALUE"""),"https://techcombank.com/thong-tin/blog/the-visa-de-lam-gi")</f>
        <v>https://techcombank.com/thong-tin/blog/the-visa-de-lam-gi</v>
      </c>
      <c r="BK31" s="30" t="str">
        <f>IFERROR(__xludf.DUMMYFUNCTION("""COMPUTED_VALUE"""),"làm thẻ tín dụng")</f>
        <v>làm thẻ tín dụng</v>
      </c>
      <c r="BL31" s="34" t="str">
        <f>IFERROR(__xludf.DUMMYFUNCTION("""COMPUTED_VALUE"""),"https://techcombank.com/thong-tin/blog/the-tin-dung-het-han")</f>
        <v>https://techcombank.com/thong-tin/blog/the-tin-dung-het-han</v>
      </c>
      <c r="BM31" s="30" t="str">
        <f>IFERROR(__xludf.DUMMYFUNCTION("""COMPUTED_VALUE"""),"mở thẻ tín dụng")</f>
        <v>mở thẻ tín dụng</v>
      </c>
      <c r="BN31" s="34" t="str">
        <f>IFERROR(__xludf.DUMMYFUNCTION("""COMPUTED_VALUE"""),"https://techcombank.com/thong-tin/blog/lam-the-atm-bao-lau-co")</f>
        <v>https://techcombank.com/thong-tin/blog/lam-the-atm-bao-lau-co</v>
      </c>
      <c r="BO31" s="30" t="str">
        <f>IFERROR(__xludf.DUMMYFUNCTION("""COMPUTED_VALUE"""),"làm thẻ tín dụng")</f>
        <v>làm thẻ tín dụng</v>
      </c>
      <c r="BP31" s="34" t="str">
        <f>IFERROR(__xludf.DUMMYFUNCTION("""COMPUTED_VALUE"""),"https://techcombank.com/thong-tin/blog/the-napas-la-gi")</f>
        <v>https://techcombank.com/thong-tin/blog/the-napas-la-gi</v>
      </c>
      <c r="BQ31" s="30" t="str">
        <f>IFERROR(__xludf.DUMMYFUNCTION("""COMPUTED_VALUE"""),"mở thẻ tín dụng")</f>
        <v>mở thẻ tín dụng</v>
      </c>
      <c r="BR31" s="34" t="str">
        <f>IFERROR(__xludf.DUMMYFUNCTION("""COMPUTED_VALUE"""),"https://techcombank.com/thong-tin/blog/ma-buu-chinh-the-tin-dung")</f>
        <v>https://techcombank.com/thong-tin/blog/ma-buu-chinh-the-tin-dung</v>
      </c>
      <c r="BS31" s="30" t="str">
        <f>IFERROR(__xludf.DUMMYFUNCTION("""COMPUTED_VALUE"""),"mở thẻ tín dụng")</f>
        <v>mở thẻ tín dụng</v>
      </c>
      <c r="BT31" s="34" t="str">
        <f>IFERROR(__xludf.DUMMYFUNCTION("""COMPUTED_VALUE"""),"https://techcombank.com/thong-tin/blog/the-tin-dung-quoc-te")</f>
        <v>https://techcombank.com/thong-tin/blog/the-tin-dung-quoc-te</v>
      </c>
      <c r="BU31" s="30"/>
      <c r="BV31" s="30"/>
      <c r="BW31" s="30"/>
      <c r="BX31" s="30"/>
      <c r="BY31" s="30"/>
      <c r="BZ31" s="30"/>
      <c r="CA31" s="30"/>
      <c r="CB31" s="30"/>
      <c r="CC31" s="30"/>
      <c r="CD31" s="30"/>
      <c r="CE31" s="30"/>
      <c r="CF31" s="30"/>
      <c r="CG31" s="30"/>
      <c r="CH31" s="30"/>
      <c r="CI31" s="30"/>
      <c r="CJ31" s="30"/>
      <c r="CK31" s="30"/>
      <c r="CL31" s="30"/>
      <c r="CM31" s="30"/>
      <c r="CN31" s="30"/>
      <c r="CO31" s="30"/>
      <c r="CP31" s="30"/>
      <c r="CQ31" s="30"/>
      <c r="CR31" s="30"/>
      <c r="CS31" s="30"/>
      <c r="CT31" s="30"/>
      <c r="CU31" s="30"/>
      <c r="CV31" s="30"/>
      <c r="CW31" s="30"/>
      <c r="CX31" s="30"/>
      <c r="CY31" s="30"/>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30"/>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c r="IF31" s="30"/>
      <c r="IG31" s="30"/>
      <c r="IH31" s="30"/>
      <c r="II31" s="30"/>
      <c r="IJ31" s="30"/>
      <c r="IK31" s="30"/>
      <c r="IL31" s="30"/>
      <c r="IM31" s="30"/>
      <c r="IN31" s="30"/>
      <c r="IO31" s="30"/>
      <c r="IP31" s="30"/>
      <c r="IQ31" s="30"/>
      <c r="IR31" s="30"/>
      <c r="IS31" s="30"/>
      <c r="IT31" s="30"/>
      <c r="IU31" s="30"/>
      <c r="IV31" s="30"/>
      <c r="IW31" s="30"/>
      <c r="IX31" s="30"/>
      <c r="IY31" s="30"/>
      <c r="IZ31" s="30"/>
      <c r="JA31" s="30"/>
      <c r="JB31" s="30"/>
      <c r="JC31" s="30"/>
      <c r="JD31" s="30"/>
      <c r="JE31" s="30"/>
      <c r="JF31" s="30"/>
      <c r="JG31" s="30"/>
      <c r="JH31" s="30"/>
      <c r="JI31" s="30"/>
      <c r="JJ31" s="30"/>
      <c r="JK31" s="30"/>
      <c r="JL31" s="30"/>
      <c r="JM31" s="30"/>
      <c r="JN31" s="30"/>
      <c r="JO31" s="30"/>
      <c r="JP31" s="30"/>
      <c r="JQ31" s="30"/>
      <c r="JR31" s="30"/>
      <c r="JS31" s="30"/>
      <c r="JT31" s="30"/>
      <c r="JU31" s="30"/>
      <c r="JV31" s="30"/>
      <c r="JW31" s="30"/>
      <c r="JX31" s="30"/>
      <c r="JY31" s="30"/>
      <c r="JZ31" s="30"/>
      <c r="KA31" s="30"/>
      <c r="KB31" s="30"/>
      <c r="KC31" s="30"/>
      <c r="KD31" s="30"/>
      <c r="KE31" s="30"/>
      <c r="KF31" s="30"/>
      <c r="KG31" s="30"/>
      <c r="KH31" s="30"/>
      <c r="KI31" s="30"/>
      <c r="KJ31" s="30"/>
      <c r="KK31" s="30"/>
      <c r="KL31" s="30"/>
      <c r="KM31" s="30"/>
      <c r="KN31" s="30"/>
      <c r="KO31" s="30"/>
      <c r="KP31" s="30"/>
      <c r="KQ31" s="30"/>
      <c r="KR31" s="30"/>
      <c r="KS31" s="30"/>
      <c r="KT31" s="30"/>
      <c r="KU31" s="30"/>
      <c r="KV31" s="30"/>
      <c r="KW31" s="30"/>
      <c r="KX31" s="30"/>
      <c r="KY31" s="30"/>
      <c r="KZ31" s="30"/>
      <c r="LA31" s="30"/>
      <c r="LB31" s="30"/>
      <c r="LC31" s="30"/>
      <c r="LD31" s="30"/>
      <c r="LE31" s="30"/>
      <c r="LF31" s="30"/>
      <c r="LG31" s="30"/>
      <c r="LH31" s="30"/>
      <c r="LI31" s="30"/>
      <c r="LJ31" s="30"/>
      <c r="LK31" s="30"/>
      <c r="LL31" s="30"/>
      <c r="LM31" s="30"/>
      <c r="LN31" s="30"/>
      <c r="LO31" s="30"/>
      <c r="LP31" s="30"/>
      <c r="LQ31" s="30"/>
      <c r="LR31" s="30"/>
      <c r="LS31" s="30"/>
      <c r="LT31" s="30"/>
      <c r="LU31" s="30"/>
      <c r="LV31" s="30"/>
      <c r="LW31" s="30"/>
      <c r="LX31" s="30"/>
      <c r="LY31" s="30"/>
      <c r="LZ31" s="30"/>
      <c r="MA31" s="30"/>
      <c r="MB31" s="30"/>
      <c r="MC31" s="30"/>
      <c r="MD31" s="30"/>
      <c r="ME31" s="30"/>
      <c r="MF31" s="30"/>
      <c r="MG31" s="30"/>
      <c r="MH31" s="30"/>
      <c r="MI31" s="30"/>
      <c r="MJ31" s="30"/>
      <c r="MK31" s="30"/>
      <c r="ML31" s="30"/>
      <c r="MM31" s="30"/>
      <c r="MN31" s="30"/>
      <c r="MO31" s="30"/>
      <c r="MP31" s="30"/>
      <c r="MQ31" s="30"/>
      <c r="MR31" s="30"/>
      <c r="MS31" s="30"/>
      <c r="MT31" s="30"/>
      <c r="MU31" s="30"/>
      <c r="MV31" s="30"/>
      <c r="MW31" s="30"/>
      <c r="MX31" s="30"/>
      <c r="MY31" s="30"/>
      <c r="MZ31" s="30"/>
      <c r="NA31" s="30"/>
      <c r="NB31" s="30"/>
      <c r="NC31" s="30"/>
      <c r="ND31" s="30"/>
      <c r="NE31" s="30"/>
      <c r="NF31" s="30"/>
      <c r="NG31" s="30"/>
      <c r="NH31" s="30"/>
      <c r="NI31" s="30"/>
      <c r="NJ31" s="30"/>
      <c r="NK31" s="30"/>
      <c r="NL31" s="30"/>
      <c r="NM31" s="30"/>
      <c r="NN31" s="30"/>
      <c r="NO31" s="30"/>
      <c r="NP31" s="30"/>
      <c r="NQ31" s="30"/>
      <c r="NR31" s="30"/>
      <c r="NS31" s="30"/>
      <c r="NT31" s="30"/>
      <c r="NU31" s="30"/>
      <c r="NV31" s="30"/>
      <c r="NW31" s="30"/>
      <c r="NX31" s="30"/>
      <c r="NY31" s="30"/>
      <c r="NZ31" s="30"/>
      <c r="OA31" s="30"/>
      <c r="OB31" s="30"/>
      <c r="OC31" s="30"/>
      <c r="OD31" s="30"/>
      <c r="OE31" s="30"/>
      <c r="OF31" s="30"/>
      <c r="OG31" s="30"/>
      <c r="OH31" s="30"/>
      <c r="OI31" s="30"/>
      <c r="OJ31" s="30"/>
      <c r="OK31" s="30"/>
      <c r="OL31" s="30"/>
      <c r="OM31" s="30"/>
      <c r="ON31" s="30"/>
      <c r="OO31" s="30"/>
      <c r="OP31" s="30"/>
      <c r="OQ31" s="30"/>
      <c r="OR31" s="30"/>
      <c r="OS31" s="30"/>
      <c r="OT31" s="30"/>
      <c r="OU31" s="30"/>
      <c r="OV31" s="30"/>
    </row>
    <row r="32" ht="18.0" customHeight="1">
      <c r="A32" s="29">
        <v>31.0</v>
      </c>
      <c r="B32" s="30" t="s">
        <v>3094</v>
      </c>
      <c r="C32" s="31" t="s">
        <v>3160</v>
      </c>
      <c r="D32" s="30" t="s">
        <v>3155</v>
      </c>
      <c r="E32" s="29">
        <v>30.0</v>
      </c>
      <c r="F32" s="29">
        <f>COUNTIF('Tổng hợp 75 trang đích'!$B$2:$B$3400,$D32)</f>
        <v>30</v>
      </c>
      <c r="G32" s="29">
        <f>COUNTIFS('Tổng hợp 75 trang đích'!$B$2:$B$3400,$D32,'Tổng hợp 75 trang đích'!$K$2:$K$3400,"PHÙ HỢP CAO")</f>
        <v>0</v>
      </c>
      <c r="H32" s="29">
        <f>COUNTIFS('Tổng hợp 75 trang đích'!$B$2:$B$3400,$D32,'Tổng hợp 75 trang đích'!$K$2:$K$3400,"CÓ THỂ ĐI")</f>
        <v>2</v>
      </c>
      <c r="I32" s="29">
        <f>COUNTIFS('Tổng hợp 75 trang đích'!$B$2:$B$3400,$D32,'Tổng hợp 75 trang đích'!$K$2:$K$3400,"CẦN SOÁT")</f>
        <v>28</v>
      </c>
      <c r="J32" s="32" t="s">
        <v>714</v>
      </c>
      <c r="K32" s="32" t="b">
        <v>0</v>
      </c>
      <c r="L32" s="33" t="s">
        <v>52</v>
      </c>
      <c r="M32" s="30" t="str">
        <f>IFERROR(__xludf.DUMMYFUNCTION("IFERROR(TOROW(CHOOSECOLS(SORT(FILTER({'Tổng hợp 75 trang đích'!$J$2:$J$3400,'Tổng hợp 75 trang đích'!$I$2:$I$3400,MATCH('Tổng hợp 75 trang đích'!$K$2:$K$3400,{""PHÙ HỢP CAO"",""CÓ THỂ ĐI"",""CẦN SOÁT""},0)},'Tổng hợp 75 trang đích'!$B$2:$B$3400=$D32),3,TR"&amp;"UE),1,2)),"""")"),"Techcombank Everyday")</f>
        <v>Techcombank Everyday</v>
      </c>
      <c r="N32" s="34" t="str">
        <f>IFERROR(__xludf.DUMMYFUNCTION("""COMPUTED_VALUE"""),"https://techcombank.com/thong-tin/blog/anh-trai-vuot-ngan-chong-gai-mua-2")</f>
        <v>https://techcombank.com/thong-tin/blog/anh-trai-vuot-ngan-chong-gai-mua-2</v>
      </c>
      <c r="O32" s="30" t="str">
        <f>IFERROR(__xludf.DUMMYFUNCTION("""COMPUTED_VALUE"""),"thẻ tín dụng Techcombank Everyday")</f>
        <v>thẻ tín dụng Techcombank Everyday</v>
      </c>
      <c r="P32" s="34" t="str">
        <f>IFERROR(__xludf.DUMMYFUNCTION("""COMPUTED_VALUE"""),"https://techcombank.com/thong-tin/blog/mo-the-tin-dung-co-loi-ich-gi")</f>
        <v>https://techcombank.com/thong-tin/blog/mo-the-tin-dung-co-loi-ich-gi</v>
      </c>
      <c r="Q32" s="30" t="str">
        <f>IFERROR(__xludf.DUMMYFUNCTION("""COMPUTED_VALUE"""),"thẻ tín dụng Techcombank Everyday")</f>
        <v>thẻ tín dụng Techcombank Everyday</v>
      </c>
      <c r="R32" s="34" t="str">
        <f>IFERROR(__xludf.DUMMYFUNCTION("""COMPUTED_VALUE"""),"https://techcombank.com/thong-tin/blog/lam-ho-so-tra-gop-dien-thoai")</f>
        <v>https://techcombank.com/thong-tin/blog/lam-ho-so-tra-gop-dien-thoai</v>
      </c>
      <c r="S32" s="30" t="str">
        <f>IFERROR(__xludf.DUMMYFUNCTION("""COMPUTED_VALUE"""),"thẻ tín dụng Techcombank Everyday")</f>
        <v>thẻ tín dụng Techcombank Everyday</v>
      </c>
      <c r="T32" s="34" t="str">
        <f>IFERROR(__xludf.DUMMYFUNCTION("""COMPUTED_VALUE"""),"https://techcombank.com/thong-tin/blog/loyalty-la-gi")</f>
        <v>https://techcombank.com/thong-tin/blog/loyalty-la-gi</v>
      </c>
      <c r="U32" s="30" t="str">
        <f>IFERROR(__xludf.DUMMYFUNCTION("""COMPUTED_VALUE"""),"thẻ tín dụng Techcombank Everyday")</f>
        <v>thẻ tín dụng Techcombank Everyday</v>
      </c>
      <c r="V32" s="34" t="str">
        <f>IFERROR(__xludf.DUMMYFUNCTION("""COMPUTED_VALUE"""),"https://techcombank.com/thong-tin/blog/rut-tien-mat-tu-the-tin-dung")</f>
        <v>https://techcombank.com/thong-tin/blog/rut-tien-mat-tu-the-tin-dung</v>
      </c>
      <c r="W32" s="30" t="str">
        <f>IFERROR(__xludf.DUMMYFUNCTION("""COMPUTED_VALUE"""),"thẻ tín dụng Techcombank Everyday")</f>
        <v>thẻ tín dụng Techcombank Everyday</v>
      </c>
      <c r="X32" s="34" t="str">
        <f>IFERROR(__xludf.DUMMYFUNCTION("""COMPUTED_VALUE"""),"https://techcombank.com/thong-tin/blog/tai-khoan-doanh-nghiep-co-the-khong")</f>
        <v>https://techcombank.com/thong-tin/blog/tai-khoan-doanh-nghiep-co-the-khong</v>
      </c>
      <c r="Y32" s="30" t="str">
        <f>IFERROR(__xludf.DUMMYFUNCTION("""COMPUTED_VALUE"""),"thẻ tín dụng Techcombank Everyday")</f>
        <v>thẻ tín dụng Techcombank Everyday</v>
      </c>
      <c r="Z32" s="34" t="str">
        <f>IFERROR(__xludf.DUMMYFUNCTION("""COMPUTED_VALUE"""),"https://techcombank.com/thong-tin/blog/mm-yy-la-gi")</f>
        <v>https://techcombank.com/thong-tin/blog/mm-yy-la-gi</v>
      </c>
      <c r="AA32" s="30" t="str">
        <f>IFERROR(__xludf.DUMMYFUNCTION("""COMPUTED_VALUE"""),"thẻ tín dụng Techcombank Everyday")</f>
        <v>thẻ tín dụng Techcombank Everyday</v>
      </c>
      <c r="AB32" s="34" t="str">
        <f>IFERROR(__xludf.DUMMYFUNCTION("""COMPUTED_VALUE"""),"https://techcombank.com/thong-tin/blog/uu-dai-the-tin-dung-techcombank-signature")</f>
        <v>https://techcombank.com/thong-tin/blog/uu-dai-the-tin-dung-techcombank-signature</v>
      </c>
      <c r="AC32" s="30" t="str">
        <f>IFERROR(__xludf.DUMMYFUNCTION("""COMPUTED_VALUE"""),"thẻ tín dụng Techcombank Everyday")</f>
        <v>thẻ tín dụng Techcombank Everyday</v>
      </c>
      <c r="AD32" s="34" t="str">
        <f>IFERROR(__xludf.DUMMYFUNCTION("""COMPUTED_VALUE"""),"https://techcombank.com/thong-tin/blog/cach-su-dung-the-tin-dung")</f>
        <v>https://techcombank.com/thong-tin/blog/cach-su-dung-the-tin-dung</v>
      </c>
      <c r="AE32" s="30" t="str">
        <f>IFERROR(__xludf.DUMMYFUNCTION("""COMPUTED_VALUE"""),"thẻ tín dụng Techcombank Everyday")</f>
        <v>thẻ tín dụng Techcombank Everyday</v>
      </c>
      <c r="AF32" s="34" t="str">
        <f>IFERROR(__xludf.DUMMYFUNCTION("""COMPUTED_VALUE"""),"https://techcombank.com/thong-tin/blog/uu-dai-mua-ve-may-bay-bang-the-tin-dung")</f>
        <v>https://techcombank.com/thong-tin/blog/uu-dai-mua-ve-may-bay-bang-the-tin-dung</v>
      </c>
      <c r="AG32" s="30" t="str">
        <f>IFERROR(__xludf.DUMMYFUNCTION("""COMPUTED_VALUE"""),"thẻ tín dụng Techcombank Everyday")</f>
        <v>thẻ tín dụng Techcombank Everyday</v>
      </c>
      <c r="AH32" s="34" t="str">
        <f>IFERROR(__xludf.DUMMYFUNCTION("""COMPUTED_VALUE"""),"https://techcombank.com/thong-tin/blog/mat-the-tin-dung-co-bi-mat-tien-khong")</f>
        <v>https://techcombank.com/thong-tin/blog/mat-the-tin-dung-co-bi-mat-tien-khong</v>
      </c>
      <c r="AI32" s="30" t="str">
        <f>IFERROR(__xludf.DUMMYFUNCTION("""COMPUTED_VALUE"""),"thẻ tín dụng Techcombank Everyday")</f>
        <v>thẻ tín dụng Techcombank Everyday</v>
      </c>
      <c r="AJ32" s="34" t="str">
        <f>IFERROR(__xludf.DUMMYFUNCTION("""COMPUTED_VALUE"""),"https://techcombank.com/thong-tin/blog/so-cvv-la-gi")</f>
        <v>https://techcombank.com/thong-tin/blog/so-cvv-la-gi</v>
      </c>
      <c r="AK32" s="30" t="str">
        <f>IFERROR(__xludf.DUMMYFUNCTION("""COMPUTED_VALUE"""),"thẻ tín dụng Techcombank Everyday")</f>
        <v>thẻ tín dụng Techcombank Everyday</v>
      </c>
      <c r="AL32" s="34" t="str">
        <f>IFERROR(__xludf.DUMMYFUNCTION("""COMPUTED_VALUE"""),"https://techcombank.com/thong-tin/blog/cach-lam-the-ngan-hang-chay-quang-cao-facebook")</f>
        <v>https://techcombank.com/thong-tin/blog/cach-lam-the-ngan-hang-chay-quang-cao-facebook</v>
      </c>
      <c r="AM32" s="30" t="str">
        <f>IFERROR(__xludf.DUMMYFUNCTION("""COMPUTED_VALUE"""),"thẻ tín dụng Techcombank Everyday")</f>
        <v>thẻ tín dụng Techcombank Everyday</v>
      </c>
      <c r="AN32" s="34" t="str">
        <f>IFERROR(__xludf.DUMMYFUNCTION("""COMPUTED_VALUE"""),"https://techcombank.com/thong-tin/blog/mua-iphone-17")</f>
        <v>https://techcombank.com/thong-tin/blog/mua-iphone-17</v>
      </c>
      <c r="AO32" s="30" t="str">
        <f>IFERROR(__xludf.DUMMYFUNCTION("""COMPUTED_VALUE"""),"thẻ tín dụng Techcombank Everyday")</f>
        <v>thẻ tín dụng Techcombank Everyday</v>
      </c>
      <c r="AP32" s="34" t="str">
        <f>IFERROR(__xludf.DUMMYFUNCTION("""COMPUTED_VALUE"""),"https://techcombank.com/thong-tin/blog/the-visa-co-can-mat-khau-khong")</f>
        <v>https://techcombank.com/thong-tin/blog/the-visa-co-can-mat-khau-khong</v>
      </c>
      <c r="AQ32" s="30" t="str">
        <f>IFERROR(__xludf.DUMMYFUNCTION("""COMPUTED_VALUE"""),"thẻ tín dụng Techcombank Everyday")</f>
        <v>thẻ tín dụng Techcombank Everyday</v>
      </c>
      <c r="AR32" s="34" t="str">
        <f>IFERROR(__xludf.DUMMYFUNCTION("""COMPUTED_VALUE"""),"https://techcombank.com/thong-tin/blog/mua-truoc-tra-sau")</f>
        <v>https://techcombank.com/thong-tin/blog/mua-truoc-tra-sau</v>
      </c>
      <c r="AS32" s="30" t="str">
        <f>IFERROR(__xludf.DUMMYFUNCTION("""COMPUTED_VALUE"""),"thẻ tín dụng Techcombank Everyday")</f>
        <v>thẻ tín dụng Techcombank Everyday</v>
      </c>
      <c r="AT32" s="34" t="str">
        <f>IFERROR(__xludf.DUMMYFUNCTION("""COMPUTED_VALUE"""),"https://techcombank.com/thong-tin/blog/tra-cuu-han-muc-the-tin-dung")</f>
        <v>https://techcombank.com/thong-tin/blog/tra-cuu-han-muc-the-tin-dung</v>
      </c>
      <c r="AU32" s="30" t="str">
        <f>IFERROR(__xludf.DUMMYFUNCTION("""COMPUTED_VALUE"""),"thẻ tín dụng Techcombank Everyday")</f>
        <v>thẻ tín dụng Techcombank Everyday</v>
      </c>
      <c r="AV32" s="34" t="str">
        <f>IFERROR(__xludf.DUMMYFUNCTION("""COMPUTED_VALUE"""),"https://techcombank.com/thong-tin/blog/the-ghi-no-va-the-tin-dung")</f>
        <v>https://techcombank.com/thong-tin/blog/the-ghi-no-va-the-tin-dung</v>
      </c>
      <c r="AW32" s="30" t="str">
        <f>IFERROR(__xludf.DUMMYFUNCTION("""COMPUTED_VALUE"""),"thẻ tín dụng Techcombank Everyday")</f>
        <v>thẻ tín dụng Techcombank Everyday</v>
      </c>
      <c r="AX32" s="34" t="str">
        <f>IFERROR(__xludf.DUMMYFUNCTION("""COMPUTED_VALUE"""),"https://techcombank.com/thong-tin/blog/the-tin-dung-het-han")</f>
        <v>https://techcombank.com/thong-tin/blog/the-tin-dung-het-han</v>
      </c>
      <c r="AY32" s="30" t="str">
        <f>IFERROR(__xludf.DUMMYFUNCTION("""COMPUTED_VALUE"""),"thẻ tín dụng Techcombank Everyday")</f>
        <v>thẻ tín dụng Techcombank Everyday</v>
      </c>
      <c r="AZ32" s="34" t="str">
        <f>IFERROR(__xludf.DUMMYFUNCTION("""COMPUTED_VALUE"""),"https://techcombank.com/thong-tin/blog/cach-huy-the-tin-dung")</f>
        <v>https://techcombank.com/thong-tin/blog/cach-huy-the-tin-dung</v>
      </c>
      <c r="BA32" s="30" t="str">
        <f>IFERROR(__xludf.DUMMYFUNCTION("""COMPUTED_VALUE"""),"thẻ tín dụng Techcombank Everyday")</f>
        <v>thẻ tín dụng Techcombank Everyday</v>
      </c>
      <c r="BB32" s="34" t="str">
        <f>IFERROR(__xludf.DUMMYFUNCTION("""COMPUTED_VALUE"""),"https://techcombank.com/thong-tin/blog/co-nen-dung-the-tin-dung-khong")</f>
        <v>https://techcombank.com/thong-tin/blog/co-nen-dung-the-tin-dung-khong</v>
      </c>
      <c r="BC32" s="30" t="str">
        <f>IFERROR(__xludf.DUMMYFUNCTION("""COMPUTED_VALUE"""),"thẻ tín dụng Techcombank Everyday")</f>
        <v>thẻ tín dụng Techcombank Everyday</v>
      </c>
      <c r="BD32" s="34" t="str">
        <f>IFERROR(__xludf.DUMMYFUNCTION("""COMPUTED_VALUE"""),"https://techcombank.com/thong-tin/blog/ma-buu-chinh-the-tin-dung")</f>
        <v>https://techcombank.com/thong-tin/blog/ma-buu-chinh-the-tin-dung</v>
      </c>
      <c r="BE32" s="30" t="str">
        <f>IFERROR(__xludf.DUMMYFUNCTION("""COMPUTED_VALUE"""),"thẻ tín dụng Techcombank Everyday")</f>
        <v>thẻ tín dụng Techcombank Everyday</v>
      </c>
      <c r="BF32" s="34" t="str">
        <f>IFERROR(__xludf.DUMMYFUNCTION("""COMPUTED_VALUE"""),"https://techcombank.com/thong-tin/blog/thanh-toan-tra-gop-qua-the-tin-dung")</f>
        <v>https://techcombank.com/thong-tin/blog/thanh-toan-tra-gop-qua-the-tin-dung</v>
      </c>
      <c r="BG32" s="30" t="str">
        <f>IFERROR(__xludf.DUMMYFUNCTION("""COMPUTED_VALUE"""),"thẻ tín dụng Techcombank Everyday")</f>
        <v>thẻ tín dụng Techcombank Everyday</v>
      </c>
      <c r="BH32" s="34" t="str">
        <f>IFERROR(__xludf.DUMMYFUNCTION("""COMPUTED_VALUE"""),"https://techcombank.com/thong-tin/blog/qua-han-thanh-toan-the-tin-dung-1-ngay")</f>
        <v>https://techcombank.com/thong-tin/blog/qua-han-thanh-toan-the-tin-dung-1-ngay</v>
      </c>
      <c r="BI32" s="30" t="str">
        <f>IFERROR(__xludf.DUMMYFUNCTION("""COMPUTED_VALUE"""),"thẻ tín dụng Techcombank Everyday")</f>
        <v>thẻ tín dụng Techcombank Everyday</v>
      </c>
      <c r="BJ32" s="34" t="str">
        <f>IFERROR(__xludf.DUMMYFUNCTION("""COMPUTED_VALUE"""),"https://techcombank.com/thong-tin/blog/phi-rut-tien-mat-the-tin-dung")</f>
        <v>https://techcombank.com/thong-tin/blog/phi-rut-tien-mat-the-tin-dung</v>
      </c>
      <c r="BK32" s="30" t="str">
        <f>IFERROR(__xludf.DUMMYFUNCTION("""COMPUTED_VALUE"""),"thẻ tín dụng Techcombank Everyday")</f>
        <v>thẻ tín dụng Techcombank Everyday</v>
      </c>
      <c r="BL32" s="34" t="str">
        <f>IFERROR(__xludf.DUMMYFUNCTION("""COMPUTED_VALUE"""),"https://techcombank.com/thong-tin/blog/thanh-toan-truc-tuyen")</f>
        <v>https://techcombank.com/thong-tin/blog/thanh-toan-truc-tuyen</v>
      </c>
      <c r="BM32" s="30" t="str">
        <f>IFERROR(__xludf.DUMMYFUNCTION("""COMPUTED_VALUE"""),"thẻ tín dụng Techcombank Everyday")</f>
        <v>thẻ tín dụng Techcombank Everyday</v>
      </c>
      <c r="BN32" s="34" t="str">
        <f>IFERROR(__xludf.DUMMYFUNCTION("""COMPUTED_VALUE"""),"https://techcombank.com/thong-tin/blog/vay-tin-chap-va-vay-the-chap")</f>
        <v>https://techcombank.com/thong-tin/blog/vay-tin-chap-va-vay-the-chap</v>
      </c>
      <c r="BO32" s="30" t="str">
        <f>IFERROR(__xludf.DUMMYFUNCTION("""COMPUTED_VALUE"""),"thẻ tín dụng Techcombank Everyday")</f>
        <v>thẻ tín dụng Techcombank Everyday</v>
      </c>
      <c r="BP32" s="34" t="str">
        <f>IFERROR(__xludf.DUMMYFUNCTION("""COMPUTED_VALUE"""),"https://techcombank.com/thong-tin/blog/cach-thanh-toan-the-tin-dung")</f>
        <v>https://techcombank.com/thong-tin/blog/cach-thanh-toan-the-tin-dung</v>
      </c>
      <c r="BQ32" s="30" t="str">
        <f>IFERROR(__xludf.DUMMYFUNCTION("""COMPUTED_VALUE"""),"thẻ tín dụng Techcombank Everyday")</f>
        <v>thẻ tín dụng Techcombank Everyday</v>
      </c>
      <c r="BR32" s="34" t="str">
        <f>IFERROR(__xludf.DUMMYFUNCTION("""COMPUTED_VALUE"""),"https://techcombank.com/thong-tin/blog/the-tin-dung-den")</f>
        <v>https://techcombank.com/thong-tin/blog/the-tin-dung-den</v>
      </c>
      <c r="BS32" s="30" t="str">
        <f>IFERROR(__xludf.DUMMYFUNCTION("""COMPUTED_VALUE"""),"thẻ tín dụng Techcombank Everyday")</f>
        <v>thẻ tín dụng Techcombank Everyday</v>
      </c>
      <c r="BT32" s="34" t="str">
        <f>IFERROR(__xludf.DUMMYFUNCTION("""COMPUTED_VALUE"""),"https://techcombank.com/thong-tin/blog/dao-han-the-tin-dung")</f>
        <v>https://techcombank.com/thong-tin/blog/dao-han-the-tin-dung</v>
      </c>
      <c r="BU32" s="30"/>
      <c r="BV32" s="30"/>
      <c r="BW32" s="30"/>
      <c r="BX32" s="30"/>
      <c r="BY32" s="30"/>
      <c r="BZ32" s="30"/>
      <c r="CA32" s="30"/>
      <c r="CB32" s="30"/>
      <c r="CC32" s="30"/>
      <c r="CD32" s="30"/>
      <c r="CE32" s="30"/>
      <c r="CF32" s="30"/>
      <c r="CG32" s="30"/>
      <c r="CH32" s="30"/>
      <c r="CI32" s="30"/>
      <c r="CJ32" s="30"/>
      <c r="CK32" s="30"/>
      <c r="CL32" s="30"/>
      <c r="CM32" s="30"/>
      <c r="CN32" s="30"/>
      <c r="CO32" s="30"/>
      <c r="CP32" s="30"/>
      <c r="CQ32" s="30"/>
      <c r="CR32" s="30"/>
      <c r="CS32" s="30"/>
      <c r="CT32" s="30"/>
      <c r="CU32" s="30"/>
      <c r="CV32" s="30"/>
      <c r="CW32" s="30"/>
      <c r="CX32" s="30"/>
      <c r="CY32" s="30"/>
      <c r="CZ32" s="30"/>
      <c r="DA32" s="30"/>
      <c r="DB32" s="30"/>
      <c r="DC32" s="30"/>
      <c r="DD32" s="30"/>
      <c r="DE32" s="30"/>
      <c r="DF32" s="30"/>
      <c r="DG32" s="30"/>
      <c r="DH32" s="30"/>
      <c r="DI32" s="30"/>
      <c r="DJ32" s="30"/>
      <c r="DK32" s="30"/>
      <c r="DL32" s="30"/>
      <c r="DM32" s="30"/>
      <c r="DN32" s="30"/>
      <c r="DO32" s="30"/>
      <c r="DP32" s="30"/>
      <c r="DQ32" s="30"/>
      <c r="DR32" s="30"/>
      <c r="DS32" s="30"/>
      <c r="DT32" s="30"/>
      <c r="DU32" s="30"/>
      <c r="DV32" s="30"/>
      <c r="DW32" s="30"/>
      <c r="DX32" s="30"/>
      <c r="DY32" s="30"/>
      <c r="DZ32" s="30"/>
      <c r="EA32" s="30"/>
      <c r="EB32" s="30"/>
      <c r="EC32" s="30"/>
      <c r="ED32" s="30"/>
      <c r="EE32" s="30"/>
      <c r="EF32" s="30"/>
      <c r="EG32" s="30"/>
      <c r="EH32" s="30"/>
      <c r="EI32" s="30"/>
      <c r="EJ32" s="30"/>
      <c r="EK32" s="30"/>
      <c r="EL32" s="30"/>
      <c r="EM32" s="30"/>
      <c r="EN32" s="30"/>
      <c r="EO32" s="30"/>
      <c r="EP32" s="30"/>
      <c r="EQ32" s="30"/>
      <c r="ER32" s="30"/>
      <c r="ES32" s="30"/>
      <c r="ET32" s="30"/>
      <c r="EU32" s="30"/>
      <c r="EV32" s="30"/>
      <c r="EW32" s="30"/>
      <c r="EX32" s="30"/>
      <c r="EY32" s="30"/>
      <c r="EZ32" s="30"/>
      <c r="FA32" s="30"/>
      <c r="FB32" s="30"/>
      <c r="FC32" s="30"/>
      <c r="FD32" s="30"/>
      <c r="FE32" s="30"/>
      <c r="FF32" s="30"/>
      <c r="FG32" s="30"/>
      <c r="FH32" s="30"/>
      <c r="FI32" s="30"/>
      <c r="FJ32" s="30"/>
      <c r="FK32" s="30"/>
      <c r="FL32" s="30"/>
      <c r="FM32" s="30"/>
      <c r="FN32" s="30"/>
      <c r="FO32" s="30"/>
      <c r="FP32" s="30"/>
      <c r="FQ32" s="30"/>
      <c r="FR32" s="30"/>
      <c r="FS32" s="30"/>
      <c r="FT32" s="30"/>
      <c r="FU32" s="30"/>
      <c r="FV32" s="30"/>
      <c r="FW32" s="30"/>
      <c r="FX32" s="30"/>
      <c r="FY32" s="30"/>
      <c r="FZ32" s="30"/>
      <c r="GA32" s="30"/>
      <c r="GB32" s="30"/>
      <c r="GC32" s="30"/>
      <c r="GD32" s="30"/>
      <c r="GE32" s="30"/>
      <c r="GF32" s="30"/>
      <c r="GG32" s="30"/>
      <c r="GH32" s="30"/>
      <c r="GI32" s="30"/>
      <c r="GJ32" s="30"/>
      <c r="GK32" s="30"/>
      <c r="GL32" s="30"/>
      <c r="GM32" s="30"/>
      <c r="GN32" s="30"/>
      <c r="GO32" s="30"/>
      <c r="GP32" s="30"/>
      <c r="GQ32" s="30"/>
      <c r="GR32" s="30"/>
      <c r="GS32" s="30"/>
      <c r="GT32" s="30"/>
      <c r="GU32" s="30"/>
      <c r="GV32" s="30"/>
      <c r="GW32" s="30"/>
      <c r="GX32" s="30"/>
      <c r="GY32" s="30"/>
      <c r="GZ32" s="30"/>
      <c r="HA32" s="30"/>
      <c r="HB32" s="30"/>
      <c r="HC32" s="30"/>
      <c r="HD32" s="30"/>
      <c r="HE32" s="30"/>
      <c r="HF32" s="30"/>
      <c r="HG32" s="30"/>
      <c r="HH32" s="30"/>
      <c r="HI32" s="30"/>
      <c r="HJ32" s="30"/>
      <c r="HK32" s="30"/>
      <c r="HL32" s="30"/>
      <c r="HM32" s="30"/>
      <c r="HN32" s="30"/>
      <c r="HO32" s="30"/>
      <c r="HP32" s="30"/>
      <c r="HQ32" s="30"/>
      <c r="HR32" s="30"/>
      <c r="HS32" s="30"/>
      <c r="HT32" s="30"/>
      <c r="HU32" s="30"/>
      <c r="HV32" s="30"/>
      <c r="HW32" s="30"/>
      <c r="HX32" s="30"/>
      <c r="HY32" s="30"/>
      <c r="HZ32" s="30"/>
      <c r="IA32" s="30"/>
      <c r="IB32" s="30"/>
      <c r="IC32" s="30"/>
      <c r="ID32" s="30"/>
      <c r="IE32" s="30"/>
      <c r="IF32" s="30"/>
      <c r="IG32" s="30"/>
      <c r="IH32" s="30"/>
      <c r="II32" s="30"/>
      <c r="IJ32" s="30"/>
      <c r="IK32" s="30"/>
      <c r="IL32" s="30"/>
      <c r="IM32" s="30"/>
      <c r="IN32" s="30"/>
      <c r="IO32" s="30"/>
      <c r="IP32" s="30"/>
      <c r="IQ32" s="30"/>
      <c r="IR32" s="30"/>
      <c r="IS32" s="30"/>
      <c r="IT32" s="30"/>
      <c r="IU32" s="30"/>
      <c r="IV32" s="30"/>
      <c r="IW32" s="30"/>
      <c r="IX32" s="30"/>
      <c r="IY32" s="30"/>
      <c r="IZ32" s="30"/>
      <c r="JA32" s="30"/>
      <c r="JB32" s="30"/>
      <c r="JC32" s="30"/>
      <c r="JD32" s="30"/>
      <c r="JE32" s="30"/>
      <c r="JF32" s="30"/>
      <c r="JG32" s="30"/>
      <c r="JH32" s="30"/>
      <c r="JI32" s="30"/>
      <c r="JJ32" s="30"/>
      <c r="JK32" s="30"/>
      <c r="JL32" s="30"/>
      <c r="JM32" s="30"/>
      <c r="JN32" s="30"/>
      <c r="JO32" s="30"/>
      <c r="JP32" s="30"/>
      <c r="JQ32" s="30"/>
      <c r="JR32" s="30"/>
      <c r="JS32" s="30"/>
      <c r="JT32" s="30"/>
      <c r="JU32" s="30"/>
      <c r="JV32" s="30"/>
      <c r="JW32" s="30"/>
      <c r="JX32" s="30"/>
      <c r="JY32" s="30"/>
      <c r="JZ32" s="30"/>
      <c r="KA32" s="30"/>
      <c r="KB32" s="30"/>
      <c r="KC32" s="30"/>
      <c r="KD32" s="30"/>
      <c r="KE32" s="30"/>
      <c r="KF32" s="30"/>
      <c r="KG32" s="30"/>
      <c r="KH32" s="30"/>
      <c r="KI32" s="30"/>
      <c r="KJ32" s="30"/>
      <c r="KK32" s="30"/>
      <c r="KL32" s="30"/>
      <c r="KM32" s="30"/>
      <c r="KN32" s="30"/>
      <c r="KO32" s="30"/>
      <c r="KP32" s="30"/>
      <c r="KQ32" s="30"/>
      <c r="KR32" s="30"/>
      <c r="KS32" s="30"/>
      <c r="KT32" s="30"/>
      <c r="KU32" s="30"/>
      <c r="KV32" s="30"/>
      <c r="KW32" s="30"/>
      <c r="KX32" s="30"/>
      <c r="KY32" s="30"/>
      <c r="KZ32" s="30"/>
      <c r="LA32" s="30"/>
      <c r="LB32" s="30"/>
      <c r="LC32" s="30"/>
      <c r="LD32" s="30"/>
      <c r="LE32" s="30"/>
      <c r="LF32" s="30"/>
      <c r="LG32" s="30"/>
      <c r="LH32" s="30"/>
      <c r="LI32" s="30"/>
      <c r="LJ32" s="30"/>
      <c r="LK32" s="30"/>
      <c r="LL32" s="30"/>
      <c r="LM32" s="30"/>
      <c r="LN32" s="30"/>
      <c r="LO32" s="30"/>
      <c r="LP32" s="30"/>
      <c r="LQ32" s="30"/>
      <c r="LR32" s="30"/>
      <c r="LS32" s="30"/>
      <c r="LT32" s="30"/>
      <c r="LU32" s="30"/>
      <c r="LV32" s="30"/>
      <c r="LW32" s="30"/>
      <c r="LX32" s="30"/>
      <c r="LY32" s="30"/>
      <c r="LZ32" s="30"/>
      <c r="MA32" s="30"/>
      <c r="MB32" s="30"/>
      <c r="MC32" s="30"/>
      <c r="MD32" s="30"/>
      <c r="ME32" s="30"/>
      <c r="MF32" s="30"/>
      <c r="MG32" s="30"/>
      <c r="MH32" s="30"/>
      <c r="MI32" s="30"/>
      <c r="MJ32" s="30"/>
      <c r="MK32" s="30"/>
      <c r="ML32" s="30"/>
      <c r="MM32" s="30"/>
      <c r="MN32" s="30"/>
      <c r="MO32" s="30"/>
      <c r="MP32" s="30"/>
      <c r="MQ32" s="30"/>
      <c r="MR32" s="30"/>
      <c r="MS32" s="30"/>
      <c r="MT32" s="30"/>
      <c r="MU32" s="30"/>
      <c r="MV32" s="30"/>
      <c r="MW32" s="30"/>
      <c r="MX32" s="30"/>
      <c r="MY32" s="30"/>
      <c r="MZ32" s="30"/>
      <c r="NA32" s="30"/>
      <c r="NB32" s="30"/>
      <c r="NC32" s="30"/>
      <c r="ND32" s="30"/>
      <c r="NE32" s="30"/>
      <c r="NF32" s="30"/>
      <c r="NG32" s="30"/>
      <c r="NH32" s="30"/>
      <c r="NI32" s="30"/>
      <c r="NJ32" s="30"/>
      <c r="NK32" s="30"/>
      <c r="NL32" s="30"/>
      <c r="NM32" s="30"/>
      <c r="NN32" s="30"/>
      <c r="NO32" s="30"/>
      <c r="NP32" s="30"/>
      <c r="NQ32" s="30"/>
      <c r="NR32" s="30"/>
      <c r="NS32" s="30"/>
      <c r="NT32" s="30"/>
      <c r="NU32" s="30"/>
      <c r="NV32" s="30"/>
      <c r="NW32" s="30"/>
      <c r="NX32" s="30"/>
      <c r="NY32" s="30"/>
      <c r="NZ32" s="30"/>
      <c r="OA32" s="30"/>
      <c r="OB32" s="30"/>
      <c r="OC32" s="30"/>
      <c r="OD32" s="30"/>
      <c r="OE32" s="30"/>
      <c r="OF32" s="30"/>
      <c r="OG32" s="30"/>
      <c r="OH32" s="30"/>
      <c r="OI32" s="30"/>
      <c r="OJ32" s="30"/>
      <c r="OK32" s="30"/>
      <c r="OL32" s="30"/>
      <c r="OM32" s="30"/>
      <c r="ON32" s="30"/>
      <c r="OO32" s="30"/>
      <c r="OP32" s="30"/>
      <c r="OQ32" s="30"/>
      <c r="OR32" s="30"/>
      <c r="OS32" s="30"/>
      <c r="OT32" s="30"/>
      <c r="OU32" s="30"/>
      <c r="OV32" s="30"/>
    </row>
    <row r="33" ht="18.0" customHeight="1">
      <c r="A33" s="29">
        <v>32.0</v>
      </c>
      <c r="B33" s="30" t="s">
        <v>3094</v>
      </c>
      <c r="C33" s="31" t="s">
        <v>3205</v>
      </c>
      <c r="D33" s="30" t="s">
        <v>2466</v>
      </c>
      <c r="E33" s="29">
        <v>30.0</v>
      </c>
      <c r="F33" s="29">
        <f>COUNTIF('Tổng hợp 75 trang đích'!$B$2:$B$3400,$D33)</f>
        <v>30</v>
      </c>
      <c r="G33" s="29">
        <f>COUNTIFS('Tổng hợp 75 trang đích'!$B$2:$B$3400,$D33,'Tổng hợp 75 trang đích'!$K$2:$K$3400,"PHÙ HỢP CAO")</f>
        <v>1</v>
      </c>
      <c r="H33" s="29">
        <f>COUNTIFS('Tổng hợp 75 trang đích'!$B$2:$B$3400,$D33,'Tổng hợp 75 trang đích'!$K$2:$K$3400,"CÓ THỂ ĐI")</f>
        <v>4</v>
      </c>
      <c r="I33" s="29">
        <f>COUNTIFS('Tổng hợp 75 trang đích'!$B$2:$B$3400,$D33,'Tổng hợp 75 trang đích'!$K$2:$K$3400,"CẦN SOÁT")</f>
        <v>25</v>
      </c>
      <c r="J33" s="32" t="s">
        <v>714</v>
      </c>
      <c r="K33" s="32" t="b">
        <v>0</v>
      </c>
      <c r="L33" s="33" t="s">
        <v>52</v>
      </c>
      <c r="M33" s="30" t="str">
        <f>IFERROR(__xludf.DUMMYFUNCTION("IFERROR(TOROW(CHOOSECOLS(SORT(FILTER({'Tổng hợp 75 trang đích'!$J$2:$J$3400,'Tổng hợp 75 trang đích'!$I$2:$I$3400,MATCH('Tổng hợp 75 trang đích'!$K$2:$K$3400,{""PHÙ HỢP CAO"",""CÓ THỂ ĐI"",""CẦN SOÁT""},0)},'Tổng hợp 75 trang đích'!$B$2:$B$3400=$D33),3,TR"&amp;"UE),1,2)),"""")"),"thẻ tín dụng hoàn tiền")</f>
        <v>thẻ tín dụng hoàn tiền</v>
      </c>
      <c r="N33" s="34" t="str">
        <f>IFERROR(__xludf.DUMMYFUNCTION("""COMPUTED_VALUE"""),"https://techcombank.com/thong-tin/blog/thanh-toan-tien-dien-bang-the-tin-dung")</f>
        <v>https://techcombank.com/thong-tin/blog/thanh-toan-tien-dien-bang-the-tin-dung</v>
      </c>
      <c r="O33" s="30" t="str">
        <f>IFERROR(__xludf.DUMMYFUNCTION("""COMPUTED_VALUE"""),"thẻ cashback")</f>
        <v>thẻ cashback</v>
      </c>
      <c r="P33" s="34" t="str">
        <f>IFERROR(__xludf.DUMMYFUNCTION("""COMPUTED_VALUE"""),"https://techcombank.com/thong-tin/blog/cashback-the-thanh-toan")</f>
        <v>https://techcombank.com/thong-tin/blog/cashback-the-thanh-toan</v>
      </c>
      <c r="Q33" s="30" t="str">
        <f>IFERROR(__xludf.DUMMYFUNCTION("""COMPUTED_VALUE"""),"thẻ tín dụng hoàn tiền")</f>
        <v>thẻ tín dụng hoàn tiền</v>
      </c>
      <c r="R33" s="34" t="str">
        <f>IFERROR(__xludf.DUMMYFUNCTION("""COMPUTED_VALUE"""),"https://techcombank.com/thong-tin/blog/uu-dai-mo-the-tin-dung")</f>
        <v>https://techcombank.com/thong-tin/blog/uu-dai-mo-the-tin-dung</v>
      </c>
      <c r="S33" s="30" t="str">
        <f>IFERROR(__xludf.DUMMYFUNCTION("""COMPUTED_VALUE"""),"thẻ hoàn tiền")</f>
        <v>thẻ hoàn tiền</v>
      </c>
      <c r="T33" s="34" t="str">
        <f>IFERROR(__xludf.DUMMYFUNCTION("""COMPUTED_VALUE"""),"https://techcombank.com/thong-tin/blog/the-tin-dung-mien-phi-thuong-nien")</f>
        <v>https://techcombank.com/thong-tin/blog/the-tin-dung-mien-phi-thuong-nien</v>
      </c>
      <c r="U33" s="30" t="str">
        <f>IFERROR(__xludf.DUMMYFUNCTION("""COMPUTED_VALUE"""),"thẻ tín dụng hoàn tiền")</f>
        <v>thẻ tín dụng hoàn tiền</v>
      </c>
      <c r="V33" s="34" t="str">
        <f>IFERROR(__xludf.DUMMYFUNCTION("""COMPUTED_VALUE"""),"https://techcombank.com/thong-tin/blog/cach-su-dung-the-tin-dung")</f>
        <v>https://techcombank.com/thong-tin/blog/cach-su-dung-the-tin-dung</v>
      </c>
      <c r="W33" s="30" t="str">
        <f>IFERROR(__xludf.DUMMYFUNCTION("""COMPUTED_VALUE"""),"thẻ hoàn tiền")</f>
        <v>thẻ hoàn tiền</v>
      </c>
      <c r="X33" s="34" t="str">
        <f>IFERROR(__xludf.DUMMYFUNCTION("""COMPUTED_VALUE"""),"https://techcombank.com/thong-tin/blog/tai-khoan-doanh-nghiep-co-the-khong")</f>
        <v>https://techcombank.com/thong-tin/blog/tai-khoan-doanh-nghiep-co-the-khong</v>
      </c>
      <c r="Y33" s="30" t="str">
        <f>IFERROR(__xludf.DUMMYFUNCTION("""COMPUTED_VALUE"""),"thẻ hoàn tiền")</f>
        <v>thẻ hoàn tiền</v>
      </c>
      <c r="Z33" s="34" t="str">
        <f>IFERROR(__xludf.DUMMYFUNCTION("""COMPUTED_VALUE"""),"https://techcombank.com/thong-tin/blog/mm-yy-la-gi")</f>
        <v>https://techcombank.com/thong-tin/blog/mm-yy-la-gi</v>
      </c>
      <c r="AA33" s="30" t="str">
        <f>IFERROR(__xludf.DUMMYFUNCTION("""COMPUTED_VALUE"""),"thẻ tín dụng hoàn tiền")</f>
        <v>thẻ tín dụng hoàn tiền</v>
      </c>
      <c r="AB33" s="34" t="str">
        <f>IFERROR(__xludf.DUMMYFUNCTION("""COMPUTED_VALUE"""),"https://techcombank.com/thong-tin/blog/uu-dai-the-tin-dung-techcombank-signature")</f>
        <v>https://techcombank.com/thong-tin/blog/uu-dai-the-tin-dung-techcombank-signature</v>
      </c>
      <c r="AC33" s="30" t="str">
        <f>IFERROR(__xludf.DUMMYFUNCTION("""COMPUTED_VALUE"""),"thẻ tín dụng hoàn tiền")</f>
        <v>thẻ tín dụng hoàn tiền</v>
      </c>
      <c r="AD33" s="34" t="str">
        <f>IFERROR(__xludf.DUMMYFUNCTION("""COMPUTED_VALUE"""),"https://techcombank.com/thong-tin/blog/cac-loai-the-tin-dung")</f>
        <v>https://techcombank.com/thong-tin/blog/cac-loai-the-tin-dung</v>
      </c>
      <c r="AE33" s="30" t="str">
        <f>IFERROR(__xludf.DUMMYFUNCTION("""COMPUTED_VALUE"""),"thẻ hoàn tiền")</f>
        <v>thẻ hoàn tiền</v>
      </c>
      <c r="AF33" s="34" t="str">
        <f>IFERROR(__xludf.DUMMYFUNCTION("""COMPUTED_VALUE"""),"https://techcombank.com/thong-tin/blog/uu-dai-mua-ve-may-bay-bang-the-tin-dung")</f>
        <v>https://techcombank.com/thong-tin/blog/uu-dai-mua-ve-may-bay-bang-the-tin-dung</v>
      </c>
      <c r="AG33" s="30" t="str">
        <f>IFERROR(__xludf.DUMMYFUNCTION("""COMPUTED_VALUE"""),"thẻ tín dụng hoàn tiền")</f>
        <v>thẻ tín dụng hoàn tiền</v>
      </c>
      <c r="AH33" s="34" t="str">
        <f>IFERROR(__xludf.DUMMYFUNCTION("""COMPUTED_VALUE"""),"https://techcombank.com/thong-tin/blog/mat-the-tin-dung-co-bi-mat-tien-khong")</f>
        <v>https://techcombank.com/thong-tin/blog/mat-the-tin-dung-co-bi-mat-tien-khong</v>
      </c>
      <c r="AI33" s="30" t="str">
        <f>IFERROR(__xludf.DUMMYFUNCTION("""COMPUTED_VALUE"""),"thẻ hoàn tiền")</f>
        <v>thẻ hoàn tiền</v>
      </c>
      <c r="AJ33" s="34" t="str">
        <f>IFERROR(__xludf.DUMMYFUNCTION("""COMPUTED_VALUE"""),"https://techcombank.com/thong-tin/blog/so-cvv-la-gi")</f>
        <v>https://techcombank.com/thong-tin/blog/so-cvv-la-gi</v>
      </c>
      <c r="AK33" s="30" t="str">
        <f>IFERROR(__xludf.DUMMYFUNCTION("""COMPUTED_VALUE"""),"thẻ tín dụng hoàn tiền")</f>
        <v>thẻ tín dụng hoàn tiền</v>
      </c>
      <c r="AL33" s="34" t="str">
        <f>IFERROR(__xludf.DUMMYFUNCTION("""COMPUTED_VALUE"""),"https://techcombank.com/thong-tin/blog/the-tin-dung-nao-nhieu-uu-dai-nhat")</f>
        <v>https://techcombank.com/thong-tin/blog/the-tin-dung-nao-nhieu-uu-dai-nhat</v>
      </c>
      <c r="AM33" s="30" t="str">
        <f>IFERROR(__xludf.DUMMYFUNCTION("""COMPUTED_VALUE"""),"thẻ hoàn tiền")</f>
        <v>thẻ hoàn tiền</v>
      </c>
      <c r="AN33" s="34" t="str">
        <f>IFERROR(__xludf.DUMMYFUNCTION("""COMPUTED_VALUE"""),"https://techcombank.com/thong-tin/blog/cach-lam-the-ngan-hang-chay-quang-cao-facebook")</f>
        <v>https://techcombank.com/thong-tin/blog/cach-lam-the-ngan-hang-chay-quang-cao-facebook</v>
      </c>
      <c r="AO33" s="30" t="str">
        <f>IFERROR(__xludf.DUMMYFUNCTION("""COMPUTED_VALUE"""),"thẻ tín dụng hoàn tiền")</f>
        <v>thẻ tín dụng hoàn tiền</v>
      </c>
      <c r="AP33" s="34" t="str">
        <f>IFERROR(__xludf.DUMMYFUNCTION("""COMPUTED_VALUE"""),"https://techcombank.com/thong-tin/blog/mua-iphone-17")</f>
        <v>https://techcombank.com/thong-tin/blog/mua-iphone-17</v>
      </c>
      <c r="AQ33" s="30" t="str">
        <f>IFERROR(__xludf.DUMMYFUNCTION("""COMPUTED_VALUE"""),"thẻ hoàn tiền")</f>
        <v>thẻ hoàn tiền</v>
      </c>
      <c r="AR33" s="34" t="str">
        <f>IFERROR(__xludf.DUMMYFUNCTION("""COMPUTED_VALUE"""),"https://techcombank.com/thong-tin/blog/the-visa-co-can-mat-khau-khong")</f>
        <v>https://techcombank.com/thong-tin/blog/the-visa-co-can-mat-khau-khong</v>
      </c>
      <c r="AS33" s="30" t="str">
        <f>IFERROR(__xludf.DUMMYFUNCTION("""COMPUTED_VALUE"""),"thẻ tín dụng hoàn tiền")</f>
        <v>thẻ tín dụng hoàn tiền</v>
      </c>
      <c r="AT33" s="34" t="str">
        <f>IFERROR(__xludf.DUMMYFUNCTION("""COMPUTED_VALUE"""),"https://techcombank.com/thong-tin/blog/mua-truoc-tra-sau")</f>
        <v>https://techcombank.com/thong-tin/blog/mua-truoc-tra-sau</v>
      </c>
      <c r="AU33" s="30" t="str">
        <f>IFERROR(__xludf.DUMMYFUNCTION("""COMPUTED_VALUE"""),"thẻ tín dụng hoàn tiền")</f>
        <v>thẻ tín dụng hoàn tiền</v>
      </c>
      <c r="AV33" s="34" t="str">
        <f>IFERROR(__xludf.DUMMYFUNCTION("""COMPUTED_VALUE"""),"https://techcombank.com/thong-tin/blog/tra-cuu-han-muc-the-tin-dung")</f>
        <v>https://techcombank.com/thong-tin/blog/tra-cuu-han-muc-the-tin-dung</v>
      </c>
      <c r="AW33" s="30" t="str">
        <f>IFERROR(__xludf.DUMMYFUNCTION("""COMPUTED_VALUE"""),"thẻ hoàn tiền")</f>
        <v>thẻ hoàn tiền</v>
      </c>
      <c r="AX33" s="34" t="str">
        <f>IFERROR(__xludf.DUMMYFUNCTION("""COMPUTED_VALUE"""),"https://techcombank.com/thong-tin/blog/the-ghi-no-va-the-tin-dung")</f>
        <v>https://techcombank.com/thong-tin/blog/the-ghi-no-va-the-tin-dung</v>
      </c>
      <c r="AY33" s="30" t="str">
        <f>IFERROR(__xludf.DUMMYFUNCTION("""COMPUTED_VALUE"""),"thẻ tín dụng hoàn tiền")</f>
        <v>thẻ tín dụng hoàn tiền</v>
      </c>
      <c r="AZ33" s="34" t="str">
        <f>IFERROR(__xludf.DUMMYFUNCTION("""COMPUTED_VALUE"""),"https://techcombank.com/thong-tin/blog/the-tin-dung-het-han")</f>
        <v>https://techcombank.com/thong-tin/blog/the-tin-dung-het-han</v>
      </c>
      <c r="BA33" s="30" t="str">
        <f>IFERROR(__xludf.DUMMYFUNCTION("""COMPUTED_VALUE"""),"thẻ hoàn tiền")</f>
        <v>thẻ hoàn tiền</v>
      </c>
      <c r="BB33" s="34" t="str">
        <f>IFERROR(__xludf.DUMMYFUNCTION("""COMPUTED_VALUE"""),"https://techcombank.com/thong-tin/blog/cach-huy-the-tin-dung")</f>
        <v>https://techcombank.com/thong-tin/blog/cach-huy-the-tin-dung</v>
      </c>
      <c r="BC33" s="30" t="str">
        <f>IFERROR(__xludf.DUMMYFUNCTION("""COMPUTED_VALUE"""),"thẻ hoàn tiền")</f>
        <v>thẻ hoàn tiền</v>
      </c>
      <c r="BD33" s="34" t="str">
        <f>IFERROR(__xludf.DUMMYFUNCTION("""COMPUTED_VALUE"""),"https://techcombank.com/thong-tin/blog/co-nen-dung-the-tin-dung-khong")</f>
        <v>https://techcombank.com/thong-tin/blog/co-nen-dung-the-tin-dung-khong</v>
      </c>
      <c r="BE33" s="30" t="str">
        <f>IFERROR(__xludf.DUMMYFUNCTION("""COMPUTED_VALUE"""),"thẻ tín dụng hoàn tiền")</f>
        <v>thẻ tín dụng hoàn tiền</v>
      </c>
      <c r="BF33" s="34" t="str">
        <f>IFERROR(__xludf.DUMMYFUNCTION("""COMPUTED_VALUE"""),"https://techcombank.com/thong-tin/blog/ma-buu-chinh-the-tin-dung")</f>
        <v>https://techcombank.com/thong-tin/blog/ma-buu-chinh-the-tin-dung</v>
      </c>
      <c r="BG33" s="30" t="str">
        <f>IFERROR(__xludf.DUMMYFUNCTION("""COMPUTED_VALUE"""),"thẻ hoàn tiền")</f>
        <v>thẻ hoàn tiền</v>
      </c>
      <c r="BH33" s="34" t="str">
        <f>IFERROR(__xludf.DUMMYFUNCTION("""COMPUTED_VALUE"""),"https://techcombank.com/thong-tin/blog/the-tin-dung-quoc-te")</f>
        <v>https://techcombank.com/thong-tin/blog/the-tin-dung-quoc-te</v>
      </c>
      <c r="BI33" s="30" t="str">
        <f>IFERROR(__xludf.DUMMYFUNCTION("""COMPUTED_VALUE"""),"thẻ tín dụng hoàn tiền")</f>
        <v>thẻ tín dụng hoàn tiền</v>
      </c>
      <c r="BJ33" s="34" t="str">
        <f>IFERROR(__xludf.DUMMYFUNCTION("""COMPUTED_VALUE"""),"https://techcombank.com/thong-tin/blog/qua-han-thanh-toan-the-tin-dung-1-ngay")</f>
        <v>https://techcombank.com/thong-tin/blog/qua-han-thanh-toan-the-tin-dung-1-ngay</v>
      </c>
      <c r="BK33" s="30" t="str">
        <f>IFERROR(__xludf.DUMMYFUNCTION("""COMPUTED_VALUE"""),"thẻ hoàn tiền")</f>
        <v>thẻ hoàn tiền</v>
      </c>
      <c r="BL33" s="34" t="str">
        <f>IFERROR(__xludf.DUMMYFUNCTION("""COMPUTED_VALUE"""),"https://techcombank.com/thong-tin/blog/phi-rut-tien-mat-the-tin-dung")</f>
        <v>https://techcombank.com/thong-tin/blog/phi-rut-tien-mat-the-tin-dung</v>
      </c>
      <c r="BM33" s="30" t="str">
        <f>IFERROR(__xludf.DUMMYFUNCTION("""COMPUTED_VALUE"""),"thẻ hoàn tiền")</f>
        <v>thẻ hoàn tiền</v>
      </c>
      <c r="BN33" s="34" t="str">
        <f>IFERROR(__xludf.DUMMYFUNCTION("""COMPUTED_VALUE"""),"https://techcombank.com/thong-tin/blog/tiet-kiem-khi-di-du-lich")</f>
        <v>https://techcombank.com/thong-tin/blog/tiet-kiem-khi-di-du-lich</v>
      </c>
      <c r="BO33" s="30" t="str">
        <f>IFERROR(__xludf.DUMMYFUNCTION("""COMPUTED_VALUE"""),"thẻ hoàn tiền")</f>
        <v>thẻ hoàn tiền</v>
      </c>
      <c r="BP33" s="34" t="str">
        <f>IFERROR(__xludf.DUMMYFUNCTION("""COMPUTED_VALUE"""),"https://techcombank.com/thong-tin/blog/vay-ngan-hang-1-ty-moi-thang-tra-bao-nhieu")</f>
        <v>https://techcombank.com/thong-tin/blog/vay-ngan-hang-1-ty-moi-thang-tra-bao-nhieu</v>
      </c>
      <c r="BQ33" s="30" t="str">
        <f>IFERROR(__xludf.DUMMYFUNCTION("""COMPUTED_VALUE"""),"thẻ tín dụng hoàn tiền")</f>
        <v>thẻ tín dụng hoàn tiền</v>
      </c>
      <c r="BR33" s="34" t="str">
        <f>IFERROR(__xludf.DUMMYFUNCTION("""COMPUTED_VALUE"""),"https://techcombank.com/thong-tin/blog/cach-thanh-toan-the-tin-dung")</f>
        <v>https://techcombank.com/thong-tin/blog/cach-thanh-toan-the-tin-dung</v>
      </c>
      <c r="BS33" s="30" t="str">
        <f>IFERROR(__xludf.DUMMYFUNCTION("""COMPUTED_VALUE"""),"thẻ hoàn tiền")</f>
        <v>thẻ hoàn tiền</v>
      </c>
      <c r="BT33" s="34" t="str">
        <f>IFERROR(__xludf.DUMMYFUNCTION("""COMPUTED_VALUE"""),"https://techcombank.com/thong-tin/blog/the-tin-dung-den")</f>
        <v>https://techcombank.com/thong-tin/blog/the-tin-dung-den</v>
      </c>
      <c r="BU33" s="30"/>
      <c r="BV33" s="30"/>
      <c r="BW33" s="30"/>
      <c r="BX33" s="30"/>
      <c r="BY33" s="30"/>
      <c r="BZ33" s="30"/>
      <c r="CA33" s="30"/>
      <c r="CB33" s="30"/>
      <c r="CC33" s="30"/>
      <c r="CD33" s="30"/>
      <c r="CE33" s="30"/>
      <c r="CF33" s="30"/>
      <c r="CG33" s="30"/>
      <c r="CH33" s="30"/>
      <c r="CI33" s="30"/>
      <c r="CJ33" s="30"/>
      <c r="CK33" s="30"/>
      <c r="CL33" s="30"/>
      <c r="CM33" s="30"/>
      <c r="CN33" s="30"/>
      <c r="CO33" s="30"/>
      <c r="CP33" s="30"/>
      <c r="CQ33" s="30"/>
      <c r="CR33" s="30"/>
      <c r="CS33" s="30"/>
      <c r="CT33" s="30"/>
      <c r="CU33" s="30"/>
      <c r="CV33" s="30"/>
      <c r="CW33" s="30"/>
      <c r="CX33" s="30"/>
      <c r="CY33" s="30"/>
      <c r="CZ33" s="30"/>
      <c r="DA33" s="30"/>
      <c r="DB33" s="30"/>
      <c r="DC33" s="30"/>
      <c r="DD33" s="30"/>
      <c r="DE33" s="30"/>
      <c r="DF33" s="30"/>
      <c r="DG33" s="30"/>
      <c r="DH33" s="30"/>
      <c r="DI33" s="30"/>
      <c r="DJ33" s="30"/>
      <c r="DK33" s="30"/>
      <c r="DL33" s="30"/>
      <c r="DM33" s="30"/>
      <c r="DN33" s="30"/>
      <c r="DO33" s="30"/>
      <c r="DP33" s="30"/>
      <c r="DQ33" s="30"/>
      <c r="DR33" s="30"/>
      <c r="DS33" s="30"/>
      <c r="DT33" s="30"/>
      <c r="DU33" s="30"/>
      <c r="DV33" s="30"/>
      <c r="DW33" s="30"/>
      <c r="DX33" s="30"/>
      <c r="DY33" s="30"/>
      <c r="DZ33" s="30"/>
      <c r="EA33" s="30"/>
      <c r="EB33" s="30"/>
      <c r="EC33" s="30"/>
      <c r="ED33" s="30"/>
      <c r="EE33" s="30"/>
      <c r="EF33" s="30"/>
      <c r="EG33" s="30"/>
      <c r="EH33" s="30"/>
      <c r="EI33" s="30"/>
      <c r="EJ33" s="30"/>
      <c r="EK33" s="30"/>
      <c r="EL33" s="30"/>
      <c r="EM33" s="30"/>
      <c r="EN33" s="30"/>
      <c r="EO33" s="30"/>
      <c r="EP33" s="30"/>
      <c r="EQ33" s="30"/>
      <c r="ER33" s="30"/>
      <c r="ES33" s="30"/>
      <c r="ET33" s="30"/>
      <c r="EU33" s="30"/>
      <c r="EV33" s="30"/>
      <c r="EW33" s="30"/>
      <c r="EX33" s="30"/>
      <c r="EY33" s="30"/>
      <c r="EZ33" s="30"/>
      <c r="FA33" s="30"/>
      <c r="FB33" s="30"/>
      <c r="FC33" s="30"/>
      <c r="FD33" s="30"/>
      <c r="FE33" s="30"/>
      <c r="FF33" s="30"/>
      <c r="FG33" s="30"/>
      <c r="FH33" s="30"/>
      <c r="FI33" s="30"/>
      <c r="FJ33" s="30"/>
      <c r="FK33" s="30"/>
      <c r="FL33" s="30"/>
      <c r="FM33" s="30"/>
      <c r="FN33" s="30"/>
      <c r="FO33" s="30"/>
      <c r="FP33" s="30"/>
      <c r="FQ33" s="30"/>
      <c r="FR33" s="30"/>
      <c r="FS33" s="30"/>
      <c r="FT33" s="30"/>
      <c r="FU33" s="30"/>
      <c r="FV33" s="30"/>
      <c r="FW33" s="30"/>
      <c r="FX33" s="30"/>
      <c r="FY33" s="30"/>
      <c r="FZ33" s="30"/>
      <c r="GA33" s="30"/>
      <c r="GB33" s="30"/>
      <c r="GC33" s="30"/>
      <c r="GD33" s="30"/>
      <c r="GE33" s="30"/>
      <c r="GF33" s="30"/>
      <c r="GG33" s="30"/>
      <c r="GH33" s="30"/>
      <c r="GI33" s="30"/>
      <c r="GJ33" s="30"/>
      <c r="GK33" s="30"/>
      <c r="GL33" s="30"/>
      <c r="GM33" s="30"/>
      <c r="GN33" s="30"/>
      <c r="GO33" s="30"/>
      <c r="GP33" s="30"/>
      <c r="GQ33" s="30"/>
      <c r="GR33" s="30"/>
      <c r="GS33" s="30"/>
      <c r="GT33" s="30"/>
      <c r="GU33" s="30"/>
      <c r="GV33" s="30"/>
      <c r="GW33" s="30"/>
      <c r="GX33" s="30"/>
      <c r="GY33" s="30"/>
      <c r="GZ33" s="30"/>
      <c r="HA33" s="30"/>
      <c r="HB33" s="30"/>
      <c r="HC33" s="30"/>
      <c r="HD33" s="30"/>
      <c r="HE33" s="30"/>
      <c r="HF33" s="30"/>
      <c r="HG33" s="30"/>
      <c r="HH33" s="30"/>
      <c r="HI33" s="30"/>
      <c r="HJ33" s="30"/>
      <c r="HK33" s="30"/>
      <c r="HL33" s="30"/>
      <c r="HM33" s="30"/>
      <c r="HN33" s="30"/>
      <c r="HO33" s="30"/>
      <c r="HP33" s="30"/>
      <c r="HQ33" s="30"/>
      <c r="HR33" s="30"/>
      <c r="HS33" s="30"/>
      <c r="HT33" s="30"/>
      <c r="HU33" s="30"/>
      <c r="HV33" s="30"/>
      <c r="HW33" s="30"/>
      <c r="HX33" s="30"/>
      <c r="HY33" s="30"/>
      <c r="HZ33" s="30"/>
      <c r="IA33" s="30"/>
      <c r="IB33" s="30"/>
      <c r="IC33" s="30"/>
      <c r="ID33" s="30"/>
      <c r="IE33" s="30"/>
      <c r="IF33" s="30"/>
      <c r="IG33" s="30"/>
      <c r="IH33" s="30"/>
      <c r="II33" s="30"/>
      <c r="IJ33" s="30"/>
      <c r="IK33" s="30"/>
      <c r="IL33" s="30"/>
      <c r="IM33" s="30"/>
      <c r="IN33" s="30"/>
      <c r="IO33" s="30"/>
      <c r="IP33" s="30"/>
      <c r="IQ33" s="30"/>
      <c r="IR33" s="30"/>
      <c r="IS33" s="30"/>
      <c r="IT33" s="30"/>
      <c r="IU33" s="30"/>
      <c r="IV33" s="30"/>
      <c r="IW33" s="30"/>
      <c r="IX33" s="30"/>
      <c r="IY33" s="30"/>
      <c r="IZ33" s="30"/>
      <c r="JA33" s="30"/>
      <c r="JB33" s="30"/>
      <c r="JC33" s="30"/>
      <c r="JD33" s="30"/>
      <c r="JE33" s="30"/>
      <c r="JF33" s="30"/>
      <c r="JG33" s="30"/>
      <c r="JH33" s="30"/>
      <c r="JI33" s="30"/>
      <c r="JJ33" s="30"/>
      <c r="JK33" s="30"/>
      <c r="JL33" s="30"/>
      <c r="JM33" s="30"/>
      <c r="JN33" s="30"/>
      <c r="JO33" s="30"/>
      <c r="JP33" s="30"/>
      <c r="JQ33" s="30"/>
      <c r="JR33" s="30"/>
      <c r="JS33" s="30"/>
      <c r="JT33" s="30"/>
      <c r="JU33" s="30"/>
      <c r="JV33" s="30"/>
      <c r="JW33" s="30"/>
      <c r="JX33" s="30"/>
      <c r="JY33" s="30"/>
      <c r="JZ33" s="30"/>
      <c r="KA33" s="30"/>
      <c r="KB33" s="30"/>
      <c r="KC33" s="30"/>
      <c r="KD33" s="30"/>
      <c r="KE33" s="30"/>
      <c r="KF33" s="30"/>
      <c r="KG33" s="30"/>
      <c r="KH33" s="30"/>
      <c r="KI33" s="30"/>
      <c r="KJ33" s="30"/>
      <c r="KK33" s="30"/>
      <c r="KL33" s="30"/>
      <c r="KM33" s="30"/>
      <c r="KN33" s="30"/>
      <c r="KO33" s="30"/>
      <c r="KP33" s="30"/>
      <c r="KQ33" s="30"/>
      <c r="KR33" s="30"/>
      <c r="KS33" s="30"/>
      <c r="KT33" s="30"/>
      <c r="KU33" s="30"/>
      <c r="KV33" s="30"/>
      <c r="KW33" s="30"/>
      <c r="KX33" s="30"/>
      <c r="KY33" s="30"/>
      <c r="KZ33" s="30"/>
      <c r="LA33" s="30"/>
      <c r="LB33" s="30"/>
      <c r="LC33" s="30"/>
      <c r="LD33" s="30"/>
      <c r="LE33" s="30"/>
      <c r="LF33" s="30"/>
      <c r="LG33" s="30"/>
      <c r="LH33" s="30"/>
      <c r="LI33" s="30"/>
      <c r="LJ33" s="30"/>
      <c r="LK33" s="30"/>
      <c r="LL33" s="30"/>
      <c r="LM33" s="30"/>
      <c r="LN33" s="30"/>
      <c r="LO33" s="30"/>
      <c r="LP33" s="30"/>
      <c r="LQ33" s="30"/>
      <c r="LR33" s="30"/>
      <c r="LS33" s="30"/>
      <c r="LT33" s="30"/>
      <c r="LU33" s="30"/>
      <c r="LV33" s="30"/>
      <c r="LW33" s="30"/>
      <c r="LX33" s="30"/>
      <c r="LY33" s="30"/>
      <c r="LZ33" s="30"/>
      <c r="MA33" s="30"/>
      <c r="MB33" s="30"/>
      <c r="MC33" s="30"/>
      <c r="MD33" s="30"/>
      <c r="ME33" s="30"/>
      <c r="MF33" s="30"/>
      <c r="MG33" s="30"/>
      <c r="MH33" s="30"/>
      <c r="MI33" s="30"/>
      <c r="MJ33" s="30"/>
      <c r="MK33" s="30"/>
      <c r="ML33" s="30"/>
      <c r="MM33" s="30"/>
      <c r="MN33" s="30"/>
      <c r="MO33" s="30"/>
      <c r="MP33" s="30"/>
      <c r="MQ33" s="30"/>
      <c r="MR33" s="30"/>
      <c r="MS33" s="30"/>
      <c r="MT33" s="30"/>
      <c r="MU33" s="30"/>
      <c r="MV33" s="30"/>
      <c r="MW33" s="30"/>
      <c r="MX33" s="30"/>
      <c r="MY33" s="30"/>
      <c r="MZ33" s="30"/>
      <c r="NA33" s="30"/>
      <c r="NB33" s="30"/>
      <c r="NC33" s="30"/>
      <c r="ND33" s="30"/>
      <c r="NE33" s="30"/>
      <c r="NF33" s="30"/>
      <c r="NG33" s="30"/>
      <c r="NH33" s="30"/>
      <c r="NI33" s="30"/>
      <c r="NJ33" s="30"/>
      <c r="NK33" s="30"/>
      <c r="NL33" s="30"/>
      <c r="NM33" s="30"/>
      <c r="NN33" s="30"/>
      <c r="NO33" s="30"/>
      <c r="NP33" s="30"/>
      <c r="NQ33" s="30"/>
      <c r="NR33" s="30"/>
      <c r="NS33" s="30"/>
      <c r="NT33" s="30"/>
      <c r="NU33" s="30"/>
      <c r="NV33" s="30"/>
      <c r="NW33" s="30"/>
      <c r="NX33" s="30"/>
      <c r="NY33" s="30"/>
      <c r="NZ33" s="30"/>
      <c r="OA33" s="30"/>
      <c r="OB33" s="30"/>
      <c r="OC33" s="30"/>
      <c r="OD33" s="30"/>
      <c r="OE33" s="30"/>
      <c r="OF33" s="30"/>
      <c r="OG33" s="30"/>
      <c r="OH33" s="30"/>
      <c r="OI33" s="30"/>
      <c r="OJ33" s="30"/>
      <c r="OK33" s="30"/>
      <c r="OL33" s="30"/>
      <c r="OM33" s="30"/>
      <c r="ON33" s="30"/>
      <c r="OO33" s="30"/>
      <c r="OP33" s="30"/>
      <c r="OQ33" s="30"/>
      <c r="OR33" s="30"/>
      <c r="OS33" s="30"/>
      <c r="OT33" s="30"/>
      <c r="OU33" s="30"/>
      <c r="OV33" s="30"/>
    </row>
    <row r="34" ht="18.0" customHeight="1">
      <c r="A34" s="29">
        <v>33.0</v>
      </c>
      <c r="B34" s="30" t="s">
        <v>3094</v>
      </c>
      <c r="C34" s="31" t="s">
        <v>3261</v>
      </c>
      <c r="D34" s="30" t="s">
        <v>2663</v>
      </c>
      <c r="E34" s="29">
        <v>50.0</v>
      </c>
      <c r="F34" s="29">
        <f>COUNTIF('Tổng hợp 75 trang đích'!$B$2:$B$3400,$D34)</f>
        <v>50</v>
      </c>
      <c r="G34" s="29">
        <f>COUNTIFS('Tổng hợp 75 trang đích'!$B$2:$B$3400,$D34,'Tổng hợp 75 trang đích'!$K$2:$K$3400,"PHÙ HỢP CAO")</f>
        <v>3</v>
      </c>
      <c r="H34" s="29">
        <f>COUNTIFS('Tổng hợp 75 trang đích'!$B$2:$B$3400,$D34,'Tổng hợp 75 trang đích'!$K$2:$K$3400,"CÓ THỂ ĐI")</f>
        <v>3</v>
      </c>
      <c r="I34" s="29">
        <f>COUNTIFS('Tổng hợp 75 trang đích'!$B$2:$B$3400,$D34,'Tổng hợp 75 trang đích'!$K$2:$K$3400,"CẦN SOÁT")</f>
        <v>44</v>
      </c>
      <c r="J34" s="32" t="s">
        <v>714</v>
      </c>
      <c r="K34" s="32" t="b">
        <v>0</v>
      </c>
      <c r="L34" s="33" t="s">
        <v>52</v>
      </c>
      <c r="M34" s="30" t="str">
        <f>IFERROR(__xludf.DUMMYFUNCTION("IFERROR(TOROW(CHOOSECOLS(SORT(FILTER({'Tổng hợp 75 trang đích'!$J$2:$J$3400,'Tổng hợp 75 trang đích'!$I$2:$I$3400,MATCH('Tổng hợp 75 trang đích'!$K$2:$K$3400,{""PHÙ HỢP CAO"",""CÓ THỂ ĐI"",""CẦN SOÁT""},0)},'Tổng hợp 75 trang đích'!$B$2:$B$3400=$D34),3,TR"&amp;"UE),1,2)),"""")"),"hủy thẻ tín dụng")</f>
        <v>hủy thẻ tín dụng</v>
      </c>
      <c r="N34" s="34" t="str">
        <f>IFERROR(__xludf.DUMMYFUNCTION("""COMPUTED_VALUE"""),"https://techcombank.com/thong-tin/blog/phi-thuong-nien-la-gi")</f>
        <v>https://techcombank.com/thong-tin/blog/phi-thuong-nien-la-gi</v>
      </c>
      <c r="O34" s="30" t="str">
        <f>IFERROR(__xludf.DUMMYFUNCTION("""COMPUTED_VALUE"""),"hủy thẻ tín dụng")</f>
        <v>hủy thẻ tín dụng</v>
      </c>
      <c r="P34" s="34" t="str">
        <f>IFERROR(__xludf.DUMMYFUNCTION("""COMPUTED_VALUE"""),"https://techcombank.com/thong-tin/blog/khong-su-dung-the-tin-dung-co-mat-phi-khong")</f>
        <v>https://techcombank.com/thong-tin/blog/khong-su-dung-the-tin-dung-co-mat-phi-khong</v>
      </c>
      <c r="Q34" s="30" t="str">
        <f>IFERROR(__xludf.DUMMYFUNCTION("""COMPUTED_VALUE"""),"hủy thẻ tín dụng")</f>
        <v>hủy thẻ tín dụng</v>
      </c>
      <c r="R34" s="34" t="str">
        <f>IFERROR(__xludf.DUMMYFUNCTION("""COMPUTED_VALUE"""),"https://techcombank.com/thong-tin/blog/cach-khoa-the-ngan-hang")</f>
        <v>https://techcombank.com/thong-tin/blog/cach-khoa-the-ngan-hang</v>
      </c>
      <c r="S34" s="30" t="str">
        <f>IFERROR(__xludf.DUMMYFUNCTION("""COMPUTED_VALUE"""),"cách hủy thẻ tín dụng")</f>
        <v>cách hủy thẻ tín dụng</v>
      </c>
      <c r="T34" s="34" t="str">
        <f>IFERROR(__xludf.DUMMYFUNCTION("""COMPUTED_VALUE"""),"https://techcombank.com/thong-tin/blog/the-tin-dung-bi-khoa")</f>
        <v>https://techcombank.com/thong-tin/blog/the-tin-dung-bi-khoa</v>
      </c>
      <c r="U34" s="30" t="str">
        <f>IFERROR(__xludf.DUMMYFUNCTION("""COMPUTED_VALUE"""),"hủy thẻ tín dụng")</f>
        <v>hủy thẻ tín dụng</v>
      </c>
      <c r="V34" s="34" t="str">
        <f>IFERROR(__xludf.DUMMYFUNCTION("""COMPUTED_VALUE"""),"https://techcombank.com/thong-tin/blog/the-tin-dung-het-han")</f>
        <v>https://techcombank.com/thong-tin/blog/the-tin-dung-het-han</v>
      </c>
      <c r="W34" s="30" t="str">
        <f>IFERROR(__xludf.DUMMYFUNCTION("""COMPUTED_VALUE"""),"hủy thẻ tín dụng")</f>
        <v>hủy thẻ tín dụng</v>
      </c>
      <c r="X34" s="34" t="str">
        <f>IFERROR(__xludf.DUMMYFUNCTION("""COMPUTED_VALUE"""),"https://techcombank.com/thong-tin/blog/lam-the-tin-dung-co-mat-phi-khong")</f>
        <v>https://techcombank.com/thong-tin/blog/lam-the-tin-dung-co-mat-phi-khong</v>
      </c>
      <c r="Y34" s="30" t="str">
        <f>IFERROR(__xludf.DUMMYFUNCTION("""COMPUTED_VALUE"""),"cách hủy thẻ tín dụng")</f>
        <v>cách hủy thẻ tín dụng</v>
      </c>
      <c r="Z34" s="34" t="str">
        <f>IFERROR(__xludf.DUMMYFUNCTION("""COMPUTED_VALUE"""),"https://techcombank.com/thong-tin/blog/tai-khoan-doanh-nghiep-co-the-khong")</f>
        <v>https://techcombank.com/thong-tin/blog/tai-khoan-doanh-nghiep-co-the-khong</v>
      </c>
      <c r="AA34" s="30" t="str">
        <f>IFERROR(__xludf.DUMMYFUNCTION("""COMPUTED_VALUE"""),"hủy thẻ tín dụng")</f>
        <v>hủy thẻ tín dụng</v>
      </c>
      <c r="AB34" s="34" t="str">
        <f>IFERROR(__xludf.DUMMYFUNCTION("""COMPUTED_VALUE"""),"https://techcombank.com/thong-tin/blog/mm-yy-la-gi")</f>
        <v>https://techcombank.com/thong-tin/blog/mm-yy-la-gi</v>
      </c>
      <c r="AC34" s="30" t="str">
        <f>IFERROR(__xludf.DUMMYFUNCTION("""COMPUTED_VALUE"""),"hủy thẻ tín dụng")</f>
        <v>hủy thẻ tín dụng</v>
      </c>
      <c r="AD34" s="34" t="str">
        <f>IFERROR(__xludf.DUMMYFUNCTION("""COMPUTED_VALUE"""),"https://techcombank.com/thong-tin/blog/uu-dai-the-tin-dung-techcombank-signature")</f>
        <v>https://techcombank.com/thong-tin/blog/uu-dai-the-tin-dung-techcombank-signature</v>
      </c>
      <c r="AE34" s="30" t="str">
        <f>IFERROR(__xludf.DUMMYFUNCTION("""COMPUTED_VALUE"""),"cách hủy thẻ tín dụng")</f>
        <v>cách hủy thẻ tín dụng</v>
      </c>
      <c r="AF34" s="34" t="str">
        <f>IFERROR(__xludf.DUMMYFUNCTION("""COMPUTED_VALUE"""),"https://techcombank.com/thong-tin/blog/cac-loai-the-tin-dung")</f>
        <v>https://techcombank.com/thong-tin/blog/cac-loai-the-tin-dung</v>
      </c>
      <c r="AG34" s="30" t="str">
        <f>IFERROR(__xludf.DUMMYFUNCTION("""COMPUTED_VALUE"""),"hủy thẻ tín dụng")</f>
        <v>hủy thẻ tín dụng</v>
      </c>
      <c r="AH34" s="34" t="str">
        <f>IFERROR(__xludf.DUMMYFUNCTION("""COMPUTED_VALUE"""),"https://techcombank.com/thong-tin/blog/the-tin-dung-mien-phi-thuong-nien")</f>
        <v>https://techcombank.com/thong-tin/blog/the-tin-dung-mien-phi-thuong-nien</v>
      </c>
      <c r="AI34" s="30" t="str">
        <f>IFERROR(__xludf.DUMMYFUNCTION("""COMPUTED_VALUE"""),"cách hủy thẻ tín dụng")</f>
        <v>cách hủy thẻ tín dụng</v>
      </c>
      <c r="AJ34" s="34" t="str">
        <f>IFERROR(__xludf.DUMMYFUNCTION("""COMPUTED_VALUE"""),"https://techcombank.com/thong-tin/blog/uu-dai-mua-ve-may-bay-bang-the-tin-dung")</f>
        <v>https://techcombank.com/thong-tin/blog/uu-dai-mua-ve-may-bay-bang-the-tin-dung</v>
      </c>
      <c r="AK34" s="30" t="str">
        <f>IFERROR(__xludf.DUMMYFUNCTION("""COMPUTED_VALUE"""),"hủy thẻ tín dụng")</f>
        <v>hủy thẻ tín dụng</v>
      </c>
      <c r="AL34" s="34" t="str">
        <f>IFERROR(__xludf.DUMMYFUNCTION("""COMPUTED_VALUE"""),"https://techcombank.com/thong-tin/blog/mat-the-tin-dung-co-bi-mat-tien-khong")</f>
        <v>https://techcombank.com/thong-tin/blog/mat-the-tin-dung-co-bi-mat-tien-khong</v>
      </c>
      <c r="AM34" s="30" t="str">
        <f>IFERROR(__xludf.DUMMYFUNCTION("""COMPUTED_VALUE"""),"hủy thẻ tín dụng")</f>
        <v>hủy thẻ tín dụng</v>
      </c>
      <c r="AN34" s="34" t="str">
        <f>IFERROR(__xludf.DUMMYFUNCTION("""COMPUTED_VALUE"""),"https://techcombank.com/thong-tin/blog/so-cvv-la-gi")</f>
        <v>https://techcombank.com/thong-tin/blog/so-cvv-la-gi</v>
      </c>
      <c r="AO34" s="30" t="str">
        <f>IFERROR(__xludf.DUMMYFUNCTION("""COMPUTED_VALUE"""),"cách hủy thẻ tín dụng")</f>
        <v>cách hủy thẻ tín dụng</v>
      </c>
      <c r="AP34" s="34" t="str">
        <f>IFERROR(__xludf.DUMMYFUNCTION("""COMPUTED_VALUE"""),"https://techcombank.com/thong-tin/blog/the-tin-dung-nao-nhieu-uu-dai-nhat")</f>
        <v>https://techcombank.com/thong-tin/blog/the-tin-dung-nao-nhieu-uu-dai-nhat</v>
      </c>
      <c r="AQ34" s="30" t="str">
        <f>IFERROR(__xludf.DUMMYFUNCTION("""COMPUTED_VALUE"""),"cách hủy thẻ tín dụng")</f>
        <v>cách hủy thẻ tín dụng</v>
      </c>
      <c r="AR34" s="34" t="str">
        <f>IFERROR(__xludf.DUMMYFUNCTION("""COMPUTED_VALUE"""),"https://techcombank.com/thong-tin/blog/cach-lam-the-ngan-hang-chay-quang-cao-facebook")</f>
        <v>https://techcombank.com/thong-tin/blog/cach-lam-the-ngan-hang-chay-quang-cao-facebook</v>
      </c>
      <c r="AS34" s="30" t="str">
        <f>IFERROR(__xludf.DUMMYFUNCTION("""COMPUTED_VALUE"""),"cách hủy thẻ tín dụng")</f>
        <v>cách hủy thẻ tín dụng</v>
      </c>
      <c r="AT34" s="34" t="str">
        <f>IFERROR(__xludf.DUMMYFUNCTION("""COMPUTED_VALUE"""),"https://techcombank.com/thong-tin/blog/mua-iphone-17")</f>
        <v>https://techcombank.com/thong-tin/blog/mua-iphone-17</v>
      </c>
      <c r="AU34" s="30" t="str">
        <f>IFERROR(__xludf.DUMMYFUNCTION("""COMPUTED_VALUE"""),"hủy thẻ tín dụng")</f>
        <v>hủy thẻ tín dụng</v>
      </c>
      <c r="AV34" s="34" t="str">
        <f>IFERROR(__xludf.DUMMYFUNCTION("""COMPUTED_VALUE"""),"https://techcombank.com/thong-tin/blog/the-visa-co-can-mat-khau-khong")</f>
        <v>https://techcombank.com/thong-tin/blog/the-visa-co-can-mat-khau-khong</v>
      </c>
      <c r="AW34" s="30" t="str">
        <f>IFERROR(__xludf.DUMMYFUNCTION("""COMPUTED_VALUE"""),"cách hủy thẻ tín dụng")</f>
        <v>cách hủy thẻ tín dụng</v>
      </c>
      <c r="AX34" s="34" t="str">
        <f>IFERROR(__xludf.DUMMYFUNCTION("""COMPUTED_VALUE"""),"https://techcombank.com/thong-tin/blog/mua-truoc-tra-sau")</f>
        <v>https://techcombank.com/thong-tin/blog/mua-truoc-tra-sau</v>
      </c>
      <c r="AY34" s="30" t="str">
        <f>IFERROR(__xludf.DUMMYFUNCTION("""COMPUTED_VALUE"""),"cách hủy thẻ tín dụng")</f>
        <v>cách hủy thẻ tín dụng</v>
      </c>
      <c r="AZ34" s="34" t="str">
        <f>IFERROR(__xludf.DUMMYFUNCTION("""COMPUTED_VALUE"""),"https://techcombank.com/thong-tin/blog/tra-cuu-han-muc-the-tin-dung")</f>
        <v>https://techcombank.com/thong-tin/blog/tra-cuu-han-muc-the-tin-dung</v>
      </c>
      <c r="BA34" s="30" t="str">
        <f>IFERROR(__xludf.DUMMYFUNCTION("""COMPUTED_VALUE"""),"cách hủy thẻ tín dụng")</f>
        <v>cách hủy thẻ tín dụng</v>
      </c>
      <c r="BB34" s="34" t="str">
        <f>IFERROR(__xludf.DUMMYFUNCTION("""COMPUTED_VALUE"""),"https://techcombank.com/thong-tin/blog/the-ghi-no-va-the-tin-dung")</f>
        <v>https://techcombank.com/thong-tin/blog/the-ghi-no-va-the-tin-dung</v>
      </c>
      <c r="BC34" s="30" t="str">
        <f>IFERROR(__xludf.DUMMYFUNCTION("""COMPUTED_VALUE"""),"cách hủy thẻ tín dụng")</f>
        <v>cách hủy thẻ tín dụng</v>
      </c>
      <c r="BD34" s="34" t="str">
        <f>IFERROR(__xludf.DUMMYFUNCTION("""COMPUTED_VALUE"""),"https://techcombank.com/thong-tin/blog/co-nen-dung-the-tin-dung-khong")</f>
        <v>https://techcombank.com/thong-tin/blog/co-nen-dung-the-tin-dung-khong</v>
      </c>
      <c r="BE34" s="30" t="str">
        <f>IFERROR(__xludf.DUMMYFUNCTION("""COMPUTED_VALUE"""),"hủy thẻ tín dụng")</f>
        <v>hủy thẻ tín dụng</v>
      </c>
      <c r="BF34" s="34" t="str">
        <f>IFERROR(__xludf.DUMMYFUNCTION("""COMPUTED_VALUE"""),"https://techcombank.com/thong-tin/blog/ma-buu-chinh-the-tin-dung")</f>
        <v>https://techcombank.com/thong-tin/blog/ma-buu-chinh-the-tin-dung</v>
      </c>
      <c r="BG34" s="30" t="str">
        <f>IFERROR(__xludf.DUMMYFUNCTION("""COMPUTED_VALUE"""),"cách hủy thẻ tín dụng")</f>
        <v>cách hủy thẻ tín dụng</v>
      </c>
      <c r="BH34" s="34" t="str">
        <f>IFERROR(__xludf.DUMMYFUNCTION("""COMPUTED_VALUE"""),"https://techcombank.com/thong-tin/blog/the-tin-dung-quoc-te")</f>
        <v>https://techcombank.com/thong-tin/blog/the-tin-dung-quoc-te</v>
      </c>
      <c r="BI34" s="30" t="str">
        <f>IFERROR(__xludf.DUMMYFUNCTION("""COMPUTED_VALUE"""),"cách hủy thẻ tín dụng")</f>
        <v>cách hủy thẻ tín dụng</v>
      </c>
      <c r="BJ34" s="34" t="str">
        <f>IFERROR(__xludf.DUMMYFUNCTION("""COMPUTED_VALUE"""),"https://techcombank.com/thong-tin/blog/qua-han-thanh-toan-the-tin-dung-1-ngay")</f>
        <v>https://techcombank.com/thong-tin/blog/qua-han-thanh-toan-the-tin-dung-1-ngay</v>
      </c>
      <c r="BK34" s="30" t="str">
        <f>IFERROR(__xludf.DUMMYFUNCTION("""COMPUTED_VALUE"""),"hủy thẻ tín dụng")</f>
        <v>hủy thẻ tín dụng</v>
      </c>
      <c r="BL34" s="34" t="str">
        <f>IFERROR(__xludf.DUMMYFUNCTION("""COMPUTED_VALUE"""),"https://techcombank.com/thong-tin/blog/phi-rut-tien-mat-the-tin-dung")</f>
        <v>https://techcombank.com/thong-tin/blog/phi-rut-tien-mat-the-tin-dung</v>
      </c>
      <c r="BM34" s="30" t="str">
        <f>IFERROR(__xludf.DUMMYFUNCTION("""COMPUTED_VALUE"""),"cách hủy thẻ tín dụng")</f>
        <v>cách hủy thẻ tín dụng</v>
      </c>
      <c r="BN34" s="34" t="str">
        <f>IFERROR(__xludf.DUMMYFUNCTION("""COMPUTED_VALUE"""),"https://techcombank.com/thong-tin/blog/cach-thanh-toan-the-tin-dung")</f>
        <v>https://techcombank.com/thong-tin/blog/cach-thanh-toan-the-tin-dung</v>
      </c>
      <c r="BO34" s="30" t="str">
        <f>IFERROR(__xludf.DUMMYFUNCTION("""COMPUTED_VALUE"""),"hủy thẻ tín dụng")</f>
        <v>hủy thẻ tín dụng</v>
      </c>
      <c r="BP34" s="34" t="str">
        <f>IFERROR(__xludf.DUMMYFUNCTION("""COMPUTED_VALUE"""),"https://techcombank.com/thong-tin/blog/the-tin-dung-den")</f>
        <v>https://techcombank.com/thong-tin/blog/the-tin-dung-den</v>
      </c>
      <c r="BQ34" s="30" t="str">
        <f>IFERROR(__xludf.DUMMYFUNCTION("""COMPUTED_VALUE"""),"cách hủy thẻ tín dụng")</f>
        <v>cách hủy thẻ tín dụng</v>
      </c>
      <c r="BR34" s="34" t="str">
        <f>IFERROR(__xludf.DUMMYFUNCTION("""COMPUTED_VALUE"""),"https://techcombank.com/thong-tin/blog/dao-han-the-tin-dung")</f>
        <v>https://techcombank.com/thong-tin/blog/dao-han-the-tin-dung</v>
      </c>
      <c r="BS34" s="30" t="str">
        <f>IFERROR(__xludf.DUMMYFUNCTION("""COMPUTED_VALUE"""),"cách hủy thẻ tín dụng")</f>
        <v>cách hủy thẻ tín dụng</v>
      </c>
      <c r="BT34" s="34" t="str">
        <f>IFERROR(__xludf.DUMMYFUNCTION("""COMPUTED_VALUE"""),"https://techcombank.com/thong-tin/blog/thanh-toan-online-bang-the-tin-dung")</f>
        <v>https://techcombank.com/thong-tin/blog/thanh-toan-online-bang-the-tin-dung</v>
      </c>
      <c r="BU34" s="30" t="str">
        <f>IFERROR(__xludf.DUMMYFUNCTION("""COMPUTED_VALUE"""),"cách hủy thẻ tín dụng")</f>
        <v>cách hủy thẻ tín dụng</v>
      </c>
      <c r="BV34" s="34" t="str">
        <f>IFERROR(__xludf.DUMMYFUNCTION("""COMPUTED_VALUE"""),"https://techcombank.com/thong-tin/blog/uu-dai-mo-the-tin-dung")</f>
        <v>https://techcombank.com/thong-tin/blog/uu-dai-mo-the-tin-dung</v>
      </c>
      <c r="BW34" s="30" t="str">
        <f>IFERROR(__xludf.DUMMYFUNCTION("""COMPUTED_VALUE"""),"cách hủy thẻ tín dụng")</f>
        <v>cách hủy thẻ tín dụng</v>
      </c>
      <c r="BX34" s="34" t="str">
        <f>IFERROR(__xludf.DUMMYFUNCTION("""COMPUTED_VALUE"""),"https://techcombank.com/thong-tin/blog/the-tin-dung-co-chuyen-khoan-duoc-khong")</f>
        <v>https://techcombank.com/thong-tin/blog/the-tin-dung-co-chuyen-khoan-duoc-khong</v>
      </c>
      <c r="BY34" s="30" t="str">
        <f>IFERROR(__xludf.DUMMYFUNCTION("""COMPUTED_VALUE"""),"cách hủy thẻ tín dụng")</f>
        <v>cách hủy thẻ tín dụng</v>
      </c>
      <c r="BZ34" s="34" t="str">
        <f>IFERROR(__xludf.DUMMYFUNCTION("""COMPUTED_VALUE"""),"https://techcombank.com/thong-tin/blog/the-tin-dung-techcombank-visa-eco")</f>
        <v>https://techcombank.com/thong-tin/blog/the-tin-dung-techcombank-visa-eco</v>
      </c>
      <c r="CA34" s="30" t="str">
        <f>IFERROR(__xludf.DUMMYFUNCTION("""COMPUTED_VALUE"""),"cách hủy thẻ tín dụng")</f>
        <v>cách hủy thẻ tín dụng</v>
      </c>
      <c r="CB34" s="34" t="str">
        <f>IFERROR(__xludf.DUMMYFUNCTION("""COMPUTED_VALUE"""),"https://techcombank.com/thong-tin/blog/mo-the-tin-dung-han-muc-cao")</f>
        <v>https://techcombank.com/thong-tin/blog/mo-the-tin-dung-han-muc-cao</v>
      </c>
      <c r="CC34" s="30" t="str">
        <f>IFERROR(__xludf.DUMMYFUNCTION("""COMPUTED_VALUE"""),"cách hủy thẻ tín dụng")</f>
        <v>cách hủy thẻ tín dụng</v>
      </c>
      <c r="CD34" s="34" t="str">
        <f>IFERROR(__xludf.DUMMYFUNCTION("""COMPUTED_VALUE"""),"https://techcombank.com/thong-tin/blog/uu-dai-the-tin-dung")</f>
        <v>https://techcombank.com/thong-tin/blog/uu-dai-the-tin-dung</v>
      </c>
      <c r="CE34" s="30" t="str">
        <f>IFERROR(__xludf.DUMMYFUNCTION("""COMPUTED_VALUE"""),"hủy thẻ tín dụng")</f>
        <v>hủy thẻ tín dụng</v>
      </c>
      <c r="CF34" s="34" t="str">
        <f>IFERROR(__xludf.DUMMYFUNCTION("""COMPUTED_VALUE"""),"https://techcombank.com/thong-tin/blog/3d-secure")</f>
        <v>https://techcombank.com/thong-tin/blog/3d-secure</v>
      </c>
      <c r="CG34" s="30" t="str">
        <f>IFERROR(__xludf.DUMMYFUNCTION("""COMPUTED_VALUE"""),"cách hủy thẻ tín dụng")</f>
        <v>cách hủy thẻ tín dụng</v>
      </c>
      <c r="CH34" s="34" t="str">
        <f>IFERROR(__xludf.DUMMYFUNCTION("""COMPUTED_VALUE"""),"https://techcombank.com/thong-tin/blog/lai-suat-the-tin-dung")</f>
        <v>https://techcombank.com/thong-tin/blog/lai-suat-the-tin-dung</v>
      </c>
      <c r="CI34" s="30" t="str">
        <f>IFERROR(__xludf.DUMMYFUNCTION("""COMPUTED_VALUE"""),"cách hủy thẻ tín dụng")</f>
        <v>cách hủy thẻ tín dụng</v>
      </c>
      <c r="CJ34" s="34" t="str">
        <f>IFERROR(__xludf.DUMMYFUNCTION("""COMPUTED_VALUE"""),"https://techcombank.com/thong-tin/blog/mo-the-tin-dung-co-loi-ich-gi")</f>
        <v>https://techcombank.com/thong-tin/blog/mo-the-tin-dung-co-loi-ich-gi</v>
      </c>
      <c r="CK34" s="30" t="str">
        <f>IFERROR(__xludf.DUMMYFUNCTION("""COMPUTED_VALUE"""),"cách hủy thẻ tín dụng")</f>
        <v>cách hủy thẻ tín dụng</v>
      </c>
      <c r="CL34" s="34" t="str">
        <f>IFERROR(__xludf.DUMMYFUNCTION("""COMPUTED_VALUE"""),"https://techcombank.com/thong-tin/blog/the-tin-dung-ao")</f>
        <v>https://techcombank.com/thong-tin/blog/the-tin-dung-ao</v>
      </c>
      <c r="CM34" s="30" t="str">
        <f>IFERROR(__xludf.DUMMYFUNCTION("""COMPUTED_VALUE"""),"cách hủy thẻ tín dụng")</f>
        <v>cách hủy thẻ tín dụng</v>
      </c>
      <c r="CN34" s="34" t="str">
        <f>IFERROR(__xludf.DUMMYFUNCTION("""COMPUTED_VALUE"""),"https://techcombank.com/thong-tin/blog/thanh-toan-toi-thieu-the-tin-dung")</f>
        <v>https://techcombank.com/thong-tin/blog/thanh-toan-toi-thieu-the-tin-dung</v>
      </c>
      <c r="CO34" s="30" t="str">
        <f>IFERROR(__xludf.DUMMYFUNCTION("""COMPUTED_VALUE"""),"cách hủy thẻ tín dụng")</f>
        <v>cách hủy thẻ tín dụng</v>
      </c>
      <c r="CP34" s="34" t="str">
        <f>IFERROR(__xludf.DUMMYFUNCTION("""COMPUTED_VALUE"""),"https://techcombank.com/thong-tin/blog/tra-gop-shopee")</f>
        <v>https://techcombank.com/thong-tin/blog/tra-gop-shopee</v>
      </c>
      <c r="CQ34" s="30" t="str">
        <f>IFERROR(__xludf.DUMMYFUNCTION("""COMPUTED_VALUE"""),"cách hủy thẻ tín dụng")</f>
        <v>cách hủy thẻ tín dụng</v>
      </c>
      <c r="CR34" s="34" t="str">
        <f>IFERROR(__xludf.DUMMYFUNCTION("""COMPUTED_VALUE"""),"https://techcombank.com/thong-tin/blog/thanh-toan-tien-dien-bang-the-tin-dung")</f>
        <v>https://techcombank.com/thong-tin/blog/thanh-toan-tien-dien-bang-the-tin-dung</v>
      </c>
      <c r="CS34" s="30" t="str">
        <f>IFERROR(__xludf.DUMMYFUNCTION("""COMPUTED_VALUE"""),"cách hủy thẻ tín dụng")</f>
        <v>cách hủy thẻ tín dụng</v>
      </c>
      <c r="CT34" s="34" t="str">
        <f>IFERROR(__xludf.DUMMYFUNCTION("""COMPUTED_VALUE"""),"https://techcombank.com/thong-tin/blog/thanh-toan-tra-gop-qua-the-tin-dung")</f>
        <v>https://techcombank.com/thong-tin/blog/thanh-toan-tra-gop-qua-the-tin-dung</v>
      </c>
      <c r="CU34" s="30" t="str">
        <f>IFERROR(__xludf.DUMMYFUNCTION("""COMPUTED_VALUE"""),"hủy thẻ tín dụng")</f>
        <v>hủy thẻ tín dụng</v>
      </c>
      <c r="CV34" s="34" t="str">
        <f>IFERROR(__xludf.DUMMYFUNCTION("""COMPUTED_VALUE"""),"https://techcombank.com/thong-tin/blog/tra-gop-lazada")</f>
        <v>https://techcombank.com/thong-tin/blog/tra-gop-lazada</v>
      </c>
      <c r="CW34" s="30" t="str">
        <f>IFERROR(__xludf.DUMMYFUNCTION("""COMPUTED_VALUE"""),"cách hủy thẻ tín dụng")</f>
        <v>cách hủy thẻ tín dụng</v>
      </c>
      <c r="CX34" s="34" t="str">
        <f>IFERROR(__xludf.DUMMYFUNCTION("""COMPUTED_VALUE"""),"https://techcombank.com/thong-tin/blog/lam-the-tin-dung")</f>
        <v>https://techcombank.com/thong-tin/blog/lam-the-tin-dung</v>
      </c>
      <c r="CY34" s="30" t="str">
        <f>IFERROR(__xludf.DUMMYFUNCTION("""COMPUTED_VALUE"""),"hủy thẻ tín dụng")</f>
        <v>hủy thẻ tín dụng</v>
      </c>
      <c r="CZ34" s="34" t="str">
        <f>IFERROR(__xludf.DUMMYFUNCTION("""COMPUTED_VALUE"""),"https://techcombank.com/thong-tin/blog/the-tin-dung-co-ma-pin-khong")</f>
        <v>https://techcombank.com/thong-tin/blog/the-tin-dung-co-ma-pin-khong</v>
      </c>
      <c r="DA34" s="30" t="str">
        <f>IFERROR(__xludf.DUMMYFUNCTION("""COMPUTED_VALUE"""),"hủy thẻ tín dụng")</f>
        <v>hủy thẻ tín dụng</v>
      </c>
      <c r="DB34" s="34" t="str">
        <f>IFERROR(__xludf.DUMMYFUNCTION("""COMPUTED_VALUE"""),"https://techcombank.com/thong-tin/blog/cic-la-gi")</f>
        <v>https://techcombank.com/thong-tin/blog/cic-la-gi</v>
      </c>
      <c r="DC34" s="30" t="str">
        <f>IFERROR(__xludf.DUMMYFUNCTION("""COMPUTED_VALUE"""),"cách hủy thẻ tín dụng")</f>
        <v>cách hủy thẻ tín dụng</v>
      </c>
      <c r="DD34" s="34" t="str">
        <f>IFERROR(__xludf.DUMMYFUNCTION("""COMPUTED_VALUE"""),"https://techcombank.com/thong-tin/blog/sao-ke-the-tin-dung-la-gi")</f>
        <v>https://techcombank.com/thong-tin/blog/sao-ke-the-tin-dung-la-gi</v>
      </c>
      <c r="DE34" s="30" t="str">
        <f>IFERROR(__xludf.DUMMYFUNCTION("""COMPUTED_VALUE"""),"hủy thẻ tín dụng")</f>
        <v>hủy thẻ tín dụng</v>
      </c>
      <c r="DF34" s="34" t="str">
        <f>IFERROR(__xludf.DUMMYFUNCTION("""COMPUTED_VALUE"""),"https://techcombank.com/thong-tin/blog/the-tin-dung-noi-dia")</f>
        <v>https://techcombank.com/thong-tin/blog/the-tin-dung-noi-dia</v>
      </c>
      <c r="DG34" s="30" t="str">
        <f>IFERROR(__xludf.DUMMYFUNCTION("""COMPUTED_VALUE"""),"hủy thẻ tín dụng")</f>
        <v>hủy thẻ tín dụng</v>
      </c>
      <c r="DH34" s="34" t="str">
        <f>IFERROR(__xludf.DUMMYFUNCTION("""COMPUTED_VALUE"""),"https://techcombank.com/thong-tin/blog/lam-ho-so-tra-gop-dien-thoai")</f>
        <v>https://techcombank.com/thong-tin/blog/lam-ho-so-tra-gop-dien-thoai</v>
      </c>
      <c r="DI34" s="30"/>
      <c r="DJ34" s="30"/>
      <c r="DK34" s="30"/>
      <c r="DL34" s="30"/>
      <c r="DM34" s="30"/>
      <c r="DN34" s="30"/>
      <c r="DO34" s="30"/>
      <c r="DP34" s="30"/>
      <c r="DQ34" s="30"/>
      <c r="DR34" s="30"/>
      <c r="DS34" s="30"/>
      <c r="DT34" s="30"/>
      <c r="DU34" s="30"/>
      <c r="DV34" s="30"/>
      <c r="DW34" s="30"/>
      <c r="DX34" s="30"/>
      <c r="DY34" s="30"/>
      <c r="DZ34" s="30"/>
      <c r="EA34" s="30"/>
      <c r="EB34" s="30"/>
      <c r="EC34" s="30"/>
      <c r="ED34" s="30"/>
      <c r="EE34" s="30"/>
      <c r="EF34" s="30"/>
      <c r="EG34" s="30"/>
      <c r="EH34" s="30"/>
      <c r="EI34" s="30"/>
      <c r="EJ34" s="30"/>
      <c r="EK34" s="30"/>
      <c r="EL34" s="30"/>
      <c r="EM34" s="30"/>
      <c r="EN34" s="30"/>
      <c r="EO34" s="30"/>
      <c r="EP34" s="30"/>
      <c r="EQ34" s="30"/>
      <c r="ER34" s="30"/>
      <c r="ES34" s="30"/>
      <c r="ET34" s="30"/>
      <c r="EU34" s="30"/>
      <c r="EV34" s="30"/>
      <c r="EW34" s="30"/>
      <c r="EX34" s="30"/>
      <c r="EY34" s="30"/>
      <c r="EZ34" s="30"/>
      <c r="FA34" s="30"/>
      <c r="FB34" s="30"/>
      <c r="FC34" s="30"/>
      <c r="FD34" s="30"/>
      <c r="FE34" s="30"/>
      <c r="FF34" s="30"/>
      <c r="FG34" s="30"/>
      <c r="FH34" s="30"/>
      <c r="FI34" s="30"/>
      <c r="FJ34" s="30"/>
      <c r="FK34" s="30"/>
      <c r="FL34" s="30"/>
      <c r="FM34" s="30"/>
      <c r="FN34" s="30"/>
      <c r="FO34" s="30"/>
      <c r="FP34" s="30"/>
      <c r="FQ34" s="30"/>
      <c r="FR34" s="30"/>
      <c r="FS34" s="30"/>
      <c r="FT34" s="30"/>
      <c r="FU34" s="30"/>
      <c r="FV34" s="30"/>
      <c r="FW34" s="30"/>
      <c r="FX34" s="30"/>
      <c r="FY34" s="30"/>
      <c r="FZ34" s="30"/>
      <c r="GA34" s="30"/>
      <c r="GB34" s="30"/>
      <c r="GC34" s="30"/>
      <c r="GD34" s="30"/>
      <c r="GE34" s="30"/>
      <c r="GF34" s="30"/>
      <c r="GG34" s="30"/>
      <c r="GH34" s="30"/>
      <c r="GI34" s="30"/>
      <c r="GJ34" s="30"/>
      <c r="GK34" s="30"/>
      <c r="GL34" s="30"/>
      <c r="GM34" s="30"/>
      <c r="GN34" s="30"/>
      <c r="GO34" s="30"/>
      <c r="GP34" s="30"/>
      <c r="GQ34" s="30"/>
      <c r="GR34" s="30"/>
      <c r="GS34" s="30"/>
      <c r="GT34" s="30"/>
      <c r="GU34" s="30"/>
      <c r="GV34" s="30"/>
      <c r="GW34" s="30"/>
      <c r="GX34" s="30"/>
      <c r="GY34" s="30"/>
      <c r="GZ34" s="30"/>
      <c r="HA34" s="30"/>
      <c r="HB34" s="30"/>
      <c r="HC34" s="30"/>
      <c r="HD34" s="30"/>
      <c r="HE34" s="30"/>
      <c r="HF34" s="30"/>
      <c r="HG34" s="30"/>
      <c r="HH34" s="30"/>
      <c r="HI34" s="30"/>
      <c r="HJ34" s="30"/>
      <c r="HK34" s="30"/>
      <c r="HL34" s="30"/>
      <c r="HM34" s="30"/>
      <c r="HN34" s="30"/>
      <c r="HO34" s="30"/>
      <c r="HP34" s="30"/>
      <c r="HQ34" s="30"/>
      <c r="HR34" s="30"/>
      <c r="HS34" s="30"/>
      <c r="HT34" s="30"/>
      <c r="HU34" s="30"/>
      <c r="HV34" s="30"/>
      <c r="HW34" s="30"/>
      <c r="HX34" s="30"/>
      <c r="HY34" s="30"/>
      <c r="HZ34" s="30"/>
      <c r="IA34" s="30"/>
      <c r="IB34" s="30"/>
      <c r="IC34" s="30"/>
      <c r="ID34" s="30"/>
      <c r="IE34" s="30"/>
      <c r="IF34" s="30"/>
      <c r="IG34" s="30"/>
      <c r="IH34" s="30"/>
      <c r="II34" s="30"/>
      <c r="IJ34" s="30"/>
      <c r="IK34" s="30"/>
      <c r="IL34" s="30"/>
      <c r="IM34" s="30"/>
      <c r="IN34" s="30"/>
      <c r="IO34" s="30"/>
      <c r="IP34" s="30"/>
      <c r="IQ34" s="30"/>
      <c r="IR34" s="30"/>
      <c r="IS34" s="30"/>
      <c r="IT34" s="30"/>
      <c r="IU34" s="30"/>
      <c r="IV34" s="30"/>
      <c r="IW34" s="30"/>
      <c r="IX34" s="30"/>
      <c r="IY34" s="30"/>
      <c r="IZ34" s="30"/>
      <c r="JA34" s="30"/>
      <c r="JB34" s="30"/>
      <c r="JC34" s="30"/>
      <c r="JD34" s="30"/>
      <c r="JE34" s="30"/>
      <c r="JF34" s="30"/>
      <c r="JG34" s="30"/>
      <c r="JH34" s="30"/>
      <c r="JI34" s="30"/>
      <c r="JJ34" s="30"/>
      <c r="JK34" s="30"/>
      <c r="JL34" s="30"/>
      <c r="JM34" s="30"/>
      <c r="JN34" s="30"/>
      <c r="JO34" s="30"/>
      <c r="JP34" s="30"/>
      <c r="JQ34" s="30"/>
      <c r="JR34" s="30"/>
      <c r="JS34" s="30"/>
      <c r="JT34" s="30"/>
      <c r="JU34" s="30"/>
      <c r="JV34" s="30"/>
      <c r="JW34" s="30"/>
      <c r="JX34" s="30"/>
      <c r="JY34" s="30"/>
      <c r="JZ34" s="30"/>
      <c r="KA34" s="30"/>
      <c r="KB34" s="30"/>
      <c r="KC34" s="30"/>
      <c r="KD34" s="30"/>
      <c r="KE34" s="30"/>
      <c r="KF34" s="30"/>
      <c r="KG34" s="30"/>
      <c r="KH34" s="30"/>
      <c r="KI34" s="30"/>
      <c r="KJ34" s="30"/>
      <c r="KK34" s="30"/>
      <c r="KL34" s="30"/>
      <c r="KM34" s="30"/>
      <c r="KN34" s="30"/>
      <c r="KO34" s="30"/>
      <c r="KP34" s="30"/>
      <c r="KQ34" s="30"/>
      <c r="KR34" s="30"/>
      <c r="KS34" s="30"/>
      <c r="KT34" s="30"/>
      <c r="KU34" s="30"/>
      <c r="KV34" s="30"/>
      <c r="KW34" s="30"/>
      <c r="KX34" s="30"/>
      <c r="KY34" s="30"/>
      <c r="KZ34" s="30"/>
      <c r="LA34" s="30"/>
      <c r="LB34" s="30"/>
      <c r="LC34" s="30"/>
      <c r="LD34" s="30"/>
      <c r="LE34" s="30"/>
      <c r="LF34" s="30"/>
      <c r="LG34" s="30"/>
      <c r="LH34" s="30"/>
      <c r="LI34" s="30"/>
      <c r="LJ34" s="30"/>
      <c r="LK34" s="30"/>
      <c r="LL34" s="30"/>
      <c r="LM34" s="30"/>
      <c r="LN34" s="30"/>
      <c r="LO34" s="30"/>
      <c r="LP34" s="30"/>
      <c r="LQ34" s="30"/>
      <c r="LR34" s="30"/>
      <c r="LS34" s="30"/>
      <c r="LT34" s="30"/>
      <c r="LU34" s="30"/>
      <c r="LV34" s="30"/>
      <c r="LW34" s="30"/>
      <c r="LX34" s="30"/>
      <c r="LY34" s="30"/>
      <c r="LZ34" s="30"/>
      <c r="MA34" s="30"/>
      <c r="MB34" s="30"/>
      <c r="MC34" s="30"/>
      <c r="MD34" s="30"/>
      <c r="ME34" s="30"/>
      <c r="MF34" s="30"/>
      <c r="MG34" s="30"/>
      <c r="MH34" s="30"/>
      <c r="MI34" s="30"/>
      <c r="MJ34" s="30"/>
      <c r="MK34" s="30"/>
      <c r="ML34" s="30"/>
      <c r="MM34" s="30"/>
      <c r="MN34" s="30"/>
      <c r="MO34" s="30"/>
      <c r="MP34" s="30"/>
      <c r="MQ34" s="30"/>
      <c r="MR34" s="30"/>
      <c r="MS34" s="30"/>
      <c r="MT34" s="30"/>
      <c r="MU34" s="30"/>
      <c r="MV34" s="30"/>
      <c r="MW34" s="30"/>
      <c r="MX34" s="30"/>
      <c r="MY34" s="30"/>
      <c r="MZ34" s="30"/>
      <c r="NA34" s="30"/>
      <c r="NB34" s="30"/>
      <c r="NC34" s="30"/>
      <c r="ND34" s="30"/>
      <c r="NE34" s="30"/>
      <c r="NF34" s="30"/>
      <c r="NG34" s="30"/>
      <c r="NH34" s="30"/>
      <c r="NI34" s="30"/>
      <c r="NJ34" s="30"/>
      <c r="NK34" s="30"/>
      <c r="NL34" s="30"/>
      <c r="NM34" s="30"/>
      <c r="NN34" s="30"/>
      <c r="NO34" s="30"/>
      <c r="NP34" s="30"/>
      <c r="NQ34" s="30"/>
      <c r="NR34" s="30"/>
      <c r="NS34" s="30"/>
      <c r="NT34" s="30"/>
      <c r="NU34" s="30"/>
      <c r="NV34" s="30"/>
      <c r="NW34" s="30"/>
      <c r="NX34" s="30"/>
      <c r="NY34" s="30"/>
      <c r="NZ34" s="30"/>
      <c r="OA34" s="30"/>
      <c r="OB34" s="30"/>
      <c r="OC34" s="30"/>
      <c r="OD34" s="30"/>
      <c r="OE34" s="30"/>
      <c r="OF34" s="30"/>
      <c r="OG34" s="30"/>
      <c r="OH34" s="30"/>
      <c r="OI34" s="30"/>
      <c r="OJ34" s="30"/>
      <c r="OK34" s="30"/>
      <c r="OL34" s="30"/>
      <c r="OM34" s="30"/>
      <c r="ON34" s="30"/>
      <c r="OO34" s="30"/>
      <c r="OP34" s="30"/>
      <c r="OQ34" s="30"/>
      <c r="OR34" s="30"/>
      <c r="OS34" s="30"/>
      <c r="OT34" s="30"/>
      <c r="OU34" s="30"/>
      <c r="OV34" s="30"/>
    </row>
    <row r="35" ht="18.0" customHeight="1">
      <c r="A35" s="29">
        <v>34.0</v>
      </c>
      <c r="B35" s="30" t="s">
        <v>3094</v>
      </c>
      <c r="C35" s="31" t="s">
        <v>3317</v>
      </c>
      <c r="D35" s="30" t="s">
        <v>2515</v>
      </c>
      <c r="E35" s="29">
        <v>30.0</v>
      </c>
      <c r="F35" s="29">
        <f>COUNTIF('Tổng hợp 75 trang đích'!$B$2:$B$3400,$D35)</f>
        <v>30</v>
      </c>
      <c r="G35" s="29">
        <f>COUNTIFS('Tổng hợp 75 trang đích'!$B$2:$B$3400,$D35,'Tổng hợp 75 trang đích'!$K$2:$K$3400,"PHÙ HỢP CAO")</f>
        <v>1</v>
      </c>
      <c r="H35" s="29">
        <f>COUNTIFS('Tổng hợp 75 trang đích'!$B$2:$B$3400,$D35,'Tổng hợp 75 trang đích'!$K$2:$K$3400,"CÓ THỂ ĐI")</f>
        <v>6</v>
      </c>
      <c r="I35" s="29">
        <f>COUNTIFS('Tổng hợp 75 trang đích'!$B$2:$B$3400,$D35,'Tổng hợp 75 trang đích'!$K$2:$K$3400,"CẦN SOÁT")</f>
        <v>23</v>
      </c>
      <c r="J35" s="32" t="s">
        <v>714</v>
      </c>
      <c r="K35" s="32" t="b">
        <v>0</v>
      </c>
      <c r="L35" s="33" t="s">
        <v>52</v>
      </c>
      <c r="M35" s="30" t="str">
        <f>IFERROR(__xludf.DUMMYFUNCTION("IFERROR(TOROW(CHOOSECOLS(SORT(FILTER({'Tổng hợp 75 trang đích'!$J$2:$J$3400,'Tổng hợp 75 trang đích'!$I$2:$I$3400,MATCH('Tổng hợp 75 trang đích'!$K$2:$K$3400,{""PHÙ HỢP CAO"",""CÓ THỂ ĐI"",""CẦN SOÁT""},0)},'Tổng hợp 75 trang đích'!$B$2:$B$3400=$D35),3,TR"&amp;"UE),1,2)),"""")"),"xếp hạng tín dụng cá nhân")</f>
        <v>xếp hạng tín dụng cá nhân</v>
      </c>
      <c r="N35" s="34" t="str">
        <f>IFERROR(__xludf.DUMMYFUNCTION("""COMPUTED_VALUE"""),"https://techcombank.com/thong-tin/blog/lich-su-tin-dung")</f>
        <v>https://techcombank.com/thong-tin/blog/lich-su-tin-dung</v>
      </c>
      <c r="O35" s="30" t="str">
        <f>IFERROR(__xludf.DUMMYFUNCTION("""COMPUTED_VALUE"""),"xếp hạng tín dụng")</f>
        <v>xếp hạng tín dụng</v>
      </c>
      <c r="P35" s="34" t="str">
        <f>IFERROR(__xludf.DUMMYFUNCTION("""COMPUTED_VALUE"""),"https://techcombank.com/thong-tin/blog/cach-su-dung-the-tin-dung")</f>
        <v>https://techcombank.com/thong-tin/blog/cach-su-dung-the-tin-dung</v>
      </c>
      <c r="Q35" s="30" t="str">
        <f>IFERROR(__xludf.DUMMYFUNCTION("""COMPUTED_VALUE"""),"xếp hạng tín dụng")</f>
        <v>xếp hạng tín dụng</v>
      </c>
      <c r="R35" s="34" t="str">
        <f>IFERROR(__xludf.DUMMYFUNCTION("""COMPUTED_VALUE"""),"https://techcombank.com/thong-tin/blog/no-xau-co-vay-the-chap-duoc-khong")</f>
        <v>https://techcombank.com/thong-tin/blog/no-xau-co-vay-the-chap-duoc-khong</v>
      </c>
      <c r="S35" s="30" t="str">
        <f>IFERROR(__xludf.DUMMYFUNCTION("""COMPUTED_VALUE"""),"xếp hạng tín dụng cá nhân")</f>
        <v>xếp hạng tín dụng cá nhân</v>
      </c>
      <c r="T35" s="34" t="str">
        <f>IFERROR(__xludf.DUMMYFUNCTION("""COMPUTED_VALUE"""),"https://techcombank.com/thong-tin/blog/tin-dung-la-gi")</f>
        <v>https://techcombank.com/thong-tin/blog/tin-dung-la-gi</v>
      </c>
      <c r="U35" s="30" t="str">
        <f>IFERROR(__xludf.DUMMYFUNCTION("""COMPUTED_VALUE"""),"xếp hạng tín dụng")</f>
        <v>xếp hạng tín dụng</v>
      </c>
      <c r="V35" s="34" t="str">
        <f>IFERROR(__xludf.DUMMYFUNCTION("""COMPUTED_VALUE"""),"https://techcombank.com/thong-tin/blog/du-no-tin-dung-la-gi")</f>
        <v>https://techcombank.com/thong-tin/blog/du-no-tin-dung-la-gi</v>
      </c>
      <c r="W35" s="30" t="str">
        <f>IFERROR(__xludf.DUMMYFUNCTION("""COMPUTED_VALUE"""),"xếp hạng tín dụng")</f>
        <v>xếp hạng tín dụng</v>
      </c>
      <c r="X35" s="34" t="str">
        <f>IFERROR(__xludf.DUMMYFUNCTION("""COMPUTED_VALUE"""),"https://techcombank.com/thong-tin/blog/dao-han-la-gi")</f>
        <v>https://techcombank.com/thong-tin/blog/dao-han-la-gi</v>
      </c>
      <c r="Y35" s="30" t="str">
        <f>IFERROR(__xludf.DUMMYFUNCTION("""COMPUTED_VALUE"""),"xếp hạng tín dụng")</f>
        <v>xếp hạng tín dụng</v>
      </c>
      <c r="Z35" s="34" t="str">
        <f>IFERROR(__xludf.DUMMYFUNCTION("""COMPUTED_VALUE"""),"https://techcombank.com/thong-tin/blog/vay-tin-chap-ho-kinh-doanh")</f>
        <v>https://techcombank.com/thong-tin/blog/vay-tin-chap-ho-kinh-doanh</v>
      </c>
      <c r="AA35" s="30" t="str">
        <f>IFERROR(__xludf.DUMMYFUNCTION("""COMPUTED_VALUE"""),"xếp hạng tín dụng cá nhân")</f>
        <v>xếp hạng tín dụng cá nhân</v>
      </c>
      <c r="AB35" s="34" t="str">
        <f>IFERROR(__xludf.DUMMYFUNCTION("""COMPUTED_VALUE"""),"https://techcombank.com/thong-tin/blog/vay-the-chap-khong-tra-duoc")</f>
        <v>https://techcombank.com/thong-tin/blog/vay-the-chap-khong-tra-duoc</v>
      </c>
      <c r="AC35" s="30" t="str">
        <f>IFERROR(__xludf.DUMMYFUNCTION("""COMPUTED_VALUE"""),"xếp hạng tín dụng cá nhân")</f>
        <v>xếp hạng tín dụng cá nhân</v>
      </c>
      <c r="AD35" s="34" t="str">
        <f>IFERROR(__xludf.DUMMYFUNCTION("""COMPUTED_VALUE"""),"https://techcombank.com/thong-tin/blog/diem-tin-dung")</f>
        <v>https://techcombank.com/thong-tin/blog/diem-tin-dung</v>
      </c>
      <c r="AE35" s="30" t="str">
        <f>IFERROR(__xludf.DUMMYFUNCTION("""COMPUTED_VALUE"""),"xếp hạng tín dụng cá nhân")</f>
        <v>xếp hạng tín dụng cá nhân</v>
      </c>
      <c r="AF35" s="34" t="str">
        <f>IFERROR(__xludf.DUMMYFUNCTION("""COMPUTED_VALUE"""),"https://techcombank.com/thong-tin/blog/kiem-tra-no-xau")</f>
        <v>https://techcombank.com/thong-tin/blog/kiem-tra-no-xau</v>
      </c>
      <c r="AG35" s="30" t="str">
        <f>IFERROR(__xludf.DUMMYFUNCTION("""COMPUTED_VALUE"""),"xếp hạng tín dụng")</f>
        <v>xếp hạng tín dụng</v>
      </c>
      <c r="AH35" s="34" t="str">
        <f>IFERROR(__xludf.DUMMYFUNCTION("""COMPUTED_VALUE"""),"https://techcombank.com/thong-tin/blog/no-xau")</f>
        <v>https://techcombank.com/thong-tin/blog/no-xau</v>
      </c>
      <c r="AI35" s="30" t="str">
        <f>IFERROR(__xludf.DUMMYFUNCTION("""COMPUTED_VALUE"""),"xếp hạng tín dụng")</f>
        <v>xếp hạng tín dụng</v>
      </c>
      <c r="AJ35" s="34" t="str">
        <f>IFERROR(__xludf.DUMMYFUNCTION("""COMPUTED_VALUE"""),"https://techcombank.com/thong-tin/blog/no-xau-la-gi")</f>
        <v>https://techcombank.com/thong-tin/blog/no-xau-la-gi</v>
      </c>
      <c r="AK35" s="30" t="str">
        <f>IFERROR(__xludf.DUMMYFUNCTION("""COMPUTED_VALUE"""),"xếp hạng tín dụng")</f>
        <v>xếp hạng tín dụng</v>
      </c>
      <c r="AL35" s="34" t="str">
        <f>IFERROR(__xludf.DUMMYFUNCTION("""COMPUTED_VALUE"""),"https://techcombank.com/thong-tin/blog/thi-truong-trai-phieu-co-hoi-dau-tu-trai-phieu-vang-du-lai-suat-thap")</f>
        <v>https://techcombank.com/thong-tin/blog/thi-truong-trai-phieu-co-hoi-dau-tu-trai-phieu-vang-du-lai-suat-thap</v>
      </c>
      <c r="AM35" s="30" t="str">
        <f>IFERROR(__xludf.DUMMYFUNCTION("""COMPUTED_VALUE"""),"xếp hạng tín dụng")</f>
        <v>xếp hạng tín dụng</v>
      </c>
      <c r="AN35" s="34" t="str">
        <f>IFERROR(__xludf.DUMMYFUNCTION("""COMPUTED_VALUE"""),"https://techcombank.com/thong-tin/blog/qua-han-thanh-toan-the-tin-dung-1-ngay")</f>
        <v>https://techcombank.com/thong-tin/blog/qua-han-thanh-toan-the-tin-dung-1-ngay</v>
      </c>
      <c r="AO35" s="30" t="str">
        <f>IFERROR(__xludf.DUMMYFUNCTION("""COMPUTED_VALUE"""),"xếp hạng tín dụng")</f>
        <v>xếp hạng tín dụng</v>
      </c>
      <c r="AP35" s="34" t="str">
        <f>IFERROR(__xludf.DUMMYFUNCTION("""COMPUTED_VALUE"""),"https://techcombank.com/thong-tin/blog/kinh-nghiem-vay-tien-mua-nha")</f>
        <v>https://techcombank.com/thong-tin/blog/kinh-nghiem-vay-tien-mua-nha</v>
      </c>
      <c r="AQ35" s="30" t="str">
        <f>IFERROR(__xludf.DUMMYFUNCTION("""COMPUTED_VALUE"""),"xếp hạng tín dụng cá nhân")</f>
        <v>xếp hạng tín dụng cá nhân</v>
      </c>
      <c r="AR35" s="34" t="str">
        <f>IFERROR(__xludf.DUMMYFUNCTION("""COMPUTED_VALUE"""),"https://techcombank.com/thong-tin/blog/no-xau-co-lam-the-visa-duoc-khong")</f>
        <v>https://techcombank.com/thong-tin/blog/no-xau-co-lam-the-visa-duoc-khong</v>
      </c>
      <c r="AS35" s="30" t="str">
        <f>IFERROR(__xludf.DUMMYFUNCTION("""COMPUTED_VALUE"""),"xếp hạng tín dụng cá nhân")</f>
        <v>xếp hạng tín dụng cá nhân</v>
      </c>
      <c r="AT35" s="34" t="str">
        <f>IFERROR(__xludf.DUMMYFUNCTION("""COMPUTED_VALUE"""),"https://techcombank.com/thong-tin/blog/thanh-toan-khoan-vay")</f>
        <v>https://techcombank.com/thong-tin/blog/thanh-toan-khoan-vay</v>
      </c>
      <c r="AU35" s="30" t="str">
        <f>IFERROR(__xludf.DUMMYFUNCTION("""COMPUTED_VALUE"""),"xếp hạng tín dụng cá nhân")</f>
        <v>xếp hạng tín dụng cá nhân</v>
      </c>
      <c r="AV35" s="34" t="str">
        <f>IFERROR(__xludf.DUMMYFUNCTION("""COMPUTED_VALUE"""),"https://techcombank.com/thong-tin/blog/nang-han-muc-tin-dung")</f>
        <v>https://techcombank.com/thong-tin/blog/nang-han-muc-tin-dung</v>
      </c>
      <c r="AW35" s="30" t="str">
        <f>IFERROR(__xludf.DUMMYFUNCTION("""COMPUTED_VALUE"""),"xếp hạng tín dụng cá nhân")</f>
        <v>xếp hạng tín dụng cá nhân</v>
      </c>
      <c r="AX35" s="34" t="str">
        <f>IFERROR(__xludf.DUMMYFUNCTION("""COMPUTED_VALUE"""),"https://techcombank.com/thong-tin/blog/spaylater")</f>
        <v>https://techcombank.com/thong-tin/blog/spaylater</v>
      </c>
      <c r="AY35" s="30" t="str">
        <f>IFERROR(__xludf.DUMMYFUNCTION("""COMPUTED_VALUE"""),"xếp hạng tín dụng")</f>
        <v>xếp hạng tín dụng</v>
      </c>
      <c r="AZ35" s="34" t="str">
        <f>IFERROR(__xludf.DUMMYFUNCTION("""COMPUTED_VALUE"""),"https://techcombank.com/thong-tin/blog/uu-dai-mua-ve-may-bay-bang-the-tin-dung")</f>
        <v>https://techcombank.com/thong-tin/blog/uu-dai-mua-ve-may-bay-bang-the-tin-dung</v>
      </c>
      <c r="BA35" s="30" t="str">
        <f>IFERROR(__xludf.DUMMYFUNCTION("""COMPUTED_VALUE"""),"xếp hạng tín dụng")</f>
        <v>xếp hạng tín dụng</v>
      </c>
      <c r="BB35" s="34" t="str">
        <f>IFERROR(__xludf.DUMMYFUNCTION("""COMPUTED_VALUE"""),"https://techcombank.com/thong-tin/blog/no-nhom-3")</f>
        <v>https://techcombank.com/thong-tin/blog/no-nhom-3</v>
      </c>
      <c r="BC35" s="30" t="str">
        <f>IFERROR(__xludf.DUMMYFUNCTION("""COMPUTED_VALUE"""),"xếp hạng tín dụng")</f>
        <v>xếp hạng tín dụng</v>
      </c>
      <c r="BD35" s="34" t="str">
        <f>IFERROR(__xludf.DUMMYFUNCTION("""COMPUTED_VALUE"""),"https://techcombank.com/thong-tin/blog/no-xau-nhom-2")</f>
        <v>https://techcombank.com/thong-tin/blog/no-xau-nhom-2</v>
      </c>
      <c r="BE35" s="30" t="str">
        <f>IFERROR(__xludf.DUMMYFUNCTION("""COMPUTED_VALUE"""),"xếp hạng tín dụng")</f>
        <v>xếp hạng tín dụng</v>
      </c>
      <c r="BF35" s="34" t="str">
        <f>IFERROR(__xludf.DUMMYFUNCTION("""COMPUTED_VALUE"""),"https://techcombank.com/thong-tin/blog/mo-so-tiet-kiem-can-bao-nhieu-tien")</f>
        <v>https://techcombank.com/thong-tin/blog/mo-so-tiet-kiem-can-bao-nhieu-tien</v>
      </c>
      <c r="BG35" s="30" t="str">
        <f>IFERROR(__xludf.DUMMYFUNCTION("""COMPUTED_VALUE"""),"xếp hạng tín dụng cá nhân")</f>
        <v>xếp hạng tín dụng cá nhân</v>
      </c>
      <c r="BH35" s="34" t="str">
        <f>IFERROR(__xludf.DUMMYFUNCTION("""COMPUTED_VALUE"""),"https://techcombank.com/thong-tin/blog/no-xau-mo-the-tin-dung-duoc-khong")</f>
        <v>https://techcombank.com/thong-tin/blog/no-xau-mo-the-tin-dung-duoc-khong</v>
      </c>
      <c r="BI35" s="30" t="str">
        <f>IFERROR(__xludf.DUMMYFUNCTION("""COMPUTED_VALUE"""),"xếp hạng tín dụng")</f>
        <v>xếp hạng tín dụng</v>
      </c>
      <c r="BJ35" s="34" t="str">
        <f>IFERROR(__xludf.DUMMYFUNCTION("""COMPUTED_VALUE"""),"https://techcombank.com/thong-tin/blog/no-the-tin-dung-qua-han")</f>
        <v>https://techcombank.com/thong-tin/blog/no-the-tin-dung-qua-han</v>
      </c>
      <c r="BK35" s="30" t="str">
        <f>IFERROR(__xludf.DUMMYFUNCTION("""COMPUTED_VALUE"""),"xếp hạng tín dụng cá nhân")</f>
        <v>xếp hạng tín dụng cá nhân</v>
      </c>
      <c r="BL35" s="34" t="str">
        <f>IFERROR(__xludf.DUMMYFUNCTION("""COMPUTED_VALUE"""),"https://techcombank.com/thong-tin/blog/luu-y-khi-su-dung-the-tin-dung")</f>
        <v>https://techcombank.com/thong-tin/blog/luu-y-khi-su-dung-the-tin-dung</v>
      </c>
      <c r="BM35" s="30" t="str">
        <f>IFERROR(__xludf.DUMMYFUNCTION("""COMPUTED_VALUE"""),"xếp hạng tín dụng cá nhân")</f>
        <v>xếp hạng tín dụng cá nhân</v>
      </c>
      <c r="BN35" s="34" t="str">
        <f>IFERROR(__xludf.DUMMYFUNCTION("""COMPUTED_VALUE"""),"https://techcombank.com/thong-tin/blog/han-muc-vay-the-chap-so-do")</f>
        <v>https://techcombank.com/thong-tin/blog/han-muc-vay-the-chap-so-do</v>
      </c>
      <c r="BO35" s="30" t="str">
        <f>IFERROR(__xludf.DUMMYFUNCTION("""COMPUTED_VALUE"""),"xếp hạng tín dụng cá nhân")</f>
        <v>xếp hạng tín dụng cá nhân</v>
      </c>
      <c r="BP35" s="34" t="str">
        <f>IFERROR(__xludf.DUMMYFUNCTION("""COMPUTED_VALUE"""),"https://techcombank.com/thong-tin/blog/vay-tin-chap-no-xau")</f>
        <v>https://techcombank.com/thong-tin/blog/vay-tin-chap-no-xau</v>
      </c>
      <c r="BQ35" s="30" t="str">
        <f>IFERROR(__xludf.DUMMYFUNCTION("""COMPUTED_VALUE"""),"xếp hạng tín dụng")</f>
        <v>xếp hạng tín dụng</v>
      </c>
      <c r="BR35" s="34" t="str">
        <f>IFERROR(__xludf.DUMMYFUNCTION("""COMPUTED_VALUE"""),"https://techcombank.com/thong-tin/blog/uu-dai-the-tin-dung-techcombank-signature")</f>
        <v>https://techcombank.com/thong-tin/blog/uu-dai-the-tin-dung-techcombank-signature</v>
      </c>
      <c r="BS35" s="30" t="str">
        <f>IFERROR(__xludf.DUMMYFUNCTION("""COMPUTED_VALUE"""),"xếp hạng tín dụng")</f>
        <v>xếp hạng tín dụng</v>
      </c>
      <c r="BT35" s="34" t="str">
        <f>IFERROR(__xludf.DUMMYFUNCTION("""COMPUTED_VALUE"""),"https://techcombank.com/thong-tin/blog/nghich-ly-nha-dau-tu-che-trai-phieu-lai-suat-cao-ua-ma-an-toan-du-lai-suat-thap-hon-05-1")</f>
        <v>https://techcombank.com/thong-tin/blog/nghich-ly-nha-dau-tu-che-trai-phieu-lai-suat-cao-ua-ma-an-toan-du-lai-suat-thap-hon-05-1</v>
      </c>
      <c r="BU35" s="30"/>
      <c r="BV35" s="30"/>
      <c r="BW35" s="30"/>
      <c r="BX35" s="30"/>
      <c r="BY35" s="30"/>
      <c r="BZ35" s="30"/>
      <c r="CA35" s="30"/>
      <c r="CB35" s="30"/>
      <c r="CC35" s="30"/>
      <c r="CD35" s="30"/>
      <c r="CE35" s="30"/>
      <c r="CF35" s="30"/>
      <c r="CG35" s="30"/>
      <c r="CH35" s="30"/>
      <c r="CI35" s="30"/>
      <c r="CJ35" s="30"/>
      <c r="CK35" s="30"/>
      <c r="CL35" s="30"/>
      <c r="CM35" s="30"/>
      <c r="CN35" s="30"/>
      <c r="CO35" s="30"/>
      <c r="CP35" s="30"/>
      <c r="CQ35" s="30"/>
      <c r="CR35" s="30"/>
      <c r="CS35" s="30"/>
      <c r="CT35" s="30"/>
      <c r="CU35" s="30"/>
      <c r="CV35" s="30"/>
      <c r="CW35" s="30"/>
      <c r="CX35" s="30"/>
      <c r="CY35" s="30"/>
      <c r="CZ35" s="30"/>
      <c r="DA35" s="30"/>
      <c r="DB35" s="30"/>
      <c r="DC35" s="30"/>
      <c r="DD35" s="30"/>
      <c r="DE35" s="30"/>
      <c r="DF35" s="30"/>
      <c r="DG35" s="30"/>
      <c r="DH35" s="30"/>
      <c r="DI35" s="30"/>
      <c r="DJ35" s="30"/>
      <c r="DK35" s="30"/>
      <c r="DL35" s="30"/>
      <c r="DM35" s="30"/>
      <c r="DN35" s="30"/>
      <c r="DO35" s="30"/>
      <c r="DP35" s="30"/>
      <c r="DQ35" s="30"/>
      <c r="DR35" s="30"/>
      <c r="DS35" s="30"/>
      <c r="DT35" s="30"/>
      <c r="DU35" s="30"/>
      <c r="DV35" s="30"/>
      <c r="DW35" s="30"/>
      <c r="DX35" s="30"/>
      <c r="DY35" s="30"/>
      <c r="DZ35" s="30"/>
      <c r="EA35" s="30"/>
      <c r="EB35" s="30"/>
      <c r="EC35" s="30"/>
      <c r="ED35" s="30"/>
      <c r="EE35" s="30"/>
      <c r="EF35" s="30"/>
      <c r="EG35" s="30"/>
      <c r="EH35" s="30"/>
      <c r="EI35" s="30"/>
      <c r="EJ35" s="30"/>
      <c r="EK35" s="30"/>
      <c r="EL35" s="30"/>
      <c r="EM35" s="30"/>
      <c r="EN35" s="30"/>
      <c r="EO35" s="30"/>
      <c r="EP35" s="30"/>
      <c r="EQ35" s="30"/>
      <c r="ER35" s="30"/>
      <c r="ES35" s="30"/>
      <c r="ET35" s="30"/>
      <c r="EU35" s="30"/>
      <c r="EV35" s="30"/>
      <c r="EW35" s="30"/>
      <c r="EX35" s="30"/>
      <c r="EY35" s="30"/>
      <c r="EZ35" s="30"/>
      <c r="FA35" s="30"/>
      <c r="FB35" s="30"/>
      <c r="FC35" s="30"/>
      <c r="FD35" s="30"/>
      <c r="FE35" s="30"/>
      <c r="FF35" s="30"/>
      <c r="FG35" s="30"/>
      <c r="FH35" s="30"/>
      <c r="FI35" s="30"/>
      <c r="FJ35" s="30"/>
      <c r="FK35" s="30"/>
      <c r="FL35" s="30"/>
      <c r="FM35" s="30"/>
      <c r="FN35" s="30"/>
      <c r="FO35" s="30"/>
      <c r="FP35" s="30"/>
      <c r="FQ35" s="30"/>
      <c r="FR35" s="30"/>
      <c r="FS35" s="30"/>
      <c r="FT35" s="30"/>
      <c r="FU35" s="30"/>
      <c r="FV35" s="30"/>
      <c r="FW35" s="30"/>
      <c r="FX35" s="30"/>
      <c r="FY35" s="30"/>
      <c r="FZ35" s="30"/>
      <c r="GA35" s="30"/>
      <c r="GB35" s="30"/>
      <c r="GC35" s="30"/>
      <c r="GD35" s="30"/>
      <c r="GE35" s="30"/>
      <c r="GF35" s="30"/>
      <c r="GG35" s="30"/>
      <c r="GH35" s="30"/>
      <c r="GI35" s="30"/>
      <c r="GJ35" s="30"/>
      <c r="GK35" s="30"/>
      <c r="GL35" s="30"/>
      <c r="GM35" s="30"/>
      <c r="GN35" s="30"/>
      <c r="GO35" s="30"/>
      <c r="GP35" s="30"/>
      <c r="GQ35" s="30"/>
      <c r="GR35" s="30"/>
      <c r="GS35" s="30"/>
      <c r="GT35" s="30"/>
      <c r="GU35" s="30"/>
      <c r="GV35" s="30"/>
      <c r="GW35" s="30"/>
      <c r="GX35" s="30"/>
      <c r="GY35" s="30"/>
      <c r="GZ35" s="30"/>
      <c r="HA35" s="30"/>
      <c r="HB35" s="30"/>
      <c r="HC35" s="30"/>
      <c r="HD35" s="30"/>
      <c r="HE35" s="30"/>
      <c r="HF35" s="30"/>
      <c r="HG35" s="30"/>
      <c r="HH35" s="30"/>
      <c r="HI35" s="30"/>
      <c r="HJ35" s="30"/>
      <c r="HK35" s="30"/>
      <c r="HL35" s="30"/>
      <c r="HM35" s="30"/>
      <c r="HN35" s="30"/>
      <c r="HO35" s="30"/>
      <c r="HP35" s="30"/>
      <c r="HQ35" s="30"/>
      <c r="HR35" s="30"/>
      <c r="HS35" s="30"/>
      <c r="HT35" s="30"/>
      <c r="HU35" s="30"/>
      <c r="HV35" s="30"/>
      <c r="HW35" s="30"/>
      <c r="HX35" s="30"/>
      <c r="HY35" s="30"/>
      <c r="HZ35" s="30"/>
      <c r="IA35" s="30"/>
      <c r="IB35" s="30"/>
      <c r="IC35" s="30"/>
      <c r="ID35" s="30"/>
      <c r="IE35" s="30"/>
      <c r="IF35" s="30"/>
      <c r="IG35" s="30"/>
      <c r="IH35" s="30"/>
      <c r="II35" s="30"/>
      <c r="IJ35" s="30"/>
      <c r="IK35" s="30"/>
      <c r="IL35" s="30"/>
      <c r="IM35" s="30"/>
      <c r="IN35" s="30"/>
      <c r="IO35" s="30"/>
      <c r="IP35" s="30"/>
      <c r="IQ35" s="30"/>
      <c r="IR35" s="30"/>
      <c r="IS35" s="30"/>
      <c r="IT35" s="30"/>
      <c r="IU35" s="30"/>
      <c r="IV35" s="30"/>
      <c r="IW35" s="30"/>
      <c r="IX35" s="30"/>
      <c r="IY35" s="30"/>
      <c r="IZ35" s="30"/>
      <c r="JA35" s="30"/>
      <c r="JB35" s="30"/>
      <c r="JC35" s="30"/>
      <c r="JD35" s="30"/>
      <c r="JE35" s="30"/>
      <c r="JF35" s="30"/>
      <c r="JG35" s="30"/>
      <c r="JH35" s="30"/>
      <c r="JI35" s="30"/>
      <c r="JJ35" s="30"/>
      <c r="JK35" s="30"/>
      <c r="JL35" s="30"/>
      <c r="JM35" s="30"/>
      <c r="JN35" s="30"/>
      <c r="JO35" s="30"/>
      <c r="JP35" s="30"/>
      <c r="JQ35" s="30"/>
      <c r="JR35" s="30"/>
      <c r="JS35" s="30"/>
      <c r="JT35" s="30"/>
      <c r="JU35" s="30"/>
      <c r="JV35" s="30"/>
      <c r="JW35" s="30"/>
      <c r="JX35" s="30"/>
      <c r="JY35" s="30"/>
      <c r="JZ35" s="30"/>
      <c r="KA35" s="30"/>
      <c r="KB35" s="30"/>
      <c r="KC35" s="30"/>
      <c r="KD35" s="30"/>
      <c r="KE35" s="30"/>
      <c r="KF35" s="30"/>
      <c r="KG35" s="30"/>
      <c r="KH35" s="30"/>
      <c r="KI35" s="30"/>
      <c r="KJ35" s="30"/>
      <c r="KK35" s="30"/>
      <c r="KL35" s="30"/>
      <c r="KM35" s="30"/>
      <c r="KN35" s="30"/>
      <c r="KO35" s="30"/>
      <c r="KP35" s="30"/>
      <c r="KQ35" s="30"/>
      <c r="KR35" s="30"/>
      <c r="KS35" s="30"/>
      <c r="KT35" s="30"/>
      <c r="KU35" s="30"/>
      <c r="KV35" s="30"/>
      <c r="KW35" s="30"/>
      <c r="KX35" s="30"/>
      <c r="KY35" s="30"/>
      <c r="KZ35" s="30"/>
      <c r="LA35" s="30"/>
      <c r="LB35" s="30"/>
      <c r="LC35" s="30"/>
      <c r="LD35" s="30"/>
      <c r="LE35" s="30"/>
      <c r="LF35" s="30"/>
      <c r="LG35" s="30"/>
      <c r="LH35" s="30"/>
      <c r="LI35" s="30"/>
      <c r="LJ35" s="30"/>
      <c r="LK35" s="30"/>
      <c r="LL35" s="30"/>
      <c r="LM35" s="30"/>
      <c r="LN35" s="30"/>
      <c r="LO35" s="30"/>
      <c r="LP35" s="30"/>
      <c r="LQ35" s="30"/>
      <c r="LR35" s="30"/>
      <c r="LS35" s="30"/>
      <c r="LT35" s="30"/>
      <c r="LU35" s="30"/>
      <c r="LV35" s="30"/>
      <c r="LW35" s="30"/>
      <c r="LX35" s="30"/>
      <c r="LY35" s="30"/>
      <c r="LZ35" s="30"/>
      <c r="MA35" s="30"/>
      <c r="MB35" s="30"/>
      <c r="MC35" s="30"/>
      <c r="MD35" s="30"/>
      <c r="ME35" s="30"/>
      <c r="MF35" s="30"/>
      <c r="MG35" s="30"/>
      <c r="MH35" s="30"/>
      <c r="MI35" s="30"/>
      <c r="MJ35" s="30"/>
      <c r="MK35" s="30"/>
      <c r="ML35" s="30"/>
      <c r="MM35" s="30"/>
      <c r="MN35" s="30"/>
      <c r="MO35" s="30"/>
      <c r="MP35" s="30"/>
      <c r="MQ35" s="30"/>
      <c r="MR35" s="30"/>
      <c r="MS35" s="30"/>
      <c r="MT35" s="30"/>
      <c r="MU35" s="30"/>
      <c r="MV35" s="30"/>
      <c r="MW35" s="30"/>
      <c r="MX35" s="30"/>
      <c r="MY35" s="30"/>
      <c r="MZ35" s="30"/>
      <c r="NA35" s="30"/>
      <c r="NB35" s="30"/>
      <c r="NC35" s="30"/>
      <c r="ND35" s="30"/>
      <c r="NE35" s="30"/>
      <c r="NF35" s="30"/>
      <c r="NG35" s="30"/>
      <c r="NH35" s="30"/>
      <c r="NI35" s="30"/>
      <c r="NJ35" s="30"/>
      <c r="NK35" s="30"/>
      <c r="NL35" s="30"/>
      <c r="NM35" s="30"/>
      <c r="NN35" s="30"/>
      <c r="NO35" s="30"/>
      <c r="NP35" s="30"/>
      <c r="NQ35" s="30"/>
      <c r="NR35" s="30"/>
      <c r="NS35" s="30"/>
      <c r="NT35" s="30"/>
      <c r="NU35" s="30"/>
      <c r="NV35" s="30"/>
      <c r="NW35" s="30"/>
      <c r="NX35" s="30"/>
      <c r="NY35" s="30"/>
      <c r="NZ35" s="30"/>
      <c r="OA35" s="30"/>
      <c r="OB35" s="30"/>
      <c r="OC35" s="30"/>
      <c r="OD35" s="30"/>
      <c r="OE35" s="30"/>
      <c r="OF35" s="30"/>
      <c r="OG35" s="30"/>
      <c r="OH35" s="30"/>
      <c r="OI35" s="30"/>
      <c r="OJ35" s="30"/>
      <c r="OK35" s="30"/>
      <c r="OL35" s="30"/>
      <c r="OM35" s="30"/>
      <c r="ON35" s="30"/>
      <c r="OO35" s="30"/>
      <c r="OP35" s="30"/>
      <c r="OQ35" s="30"/>
      <c r="OR35" s="30"/>
      <c r="OS35" s="30"/>
      <c r="OT35" s="30"/>
      <c r="OU35" s="30"/>
      <c r="OV35" s="30"/>
    </row>
    <row r="36" ht="18.0" customHeight="1">
      <c r="A36" s="29">
        <v>35.0</v>
      </c>
      <c r="B36" s="30" t="s">
        <v>3094</v>
      </c>
      <c r="C36" s="31" t="s">
        <v>3383</v>
      </c>
      <c r="D36" s="30" t="s">
        <v>1997</v>
      </c>
      <c r="E36" s="29">
        <v>30.0</v>
      </c>
      <c r="F36" s="29">
        <f>COUNTIF('Tổng hợp 75 trang đích'!$B$2:$B$3400,$D36)</f>
        <v>30</v>
      </c>
      <c r="G36" s="29">
        <f>COUNTIFS('Tổng hợp 75 trang đích'!$B$2:$B$3400,$D36,'Tổng hợp 75 trang đích'!$K$2:$K$3400,"PHÙ HỢP CAO")</f>
        <v>1</v>
      </c>
      <c r="H36" s="29">
        <f>COUNTIFS('Tổng hợp 75 trang đích'!$B$2:$B$3400,$D36,'Tổng hợp 75 trang đích'!$K$2:$K$3400,"CÓ THỂ ĐI")</f>
        <v>5</v>
      </c>
      <c r="I36" s="29">
        <f>COUNTIFS('Tổng hợp 75 trang đích'!$B$2:$B$3400,$D36,'Tổng hợp 75 trang đích'!$K$2:$K$3400,"CẦN SOÁT")</f>
        <v>24</v>
      </c>
      <c r="J36" s="32" t="s">
        <v>714</v>
      </c>
      <c r="K36" s="32" t="b">
        <v>0</v>
      </c>
      <c r="L36" s="33" t="s">
        <v>52</v>
      </c>
      <c r="M36" s="30" t="str">
        <f>IFERROR(__xludf.DUMMYFUNCTION("IFERROR(TOROW(CHOOSECOLS(SORT(FILTER({'Tổng hợp 75 trang đích'!$J$2:$J$3400,'Tổng hợp 75 trang đích'!$I$2:$I$3400,MATCH('Tổng hợp 75 trang đích'!$K$2:$K$3400,{""PHÙ HỢP CAO"",""CÓ THỂ ĐI"",""CẦN SOÁT""},0)},'Tổng hợp 75 trang đích'!$B$2:$B$3400=$D36),3,TR"&amp;"UE),1,2)),"""")"),"thanh toán dư nợ thẻ tín dụng")</f>
        <v>thanh toán dư nợ thẻ tín dụng</v>
      </c>
      <c r="N36" s="34" t="str">
        <f>IFERROR(__xludf.DUMMYFUNCTION("""COMPUTED_VALUE"""),"https://techcombank.com/thong-tin/blog/the-tin-dung-mien-lai-55-ngay")</f>
        <v>https://techcombank.com/thong-tin/blog/the-tin-dung-mien-lai-55-ngay</v>
      </c>
      <c r="O36" s="30" t="str">
        <f>IFERROR(__xludf.DUMMYFUNCTION("""COMPUTED_VALUE"""),"thanh toán dư nợ thẻ tín dụng")</f>
        <v>thanh toán dư nợ thẻ tín dụng</v>
      </c>
      <c r="P36" s="34" t="str">
        <f>IFERROR(__xludf.DUMMYFUNCTION("""COMPUTED_VALUE"""),"https://techcombank.com/thong-tin/blog/dao-han-la-gi")</f>
        <v>https://techcombank.com/thong-tin/blog/dao-han-la-gi</v>
      </c>
      <c r="Q36" s="30" t="str">
        <f>IFERROR(__xludf.DUMMYFUNCTION("""COMPUTED_VALUE"""),"thanh toán dư nợ thẻ tín dụng")</f>
        <v>thanh toán dư nợ thẻ tín dụng</v>
      </c>
      <c r="R36" s="34" t="str">
        <f>IFERROR(__xludf.DUMMYFUNCTION("""COMPUTED_VALUE"""),"https://techcombank.com/thong-tin/blog/app-ngan-hang-uy-tin")</f>
        <v>https://techcombank.com/thong-tin/blog/app-ngan-hang-uy-tin</v>
      </c>
      <c r="S36" s="30" t="str">
        <f>IFERROR(__xludf.DUMMYFUNCTION("""COMPUTED_VALUE"""),"thanh toán dư nợ thẻ tín dụng")</f>
        <v>thanh toán dư nợ thẻ tín dụng</v>
      </c>
      <c r="T36" s="34" t="str">
        <f>IFERROR(__xludf.DUMMYFUNCTION("""COMPUTED_VALUE"""),"https://techcombank.com/thong-tin/blog/mobile-banking-la-gi")</f>
        <v>https://techcombank.com/thong-tin/blog/mobile-banking-la-gi</v>
      </c>
      <c r="U36" s="30" t="str">
        <f>IFERROR(__xludf.DUMMYFUNCTION("""COMPUTED_VALUE"""),"trả nợ thẻ tín dụng")</f>
        <v>trả nợ thẻ tín dụng</v>
      </c>
      <c r="V36" s="34" t="str">
        <f>IFERROR(__xludf.DUMMYFUNCTION("""COMPUTED_VALUE"""),"https://techcombank.com/thong-tin/blog/diem-tin-dung")</f>
        <v>https://techcombank.com/thong-tin/blog/diem-tin-dung</v>
      </c>
      <c r="W36" s="30" t="str">
        <f>IFERROR(__xludf.DUMMYFUNCTION("""COMPUTED_VALUE"""),"thanh toán dư nợ thẻ tín dụng")</f>
        <v>thanh toán dư nợ thẻ tín dụng</v>
      </c>
      <c r="X36" s="34" t="str">
        <f>IFERROR(__xludf.DUMMYFUNCTION("""COMPUTED_VALUE"""),"https://techcombank.com/thong-tin/blog/ca-nhan-hoa")</f>
        <v>https://techcombank.com/thong-tin/blog/ca-nhan-hoa</v>
      </c>
      <c r="Y36" s="30" t="str">
        <f>IFERROR(__xludf.DUMMYFUNCTION("""COMPUTED_VALUE"""),"trả nợ thẻ tín dụng")</f>
        <v>trả nợ thẻ tín dụng</v>
      </c>
      <c r="Z36" s="34" t="str">
        <f>IFERROR(__xludf.DUMMYFUNCTION("""COMPUTED_VALUE"""),"https://techcombank.com/thong-tin/blog/du-no-la-gi")</f>
        <v>https://techcombank.com/thong-tin/blog/du-no-la-gi</v>
      </c>
      <c r="AA36" s="30" t="str">
        <f>IFERROR(__xludf.DUMMYFUNCTION("""COMPUTED_VALUE"""),"trả nợ thẻ tín dụng")</f>
        <v>trả nợ thẻ tín dụng</v>
      </c>
      <c r="AB36" s="34" t="str">
        <f>IFERROR(__xludf.DUMMYFUNCTION("""COMPUTED_VALUE"""),"https://techcombank.com/thong-tin/blog/tai-khoan-doanh-nghiep-co-the-khong")</f>
        <v>https://techcombank.com/thong-tin/blog/tai-khoan-doanh-nghiep-co-the-khong</v>
      </c>
      <c r="AC36" s="30" t="str">
        <f>IFERROR(__xludf.DUMMYFUNCTION("""COMPUTED_VALUE"""),"cách thanh toán thẻ tín dụng")</f>
        <v>cách thanh toán thẻ tín dụng</v>
      </c>
      <c r="AD36" s="34" t="str">
        <f>IFERROR(__xludf.DUMMYFUNCTION("""COMPUTED_VALUE"""),"https://techcombank.com/thong-tin/blog/mm-yy-la-gi")</f>
        <v>https://techcombank.com/thong-tin/blog/mm-yy-la-gi</v>
      </c>
      <c r="AE36" s="30" t="str">
        <f>IFERROR(__xludf.DUMMYFUNCTION("""COMPUTED_VALUE"""),"cách thanh toán thẻ tín dụng")</f>
        <v>cách thanh toán thẻ tín dụng</v>
      </c>
      <c r="AF36" s="34" t="str">
        <f>IFERROR(__xludf.DUMMYFUNCTION("""COMPUTED_VALUE"""),"https://techcombank.com/thong-tin/blog/sao-ke-tai-khoan-doanh-nghiep")</f>
        <v>https://techcombank.com/thong-tin/blog/sao-ke-tai-khoan-doanh-nghiep</v>
      </c>
      <c r="AG36" s="30" t="str">
        <f>IFERROR(__xludf.DUMMYFUNCTION("""COMPUTED_VALUE"""),"thanh toán dư nợ thẻ tín dụng")</f>
        <v>thanh toán dư nợ thẻ tín dụng</v>
      </c>
      <c r="AH36" s="34" t="str">
        <f>IFERROR(__xludf.DUMMYFUNCTION("""COMPUTED_VALUE"""),"https://techcombank.com/thong-tin/blog/uu-dai-the-tin-dung-techcombank-signature")</f>
        <v>https://techcombank.com/thong-tin/blog/uu-dai-the-tin-dung-techcombank-signature</v>
      </c>
      <c r="AI36" s="30" t="str">
        <f>IFERROR(__xludf.DUMMYFUNCTION("""COMPUTED_VALUE"""),"cách thanh toán thẻ tín dụng")</f>
        <v>cách thanh toán thẻ tín dụng</v>
      </c>
      <c r="AJ36" s="34" t="str">
        <f>IFERROR(__xludf.DUMMYFUNCTION("""COMPUTED_VALUE"""),"https://techcombank.com/thong-tin/blog/cac-loai-the-tin-dung")</f>
        <v>https://techcombank.com/thong-tin/blog/cac-loai-the-tin-dung</v>
      </c>
      <c r="AK36" s="30" t="str">
        <f>IFERROR(__xludf.DUMMYFUNCTION("""COMPUTED_VALUE"""),"cách thanh toán thẻ tín dụng")</f>
        <v>cách thanh toán thẻ tín dụng</v>
      </c>
      <c r="AL36" s="34" t="str">
        <f>IFERROR(__xludf.DUMMYFUNCTION("""COMPUTED_VALUE"""),"https://techcombank.com/thong-tin/blog/the-tin-dung-mien-phi-thuong-nien")</f>
        <v>https://techcombank.com/thong-tin/blog/the-tin-dung-mien-phi-thuong-nien</v>
      </c>
      <c r="AM36" s="30" t="str">
        <f>IFERROR(__xludf.DUMMYFUNCTION("""COMPUTED_VALUE"""),"cách thanh toán thẻ tín dụng")</f>
        <v>cách thanh toán thẻ tín dụng</v>
      </c>
      <c r="AN36" s="34" t="str">
        <f>IFERROR(__xludf.DUMMYFUNCTION("""COMPUTED_VALUE"""),"https://techcombank.com/thong-tin/blog/uu-dai-mua-ve-may-bay-bang-the-tin-dung")</f>
        <v>https://techcombank.com/thong-tin/blog/uu-dai-mua-ve-may-bay-bang-the-tin-dung</v>
      </c>
      <c r="AO36" s="30" t="str">
        <f>IFERROR(__xludf.DUMMYFUNCTION("""COMPUTED_VALUE"""),"cách thanh toán thẻ tín dụng")</f>
        <v>cách thanh toán thẻ tín dụng</v>
      </c>
      <c r="AP36" s="34" t="str">
        <f>IFERROR(__xludf.DUMMYFUNCTION("""COMPUTED_VALUE"""),"https://techcombank.com/thong-tin/blog/mat-the-tin-dung-co-bi-mat-tien-khong")</f>
        <v>https://techcombank.com/thong-tin/blog/mat-the-tin-dung-co-bi-mat-tien-khong</v>
      </c>
      <c r="AQ36" s="30" t="str">
        <f>IFERROR(__xludf.DUMMYFUNCTION("""COMPUTED_VALUE"""),"thanh toán dư nợ thẻ tín dụng")</f>
        <v>thanh toán dư nợ thẻ tín dụng</v>
      </c>
      <c r="AR36" s="34" t="str">
        <f>IFERROR(__xludf.DUMMYFUNCTION("""COMPUTED_VALUE"""),"https://techcombank.com/thong-tin/blog/so-cvv-la-gi")</f>
        <v>https://techcombank.com/thong-tin/blog/so-cvv-la-gi</v>
      </c>
      <c r="AS36" s="30" t="str">
        <f>IFERROR(__xludf.DUMMYFUNCTION("""COMPUTED_VALUE"""),"cách thanh toán thẻ tín dụng")</f>
        <v>cách thanh toán thẻ tín dụng</v>
      </c>
      <c r="AT36" s="34" t="str">
        <f>IFERROR(__xludf.DUMMYFUNCTION("""COMPUTED_VALUE"""),"https://techcombank.com/thong-tin/blog/the-tin-dung-nao-nhieu-uu-dai-nhat")</f>
        <v>https://techcombank.com/thong-tin/blog/the-tin-dung-nao-nhieu-uu-dai-nhat</v>
      </c>
      <c r="AU36" s="30" t="str">
        <f>IFERROR(__xludf.DUMMYFUNCTION("""COMPUTED_VALUE"""),"cách thanh toán thẻ tín dụng")</f>
        <v>cách thanh toán thẻ tín dụng</v>
      </c>
      <c r="AV36" s="34" t="str">
        <f>IFERROR(__xludf.DUMMYFUNCTION("""COMPUTED_VALUE"""),"https://techcombank.com/thong-tin/blog/cach-lam-the-ngan-hang-chay-quang-cao-facebook")</f>
        <v>https://techcombank.com/thong-tin/blog/cach-lam-the-ngan-hang-chay-quang-cao-facebook</v>
      </c>
      <c r="AW36" s="30" t="str">
        <f>IFERROR(__xludf.DUMMYFUNCTION("""COMPUTED_VALUE"""),"cách thanh toán thẻ tín dụng")</f>
        <v>cách thanh toán thẻ tín dụng</v>
      </c>
      <c r="AX36" s="34" t="str">
        <f>IFERROR(__xludf.DUMMYFUNCTION("""COMPUTED_VALUE"""),"https://techcombank.com/thong-tin/blog/mua-iphone-17")</f>
        <v>https://techcombank.com/thong-tin/blog/mua-iphone-17</v>
      </c>
      <c r="AY36" s="30" t="str">
        <f>IFERROR(__xludf.DUMMYFUNCTION("""COMPUTED_VALUE"""),"cách thanh toán thẻ tín dụng")</f>
        <v>cách thanh toán thẻ tín dụng</v>
      </c>
      <c r="AZ36" s="34" t="str">
        <f>IFERROR(__xludf.DUMMYFUNCTION("""COMPUTED_VALUE"""),"https://techcombank.com/thong-tin/blog/the-visa-co-can-mat-khau-khong")</f>
        <v>https://techcombank.com/thong-tin/blog/the-visa-co-can-mat-khau-khong</v>
      </c>
      <c r="BA36" s="30" t="str">
        <f>IFERROR(__xludf.DUMMYFUNCTION("""COMPUTED_VALUE"""),"cách thanh toán thẻ tín dụng")</f>
        <v>cách thanh toán thẻ tín dụng</v>
      </c>
      <c r="BB36" s="34" t="str">
        <f>IFERROR(__xludf.DUMMYFUNCTION("""COMPUTED_VALUE"""),"https://techcombank.com/thong-tin/blog/mua-truoc-tra-sau")</f>
        <v>https://techcombank.com/thong-tin/blog/mua-truoc-tra-sau</v>
      </c>
      <c r="BC36" s="30" t="str">
        <f>IFERROR(__xludf.DUMMYFUNCTION("""COMPUTED_VALUE"""),"cách thanh toán thẻ tín dụng")</f>
        <v>cách thanh toán thẻ tín dụng</v>
      </c>
      <c r="BD36" s="34" t="str">
        <f>IFERROR(__xludf.DUMMYFUNCTION("""COMPUTED_VALUE"""),"https://techcombank.com/thong-tin/blog/tra-cuu-han-muc-the-tin-dung")</f>
        <v>https://techcombank.com/thong-tin/blog/tra-cuu-han-muc-the-tin-dung</v>
      </c>
      <c r="BE36" s="30" t="str">
        <f>IFERROR(__xludf.DUMMYFUNCTION("""COMPUTED_VALUE"""),"thanh toán dư nợ thẻ tín dụng")</f>
        <v>thanh toán dư nợ thẻ tín dụng</v>
      </c>
      <c r="BF36" s="34" t="str">
        <f>IFERROR(__xludf.DUMMYFUNCTION("""COMPUTED_VALUE"""),"https://techcombank.com/thong-tin/blog/the-ghi-no-va-the-tin-dung")</f>
        <v>https://techcombank.com/thong-tin/blog/the-ghi-no-va-the-tin-dung</v>
      </c>
      <c r="BG36" s="30" t="str">
        <f>IFERROR(__xludf.DUMMYFUNCTION("""COMPUTED_VALUE"""),"trả nợ thẻ tín dụng")</f>
        <v>trả nợ thẻ tín dụng</v>
      </c>
      <c r="BH36" s="34" t="str">
        <f>IFERROR(__xludf.DUMMYFUNCTION("""COMPUTED_VALUE"""),"https://techcombank.com/thong-tin/blog/the-tin-dung-het-han")</f>
        <v>https://techcombank.com/thong-tin/blog/the-tin-dung-het-han</v>
      </c>
      <c r="BI36" s="30" t="str">
        <f>IFERROR(__xludf.DUMMYFUNCTION("""COMPUTED_VALUE"""),"thanh toán dư nợ thẻ tín dụng")</f>
        <v>thanh toán dư nợ thẻ tín dụng</v>
      </c>
      <c r="BJ36" s="34" t="str">
        <f>IFERROR(__xludf.DUMMYFUNCTION("""COMPUTED_VALUE"""),"https://techcombank.com/thong-tin/blog/cach-huy-the-tin-dung")</f>
        <v>https://techcombank.com/thong-tin/blog/cach-huy-the-tin-dung</v>
      </c>
      <c r="BK36" s="30" t="str">
        <f>IFERROR(__xludf.DUMMYFUNCTION("""COMPUTED_VALUE"""),"trả nợ thẻ tín dụng")</f>
        <v>trả nợ thẻ tín dụng</v>
      </c>
      <c r="BL36" s="34" t="str">
        <f>IFERROR(__xludf.DUMMYFUNCTION("""COMPUTED_VALUE"""),"https://techcombank.com/thong-tin/blog/co-nen-dung-the-tin-dung-khong")</f>
        <v>https://techcombank.com/thong-tin/blog/co-nen-dung-the-tin-dung-khong</v>
      </c>
      <c r="BM36" s="30" t="str">
        <f>IFERROR(__xludf.DUMMYFUNCTION("""COMPUTED_VALUE"""),"cách thanh toán thẻ tín dụng")</f>
        <v>cách thanh toán thẻ tín dụng</v>
      </c>
      <c r="BN36" s="34" t="str">
        <f>IFERROR(__xludf.DUMMYFUNCTION("""COMPUTED_VALUE"""),"https://techcombank.com/thong-tin/blog/ma-buu-chinh-the-tin-dung")</f>
        <v>https://techcombank.com/thong-tin/blog/ma-buu-chinh-the-tin-dung</v>
      </c>
      <c r="BO36" s="30" t="str">
        <f>IFERROR(__xludf.DUMMYFUNCTION("""COMPUTED_VALUE"""),"cách thanh toán thẻ tín dụng")</f>
        <v>cách thanh toán thẻ tín dụng</v>
      </c>
      <c r="BP36" s="34" t="str">
        <f>IFERROR(__xludf.DUMMYFUNCTION("""COMPUTED_VALUE"""),"https://techcombank.com/thong-tin/blog/loyalty-la-gi")</f>
        <v>https://techcombank.com/thong-tin/blog/loyalty-la-gi</v>
      </c>
      <c r="BQ36" s="30" t="str">
        <f>IFERROR(__xludf.DUMMYFUNCTION("""COMPUTED_VALUE"""),"trả nợ thẻ tín dụng")</f>
        <v>trả nợ thẻ tín dụng</v>
      </c>
      <c r="BR36" s="34" t="str">
        <f>IFERROR(__xludf.DUMMYFUNCTION("""COMPUTED_VALUE"""),"https://techcombank.com/thong-tin/blog/vay-ngan-hang-1-ty-moi-thang-tra-bao-nhieu")</f>
        <v>https://techcombank.com/thong-tin/blog/vay-ngan-hang-1-ty-moi-thang-tra-bao-nhieu</v>
      </c>
      <c r="BS36" s="30" t="str">
        <f>IFERROR(__xludf.DUMMYFUNCTION("""COMPUTED_VALUE"""),"cách thanh toán thẻ tín dụng")</f>
        <v>cách thanh toán thẻ tín dụng</v>
      </c>
      <c r="BT36" s="34" t="str">
        <f>IFERROR(__xludf.DUMMYFUNCTION("""COMPUTED_VALUE"""),"https://techcombank.com/thong-tin/blog/the-tin-dung-den")</f>
        <v>https://techcombank.com/thong-tin/blog/the-tin-dung-den</v>
      </c>
      <c r="BU36" s="30"/>
      <c r="BV36" s="30"/>
      <c r="BW36" s="30"/>
      <c r="BX36" s="30"/>
      <c r="BY36" s="30"/>
      <c r="BZ36" s="30"/>
      <c r="CA36" s="30"/>
      <c r="CB36" s="30"/>
      <c r="CC36" s="30"/>
      <c r="CD36" s="30"/>
      <c r="CE36" s="30"/>
      <c r="CF36" s="30"/>
      <c r="CG36" s="30"/>
      <c r="CH36" s="30"/>
      <c r="CI36" s="30"/>
      <c r="CJ36" s="30"/>
      <c r="CK36" s="30"/>
      <c r="CL36" s="30"/>
      <c r="CM36" s="30"/>
      <c r="CN36" s="30"/>
      <c r="CO36" s="30"/>
      <c r="CP36" s="30"/>
      <c r="CQ36" s="30"/>
      <c r="CR36" s="30"/>
      <c r="CS36" s="30"/>
      <c r="CT36" s="30"/>
      <c r="CU36" s="30"/>
      <c r="CV36" s="30"/>
      <c r="CW36" s="30"/>
      <c r="CX36" s="30"/>
      <c r="CY36" s="30"/>
      <c r="CZ36" s="30"/>
      <c r="DA36" s="30"/>
      <c r="DB36" s="30"/>
      <c r="DC36" s="30"/>
      <c r="DD36" s="30"/>
      <c r="DE36" s="30"/>
      <c r="DF36" s="30"/>
      <c r="DG36" s="30"/>
      <c r="DH36" s="30"/>
      <c r="DI36" s="30"/>
      <c r="DJ36" s="30"/>
      <c r="DK36" s="30"/>
      <c r="DL36" s="30"/>
      <c r="DM36" s="30"/>
      <c r="DN36" s="30"/>
      <c r="DO36" s="30"/>
      <c r="DP36" s="30"/>
      <c r="DQ36" s="30"/>
      <c r="DR36" s="30"/>
      <c r="DS36" s="30"/>
      <c r="DT36" s="30"/>
      <c r="DU36" s="30"/>
      <c r="DV36" s="30"/>
      <c r="DW36" s="30"/>
      <c r="DX36" s="30"/>
      <c r="DY36" s="30"/>
      <c r="DZ36" s="30"/>
      <c r="EA36" s="30"/>
      <c r="EB36" s="30"/>
      <c r="EC36" s="30"/>
      <c r="ED36" s="30"/>
      <c r="EE36" s="30"/>
      <c r="EF36" s="30"/>
      <c r="EG36" s="30"/>
      <c r="EH36" s="30"/>
      <c r="EI36" s="30"/>
      <c r="EJ36" s="30"/>
      <c r="EK36" s="30"/>
      <c r="EL36" s="30"/>
      <c r="EM36" s="30"/>
      <c r="EN36" s="30"/>
      <c r="EO36" s="30"/>
      <c r="EP36" s="30"/>
      <c r="EQ36" s="30"/>
      <c r="ER36" s="30"/>
      <c r="ES36" s="30"/>
      <c r="ET36" s="30"/>
      <c r="EU36" s="30"/>
      <c r="EV36" s="30"/>
      <c r="EW36" s="30"/>
      <c r="EX36" s="30"/>
      <c r="EY36" s="30"/>
      <c r="EZ36" s="30"/>
      <c r="FA36" s="30"/>
      <c r="FB36" s="30"/>
      <c r="FC36" s="30"/>
      <c r="FD36" s="30"/>
      <c r="FE36" s="30"/>
      <c r="FF36" s="30"/>
      <c r="FG36" s="30"/>
      <c r="FH36" s="30"/>
      <c r="FI36" s="30"/>
      <c r="FJ36" s="30"/>
      <c r="FK36" s="30"/>
      <c r="FL36" s="30"/>
      <c r="FM36" s="30"/>
      <c r="FN36" s="30"/>
      <c r="FO36" s="30"/>
      <c r="FP36" s="30"/>
      <c r="FQ36" s="30"/>
      <c r="FR36" s="30"/>
      <c r="FS36" s="30"/>
      <c r="FT36" s="30"/>
      <c r="FU36" s="30"/>
      <c r="FV36" s="30"/>
      <c r="FW36" s="30"/>
      <c r="FX36" s="30"/>
      <c r="FY36" s="30"/>
      <c r="FZ36" s="30"/>
      <c r="GA36" s="30"/>
      <c r="GB36" s="30"/>
      <c r="GC36" s="30"/>
      <c r="GD36" s="30"/>
      <c r="GE36" s="30"/>
      <c r="GF36" s="30"/>
      <c r="GG36" s="30"/>
      <c r="GH36" s="30"/>
      <c r="GI36" s="30"/>
      <c r="GJ36" s="30"/>
      <c r="GK36" s="30"/>
      <c r="GL36" s="30"/>
      <c r="GM36" s="30"/>
      <c r="GN36" s="30"/>
      <c r="GO36" s="30"/>
      <c r="GP36" s="30"/>
      <c r="GQ36" s="30"/>
      <c r="GR36" s="30"/>
      <c r="GS36" s="30"/>
      <c r="GT36" s="30"/>
      <c r="GU36" s="30"/>
      <c r="GV36" s="30"/>
      <c r="GW36" s="30"/>
      <c r="GX36" s="30"/>
      <c r="GY36" s="30"/>
      <c r="GZ36" s="30"/>
      <c r="HA36" s="30"/>
      <c r="HB36" s="30"/>
      <c r="HC36" s="30"/>
      <c r="HD36" s="30"/>
      <c r="HE36" s="30"/>
      <c r="HF36" s="30"/>
      <c r="HG36" s="30"/>
      <c r="HH36" s="30"/>
      <c r="HI36" s="30"/>
      <c r="HJ36" s="30"/>
      <c r="HK36" s="30"/>
      <c r="HL36" s="30"/>
      <c r="HM36" s="30"/>
      <c r="HN36" s="30"/>
      <c r="HO36" s="30"/>
      <c r="HP36" s="30"/>
      <c r="HQ36" s="30"/>
      <c r="HR36" s="30"/>
      <c r="HS36" s="30"/>
      <c r="HT36" s="30"/>
      <c r="HU36" s="30"/>
      <c r="HV36" s="30"/>
      <c r="HW36" s="30"/>
      <c r="HX36" s="30"/>
      <c r="HY36" s="30"/>
      <c r="HZ36" s="30"/>
      <c r="IA36" s="30"/>
      <c r="IB36" s="30"/>
      <c r="IC36" s="30"/>
      <c r="ID36" s="30"/>
      <c r="IE36" s="30"/>
      <c r="IF36" s="30"/>
      <c r="IG36" s="30"/>
      <c r="IH36" s="30"/>
      <c r="II36" s="30"/>
      <c r="IJ36" s="30"/>
      <c r="IK36" s="30"/>
      <c r="IL36" s="30"/>
      <c r="IM36" s="30"/>
      <c r="IN36" s="30"/>
      <c r="IO36" s="30"/>
      <c r="IP36" s="30"/>
      <c r="IQ36" s="30"/>
      <c r="IR36" s="30"/>
      <c r="IS36" s="30"/>
      <c r="IT36" s="30"/>
      <c r="IU36" s="30"/>
      <c r="IV36" s="30"/>
      <c r="IW36" s="30"/>
      <c r="IX36" s="30"/>
      <c r="IY36" s="30"/>
      <c r="IZ36" s="30"/>
      <c r="JA36" s="30"/>
      <c r="JB36" s="30"/>
      <c r="JC36" s="30"/>
      <c r="JD36" s="30"/>
      <c r="JE36" s="30"/>
      <c r="JF36" s="30"/>
      <c r="JG36" s="30"/>
      <c r="JH36" s="30"/>
      <c r="JI36" s="30"/>
      <c r="JJ36" s="30"/>
      <c r="JK36" s="30"/>
      <c r="JL36" s="30"/>
      <c r="JM36" s="30"/>
      <c r="JN36" s="30"/>
      <c r="JO36" s="30"/>
      <c r="JP36" s="30"/>
      <c r="JQ36" s="30"/>
      <c r="JR36" s="30"/>
      <c r="JS36" s="30"/>
      <c r="JT36" s="30"/>
      <c r="JU36" s="30"/>
      <c r="JV36" s="30"/>
      <c r="JW36" s="30"/>
      <c r="JX36" s="30"/>
      <c r="JY36" s="30"/>
      <c r="JZ36" s="30"/>
      <c r="KA36" s="30"/>
      <c r="KB36" s="30"/>
      <c r="KC36" s="30"/>
      <c r="KD36" s="30"/>
      <c r="KE36" s="30"/>
      <c r="KF36" s="30"/>
      <c r="KG36" s="30"/>
      <c r="KH36" s="30"/>
      <c r="KI36" s="30"/>
      <c r="KJ36" s="30"/>
      <c r="KK36" s="30"/>
      <c r="KL36" s="30"/>
      <c r="KM36" s="30"/>
      <c r="KN36" s="30"/>
      <c r="KO36" s="30"/>
      <c r="KP36" s="30"/>
      <c r="KQ36" s="30"/>
      <c r="KR36" s="30"/>
      <c r="KS36" s="30"/>
      <c r="KT36" s="30"/>
      <c r="KU36" s="30"/>
      <c r="KV36" s="30"/>
      <c r="KW36" s="30"/>
      <c r="KX36" s="30"/>
      <c r="KY36" s="30"/>
      <c r="KZ36" s="30"/>
      <c r="LA36" s="30"/>
      <c r="LB36" s="30"/>
      <c r="LC36" s="30"/>
      <c r="LD36" s="30"/>
      <c r="LE36" s="30"/>
      <c r="LF36" s="30"/>
      <c r="LG36" s="30"/>
      <c r="LH36" s="30"/>
      <c r="LI36" s="30"/>
      <c r="LJ36" s="30"/>
      <c r="LK36" s="30"/>
      <c r="LL36" s="30"/>
      <c r="LM36" s="30"/>
      <c r="LN36" s="30"/>
      <c r="LO36" s="30"/>
      <c r="LP36" s="30"/>
      <c r="LQ36" s="30"/>
      <c r="LR36" s="30"/>
      <c r="LS36" s="30"/>
      <c r="LT36" s="30"/>
      <c r="LU36" s="30"/>
      <c r="LV36" s="30"/>
      <c r="LW36" s="30"/>
      <c r="LX36" s="30"/>
      <c r="LY36" s="30"/>
      <c r="LZ36" s="30"/>
      <c r="MA36" s="30"/>
      <c r="MB36" s="30"/>
      <c r="MC36" s="30"/>
      <c r="MD36" s="30"/>
      <c r="ME36" s="30"/>
      <c r="MF36" s="30"/>
      <c r="MG36" s="30"/>
      <c r="MH36" s="30"/>
      <c r="MI36" s="30"/>
      <c r="MJ36" s="30"/>
      <c r="MK36" s="30"/>
      <c r="ML36" s="30"/>
      <c r="MM36" s="30"/>
      <c r="MN36" s="30"/>
      <c r="MO36" s="30"/>
      <c r="MP36" s="30"/>
      <c r="MQ36" s="30"/>
      <c r="MR36" s="30"/>
      <c r="MS36" s="30"/>
      <c r="MT36" s="30"/>
      <c r="MU36" s="30"/>
      <c r="MV36" s="30"/>
      <c r="MW36" s="30"/>
      <c r="MX36" s="30"/>
      <c r="MY36" s="30"/>
      <c r="MZ36" s="30"/>
      <c r="NA36" s="30"/>
      <c r="NB36" s="30"/>
      <c r="NC36" s="30"/>
      <c r="ND36" s="30"/>
      <c r="NE36" s="30"/>
      <c r="NF36" s="30"/>
      <c r="NG36" s="30"/>
      <c r="NH36" s="30"/>
      <c r="NI36" s="30"/>
      <c r="NJ36" s="30"/>
      <c r="NK36" s="30"/>
      <c r="NL36" s="30"/>
      <c r="NM36" s="30"/>
      <c r="NN36" s="30"/>
      <c r="NO36" s="30"/>
      <c r="NP36" s="30"/>
      <c r="NQ36" s="30"/>
      <c r="NR36" s="30"/>
      <c r="NS36" s="30"/>
      <c r="NT36" s="30"/>
      <c r="NU36" s="30"/>
      <c r="NV36" s="30"/>
      <c r="NW36" s="30"/>
      <c r="NX36" s="30"/>
      <c r="NY36" s="30"/>
      <c r="NZ36" s="30"/>
      <c r="OA36" s="30"/>
      <c r="OB36" s="30"/>
      <c r="OC36" s="30"/>
      <c r="OD36" s="30"/>
      <c r="OE36" s="30"/>
      <c r="OF36" s="30"/>
      <c r="OG36" s="30"/>
      <c r="OH36" s="30"/>
      <c r="OI36" s="30"/>
      <c r="OJ36" s="30"/>
      <c r="OK36" s="30"/>
      <c r="OL36" s="30"/>
      <c r="OM36" s="30"/>
      <c r="ON36" s="30"/>
      <c r="OO36" s="30"/>
      <c r="OP36" s="30"/>
      <c r="OQ36" s="30"/>
      <c r="OR36" s="30"/>
      <c r="OS36" s="30"/>
      <c r="OT36" s="30"/>
      <c r="OU36" s="30"/>
      <c r="OV36" s="30"/>
    </row>
    <row r="37" ht="18.0" customHeight="1">
      <c r="A37" s="29">
        <v>36.0</v>
      </c>
      <c r="B37" s="30" t="s">
        <v>3805</v>
      </c>
      <c r="C37" s="31" t="s">
        <v>3463</v>
      </c>
      <c r="D37" s="30" t="s">
        <v>3408</v>
      </c>
      <c r="E37" s="29">
        <v>30.0</v>
      </c>
      <c r="F37" s="29">
        <f>COUNTIF('Tổng hợp 75 trang đích'!$B$2:$B$3400,$D37)</f>
        <v>30</v>
      </c>
      <c r="G37" s="29">
        <f>COUNTIFS('Tổng hợp 75 trang đích'!$B$2:$B$3400,$D37,'Tổng hợp 75 trang đích'!$K$2:$K$3400,"PHÙ HỢP CAO")</f>
        <v>2</v>
      </c>
      <c r="H37" s="29">
        <f>COUNTIFS('Tổng hợp 75 trang đích'!$B$2:$B$3400,$D37,'Tổng hợp 75 trang đích'!$K$2:$K$3400,"CÓ THỂ ĐI")</f>
        <v>17</v>
      </c>
      <c r="I37" s="29">
        <f>COUNTIFS('Tổng hợp 75 trang đích'!$B$2:$B$3400,$D37,'Tổng hợp 75 trang đích'!$K$2:$K$3400,"CẦN SOÁT")</f>
        <v>11</v>
      </c>
      <c r="J37" s="32" t="s">
        <v>714</v>
      </c>
      <c r="K37" s="32" t="b">
        <v>0</v>
      </c>
      <c r="L37" s="33" t="s">
        <v>52</v>
      </c>
      <c r="M37" s="30" t="str">
        <f>IFERROR(__xludf.DUMMYFUNCTION("IFERROR(TOROW(CHOOSECOLS(SORT(FILTER({'Tổng hợp 75 trang đích'!$J$2:$J$3400,'Tổng hợp 75 trang đích'!$I$2:$I$3400,MATCH('Tổng hợp 75 trang đích'!$K$2:$K$3400,{""PHÙ HỢP CAO"",""CÓ THỂ ĐI"",""CẦN SOÁT""},0)},'Tổng hợp 75 trang đích'!$B$2:$B$3400=$D37),3,TR"&amp;"UE),1,2)),"""")"),"chứng chỉ tiền gửi")</f>
        <v>chứng chỉ tiền gửi</v>
      </c>
      <c r="N37" s="34" t="str">
        <f>IFERROR(__xludf.DUMMYFUNCTION("""COMPUTED_VALUE"""),"https://techcombank.com/thong-tin/blog/chung-chi-tien-gui-khac-gi-so-tiet-kiem")</f>
        <v>https://techcombank.com/thong-tin/blog/chung-chi-tien-gui-khac-gi-so-tiet-kiem</v>
      </c>
      <c r="O37" s="30" t="str">
        <f>IFERROR(__xludf.DUMMYFUNCTION("""COMPUTED_VALUE"""),"chứng chỉ tiền gửi")</f>
        <v>chứng chỉ tiền gửi</v>
      </c>
      <c r="P37" s="34" t="str">
        <f>IFERROR(__xludf.DUMMYFUNCTION("""COMPUTED_VALUE"""),"https://techcombank.com/thong-tin/blog/co-nen-gui-chung-chi-tien-gui")</f>
        <v>https://techcombank.com/thong-tin/blog/co-nen-gui-chung-chi-tien-gui</v>
      </c>
      <c r="Q37" s="30" t="str">
        <f>IFERROR(__xludf.DUMMYFUNCTION("""COMPUTED_VALUE"""),"chứng chỉ tiền gửi")</f>
        <v>chứng chỉ tiền gửi</v>
      </c>
      <c r="R37" s="34" t="str">
        <f>IFERROR(__xludf.DUMMYFUNCTION("""COMPUTED_VALUE"""),"https://techcombank.com/thong-tin/blog/cach-tinh-loi-nhuan-chung-chi-tien-gui")</f>
        <v>https://techcombank.com/thong-tin/blog/cach-tinh-loi-nhuan-chung-chi-tien-gui</v>
      </c>
      <c r="S37" s="30" t="str">
        <f>IFERROR(__xludf.DUMMYFUNCTION("""COMPUTED_VALUE"""),"chứng chỉ tiền gửi")</f>
        <v>chứng chỉ tiền gửi</v>
      </c>
      <c r="T37" s="34" t="str">
        <f>IFERROR(__xludf.DUMMYFUNCTION("""COMPUTED_VALUE"""),"https://techcombank.com/thong-tin/blog/lai-suat-chung-chi-tien-gui-cac-ngan-hang")</f>
        <v>https://techcombank.com/thong-tin/blog/lai-suat-chung-chi-tien-gui-cac-ngan-hang</v>
      </c>
      <c r="U37" s="30" t="str">
        <f>IFERROR(__xludf.DUMMYFUNCTION("""COMPUTED_VALUE"""),"chứng chỉ tiền gửi")</f>
        <v>chứng chỉ tiền gửi</v>
      </c>
      <c r="V37" s="34" t="str">
        <f>IFERROR(__xludf.DUMMYFUNCTION("""COMPUTED_VALUE"""),"https://techcombank.com/thong-tin/blog/tien-nhan-roi-nen-lam-gi")</f>
        <v>https://techcombank.com/thong-tin/blog/tien-nhan-roi-nen-lam-gi</v>
      </c>
      <c r="W37" s="30" t="str">
        <f>IFERROR(__xludf.DUMMYFUNCTION("""COMPUTED_VALUE"""),"chứng chỉ tiền gửi")</f>
        <v>chứng chỉ tiền gửi</v>
      </c>
      <c r="X37" s="34" t="str">
        <f>IFERROR(__xludf.DUMMYFUNCTION("""COMPUTED_VALUE"""),"https://techcombank.com/thong-tin/blog/nguyen-tac-quan-ly-tai-chinh-ca-nhan")</f>
        <v>https://techcombank.com/thong-tin/blog/nguyen-tac-quan-ly-tai-chinh-ca-nhan</v>
      </c>
      <c r="Y37" s="30" t="str">
        <f>IFERROR(__xludf.DUMMYFUNCTION("""COMPUTED_VALUE"""),"chứng chỉ tiền gửi")</f>
        <v>chứng chỉ tiền gửi</v>
      </c>
      <c r="Z37" s="34" t="str">
        <f>IFERROR(__xludf.DUMMYFUNCTION("""COMPUTED_VALUE"""),"https://techcombank.com/thong-tin/blog/thanh-khoan-la-gi")</f>
        <v>https://techcombank.com/thong-tin/blog/thanh-khoan-la-gi</v>
      </c>
      <c r="AA37" s="30" t="str">
        <f>IFERROR(__xludf.DUMMYFUNCTION("""COMPUTED_VALUE"""),"chứng chỉ tiền gửi")</f>
        <v>chứng chỉ tiền gửi</v>
      </c>
      <c r="AB37" s="34" t="str">
        <f>IFERROR(__xludf.DUMMYFUNCTION("""COMPUTED_VALUE"""),"https://techcombank.com/thong-tin/blog/tat-toan")</f>
        <v>https://techcombank.com/thong-tin/blog/tat-toan</v>
      </c>
      <c r="AC37" s="30" t="str">
        <f>IFERROR(__xludf.DUMMYFUNCTION("""COMPUTED_VALUE"""),"chứng chỉ tiền gửi")</f>
        <v>chứng chỉ tiền gửi</v>
      </c>
      <c r="AD37" s="34" t="str">
        <f>IFERROR(__xludf.DUMMYFUNCTION("""COMPUTED_VALUE"""),"https://techcombank.com/thong-tin/blog/dau-tu-quy-mo")</f>
        <v>https://techcombank.com/thong-tin/blog/dau-tu-quy-mo</v>
      </c>
      <c r="AE37" s="30" t="str">
        <f>IFERROR(__xludf.DUMMYFUNCTION("""COMPUTED_VALUE"""),"chứng chỉ tiền gửi")</f>
        <v>chứng chỉ tiền gửi</v>
      </c>
      <c r="AF37" s="34" t="str">
        <f>IFERROR(__xludf.DUMMYFUNCTION("""COMPUTED_VALUE"""),"https://techcombank.com/thong-tin/blog/dau-tu-tai-chinh-ca-nhan")</f>
        <v>https://techcombank.com/thong-tin/blog/dau-tu-tai-chinh-ca-nhan</v>
      </c>
      <c r="AG37" s="30" t="str">
        <f>IFERROR(__xludf.DUMMYFUNCTION("""COMPUTED_VALUE"""),"chứng chỉ tiền gửi")</f>
        <v>chứng chỉ tiền gửi</v>
      </c>
      <c r="AH37" s="34" t="str">
        <f>IFERROR(__xludf.DUMMYFUNCTION("""COMPUTED_VALUE"""),"https://techcombank.com/thong-tin/blog/mo-so-tiet-kiem-can-bao-nhieu-tien")</f>
        <v>https://techcombank.com/thong-tin/blog/mo-so-tiet-kiem-can-bao-nhieu-tien</v>
      </c>
      <c r="AI37" s="30" t="str">
        <f>IFERROR(__xludf.DUMMYFUNCTION("""COMPUTED_VALUE"""),"chứng chỉ tiền gửi")</f>
        <v>chứng chỉ tiền gửi</v>
      </c>
      <c r="AJ37" s="34" t="str">
        <f>IFERROR(__xludf.DUMMYFUNCTION("""COMPUTED_VALUE"""),"https://techcombank.com/thong-tin/blog/6-chiec-lo-tai-chinh-ca-nhan")</f>
        <v>https://techcombank.com/thong-tin/blog/6-chiec-lo-tai-chinh-ca-nhan</v>
      </c>
      <c r="AK37" s="30" t="str">
        <f>IFERROR(__xludf.DUMMYFUNCTION("""COMPUTED_VALUE"""),"chứng chỉ tiền gửi")</f>
        <v>chứng chỉ tiền gửi</v>
      </c>
      <c r="AL37" s="34" t="str">
        <f>IFERROR(__xludf.DUMMYFUNCTION("""COMPUTED_VALUE"""),"https://techcombank.com/thong-tin/blog/lam-phat-la-gi")</f>
        <v>https://techcombank.com/thong-tin/blog/lam-phat-la-gi</v>
      </c>
      <c r="AM37" s="30" t="str">
        <f>IFERROR(__xludf.DUMMYFUNCTION("""COMPUTED_VALUE"""),"chứng chỉ tiền gửi")</f>
        <v>chứng chỉ tiền gửi</v>
      </c>
      <c r="AN37" s="34" t="str">
        <f>IFERROR(__xludf.DUMMYFUNCTION("""COMPUTED_VALUE"""),"https://techcombank.com/thong-tin/blog/cac-chung-chi-quy-o-viet-nam")</f>
        <v>https://techcombank.com/thong-tin/blog/cac-chung-chi-quy-o-viet-nam</v>
      </c>
      <c r="AO37" s="30" t="str">
        <f>IFERROR(__xludf.DUMMYFUNCTION("""COMPUTED_VALUE"""),"chứng chỉ tiền gửi")</f>
        <v>chứng chỉ tiền gửi</v>
      </c>
      <c r="AP37" s="34" t="str">
        <f>IFERROR(__xludf.DUMMYFUNCTION("""COMPUTED_VALUE"""),"https://techcombank.com/thong-tin/blog/the-napas-la-gi")</f>
        <v>https://techcombank.com/thong-tin/blog/the-napas-la-gi</v>
      </c>
      <c r="AQ37" s="30" t="str">
        <f>IFERROR(__xludf.DUMMYFUNCTION("""COMPUTED_VALUE"""),"chứng chỉ tiền gửi")</f>
        <v>chứng chỉ tiền gửi</v>
      </c>
      <c r="AR37" s="34" t="str">
        <f>IFERROR(__xludf.DUMMYFUNCTION("""COMPUTED_VALUE"""),"https://techcombank.com/thong-tin/blog/kinh-nghiem-gui-tiet-kiem-online")</f>
        <v>https://techcombank.com/thong-tin/blog/kinh-nghiem-gui-tiet-kiem-online</v>
      </c>
      <c r="AS37" s="30" t="str">
        <f>IFERROR(__xludf.DUMMYFUNCTION("""COMPUTED_VALUE"""),"chứng chỉ tiền gửi")</f>
        <v>chứng chỉ tiền gửi</v>
      </c>
      <c r="AT37" s="34" t="str">
        <f>IFERROR(__xludf.DUMMYFUNCTION("""COMPUTED_VALUE"""),"https://techcombank.com/thong-tin/blog/vay-the-chap-toi-da-duoc-bao-nhieu")</f>
        <v>https://techcombank.com/thong-tin/blog/vay-the-chap-toi-da-duoc-bao-nhieu</v>
      </c>
      <c r="AU37" s="30" t="str">
        <f>IFERROR(__xludf.DUMMYFUNCTION("""COMPUTED_VALUE"""),"chứng chỉ tiền gửi")</f>
        <v>chứng chỉ tiền gửi</v>
      </c>
      <c r="AV37" s="34" t="str">
        <f>IFERROR(__xludf.DUMMYFUNCTION("""COMPUTED_VALUE"""),"https://techcombank.com/thong-tin/blog/app-ngan-hang-uy-tin")</f>
        <v>https://techcombank.com/thong-tin/blog/app-ngan-hang-uy-tin</v>
      </c>
      <c r="AW37" s="30" t="str">
        <f>IFERROR(__xludf.DUMMYFUNCTION("""COMPUTED_VALUE"""),"chứng chỉ tiền gửi")</f>
        <v>chứng chỉ tiền gửi</v>
      </c>
      <c r="AX37" s="34" t="str">
        <f>IFERROR(__xludf.DUMMYFUNCTION("""COMPUTED_VALUE"""),"https://techcombank.com/thong-tin/blog/gui-tiet-kiem-hang-thang")</f>
        <v>https://techcombank.com/thong-tin/blog/gui-tiet-kiem-hang-thang</v>
      </c>
      <c r="AY37" s="30" t="str">
        <f>IFERROR(__xludf.DUMMYFUNCTION("""COMPUTED_VALUE"""),"chứng chỉ tiền gửi là gì")</f>
        <v>chứng chỉ tiền gửi là gì</v>
      </c>
      <c r="AZ37" s="34" t="str">
        <f>IFERROR(__xludf.DUMMYFUNCTION("""COMPUTED_VALUE"""),"https://techcombank.com/thong-tin/blog/gui-tiet-kiem-vang")</f>
        <v>https://techcombank.com/thong-tin/blog/gui-tiet-kiem-vang</v>
      </c>
      <c r="BA37" s="30" t="str">
        <f>IFERROR(__xludf.DUMMYFUNCTION("""COMPUTED_VALUE"""),"chứng chỉ tiền gửi là gì")</f>
        <v>chứng chỉ tiền gửi là gì</v>
      </c>
      <c r="BB37" s="34" t="str">
        <f>IFERROR(__xludf.DUMMYFUNCTION("""COMPUTED_VALUE"""),"https://techcombank.com/thong-tin/blog/nen-gui-tiet-kiem-thong-thuong-hay-tich-luy")</f>
        <v>https://techcombank.com/thong-tin/blog/nen-gui-tiet-kiem-thong-thuong-hay-tich-luy</v>
      </c>
      <c r="BC37" s="30" t="str">
        <f>IFERROR(__xludf.DUMMYFUNCTION("""COMPUTED_VALUE"""),"chứng chỉ tiền gửi")</f>
        <v>chứng chỉ tiền gửi</v>
      </c>
      <c r="BD37" s="34" t="str">
        <f>IFERROR(__xludf.DUMMYFUNCTION("""COMPUTED_VALUE"""),"https://techcombank.com/thong-tin/blog/tai-sao-gui-tiet-kiem-online-lai-suat-cao-hon")</f>
        <v>https://techcombank.com/thong-tin/blog/tai-sao-gui-tiet-kiem-online-lai-suat-cao-hon</v>
      </c>
      <c r="BE37" s="30" t="str">
        <f>IFERROR(__xludf.DUMMYFUNCTION("""COMPUTED_VALUE"""),"chứng chỉ tiền gửi")</f>
        <v>chứng chỉ tiền gửi</v>
      </c>
      <c r="BF37" s="34" t="str">
        <f>IFERROR(__xludf.DUMMYFUNCTION("""COMPUTED_VALUE"""),"https://techcombank.com/thong-tin/blog/chung-chi-tien-gui-co-duoc-bao-hiem-khong")</f>
        <v>https://techcombank.com/thong-tin/blog/chung-chi-tien-gui-co-duoc-bao-hiem-khong</v>
      </c>
      <c r="BG37" s="30" t="str">
        <f>IFERROR(__xludf.DUMMYFUNCTION("""COMPUTED_VALUE"""),"chứng chỉ tiền gửi")</f>
        <v>chứng chỉ tiền gửi</v>
      </c>
      <c r="BH37" s="34" t="str">
        <f>IFERROR(__xludf.DUMMYFUNCTION("""COMPUTED_VALUE"""),"https://techcombank.com/thong-tin/blog/quan-ly-tai-chinh-cho-dan-van-phong")</f>
        <v>https://techcombank.com/thong-tin/blog/quan-ly-tai-chinh-cho-dan-van-phong</v>
      </c>
      <c r="BI37" s="30" t="str">
        <f>IFERROR(__xludf.DUMMYFUNCTION("""COMPUTED_VALUE"""),"chứng chỉ tiền gửi là gì")</f>
        <v>chứng chỉ tiền gửi là gì</v>
      </c>
      <c r="BJ37" s="34" t="str">
        <f>IFERROR(__xludf.DUMMYFUNCTION("""COMPUTED_VALUE"""),"https://techcombank.com/thong-tin/blog/co-nen-gui-tiet-kiem-ngan-hang")</f>
        <v>https://techcombank.com/thong-tin/blog/co-nen-gui-tiet-kiem-ngan-hang</v>
      </c>
      <c r="BK37" s="30" t="str">
        <f>IFERROR(__xludf.DUMMYFUNCTION("""COMPUTED_VALUE"""),"chứng chỉ tiền gửi là gì")</f>
        <v>chứng chỉ tiền gửi là gì</v>
      </c>
      <c r="BL37" s="34" t="str">
        <f>IFERROR(__xludf.DUMMYFUNCTION("""COMPUTED_VALUE"""),"https://techcombank.com/thong-tin/blog/co-nen-gui-tiet-kiem-online")</f>
        <v>https://techcombank.com/thong-tin/blog/co-nen-gui-tiet-kiem-online</v>
      </c>
      <c r="BM37" s="30" t="str">
        <f>IFERROR(__xludf.DUMMYFUNCTION("""COMPUTED_VALUE"""),"chứng chỉ tiền gửi là gì")</f>
        <v>chứng chỉ tiền gửi là gì</v>
      </c>
      <c r="BN37" s="34" t="str">
        <f>IFERROR(__xludf.DUMMYFUNCTION("""COMPUTED_VALUE"""),"https://techcombank.com/thong-tin/blog/gui-tiet-kiem-ngan-hang-van-la-lua-chon-an-toan-trong-thoi-ky-kinh-te-con-nhieu-bien-dong")</f>
        <v>https://techcombank.com/thong-tin/blog/gui-tiet-kiem-ngan-hang-van-la-lua-chon-an-toan-trong-thoi-ky-kinh-te-con-nhieu-bien-dong</v>
      </c>
      <c r="BO37" s="30" t="str">
        <f>IFERROR(__xludf.DUMMYFUNCTION("""COMPUTED_VALUE"""),"chứng chỉ tiền gửi")</f>
        <v>chứng chỉ tiền gửi</v>
      </c>
      <c r="BP37" s="34" t="str">
        <f>IFERROR(__xludf.DUMMYFUNCTION("""COMPUTED_VALUE"""),"https://techcombank.com/thong-tin/blog/gui-tien-ngan-hang-co-an-toan-khong")</f>
        <v>https://techcombank.com/thong-tin/blog/gui-tien-ngan-hang-co-an-toan-khong</v>
      </c>
      <c r="BQ37" s="30" t="str">
        <f>IFERROR(__xludf.DUMMYFUNCTION("""COMPUTED_VALUE"""),"chứng chỉ tiền gửi là gì")</f>
        <v>chứng chỉ tiền gửi là gì</v>
      </c>
      <c r="BR37" s="34" t="str">
        <f>IFERROR(__xludf.DUMMYFUNCTION("""COMPUTED_VALUE"""),"https://techcombank.com/thong-tin/blog/dau-tu-trai-phieu-doanh-nghiep-dung-ham-lai-suat-cao")</f>
        <v>https://techcombank.com/thong-tin/blog/dau-tu-trai-phieu-doanh-nghiep-dung-ham-lai-suat-cao</v>
      </c>
      <c r="BS37" s="30" t="str">
        <f>IFERROR(__xludf.DUMMYFUNCTION("""COMPUTED_VALUE"""),"chứng chỉ tiền gửi")</f>
        <v>chứng chỉ tiền gửi</v>
      </c>
      <c r="BT37" s="34" t="str">
        <f>IFERROR(__xludf.DUMMYFUNCTION("""COMPUTED_VALUE"""),"https://techcombank.com/thong-tin/blog/tat-toan-chung-chi-tien-gui")</f>
        <v>https://techcombank.com/thong-tin/blog/tat-toan-chung-chi-tien-gui</v>
      </c>
      <c r="BU37" s="30"/>
      <c r="BV37" s="30"/>
      <c r="BW37" s="30"/>
      <c r="BX37" s="30"/>
      <c r="BY37" s="30"/>
      <c r="BZ37" s="30"/>
      <c r="CA37" s="30"/>
      <c r="CB37" s="30"/>
      <c r="CC37" s="30"/>
      <c r="CD37" s="30"/>
      <c r="CE37" s="30"/>
      <c r="CF37" s="30"/>
      <c r="CG37" s="30"/>
      <c r="CH37" s="30"/>
      <c r="CI37" s="30"/>
      <c r="CJ37" s="30"/>
      <c r="CK37" s="30"/>
      <c r="CL37" s="30"/>
      <c r="CM37" s="30"/>
      <c r="CN37" s="30"/>
      <c r="CO37" s="30"/>
      <c r="CP37" s="30"/>
      <c r="CQ37" s="30"/>
      <c r="CR37" s="30"/>
      <c r="CS37" s="30"/>
      <c r="CT37" s="30"/>
      <c r="CU37" s="30"/>
      <c r="CV37" s="30"/>
      <c r="CW37" s="30"/>
      <c r="CX37" s="30"/>
      <c r="CY37" s="30"/>
      <c r="CZ37" s="30"/>
      <c r="DA37" s="30"/>
      <c r="DB37" s="30"/>
      <c r="DC37" s="30"/>
      <c r="DD37" s="30"/>
      <c r="DE37" s="30"/>
      <c r="DF37" s="30"/>
      <c r="DG37" s="30"/>
      <c r="DH37" s="30"/>
      <c r="DI37" s="30"/>
      <c r="DJ37" s="30"/>
      <c r="DK37" s="30"/>
      <c r="DL37" s="30"/>
      <c r="DM37" s="30"/>
      <c r="DN37" s="30"/>
      <c r="DO37" s="30"/>
      <c r="DP37" s="30"/>
      <c r="DQ37" s="30"/>
      <c r="DR37" s="30"/>
      <c r="DS37" s="30"/>
      <c r="DT37" s="30"/>
      <c r="DU37" s="30"/>
      <c r="DV37" s="30"/>
      <c r="DW37" s="30"/>
      <c r="DX37" s="30"/>
      <c r="DY37" s="30"/>
      <c r="DZ37" s="30"/>
      <c r="EA37" s="30"/>
      <c r="EB37" s="30"/>
      <c r="EC37" s="30"/>
      <c r="ED37" s="30"/>
      <c r="EE37" s="30"/>
      <c r="EF37" s="30"/>
      <c r="EG37" s="30"/>
      <c r="EH37" s="30"/>
      <c r="EI37" s="30"/>
      <c r="EJ37" s="30"/>
      <c r="EK37" s="30"/>
      <c r="EL37" s="30"/>
      <c r="EM37" s="30"/>
      <c r="EN37" s="30"/>
      <c r="EO37" s="30"/>
      <c r="EP37" s="30"/>
      <c r="EQ37" s="30"/>
      <c r="ER37" s="30"/>
      <c r="ES37" s="30"/>
      <c r="ET37" s="30"/>
      <c r="EU37" s="30"/>
      <c r="EV37" s="30"/>
      <c r="EW37" s="30"/>
      <c r="EX37" s="30"/>
      <c r="EY37" s="30"/>
      <c r="EZ37" s="30"/>
      <c r="FA37" s="30"/>
      <c r="FB37" s="30"/>
      <c r="FC37" s="30"/>
      <c r="FD37" s="30"/>
      <c r="FE37" s="30"/>
      <c r="FF37" s="30"/>
      <c r="FG37" s="30"/>
      <c r="FH37" s="30"/>
      <c r="FI37" s="30"/>
      <c r="FJ37" s="30"/>
      <c r="FK37" s="30"/>
      <c r="FL37" s="30"/>
      <c r="FM37" s="30"/>
      <c r="FN37" s="30"/>
      <c r="FO37" s="30"/>
      <c r="FP37" s="30"/>
      <c r="FQ37" s="30"/>
      <c r="FR37" s="30"/>
      <c r="FS37" s="30"/>
      <c r="FT37" s="30"/>
      <c r="FU37" s="30"/>
      <c r="FV37" s="30"/>
      <c r="FW37" s="30"/>
      <c r="FX37" s="30"/>
      <c r="FY37" s="30"/>
      <c r="FZ37" s="30"/>
      <c r="GA37" s="30"/>
      <c r="GB37" s="30"/>
      <c r="GC37" s="30"/>
      <c r="GD37" s="30"/>
      <c r="GE37" s="30"/>
      <c r="GF37" s="30"/>
      <c r="GG37" s="30"/>
      <c r="GH37" s="30"/>
      <c r="GI37" s="30"/>
      <c r="GJ37" s="30"/>
      <c r="GK37" s="30"/>
      <c r="GL37" s="30"/>
      <c r="GM37" s="30"/>
      <c r="GN37" s="30"/>
      <c r="GO37" s="30"/>
      <c r="GP37" s="30"/>
      <c r="GQ37" s="30"/>
      <c r="GR37" s="30"/>
      <c r="GS37" s="30"/>
      <c r="GT37" s="30"/>
      <c r="GU37" s="30"/>
      <c r="GV37" s="30"/>
      <c r="GW37" s="30"/>
      <c r="GX37" s="30"/>
      <c r="GY37" s="30"/>
      <c r="GZ37" s="30"/>
      <c r="HA37" s="30"/>
      <c r="HB37" s="30"/>
      <c r="HC37" s="30"/>
      <c r="HD37" s="30"/>
      <c r="HE37" s="30"/>
      <c r="HF37" s="30"/>
      <c r="HG37" s="30"/>
      <c r="HH37" s="30"/>
      <c r="HI37" s="30"/>
      <c r="HJ37" s="30"/>
      <c r="HK37" s="30"/>
      <c r="HL37" s="30"/>
      <c r="HM37" s="30"/>
      <c r="HN37" s="30"/>
      <c r="HO37" s="30"/>
      <c r="HP37" s="30"/>
      <c r="HQ37" s="30"/>
      <c r="HR37" s="30"/>
      <c r="HS37" s="30"/>
      <c r="HT37" s="30"/>
      <c r="HU37" s="30"/>
      <c r="HV37" s="30"/>
      <c r="HW37" s="30"/>
      <c r="HX37" s="30"/>
      <c r="HY37" s="30"/>
      <c r="HZ37" s="30"/>
      <c r="IA37" s="30"/>
      <c r="IB37" s="30"/>
      <c r="IC37" s="30"/>
      <c r="ID37" s="30"/>
      <c r="IE37" s="30"/>
      <c r="IF37" s="30"/>
      <c r="IG37" s="30"/>
      <c r="IH37" s="30"/>
      <c r="II37" s="30"/>
      <c r="IJ37" s="30"/>
      <c r="IK37" s="30"/>
      <c r="IL37" s="30"/>
      <c r="IM37" s="30"/>
      <c r="IN37" s="30"/>
      <c r="IO37" s="30"/>
      <c r="IP37" s="30"/>
      <c r="IQ37" s="30"/>
      <c r="IR37" s="30"/>
      <c r="IS37" s="30"/>
      <c r="IT37" s="30"/>
      <c r="IU37" s="30"/>
      <c r="IV37" s="30"/>
      <c r="IW37" s="30"/>
      <c r="IX37" s="30"/>
      <c r="IY37" s="30"/>
      <c r="IZ37" s="30"/>
      <c r="JA37" s="30"/>
      <c r="JB37" s="30"/>
      <c r="JC37" s="30"/>
      <c r="JD37" s="30"/>
      <c r="JE37" s="30"/>
      <c r="JF37" s="30"/>
      <c r="JG37" s="30"/>
      <c r="JH37" s="30"/>
      <c r="JI37" s="30"/>
      <c r="JJ37" s="30"/>
      <c r="JK37" s="30"/>
      <c r="JL37" s="30"/>
      <c r="JM37" s="30"/>
      <c r="JN37" s="30"/>
      <c r="JO37" s="30"/>
      <c r="JP37" s="30"/>
      <c r="JQ37" s="30"/>
      <c r="JR37" s="30"/>
      <c r="JS37" s="30"/>
      <c r="JT37" s="30"/>
      <c r="JU37" s="30"/>
      <c r="JV37" s="30"/>
      <c r="JW37" s="30"/>
      <c r="JX37" s="30"/>
      <c r="JY37" s="30"/>
      <c r="JZ37" s="30"/>
      <c r="KA37" s="30"/>
      <c r="KB37" s="30"/>
      <c r="KC37" s="30"/>
      <c r="KD37" s="30"/>
      <c r="KE37" s="30"/>
      <c r="KF37" s="30"/>
      <c r="KG37" s="30"/>
      <c r="KH37" s="30"/>
      <c r="KI37" s="30"/>
      <c r="KJ37" s="30"/>
      <c r="KK37" s="30"/>
      <c r="KL37" s="30"/>
      <c r="KM37" s="30"/>
      <c r="KN37" s="30"/>
      <c r="KO37" s="30"/>
      <c r="KP37" s="30"/>
      <c r="KQ37" s="30"/>
      <c r="KR37" s="30"/>
      <c r="KS37" s="30"/>
      <c r="KT37" s="30"/>
      <c r="KU37" s="30"/>
      <c r="KV37" s="30"/>
      <c r="KW37" s="30"/>
      <c r="KX37" s="30"/>
      <c r="KY37" s="30"/>
      <c r="KZ37" s="30"/>
      <c r="LA37" s="30"/>
      <c r="LB37" s="30"/>
      <c r="LC37" s="30"/>
      <c r="LD37" s="30"/>
      <c r="LE37" s="30"/>
      <c r="LF37" s="30"/>
      <c r="LG37" s="30"/>
      <c r="LH37" s="30"/>
      <c r="LI37" s="30"/>
      <c r="LJ37" s="30"/>
      <c r="LK37" s="30"/>
      <c r="LL37" s="30"/>
      <c r="LM37" s="30"/>
      <c r="LN37" s="30"/>
      <c r="LO37" s="30"/>
      <c r="LP37" s="30"/>
      <c r="LQ37" s="30"/>
      <c r="LR37" s="30"/>
      <c r="LS37" s="30"/>
      <c r="LT37" s="30"/>
      <c r="LU37" s="30"/>
      <c r="LV37" s="30"/>
      <c r="LW37" s="30"/>
      <c r="LX37" s="30"/>
      <c r="LY37" s="30"/>
      <c r="LZ37" s="30"/>
      <c r="MA37" s="30"/>
      <c r="MB37" s="30"/>
      <c r="MC37" s="30"/>
      <c r="MD37" s="30"/>
      <c r="ME37" s="30"/>
      <c r="MF37" s="30"/>
      <c r="MG37" s="30"/>
      <c r="MH37" s="30"/>
      <c r="MI37" s="30"/>
      <c r="MJ37" s="30"/>
      <c r="MK37" s="30"/>
      <c r="ML37" s="30"/>
      <c r="MM37" s="30"/>
      <c r="MN37" s="30"/>
      <c r="MO37" s="30"/>
      <c r="MP37" s="30"/>
      <c r="MQ37" s="30"/>
      <c r="MR37" s="30"/>
      <c r="MS37" s="30"/>
      <c r="MT37" s="30"/>
      <c r="MU37" s="30"/>
      <c r="MV37" s="30"/>
      <c r="MW37" s="30"/>
      <c r="MX37" s="30"/>
      <c r="MY37" s="30"/>
      <c r="MZ37" s="30"/>
      <c r="NA37" s="30"/>
      <c r="NB37" s="30"/>
      <c r="NC37" s="30"/>
      <c r="ND37" s="30"/>
      <c r="NE37" s="30"/>
      <c r="NF37" s="30"/>
      <c r="NG37" s="30"/>
      <c r="NH37" s="30"/>
      <c r="NI37" s="30"/>
      <c r="NJ37" s="30"/>
      <c r="NK37" s="30"/>
      <c r="NL37" s="30"/>
      <c r="NM37" s="30"/>
      <c r="NN37" s="30"/>
      <c r="NO37" s="30"/>
      <c r="NP37" s="30"/>
      <c r="NQ37" s="30"/>
      <c r="NR37" s="30"/>
      <c r="NS37" s="30"/>
      <c r="NT37" s="30"/>
      <c r="NU37" s="30"/>
      <c r="NV37" s="30"/>
      <c r="NW37" s="30"/>
      <c r="NX37" s="30"/>
      <c r="NY37" s="30"/>
      <c r="NZ37" s="30"/>
      <c r="OA37" s="30"/>
      <c r="OB37" s="30"/>
      <c r="OC37" s="30"/>
      <c r="OD37" s="30"/>
      <c r="OE37" s="30"/>
      <c r="OF37" s="30"/>
      <c r="OG37" s="30"/>
      <c r="OH37" s="30"/>
      <c r="OI37" s="30"/>
      <c r="OJ37" s="30"/>
      <c r="OK37" s="30"/>
      <c r="OL37" s="30"/>
      <c r="OM37" s="30"/>
      <c r="ON37" s="30"/>
      <c r="OO37" s="30"/>
      <c r="OP37" s="30"/>
      <c r="OQ37" s="30"/>
      <c r="OR37" s="30"/>
      <c r="OS37" s="30"/>
      <c r="OT37" s="30"/>
      <c r="OU37" s="30"/>
      <c r="OV37" s="30"/>
    </row>
    <row r="38" ht="18.0" customHeight="1">
      <c r="A38" s="29">
        <v>37.0</v>
      </c>
      <c r="B38" s="30" t="s">
        <v>3805</v>
      </c>
      <c r="C38" s="31" t="s">
        <v>3513</v>
      </c>
      <c r="D38" s="30" t="s">
        <v>1722</v>
      </c>
      <c r="E38" s="29">
        <v>30.0</v>
      </c>
      <c r="F38" s="29">
        <f>COUNTIF('Tổng hợp 75 trang đích'!$B$2:$B$3400,$D38)</f>
        <v>30</v>
      </c>
      <c r="G38" s="29">
        <f>COUNTIFS('Tổng hợp 75 trang đích'!$B$2:$B$3400,$D38,'Tổng hợp 75 trang đích'!$K$2:$K$3400,"PHÙ HỢP CAO")</f>
        <v>1</v>
      </c>
      <c r="H38" s="29">
        <f>COUNTIFS('Tổng hợp 75 trang đích'!$B$2:$B$3400,$D38,'Tổng hợp 75 trang đích'!$K$2:$K$3400,"CÓ THỂ ĐI")</f>
        <v>4</v>
      </c>
      <c r="I38" s="29">
        <f>COUNTIFS('Tổng hợp 75 trang đích'!$B$2:$B$3400,$D38,'Tổng hợp 75 trang đích'!$K$2:$K$3400,"CẦN SOÁT")</f>
        <v>25</v>
      </c>
      <c r="J38" s="32" t="s">
        <v>714</v>
      </c>
      <c r="K38" s="32" t="b">
        <v>0</v>
      </c>
      <c r="L38" s="33" t="s">
        <v>52</v>
      </c>
      <c r="M38" s="30" t="str">
        <f>IFERROR(__xludf.DUMMYFUNCTION("IFERROR(TOROW(CHOOSECOLS(SORT(FILTER({'Tổng hợp 75 trang đích'!$J$2:$J$3400,'Tổng hợp 75 trang đích'!$I$2:$I$3400,MATCH('Tổng hợp 75 trang đích'!$K$2:$K$3400,{""PHÙ HỢP CAO"",""CÓ THỂ ĐI"",""CẦN SOÁT""},0)},'Tổng hợp 75 trang đích'!$B$2:$B$3400=$D38),3,TR"&amp;"UE),1,2)),"""")"),"lợi suất chứng chỉ tiền gửi")</f>
        <v>lợi suất chứng chỉ tiền gửi</v>
      </c>
      <c r="N38" s="34" t="str">
        <f>IFERROR(__xludf.DUMMYFUNCTION("""COMPUTED_VALUE"""),"https://techcombank.com/thong-tin/blog/cach-tinh-loi-nhuan-chung-chi-tien-gui")</f>
        <v>https://techcombank.com/thong-tin/blog/cach-tinh-loi-nhuan-chung-chi-tien-gui</v>
      </c>
      <c r="O38" s="30" t="str">
        <f>IFERROR(__xludf.DUMMYFUNCTION("""COMPUTED_VALUE"""),"lãi suất chứng chỉ tiền gửi")</f>
        <v>lãi suất chứng chỉ tiền gửi</v>
      </c>
      <c r="P38" s="34" t="str">
        <f>IFERROR(__xludf.DUMMYFUNCTION("""COMPUTED_VALUE"""),"https://techcombank.com/thong-tin/blog/tat-toan-chung-chi-tien-gui")</f>
        <v>https://techcombank.com/thong-tin/blog/tat-toan-chung-chi-tien-gui</v>
      </c>
      <c r="Q38" s="30" t="str">
        <f>IFERROR(__xludf.DUMMYFUNCTION("""COMPUTED_VALUE"""),"lãi suất chứng chỉ tiền gửi")</f>
        <v>lãi suất chứng chỉ tiền gửi</v>
      </c>
      <c r="R38" s="34" t="str">
        <f>IFERROR(__xludf.DUMMYFUNCTION("""COMPUTED_VALUE"""),"https://techcombank.com/thong-tin/blog/chung-chi-tien-gui-co-duoc-rut-truoc-han")</f>
        <v>https://techcombank.com/thong-tin/blog/chung-chi-tien-gui-co-duoc-rut-truoc-han</v>
      </c>
      <c r="S38" s="30" t="str">
        <f>IFERROR(__xludf.DUMMYFUNCTION("""COMPUTED_VALUE"""),"lãi suất chứng chỉ tiền gửi")</f>
        <v>lãi suất chứng chỉ tiền gửi</v>
      </c>
      <c r="T38" s="34" t="str">
        <f>IFERROR(__xludf.DUMMYFUNCTION("""COMPUTED_VALUE"""),"https://techcombank.com/thong-tin/blog/chuyen-nhuong-chung-chi-tien-gui")</f>
        <v>https://techcombank.com/thong-tin/blog/chuyen-nhuong-chung-chi-tien-gui</v>
      </c>
      <c r="U38" s="30" t="str">
        <f>IFERROR(__xludf.DUMMYFUNCTION("""COMPUTED_VALUE"""),"lợi suất chứng chỉ tiền gửi")</f>
        <v>lợi suất chứng chỉ tiền gửi</v>
      </c>
      <c r="V38" s="34" t="str">
        <f>IFERROR(__xludf.DUMMYFUNCTION("""COMPUTED_VALUE"""),"https://techcombank.com/thong-tin/blog/chung-chi-tien-gui-co-duoc-bao-hiem-khong")</f>
        <v>https://techcombank.com/thong-tin/blog/chung-chi-tien-gui-co-duoc-bao-hiem-khong</v>
      </c>
      <c r="W38" s="30" t="str">
        <f>IFERROR(__xludf.DUMMYFUNCTION("""COMPUTED_VALUE"""),"lãi suất chứng chỉ tiền gửi các ngân hàng")</f>
        <v>lãi suất chứng chỉ tiền gửi các ngân hàng</v>
      </c>
      <c r="X38" s="34" t="str">
        <f>IFERROR(__xludf.DUMMYFUNCTION("""COMPUTED_VALUE"""),"https://techcombank.com/thong-tin/blog/chung-chi-tien-gui-la-gi")</f>
        <v>https://techcombank.com/thong-tin/blog/chung-chi-tien-gui-la-gi</v>
      </c>
      <c r="Y38" s="30" t="str">
        <f>IFERROR(__xludf.DUMMYFUNCTION("""COMPUTED_VALUE"""),"lãi suất chứng chỉ tiền gửi các ngân hàng")</f>
        <v>lãi suất chứng chỉ tiền gửi các ngân hàng</v>
      </c>
      <c r="Z38" s="34" t="str">
        <f>IFERROR(__xludf.DUMMYFUNCTION("""COMPUTED_VALUE"""),"https://techcombank.com/thong-tin/blog/lai-suat-tiet-kiem")</f>
        <v>https://techcombank.com/thong-tin/blog/lai-suat-tiet-kiem</v>
      </c>
      <c r="AA38" s="30" t="str">
        <f>IFERROR(__xludf.DUMMYFUNCTION("""COMPUTED_VALUE"""),"lợi suất chứng chỉ tiền gửi")</f>
        <v>lợi suất chứng chỉ tiền gửi</v>
      </c>
      <c r="AB38" s="34" t="str">
        <f>IFERROR(__xludf.DUMMYFUNCTION("""COMPUTED_VALUE"""),"https://techcombank.com/thong-tin/blog/co-nen-gui-chung-chi-tien-gui")</f>
        <v>https://techcombank.com/thong-tin/blog/co-nen-gui-chung-chi-tien-gui</v>
      </c>
      <c r="AC38" s="30" t="str">
        <f>IFERROR(__xludf.DUMMYFUNCTION("""COMPUTED_VALUE"""),"lãi suất chứng chỉ tiền gửi")</f>
        <v>lãi suất chứng chỉ tiền gửi</v>
      </c>
      <c r="AD38" s="34" t="str">
        <f>IFERROR(__xludf.DUMMYFUNCTION("""COMPUTED_VALUE"""),"https://techcombank.com/thong-tin/blog/dau-tu-trai-phieu-doanh-nghiep-dung-ham-lai-suat-cao")</f>
        <v>https://techcombank.com/thong-tin/blog/dau-tu-trai-phieu-doanh-nghiep-dung-ham-lai-suat-cao</v>
      </c>
      <c r="AE38" s="30" t="str">
        <f>IFERROR(__xludf.DUMMYFUNCTION("""COMPUTED_VALUE"""),"lãi suất chứng chỉ tiền gửi các ngân hàng")</f>
        <v>lãi suất chứng chỉ tiền gửi các ngân hàng</v>
      </c>
      <c r="AF38" s="34" t="str">
        <f>IFERROR(__xludf.DUMMYFUNCTION("""COMPUTED_VALUE"""),"https://techcombank.com/thong-tin/blog/cach-tinh-lai-suat-tien-gui-tiet-kiem")</f>
        <v>https://techcombank.com/thong-tin/blog/cach-tinh-lai-suat-tien-gui-tiet-kiem</v>
      </c>
      <c r="AG38" s="30" t="str">
        <f>IFERROR(__xludf.DUMMYFUNCTION("""COMPUTED_VALUE"""),"lãi suất chứng chỉ tiền gửi các ngân hàng")</f>
        <v>lãi suất chứng chỉ tiền gửi các ngân hàng</v>
      </c>
      <c r="AH38" s="34" t="str">
        <f>IFERROR(__xludf.DUMMYFUNCTION("""COMPUTED_VALUE"""),"https://techcombank.com/thong-tin/blog/chon-kenh-dau-tu-an-toan-trong-boi-canh-thi-truong-bien-dong")</f>
        <v>https://techcombank.com/thong-tin/blog/chon-kenh-dau-tu-an-toan-trong-boi-canh-thi-truong-bien-dong</v>
      </c>
      <c r="AI38" s="30" t="str">
        <f>IFERROR(__xludf.DUMMYFUNCTION("""COMPUTED_VALUE"""),"lợi suất chứng chỉ tiền gửi")</f>
        <v>lợi suất chứng chỉ tiền gửi</v>
      </c>
      <c r="AJ38" s="34" t="str">
        <f>IFERROR(__xludf.DUMMYFUNCTION("""COMPUTED_VALUE"""),"https://techcombank.com/thong-tin/blog/tien-nhan-roi-nen-lam-gi")</f>
        <v>https://techcombank.com/thong-tin/blog/tien-nhan-roi-nen-lam-gi</v>
      </c>
      <c r="AK38" s="30" t="str">
        <f>IFERROR(__xludf.DUMMYFUNCTION("""COMPUTED_VALUE"""),"lãi suất chứng chỉ tiền gửi các ngân hàng")</f>
        <v>lãi suất chứng chỉ tiền gửi các ngân hàng</v>
      </c>
      <c r="AL38" s="34" t="str">
        <f>IFERROR(__xludf.DUMMYFUNCTION("""COMPUTED_VALUE"""),"https://techcombank.com/thong-tin/blog/chung-chi-tien-gui-co-phai-la-trai-phieu-khong")</f>
        <v>https://techcombank.com/thong-tin/blog/chung-chi-tien-gui-co-phai-la-trai-phieu-khong</v>
      </c>
      <c r="AM38" s="30" t="str">
        <f>IFERROR(__xludf.DUMMYFUNCTION("""COMPUTED_VALUE"""),"lãi suất chứng chỉ tiền gửi")</f>
        <v>lãi suất chứng chỉ tiền gửi</v>
      </c>
      <c r="AN38" s="34" t="str">
        <f>IFERROR(__xludf.DUMMYFUNCTION("""COMPUTED_VALUE"""),"https://techcombank.com/thong-tin/blog/quan-ly-tai-chinh-doanh-nghiep-nho")</f>
        <v>https://techcombank.com/thong-tin/blog/quan-ly-tai-chinh-doanh-nghiep-nho</v>
      </c>
      <c r="AO38" s="30" t="str">
        <f>IFERROR(__xludf.DUMMYFUNCTION("""COMPUTED_VALUE"""),"lãi suất chứng chỉ tiền gửi")</f>
        <v>lãi suất chứng chỉ tiền gửi</v>
      </c>
      <c r="AP38" s="34" t="str">
        <f>IFERROR(__xludf.DUMMYFUNCTION("""COMPUTED_VALUE"""),"https://techcombank.com/thong-tin/blog/so-tiet-kiem-ngan-hang")</f>
        <v>https://techcombank.com/thong-tin/blog/so-tiet-kiem-ngan-hang</v>
      </c>
      <c r="AQ38" s="30" t="str">
        <f>IFERROR(__xludf.DUMMYFUNCTION("""COMPUTED_VALUE"""),"lãi suất chứng chỉ tiền gửi các ngân hàng")</f>
        <v>lãi suất chứng chỉ tiền gửi các ngân hàng</v>
      </c>
      <c r="AR38" s="34" t="str">
        <f>IFERROR(__xludf.DUMMYFUNCTION("""COMPUTED_VALUE"""),"https://techcombank.com/thong-tin/blog/tien-gui-khong-ky-han")</f>
        <v>https://techcombank.com/thong-tin/blog/tien-gui-khong-ky-han</v>
      </c>
      <c r="AS38" s="30" t="str">
        <f>IFERROR(__xludf.DUMMYFUNCTION("""COMPUTED_VALUE"""),"lãi suất chứng chỉ tiền gửi các ngân hàng")</f>
        <v>lãi suất chứng chỉ tiền gửi các ngân hàng</v>
      </c>
      <c r="AT38" s="34" t="str">
        <f>IFERROR(__xludf.DUMMYFUNCTION("""COMPUTED_VALUE"""),"https://techcombank.com/thong-tin/blog/tien-gui-co-ky-han")</f>
        <v>https://techcombank.com/thong-tin/blog/tien-gui-co-ky-han</v>
      </c>
      <c r="AU38" s="30" t="str">
        <f>IFERROR(__xludf.DUMMYFUNCTION("""COMPUTED_VALUE"""),"lãi suất chứng chỉ tiền gửi")</f>
        <v>lãi suất chứng chỉ tiền gửi</v>
      </c>
      <c r="AV38" s="34" t="str">
        <f>IFERROR(__xludf.DUMMYFUNCTION("""COMPUTED_VALUE"""),"https://techcombank.com/thong-tin/blog/gui-tiet-kiem-theo-ngay")</f>
        <v>https://techcombank.com/thong-tin/blog/gui-tiet-kiem-theo-ngay</v>
      </c>
      <c r="AW38" s="30" t="str">
        <f>IFERROR(__xludf.DUMMYFUNCTION("""COMPUTED_VALUE"""),"lãi suất chứng chỉ tiền gửi các ngân hàng")</f>
        <v>lãi suất chứng chỉ tiền gửi các ngân hàng</v>
      </c>
      <c r="AX38" s="34" t="str">
        <f>IFERROR(__xludf.DUMMYFUNCTION("""COMPUTED_VALUE"""),"https://techcombank.com/thong-tin/blog/nen-gui-tiet-kiem-6-thang-hay-1-nam")</f>
        <v>https://techcombank.com/thong-tin/blog/nen-gui-tiet-kiem-6-thang-hay-1-nam</v>
      </c>
      <c r="AY38" s="30" t="str">
        <f>IFERROR(__xludf.DUMMYFUNCTION("""COMPUTED_VALUE"""),"lãi suất chứng chỉ tiền gửi các ngân hàng")</f>
        <v>lãi suất chứng chỉ tiền gửi các ngân hàng</v>
      </c>
      <c r="AZ38" s="34" t="str">
        <f>IFERROR(__xludf.DUMMYFUNCTION("""COMPUTED_VALUE"""),"https://techcombank.com/thong-tin/blog/so-sanh-gui-tiet-kiem-online-va-tai-quay")</f>
        <v>https://techcombank.com/thong-tin/blog/so-sanh-gui-tiet-kiem-online-va-tai-quay</v>
      </c>
      <c r="BA38" s="30" t="str">
        <f>IFERROR(__xludf.DUMMYFUNCTION("""COMPUTED_VALUE"""),"lãi suất chứng chỉ tiền gửi các ngân hàng")</f>
        <v>lãi suất chứng chỉ tiền gửi các ngân hàng</v>
      </c>
      <c r="BB38" s="34" t="str">
        <f>IFERROR(__xludf.DUMMYFUNCTION("""COMPUTED_VALUE"""),"https://techcombank.com/thong-tin/blog/cach-tiet-kiem-tien-sinh-loi")</f>
        <v>https://techcombank.com/thong-tin/blog/cach-tiet-kiem-tien-sinh-loi</v>
      </c>
      <c r="BC38" s="30" t="str">
        <f>IFERROR(__xludf.DUMMYFUNCTION("""COMPUTED_VALUE"""),"lãi suất chứng chỉ tiền gửi các ngân hàng")</f>
        <v>lãi suất chứng chỉ tiền gửi các ngân hàng</v>
      </c>
      <c r="BD38" s="34" t="str">
        <f>IFERROR(__xludf.DUMMYFUNCTION("""COMPUTED_VALUE"""),"https://techcombank.com/thong-tin/blog/gui-tiet-kiem-hang-thang")</f>
        <v>https://techcombank.com/thong-tin/blog/gui-tiet-kiem-hang-thang</v>
      </c>
      <c r="BE38" s="30" t="str">
        <f>IFERROR(__xludf.DUMMYFUNCTION("""COMPUTED_VALUE"""),"lợi suất chứng chỉ tiền gửi")</f>
        <v>lợi suất chứng chỉ tiền gửi</v>
      </c>
      <c r="BF38" s="34" t="str">
        <f>IFERROR(__xludf.DUMMYFUNCTION("""COMPUTED_VALUE"""),"https://techcombank.com/thong-tin/blog/nguyen-tac-quan-ly-tai-chinh-ca-nhan")</f>
        <v>https://techcombank.com/thong-tin/blog/nguyen-tac-quan-ly-tai-chinh-ca-nhan</v>
      </c>
      <c r="BG38" s="30" t="str">
        <f>IFERROR(__xludf.DUMMYFUNCTION("""COMPUTED_VALUE"""),"lãi suất chứng chỉ tiền gửi các ngân hàng")</f>
        <v>lãi suất chứng chỉ tiền gửi các ngân hàng</v>
      </c>
      <c r="BH38" s="34" t="str">
        <f>IFERROR(__xludf.DUMMYFUNCTION("""COMPUTED_VALUE"""),"https://techcombank.com/thong-tin/blog/thi-truong-trai-phieu-co-hoi-dau-tu-trai-phieu-vang-du-lai-suat-thap")</f>
        <v>https://techcombank.com/thong-tin/blog/thi-truong-trai-phieu-co-hoi-dau-tu-trai-phieu-vang-du-lai-suat-thap</v>
      </c>
      <c r="BI38" s="30" t="str">
        <f>IFERROR(__xludf.DUMMYFUNCTION("""COMPUTED_VALUE"""),"lợi suất chứng chỉ tiền gửi")</f>
        <v>lợi suất chứng chỉ tiền gửi</v>
      </c>
      <c r="BJ38" s="34" t="str">
        <f>IFERROR(__xludf.DUMMYFUNCTION("""COMPUTED_VALUE"""),"https://techcombank.com/thong-tin/blog/thanh-khoan-la-gi")</f>
        <v>https://techcombank.com/thong-tin/blog/thanh-khoan-la-gi</v>
      </c>
      <c r="BK38" s="30" t="str">
        <f>IFERROR(__xludf.DUMMYFUNCTION("""COMPUTED_VALUE"""),"lãi suất chứng chỉ tiền gửi")</f>
        <v>lãi suất chứng chỉ tiền gửi</v>
      </c>
      <c r="BL38" s="34" t="str">
        <f>IFERROR(__xludf.DUMMYFUNCTION("""COMPUTED_VALUE"""),"https://techcombank.com/thong-tin/blog/lai-kep-ngan-hang")</f>
        <v>https://techcombank.com/thong-tin/blog/lai-kep-ngan-hang</v>
      </c>
      <c r="BM38" s="30" t="str">
        <f>IFERROR(__xludf.DUMMYFUNCTION("""COMPUTED_VALUE"""),"lãi suất chứng chỉ tiền gửi các ngân hàng")</f>
        <v>lãi suất chứng chỉ tiền gửi các ngân hàng</v>
      </c>
      <c r="BN38" s="34" t="str">
        <f>IFERROR(__xludf.DUMMYFUNCTION("""COMPUTED_VALUE"""),"https://techcombank.com/thong-tin/blog/bi-quyet-tiet-kiem-tien-mua-nha")</f>
        <v>https://techcombank.com/thong-tin/blog/bi-quyet-tiet-kiem-tien-mua-nha</v>
      </c>
      <c r="BO38" s="30" t="str">
        <f>IFERROR(__xludf.DUMMYFUNCTION("""COMPUTED_VALUE"""),"lãi suất chứng chỉ tiền gửi")</f>
        <v>lãi suất chứng chỉ tiền gửi</v>
      </c>
      <c r="BP38" s="34" t="str">
        <f>IFERROR(__xludf.DUMMYFUNCTION("""COMPUTED_VALUE"""),"https://techcombank.com/thong-tin/blog/tat-toan-so-tiet-kiem")</f>
        <v>https://techcombank.com/thong-tin/blog/tat-toan-so-tiet-kiem</v>
      </c>
      <c r="BQ38" s="30" t="str">
        <f>IFERROR(__xludf.DUMMYFUNCTION("""COMPUTED_VALUE"""),"lãi suất chứng chỉ tiền gửi")</f>
        <v>lãi suất chứng chỉ tiền gửi</v>
      </c>
      <c r="BR38" s="34" t="str">
        <f>IFERROR(__xludf.DUMMYFUNCTION("""COMPUTED_VALUE"""),"https://techcombank.com/thong-tin/blog/lai-suat-chung-chi-quy")</f>
        <v>https://techcombank.com/thong-tin/blog/lai-suat-chung-chi-quy</v>
      </c>
      <c r="BS38" s="30" t="str">
        <f>IFERROR(__xludf.DUMMYFUNCTION("""COMPUTED_VALUE"""),"lãi suất chứng chỉ tiền gửi các ngân hàng")</f>
        <v>lãi suất chứng chỉ tiền gửi các ngân hàng</v>
      </c>
      <c r="BT38" s="34" t="str">
        <f>IFERROR(__xludf.DUMMYFUNCTION("""COMPUTED_VALUE"""),"https://techcombank.com/thong-tin/blog/lai-suat-cho-vay-doanh-nghiep")</f>
        <v>https://techcombank.com/thong-tin/blog/lai-suat-cho-vay-doanh-nghiep</v>
      </c>
      <c r="BU38" s="30"/>
      <c r="BV38" s="30"/>
      <c r="BW38" s="30"/>
      <c r="BX38" s="30"/>
      <c r="BY38" s="30"/>
      <c r="BZ38" s="30"/>
      <c r="CA38" s="30"/>
      <c r="CB38" s="30"/>
      <c r="CC38" s="30"/>
      <c r="CD38" s="30"/>
      <c r="CE38" s="30"/>
      <c r="CF38" s="30"/>
      <c r="CG38" s="30"/>
      <c r="CH38" s="30"/>
      <c r="CI38" s="30"/>
      <c r="CJ38" s="30"/>
      <c r="CK38" s="30"/>
      <c r="CL38" s="30"/>
      <c r="CM38" s="30"/>
      <c r="CN38" s="30"/>
      <c r="CO38" s="30"/>
      <c r="CP38" s="30"/>
      <c r="CQ38" s="30"/>
      <c r="CR38" s="30"/>
      <c r="CS38" s="30"/>
      <c r="CT38" s="30"/>
      <c r="CU38" s="30"/>
      <c r="CV38" s="30"/>
      <c r="CW38" s="30"/>
      <c r="CX38" s="30"/>
      <c r="CY38" s="30"/>
      <c r="CZ38" s="30"/>
      <c r="DA38" s="30"/>
      <c r="DB38" s="30"/>
      <c r="DC38" s="30"/>
      <c r="DD38" s="30"/>
      <c r="DE38" s="30"/>
      <c r="DF38" s="30"/>
      <c r="DG38" s="30"/>
      <c r="DH38" s="30"/>
      <c r="DI38" s="30"/>
      <c r="DJ38" s="30"/>
      <c r="DK38" s="30"/>
      <c r="DL38" s="30"/>
      <c r="DM38" s="30"/>
      <c r="DN38" s="30"/>
      <c r="DO38" s="30"/>
      <c r="DP38" s="30"/>
      <c r="DQ38" s="30"/>
      <c r="DR38" s="30"/>
      <c r="DS38" s="30"/>
      <c r="DT38" s="30"/>
      <c r="DU38" s="30"/>
      <c r="DV38" s="30"/>
      <c r="DW38" s="30"/>
      <c r="DX38" s="30"/>
      <c r="DY38" s="30"/>
      <c r="DZ38" s="30"/>
      <c r="EA38" s="30"/>
      <c r="EB38" s="30"/>
      <c r="EC38" s="30"/>
      <c r="ED38" s="30"/>
      <c r="EE38" s="30"/>
      <c r="EF38" s="30"/>
      <c r="EG38" s="30"/>
      <c r="EH38" s="30"/>
      <c r="EI38" s="30"/>
      <c r="EJ38" s="30"/>
      <c r="EK38" s="30"/>
      <c r="EL38" s="30"/>
      <c r="EM38" s="30"/>
      <c r="EN38" s="30"/>
      <c r="EO38" s="30"/>
      <c r="EP38" s="30"/>
      <c r="EQ38" s="30"/>
      <c r="ER38" s="30"/>
      <c r="ES38" s="30"/>
      <c r="ET38" s="30"/>
      <c r="EU38" s="30"/>
      <c r="EV38" s="30"/>
      <c r="EW38" s="30"/>
      <c r="EX38" s="30"/>
      <c r="EY38" s="30"/>
      <c r="EZ38" s="30"/>
      <c r="FA38" s="30"/>
      <c r="FB38" s="30"/>
      <c r="FC38" s="30"/>
      <c r="FD38" s="30"/>
      <c r="FE38" s="30"/>
      <c r="FF38" s="30"/>
      <c r="FG38" s="30"/>
      <c r="FH38" s="30"/>
      <c r="FI38" s="30"/>
      <c r="FJ38" s="30"/>
      <c r="FK38" s="30"/>
      <c r="FL38" s="30"/>
      <c r="FM38" s="30"/>
      <c r="FN38" s="30"/>
      <c r="FO38" s="30"/>
      <c r="FP38" s="30"/>
      <c r="FQ38" s="30"/>
      <c r="FR38" s="30"/>
      <c r="FS38" s="30"/>
      <c r="FT38" s="30"/>
      <c r="FU38" s="30"/>
      <c r="FV38" s="30"/>
      <c r="FW38" s="30"/>
      <c r="FX38" s="30"/>
      <c r="FY38" s="30"/>
      <c r="FZ38" s="30"/>
      <c r="GA38" s="30"/>
      <c r="GB38" s="30"/>
      <c r="GC38" s="30"/>
      <c r="GD38" s="30"/>
      <c r="GE38" s="30"/>
      <c r="GF38" s="30"/>
      <c r="GG38" s="30"/>
      <c r="GH38" s="30"/>
      <c r="GI38" s="30"/>
      <c r="GJ38" s="30"/>
      <c r="GK38" s="30"/>
      <c r="GL38" s="30"/>
      <c r="GM38" s="30"/>
      <c r="GN38" s="30"/>
      <c r="GO38" s="30"/>
      <c r="GP38" s="30"/>
      <c r="GQ38" s="30"/>
      <c r="GR38" s="30"/>
      <c r="GS38" s="30"/>
      <c r="GT38" s="30"/>
      <c r="GU38" s="30"/>
      <c r="GV38" s="30"/>
      <c r="GW38" s="30"/>
      <c r="GX38" s="30"/>
      <c r="GY38" s="30"/>
      <c r="GZ38" s="30"/>
      <c r="HA38" s="30"/>
      <c r="HB38" s="30"/>
      <c r="HC38" s="30"/>
      <c r="HD38" s="30"/>
      <c r="HE38" s="30"/>
      <c r="HF38" s="30"/>
      <c r="HG38" s="30"/>
      <c r="HH38" s="30"/>
      <c r="HI38" s="30"/>
      <c r="HJ38" s="30"/>
      <c r="HK38" s="30"/>
      <c r="HL38" s="30"/>
      <c r="HM38" s="30"/>
      <c r="HN38" s="30"/>
      <c r="HO38" s="30"/>
      <c r="HP38" s="30"/>
      <c r="HQ38" s="30"/>
      <c r="HR38" s="30"/>
      <c r="HS38" s="30"/>
      <c r="HT38" s="30"/>
      <c r="HU38" s="30"/>
      <c r="HV38" s="30"/>
      <c r="HW38" s="30"/>
      <c r="HX38" s="30"/>
      <c r="HY38" s="30"/>
      <c r="HZ38" s="30"/>
      <c r="IA38" s="30"/>
      <c r="IB38" s="30"/>
      <c r="IC38" s="30"/>
      <c r="ID38" s="30"/>
      <c r="IE38" s="30"/>
      <c r="IF38" s="30"/>
      <c r="IG38" s="30"/>
      <c r="IH38" s="30"/>
      <c r="II38" s="30"/>
      <c r="IJ38" s="30"/>
      <c r="IK38" s="30"/>
      <c r="IL38" s="30"/>
      <c r="IM38" s="30"/>
      <c r="IN38" s="30"/>
      <c r="IO38" s="30"/>
      <c r="IP38" s="30"/>
      <c r="IQ38" s="30"/>
      <c r="IR38" s="30"/>
      <c r="IS38" s="30"/>
      <c r="IT38" s="30"/>
      <c r="IU38" s="30"/>
      <c r="IV38" s="30"/>
      <c r="IW38" s="30"/>
      <c r="IX38" s="30"/>
      <c r="IY38" s="30"/>
      <c r="IZ38" s="30"/>
      <c r="JA38" s="30"/>
      <c r="JB38" s="30"/>
      <c r="JC38" s="30"/>
      <c r="JD38" s="30"/>
      <c r="JE38" s="30"/>
      <c r="JF38" s="30"/>
      <c r="JG38" s="30"/>
      <c r="JH38" s="30"/>
      <c r="JI38" s="30"/>
      <c r="JJ38" s="30"/>
      <c r="JK38" s="30"/>
      <c r="JL38" s="30"/>
      <c r="JM38" s="30"/>
      <c r="JN38" s="30"/>
      <c r="JO38" s="30"/>
      <c r="JP38" s="30"/>
      <c r="JQ38" s="30"/>
      <c r="JR38" s="30"/>
      <c r="JS38" s="30"/>
      <c r="JT38" s="30"/>
      <c r="JU38" s="30"/>
      <c r="JV38" s="30"/>
      <c r="JW38" s="30"/>
      <c r="JX38" s="30"/>
      <c r="JY38" s="30"/>
      <c r="JZ38" s="30"/>
      <c r="KA38" s="30"/>
      <c r="KB38" s="30"/>
      <c r="KC38" s="30"/>
      <c r="KD38" s="30"/>
      <c r="KE38" s="30"/>
      <c r="KF38" s="30"/>
      <c r="KG38" s="30"/>
      <c r="KH38" s="30"/>
      <c r="KI38" s="30"/>
      <c r="KJ38" s="30"/>
      <c r="KK38" s="30"/>
      <c r="KL38" s="30"/>
      <c r="KM38" s="30"/>
      <c r="KN38" s="30"/>
      <c r="KO38" s="30"/>
      <c r="KP38" s="30"/>
      <c r="KQ38" s="30"/>
      <c r="KR38" s="30"/>
      <c r="KS38" s="30"/>
      <c r="KT38" s="30"/>
      <c r="KU38" s="30"/>
      <c r="KV38" s="30"/>
      <c r="KW38" s="30"/>
      <c r="KX38" s="30"/>
      <c r="KY38" s="30"/>
      <c r="KZ38" s="30"/>
      <c r="LA38" s="30"/>
      <c r="LB38" s="30"/>
      <c r="LC38" s="30"/>
      <c r="LD38" s="30"/>
      <c r="LE38" s="30"/>
      <c r="LF38" s="30"/>
      <c r="LG38" s="30"/>
      <c r="LH38" s="30"/>
      <c r="LI38" s="30"/>
      <c r="LJ38" s="30"/>
      <c r="LK38" s="30"/>
      <c r="LL38" s="30"/>
      <c r="LM38" s="30"/>
      <c r="LN38" s="30"/>
      <c r="LO38" s="30"/>
      <c r="LP38" s="30"/>
      <c r="LQ38" s="30"/>
      <c r="LR38" s="30"/>
      <c r="LS38" s="30"/>
      <c r="LT38" s="30"/>
      <c r="LU38" s="30"/>
      <c r="LV38" s="30"/>
      <c r="LW38" s="30"/>
      <c r="LX38" s="30"/>
      <c r="LY38" s="30"/>
      <c r="LZ38" s="30"/>
      <c r="MA38" s="30"/>
      <c r="MB38" s="30"/>
      <c r="MC38" s="30"/>
      <c r="MD38" s="30"/>
      <c r="ME38" s="30"/>
      <c r="MF38" s="30"/>
      <c r="MG38" s="30"/>
      <c r="MH38" s="30"/>
      <c r="MI38" s="30"/>
      <c r="MJ38" s="30"/>
      <c r="MK38" s="30"/>
      <c r="ML38" s="30"/>
      <c r="MM38" s="30"/>
      <c r="MN38" s="30"/>
      <c r="MO38" s="30"/>
      <c r="MP38" s="30"/>
      <c r="MQ38" s="30"/>
      <c r="MR38" s="30"/>
      <c r="MS38" s="30"/>
      <c r="MT38" s="30"/>
      <c r="MU38" s="30"/>
      <c r="MV38" s="30"/>
      <c r="MW38" s="30"/>
      <c r="MX38" s="30"/>
      <c r="MY38" s="30"/>
      <c r="MZ38" s="30"/>
      <c r="NA38" s="30"/>
      <c r="NB38" s="30"/>
      <c r="NC38" s="30"/>
      <c r="ND38" s="30"/>
      <c r="NE38" s="30"/>
      <c r="NF38" s="30"/>
      <c r="NG38" s="30"/>
      <c r="NH38" s="30"/>
      <c r="NI38" s="30"/>
      <c r="NJ38" s="30"/>
      <c r="NK38" s="30"/>
      <c r="NL38" s="30"/>
      <c r="NM38" s="30"/>
      <c r="NN38" s="30"/>
      <c r="NO38" s="30"/>
      <c r="NP38" s="30"/>
      <c r="NQ38" s="30"/>
      <c r="NR38" s="30"/>
      <c r="NS38" s="30"/>
      <c r="NT38" s="30"/>
      <c r="NU38" s="30"/>
      <c r="NV38" s="30"/>
      <c r="NW38" s="30"/>
      <c r="NX38" s="30"/>
      <c r="NY38" s="30"/>
      <c r="NZ38" s="30"/>
      <c r="OA38" s="30"/>
      <c r="OB38" s="30"/>
      <c r="OC38" s="30"/>
      <c r="OD38" s="30"/>
      <c r="OE38" s="30"/>
      <c r="OF38" s="30"/>
      <c r="OG38" s="30"/>
      <c r="OH38" s="30"/>
      <c r="OI38" s="30"/>
      <c r="OJ38" s="30"/>
      <c r="OK38" s="30"/>
      <c r="OL38" s="30"/>
      <c r="OM38" s="30"/>
      <c r="ON38" s="30"/>
      <c r="OO38" s="30"/>
      <c r="OP38" s="30"/>
      <c r="OQ38" s="30"/>
      <c r="OR38" s="30"/>
      <c r="OS38" s="30"/>
      <c r="OT38" s="30"/>
      <c r="OU38" s="30"/>
      <c r="OV38" s="30"/>
    </row>
    <row r="39" ht="18.0" customHeight="1">
      <c r="A39" s="29">
        <v>38.0</v>
      </c>
      <c r="B39" s="30" t="s">
        <v>3920</v>
      </c>
      <c r="C39" s="31" t="s">
        <v>3557</v>
      </c>
      <c r="D39" s="30" t="s">
        <v>2957</v>
      </c>
      <c r="E39" s="29">
        <v>30.0</v>
      </c>
      <c r="F39" s="29">
        <f>COUNTIF('Tổng hợp 75 trang đích'!$B$2:$B$3400,$D39)</f>
        <v>30</v>
      </c>
      <c r="G39" s="29">
        <f>COUNTIFS('Tổng hợp 75 trang đích'!$B$2:$B$3400,$D39,'Tổng hợp 75 trang đích'!$K$2:$K$3400,"PHÙ HỢP CAO")</f>
        <v>4</v>
      </c>
      <c r="H39" s="29">
        <f>COUNTIFS('Tổng hợp 75 trang đích'!$B$2:$B$3400,$D39,'Tổng hợp 75 trang đích'!$K$2:$K$3400,"CÓ THỂ ĐI")</f>
        <v>0</v>
      </c>
      <c r="I39" s="29">
        <f>COUNTIFS('Tổng hợp 75 trang đích'!$B$2:$B$3400,$D39,'Tổng hợp 75 trang đích'!$K$2:$K$3400,"CẦN SOÁT")</f>
        <v>26</v>
      </c>
      <c r="J39" s="32" t="s">
        <v>714</v>
      </c>
      <c r="K39" s="32" t="b">
        <v>0</v>
      </c>
      <c r="L39" s="33" t="s">
        <v>52</v>
      </c>
      <c r="M39" s="30" t="str">
        <f>IFERROR(__xludf.DUMMYFUNCTION("IFERROR(TOROW(CHOOSECOLS(SORT(FILTER({'Tổng hợp 75 trang đích'!$J$2:$J$3400,'Tổng hợp 75 trang đích'!$I$2:$I$3400,MATCH('Tổng hợp 75 trang đích'!$K$2:$K$3400,{""PHÙ HỢP CAO"",""CÓ THỂ ĐI"",""CẦN SOÁT""},0)},'Tổng hợp 75 trang đích'!$B$2:$B$3400=$D39),3,TR"&amp;"UE),1,2)),"""")"),"tỷ giá Nhân dân tệ")</f>
        <v>tỷ giá Nhân dân tệ</v>
      </c>
      <c r="N39" s="34" t="str">
        <f>IFERROR(__xludf.DUMMYFUNCTION("""COMPUTED_VALUE"""),"https://techcombank.com/thong-tin/blog/tien-trung-quoc")</f>
        <v>https://techcombank.com/thong-tin/blog/tien-trung-quoc</v>
      </c>
      <c r="O39" s="30" t="str">
        <f>IFERROR(__xludf.DUMMYFUNCTION("""COMPUTED_VALUE"""),"1 Tệ bằng bao nhiêu tiền Việt")</f>
        <v>1 Tệ bằng bao nhiêu tiền Việt</v>
      </c>
      <c r="P39" s="34" t="str">
        <f>IFERROR(__xludf.DUMMYFUNCTION("""COMPUTED_VALUE"""),"https://techcombank.com/thong-tin/blog/1-van-te-bang-bao-nhieu-tien-viet")</f>
        <v>https://techcombank.com/thong-tin/blog/1-van-te-bang-bao-nhieu-tien-viet</v>
      </c>
      <c r="Q39" s="30" t="str">
        <f>IFERROR(__xludf.DUMMYFUNCTION("""COMPUTED_VALUE"""),"tỷ giá Nhân dân tệ")</f>
        <v>tỷ giá Nhân dân tệ</v>
      </c>
      <c r="R39" s="34" t="str">
        <f>IFERROR(__xludf.DUMMYFUNCTION("""COMPUTED_VALUE"""),"https://techcombank.com/thong-tin/blog/1000-te-bang-bao-nhieu-tien-viet")</f>
        <v>https://techcombank.com/thong-tin/blog/1000-te-bang-bao-nhieu-tien-viet</v>
      </c>
      <c r="S39" s="30" t="str">
        <f>IFERROR(__xludf.DUMMYFUNCTION("""COMPUTED_VALUE"""),"tỷ giá Nhân dân tệ")</f>
        <v>tỷ giá Nhân dân tệ</v>
      </c>
      <c r="T39" s="34" t="str">
        <f>IFERROR(__xludf.DUMMYFUNCTION("""COMPUTED_VALUE"""),"https://techcombank.com/thong-tin/blog/thanh-toan-khi-du-lich-trung-quoc")</f>
        <v>https://techcombank.com/thong-tin/blog/thanh-toan-khi-du-lich-trung-quoc</v>
      </c>
      <c r="U39" s="30" t="str">
        <f>IFERROR(__xludf.DUMMYFUNCTION("""COMPUTED_VALUE"""),"1 Tệ bằng bao nhiêu tiền Việt")</f>
        <v>1 Tệ bằng bao nhiêu tiền Việt</v>
      </c>
      <c r="V39" s="34" t="str">
        <f>IFERROR(__xludf.DUMMYFUNCTION("""COMPUTED_VALUE"""),"https://techcombank.com/thong-tin/blog/gui-tiet-kiem-ngoai-te")</f>
        <v>https://techcombank.com/thong-tin/blog/gui-tiet-kiem-ngoai-te</v>
      </c>
      <c r="W39" s="30" t="str">
        <f>IFERROR(__xludf.DUMMYFUNCTION("""COMPUTED_VALUE"""),"1 Tệ bằng bao nhiêu tiền Việt")</f>
        <v>1 Tệ bằng bao nhiêu tiền Việt</v>
      </c>
      <c r="X39" s="34" t="str">
        <f>IFERROR(__xludf.DUMMYFUNCTION("""COMPUTED_VALUE"""),"https://techcombank.com/thong-tin/blog/1-man-bang-bao-nhieu-tien-viet")</f>
        <v>https://techcombank.com/thong-tin/blog/1-man-bang-bao-nhieu-tien-viet</v>
      </c>
      <c r="Y39" s="30" t="str">
        <f>IFERROR(__xludf.DUMMYFUNCTION("""COMPUTED_VALUE"""),"1 Tệ bằng bao nhiêu tiền Việt")</f>
        <v>1 Tệ bằng bao nhiêu tiền Việt</v>
      </c>
      <c r="Z39" s="34" t="str">
        <f>IFERROR(__xludf.DUMMYFUNCTION("""COMPUTED_VALUE"""),"https://techcombank.com/thong-tin/blog/han-muc-mua-ngoai-te-khi-di-du-lich")</f>
        <v>https://techcombank.com/thong-tin/blog/han-muc-mua-ngoai-te-khi-di-du-lich</v>
      </c>
      <c r="AA39" s="30" t="str">
        <f>IFERROR(__xludf.DUMMYFUNCTION("""COMPUTED_VALUE"""),"tỷ giá Nhân dân tệ")</f>
        <v>tỷ giá Nhân dân tệ</v>
      </c>
      <c r="AB39" s="34" t="str">
        <f>IFERROR(__xludf.DUMMYFUNCTION("""COMPUTED_VALUE"""),"https://techcombank.com/thong-tin/blog/ngoai-te-la-gi")</f>
        <v>https://techcombank.com/thong-tin/blog/ngoai-te-la-gi</v>
      </c>
      <c r="AC39" s="30" t="str">
        <f>IFERROR(__xludf.DUMMYFUNCTION("""COMPUTED_VALUE"""),"1 Tệ bằng bao nhiêu tiền Việt")</f>
        <v>1 Tệ bằng bao nhiêu tiền Việt</v>
      </c>
      <c r="AD39" s="34" t="str">
        <f>IFERROR(__xludf.DUMMYFUNCTION("""COMPUTED_VALUE"""),"https://techcombank.com/thong-tin/blog/tai-khoan-ngan-hang-la-gi")</f>
        <v>https://techcombank.com/thong-tin/blog/tai-khoan-ngan-hang-la-gi</v>
      </c>
      <c r="AE39" s="30" t="str">
        <f>IFERROR(__xludf.DUMMYFUNCTION("""COMPUTED_VALUE"""),"tỷ giá Nhân dân tệ")</f>
        <v>tỷ giá Nhân dân tệ</v>
      </c>
      <c r="AF39" s="34" t="str">
        <f>IFERROR(__xludf.DUMMYFUNCTION("""COMPUTED_VALUE"""),"https://techcombank.com/thong-tin/blog/di-du-lich-nuoc-ngoai-can-chuan-bi-gi")</f>
        <v>https://techcombank.com/thong-tin/blog/di-du-lich-nuoc-ngoai-can-chuan-bi-gi</v>
      </c>
      <c r="AG39" s="30" t="str">
        <f>IFERROR(__xludf.DUMMYFUNCTION("""COMPUTED_VALUE"""),"tỷ giá Nhân dân tệ")</f>
        <v>tỷ giá Nhân dân tệ</v>
      </c>
      <c r="AH39" s="34" t="str">
        <f>IFERROR(__xludf.DUMMYFUNCTION("""COMPUTED_VALUE"""),"https://techcombank.com/thong-tin/blog/quy-dinh-ve-mua-ban-ngoai-te-cua-doanh-nghiep")</f>
        <v>https://techcombank.com/thong-tin/blog/quy-dinh-ve-mua-ban-ngoai-te-cua-doanh-nghiep</v>
      </c>
      <c r="AI39" s="30" t="str">
        <f>IFERROR(__xludf.DUMMYFUNCTION("""COMPUTED_VALUE"""),"1 Tệ bằng bao nhiêu tiền Việt")</f>
        <v>1 Tệ bằng bao nhiêu tiền Việt</v>
      </c>
      <c r="AJ39" s="34" t="str">
        <f>IFERROR(__xludf.DUMMYFUNCTION("""COMPUTED_VALUE"""),"https://techcombank.com/thong-tin/blog/chuyen-tien-tu-duc-ve-viet-nam")</f>
        <v>https://techcombank.com/thong-tin/blog/chuyen-tien-tu-duc-ve-viet-nam</v>
      </c>
      <c r="AK39" s="30" t="str">
        <f>IFERROR(__xludf.DUMMYFUNCTION("""COMPUTED_VALUE"""),"1 Tệ bằng bao nhiêu tiền Việt")</f>
        <v>1 Tệ bằng bao nhiêu tiền Việt</v>
      </c>
      <c r="AL39" s="34" t="str">
        <f>IFERROR(__xludf.DUMMYFUNCTION("""COMPUTED_VALUE"""),"https://techcombank.com/thong-tin/blog/cach-nhan-tien-tu-nuoc-ngoai-ve-viet-nam")</f>
        <v>https://techcombank.com/thong-tin/blog/cach-nhan-tien-tu-nuoc-ngoai-ve-viet-nam</v>
      </c>
      <c r="AM39" s="30" t="str">
        <f>IFERROR(__xludf.DUMMYFUNCTION("""COMPUTED_VALUE"""),"tỷ giá Nhân dân tệ")</f>
        <v>tỷ giá Nhân dân tệ</v>
      </c>
      <c r="AN39" s="34" t="str">
        <f>IFERROR(__xludf.DUMMYFUNCTION("""COMPUTED_VALUE"""),"https://techcombank.com/thong-tin/blog/ngoai-hoi-la-gi")</f>
        <v>https://techcombank.com/thong-tin/blog/ngoai-hoi-la-gi</v>
      </c>
      <c r="AO39" s="30" t="str">
        <f>IFERROR(__xludf.DUMMYFUNCTION("""COMPUTED_VALUE"""),"1 Tệ bằng bao nhiêu tiền Việt")</f>
        <v>1 Tệ bằng bao nhiêu tiền Việt</v>
      </c>
      <c r="AP39" s="34" t="str">
        <f>IFERROR(__xludf.DUMMYFUNCTION("""COMPUTED_VALUE"""),"https://techcombank.com/thong-tin/blog/phi-chuyen-doi-ngoai-te")</f>
        <v>https://techcombank.com/thong-tin/blog/phi-chuyen-doi-ngoai-te</v>
      </c>
      <c r="AQ39" s="30" t="str">
        <f>IFERROR(__xludf.DUMMYFUNCTION("""COMPUTED_VALUE"""),"tỷ giá Nhân dân tệ")</f>
        <v>tỷ giá Nhân dân tệ</v>
      </c>
      <c r="AR39" s="34" t="str">
        <f>IFERROR(__xludf.DUMMYFUNCTION("""COMPUTED_VALUE"""),"https://techcombank.com/thong-tin/blog/chuyen-tien-tu-nhat-ve-viet-nam")</f>
        <v>https://techcombank.com/thong-tin/blog/chuyen-tien-tu-nhat-ve-viet-nam</v>
      </c>
      <c r="AS39" s="30" t="str">
        <f>IFERROR(__xludf.DUMMYFUNCTION("""COMPUTED_VALUE"""),"1 Tệ bằng bao nhiêu tiền Việt")</f>
        <v>1 Tệ bằng bao nhiêu tiền Việt</v>
      </c>
      <c r="AT39" s="34" t="str">
        <f>IFERROR(__xludf.DUMMYFUNCTION("""COMPUTED_VALUE"""),"https://techcombank.com/thong-tin/blog/1000-won-bang-bao-nhieu-tien-viet")</f>
        <v>https://techcombank.com/thong-tin/blog/1000-won-bang-bao-nhieu-tien-viet</v>
      </c>
      <c r="AU39" s="30" t="str">
        <f>IFERROR(__xludf.DUMMYFUNCTION("""COMPUTED_VALUE"""),"1 Tệ bằng bao nhiêu tiền Việt")</f>
        <v>1 Tệ bằng bao nhiêu tiền Việt</v>
      </c>
      <c r="AV39" s="34" t="str">
        <f>IFERROR(__xludf.DUMMYFUNCTION("""COMPUTED_VALUE"""),"https://techcombank.com/thong-tin/blog/tien-dai-loan")</f>
        <v>https://techcombank.com/thong-tin/blog/tien-dai-loan</v>
      </c>
      <c r="AW39" s="30" t="str">
        <f>IFERROR(__xludf.DUMMYFUNCTION("""COMPUTED_VALUE"""),"tỷ giá Nhân dân tệ")</f>
        <v>tỷ giá Nhân dân tệ</v>
      </c>
      <c r="AX39" s="34" t="str">
        <f>IFERROR(__xludf.DUMMYFUNCTION("""COMPUTED_VALUE"""),"https://techcombank.com/thong-tin/blog/ty-gia-cac-ngan-hang")</f>
        <v>https://techcombank.com/thong-tin/blog/ty-gia-cac-ngan-hang</v>
      </c>
      <c r="AY39" s="30" t="str">
        <f>IFERROR(__xludf.DUMMYFUNCTION("""COMPUTED_VALUE"""),"tỷ giá Nhân dân tệ")</f>
        <v>tỷ giá Nhân dân tệ</v>
      </c>
      <c r="AZ39" s="34" t="str">
        <f>IFERROR(__xludf.DUMMYFUNCTION("""COMPUTED_VALUE"""),"https://techcombank.com/thong-tin/blog/ty-gia-la-gi")</f>
        <v>https://techcombank.com/thong-tin/blog/ty-gia-la-gi</v>
      </c>
      <c r="BA39" s="30" t="str">
        <f>IFERROR(__xludf.DUMMYFUNCTION("""COMPUTED_VALUE"""),"1 Tệ bằng bao nhiêu tiền Việt")</f>
        <v>1 Tệ bằng bao nhiêu tiền Việt</v>
      </c>
      <c r="BB39" s="34" t="str">
        <f>IFERROR(__xludf.DUMMYFUNCTION("""COMPUTED_VALUE"""),"https://techcombank.com/thong-tin/blog/1-dong-do-la-my-bang-bao-nhieu-tien-viet-nam")</f>
        <v>https://techcombank.com/thong-tin/blog/1-dong-do-la-my-bang-bao-nhieu-tien-viet-nam</v>
      </c>
      <c r="BC39" s="30" t="str">
        <f>IFERROR(__xludf.DUMMYFUNCTION("""COMPUTED_VALUE"""),"tỷ giá Nhân dân tệ")</f>
        <v>tỷ giá Nhân dân tệ</v>
      </c>
      <c r="BD39" s="34" t="str">
        <f>IFERROR(__xludf.DUMMYFUNCTION("""COMPUTED_VALUE"""),"https://techcombank.com/thong-tin/blog/doi-tien-do-o-dau")</f>
        <v>https://techcombank.com/thong-tin/blog/doi-tien-do-o-dau</v>
      </c>
      <c r="BE39" s="30" t="str">
        <f>IFERROR(__xludf.DUMMYFUNCTION("""COMPUTED_VALUE"""),"1 Tệ bằng bao nhiêu tiền Việt")</f>
        <v>1 Tệ bằng bao nhiêu tiền Việt</v>
      </c>
      <c r="BF39" s="34" t="str">
        <f>IFERROR(__xludf.DUMMYFUNCTION("""COMPUTED_VALUE"""),"https://techcombank.com/thong-tin/blog/tien-singapore")</f>
        <v>https://techcombank.com/thong-tin/blog/tien-singapore</v>
      </c>
      <c r="BG39" s="30" t="str">
        <f>IFERROR(__xludf.DUMMYFUNCTION("""COMPUTED_VALUE"""),"1 Tệ bằng bao nhiêu tiền Việt")</f>
        <v>1 Tệ bằng bao nhiêu tiền Việt</v>
      </c>
      <c r="BH39" s="34" t="str">
        <f>IFERROR(__xludf.DUMMYFUNCTION("""COMPUTED_VALUE"""),"https://techcombank.com/thong-tin/blog/1000-yen-bang-bao-nhieu-tien-viet")</f>
        <v>https://techcombank.com/thong-tin/blog/1000-yen-bang-bao-nhieu-tien-viet</v>
      </c>
      <c r="BI39" s="30" t="str">
        <f>IFERROR(__xludf.DUMMYFUNCTION("""COMPUTED_VALUE"""),"tỷ giá Nhân dân tệ")</f>
        <v>tỷ giá Nhân dân tệ</v>
      </c>
      <c r="BJ39" s="34" t="str">
        <f>IFERROR(__xludf.DUMMYFUNCTION("""COMPUTED_VALUE"""),"https://techcombank.com/thong-tin/blog/100-riel-bang-bao-nhieu-tien-viet-nam")</f>
        <v>https://techcombank.com/thong-tin/blog/100-riel-bang-bao-nhieu-tien-viet-nam</v>
      </c>
      <c r="BK39" s="30" t="str">
        <f>IFERROR(__xludf.DUMMYFUNCTION("""COMPUTED_VALUE"""),"tỷ giá Nhân dân tệ")</f>
        <v>tỷ giá Nhân dân tệ</v>
      </c>
      <c r="BL39" s="34" t="str">
        <f>IFERROR(__xludf.DUMMYFUNCTION("""COMPUTED_VALUE"""),"https://techcombank.com/thong-tin/blog/tien-indonesia")</f>
        <v>https://techcombank.com/thong-tin/blog/tien-indonesia</v>
      </c>
      <c r="BM39" s="30" t="str">
        <f>IFERROR(__xludf.DUMMYFUNCTION("""COMPUTED_VALUE"""),"1 Tệ bằng bao nhiêu tiền Việt")</f>
        <v>1 Tệ bằng bao nhiêu tiền Việt</v>
      </c>
      <c r="BN39" s="34" t="str">
        <f>IFERROR(__xludf.DUMMYFUNCTION("""COMPUTED_VALUE"""),"https://techcombank.com/thong-tin/blog/1-won-bang-bao-nhieu-tien-viet")</f>
        <v>https://techcombank.com/thong-tin/blog/1-won-bang-bao-nhieu-tien-viet</v>
      </c>
      <c r="BO39" s="30" t="str">
        <f>IFERROR(__xludf.DUMMYFUNCTION("""COMPUTED_VALUE"""),"1 Tệ bằng bao nhiêu tiền Việt")</f>
        <v>1 Tệ bằng bao nhiêu tiền Việt</v>
      </c>
      <c r="BP39" s="34" t="str">
        <f>IFERROR(__xludf.DUMMYFUNCTION("""COMPUTED_VALUE"""),"https://techcombank.com/thong-tin/blog/1-do-uc-bang-bao-nhieu-tien-viet")</f>
        <v>https://techcombank.com/thong-tin/blog/1-do-uc-bang-bao-nhieu-tien-viet</v>
      </c>
      <c r="BQ39" s="30" t="str">
        <f>IFERROR(__xludf.DUMMYFUNCTION("""COMPUTED_VALUE"""),"tỷ giá Nhân dân tệ")</f>
        <v>tỷ giá Nhân dân tệ</v>
      </c>
      <c r="BR39" s="34" t="str">
        <f>IFERROR(__xludf.DUMMYFUNCTION("""COMPUTED_VALUE"""),"https://techcombank.com/thong-tin/blog/gui-tien-du-hoc")</f>
        <v>https://techcombank.com/thong-tin/blog/gui-tien-du-hoc</v>
      </c>
      <c r="BS39" s="30" t="str">
        <f>IFERROR(__xludf.DUMMYFUNCTION("""COMPUTED_VALUE"""),"1 Tệ bằng bao nhiêu tiền Việt")</f>
        <v>1 Tệ bằng bao nhiêu tiền Việt</v>
      </c>
      <c r="BT39" s="34" t="str">
        <f>IFERROR(__xludf.DUMMYFUNCTION("""COMPUTED_VALUE"""),"https://techcombank.com/thong-tin/blog/1-cent-bang-bao-nhieu-tien-viet")</f>
        <v>https://techcombank.com/thong-tin/blog/1-cent-bang-bao-nhieu-tien-viet</v>
      </c>
      <c r="BU39" s="30"/>
      <c r="BV39" s="30"/>
      <c r="BW39" s="30"/>
      <c r="BX39" s="30"/>
      <c r="BY39" s="30"/>
      <c r="BZ39" s="30"/>
      <c r="CA39" s="30"/>
      <c r="CB39" s="30"/>
      <c r="CC39" s="30"/>
      <c r="CD39" s="30"/>
      <c r="CE39" s="30"/>
      <c r="CF39" s="30"/>
      <c r="CG39" s="30"/>
      <c r="CH39" s="30"/>
      <c r="CI39" s="30"/>
      <c r="CJ39" s="30"/>
      <c r="CK39" s="30"/>
      <c r="CL39" s="30"/>
      <c r="CM39" s="30"/>
      <c r="CN39" s="30"/>
      <c r="CO39" s="30"/>
      <c r="CP39" s="30"/>
      <c r="CQ39" s="30"/>
      <c r="CR39" s="30"/>
      <c r="CS39" s="30"/>
      <c r="CT39" s="30"/>
      <c r="CU39" s="30"/>
      <c r="CV39" s="30"/>
      <c r="CW39" s="30"/>
      <c r="CX39" s="30"/>
      <c r="CY39" s="30"/>
      <c r="CZ39" s="30"/>
      <c r="DA39" s="30"/>
      <c r="DB39" s="30"/>
      <c r="DC39" s="30"/>
      <c r="DD39" s="30"/>
      <c r="DE39" s="30"/>
      <c r="DF39" s="30"/>
      <c r="DG39" s="30"/>
      <c r="DH39" s="30"/>
      <c r="DI39" s="30"/>
      <c r="DJ39" s="30"/>
      <c r="DK39" s="30"/>
      <c r="DL39" s="30"/>
      <c r="DM39" s="30"/>
      <c r="DN39" s="30"/>
      <c r="DO39" s="30"/>
      <c r="DP39" s="30"/>
      <c r="DQ39" s="30"/>
      <c r="DR39" s="30"/>
      <c r="DS39" s="30"/>
      <c r="DT39" s="30"/>
      <c r="DU39" s="30"/>
      <c r="DV39" s="30"/>
      <c r="DW39" s="30"/>
      <c r="DX39" s="30"/>
      <c r="DY39" s="30"/>
      <c r="DZ39" s="30"/>
      <c r="EA39" s="30"/>
      <c r="EB39" s="30"/>
      <c r="EC39" s="30"/>
      <c r="ED39" s="30"/>
      <c r="EE39" s="30"/>
      <c r="EF39" s="30"/>
      <c r="EG39" s="30"/>
      <c r="EH39" s="30"/>
      <c r="EI39" s="30"/>
      <c r="EJ39" s="30"/>
      <c r="EK39" s="30"/>
      <c r="EL39" s="30"/>
      <c r="EM39" s="30"/>
      <c r="EN39" s="30"/>
      <c r="EO39" s="30"/>
      <c r="EP39" s="30"/>
      <c r="EQ39" s="30"/>
      <c r="ER39" s="30"/>
      <c r="ES39" s="30"/>
      <c r="ET39" s="30"/>
      <c r="EU39" s="30"/>
      <c r="EV39" s="30"/>
      <c r="EW39" s="30"/>
      <c r="EX39" s="30"/>
      <c r="EY39" s="30"/>
      <c r="EZ39" s="30"/>
      <c r="FA39" s="30"/>
      <c r="FB39" s="30"/>
      <c r="FC39" s="30"/>
      <c r="FD39" s="30"/>
      <c r="FE39" s="30"/>
      <c r="FF39" s="30"/>
      <c r="FG39" s="30"/>
      <c r="FH39" s="30"/>
      <c r="FI39" s="30"/>
      <c r="FJ39" s="30"/>
      <c r="FK39" s="30"/>
      <c r="FL39" s="30"/>
      <c r="FM39" s="30"/>
      <c r="FN39" s="30"/>
      <c r="FO39" s="30"/>
      <c r="FP39" s="30"/>
      <c r="FQ39" s="30"/>
      <c r="FR39" s="30"/>
      <c r="FS39" s="30"/>
      <c r="FT39" s="30"/>
      <c r="FU39" s="30"/>
      <c r="FV39" s="30"/>
      <c r="FW39" s="30"/>
      <c r="FX39" s="30"/>
      <c r="FY39" s="30"/>
      <c r="FZ39" s="30"/>
      <c r="GA39" s="30"/>
      <c r="GB39" s="30"/>
      <c r="GC39" s="30"/>
      <c r="GD39" s="30"/>
      <c r="GE39" s="30"/>
      <c r="GF39" s="30"/>
      <c r="GG39" s="30"/>
      <c r="GH39" s="30"/>
      <c r="GI39" s="30"/>
      <c r="GJ39" s="30"/>
      <c r="GK39" s="30"/>
      <c r="GL39" s="30"/>
      <c r="GM39" s="30"/>
      <c r="GN39" s="30"/>
      <c r="GO39" s="30"/>
      <c r="GP39" s="30"/>
      <c r="GQ39" s="30"/>
      <c r="GR39" s="30"/>
      <c r="GS39" s="30"/>
      <c r="GT39" s="30"/>
      <c r="GU39" s="30"/>
      <c r="GV39" s="30"/>
      <c r="GW39" s="30"/>
      <c r="GX39" s="30"/>
      <c r="GY39" s="30"/>
      <c r="GZ39" s="30"/>
      <c r="HA39" s="30"/>
      <c r="HB39" s="30"/>
      <c r="HC39" s="30"/>
      <c r="HD39" s="30"/>
      <c r="HE39" s="30"/>
      <c r="HF39" s="30"/>
      <c r="HG39" s="30"/>
      <c r="HH39" s="30"/>
      <c r="HI39" s="30"/>
      <c r="HJ39" s="30"/>
      <c r="HK39" s="30"/>
      <c r="HL39" s="30"/>
      <c r="HM39" s="30"/>
      <c r="HN39" s="30"/>
      <c r="HO39" s="30"/>
      <c r="HP39" s="30"/>
      <c r="HQ39" s="30"/>
      <c r="HR39" s="30"/>
      <c r="HS39" s="30"/>
      <c r="HT39" s="30"/>
      <c r="HU39" s="30"/>
      <c r="HV39" s="30"/>
      <c r="HW39" s="30"/>
      <c r="HX39" s="30"/>
      <c r="HY39" s="30"/>
      <c r="HZ39" s="30"/>
      <c r="IA39" s="30"/>
      <c r="IB39" s="30"/>
      <c r="IC39" s="30"/>
      <c r="ID39" s="30"/>
      <c r="IE39" s="30"/>
      <c r="IF39" s="30"/>
      <c r="IG39" s="30"/>
      <c r="IH39" s="30"/>
      <c r="II39" s="30"/>
      <c r="IJ39" s="30"/>
      <c r="IK39" s="30"/>
      <c r="IL39" s="30"/>
      <c r="IM39" s="30"/>
      <c r="IN39" s="30"/>
      <c r="IO39" s="30"/>
      <c r="IP39" s="30"/>
      <c r="IQ39" s="30"/>
      <c r="IR39" s="30"/>
      <c r="IS39" s="30"/>
      <c r="IT39" s="30"/>
      <c r="IU39" s="30"/>
      <c r="IV39" s="30"/>
      <c r="IW39" s="30"/>
      <c r="IX39" s="30"/>
      <c r="IY39" s="30"/>
      <c r="IZ39" s="30"/>
      <c r="JA39" s="30"/>
      <c r="JB39" s="30"/>
      <c r="JC39" s="30"/>
      <c r="JD39" s="30"/>
      <c r="JE39" s="30"/>
      <c r="JF39" s="30"/>
      <c r="JG39" s="30"/>
      <c r="JH39" s="30"/>
      <c r="JI39" s="30"/>
      <c r="JJ39" s="30"/>
      <c r="JK39" s="30"/>
      <c r="JL39" s="30"/>
      <c r="JM39" s="30"/>
      <c r="JN39" s="30"/>
      <c r="JO39" s="30"/>
      <c r="JP39" s="30"/>
      <c r="JQ39" s="30"/>
      <c r="JR39" s="30"/>
      <c r="JS39" s="30"/>
      <c r="JT39" s="30"/>
      <c r="JU39" s="30"/>
      <c r="JV39" s="30"/>
      <c r="JW39" s="30"/>
      <c r="JX39" s="30"/>
      <c r="JY39" s="30"/>
      <c r="JZ39" s="30"/>
      <c r="KA39" s="30"/>
      <c r="KB39" s="30"/>
      <c r="KC39" s="30"/>
      <c r="KD39" s="30"/>
      <c r="KE39" s="30"/>
      <c r="KF39" s="30"/>
      <c r="KG39" s="30"/>
      <c r="KH39" s="30"/>
      <c r="KI39" s="30"/>
      <c r="KJ39" s="30"/>
      <c r="KK39" s="30"/>
      <c r="KL39" s="30"/>
      <c r="KM39" s="30"/>
      <c r="KN39" s="30"/>
      <c r="KO39" s="30"/>
      <c r="KP39" s="30"/>
      <c r="KQ39" s="30"/>
      <c r="KR39" s="30"/>
      <c r="KS39" s="30"/>
      <c r="KT39" s="30"/>
      <c r="KU39" s="30"/>
      <c r="KV39" s="30"/>
      <c r="KW39" s="30"/>
      <c r="KX39" s="30"/>
      <c r="KY39" s="30"/>
      <c r="KZ39" s="30"/>
      <c r="LA39" s="30"/>
      <c r="LB39" s="30"/>
      <c r="LC39" s="30"/>
      <c r="LD39" s="30"/>
      <c r="LE39" s="30"/>
      <c r="LF39" s="30"/>
      <c r="LG39" s="30"/>
      <c r="LH39" s="30"/>
      <c r="LI39" s="30"/>
      <c r="LJ39" s="30"/>
      <c r="LK39" s="30"/>
      <c r="LL39" s="30"/>
      <c r="LM39" s="30"/>
      <c r="LN39" s="30"/>
      <c r="LO39" s="30"/>
      <c r="LP39" s="30"/>
      <c r="LQ39" s="30"/>
      <c r="LR39" s="30"/>
      <c r="LS39" s="30"/>
      <c r="LT39" s="30"/>
      <c r="LU39" s="30"/>
      <c r="LV39" s="30"/>
      <c r="LW39" s="30"/>
      <c r="LX39" s="30"/>
      <c r="LY39" s="30"/>
      <c r="LZ39" s="30"/>
      <c r="MA39" s="30"/>
      <c r="MB39" s="30"/>
      <c r="MC39" s="30"/>
      <c r="MD39" s="30"/>
      <c r="ME39" s="30"/>
      <c r="MF39" s="30"/>
      <c r="MG39" s="30"/>
      <c r="MH39" s="30"/>
      <c r="MI39" s="30"/>
      <c r="MJ39" s="30"/>
      <c r="MK39" s="30"/>
      <c r="ML39" s="30"/>
      <c r="MM39" s="30"/>
      <c r="MN39" s="30"/>
      <c r="MO39" s="30"/>
      <c r="MP39" s="30"/>
      <c r="MQ39" s="30"/>
      <c r="MR39" s="30"/>
      <c r="MS39" s="30"/>
      <c r="MT39" s="30"/>
      <c r="MU39" s="30"/>
      <c r="MV39" s="30"/>
      <c r="MW39" s="30"/>
      <c r="MX39" s="30"/>
      <c r="MY39" s="30"/>
      <c r="MZ39" s="30"/>
      <c r="NA39" s="30"/>
      <c r="NB39" s="30"/>
      <c r="NC39" s="30"/>
      <c r="ND39" s="30"/>
      <c r="NE39" s="30"/>
      <c r="NF39" s="30"/>
      <c r="NG39" s="30"/>
      <c r="NH39" s="30"/>
      <c r="NI39" s="30"/>
      <c r="NJ39" s="30"/>
      <c r="NK39" s="30"/>
      <c r="NL39" s="30"/>
      <c r="NM39" s="30"/>
      <c r="NN39" s="30"/>
      <c r="NO39" s="30"/>
      <c r="NP39" s="30"/>
      <c r="NQ39" s="30"/>
      <c r="NR39" s="30"/>
      <c r="NS39" s="30"/>
      <c r="NT39" s="30"/>
      <c r="NU39" s="30"/>
      <c r="NV39" s="30"/>
      <c r="NW39" s="30"/>
      <c r="NX39" s="30"/>
      <c r="NY39" s="30"/>
      <c r="NZ39" s="30"/>
      <c r="OA39" s="30"/>
      <c r="OB39" s="30"/>
      <c r="OC39" s="30"/>
      <c r="OD39" s="30"/>
      <c r="OE39" s="30"/>
      <c r="OF39" s="30"/>
      <c r="OG39" s="30"/>
      <c r="OH39" s="30"/>
      <c r="OI39" s="30"/>
      <c r="OJ39" s="30"/>
      <c r="OK39" s="30"/>
      <c r="OL39" s="30"/>
      <c r="OM39" s="30"/>
      <c r="ON39" s="30"/>
      <c r="OO39" s="30"/>
      <c r="OP39" s="30"/>
      <c r="OQ39" s="30"/>
      <c r="OR39" s="30"/>
      <c r="OS39" s="30"/>
      <c r="OT39" s="30"/>
      <c r="OU39" s="30"/>
      <c r="OV39" s="30"/>
    </row>
    <row r="40" ht="18.0" customHeight="1">
      <c r="A40" s="29">
        <v>39.0</v>
      </c>
      <c r="B40" s="30" t="s">
        <v>3920</v>
      </c>
      <c r="C40" s="31" t="s">
        <v>3659</v>
      </c>
      <c r="D40" s="30" t="s">
        <v>3586</v>
      </c>
      <c r="E40" s="29">
        <v>30.0</v>
      </c>
      <c r="F40" s="29">
        <f>COUNTIF('Tổng hợp 75 trang đích'!$B$2:$B$3400,$D40)</f>
        <v>30</v>
      </c>
      <c r="G40" s="29">
        <f>COUNTIFS('Tổng hợp 75 trang đích'!$B$2:$B$3400,$D40,'Tổng hợp 75 trang đích'!$K$2:$K$3400,"PHÙ HỢP CAO")</f>
        <v>3</v>
      </c>
      <c r="H40" s="29">
        <f>COUNTIFS('Tổng hợp 75 trang đích'!$B$2:$B$3400,$D40,'Tổng hợp 75 trang đích'!$K$2:$K$3400,"CÓ THỂ ĐI")</f>
        <v>6</v>
      </c>
      <c r="I40" s="29">
        <f>COUNTIFS('Tổng hợp 75 trang đích'!$B$2:$B$3400,$D40,'Tổng hợp 75 trang đích'!$K$2:$K$3400,"CẦN SOÁT")</f>
        <v>21</v>
      </c>
      <c r="J40" s="32" t="s">
        <v>714</v>
      </c>
      <c r="K40" s="32" t="b">
        <v>0</v>
      </c>
      <c r="L40" s="33" t="s">
        <v>52</v>
      </c>
      <c r="M40" s="30" t="str">
        <f>IFERROR(__xludf.DUMMYFUNCTION("IFERROR(TOROW(CHOOSECOLS(SORT(FILTER({'Tổng hợp 75 trang đích'!$J$2:$J$3400,'Tổng hợp 75 trang đích'!$I$2:$I$3400,MATCH('Tổng hợp 75 trang đích'!$K$2:$K$3400,{""PHÙ HỢP CAO"",""CÓ THỂ ĐI"",""CẦN SOÁT""},0)},'Tổng hợp 75 trang đích'!$B$2:$B$3400=$D40),3,TR"&amp;"UE),1,2)),"""")"),"tỷ giá USD/VND")</f>
        <v>tỷ giá USD/VND</v>
      </c>
      <c r="N40" s="34" t="str">
        <f>IFERROR(__xludf.DUMMYFUNCTION("""COMPUTED_VALUE"""),"https://techcombank.com/thong-tin/blog/xu-huong-ty-gia-usd")</f>
        <v>https://techcombank.com/thong-tin/blog/xu-huong-ty-gia-usd</v>
      </c>
      <c r="O40" s="30" t="str">
        <f>IFERROR(__xludf.DUMMYFUNCTION("""COMPUTED_VALUE"""),"tỷ giá USD/VND")</f>
        <v>tỷ giá USD/VND</v>
      </c>
      <c r="P40" s="34" t="str">
        <f>IFERROR(__xludf.DUMMYFUNCTION("""COMPUTED_VALUE"""),"https://techcombank.com/thong-tin/blog/dieu-kien-mua-usd-tu-ngan-hang")</f>
        <v>https://techcombank.com/thong-tin/blog/dieu-kien-mua-usd-tu-ngan-hang</v>
      </c>
      <c r="Q40" s="30" t="str">
        <f>IFERROR(__xludf.DUMMYFUNCTION("""COMPUTED_VALUE"""),"tỷ giá USD/VND")</f>
        <v>tỷ giá USD/VND</v>
      </c>
      <c r="R40" s="34" t="str">
        <f>IFERROR(__xludf.DUMMYFUNCTION("""COMPUTED_VALUE"""),"https://techcombank.com/thong-tin/blog/1-cent-bang-bao-nhieu-tien-viet")</f>
        <v>https://techcombank.com/thong-tin/blog/1-cent-bang-bao-nhieu-tien-viet</v>
      </c>
      <c r="S40" s="30" t="str">
        <f>IFERROR(__xludf.DUMMYFUNCTION("""COMPUTED_VALUE"""),"tỷ giá USD/VND")</f>
        <v>tỷ giá USD/VND</v>
      </c>
      <c r="T40" s="34" t="str">
        <f>IFERROR(__xludf.DUMMYFUNCTION("""COMPUTED_VALUE"""),"https://techcombank.com/thong-tin/blog/lai-suat-gui-tiet-kiem-usd")</f>
        <v>https://techcombank.com/thong-tin/blog/lai-suat-gui-tiet-kiem-usd</v>
      </c>
      <c r="U40" s="30" t="str">
        <f>IFERROR(__xludf.DUMMYFUNCTION("""COMPUTED_VALUE"""),"tỷ giá USD/VND")</f>
        <v>tỷ giá USD/VND</v>
      </c>
      <c r="V40" s="34" t="str">
        <f>IFERROR(__xludf.DUMMYFUNCTION("""COMPUTED_VALUE"""),"https://techcombank.com/thong-tin/blog/chuyen-tien-tu-my-ve-viet-nam")</f>
        <v>https://techcombank.com/thong-tin/blog/chuyen-tien-tu-my-ve-viet-nam</v>
      </c>
      <c r="W40" s="30" t="str">
        <f>IFERROR(__xludf.DUMMYFUNCTION("""COMPUTED_VALUE"""),"tỷ giá USD/VND")</f>
        <v>tỷ giá USD/VND</v>
      </c>
      <c r="X40" s="34" t="str">
        <f>IFERROR(__xludf.DUMMYFUNCTION("""COMPUTED_VALUE"""),"https://techcombank.com/thong-tin/blog/du-bao-gia-vang")</f>
        <v>https://techcombank.com/thong-tin/blog/du-bao-gia-vang</v>
      </c>
      <c r="Y40" s="30" t="str">
        <f>IFERROR(__xludf.DUMMYFUNCTION("""COMPUTED_VALUE"""),"tỷ giá USD/VND")</f>
        <v>tỷ giá USD/VND</v>
      </c>
      <c r="Z40" s="34" t="str">
        <f>IFERROR(__xludf.DUMMYFUNCTION("""COMPUTED_VALUE"""),"https://techcombank.com/thong-tin/blog/vang-14k-gia-hom-nay")</f>
        <v>https://techcombank.com/thong-tin/blog/vang-14k-gia-hom-nay</v>
      </c>
      <c r="AA40" s="30" t="str">
        <f>IFERROR(__xludf.DUMMYFUNCTION("""COMPUTED_VALUE"""),"tỷ giá USD/VND")</f>
        <v>tỷ giá USD/VND</v>
      </c>
      <c r="AB40" s="34" t="str">
        <f>IFERROR(__xludf.DUMMYFUNCTION("""COMPUTED_VALUE"""),"https://techcombank.com/thong-tin/blog/cach-tinh-gia-vang")</f>
        <v>https://techcombank.com/thong-tin/blog/cach-tinh-gia-vang</v>
      </c>
      <c r="AC40" s="30" t="str">
        <f>IFERROR(__xludf.DUMMYFUNCTION("""COMPUTED_VALUE"""),"tỷ giá USD/VND")</f>
        <v>tỷ giá USD/VND</v>
      </c>
      <c r="AD40" s="34" t="str">
        <f>IFERROR(__xludf.DUMMYFUNCTION("""COMPUTED_VALUE"""),"https://techcombank.com/thong-tin/blog/gia-vang-16k-hom-nay")</f>
        <v>https://techcombank.com/thong-tin/blog/gia-vang-16k-hom-nay</v>
      </c>
      <c r="AE40" s="30" t="str">
        <f>IFERROR(__xludf.DUMMYFUNCTION("""COMPUTED_VALUE"""),"1 đô bằng bao nhiêu tiền Việt")</f>
        <v>1 đô bằng bao nhiêu tiền Việt</v>
      </c>
      <c r="AF40" s="34" t="str">
        <f>IFERROR(__xludf.DUMMYFUNCTION("""COMPUTED_VALUE"""),"https://techcombank.com/thong-tin/blog/han-muc-mua-ngoai-te-khi-di-du-lich")</f>
        <v>https://techcombank.com/thong-tin/blog/han-muc-mua-ngoai-te-khi-di-du-lich</v>
      </c>
      <c r="AG40" s="30" t="str">
        <f>IFERROR(__xludf.DUMMYFUNCTION("""COMPUTED_VALUE"""),"tỷ giá USD/VND")</f>
        <v>tỷ giá USD/VND</v>
      </c>
      <c r="AH40" s="34" t="str">
        <f>IFERROR(__xludf.DUMMYFUNCTION("""COMPUTED_VALUE"""),"https://techcombank.com/thong-tin/blog/gui-tiet-kiem-usd")</f>
        <v>https://techcombank.com/thong-tin/blog/gui-tiet-kiem-usd</v>
      </c>
      <c r="AI40" s="30" t="str">
        <f>IFERROR(__xludf.DUMMYFUNCTION("""COMPUTED_VALUE"""),"tỷ giá USD/VND")</f>
        <v>tỷ giá USD/VND</v>
      </c>
      <c r="AJ40" s="34" t="str">
        <f>IFERROR(__xludf.DUMMYFUNCTION("""COMPUTED_VALUE"""),"https://techcombank.com/thong-tin/blog/chuyen-tien-di-uc")</f>
        <v>https://techcombank.com/thong-tin/blog/chuyen-tien-di-uc</v>
      </c>
      <c r="AK40" s="30" t="str">
        <f>IFERROR(__xludf.DUMMYFUNCTION("""COMPUTED_VALUE"""),"tỷ giá USD/VND")</f>
        <v>tỷ giá USD/VND</v>
      </c>
      <c r="AL40" s="34" t="str">
        <f>IFERROR(__xludf.DUMMYFUNCTION("""COMPUTED_VALUE"""),"https://techcombank.com/thong-tin/blog/1-trieu-do-bang-bao-nhieu-tien-viet")</f>
        <v>https://techcombank.com/thong-tin/blog/1-trieu-do-bang-bao-nhieu-tien-viet</v>
      </c>
      <c r="AM40" s="30" t="str">
        <f>IFERROR(__xludf.DUMMYFUNCTION("""COMPUTED_VALUE"""),"tỷ giá USD/VND")</f>
        <v>tỷ giá USD/VND</v>
      </c>
      <c r="AN40" s="34" t="str">
        <f>IFERROR(__xludf.DUMMYFUNCTION("""COMPUTED_VALUE"""),"https://techcombank.com/thong-tin/blog/tien-singapore")</f>
        <v>https://techcombank.com/thong-tin/blog/tien-singapore</v>
      </c>
      <c r="AO40" s="30" t="str">
        <f>IFERROR(__xludf.DUMMYFUNCTION("""COMPUTED_VALUE"""),"1 đô la Mỹ bằng bao nhiêu tiền Việt")</f>
        <v>1 đô la Mỹ bằng bao nhiêu tiền Việt</v>
      </c>
      <c r="AP40" s="34" t="str">
        <f>IFERROR(__xludf.DUMMYFUNCTION("""COMPUTED_VALUE"""),"https://techcombank.com/thong-tin/blog/1-do-uc-bang-bao-nhieu-tien-viet")</f>
        <v>https://techcombank.com/thong-tin/blog/1-do-uc-bang-bao-nhieu-tien-viet</v>
      </c>
      <c r="AQ40" s="30" t="str">
        <f>IFERROR(__xludf.DUMMYFUNCTION("""COMPUTED_VALUE"""),"1 đô bằng bao nhiêu tiền Việt")</f>
        <v>1 đô bằng bao nhiêu tiền Việt</v>
      </c>
      <c r="AR40" s="34" t="str">
        <f>IFERROR(__xludf.DUMMYFUNCTION("""COMPUTED_VALUE"""),"https://techcombank.com/thong-tin/blog/1-te-bang-bao-nhieu-tien-viet-nam")</f>
        <v>https://techcombank.com/thong-tin/blog/1-te-bang-bao-nhieu-tien-viet-nam</v>
      </c>
      <c r="AS40" s="30" t="str">
        <f>IFERROR(__xludf.DUMMYFUNCTION("""COMPUTED_VALUE"""),"1 đô bằng bao nhiêu tiền Việt")</f>
        <v>1 đô bằng bao nhiêu tiền Việt</v>
      </c>
      <c r="AT40" s="34" t="str">
        <f>IFERROR(__xludf.DUMMYFUNCTION("""COMPUTED_VALUE"""),"https://techcombank.com/thong-tin/blog/tien-trung-quoc")</f>
        <v>https://techcombank.com/thong-tin/blog/tien-trung-quoc</v>
      </c>
      <c r="AU40" s="30" t="str">
        <f>IFERROR(__xludf.DUMMYFUNCTION("""COMPUTED_VALUE"""),"tỷ giá USD/VND")</f>
        <v>tỷ giá USD/VND</v>
      </c>
      <c r="AV40" s="34" t="str">
        <f>IFERROR(__xludf.DUMMYFUNCTION("""COMPUTED_VALUE"""),"https://techcombank.com/thong-tin/blog/1000-won-bang-bao-nhieu-tien-viet")</f>
        <v>https://techcombank.com/thong-tin/blog/1000-won-bang-bao-nhieu-tien-viet</v>
      </c>
      <c r="AW40" s="30" t="str">
        <f>IFERROR(__xludf.DUMMYFUNCTION("""COMPUTED_VALUE"""),"tỷ giá USD/VND")</f>
        <v>tỷ giá USD/VND</v>
      </c>
      <c r="AX40" s="34" t="str">
        <f>IFERROR(__xludf.DUMMYFUNCTION("""COMPUTED_VALUE"""),"https://techcombank.com/thong-tin/blog/1000-yen-bang-bao-nhieu-tien-viet")</f>
        <v>https://techcombank.com/thong-tin/blog/1000-yen-bang-bao-nhieu-tien-viet</v>
      </c>
      <c r="AY40" s="30" t="str">
        <f>IFERROR(__xludf.DUMMYFUNCTION("""COMPUTED_VALUE"""),"tỷ giá USD/VND")</f>
        <v>tỷ giá USD/VND</v>
      </c>
      <c r="AZ40" s="34" t="str">
        <f>IFERROR(__xludf.DUMMYFUNCTION("""COMPUTED_VALUE"""),"https://techcombank.com/thong-tin/blog/chuyen-tien-tu-nhat-ve-viet-nam")</f>
        <v>https://techcombank.com/thong-tin/blog/chuyen-tien-tu-nhat-ve-viet-nam</v>
      </c>
      <c r="BA40" s="30" t="str">
        <f>IFERROR(__xludf.DUMMYFUNCTION("""COMPUTED_VALUE"""),"1 đô bằng bao nhiêu tiền Việt")</f>
        <v>1 đô bằng bao nhiêu tiền Việt</v>
      </c>
      <c r="BB40" s="34" t="str">
        <f>IFERROR(__xludf.DUMMYFUNCTION("""COMPUTED_VALUE"""),"https://techcombank.com/thong-tin/blog/1-van-te-bang-bao-nhieu-tien-viet")</f>
        <v>https://techcombank.com/thong-tin/blog/1-van-te-bang-bao-nhieu-tien-viet</v>
      </c>
      <c r="BC40" s="30" t="str">
        <f>IFERROR(__xludf.DUMMYFUNCTION("""COMPUTED_VALUE"""),"tỷ giá USD/VND")</f>
        <v>tỷ giá USD/VND</v>
      </c>
      <c r="BD40" s="34" t="str">
        <f>IFERROR(__xludf.DUMMYFUNCTION("""COMPUTED_VALUE"""),"https://techcombank.com/thong-tin/blog/1000-te-bang-bao-nhieu-tien-viet")</f>
        <v>https://techcombank.com/thong-tin/blog/1000-te-bang-bao-nhieu-tien-viet</v>
      </c>
      <c r="BE40" s="30" t="str">
        <f>IFERROR(__xludf.DUMMYFUNCTION("""COMPUTED_VALUE"""),"tỷ giá USD/VND")</f>
        <v>tỷ giá USD/VND</v>
      </c>
      <c r="BF40" s="34" t="str">
        <f>IFERROR(__xludf.DUMMYFUNCTION("""COMPUTED_VALUE"""),"https://techcombank.com/thong-tin/blog/100-riel-bang-bao-nhieu-tien-viet-nam")</f>
        <v>https://techcombank.com/thong-tin/blog/100-riel-bang-bao-nhieu-tien-viet-nam</v>
      </c>
      <c r="BG40" s="30" t="str">
        <f>IFERROR(__xludf.DUMMYFUNCTION("""COMPUTED_VALUE"""),"tỷ giá USD/VND")</f>
        <v>tỷ giá USD/VND</v>
      </c>
      <c r="BH40" s="34" t="str">
        <f>IFERROR(__xludf.DUMMYFUNCTION("""COMPUTED_VALUE"""),"https://techcombank.com/thong-tin/blog/tien-indonesia")</f>
        <v>https://techcombank.com/thong-tin/blog/tien-indonesia</v>
      </c>
      <c r="BI40" s="30" t="str">
        <f>IFERROR(__xludf.DUMMYFUNCTION("""COMPUTED_VALUE"""),"1 đô bằng bao nhiêu tiền Việt")</f>
        <v>1 đô bằng bao nhiêu tiền Việt</v>
      </c>
      <c r="BJ40" s="34" t="str">
        <f>IFERROR(__xludf.DUMMYFUNCTION("""COMPUTED_VALUE"""),"https://techcombank.com/thong-tin/blog/tien-dai-loan")</f>
        <v>https://techcombank.com/thong-tin/blog/tien-dai-loan</v>
      </c>
      <c r="BK40" s="30" t="str">
        <f>IFERROR(__xludf.DUMMYFUNCTION("""COMPUTED_VALUE"""),"1 đô bằng bao nhiêu tiền Việt")</f>
        <v>1 đô bằng bao nhiêu tiền Việt</v>
      </c>
      <c r="BL40" s="34" t="str">
        <f>IFERROR(__xludf.DUMMYFUNCTION("""COMPUTED_VALUE"""),"https://techcombank.com/thong-tin/blog/1-won-bang-bao-nhieu-tien-viet")</f>
        <v>https://techcombank.com/thong-tin/blog/1-won-bang-bao-nhieu-tien-viet</v>
      </c>
      <c r="BM40" s="30" t="str">
        <f>IFERROR(__xludf.DUMMYFUNCTION("""COMPUTED_VALUE"""),"tỷ giá USD/VND")</f>
        <v>tỷ giá USD/VND</v>
      </c>
      <c r="BN40" s="34" t="str">
        <f>IFERROR(__xludf.DUMMYFUNCTION("""COMPUTED_VALUE"""),"https://techcombank.com/thong-tin/blog/gui-tien-du-hoc")</f>
        <v>https://techcombank.com/thong-tin/blog/gui-tien-du-hoc</v>
      </c>
      <c r="BO40" s="30" t="str">
        <f>IFERROR(__xludf.DUMMYFUNCTION("""COMPUTED_VALUE"""),"tỷ giá USD/VND")</f>
        <v>tỷ giá USD/VND</v>
      </c>
      <c r="BP40" s="34" t="str">
        <f>IFERROR(__xludf.DUMMYFUNCTION("""COMPUTED_VALUE"""),"https://techcombank.com/thong-tin/blog/tien-nhat")</f>
        <v>https://techcombank.com/thong-tin/blog/tien-nhat</v>
      </c>
      <c r="BQ40" s="30" t="str">
        <f>IFERROR(__xludf.DUMMYFUNCTION("""COMPUTED_VALUE"""),"tỷ giá USD/VND")</f>
        <v>tỷ giá USD/VND</v>
      </c>
      <c r="BR40" s="34" t="str">
        <f>IFERROR(__xludf.DUMMYFUNCTION("""COMPUTED_VALUE"""),"https://techcombank.com/thong-tin/blog/vay-du-hoc")</f>
        <v>https://techcombank.com/thong-tin/blog/vay-du-hoc</v>
      </c>
      <c r="BS40" s="30" t="str">
        <f>IFERROR(__xludf.DUMMYFUNCTION("""COMPUTED_VALUE"""),"tỷ giá USD/VND")</f>
        <v>tỷ giá USD/VND</v>
      </c>
      <c r="BT40" s="34" t="str">
        <f>IFERROR(__xludf.DUMMYFUNCTION("""COMPUTED_VALUE"""),"https://techcombank.com/thong-tin/blog/tien-malaysia")</f>
        <v>https://techcombank.com/thong-tin/blog/tien-malaysia</v>
      </c>
      <c r="BU40" s="30"/>
      <c r="BV40" s="30"/>
      <c r="BW40" s="30"/>
      <c r="BX40" s="30"/>
      <c r="BY40" s="30"/>
      <c r="BZ40" s="30"/>
      <c r="CA40" s="30"/>
      <c r="CB40" s="30"/>
      <c r="CC40" s="30"/>
      <c r="CD40" s="30"/>
      <c r="CE40" s="30"/>
      <c r="CF40" s="30"/>
      <c r="CG40" s="30"/>
      <c r="CH40" s="30"/>
      <c r="CI40" s="30"/>
      <c r="CJ40" s="30"/>
      <c r="CK40" s="30"/>
      <c r="CL40" s="30"/>
      <c r="CM40" s="30"/>
      <c r="CN40" s="30"/>
      <c r="CO40" s="30"/>
      <c r="CP40" s="30"/>
      <c r="CQ40" s="30"/>
      <c r="CR40" s="30"/>
      <c r="CS40" s="30"/>
      <c r="CT40" s="30"/>
      <c r="CU40" s="30"/>
      <c r="CV40" s="30"/>
      <c r="CW40" s="30"/>
      <c r="CX40" s="30"/>
      <c r="CY40" s="30"/>
      <c r="CZ40" s="30"/>
      <c r="DA40" s="30"/>
      <c r="DB40" s="30"/>
      <c r="DC40" s="30"/>
      <c r="DD40" s="30"/>
      <c r="DE40" s="30"/>
      <c r="DF40" s="30"/>
      <c r="DG40" s="30"/>
      <c r="DH40" s="30"/>
      <c r="DI40" s="30"/>
      <c r="DJ40" s="30"/>
      <c r="DK40" s="30"/>
      <c r="DL40" s="30"/>
      <c r="DM40" s="30"/>
      <c r="DN40" s="30"/>
      <c r="DO40" s="30"/>
      <c r="DP40" s="30"/>
      <c r="DQ40" s="30"/>
      <c r="DR40" s="30"/>
      <c r="DS40" s="30"/>
      <c r="DT40" s="30"/>
      <c r="DU40" s="30"/>
      <c r="DV40" s="30"/>
      <c r="DW40" s="30"/>
      <c r="DX40" s="30"/>
      <c r="DY40" s="30"/>
      <c r="DZ40" s="30"/>
      <c r="EA40" s="30"/>
      <c r="EB40" s="30"/>
      <c r="EC40" s="30"/>
      <c r="ED40" s="30"/>
      <c r="EE40" s="30"/>
      <c r="EF40" s="30"/>
      <c r="EG40" s="30"/>
      <c r="EH40" s="30"/>
      <c r="EI40" s="30"/>
      <c r="EJ40" s="30"/>
      <c r="EK40" s="30"/>
      <c r="EL40" s="30"/>
      <c r="EM40" s="30"/>
      <c r="EN40" s="30"/>
      <c r="EO40" s="30"/>
      <c r="EP40" s="30"/>
      <c r="EQ40" s="30"/>
      <c r="ER40" s="30"/>
      <c r="ES40" s="30"/>
      <c r="ET40" s="30"/>
      <c r="EU40" s="30"/>
      <c r="EV40" s="30"/>
      <c r="EW40" s="30"/>
      <c r="EX40" s="30"/>
      <c r="EY40" s="30"/>
      <c r="EZ40" s="30"/>
      <c r="FA40" s="30"/>
      <c r="FB40" s="30"/>
      <c r="FC40" s="30"/>
      <c r="FD40" s="30"/>
      <c r="FE40" s="30"/>
      <c r="FF40" s="30"/>
      <c r="FG40" s="30"/>
      <c r="FH40" s="30"/>
      <c r="FI40" s="30"/>
      <c r="FJ40" s="30"/>
      <c r="FK40" s="30"/>
      <c r="FL40" s="30"/>
      <c r="FM40" s="30"/>
      <c r="FN40" s="30"/>
      <c r="FO40" s="30"/>
      <c r="FP40" s="30"/>
      <c r="FQ40" s="30"/>
      <c r="FR40" s="30"/>
      <c r="FS40" s="30"/>
      <c r="FT40" s="30"/>
      <c r="FU40" s="30"/>
      <c r="FV40" s="30"/>
      <c r="FW40" s="30"/>
      <c r="FX40" s="30"/>
      <c r="FY40" s="30"/>
      <c r="FZ40" s="30"/>
      <c r="GA40" s="30"/>
      <c r="GB40" s="30"/>
      <c r="GC40" s="30"/>
      <c r="GD40" s="30"/>
      <c r="GE40" s="30"/>
      <c r="GF40" s="30"/>
      <c r="GG40" s="30"/>
      <c r="GH40" s="30"/>
      <c r="GI40" s="30"/>
      <c r="GJ40" s="30"/>
      <c r="GK40" s="30"/>
      <c r="GL40" s="30"/>
      <c r="GM40" s="30"/>
      <c r="GN40" s="30"/>
      <c r="GO40" s="30"/>
      <c r="GP40" s="30"/>
      <c r="GQ40" s="30"/>
      <c r="GR40" s="30"/>
      <c r="GS40" s="30"/>
      <c r="GT40" s="30"/>
      <c r="GU40" s="30"/>
      <c r="GV40" s="30"/>
      <c r="GW40" s="30"/>
      <c r="GX40" s="30"/>
      <c r="GY40" s="30"/>
      <c r="GZ40" s="30"/>
      <c r="HA40" s="30"/>
      <c r="HB40" s="30"/>
      <c r="HC40" s="30"/>
      <c r="HD40" s="30"/>
      <c r="HE40" s="30"/>
      <c r="HF40" s="30"/>
      <c r="HG40" s="30"/>
      <c r="HH40" s="30"/>
      <c r="HI40" s="30"/>
      <c r="HJ40" s="30"/>
      <c r="HK40" s="30"/>
      <c r="HL40" s="30"/>
      <c r="HM40" s="30"/>
      <c r="HN40" s="30"/>
      <c r="HO40" s="30"/>
      <c r="HP40" s="30"/>
      <c r="HQ40" s="30"/>
      <c r="HR40" s="30"/>
      <c r="HS40" s="30"/>
      <c r="HT40" s="30"/>
      <c r="HU40" s="30"/>
      <c r="HV40" s="30"/>
      <c r="HW40" s="30"/>
      <c r="HX40" s="30"/>
      <c r="HY40" s="30"/>
      <c r="HZ40" s="30"/>
      <c r="IA40" s="30"/>
      <c r="IB40" s="30"/>
      <c r="IC40" s="30"/>
      <c r="ID40" s="30"/>
      <c r="IE40" s="30"/>
      <c r="IF40" s="30"/>
      <c r="IG40" s="30"/>
      <c r="IH40" s="30"/>
      <c r="II40" s="30"/>
      <c r="IJ40" s="30"/>
      <c r="IK40" s="30"/>
      <c r="IL40" s="30"/>
      <c r="IM40" s="30"/>
      <c r="IN40" s="30"/>
      <c r="IO40" s="30"/>
      <c r="IP40" s="30"/>
      <c r="IQ40" s="30"/>
      <c r="IR40" s="30"/>
      <c r="IS40" s="30"/>
      <c r="IT40" s="30"/>
      <c r="IU40" s="30"/>
      <c r="IV40" s="30"/>
      <c r="IW40" s="30"/>
      <c r="IX40" s="30"/>
      <c r="IY40" s="30"/>
      <c r="IZ40" s="30"/>
      <c r="JA40" s="30"/>
      <c r="JB40" s="30"/>
      <c r="JC40" s="30"/>
      <c r="JD40" s="30"/>
      <c r="JE40" s="30"/>
      <c r="JF40" s="30"/>
      <c r="JG40" s="30"/>
      <c r="JH40" s="30"/>
      <c r="JI40" s="30"/>
      <c r="JJ40" s="30"/>
      <c r="JK40" s="30"/>
      <c r="JL40" s="30"/>
      <c r="JM40" s="30"/>
      <c r="JN40" s="30"/>
      <c r="JO40" s="30"/>
      <c r="JP40" s="30"/>
      <c r="JQ40" s="30"/>
      <c r="JR40" s="30"/>
      <c r="JS40" s="30"/>
      <c r="JT40" s="30"/>
      <c r="JU40" s="30"/>
      <c r="JV40" s="30"/>
      <c r="JW40" s="30"/>
      <c r="JX40" s="30"/>
      <c r="JY40" s="30"/>
      <c r="JZ40" s="30"/>
      <c r="KA40" s="30"/>
      <c r="KB40" s="30"/>
      <c r="KC40" s="30"/>
      <c r="KD40" s="30"/>
      <c r="KE40" s="30"/>
      <c r="KF40" s="30"/>
      <c r="KG40" s="30"/>
      <c r="KH40" s="30"/>
      <c r="KI40" s="30"/>
      <c r="KJ40" s="30"/>
      <c r="KK40" s="30"/>
      <c r="KL40" s="30"/>
      <c r="KM40" s="30"/>
      <c r="KN40" s="30"/>
      <c r="KO40" s="30"/>
      <c r="KP40" s="30"/>
      <c r="KQ40" s="30"/>
      <c r="KR40" s="30"/>
      <c r="KS40" s="30"/>
      <c r="KT40" s="30"/>
      <c r="KU40" s="30"/>
      <c r="KV40" s="30"/>
      <c r="KW40" s="30"/>
      <c r="KX40" s="30"/>
      <c r="KY40" s="30"/>
      <c r="KZ40" s="30"/>
      <c r="LA40" s="30"/>
      <c r="LB40" s="30"/>
      <c r="LC40" s="30"/>
      <c r="LD40" s="30"/>
      <c r="LE40" s="30"/>
      <c r="LF40" s="30"/>
      <c r="LG40" s="30"/>
      <c r="LH40" s="30"/>
      <c r="LI40" s="30"/>
      <c r="LJ40" s="30"/>
      <c r="LK40" s="30"/>
      <c r="LL40" s="30"/>
      <c r="LM40" s="30"/>
      <c r="LN40" s="30"/>
      <c r="LO40" s="30"/>
      <c r="LP40" s="30"/>
      <c r="LQ40" s="30"/>
      <c r="LR40" s="30"/>
      <c r="LS40" s="30"/>
      <c r="LT40" s="30"/>
      <c r="LU40" s="30"/>
      <c r="LV40" s="30"/>
      <c r="LW40" s="30"/>
      <c r="LX40" s="30"/>
      <c r="LY40" s="30"/>
      <c r="LZ40" s="30"/>
      <c r="MA40" s="30"/>
      <c r="MB40" s="30"/>
      <c r="MC40" s="30"/>
      <c r="MD40" s="30"/>
      <c r="ME40" s="30"/>
      <c r="MF40" s="30"/>
      <c r="MG40" s="30"/>
      <c r="MH40" s="30"/>
      <c r="MI40" s="30"/>
      <c r="MJ40" s="30"/>
      <c r="MK40" s="30"/>
      <c r="ML40" s="30"/>
      <c r="MM40" s="30"/>
      <c r="MN40" s="30"/>
      <c r="MO40" s="30"/>
      <c r="MP40" s="30"/>
      <c r="MQ40" s="30"/>
      <c r="MR40" s="30"/>
      <c r="MS40" s="30"/>
      <c r="MT40" s="30"/>
      <c r="MU40" s="30"/>
      <c r="MV40" s="30"/>
      <c r="MW40" s="30"/>
      <c r="MX40" s="30"/>
      <c r="MY40" s="30"/>
      <c r="MZ40" s="30"/>
      <c r="NA40" s="30"/>
      <c r="NB40" s="30"/>
      <c r="NC40" s="30"/>
      <c r="ND40" s="30"/>
      <c r="NE40" s="30"/>
      <c r="NF40" s="30"/>
      <c r="NG40" s="30"/>
      <c r="NH40" s="30"/>
      <c r="NI40" s="30"/>
      <c r="NJ40" s="30"/>
      <c r="NK40" s="30"/>
      <c r="NL40" s="30"/>
      <c r="NM40" s="30"/>
      <c r="NN40" s="30"/>
      <c r="NO40" s="30"/>
      <c r="NP40" s="30"/>
      <c r="NQ40" s="30"/>
      <c r="NR40" s="30"/>
      <c r="NS40" s="30"/>
      <c r="NT40" s="30"/>
      <c r="NU40" s="30"/>
      <c r="NV40" s="30"/>
      <c r="NW40" s="30"/>
      <c r="NX40" s="30"/>
      <c r="NY40" s="30"/>
      <c r="NZ40" s="30"/>
      <c r="OA40" s="30"/>
      <c r="OB40" s="30"/>
      <c r="OC40" s="30"/>
      <c r="OD40" s="30"/>
      <c r="OE40" s="30"/>
      <c r="OF40" s="30"/>
      <c r="OG40" s="30"/>
      <c r="OH40" s="30"/>
      <c r="OI40" s="30"/>
      <c r="OJ40" s="30"/>
      <c r="OK40" s="30"/>
      <c r="OL40" s="30"/>
      <c r="OM40" s="30"/>
      <c r="ON40" s="30"/>
      <c r="OO40" s="30"/>
      <c r="OP40" s="30"/>
      <c r="OQ40" s="30"/>
      <c r="OR40" s="30"/>
      <c r="OS40" s="30"/>
      <c r="OT40" s="30"/>
      <c r="OU40" s="30"/>
      <c r="OV40" s="30"/>
    </row>
    <row r="41" ht="18.0" customHeight="1">
      <c r="A41" s="29">
        <v>40.0</v>
      </c>
      <c r="B41" s="30" t="s">
        <v>3920</v>
      </c>
      <c r="C41" s="31" t="s">
        <v>3684</v>
      </c>
      <c r="D41" s="30" t="s">
        <v>3676</v>
      </c>
      <c r="E41" s="29">
        <v>30.0</v>
      </c>
      <c r="F41" s="29">
        <f>COUNTIF('Tổng hợp 75 trang đích'!$B$2:$B$3400,$D41)</f>
        <v>30</v>
      </c>
      <c r="G41" s="29">
        <f>COUNTIFS('Tổng hợp 75 trang đích'!$B$2:$B$3400,$D41,'Tổng hợp 75 trang đích'!$K$2:$K$3400,"PHÙ HỢP CAO")</f>
        <v>3</v>
      </c>
      <c r="H41" s="29">
        <f>COUNTIFS('Tổng hợp 75 trang đích'!$B$2:$B$3400,$D41,'Tổng hợp 75 trang đích'!$K$2:$K$3400,"CÓ THỂ ĐI")</f>
        <v>1</v>
      </c>
      <c r="I41" s="29">
        <f>COUNTIFS('Tổng hợp 75 trang đích'!$B$2:$B$3400,$D41,'Tổng hợp 75 trang đích'!$K$2:$K$3400,"CẦN SOÁT")</f>
        <v>26</v>
      </c>
      <c r="J41" s="32" t="s">
        <v>714</v>
      </c>
      <c r="K41" s="32" t="b">
        <v>0</v>
      </c>
      <c r="L41" s="33" t="s">
        <v>52</v>
      </c>
      <c r="M41" s="30" t="str">
        <f>IFERROR(__xludf.DUMMYFUNCTION("IFERROR(TOROW(CHOOSECOLS(SORT(FILTER({'Tổng hợp 75 trang đích'!$J$2:$J$3400,'Tổng hợp 75 trang đích'!$I$2:$I$3400,MATCH('Tổng hợp 75 trang đích'!$K$2:$K$3400,{""PHÙ HỢP CAO"",""CÓ THỂ ĐI"",""CẦN SOÁT""},0)},'Tổng hợp 75 trang đích'!$B$2:$B$3400=$D41),3,TR"&amp;"UE),1,2)),"""")"),"tiền Nhật")</f>
        <v>tiền Nhật</v>
      </c>
      <c r="N41" s="34" t="str">
        <f>IFERROR(__xludf.DUMMYFUNCTION("""COMPUTED_VALUE"""),"https://techcombank.com/thong-tin/blog/thanh-toan-khi-du-lich-nhat-ban")</f>
        <v>https://techcombank.com/thong-tin/blog/thanh-toan-khi-du-lich-nhat-ban</v>
      </c>
      <c r="O41" s="30" t="str">
        <f>IFERROR(__xludf.DUMMYFUNCTION("""COMPUTED_VALUE"""),"tiền Yên Nhật")</f>
        <v>tiền Yên Nhật</v>
      </c>
      <c r="P41" s="34" t="str">
        <f>IFERROR(__xludf.DUMMYFUNCTION("""COMPUTED_VALUE"""),"https://techcombank.com/thong-tin/blog/chuyen-tien-tu-nhat-ve-viet-nam")</f>
        <v>https://techcombank.com/thong-tin/blog/chuyen-tien-tu-nhat-ve-viet-nam</v>
      </c>
      <c r="Q41" s="30" t="str">
        <f>IFERROR(__xludf.DUMMYFUNCTION("""COMPUTED_VALUE"""),"tiền Nhật")</f>
        <v>tiền Nhật</v>
      </c>
      <c r="R41" s="34" t="str">
        <f>IFERROR(__xludf.DUMMYFUNCTION("""COMPUTED_VALUE"""),"https://techcombank.com/thong-tin/blog/1-man-bang-bao-nhieu-tien-viet")</f>
        <v>https://techcombank.com/thong-tin/blog/1-man-bang-bao-nhieu-tien-viet</v>
      </c>
      <c r="S41" s="30" t="str">
        <f>IFERROR(__xludf.DUMMYFUNCTION("""COMPUTED_VALUE"""),"tiền Nhật")</f>
        <v>tiền Nhật</v>
      </c>
      <c r="T41" s="34" t="str">
        <f>IFERROR(__xludf.DUMMYFUNCTION("""COMPUTED_VALUE"""),"https://techcombank.com/thong-tin/blog/cach-tiet-kiem-tien-cua-nguoi-nhat")</f>
        <v>https://techcombank.com/thong-tin/blog/cach-tiet-kiem-tien-cua-nguoi-nhat</v>
      </c>
      <c r="U41" s="30" t="str">
        <f>IFERROR(__xludf.DUMMYFUNCTION("""COMPUTED_VALUE"""),"tiền Nhật")</f>
        <v>tiền Nhật</v>
      </c>
      <c r="V41" s="34" t="str">
        <f>IFERROR(__xludf.DUMMYFUNCTION("""COMPUTED_VALUE"""),"https://techcombank.com/thong-tin/blog/phi-rut-tien-mat-the-tin-dung")</f>
        <v>https://techcombank.com/thong-tin/blog/phi-rut-tien-mat-the-tin-dung</v>
      </c>
      <c r="W41" s="30" t="str">
        <f>IFERROR(__xludf.DUMMYFUNCTION("""COMPUTED_VALUE"""),"tiền Nhật")</f>
        <v>tiền Nhật</v>
      </c>
      <c r="X41" s="34" t="str">
        <f>IFERROR(__xludf.DUMMYFUNCTION("""COMPUTED_VALUE"""),"https://techcombank.com/thong-tin/blog/cach-tinh-lai-suat-tien-gui-tiet-kiem")</f>
        <v>https://techcombank.com/thong-tin/blog/cach-tinh-lai-suat-tien-gui-tiet-kiem</v>
      </c>
      <c r="Y41" s="30" t="str">
        <f>IFERROR(__xludf.DUMMYFUNCTION("""COMPUTED_VALUE"""),"tiền Nhật")</f>
        <v>tiền Nhật</v>
      </c>
      <c r="Z41" s="34" t="str">
        <f>IFERROR(__xludf.DUMMYFUNCTION("""COMPUTED_VALUE"""),"https://techcombank.com/thong-tin/blog/han-muc-mua-ngoai-te-khi-di-du-lich")</f>
        <v>https://techcombank.com/thong-tin/blog/han-muc-mua-ngoai-te-khi-di-du-lich</v>
      </c>
      <c r="AA41" s="30" t="str">
        <f>IFERROR(__xludf.DUMMYFUNCTION("""COMPUTED_VALUE"""),"tiền Yên Nhật")</f>
        <v>tiền Yên Nhật</v>
      </c>
      <c r="AB41" s="34" t="str">
        <f>IFERROR(__xludf.DUMMYFUNCTION("""COMPUTED_VALUE"""),"https://techcombank.com/thong-tin/blog/1000-yen-bang-bao-nhieu-tien-viet")</f>
        <v>https://techcombank.com/thong-tin/blog/1000-yen-bang-bao-nhieu-tien-viet</v>
      </c>
      <c r="AC41" s="30" t="str">
        <f>IFERROR(__xludf.DUMMYFUNCTION("""COMPUTED_VALUE"""),"tiền Nhật")</f>
        <v>tiền Nhật</v>
      </c>
      <c r="AD41" s="34" t="str">
        <f>IFERROR(__xludf.DUMMYFUNCTION("""COMPUTED_VALUE"""),"https://techcombank.com/thong-tin/blog/1-dong-do-la-my-bang-bao-nhieu-tien-viet-nam")</f>
        <v>https://techcombank.com/thong-tin/blog/1-dong-do-la-my-bang-bao-nhieu-tien-viet-nam</v>
      </c>
      <c r="AE41" s="30" t="str">
        <f>IFERROR(__xludf.DUMMYFUNCTION("""COMPUTED_VALUE"""),"tiền Nhật")</f>
        <v>tiền Nhật</v>
      </c>
      <c r="AF41" s="34" t="str">
        <f>IFERROR(__xludf.DUMMYFUNCTION("""COMPUTED_VALUE"""),"https://techcombank.com/thong-tin/blog/1-te-bang-bao-nhieu-tien-viet-nam")</f>
        <v>https://techcombank.com/thong-tin/blog/1-te-bang-bao-nhieu-tien-viet-nam</v>
      </c>
      <c r="AG41" s="30" t="str">
        <f>IFERROR(__xludf.DUMMYFUNCTION("""COMPUTED_VALUE"""),"tiền Nhật")</f>
        <v>tiền Nhật</v>
      </c>
      <c r="AH41" s="34" t="str">
        <f>IFERROR(__xludf.DUMMYFUNCTION("""COMPUTED_VALUE"""),"https://techcombank.com/thong-tin/blog/tien-trung-quoc")</f>
        <v>https://techcombank.com/thong-tin/blog/tien-trung-quoc</v>
      </c>
      <c r="AI41" s="30" t="str">
        <f>IFERROR(__xludf.DUMMYFUNCTION("""COMPUTED_VALUE"""),"tiền Nhật")</f>
        <v>tiền Nhật</v>
      </c>
      <c r="AJ41" s="34" t="str">
        <f>IFERROR(__xludf.DUMMYFUNCTION("""COMPUTED_VALUE"""),"https://techcombank.com/thong-tin/blog/gui-tiet-kiem-lay-lai-hang-thang")</f>
        <v>https://techcombank.com/thong-tin/blog/gui-tiet-kiem-lay-lai-hang-thang</v>
      </c>
      <c r="AK41" s="30" t="str">
        <f>IFERROR(__xludf.DUMMYFUNCTION("""COMPUTED_VALUE"""),"tiền Nhật")</f>
        <v>tiền Nhật</v>
      </c>
      <c r="AL41" s="34" t="str">
        <f>IFERROR(__xludf.DUMMYFUNCTION("""COMPUTED_VALUE"""),"https://techcombank.com/thong-tin/blog/tien-singapore")</f>
        <v>https://techcombank.com/thong-tin/blog/tien-singapore</v>
      </c>
      <c r="AM41" s="30" t="str">
        <f>IFERROR(__xludf.DUMMYFUNCTION("""COMPUTED_VALUE"""),"tiền Nhật")</f>
        <v>tiền Nhật</v>
      </c>
      <c r="AN41" s="34" t="str">
        <f>IFERROR(__xludf.DUMMYFUNCTION("""COMPUTED_VALUE"""),"https://techcombank.com/thong-tin/blog/1000-won-bang-bao-nhieu-tien-viet")</f>
        <v>https://techcombank.com/thong-tin/blog/1000-won-bang-bao-nhieu-tien-viet</v>
      </c>
      <c r="AO41" s="30" t="str">
        <f>IFERROR(__xludf.DUMMYFUNCTION("""COMPUTED_VALUE"""),"tiền Nhật")</f>
        <v>tiền Nhật</v>
      </c>
      <c r="AP41" s="34" t="str">
        <f>IFERROR(__xludf.DUMMYFUNCTION("""COMPUTED_VALUE"""),"https://techcombank.com/thong-tin/blog/chuyen-tien-tu-han-sang-viet-nam")</f>
        <v>https://techcombank.com/thong-tin/blog/chuyen-tien-tu-han-sang-viet-nam</v>
      </c>
      <c r="AQ41" s="30" t="str">
        <f>IFERROR(__xludf.DUMMYFUNCTION("""COMPUTED_VALUE"""),"tiền Nhật")</f>
        <v>tiền Nhật</v>
      </c>
      <c r="AR41" s="34" t="str">
        <f>IFERROR(__xludf.DUMMYFUNCTION("""COMPUTED_VALUE"""),"https://techcombank.com/thong-tin/blog/1-van-te-bang-bao-nhieu-tien-viet")</f>
        <v>https://techcombank.com/thong-tin/blog/1-van-te-bang-bao-nhieu-tien-viet</v>
      </c>
      <c r="AS41" s="30" t="str">
        <f>IFERROR(__xludf.DUMMYFUNCTION("""COMPUTED_VALUE"""),"tiền Nhật")</f>
        <v>tiền Nhật</v>
      </c>
      <c r="AT41" s="34" t="str">
        <f>IFERROR(__xludf.DUMMYFUNCTION("""COMPUTED_VALUE"""),"https://techcombank.com/thong-tin/blog/1000-te-bang-bao-nhieu-tien-viet")</f>
        <v>https://techcombank.com/thong-tin/blog/1000-te-bang-bao-nhieu-tien-viet</v>
      </c>
      <c r="AU41" s="30" t="str">
        <f>IFERROR(__xludf.DUMMYFUNCTION("""COMPUTED_VALUE"""),"tiền Nhật")</f>
        <v>tiền Nhật</v>
      </c>
      <c r="AV41" s="34" t="str">
        <f>IFERROR(__xludf.DUMMYFUNCTION("""COMPUTED_VALUE"""),"https://techcombank.com/thong-tin/blog/100-riel-bang-bao-nhieu-tien-viet-nam")</f>
        <v>https://techcombank.com/thong-tin/blog/100-riel-bang-bao-nhieu-tien-viet-nam</v>
      </c>
      <c r="AW41" s="30" t="str">
        <f>IFERROR(__xludf.DUMMYFUNCTION("""COMPUTED_VALUE"""),"tiền Nhật")</f>
        <v>tiền Nhật</v>
      </c>
      <c r="AX41" s="34" t="str">
        <f>IFERROR(__xludf.DUMMYFUNCTION("""COMPUTED_VALUE"""),"https://techcombank.com/thong-tin/blog/tien-indonesia")</f>
        <v>https://techcombank.com/thong-tin/blog/tien-indonesia</v>
      </c>
      <c r="AY41" s="30" t="str">
        <f>IFERROR(__xludf.DUMMYFUNCTION("""COMPUTED_VALUE"""),"tiền Nhật")</f>
        <v>tiền Nhật</v>
      </c>
      <c r="AZ41" s="34" t="str">
        <f>IFERROR(__xludf.DUMMYFUNCTION("""COMPUTED_VALUE"""),"https://techcombank.com/thong-tin/blog/nop-thue-hai-quan")</f>
        <v>https://techcombank.com/thong-tin/blog/nop-thue-hai-quan</v>
      </c>
      <c r="BA41" s="30" t="str">
        <f>IFERROR(__xludf.DUMMYFUNCTION("""COMPUTED_VALUE"""),"tiền Nhật")</f>
        <v>tiền Nhật</v>
      </c>
      <c r="BB41" s="34" t="str">
        <f>IFERROR(__xludf.DUMMYFUNCTION("""COMPUTED_VALUE"""),"https://techcombank.com/thong-tin/blog/chuyen-tien-di-uc")</f>
        <v>https://techcombank.com/thong-tin/blog/chuyen-tien-di-uc</v>
      </c>
      <c r="BC41" s="30" t="str">
        <f>IFERROR(__xludf.DUMMYFUNCTION("""COMPUTED_VALUE"""),"tiền Nhật")</f>
        <v>tiền Nhật</v>
      </c>
      <c r="BD41" s="34" t="str">
        <f>IFERROR(__xludf.DUMMYFUNCTION("""COMPUTED_VALUE"""),"https://techcombank.com/thong-tin/blog/tien-dai-loan")</f>
        <v>https://techcombank.com/thong-tin/blog/tien-dai-loan</v>
      </c>
      <c r="BE41" s="30" t="str">
        <f>IFERROR(__xludf.DUMMYFUNCTION("""COMPUTED_VALUE"""),"tiền Nhật")</f>
        <v>tiền Nhật</v>
      </c>
      <c r="BF41" s="34" t="str">
        <f>IFERROR(__xludf.DUMMYFUNCTION("""COMPUTED_VALUE"""),"https://techcombank.com/thong-tin/blog/nen-de-tien-trong-the-hay-gui-tiet-kiem")</f>
        <v>https://techcombank.com/thong-tin/blog/nen-de-tien-trong-the-hay-gui-tiet-kiem</v>
      </c>
      <c r="BG41" s="30" t="str">
        <f>IFERROR(__xludf.DUMMYFUNCTION("""COMPUTED_VALUE"""),"tiền Nhật")</f>
        <v>tiền Nhật</v>
      </c>
      <c r="BH41" s="34" t="str">
        <f>IFERROR(__xludf.DUMMYFUNCTION("""COMPUTED_VALUE"""),"https://techcombank.com/thong-tin/blog/1-won-bang-bao-nhieu-tien-viet")</f>
        <v>https://techcombank.com/thong-tin/blog/1-won-bang-bao-nhieu-tien-viet</v>
      </c>
      <c r="BI41" s="30" t="str">
        <f>IFERROR(__xludf.DUMMYFUNCTION("""COMPUTED_VALUE"""),"tiền Nhật")</f>
        <v>tiền Nhật</v>
      </c>
      <c r="BJ41" s="34" t="str">
        <f>IFERROR(__xludf.DUMMYFUNCTION("""COMPUTED_VALUE"""),"https://techcombank.com/thong-tin/blog/1-do-uc-bang-bao-nhieu-tien-viet")</f>
        <v>https://techcombank.com/thong-tin/blog/1-do-uc-bang-bao-nhieu-tien-viet</v>
      </c>
      <c r="BK41" s="30" t="str">
        <f>IFERROR(__xludf.DUMMYFUNCTION("""COMPUTED_VALUE"""),"tiền Nhật")</f>
        <v>tiền Nhật</v>
      </c>
      <c r="BL41" s="34" t="str">
        <f>IFERROR(__xludf.DUMMYFUNCTION("""COMPUTED_VALUE"""),"https://techcombank.com/thong-tin/blog/ma-swift-ngan-hang")</f>
        <v>https://techcombank.com/thong-tin/blog/ma-swift-ngan-hang</v>
      </c>
      <c r="BM41" s="30" t="str">
        <f>IFERROR(__xludf.DUMMYFUNCTION("""COMPUTED_VALUE"""),"tiền Nhật")</f>
        <v>tiền Nhật</v>
      </c>
      <c r="BN41" s="34" t="str">
        <f>IFERROR(__xludf.DUMMYFUNCTION("""COMPUTED_VALUE"""),"https://techcombank.com/thong-tin/blog/co-nen-gui-tiet-kiem-online")</f>
        <v>https://techcombank.com/thong-tin/blog/co-nen-gui-tiet-kiem-online</v>
      </c>
      <c r="BO41" s="30" t="str">
        <f>IFERROR(__xludf.DUMMYFUNCTION("""COMPUTED_VALUE"""),"tiền Nhật")</f>
        <v>tiền Nhật</v>
      </c>
      <c r="BP41" s="34" t="str">
        <f>IFERROR(__xludf.DUMMYFUNCTION("""COMPUTED_VALUE"""),"https://techcombank.com/thong-tin/blog/vnd-to-myr")</f>
        <v>https://techcombank.com/thong-tin/blog/vnd-to-myr</v>
      </c>
      <c r="BQ41" s="30" t="str">
        <f>IFERROR(__xludf.DUMMYFUNCTION("""COMPUTED_VALUE"""),"tiền Nhật")</f>
        <v>tiền Nhật</v>
      </c>
      <c r="BR41" s="34" t="str">
        <f>IFERROR(__xludf.DUMMYFUNCTION("""COMPUTED_VALUE"""),"https://techcombank.com/thong-tin/blog/thu-tuc-chuyen-tien-ra-nuoc-ngoai")</f>
        <v>https://techcombank.com/thong-tin/blog/thu-tuc-chuyen-tien-ra-nuoc-ngoai</v>
      </c>
      <c r="BS41" s="30" t="str">
        <f>IFERROR(__xludf.DUMMYFUNCTION("""COMPUTED_VALUE"""),"tiền Nhật")</f>
        <v>tiền Nhật</v>
      </c>
      <c r="BT41" s="34" t="str">
        <f>IFERROR(__xludf.DUMMYFUNCTION("""COMPUTED_VALUE"""),"https://techcombank.com/thong-tin/blog/cach-nhan-tien-tu-nuoc-ngoai-ve-viet-nam")</f>
        <v>https://techcombank.com/thong-tin/blog/cach-nhan-tien-tu-nuoc-ngoai-ve-viet-nam</v>
      </c>
      <c r="BU41" s="30"/>
      <c r="BV41" s="30"/>
      <c r="BW41" s="30"/>
      <c r="BX41" s="30"/>
      <c r="BY41" s="30"/>
      <c r="BZ41" s="30"/>
      <c r="CA41" s="30"/>
      <c r="CB41" s="30"/>
      <c r="CC41" s="30"/>
      <c r="CD41" s="30"/>
      <c r="CE41" s="30"/>
      <c r="CF41" s="30"/>
      <c r="CG41" s="30"/>
      <c r="CH41" s="30"/>
      <c r="CI41" s="30"/>
      <c r="CJ41" s="30"/>
      <c r="CK41" s="30"/>
      <c r="CL41" s="30"/>
      <c r="CM41" s="30"/>
      <c r="CN41" s="30"/>
      <c r="CO41" s="30"/>
      <c r="CP41" s="30"/>
      <c r="CQ41" s="30"/>
      <c r="CR41" s="30"/>
      <c r="CS41" s="30"/>
      <c r="CT41" s="30"/>
      <c r="CU41" s="30"/>
      <c r="CV41" s="30"/>
      <c r="CW41" s="30"/>
      <c r="CX41" s="30"/>
      <c r="CY41" s="30"/>
      <c r="CZ41" s="30"/>
      <c r="DA41" s="30"/>
      <c r="DB41" s="30"/>
      <c r="DC41" s="30"/>
      <c r="DD41" s="30"/>
      <c r="DE41" s="30"/>
      <c r="DF41" s="30"/>
      <c r="DG41" s="30"/>
      <c r="DH41" s="30"/>
      <c r="DI41" s="30"/>
      <c r="DJ41" s="30"/>
      <c r="DK41" s="30"/>
      <c r="DL41" s="30"/>
      <c r="DM41" s="30"/>
      <c r="DN41" s="30"/>
      <c r="DO41" s="30"/>
      <c r="DP41" s="30"/>
      <c r="DQ41" s="30"/>
      <c r="DR41" s="30"/>
      <c r="DS41" s="30"/>
      <c r="DT41" s="30"/>
      <c r="DU41" s="30"/>
      <c r="DV41" s="30"/>
      <c r="DW41" s="30"/>
      <c r="DX41" s="30"/>
      <c r="DY41" s="30"/>
      <c r="DZ41" s="30"/>
      <c r="EA41" s="30"/>
      <c r="EB41" s="30"/>
      <c r="EC41" s="30"/>
      <c r="ED41" s="30"/>
      <c r="EE41" s="30"/>
      <c r="EF41" s="30"/>
      <c r="EG41" s="30"/>
      <c r="EH41" s="30"/>
      <c r="EI41" s="30"/>
      <c r="EJ41" s="30"/>
      <c r="EK41" s="30"/>
      <c r="EL41" s="30"/>
      <c r="EM41" s="30"/>
      <c r="EN41" s="30"/>
      <c r="EO41" s="30"/>
      <c r="EP41" s="30"/>
      <c r="EQ41" s="30"/>
      <c r="ER41" s="30"/>
      <c r="ES41" s="30"/>
      <c r="ET41" s="30"/>
      <c r="EU41" s="30"/>
      <c r="EV41" s="30"/>
      <c r="EW41" s="30"/>
      <c r="EX41" s="30"/>
      <c r="EY41" s="30"/>
      <c r="EZ41" s="30"/>
      <c r="FA41" s="30"/>
      <c r="FB41" s="30"/>
      <c r="FC41" s="30"/>
      <c r="FD41" s="30"/>
      <c r="FE41" s="30"/>
      <c r="FF41" s="30"/>
      <c r="FG41" s="30"/>
      <c r="FH41" s="30"/>
      <c r="FI41" s="30"/>
      <c r="FJ41" s="30"/>
      <c r="FK41" s="30"/>
      <c r="FL41" s="30"/>
      <c r="FM41" s="30"/>
      <c r="FN41" s="30"/>
      <c r="FO41" s="30"/>
      <c r="FP41" s="30"/>
      <c r="FQ41" s="30"/>
      <c r="FR41" s="30"/>
      <c r="FS41" s="30"/>
      <c r="FT41" s="30"/>
      <c r="FU41" s="30"/>
      <c r="FV41" s="30"/>
      <c r="FW41" s="30"/>
      <c r="FX41" s="30"/>
      <c r="FY41" s="30"/>
      <c r="FZ41" s="30"/>
      <c r="GA41" s="30"/>
      <c r="GB41" s="30"/>
      <c r="GC41" s="30"/>
      <c r="GD41" s="30"/>
      <c r="GE41" s="30"/>
      <c r="GF41" s="30"/>
      <c r="GG41" s="30"/>
      <c r="GH41" s="30"/>
      <c r="GI41" s="30"/>
      <c r="GJ41" s="30"/>
      <c r="GK41" s="30"/>
      <c r="GL41" s="30"/>
      <c r="GM41" s="30"/>
      <c r="GN41" s="30"/>
      <c r="GO41" s="30"/>
      <c r="GP41" s="30"/>
      <c r="GQ41" s="30"/>
      <c r="GR41" s="30"/>
      <c r="GS41" s="30"/>
      <c r="GT41" s="30"/>
      <c r="GU41" s="30"/>
      <c r="GV41" s="30"/>
      <c r="GW41" s="30"/>
      <c r="GX41" s="30"/>
      <c r="GY41" s="30"/>
      <c r="GZ41" s="30"/>
      <c r="HA41" s="30"/>
      <c r="HB41" s="30"/>
      <c r="HC41" s="30"/>
      <c r="HD41" s="30"/>
      <c r="HE41" s="30"/>
      <c r="HF41" s="30"/>
      <c r="HG41" s="30"/>
      <c r="HH41" s="30"/>
      <c r="HI41" s="30"/>
      <c r="HJ41" s="30"/>
      <c r="HK41" s="30"/>
      <c r="HL41" s="30"/>
      <c r="HM41" s="30"/>
      <c r="HN41" s="30"/>
      <c r="HO41" s="30"/>
      <c r="HP41" s="30"/>
      <c r="HQ41" s="30"/>
      <c r="HR41" s="30"/>
      <c r="HS41" s="30"/>
      <c r="HT41" s="30"/>
      <c r="HU41" s="30"/>
      <c r="HV41" s="30"/>
      <c r="HW41" s="30"/>
      <c r="HX41" s="30"/>
      <c r="HY41" s="30"/>
      <c r="HZ41" s="30"/>
      <c r="IA41" s="30"/>
      <c r="IB41" s="30"/>
      <c r="IC41" s="30"/>
      <c r="ID41" s="30"/>
      <c r="IE41" s="30"/>
      <c r="IF41" s="30"/>
      <c r="IG41" s="30"/>
      <c r="IH41" s="30"/>
      <c r="II41" s="30"/>
      <c r="IJ41" s="30"/>
      <c r="IK41" s="30"/>
      <c r="IL41" s="30"/>
      <c r="IM41" s="30"/>
      <c r="IN41" s="30"/>
      <c r="IO41" s="30"/>
      <c r="IP41" s="30"/>
      <c r="IQ41" s="30"/>
      <c r="IR41" s="30"/>
      <c r="IS41" s="30"/>
      <c r="IT41" s="30"/>
      <c r="IU41" s="30"/>
      <c r="IV41" s="30"/>
      <c r="IW41" s="30"/>
      <c r="IX41" s="30"/>
      <c r="IY41" s="30"/>
      <c r="IZ41" s="30"/>
      <c r="JA41" s="30"/>
      <c r="JB41" s="30"/>
      <c r="JC41" s="30"/>
      <c r="JD41" s="30"/>
      <c r="JE41" s="30"/>
      <c r="JF41" s="30"/>
      <c r="JG41" s="30"/>
      <c r="JH41" s="30"/>
      <c r="JI41" s="30"/>
      <c r="JJ41" s="30"/>
      <c r="JK41" s="30"/>
      <c r="JL41" s="30"/>
      <c r="JM41" s="30"/>
      <c r="JN41" s="30"/>
      <c r="JO41" s="30"/>
      <c r="JP41" s="30"/>
      <c r="JQ41" s="30"/>
      <c r="JR41" s="30"/>
      <c r="JS41" s="30"/>
      <c r="JT41" s="30"/>
      <c r="JU41" s="30"/>
      <c r="JV41" s="30"/>
      <c r="JW41" s="30"/>
      <c r="JX41" s="30"/>
      <c r="JY41" s="30"/>
      <c r="JZ41" s="30"/>
      <c r="KA41" s="30"/>
      <c r="KB41" s="30"/>
      <c r="KC41" s="30"/>
      <c r="KD41" s="30"/>
      <c r="KE41" s="30"/>
      <c r="KF41" s="30"/>
      <c r="KG41" s="30"/>
      <c r="KH41" s="30"/>
      <c r="KI41" s="30"/>
      <c r="KJ41" s="30"/>
      <c r="KK41" s="30"/>
      <c r="KL41" s="30"/>
      <c r="KM41" s="30"/>
      <c r="KN41" s="30"/>
      <c r="KO41" s="30"/>
      <c r="KP41" s="30"/>
      <c r="KQ41" s="30"/>
      <c r="KR41" s="30"/>
      <c r="KS41" s="30"/>
      <c r="KT41" s="30"/>
      <c r="KU41" s="30"/>
      <c r="KV41" s="30"/>
      <c r="KW41" s="30"/>
      <c r="KX41" s="30"/>
      <c r="KY41" s="30"/>
      <c r="KZ41" s="30"/>
      <c r="LA41" s="30"/>
      <c r="LB41" s="30"/>
      <c r="LC41" s="30"/>
      <c r="LD41" s="30"/>
      <c r="LE41" s="30"/>
      <c r="LF41" s="30"/>
      <c r="LG41" s="30"/>
      <c r="LH41" s="30"/>
      <c r="LI41" s="30"/>
      <c r="LJ41" s="30"/>
      <c r="LK41" s="30"/>
      <c r="LL41" s="30"/>
      <c r="LM41" s="30"/>
      <c r="LN41" s="30"/>
      <c r="LO41" s="30"/>
      <c r="LP41" s="30"/>
      <c r="LQ41" s="30"/>
      <c r="LR41" s="30"/>
      <c r="LS41" s="30"/>
      <c r="LT41" s="30"/>
      <c r="LU41" s="30"/>
      <c r="LV41" s="30"/>
      <c r="LW41" s="30"/>
      <c r="LX41" s="30"/>
      <c r="LY41" s="30"/>
      <c r="LZ41" s="30"/>
      <c r="MA41" s="30"/>
      <c r="MB41" s="30"/>
      <c r="MC41" s="30"/>
      <c r="MD41" s="30"/>
      <c r="ME41" s="30"/>
      <c r="MF41" s="30"/>
      <c r="MG41" s="30"/>
      <c r="MH41" s="30"/>
      <c r="MI41" s="30"/>
      <c r="MJ41" s="30"/>
      <c r="MK41" s="30"/>
      <c r="ML41" s="30"/>
      <c r="MM41" s="30"/>
      <c r="MN41" s="30"/>
      <c r="MO41" s="30"/>
      <c r="MP41" s="30"/>
      <c r="MQ41" s="30"/>
      <c r="MR41" s="30"/>
      <c r="MS41" s="30"/>
      <c r="MT41" s="30"/>
      <c r="MU41" s="30"/>
      <c r="MV41" s="30"/>
      <c r="MW41" s="30"/>
      <c r="MX41" s="30"/>
      <c r="MY41" s="30"/>
      <c r="MZ41" s="30"/>
      <c r="NA41" s="30"/>
      <c r="NB41" s="30"/>
      <c r="NC41" s="30"/>
      <c r="ND41" s="30"/>
      <c r="NE41" s="30"/>
      <c r="NF41" s="30"/>
      <c r="NG41" s="30"/>
      <c r="NH41" s="30"/>
      <c r="NI41" s="30"/>
      <c r="NJ41" s="30"/>
      <c r="NK41" s="30"/>
      <c r="NL41" s="30"/>
      <c r="NM41" s="30"/>
      <c r="NN41" s="30"/>
      <c r="NO41" s="30"/>
      <c r="NP41" s="30"/>
      <c r="NQ41" s="30"/>
      <c r="NR41" s="30"/>
      <c r="NS41" s="30"/>
      <c r="NT41" s="30"/>
      <c r="NU41" s="30"/>
      <c r="NV41" s="30"/>
      <c r="NW41" s="30"/>
      <c r="NX41" s="30"/>
      <c r="NY41" s="30"/>
      <c r="NZ41" s="30"/>
      <c r="OA41" s="30"/>
      <c r="OB41" s="30"/>
      <c r="OC41" s="30"/>
      <c r="OD41" s="30"/>
      <c r="OE41" s="30"/>
      <c r="OF41" s="30"/>
      <c r="OG41" s="30"/>
      <c r="OH41" s="30"/>
      <c r="OI41" s="30"/>
      <c r="OJ41" s="30"/>
      <c r="OK41" s="30"/>
      <c r="OL41" s="30"/>
      <c r="OM41" s="30"/>
      <c r="ON41" s="30"/>
      <c r="OO41" s="30"/>
      <c r="OP41" s="30"/>
      <c r="OQ41" s="30"/>
      <c r="OR41" s="30"/>
      <c r="OS41" s="30"/>
      <c r="OT41" s="30"/>
      <c r="OU41" s="30"/>
      <c r="OV41" s="30"/>
    </row>
    <row r="42" ht="18.0" customHeight="1">
      <c r="A42" s="29">
        <v>41.0</v>
      </c>
      <c r="B42" s="30" t="s">
        <v>3920</v>
      </c>
      <c r="C42" s="31" t="s">
        <v>3740</v>
      </c>
      <c r="D42" s="30" t="s">
        <v>2949</v>
      </c>
      <c r="E42" s="29">
        <v>30.0</v>
      </c>
      <c r="F42" s="29">
        <f>COUNTIF('Tổng hợp 75 trang đích'!$B$2:$B$3400,$D42)</f>
        <v>30</v>
      </c>
      <c r="G42" s="29">
        <f>COUNTIFS('Tổng hợp 75 trang đích'!$B$2:$B$3400,$D42,'Tổng hợp 75 trang đích'!$K$2:$K$3400,"PHÙ HỢP CAO")</f>
        <v>3</v>
      </c>
      <c r="H42" s="29">
        <f>COUNTIFS('Tổng hợp 75 trang đích'!$B$2:$B$3400,$D42,'Tổng hợp 75 trang đích'!$K$2:$K$3400,"CÓ THỂ ĐI")</f>
        <v>1</v>
      </c>
      <c r="I42" s="29">
        <f>COUNTIFS('Tổng hợp 75 trang đích'!$B$2:$B$3400,$D42,'Tổng hợp 75 trang đích'!$K$2:$K$3400,"CẦN SOÁT")</f>
        <v>26</v>
      </c>
      <c r="J42" s="32" t="s">
        <v>714</v>
      </c>
      <c r="K42" s="32" t="b">
        <v>0</v>
      </c>
      <c r="L42" s="33" t="s">
        <v>52</v>
      </c>
      <c r="M42" s="30" t="str">
        <f>IFERROR(__xludf.DUMMYFUNCTION("IFERROR(TOROW(CHOOSECOLS(SORT(FILTER({'Tổng hợp 75 trang đích'!$J$2:$J$3400,'Tổng hợp 75 trang đích'!$I$2:$I$3400,MATCH('Tổng hợp 75 trang đích'!$K$2:$K$3400,{""PHÙ HỢP CAO"",""CÓ THỂ ĐI"",""CẦN SOÁT""},0)},'Tổng hợp 75 trang đích'!$B$2:$B$3400=$D42),3,TR"&amp;"UE),1,2)),"""")"),"tỷ giá Yên Nhật")</f>
        <v>tỷ giá Yên Nhật</v>
      </c>
      <c r="N42" s="34" t="str">
        <f>IFERROR(__xludf.DUMMYFUNCTION("""COMPUTED_VALUE"""),"https://techcombank.com/thong-tin/blog/1000-yen-bang-bao-nhieu-tien-viet")</f>
        <v>https://techcombank.com/thong-tin/blog/1000-yen-bang-bao-nhieu-tien-viet</v>
      </c>
      <c r="O42" s="30" t="str">
        <f>IFERROR(__xludf.DUMMYFUNCTION("""COMPUTED_VALUE"""),"tỷ giá Yên Nhật")</f>
        <v>tỷ giá Yên Nhật</v>
      </c>
      <c r="P42" s="34" t="str">
        <f>IFERROR(__xludf.DUMMYFUNCTION("""COMPUTED_VALUE"""),"https://techcombank.com/thong-tin/blog/tien-nhat")</f>
        <v>https://techcombank.com/thong-tin/blog/tien-nhat</v>
      </c>
      <c r="Q42" s="30" t="str">
        <f>IFERROR(__xludf.DUMMYFUNCTION("""COMPUTED_VALUE"""),"1 Yên bằng bao nhiêu tiền Việt")</f>
        <v>1 Yên bằng bao nhiêu tiền Việt</v>
      </c>
      <c r="R42" s="34" t="str">
        <f>IFERROR(__xludf.DUMMYFUNCTION("""COMPUTED_VALUE"""),"https://techcombank.com/thong-tin/blog/1-man-bang-bao-nhieu-tien-viet")</f>
        <v>https://techcombank.com/thong-tin/blog/1-man-bang-bao-nhieu-tien-viet</v>
      </c>
      <c r="S42" s="30" t="str">
        <f>IFERROR(__xludf.DUMMYFUNCTION("""COMPUTED_VALUE"""),"tỷ giá Yên Nhật")</f>
        <v>tỷ giá Yên Nhật</v>
      </c>
      <c r="T42" s="34" t="str">
        <f>IFERROR(__xludf.DUMMYFUNCTION("""COMPUTED_VALUE"""),"https://techcombank.com/thong-tin/blog/chuyen-tien-tu-nhat-ve-viet-nam")</f>
        <v>https://techcombank.com/thong-tin/blog/chuyen-tien-tu-nhat-ve-viet-nam</v>
      </c>
      <c r="U42" s="30" t="str">
        <f>IFERROR(__xludf.DUMMYFUNCTION("""COMPUTED_VALUE"""),"1 Yên bằng bao nhiêu tiền Việt")</f>
        <v>1 Yên bằng bao nhiêu tiền Việt</v>
      </c>
      <c r="V42" s="34" t="str">
        <f>IFERROR(__xludf.DUMMYFUNCTION("""COMPUTED_VALUE"""),"https://techcombank.com/thong-tin/blog/cach-rut-tien-atm")</f>
        <v>https://techcombank.com/thong-tin/blog/cach-rut-tien-atm</v>
      </c>
      <c r="W42" s="30" t="str">
        <f>IFERROR(__xludf.DUMMYFUNCTION("""COMPUTED_VALUE"""),"1 Yên bằng bao nhiêu tiền Việt")</f>
        <v>1 Yên bằng bao nhiêu tiền Việt</v>
      </c>
      <c r="X42" s="34" t="str">
        <f>IFERROR(__xludf.DUMMYFUNCTION("""COMPUTED_VALUE"""),"https://techcombank.com/thong-tin/blog/han-muc-mua-ngoai-te-khi-di-du-lich")</f>
        <v>https://techcombank.com/thong-tin/blog/han-muc-mua-ngoai-te-khi-di-du-lich</v>
      </c>
      <c r="Y42" s="30" t="str">
        <f>IFERROR(__xludf.DUMMYFUNCTION("""COMPUTED_VALUE"""),"tỷ giá Yên Nhật")</f>
        <v>tỷ giá Yên Nhật</v>
      </c>
      <c r="Z42" s="34" t="str">
        <f>IFERROR(__xludf.DUMMYFUNCTION("""COMPUTED_VALUE"""),"https://techcombank.com/thong-tin/blog/thanh-toan-khi-du-lich-nhat-ban")</f>
        <v>https://techcombank.com/thong-tin/blog/thanh-toan-khi-du-lich-nhat-ban</v>
      </c>
      <c r="AA42" s="30" t="str">
        <f>IFERROR(__xludf.DUMMYFUNCTION("""COMPUTED_VALUE"""),"1 Yên bằng bao nhiêu tiền Việt")</f>
        <v>1 Yên bằng bao nhiêu tiền Việt</v>
      </c>
      <c r="AB42" s="34" t="str">
        <f>IFERROR(__xludf.DUMMYFUNCTION("""COMPUTED_VALUE"""),"https://techcombank.com/thong-tin/blog/1-dong-do-la-my-bang-bao-nhieu-tien-viet-nam")</f>
        <v>https://techcombank.com/thong-tin/blog/1-dong-do-la-my-bang-bao-nhieu-tien-viet-nam</v>
      </c>
      <c r="AC42" s="30" t="str">
        <f>IFERROR(__xludf.DUMMYFUNCTION("""COMPUTED_VALUE"""),"1 Yên bằng bao nhiêu tiền Việt")</f>
        <v>1 Yên bằng bao nhiêu tiền Việt</v>
      </c>
      <c r="AD42" s="34" t="str">
        <f>IFERROR(__xludf.DUMMYFUNCTION("""COMPUTED_VALUE"""),"https://techcombank.com/thong-tin/blog/1-te-bang-bao-nhieu-tien-viet-nam")</f>
        <v>https://techcombank.com/thong-tin/blog/1-te-bang-bao-nhieu-tien-viet-nam</v>
      </c>
      <c r="AE42" s="30" t="str">
        <f>IFERROR(__xludf.DUMMYFUNCTION("""COMPUTED_VALUE"""),"1 Yên bằng bao nhiêu tiền Việt")</f>
        <v>1 Yên bằng bao nhiêu tiền Việt</v>
      </c>
      <c r="AF42" s="34" t="str">
        <f>IFERROR(__xludf.DUMMYFUNCTION("""COMPUTED_VALUE"""),"https://techcombank.com/thong-tin/blog/tien-trung-quoc")</f>
        <v>https://techcombank.com/thong-tin/blog/tien-trung-quoc</v>
      </c>
      <c r="AG42" s="30" t="str">
        <f>IFERROR(__xludf.DUMMYFUNCTION("""COMPUTED_VALUE"""),"tỷ giá Yên Nhật")</f>
        <v>tỷ giá Yên Nhật</v>
      </c>
      <c r="AH42" s="34" t="str">
        <f>IFERROR(__xludf.DUMMYFUNCTION("""COMPUTED_VALUE"""),"https://techcombank.com/thong-tin/blog/doi-tien-do-o-dau")</f>
        <v>https://techcombank.com/thong-tin/blog/doi-tien-do-o-dau</v>
      </c>
      <c r="AI42" s="30" t="str">
        <f>IFERROR(__xludf.DUMMYFUNCTION("""COMPUTED_VALUE"""),"tỷ giá Yên Nhật")</f>
        <v>tỷ giá Yên Nhật</v>
      </c>
      <c r="AJ42" s="34" t="str">
        <f>IFERROR(__xludf.DUMMYFUNCTION("""COMPUTED_VALUE"""),"https://techcombank.com/thong-tin/blog/tien-singapore")</f>
        <v>https://techcombank.com/thong-tin/blog/tien-singapore</v>
      </c>
      <c r="AK42" s="30" t="str">
        <f>IFERROR(__xludf.DUMMYFUNCTION("""COMPUTED_VALUE"""),"tỷ giá Yên Nhật")</f>
        <v>tỷ giá Yên Nhật</v>
      </c>
      <c r="AL42" s="34" t="str">
        <f>IFERROR(__xludf.DUMMYFUNCTION("""COMPUTED_VALUE"""),"https://techcombank.com/thong-tin/blog/1000-won-bang-bao-nhieu-tien-viet")</f>
        <v>https://techcombank.com/thong-tin/blog/1000-won-bang-bao-nhieu-tien-viet</v>
      </c>
      <c r="AM42" s="30" t="str">
        <f>IFERROR(__xludf.DUMMYFUNCTION("""COMPUTED_VALUE"""),"1 Yên bằng bao nhiêu tiền Việt")</f>
        <v>1 Yên bằng bao nhiêu tiền Việt</v>
      </c>
      <c r="AN42" s="34" t="str">
        <f>IFERROR(__xludf.DUMMYFUNCTION("""COMPUTED_VALUE"""),"https://techcombank.com/thong-tin/blog/1-van-tien-dai-loan-bang-bao-nhieu-tien-viet")</f>
        <v>https://techcombank.com/thong-tin/blog/1-van-tien-dai-loan-bang-bao-nhieu-tien-viet</v>
      </c>
      <c r="AO42" s="30" t="str">
        <f>IFERROR(__xludf.DUMMYFUNCTION("""COMPUTED_VALUE"""),"1 Yên bằng bao nhiêu tiền Việt")</f>
        <v>1 Yên bằng bao nhiêu tiền Việt</v>
      </c>
      <c r="AP42" s="34" t="str">
        <f>IFERROR(__xludf.DUMMYFUNCTION("""COMPUTED_VALUE"""),"https://techcombank.com/thong-tin/blog/1-van-te-bang-bao-nhieu-tien-viet")</f>
        <v>https://techcombank.com/thong-tin/blog/1-van-te-bang-bao-nhieu-tien-viet</v>
      </c>
      <c r="AQ42" s="30" t="str">
        <f>IFERROR(__xludf.DUMMYFUNCTION("""COMPUTED_VALUE"""),"tỷ giá Yên Nhật")</f>
        <v>tỷ giá Yên Nhật</v>
      </c>
      <c r="AR42" s="34" t="str">
        <f>IFERROR(__xludf.DUMMYFUNCTION("""COMPUTED_VALUE"""),"https://techcombank.com/thong-tin/blog/1000-te-bang-bao-nhieu-tien-viet")</f>
        <v>https://techcombank.com/thong-tin/blog/1000-te-bang-bao-nhieu-tien-viet</v>
      </c>
      <c r="AS42" s="30" t="str">
        <f>IFERROR(__xludf.DUMMYFUNCTION("""COMPUTED_VALUE"""),"tỷ giá Yên Nhật")</f>
        <v>tỷ giá Yên Nhật</v>
      </c>
      <c r="AT42" s="34" t="str">
        <f>IFERROR(__xludf.DUMMYFUNCTION("""COMPUTED_VALUE"""),"https://techcombank.com/thong-tin/blog/100-riel-bang-bao-nhieu-tien-viet-nam")</f>
        <v>https://techcombank.com/thong-tin/blog/100-riel-bang-bao-nhieu-tien-viet-nam</v>
      </c>
      <c r="AU42" s="30" t="str">
        <f>IFERROR(__xludf.DUMMYFUNCTION("""COMPUTED_VALUE"""),"tỷ giá Yên Nhật")</f>
        <v>tỷ giá Yên Nhật</v>
      </c>
      <c r="AV42" s="34" t="str">
        <f>IFERROR(__xludf.DUMMYFUNCTION("""COMPUTED_VALUE"""),"https://techcombank.com/thong-tin/blog/tien-indonesia")</f>
        <v>https://techcombank.com/thong-tin/blog/tien-indonesia</v>
      </c>
      <c r="AW42" s="30" t="str">
        <f>IFERROR(__xludf.DUMMYFUNCTION("""COMPUTED_VALUE"""),"1 Yên bằng bao nhiêu tiền Việt")</f>
        <v>1 Yên bằng bao nhiêu tiền Việt</v>
      </c>
      <c r="AX42" s="34" t="str">
        <f>IFERROR(__xludf.DUMMYFUNCTION("""COMPUTED_VALUE"""),"https://techcombank.com/thong-tin/blog/1-trieu-do-bang-bao-nhieu-tien-viet")</f>
        <v>https://techcombank.com/thong-tin/blog/1-trieu-do-bang-bao-nhieu-tien-viet</v>
      </c>
      <c r="AY42" s="30" t="str">
        <f>IFERROR(__xludf.DUMMYFUNCTION("""COMPUTED_VALUE"""),"tỷ giá Yên Nhật")</f>
        <v>tỷ giá Yên Nhật</v>
      </c>
      <c r="AZ42" s="34" t="str">
        <f>IFERROR(__xludf.DUMMYFUNCTION("""COMPUTED_VALUE"""),"https://techcombank.com/thong-tin/blog/chuyen-tien-di-uc")</f>
        <v>https://techcombank.com/thong-tin/blog/chuyen-tien-di-uc</v>
      </c>
      <c r="BA42" s="30" t="str">
        <f>IFERROR(__xludf.DUMMYFUNCTION("""COMPUTED_VALUE"""),"1 Yên bằng bao nhiêu tiền Việt")</f>
        <v>1 Yên bằng bao nhiêu tiền Việt</v>
      </c>
      <c r="BB42" s="34" t="str">
        <f>IFERROR(__xludf.DUMMYFUNCTION("""COMPUTED_VALUE"""),"https://techcombank.com/thong-tin/blog/tien-dai-loan")</f>
        <v>https://techcombank.com/thong-tin/blog/tien-dai-loan</v>
      </c>
      <c r="BC42" s="30" t="str">
        <f>IFERROR(__xludf.DUMMYFUNCTION("""COMPUTED_VALUE"""),"1 Yên bằng bao nhiêu tiền Việt")</f>
        <v>1 Yên bằng bao nhiêu tiền Việt</v>
      </c>
      <c r="BD42" s="34" t="str">
        <f>IFERROR(__xludf.DUMMYFUNCTION("""COMPUTED_VALUE"""),"https://techcombank.com/thong-tin/blog/1-cent-bang-bao-nhieu-tien-viet")</f>
        <v>https://techcombank.com/thong-tin/blog/1-cent-bang-bao-nhieu-tien-viet</v>
      </c>
      <c r="BE42" s="30" t="str">
        <f>IFERROR(__xludf.DUMMYFUNCTION("""COMPUTED_VALUE"""),"1 Yên bằng bao nhiêu tiền Việt")</f>
        <v>1 Yên bằng bao nhiêu tiền Việt</v>
      </c>
      <c r="BF42" s="34" t="str">
        <f>IFERROR(__xludf.DUMMYFUNCTION("""COMPUTED_VALUE"""),"https://techcombank.com/thong-tin/blog/1-won-bang-bao-nhieu-tien-viet")</f>
        <v>https://techcombank.com/thong-tin/blog/1-won-bang-bao-nhieu-tien-viet</v>
      </c>
      <c r="BG42" s="30" t="str">
        <f>IFERROR(__xludf.DUMMYFUNCTION("""COMPUTED_VALUE"""),"1 Yên bằng bao nhiêu tiền Việt")</f>
        <v>1 Yên bằng bao nhiêu tiền Việt</v>
      </c>
      <c r="BH42" s="34" t="str">
        <f>IFERROR(__xludf.DUMMYFUNCTION("""COMPUTED_VALUE"""),"https://techcombank.com/thong-tin/blog/1-do-uc-bang-bao-nhieu-tien-viet")</f>
        <v>https://techcombank.com/thong-tin/blog/1-do-uc-bang-bao-nhieu-tien-viet</v>
      </c>
      <c r="BI42" s="30" t="str">
        <f>IFERROR(__xludf.DUMMYFUNCTION("""COMPUTED_VALUE"""),"1 Yên bằng bao nhiêu tiền Việt")</f>
        <v>1 Yên bằng bao nhiêu tiền Việt</v>
      </c>
      <c r="BJ42" s="34" t="str">
        <f>IFERROR(__xludf.DUMMYFUNCTION("""COMPUTED_VALUE"""),"https://techcombank.com/thong-tin/blog/vi-dien-tu-la-gi")</f>
        <v>https://techcombank.com/thong-tin/blog/vi-dien-tu-la-gi</v>
      </c>
      <c r="BK42" s="30" t="str">
        <f>IFERROR(__xludf.DUMMYFUNCTION("""COMPUTED_VALUE"""),"1 Yên bằng bao nhiêu tiền Việt")</f>
        <v>1 Yên bằng bao nhiêu tiền Việt</v>
      </c>
      <c r="BL42" s="34" t="str">
        <f>IFERROR(__xludf.DUMMYFUNCTION("""COMPUTED_VALUE"""),"https://techcombank.com/thong-tin/blog/shopeepay-la-gi")</f>
        <v>https://techcombank.com/thong-tin/blog/shopeepay-la-gi</v>
      </c>
      <c r="BM42" s="30" t="str">
        <f>IFERROR(__xludf.DUMMYFUNCTION("""COMPUTED_VALUE"""),"tỷ giá Yên Nhật")</f>
        <v>tỷ giá Yên Nhật</v>
      </c>
      <c r="BN42" s="34" t="str">
        <f>IFERROR(__xludf.DUMMYFUNCTION("""COMPUTED_VALUE"""),"https://techcombank.com/thong-tin/blog/tien-thai-lan")</f>
        <v>https://techcombank.com/thong-tin/blog/tien-thai-lan</v>
      </c>
      <c r="BO42" s="30" t="str">
        <f>IFERROR(__xludf.DUMMYFUNCTION("""COMPUTED_VALUE"""),"1 Yên bằng bao nhiêu tiền Việt")</f>
        <v>1 Yên bằng bao nhiêu tiền Việt</v>
      </c>
      <c r="BP42" s="34" t="str">
        <f>IFERROR(__xludf.DUMMYFUNCTION("""COMPUTED_VALUE"""),"https://techcombank.com/thong-tin/blog/tien-lao")</f>
        <v>https://techcombank.com/thong-tin/blog/tien-lao</v>
      </c>
      <c r="BQ42" s="30" t="str">
        <f>IFERROR(__xludf.DUMMYFUNCTION("""COMPUTED_VALUE"""),"tỷ giá Yên Nhật")</f>
        <v>tỷ giá Yên Nhật</v>
      </c>
      <c r="BR42" s="34" t="str">
        <f>IFERROR(__xludf.DUMMYFUNCTION("""COMPUTED_VALUE"""),"https://techcombank.com/thong-tin/blog/tien-malaysia")</f>
        <v>https://techcombank.com/thong-tin/blog/tien-malaysia</v>
      </c>
      <c r="BS42" s="30" t="str">
        <f>IFERROR(__xludf.DUMMYFUNCTION("""COMPUTED_VALUE"""),"tỷ giá Yên Nhật")</f>
        <v>tỷ giá Yên Nhật</v>
      </c>
      <c r="BT42" s="34" t="str">
        <f>IFERROR(__xludf.DUMMYFUNCTION("""COMPUTED_VALUE"""),"https://techcombank.com/thong-tin/blog/vnd-to-myr")</f>
        <v>https://techcombank.com/thong-tin/blog/vnd-to-myr</v>
      </c>
      <c r="BU42" s="30"/>
      <c r="BV42" s="30"/>
      <c r="BW42" s="30"/>
      <c r="BX42" s="30"/>
      <c r="BY42" s="30"/>
      <c r="BZ42" s="30"/>
      <c r="CA42" s="30"/>
      <c r="CB42" s="30"/>
      <c r="CC42" s="30"/>
      <c r="CD42" s="30"/>
      <c r="CE42" s="30"/>
      <c r="CF42" s="30"/>
      <c r="CG42" s="30"/>
      <c r="CH42" s="30"/>
      <c r="CI42" s="30"/>
      <c r="CJ42" s="30"/>
      <c r="CK42" s="30"/>
      <c r="CL42" s="30"/>
      <c r="CM42" s="30"/>
      <c r="CN42" s="30"/>
      <c r="CO42" s="30"/>
      <c r="CP42" s="30"/>
      <c r="CQ42" s="30"/>
      <c r="CR42" s="30"/>
      <c r="CS42" s="30"/>
      <c r="CT42" s="30"/>
      <c r="CU42" s="30"/>
      <c r="CV42" s="30"/>
      <c r="CW42" s="30"/>
      <c r="CX42" s="30"/>
      <c r="CY42" s="30"/>
      <c r="CZ42" s="30"/>
      <c r="DA42" s="30"/>
      <c r="DB42" s="30"/>
      <c r="DC42" s="30"/>
      <c r="DD42" s="30"/>
      <c r="DE42" s="30"/>
      <c r="DF42" s="30"/>
      <c r="DG42" s="30"/>
      <c r="DH42" s="30"/>
      <c r="DI42" s="30"/>
      <c r="DJ42" s="30"/>
      <c r="DK42" s="30"/>
      <c r="DL42" s="30"/>
      <c r="DM42" s="30"/>
      <c r="DN42" s="30"/>
      <c r="DO42" s="30"/>
      <c r="DP42" s="30"/>
      <c r="DQ42" s="30"/>
      <c r="DR42" s="30"/>
      <c r="DS42" s="30"/>
      <c r="DT42" s="30"/>
      <c r="DU42" s="30"/>
      <c r="DV42" s="30"/>
      <c r="DW42" s="30"/>
      <c r="DX42" s="30"/>
      <c r="DY42" s="30"/>
      <c r="DZ42" s="30"/>
      <c r="EA42" s="30"/>
      <c r="EB42" s="30"/>
      <c r="EC42" s="30"/>
      <c r="ED42" s="30"/>
      <c r="EE42" s="30"/>
      <c r="EF42" s="30"/>
      <c r="EG42" s="30"/>
      <c r="EH42" s="30"/>
      <c r="EI42" s="30"/>
      <c r="EJ42" s="30"/>
      <c r="EK42" s="30"/>
      <c r="EL42" s="30"/>
      <c r="EM42" s="30"/>
      <c r="EN42" s="30"/>
      <c r="EO42" s="30"/>
      <c r="EP42" s="30"/>
      <c r="EQ42" s="30"/>
      <c r="ER42" s="30"/>
      <c r="ES42" s="30"/>
      <c r="ET42" s="30"/>
      <c r="EU42" s="30"/>
      <c r="EV42" s="30"/>
      <c r="EW42" s="30"/>
      <c r="EX42" s="30"/>
      <c r="EY42" s="30"/>
      <c r="EZ42" s="30"/>
      <c r="FA42" s="30"/>
      <c r="FB42" s="30"/>
      <c r="FC42" s="30"/>
      <c r="FD42" s="30"/>
      <c r="FE42" s="30"/>
      <c r="FF42" s="30"/>
      <c r="FG42" s="30"/>
      <c r="FH42" s="30"/>
      <c r="FI42" s="30"/>
      <c r="FJ42" s="30"/>
      <c r="FK42" s="30"/>
      <c r="FL42" s="30"/>
      <c r="FM42" s="30"/>
      <c r="FN42" s="30"/>
      <c r="FO42" s="30"/>
      <c r="FP42" s="30"/>
      <c r="FQ42" s="30"/>
      <c r="FR42" s="30"/>
      <c r="FS42" s="30"/>
      <c r="FT42" s="30"/>
      <c r="FU42" s="30"/>
      <c r="FV42" s="30"/>
      <c r="FW42" s="30"/>
      <c r="FX42" s="30"/>
      <c r="FY42" s="30"/>
      <c r="FZ42" s="30"/>
      <c r="GA42" s="30"/>
      <c r="GB42" s="30"/>
      <c r="GC42" s="30"/>
      <c r="GD42" s="30"/>
      <c r="GE42" s="30"/>
      <c r="GF42" s="30"/>
      <c r="GG42" s="30"/>
      <c r="GH42" s="30"/>
      <c r="GI42" s="30"/>
      <c r="GJ42" s="30"/>
      <c r="GK42" s="30"/>
      <c r="GL42" s="30"/>
      <c r="GM42" s="30"/>
      <c r="GN42" s="30"/>
      <c r="GO42" s="30"/>
      <c r="GP42" s="30"/>
      <c r="GQ42" s="30"/>
      <c r="GR42" s="30"/>
      <c r="GS42" s="30"/>
      <c r="GT42" s="30"/>
      <c r="GU42" s="30"/>
      <c r="GV42" s="30"/>
      <c r="GW42" s="30"/>
      <c r="GX42" s="30"/>
      <c r="GY42" s="30"/>
      <c r="GZ42" s="30"/>
      <c r="HA42" s="30"/>
      <c r="HB42" s="30"/>
      <c r="HC42" s="30"/>
      <c r="HD42" s="30"/>
      <c r="HE42" s="30"/>
      <c r="HF42" s="30"/>
      <c r="HG42" s="30"/>
      <c r="HH42" s="30"/>
      <c r="HI42" s="30"/>
      <c r="HJ42" s="30"/>
      <c r="HK42" s="30"/>
      <c r="HL42" s="30"/>
      <c r="HM42" s="30"/>
      <c r="HN42" s="30"/>
      <c r="HO42" s="30"/>
      <c r="HP42" s="30"/>
      <c r="HQ42" s="30"/>
      <c r="HR42" s="30"/>
      <c r="HS42" s="30"/>
      <c r="HT42" s="30"/>
      <c r="HU42" s="30"/>
      <c r="HV42" s="30"/>
      <c r="HW42" s="30"/>
      <c r="HX42" s="30"/>
      <c r="HY42" s="30"/>
      <c r="HZ42" s="30"/>
      <c r="IA42" s="30"/>
      <c r="IB42" s="30"/>
      <c r="IC42" s="30"/>
      <c r="ID42" s="30"/>
      <c r="IE42" s="30"/>
      <c r="IF42" s="30"/>
      <c r="IG42" s="30"/>
      <c r="IH42" s="30"/>
      <c r="II42" s="30"/>
      <c r="IJ42" s="30"/>
      <c r="IK42" s="30"/>
      <c r="IL42" s="30"/>
      <c r="IM42" s="30"/>
      <c r="IN42" s="30"/>
      <c r="IO42" s="30"/>
      <c r="IP42" s="30"/>
      <c r="IQ42" s="30"/>
      <c r="IR42" s="30"/>
      <c r="IS42" s="30"/>
      <c r="IT42" s="30"/>
      <c r="IU42" s="30"/>
      <c r="IV42" s="30"/>
      <c r="IW42" s="30"/>
      <c r="IX42" s="30"/>
      <c r="IY42" s="30"/>
      <c r="IZ42" s="30"/>
      <c r="JA42" s="30"/>
      <c r="JB42" s="30"/>
      <c r="JC42" s="30"/>
      <c r="JD42" s="30"/>
      <c r="JE42" s="30"/>
      <c r="JF42" s="30"/>
      <c r="JG42" s="30"/>
      <c r="JH42" s="30"/>
      <c r="JI42" s="30"/>
      <c r="JJ42" s="30"/>
      <c r="JK42" s="30"/>
      <c r="JL42" s="30"/>
      <c r="JM42" s="30"/>
      <c r="JN42" s="30"/>
      <c r="JO42" s="30"/>
      <c r="JP42" s="30"/>
      <c r="JQ42" s="30"/>
      <c r="JR42" s="30"/>
      <c r="JS42" s="30"/>
      <c r="JT42" s="30"/>
      <c r="JU42" s="30"/>
      <c r="JV42" s="30"/>
      <c r="JW42" s="30"/>
      <c r="JX42" s="30"/>
      <c r="JY42" s="30"/>
      <c r="JZ42" s="30"/>
      <c r="KA42" s="30"/>
      <c r="KB42" s="30"/>
      <c r="KC42" s="30"/>
      <c r="KD42" s="30"/>
      <c r="KE42" s="30"/>
      <c r="KF42" s="30"/>
      <c r="KG42" s="30"/>
      <c r="KH42" s="30"/>
      <c r="KI42" s="30"/>
      <c r="KJ42" s="30"/>
      <c r="KK42" s="30"/>
      <c r="KL42" s="30"/>
      <c r="KM42" s="30"/>
      <c r="KN42" s="30"/>
      <c r="KO42" s="30"/>
      <c r="KP42" s="30"/>
      <c r="KQ42" s="30"/>
      <c r="KR42" s="30"/>
      <c r="KS42" s="30"/>
      <c r="KT42" s="30"/>
      <c r="KU42" s="30"/>
      <c r="KV42" s="30"/>
      <c r="KW42" s="30"/>
      <c r="KX42" s="30"/>
      <c r="KY42" s="30"/>
      <c r="KZ42" s="30"/>
      <c r="LA42" s="30"/>
      <c r="LB42" s="30"/>
      <c r="LC42" s="30"/>
      <c r="LD42" s="30"/>
      <c r="LE42" s="30"/>
      <c r="LF42" s="30"/>
      <c r="LG42" s="30"/>
      <c r="LH42" s="30"/>
      <c r="LI42" s="30"/>
      <c r="LJ42" s="30"/>
      <c r="LK42" s="30"/>
      <c r="LL42" s="30"/>
      <c r="LM42" s="30"/>
      <c r="LN42" s="30"/>
      <c r="LO42" s="30"/>
      <c r="LP42" s="30"/>
      <c r="LQ42" s="30"/>
      <c r="LR42" s="30"/>
      <c r="LS42" s="30"/>
      <c r="LT42" s="30"/>
      <c r="LU42" s="30"/>
      <c r="LV42" s="30"/>
      <c r="LW42" s="30"/>
      <c r="LX42" s="30"/>
      <c r="LY42" s="30"/>
      <c r="LZ42" s="30"/>
      <c r="MA42" s="30"/>
      <c r="MB42" s="30"/>
      <c r="MC42" s="30"/>
      <c r="MD42" s="30"/>
      <c r="ME42" s="30"/>
      <c r="MF42" s="30"/>
      <c r="MG42" s="30"/>
      <c r="MH42" s="30"/>
      <c r="MI42" s="30"/>
      <c r="MJ42" s="30"/>
      <c r="MK42" s="30"/>
      <c r="ML42" s="30"/>
      <c r="MM42" s="30"/>
      <c r="MN42" s="30"/>
      <c r="MO42" s="30"/>
      <c r="MP42" s="30"/>
      <c r="MQ42" s="30"/>
      <c r="MR42" s="30"/>
      <c r="MS42" s="30"/>
      <c r="MT42" s="30"/>
      <c r="MU42" s="30"/>
      <c r="MV42" s="30"/>
      <c r="MW42" s="30"/>
      <c r="MX42" s="30"/>
      <c r="MY42" s="30"/>
      <c r="MZ42" s="30"/>
      <c r="NA42" s="30"/>
      <c r="NB42" s="30"/>
      <c r="NC42" s="30"/>
      <c r="ND42" s="30"/>
      <c r="NE42" s="30"/>
      <c r="NF42" s="30"/>
      <c r="NG42" s="30"/>
      <c r="NH42" s="30"/>
      <c r="NI42" s="30"/>
      <c r="NJ42" s="30"/>
      <c r="NK42" s="30"/>
      <c r="NL42" s="30"/>
      <c r="NM42" s="30"/>
      <c r="NN42" s="30"/>
      <c r="NO42" s="30"/>
      <c r="NP42" s="30"/>
      <c r="NQ42" s="30"/>
      <c r="NR42" s="30"/>
      <c r="NS42" s="30"/>
      <c r="NT42" s="30"/>
      <c r="NU42" s="30"/>
      <c r="NV42" s="30"/>
      <c r="NW42" s="30"/>
      <c r="NX42" s="30"/>
      <c r="NY42" s="30"/>
      <c r="NZ42" s="30"/>
      <c r="OA42" s="30"/>
      <c r="OB42" s="30"/>
      <c r="OC42" s="30"/>
      <c r="OD42" s="30"/>
      <c r="OE42" s="30"/>
      <c r="OF42" s="30"/>
      <c r="OG42" s="30"/>
      <c r="OH42" s="30"/>
      <c r="OI42" s="30"/>
      <c r="OJ42" s="30"/>
      <c r="OK42" s="30"/>
      <c r="OL42" s="30"/>
      <c r="OM42" s="30"/>
      <c r="ON42" s="30"/>
      <c r="OO42" s="30"/>
      <c r="OP42" s="30"/>
      <c r="OQ42" s="30"/>
      <c r="OR42" s="30"/>
      <c r="OS42" s="30"/>
      <c r="OT42" s="30"/>
      <c r="OU42" s="30"/>
      <c r="OV42" s="30"/>
    </row>
    <row r="43" ht="18.0" customHeight="1">
      <c r="A43" s="29">
        <v>42.0</v>
      </c>
      <c r="B43" s="30" t="s">
        <v>3920</v>
      </c>
      <c r="C43" s="31" t="s">
        <v>3775</v>
      </c>
      <c r="D43" s="30" t="s">
        <v>3592</v>
      </c>
      <c r="E43" s="29">
        <v>30.0</v>
      </c>
      <c r="F43" s="29">
        <f>COUNTIF('Tổng hợp 75 trang đích'!$B$2:$B$3400,$D43)</f>
        <v>30</v>
      </c>
      <c r="G43" s="29">
        <f>COUNTIFS('Tổng hợp 75 trang đích'!$B$2:$B$3400,$D43,'Tổng hợp 75 trang đích'!$K$2:$K$3400,"PHÙ HỢP CAO")</f>
        <v>4</v>
      </c>
      <c r="H43" s="29">
        <f>COUNTIFS('Tổng hợp 75 trang đích'!$B$2:$B$3400,$D43,'Tổng hợp 75 trang đích'!$K$2:$K$3400,"CÓ THỂ ĐI")</f>
        <v>1</v>
      </c>
      <c r="I43" s="29">
        <f>COUNTIFS('Tổng hợp 75 trang đích'!$B$2:$B$3400,$D43,'Tổng hợp 75 trang đích'!$K$2:$K$3400,"CẦN SOÁT")</f>
        <v>25</v>
      </c>
      <c r="J43" s="32" t="s">
        <v>714</v>
      </c>
      <c r="K43" s="32" t="b">
        <v>0</v>
      </c>
      <c r="L43" s="33" t="s">
        <v>52</v>
      </c>
      <c r="M43" s="30" t="str">
        <f>IFERROR(__xludf.DUMMYFUNCTION("IFERROR(TOROW(CHOOSECOLS(SORT(FILTER({'Tổng hợp 75 trang đích'!$J$2:$J$3400,'Tổng hợp 75 trang đích'!$I$2:$I$3400,MATCH('Tổng hợp 75 trang đích'!$K$2:$K$3400,{""PHÙ HỢP CAO"",""CÓ THỂ ĐI"",""CẦN SOÁT""},0)},'Tổng hợp 75 trang đích'!$B$2:$B$3400=$D43),3,TR"&amp;"UE),1,2)),"""")"),"tỷ giá Won")</f>
        <v>tỷ giá Won</v>
      </c>
      <c r="N43" s="34" t="str">
        <f>IFERROR(__xludf.DUMMYFUNCTION("""COMPUTED_VALUE"""),"https://techcombank.com/thong-tin/blog/1-trieu-won-bang-bao-nhieu-tien-viet")</f>
        <v>https://techcombank.com/thong-tin/blog/1-trieu-won-bang-bao-nhieu-tien-viet</v>
      </c>
      <c r="O43" s="30" t="str">
        <f>IFERROR(__xludf.DUMMYFUNCTION("""COMPUTED_VALUE"""),"tỷ giá Won")</f>
        <v>tỷ giá Won</v>
      </c>
      <c r="P43" s="34" t="str">
        <f>IFERROR(__xludf.DUMMYFUNCTION("""COMPUTED_VALUE"""),"https://techcombank.com/thong-tin/blog/1000-won-bang-bao-nhieu-tien-viet")</f>
        <v>https://techcombank.com/thong-tin/blog/1000-won-bang-bao-nhieu-tien-viet</v>
      </c>
      <c r="Q43" s="30" t="str">
        <f>IFERROR(__xludf.DUMMYFUNCTION("""COMPUTED_VALUE"""),"tỷ giá Won")</f>
        <v>tỷ giá Won</v>
      </c>
      <c r="R43" s="34" t="str">
        <f>IFERROR(__xludf.DUMMYFUNCTION("""COMPUTED_VALUE"""),"https://techcombank.com/thong-tin/blog/thanh-toan-khi-du-lich-han-quoc")</f>
        <v>https://techcombank.com/thong-tin/blog/thanh-toan-khi-du-lich-han-quoc</v>
      </c>
      <c r="S43" s="30" t="str">
        <f>IFERROR(__xludf.DUMMYFUNCTION("""COMPUTED_VALUE"""),"tỷ giá Won")</f>
        <v>tỷ giá Won</v>
      </c>
      <c r="T43" s="34" t="str">
        <f>IFERROR(__xludf.DUMMYFUNCTION("""COMPUTED_VALUE"""),"https://techcombank.com/thong-tin/blog/chuyen-tien-tu-han-sang-viet-nam")</f>
        <v>https://techcombank.com/thong-tin/blog/chuyen-tien-tu-han-sang-viet-nam</v>
      </c>
      <c r="U43" s="30" t="str">
        <f>IFERROR(__xludf.DUMMYFUNCTION("""COMPUTED_VALUE"""),"tỷ giá Won")</f>
        <v>tỷ giá Won</v>
      </c>
      <c r="V43" s="34" t="str">
        <f>IFERROR(__xludf.DUMMYFUNCTION("""COMPUTED_VALUE"""),"https://techcombank.com/thong-tin/blog/ty-gia-cac-ngan-hang")</f>
        <v>https://techcombank.com/thong-tin/blog/ty-gia-cac-ngan-hang</v>
      </c>
      <c r="W43" s="30" t="str">
        <f>IFERROR(__xludf.DUMMYFUNCTION("""COMPUTED_VALUE"""),"1 Won bằng bao nhiêu tiền Việt")</f>
        <v>1 Won bằng bao nhiêu tiền Việt</v>
      </c>
      <c r="X43" s="34" t="str">
        <f>IFERROR(__xludf.DUMMYFUNCTION("""COMPUTED_VALUE"""),"https://techcombank.com/thong-tin/blog/1-dong-do-la-my-bang-bao-nhieu-tien-viet-nam")</f>
        <v>https://techcombank.com/thong-tin/blog/1-dong-do-la-my-bang-bao-nhieu-tien-viet-nam</v>
      </c>
      <c r="Y43" s="30" t="str">
        <f>IFERROR(__xludf.DUMMYFUNCTION("""COMPUTED_VALUE"""),"1 Won bằng bao nhiêu tiền Việt")</f>
        <v>1 Won bằng bao nhiêu tiền Việt</v>
      </c>
      <c r="Z43" s="34" t="str">
        <f>IFERROR(__xludf.DUMMYFUNCTION("""COMPUTED_VALUE"""),"https://techcombank.com/thong-tin/blog/1-te-bang-bao-nhieu-tien-viet-nam")</f>
        <v>https://techcombank.com/thong-tin/blog/1-te-bang-bao-nhieu-tien-viet-nam</v>
      </c>
      <c r="AA43" s="30" t="str">
        <f>IFERROR(__xludf.DUMMYFUNCTION("""COMPUTED_VALUE"""),"1 Won bằng bao nhiêu tiền Việt")</f>
        <v>1 Won bằng bao nhiêu tiền Việt</v>
      </c>
      <c r="AB43" s="34" t="str">
        <f>IFERROR(__xludf.DUMMYFUNCTION("""COMPUTED_VALUE"""),"https://techcombank.com/thong-tin/blog/tien-trung-quoc")</f>
        <v>https://techcombank.com/thong-tin/blog/tien-trung-quoc</v>
      </c>
      <c r="AC43" s="30" t="str">
        <f>IFERROR(__xludf.DUMMYFUNCTION("""COMPUTED_VALUE"""),"tỷ giá Won")</f>
        <v>tỷ giá Won</v>
      </c>
      <c r="AD43" s="34" t="str">
        <f>IFERROR(__xludf.DUMMYFUNCTION("""COMPUTED_VALUE"""),"https://techcombank.com/thong-tin/blog/doi-tien-do-o-dau")</f>
        <v>https://techcombank.com/thong-tin/blog/doi-tien-do-o-dau</v>
      </c>
      <c r="AE43" s="30" t="str">
        <f>IFERROR(__xludf.DUMMYFUNCTION("""COMPUTED_VALUE"""),"tỷ giá Won")</f>
        <v>tỷ giá Won</v>
      </c>
      <c r="AF43" s="34" t="str">
        <f>IFERROR(__xludf.DUMMYFUNCTION("""COMPUTED_VALUE"""),"https://techcombank.com/thong-tin/blog/1000-yen-bang-bao-nhieu-tien-viet")</f>
        <v>https://techcombank.com/thong-tin/blog/1000-yen-bang-bao-nhieu-tien-viet</v>
      </c>
      <c r="AG43" s="30" t="str">
        <f>IFERROR(__xludf.DUMMYFUNCTION("""COMPUTED_VALUE"""),"tỷ giá Won")</f>
        <v>tỷ giá Won</v>
      </c>
      <c r="AH43" s="34" t="str">
        <f>IFERROR(__xludf.DUMMYFUNCTION("""COMPUTED_VALUE"""),"https://techcombank.com/thong-tin/blog/chuyen-tien-tu-nhat-ve-viet-nam")</f>
        <v>https://techcombank.com/thong-tin/blog/chuyen-tien-tu-nhat-ve-viet-nam</v>
      </c>
      <c r="AI43" s="30" t="str">
        <f>IFERROR(__xludf.DUMMYFUNCTION("""COMPUTED_VALUE"""),"tỷ giá Won")</f>
        <v>tỷ giá Won</v>
      </c>
      <c r="AJ43" s="34" t="str">
        <f>IFERROR(__xludf.DUMMYFUNCTION("""COMPUTED_VALUE"""),"https://techcombank.com/thong-tin/blog/tien-singapore")</f>
        <v>https://techcombank.com/thong-tin/blog/tien-singapore</v>
      </c>
      <c r="AK43" s="30" t="str">
        <f>IFERROR(__xludf.DUMMYFUNCTION("""COMPUTED_VALUE"""),"tỷ giá Won")</f>
        <v>tỷ giá Won</v>
      </c>
      <c r="AL43" s="34" t="str">
        <f>IFERROR(__xludf.DUMMYFUNCTION("""COMPUTED_VALUE"""),"https://techcombank.com/thong-tin/blog/di-du-lich-nuoc-ngoai-can-chuan-bi-gi")</f>
        <v>https://techcombank.com/thong-tin/blog/di-du-lich-nuoc-ngoai-can-chuan-bi-gi</v>
      </c>
      <c r="AM43" s="30" t="str">
        <f>IFERROR(__xludf.DUMMYFUNCTION("""COMPUTED_VALUE"""),"tỷ giá Won")</f>
        <v>tỷ giá Won</v>
      </c>
      <c r="AN43" s="34" t="str">
        <f>IFERROR(__xludf.DUMMYFUNCTION("""COMPUTED_VALUE"""),"https://techcombank.com/thong-tin/blog/tien-nhat")</f>
        <v>https://techcombank.com/thong-tin/blog/tien-nhat</v>
      </c>
      <c r="AO43" s="30" t="str">
        <f>IFERROR(__xludf.DUMMYFUNCTION("""COMPUTED_VALUE"""),"1 Won bằng bao nhiêu tiền Việt")</f>
        <v>1 Won bằng bao nhiêu tiền Việt</v>
      </c>
      <c r="AP43" s="34" t="str">
        <f>IFERROR(__xludf.DUMMYFUNCTION("""COMPUTED_VALUE"""),"https://techcombank.com/thong-tin/blog/1-van-te-bang-bao-nhieu-tien-viet")</f>
        <v>https://techcombank.com/thong-tin/blog/1-van-te-bang-bao-nhieu-tien-viet</v>
      </c>
      <c r="AQ43" s="30" t="str">
        <f>IFERROR(__xludf.DUMMYFUNCTION("""COMPUTED_VALUE"""),"tỷ giá Won")</f>
        <v>tỷ giá Won</v>
      </c>
      <c r="AR43" s="34" t="str">
        <f>IFERROR(__xludf.DUMMYFUNCTION("""COMPUTED_VALUE"""),"https://techcombank.com/thong-tin/blog/1000-te-bang-bao-nhieu-tien-viet")</f>
        <v>https://techcombank.com/thong-tin/blog/1000-te-bang-bao-nhieu-tien-viet</v>
      </c>
      <c r="AS43" s="30" t="str">
        <f>IFERROR(__xludf.DUMMYFUNCTION("""COMPUTED_VALUE"""),"tỷ giá Won")</f>
        <v>tỷ giá Won</v>
      </c>
      <c r="AT43" s="34" t="str">
        <f>IFERROR(__xludf.DUMMYFUNCTION("""COMPUTED_VALUE"""),"https://techcombank.com/thong-tin/blog/100-riel-bang-bao-nhieu-tien-viet-nam")</f>
        <v>https://techcombank.com/thong-tin/blog/100-riel-bang-bao-nhieu-tien-viet-nam</v>
      </c>
      <c r="AU43" s="30" t="str">
        <f>IFERROR(__xludf.DUMMYFUNCTION("""COMPUTED_VALUE"""),"tỷ giá Won")</f>
        <v>tỷ giá Won</v>
      </c>
      <c r="AV43" s="34" t="str">
        <f>IFERROR(__xludf.DUMMYFUNCTION("""COMPUTED_VALUE"""),"https://techcombank.com/thong-tin/blog/tien-indonesia")</f>
        <v>https://techcombank.com/thong-tin/blog/tien-indonesia</v>
      </c>
      <c r="AW43" s="30" t="str">
        <f>IFERROR(__xludf.DUMMYFUNCTION("""COMPUTED_VALUE"""),"tỷ giá Won")</f>
        <v>tỷ giá Won</v>
      </c>
      <c r="AX43" s="34" t="str">
        <f>IFERROR(__xludf.DUMMYFUNCTION("""COMPUTED_VALUE"""),"https://techcombank.com/thong-tin/blog/dieu-kien-mua-usd-tu-ngan-hang")</f>
        <v>https://techcombank.com/thong-tin/blog/dieu-kien-mua-usd-tu-ngan-hang</v>
      </c>
      <c r="AY43" s="30" t="str">
        <f>IFERROR(__xludf.DUMMYFUNCTION("""COMPUTED_VALUE"""),"tỷ giá Won")</f>
        <v>tỷ giá Won</v>
      </c>
      <c r="AZ43" s="34" t="str">
        <f>IFERROR(__xludf.DUMMYFUNCTION("""COMPUTED_VALUE"""),"https://techcombank.com/thong-tin/blog/chuyen-tien-di-uc")</f>
        <v>https://techcombank.com/thong-tin/blog/chuyen-tien-di-uc</v>
      </c>
      <c r="BA43" s="30" t="str">
        <f>IFERROR(__xludf.DUMMYFUNCTION("""COMPUTED_VALUE"""),"1 Won bằng bao nhiêu tiền Việt")</f>
        <v>1 Won bằng bao nhiêu tiền Việt</v>
      </c>
      <c r="BB43" s="34" t="str">
        <f>IFERROR(__xludf.DUMMYFUNCTION("""COMPUTED_VALUE"""),"https://techcombank.com/thong-tin/blog/tien-dai-loan")</f>
        <v>https://techcombank.com/thong-tin/blog/tien-dai-loan</v>
      </c>
      <c r="BC43" s="30" t="str">
        <f>IFERROR(__xludf.DUMMYFUNCTION("""COMPUTED_VALUE"""),"1 Won bằng bao nhiêu tiền Việt")</f>
        <v>1 Won bằng bao nhiêu tiền Việt</v>
      </c>
      <c r="BD43" s="34" t="str">
        <f>IFERROR(__xludf.DUMMYFUNCTION("""COMPUTED_VALUE"""),"https://techcombank.com/thong-tin/blog/1-cent-bang-bao-nhieu-tien-viet")</f>
        <v>https://techcombank.com/thong-tin/blog/1-cent-bang-bao-nhieu-tien-viet</v>
      </c>
      <c r="BE43" s="30" t="str">
        <f>IFERROR(__xludf.DUMMYFUNCTION("""COMPUTED_VALUE"""),"1 Won bằng bao nhiêu tiền Việt")</f>
        <v>1 Won bằng bao nhiêu tiền Việt</v>
      </c>
      <c r="BF43" s="34" t="str">
        <f>IFERROR(__xludf.DUMMYFUNCTION("""COMPUTED_VALUE"""),"https://techcombank.com/thong-tin/blog/1-do-uc-bang-bao-nhieu-tien-viet")</f>
        <v>https://techcombank.com/thong-tin/blog/1-do-uc-bang-bao-nhieu-tien-viet</v>
      </c>
      <c r="BG43" s="30" t="str">
        <f>IFERROR(__xludf.DUMMYFUNCTION("""COMPUTED_VALUE"""),"tỷ giá Won")</f>
        <v>tỷ giá Won</v>
      </c>
      <c r="BH43" s="34" t="str">
        <f>IFERROR(__xludf.DUMMYFUNCTION("""COMPUTED_VALUE"""),"https://techcombank.com/thong-tin/blog/gui-tien-du-hoc")</f>
        <v>https://techcombank.com/thong-tin/blog/gui-tien-du-hoc</v>
      </c>
      <c r="BI43" s="30" t="str">
        <f>IFERROR(__xludf.DUMMYFUNCTION("""COMPUTED_VALUE"""),"tỷ giá Won")</f>
        <v>tỷ giá Won</v>
      </c>
      <c r="BJ43" s="34" t="str">
        <f>IFERROR(__xludf.DUMMYFUNCTION("""COMPUTED_VALUE"""),"https://techcombank.com/thong-tin/blog/chuyen-tien-dinh-cu")</f>
        <v>https://techcombank.com/thong-tin/blog/chuyen-tien-dinh-cu</v>
      </c>
      <c r="BK43" s="30" t="str">
        <f>IFERROR(__xludf.DUMMYFUNCTION("""COMPUTED_VALUE"""),"tỷ giá Won")</f>
        <v>tỷ giá Won</v>
      </c>
      <c r="BL43" s="34" t="str">
        <f>IFERROR(__xludf.DUMMYFUNCTION("""COMPUTED_VALUE"""),"https://techcombank.com/thong-tin/blog/han-muc-mua-ngoai-te-khi-di-du-lich")</f>
        <v>https://techcombank.com/thong-tin/blog/han-muc-mua-ngoai-te-khi-di-du-lich</v>
      </c>
      <c r="BM43" s="30" t="str">
        <f>IFERROR(__xludf.DUMMYFUNCTION("""COMPUTED_VALUE"""),"1 Won bằng bao nhiêu tiền Việt")</f>
        <v>1 Won bằng bao nhiêu tiền Việt</v>
      </c>
      <c r="BN43" s="34" t="str">
        <f>IFERROR(__xludf.DUMMYFUNCTION("""COMPUTED_VALUE"""),"https://techcombank.com/thong-tin/blog/1-van-tien-dai-loan-bang-bao-nhieu-tien-viet")</f>
        <v>https://techcombank.com/thong-tin/blog/1-van-tien-dai-loan-bang-bao-nhieu-tien-viet</v>
      </c>
      <c r="BO43" s="30" t="str">
        <f>IFERROR(__xludf.DUMMYFUNCTION("""COMPUTED_VALUE"""),"1 Won bằng bao nhiêu tiền Việt")</f>
        <v>1 Won bằng bao nhiêu tiền Việt</v>
      </c>
      <c r="BP43" s="34" t="str">
        <f>IFERROR(__xludf.DUMMYFUNCTION("""COMPUTED_VALUE"""),"https://techcombank.com/thong-tin/blog/1-man-bang-bao-nhieu-tien-viet")</f>
        <v>https://techcombank.com/thong-tin/blog/1-man-bang-bao-nhieu-tien-viet</v>
      </c>
      <c r="BQ43" s="30" t="str">
        <f>IFERROR(__xludf.DUMMYFUNCTION("""COMPUTED_VALUE"""),"tỷ giá Won")</f>
        <v>tỷ giá Won</v>
      </c>
      <c r="BR43" s="34" t="str">
        <f>IFERROR(__xludf.DUMMYFUNCTION("""COMPUTED_VALUE"""),"https://techcombank.com/thong-tin/blog/thanh-toan-bang-the-quoc-te")</f>
        <v>https://techcombank.com/thong-tin/blog/thanh-toan-bang-the-quoc-te</v>
      </c>
      <c r="BS43" s="30" t="str">
        <f>IFERROR(__xludf.DUMMYFUNCTION("""COMPUTED_VALUE"""),"tỷ giá Won")</f>
        <v>tỷ giá Won</v>
      </c>
      <c r="BT43" s="34" t="str">
        <f>IFERROR(__xludf.DUMMYFUNCTION("""COMPUTED_VALUE"""),"https://techcombank.com/thong-tin/blog/vay-du-hoc")</f>
        <v>https://techcombank.com/thong-tin/blog/vay-du-hoc</v>
      </c>
      <c r="BU43" s="30"/>
      <c r="BV43" s="30"/>
      <c r="BW43" s="30"/>
      <c r="BX43" s="30"/>
      <c r="BY43" s="30"/>
      <c r="BZ43" s="30"/>
      <c r="CA43" s="30"/>
      <c r="CB43" s="30"/>
      <c r="CC43" s="30"/>
      <c r="CD43" s="30"/>
      <c r="CE43" s="30"/>
      <c r="CF43" s="30"/>
      <c r="CG43" s="30"/>
      <c r="CH43" s="30"/>
      <c r="CI43" s="30"/>
      <c r="CJ43" s="30"/>
      <c r="CK43" s="30"/>
      <c r="CL43" s="30"/>
      <c r="CM43" s="30"/>
      <c r="CN43" s="30"/>
      <c r="CO43" s="30"/>
      <c r="CP43" s="30"/>
      <c r="CQ43" s="30"/>
      <c r="CR43" s="30"/>
      <c r="CS43" s="30"/>
      <c r="CT43" s="30"/>
      <c r="CU43" s="30"/>
      <c r="CV43" s="30"/>
      <c r="CW43" s="30"/>
      <c r="CX43" s="30"/>
      <c r="CY43" s="30"/>
      <c r="CZ43" s="30"/>
      <c r="DA43" s="30"/>
      <c r="DB43" s="30"/>
      <c r="DC43" s="30"/>
      <c r="DD43" s="30"/>
      <c r="DE43" s="30"/>
      <c r="DF43" s="30"/>
      <c r="DG43" s="30"/>
      <c r="DH43" s="30"/>
      <c r="DI43" s="30"/>
      <c r="DJ43" s="30"/>
      <c r="DK43" s="30"/>
      <c r="DL43" s="30"/>
      <c r="DM43" s="30"/>
      <c r="DN43" s="30"/>
      <c r="DO43" s="30"/>
      <c r="DP43" s="30"/>
      <c r="DQ43" s="30"/>
      <c r="DR43" s="30"/>
      <c r="DS43" s="30"/>
      <c r="DT43" s="30"/>
      <c r="DU43" s="30"/>
      <c r="DV43" s="30"/>
      <c r="DW43" s="30"/>
      <c r="DX43" s="30"/>
      <c r="DY43" s="30"/>
      <c r="DZ43" s="30"/>
      <c r="EA43" s="30"/>
      <c r="EB43" s="30"/>
      <c r="EC43" s="30"/>
      <c r="ED43" s="30"/>
      <c r="EE43" s="30"/>
      <c r="EF43" s="30"/>
      <c r="EG43" s="30"/>
      <c r="EH43" s="30"/>
      <c r="EI43" s="30"/>
      <c r="EJ43" s="30"/>
      <c r="EK43" s="30"/>
      <c r="EL43" s="30"/>
      <c r="EM43" s="30"/>
      <c r="EN43" s="30"/>
      <c r="EO43" s="30"/>
      <c r="EP43" s="30"/>
      <c r="EQ43" s="30"/>
      <c r="ER43" s="30"/>
      <c r="ES43" s="30"/>
      <c r="ET43" s="30"/>
      <c r="EU43" s="30"/>
      <c r="EV43" s="30"/>
      <c r="EW43" s="30"/>
      <c r="EX43" s="30"/>
      <c r="EY43" s="30"/>
      <c r="EZ43" s="30"/>
      <c r="FA43" s="30"/>
      <c r="FB43" s="30"/>
      <c r="FC43" s="30"/>
      <c r="FD43" s="30"/>
      <c r="FE43" s="30"/>
      <c r="FF43" s="30"/>
      <c r="FG43" s="30"/>
      <c r="FH43" s="30"/>
      <c r="FI43" s="30"/>
      <c r="FJ43" s="30"/>
      <c r="FK43" s="30"/>
      <c r="FL43" s="30"/>
      <c r="FM43" s="30"/>
      <c r="FN43" s="30"/>
      <c r="FO43" s="30"/>
      <c r="FP43" s="30"/>
      <c r="FQ43" s="30"/>
      <c r="FR43" s="30"/>
      <c r="FS43" s="30"/>
      <c r="FT43" s="30"/>
      <c r="FU43" s="30"/>
      <c r="FV43" s="30"/>
      <c r="FW43" s="30"/>
      <c r="FX43" s="30"/>
      <c r="FY43" s="30"/>
      <c r="FZ43" s="30"/>
      <c r="GA43" s="30"/>
      <c r="GB43" s="30"/>
      <c r="GC43" s="30"/>
      <c r="GD43" s="30"/>
      <c r="GE43" s="30"/>
      <c r="GF43" s="30"/>
      <c r="GG43" s="30"/>
      <c r="GH43" s="30"/>
      <c r="GI43" s="30"/>
      <c r="GJ43" s="30"/>
      <c r="GK43" s="30"/>
      <c r="GL43" s="30"/>
      <c r="GM43" s="30"/>
      <c r="GN43" s="30"/>
      <c r="GO43" s="30"/>
      <c r="GP43" s="30"/>
      <c r="GQ43" s="30"/>
      <c r="GR43" s="30"/>
      <c r="GS43" s="30"/>
      <c r="GT43" s="30"/>
      <c r="GU43" s="30"/>
      <c r="GV43" s="30"/>
      <c r="GW43" s="30"/>
      <c r="GX43" s="30"/>
      <c r="GY43" s="30"/>
      <c r="GZ43" s="30"/>
      <c r="HA43" s="30"/>
      <c r="HB43" s="30"/>
      <c r="HC43" s="30"/>
      <c r="HD43" s="30"/>
      <c r="HE43" s="30"/>
      <c r="HF43" s="30"/>
      <c r="HG43" s="30"/>
      <c r="HH43" s="30"/>
      <c r="HI43" s="30"/>
      <c r="HJ43" s="30"/>
      <c r="HK43" s="30"/>
      <c r="HL43" s="30"/>
      <c r="HM43" s="30"/>
      <c r="HN43" s="30"/>
      <c r="HO43" s="30"/>
      <c r="HP43" s="30"/>
      <c r="HQ43" s="30"/>
      <c r="HR43" s="30"/>
      <c r="HS43" s="30"/>
      <c r="HT43" s="30"/>
      <c r="HU43" s="30"/>
      <c r="HV43" s="30"/>
      <c r="HW43" s="30"/>
      <c r="HX43" s="30"/>
      <c r="HY43" s="30"/>
      <c r="HZ43" s="30"/>
      <c r="IA43" s="30"/>
      <c r="IB43" s="30"/>
      <c r="IC43" s="30"/>
      <c r="ID43" s="30"/>
      <c r="IE43" s="30"/>
      <c r="IF43" s="30"/>
      <c r="IG43" s="30"/>
      <c r="IH43" s="30"/>
      <c r="II43" s="30"/>
      <c r="IJ43" s="30"/>
      <c r="IK43" s="30"/>
      <c r="IL43" s="30"/>
      <c r="IM43" s="30"/>
      <c r="IN43" s="30"/>
      <c r="IO43" s="30"/>
      <c r="IP43" s="30"/>
      <c r="IQ43" s="30"/>
      <c r="IR43" s="30"/>
      <c r="IS43" s="30"/>
      <c r="IT43" s="30"/>
      <c r="IU43" s="30"/>
      <c r="IV43" s="30"/>
      <c r="IW43" s="30"/>
      <c r="IX43" s="30"/>
      <c r="IY43" s="30"/>
      <c r="IZ43" s="30"/>
      <c r="JA43" s="30"/>
      <c r="JB43" s="30"/>
      <c r="JC43" s="30"/>
      <c r="JD43" s="30"/>
      <c r="JE43" s="30"/>
      <c r="JF43" s="30"/>
      <c r="JG43" s="30"/>
      <c r="JH43" s="30"/>
      <c r="JI43" s="30"/>
      <c r="JJ43" s="30"/>
      <c r="JK43" s="30"/>
      <c r="JL43" s="30"/>
      <c r="JM43" s="30"/>
      <c r="JN43" s="30"/>
      <c r="JO43" s="30"/>
      <c r="JP43" s="30"/>
      <c r="JQ43" s="30"/>
      <c r="JR43" s="30"/>
      <c r="JS43" s="30"/>
      <c r="JT43" s="30"/>
      <c r="JU43" s="30"/>
      <c r="JV43" s="30"/>
      <c r="JW43" s="30"/>
      <c r="JX43" s="30"/>
      <c r="JY43" s="30"/>
      <c r="JZ43" s="30"/>
      <c r="KA43" s="30"/>
      <c r="KB43" s="30"/>
      <c r="KC43" s="30"/>
      <c r="KD43" s="30"/>
      <c r="KE43" s="30"/>
      <c r="KF43" s="30"/>
      <c r="KG43" s="30"/>
      <c r="KH43" s="30"/>
      <c r="KI43" s="30"/>
      <c r="KJ43" s="30"/>
      <c r="KK43" s="30"/>
      <c r="KL43" s="30"/>
      <c r="KM43" s="30"/>
      <c r="KN43" s="30"/>
      <c r="KO43" s="30"/>
      <c r="KP43" s="30"/>
      <c r="KQ43" s="30"/>
      <c r="KR43" s="30"/>
      <c r="KS43" s="30"/>
      <c r="KT43" s="30"/>
      <c r="KU43" s="30"/>
      <c r="KV43" s="30"/>
      <c r="KW43" s="30"/>
      <c r="KX43" s="30"/>
      <c r="KY43" s="30"/>
      <c r="KZ43" s="30"/>
      <c r="LA43" s="30"/>
      <c r="LB43" s="30"/>
      <c r="LC43" s="30"/>
      <c r="LD43" s="30"/>
      <c r="LE43" s="30"/>
      <c r="LF43" s="30"/>
      <c r="LG43" s="30"/>
      <c r="LH43" s="30"/>
      <c r="LI43" s="30"/>
      <c r="LJ43" s="30"/>
      <c r="LK43" s="30"/>
      <c r="LL43" s="30"/>
      <c r="LM43" s="30"/>
      <c r="LN43" s="30"/>
      <c r="LO43" s="30"/>
      <c r="LP43" s="30"/>
      <c r="LQ43" s="30"/>
      <c r="LR43" s="30"/>
      <c r="LS43" s="30"/>
      <c r="LT43" s="30"/>
      <c r="LU43" s="30"/>
      <c r="LV43" s="30"/>
      <c r="LW43" s="30"/>
      <c r="LX43" s="30"/>
      <c r="LY43" s="30"/>
      <c r="LZ43" s="30"/>
      <c r="MA43" s="30"/>
      <c r="MB43" s="30"/>
      <c r="MC43" s="30"/>
      <c r="MD43" s="30"/>
      <c r="ME43" s="30"/>
      <c r="MF43" s="30"/>
      <c r="MG43" s="30"/>
      <c r="MH43" s="30"/>
      <c r="MI43" s="30"/>
      <c r="MJ43" s="30"/>
      <c r="MK43" s="30"/>
      <c r="ML43" s="30"/>
      <c r="MM43" s="30"/>
      <c r="MN43" s="30"/>
      <c r="MO43" s="30"/>
      <c r="MP43" s="30"/>
      <c r="MQ43" s="30"/>
      <c r="MR43" s="30"/>
      <c r="MS43" s="30"/>
      <c r="MT43" s="30"/>
      <c r="MU43" s="30"/>
      <c r="MV43" s="30"/>
      <c r="MW43" s="30"/>
      <c r="MX43" s="30"/>
      <c r="MY43" s="30"/>
      <c r="MZ43" s="30"/>
      <c r="NA43" s="30"/>
      <c r="NB43" s="30"/>
      <c r="NC43" s="30"/>
      <c r="ND43" s="30"/>
      <c r="NE43" s="30"/>
      <c r="NF43" s="30"/>
      <c r="NG43" s="30"/>
      <c r="NH43" s="30"/>
      <c r="NI43" s="30"/>
      <c r="NJ43" s="30"/>
      <c r="NK43" s="30"/>
      <c r="NL43" s="30"/>
      <c r="NM43" s="30"/>
      <c r="NN43" s="30"/>
      <c r="NO43" s="30"/>
      <c r="NP43" s="30"/>
      <c r="NQ43" s="30"/>
      <c r="NR43" s="30"/>
      <c r="NS43" s="30"/>
      <c r="NT43" s="30"/>
      <c r="NU43" s="30"/>
      <c r="NV43" s="30"/>
      <c r="NW43" s="30"/>
      <c r="NX43" s="30"/>
      <c r="NY43" s="30"/>
      <c r="NZ43" s="30"/>
      <c r="OA43" s="30"/>
      <c r="OB43" s="30"/>
      <c r="OC43" s="30"/>
      <c r="OD43" s="30"/>
      <c r="OE43" s="30"/>
      <c r="OF43" s="30"/>
      <c r="OG43" s="30"/>
      <c r="OH43" s="30"/>
      <c r="OI43" s="30"/>
      <c r="OJ43" s="30"/>
      <c r="OK43" s="30"/>
      <c r="OL43" s="30"/>
      <c r="OM43" s="30"/>
      <c r="ON43" s="30"/>
      <c r="OO43" s="30"/>
      <c r="OP43" s="30"/>
      <c r="OQ43" s="30"/>
      <c r="OR43" s="30"/>
      <c r="OS43" s="30"/>
      <c r="OT43" s="30"/>
      <c r="OU43" s="30"/>
      <c r="OV43" s="30"/>
    </row>
    <row r="44" ht="18.0" customHeight="1">
      <c r="A44" s="29">
        <v>43.0</v>
      </c>
      <c r="B44" s="30" t="s">
        <v>3920</v>
      </c>
      <c r="C44" s="31" t="s">
        <v>3795</v>
      </c>
      <c r="D44" s="30" t="s">
        <v>919</v>
      </c>
      <c r="E44" s="29">
        <v>30.0</v>
      </c>
      <c r="F44" s="29">
        <f>COUNTIF('Tổng hợp 75 trang đích'!$B$2:$B$3400,$D44)</f>
        <v>30</v>
      </c>
      <c r="G44" s="29">
        <f>COUNTIFS('Tổng hợp 75 trang đích'!$B$2:$B$3400,$D44,'Tổng hợp 75 trang đích'!$K$2:$K$3400,"PHÙ HỢP CAO")</f>
        <v>1</v>
      </c>
      <c r="H44" s="29">
        <f>COUNTIFS('Tổng hợp 75 trang đích'!$B$2:$B$3400,$D44,'Tổng hợp 75 trang đích'!$K$2:$K$3400,"CÓ THỂ ĐI")</f>
        <v>3</v>
      </c>
      <c r="I44" s="29">
        <f>COUNTIFS('Tổng hợp 75 trang đích'!$B$2:$B$3400,$D44,'Tổng hợp 75 trang đích'!$K$2:$K$3400,"CẦN SOÁT")</f>
        <v>26</v>
      </c>
      <c r="J44" s="32" t="s">
        <v>714</v>
      </c>
      <c r="K44" s="32" t="b">
        <v>0</v>
      </c>
      <c r="L44" s="33" t="s">
        <v>52</v>
      </c>
      <c r="M44" s="30" t="str">
        <f>IFERROR(__xludf.DUMMYFUNCTION("IFERROR(TOROW(CHOOSECOLS(SORT(FILTER({'Tổng hợp 75 trang đích'!$J$2:$J$3400,'Tổng hợp 75 trang đích'!$I$2:$I$3400,MATCH('Tổng hợp 75 trang đích'!$K$2:$K$3400,{""PHÙ HỢP CAO"",""CÓ THỂ ĐI"",""CẦN SOÁT""},0)},'Tổng hợp 75 trang đích'!$B$2:$B$3400=$D44),3,TR"&amp;"UE),1,2)),"""")"),"Tân Đài tệ")</f>
        <v>Tân Đài tệ</v>
      </c>
      <c r="N44" s="34" t="str">
        <f>IFERROR(__xludf.DUMMYFUNCTION("""COMPUTED_VALUE"""),"https://techcombank.com/thong-tin/blog/1-van-tien-dai-loan-bang-bao-nhieu-tien-viet")</f>
        <v>https://techcombank.com/thong-tin/blog/1-van-tien-dai-loan-bang-bao-nhieu-tien-viet</v>
      </c>
      <c r="O44" s="30" t="str">
        <f>IFERROR(__xludf.DUMMYFUNCTION("""COMPUTED_VALUE"""),"tỷ giá Đài tệ")</f>
        <v>tỷ giá Đài tệ</v>
      </c>
      <c r="P44" s="34" t="str">
        <f>IFERROR(__xludf.DUMMYFUNCTION("""COMPUTED_VALUE"""),"https://techcombank.com/thong-tin/blog/ngoai-te-la-gi")</f>
        <v>https://techcombank.com/thong-tin/blog/ngoai-te-la-gi</v>
      </c>
      <c r="Q44" s="30" t="str">
        <f>IFERROR(__xludf.DUMMYFUNCTION("""COMPUTED_VALUE"""),"tỷ giá Đài tệ")</f>
        <v>tỷ giá Đài tệ</v>
      </c>
      <c r="R44" s="34" t="str">
        <f>IFERROR(__xludf.DUMMYFUNCTION("""COMPUTED_VALUE"""),"https://techcombank.com/thong-tin/blog/ty-gia-cac-ngan-hang")</f>
        <v>https://techcombank.com/thong-tin/blog/ty-gia-cac-ngan-hang</v>
      </c>
      <c r="S44" s="30" t="str">
        <f>IFERROR(__xludf.DUMMYFUNCTION("""COMPUTED_VALUE"""),"tỷ giá Đài tệ")</f>
        <v>tỷ giá Đài tệ</v>
      </c>
      <c r="T44" s="34" t="str">
        <f>IFERROR(__xludf.DUMMYFUNCTION("""COMPUTED_VALUE"""),"https://techcombank.com/thong-tin/blog/han-muc-mua-ngoai-te-khi-di-du-lich")</f>
        <v>https://techcombank.com/thong-tin/blog/han-muc-mua-ngoai-te-khi-di-du-lich</v>
      </c>
      <c r="U44" s="30" t="str">
        <f>IFERROR(__xludf.DUMMYFUNCTION("""COMPUTED_VALUE"""),"tiền Đài Loan")</f>
        <v>tiền Đài Loan</v>
      </c>
      <c r="V44" s="34" t="str">
        <f>IFERROR(__xludf.DUMMYFUNCTION("""COMPUTED_VALUE"""),"https://techcombank.com/thong-tin/blog/shang-chi")</f>
        <v>https://techcombank.com/thong-tin/blog/shang-chi</v>
      </c>
      <c r="W44" s="30" t="str">
        <f>IFERROR(__xludf.DUMMYFUNCTION("""COMPUTED_VALUE"""),"tỷ giá Đài tệ")</f>
        <v>tỷ giá Đài tệ</v>
      </c>
      <c r="X44" s="34" t="str">
        <f>IFERROR(__xludf.DUMMYFUNCTION("""COMPUTED_VALUE"""),"https://techcombank.com/thong-tin/blog/1-dong-do-la-my-bang-bao-nhieu-tien-viet-nam")</f>
        <v>https://techcombank.com/thong-tin/blog/1-dong-do-la-my-bang-bao-nhieu-tien-viet-nam</v>
      </c>
      <c r="Y44" s="30" t="str">
        <f>IFERROR(__xludf.DUMMYFUNCTION("""COMPUTED_VALUE"""),"tỷ giá Đài tệ")</f>
        <v>tỷ giá Đài tệ</v>
      </c>
      <c r="Z44" s="34" t="str">
        <f>IFERROR(__xludf.DUMMYFUNCTION("""COMPUTED_VALUE"""),"https://techcombank.com/thong-tin/blog/1-te-bang-bao-nhieu-tien-viet-nam")</f>
        <v>https://techcombank.com/thong-tin/blog/1-te-bang-bao-nhieu-tien-viet-nam</v>
      </c>
      <c r="AA44" s="30" t="str">
        <f>IFERROR(__xludf.DUMMYFUNCTION("""COMPUTED_VALUE"""),"tỷ giá Đài tệ")</f>
        <v>tỷ giá Đài tệ</v>
      </c>
      <c r="AB44" s="34" t="str">
        <f>IFERROR(__xludf.DUMMYFUNCTION("""COMPUTED_VALUE"""),"https://techcombank.com/thong-tin/blog/tien-trung-quoc")</f>
        <v>https://techcombank.com/thong-tin/blog/tien-trung-quoc</v>
      </c>
      <c r="AC44" s="30" t="str">
        <f>IFERROR(__xludf.DUMMYFUNCTION("""COMPUTED_VALUE"""),"tỷ giá Đài tệ")</f>
        <v>tỷ giá Đài tệ</v>
      </c>
      <c r="AD44" s="34" t="str">
        <f>IFERROR(__xludf.DUMMYFUNCTION("""COMPUTED_VALUE"""),"https://techcombank.com/thong-tin/blog/doi-tien-do-o-dau")</f>
        <v>https://techcombank.com/thong-tin/blog/doi-tien-do-o-dau</v>
      </c>
      <c r="AE44" s="30" t="str">
        <f>IFERROR(__xludf.DUMMYFUNCTION("""COMPUTED_VALUE"""),"tỷ giá Đài tệ")</f>
        <v>tỷ giá Đài tệ</v>
      </c>
      <c r="AF44" s="34" t="str">
        <f>IFERROR(__xludf.DUMMYFUNCTION("""COMPUTED_VALUE"""),"https://techcombank.com/thong-tin/blog/1000-won-bang-bao-nhieu-tien-viet")</f>
        <v>https://techcombank.com/thong-tin/blog/1000-won-bang-bao-nhieu-tien-viet</v>
      </c>
      <c r="AG44" s="30" t="str">
        <f>IFERROR(__xludf.DUMMYFUNCTION("""COMPUTED_VALUE"""),"tỷ giá Đài tệ")</f>
        <v>tỷ giá Đài tệ</v>
      </c>
      <c r="AH44" s="34" t="str">
        <f>IFERROR(__xludf.DUMMYFUNCTION("""COMPUTED_VALUE"""),"https://techcombank.com/thong-tin/blog/1000-yen-bang-bao-nhieu-tien-viet")</f>
        <v>https://techcombank.com/thong-tin/blog/1000-yen-bang-bao-nhieu-tien-viet</v>
      </c>
      <c r="AI44" s="30" t="str">
        <f>IFERROR(__xludf.DUMMYFUNCTION("""COMPUTED_VALUE"""),"tỷ giá Đài tệ")</f>
        <v>tỷ giá Đài tệ</v>
      </c>
      <c r="AJ44" s="34" t="str">
        <f>IFERROR(__xludf.DUMMYFUNCTION("""COMPUTED_VALUE"""),"https://techcombank.com/thong-tin/blog/chuyen-tien-tu-nhat-ve-viet-nam")</f>
        <v>https://techcombank.com/thong-tin/blog/chuyen-tien-tu-nhat-ve-viet-nam</v>
      </c>
      <c r="AK44" s="30" t="str">
        <f>IFERROR(__xludf.DUMMYFUNCTION("""COMPUTED_VALUE"""),"tỷ giá Đài tệ")</f>
        <v>tỷ giá Đài tệ</v>
      </c>
      <c r="AL44" s="34" t="str">
        <f>IFERROR(__xludf.DUMMYFUNCTION("""COMPUTED_VALUE"""),"https://techcombank.com/thong-tin/blog/tien-singapore")</f>
        <v>https://techcombank.com/thong-tin/blog/tien-singapore</v>
      </c>
      <c r="AM44" s="30" t="str">
        <f>IFERROR(__xludf.DUMMYFUNCTION("""COMPUTED_VALUE"""),"tỷ giá Đài tệ")</f>
        <v>tỷ giá Đài tệ</v>
      </c>
      <c r="AN44" s="34" t="str">
        <f>IFERROR(__xludf.DUMMYFUNCTION("""COMPUTED_VALUE"""),"https://techcombank.com/thong-tin/blog/di-du-lich-nuoc-ngoai-can-chuan-bi-gi")</f>
        <v>https://techcombank.com/thong-tin/blog/di-du-lich-nuoc-ngoai-can-chuan-bi-gi</v>
      </c>
      <c r="AO44" s="30" t="str">
        <f>IFERROR(__xludf.DUMMYFUNCTION("""COMPUTED_VALUE"""),"tỷ giá Đài tệ")</f>
        <v>tỷ giá Đài tệ</v>
      </c>
      <c r="AP44" s="34" t="str">
        <f>IFERROR(__xludf.DUMMYFUNCTION("""COMPUTED_VALUE"""),"https://techcombank.com/thong-tin/blog/tien-nhat")</f>
        <v>https://techcombank.com/thong-tin/blog/tien-nhat</v>
      </c>
      <c r="AQ44" s="30" t="str">
        <f>IFERROR(__xludf.DUMMYFUNCTION("""COMPUTED_VALUE"""),"tỷ giá Đài tệ")</f>
        <v>tỷ giá Đài tệ</v>
      </c>
      <c r="AR44" s="34" t="str">
        <f>IFERROR(__xludf.DUMMYFUNCTION("""COMPUTED_VALUE"""),"https://techcombank.com/thong-tin/blog/1-van-te-bang-bao-nhieu-tien-viet")</f>
        <v>https://techcombank.com/thong-tin/blog/1-van-te-bang-bao-nhieu-tien-viet</v>
      </c>
      <c r="AS44" s="30" t="str">
        <f>IFERROR(__xludf.DUMMYFUNCTION("""COMPUTED_VALUE"""),"tỷ giá Đài tệ")</f>
        <v>tỷ giá Đài tệ</v>
      </c>
      <c r="AT44" s="34" t="str">
        <f>IFERROR(__xludf.DUMMYFUNCTION("""COMPUTED_VALUE"""),"https://techcombank.com/thong-tin/blog/1000-te-bang-bao-nhieu-tien-viet")</f>
        <v>https://techcombank.com/thong-tin/blog/1000-te-bang-bao-nhieu-tien-viet</v>
      </c>
      <c r="AU44" s="30" t="str">
        <f>IFERROR(__xludf.DUMMYFUNCTION("""COMPUTED_VALUE"""),"tỷ giá Đài tệ")</f>
        <v>tỷ giá Đài tệ</v>
      </c>
      <c r="AV44" s="34" t="str">
        <f>IFERROR(__xludf.DUMMYFUNCTION("""COMPUTED_VALUE"""),"https://techcombank.com/thong-tin/blog/100-riel-bang-bao-nhieu-tien-viet-nam")</f>
        <v>https://techcombank.com/thong-tin/blog/100-riel-bang-bao-nhieu-tien-viet-nam</v>
      </c>
      <c r="AW44" s="30" t="str">
        <f>IFERROR(__xludf.DUMMYFUNCTION("""COMPUTED_VALUE"""),"tỷ giá Đài tệ")</f>
        <v>tỷ giá Đài tệ</v>
      </c>
      <c r="AX44" s="34" t="str">
        <f>IFERROR(__xludf.DUMMYFUNCTION("""COMPUTED_VALUE"""),"https://techcombank.com/thong-tin/blog/tien-indonesia")</f>
        <v>https://techcombank.com/thong-tin/blog/tien-indonesia</v>
      </c>
      <c r="AY44" s="30" t="str">
        <f>IFERROR(__xludf.DUMMYFUNCTION("""COMPUTED_VALUE"""),"tỷ giá Đài tệ")</f>
        <v>tỷ giá Đài tệ</v>
      </c>
      <c r="AZ44" s="34" t="str">
        <f>IFERROR(__xludf.DUMMYFUNCTION("""COMPUTED_VALUE"""),"https://techcombank.com/thong-tin/blog/1-won-bang-bao-nhieu-tien-viet")</f>
        <v>https://techcombank.com/thong-tin/blog/1-won-bang-bao-nhieu-tien-viet</v>
      </c>
      <c r="BA44" s="30" t="str">
        <f>IFERROR(__xludf.DUMMYFUNCTION("""COMPUTED_VALUE"""),"tỷ giá Đài tệ")</f>
        <v>tỷ giá Đài tệ</v>
      </c>
      <c r="BB44" s="34" t="str">
        <f>IFERROR(__xludf.DUMMYFUNCTION("""COMPUTED_VALUE"""),"https://techcombank.com/thong-tin/blog/dieu-kien-mua-usd-tu-ngan-hang")</f>
        <v>https://techcombank.com/thong-tin/blog/dieu-kien-mua-usd-tu-ngan-hang</v>
      </c>
      <c r="BC44" s="30" t="str">
        <f>IFERROR(__xludf.DUMMYFUNCTION("""COMPUTED_VALUE"""),"tỷ giá Đài tệ")</f>
        <v>tỷ giá Đài tệ</v>
      </c>
      <c r="BD44" s="34" t="str">
        <f>IFERROR(__xludf.DUMMYFUNCTION("""COMPUTED_VALUE"""),"https://techcombank.com/thong-tin/blog/chuyen-tien-di-uc")</f>
        <v>https://techcombank.com/thong-tin/blog/chuyen-tien-di-uc</v>
      </c>
      <c r="BE44" s="30" t="str">
        <f>IFERROR(__xludf.DUMMYFUNCTION("""COMPUTED_VALUE"""),"tỷ giá Đài tệ")</f>
        <v>tỷ giá Đài tệ</v>
      </c>
      <c r="BF44" s="34" t="str">
        <f>IFERROR(__xludf.DUMMYFUNCTION("""COMPUTED_VALUE"""),"https://techcombank.com/thong-tin/blog/1-cent-bang-bao-nhieu-tien-viet")</f>
        <v>https://techcombank.com/thong-tin/blog/1-cent-bang-bao-nhieu-tien-viet</v>
      </c>
      <c r="BG44" s="30" t="str">
        <f>IFERROR(__xludf.DUMMYFUNCTION("""COMPUTED_VALUE"""),"tỷ giá Đài tệ")</f>
        <v>tỷ giá Đài tệ</v>
      </c>
      <c r="BH44" s="34" t="str">
        <f>IFERROR(__xludf.DUMMYFUNCTION("""COMPUTED_VALUE"""),"https://techcombank.com/thong-tin/blog/1-do-uc-bang-bao-nhieu-tien-viet")</f>
        <v>https://techcombank.com/thong-tin/blog/1-do-uc-bang-bao-nhieu-tien-viet</v>
      </c>
      <c r="BI44" s="30" t="str">
        <f>IFERROR(__xludf.DUMMYFUNCTION("""COMPUTED_VALUE"""),"tỷ giá Đài tệ")</f>
        <v>tỷ giá Đài tệ</v>
      </c>
      <c r="BJ44" s="34" t="str">
        <f>IFERROR(__xludf.DUMMYFUNCTION("""COMPUTED_VALUE"""),"https://techcombank.com/thong-tin/blog/gui-tien-du-hoc")</f>
        <v>https://techcombank.com/thong-tin/blog/gui-tien-du-hoc</v>
      </c>
      <c r="BK44" s="30" t="str">
        <f>IFERROR(__xludf.DUMMYFUNCTION("""COMPUTED_VALUE"""),"tỷ giá Đài tệ")</f>
        <v>tỷ giá Đài tệ</v>
      </c>
      <c r="BL44" s="34" t="str">
        <f>IFERROR(__xludf.DUMMYFUNCTION("""COMPUTED_VALUE"""),"https://techcombank.com/thong-tin/blog/vay-the-chap-hop-dong-mua-ban-can-ho")</f>
        <v>https://techcombank.com/thong-tin/blog/vay-the-chap-hop-dong-mua-ban-can-ho</v>
      </c>
      <c r="BM44" s="30" t="str">
        <f>IFERROR(__xludf.DUMMYFUNCTION("""COMPUTED_VALUE"""),"tỷ giá Đài tệ")</f>
        <v>tỷ giá Đài tệ</v>
      </c>
      <c r="BN44" s="34" t="str">
        <f>IFERROR(__xludf.DUMMYFUNCTION("""COMPUTED_VALUE"""),"https://techcombank.com/thong-tin/blog/thu-tuc-chuyen-tien-ra-nuoc-ngoai")</f>
        <v>https://techcombank.com/thong-tin/blog/thu-tuc-chuyen-tien-ra-nuoc-ngoai</v>
      </c>
      <c r="BO44" s="30" t="str">
        <f>IFERROR(__xludf.DUMMYFUNCTION("""COMPUTED_VALUE"""),"tỷ giá Đài tệ")</f>
        <v>tỷ giá Đài tệ</v>
      </c>
      <c r="BP44" s="34" t="str">
        <f>IFERROR(__xludf.DUMMYFUNCTION("""COMPUTED_VALUE"""),"https://techcombank.com/thong-tin/blog/gui-tien-sang-nuoc-ngoai")</f>
        <v>https://techcombank.com/thong-tin/blog/gui-tien-sang-nuoc-ngoai</v>
      </c>
      <c r="BQ44" s="30" t="str">
        <f>IFERROR(__xludf.DUMMYFUNCTION("""COMPUTED_VALUE"""),"tỷ giá Đài tệ")</f>
        <v>tỷ giá Đài tệ</v>
      </c>
      <c r="BR44" s="34" t="str">
        <f>IFERROR(__xludf.DUMMYFUNCTION("""COMPUTED_VALUE"""),"https://techcombank.com/thong-tin/blog/chuyen-tien-tu-duc-ve-viet-nam")</f>
        <v>https://techcombank.com/thong-tin/blog/chuyen-tien-tu-duc-ve-viet-nam</v>
      </c>
      <c r="BS44" s="30" t="str">
        <f>IFERROR(__xludf.DUMMYFUNCTION("""COMPUTED_VALUE"""),"tỷ giá Đài tệ")</f>
        <v>tỷ giá Đài tệ</v>
      </c>
      <c r="BT44" s="34" t="str">
        <f>IFERROR(__xludf.DUMMYFUNCTION("""COMPUTED_VALUE"""),"https://techcombank.com/thong-tin/blog/cach-nhan-tien-tu-nuoc-ngoai-ve-viet-nam")</f>
        <v>https://techcombank.com/thong-tin/blog/cach-nhan-tien-tu-nuoc-ngoai-ve-viet-nam</v>
      </c>
      <c r="BU44" s="30"/>
      <c r="BV44" s="30"/>
      <c r="BW44" s="30"/>
      <c r="BX44" s="30"/>
      <c r="BY44" s="30"/>
      <c r="BZ44" s="30"/>
      <c r="CA44" s="30"/>
      <c r="CB44" s="30"/>
      <c r="CC44" s="30"/>
      <c r="CD44" s="30"/>
      <c r="CE44" s="30"/>
      <c r="CF44" s="30"/>
      <c r="CG44" s="30"/>
      <c r="CH44" s="30"/>
      <c r="CI44" s="30"/>
      <c r="CJ44" s="30"/>
      <c r="CK44" s="30"/>
      <c r="CL44" s="30"/>
      <c r="CM44" s="30"/>
      <c r="CN44" s="30"/>
      <c r="CO44" s="30"/>
      <c r="CP44" s="30"/>
      <c r="CQ44" s="30"/>
      <c r="CR44" s="30"/>
      <c r="CS44" s="30"/>
      <c r="CT44" s="30"/>
      <c r="CU44" s="30"/>
      <c r="CV44" s="30"/>
      <c r="CW44" s="30"/>
      <c r="CX44" s="30"/>
      <c r="CY44" s="30"/>
      <c r="CZ44" s="30"/>
      <c r="DA44" s="30"/>
      <c r="DB44" s="30"/>
      <c r="DC44" s="30"/>
      <c r="DD44" s="30"/>
      <c r="DE44" s="30"/>
      <c r="DF44" s="30"/>
      <c r="DG44" s="30"/>
      <c r="DH44" s="30"/>
      <c r="DI44" s="30"/>
      <c r="DJ44" s="30"/>
      <c r="DK44" s="30"/>
      <c r="DL44" s="30"/>
      <c r="DM44" s="30"/>
      <c r="DN44" s="30"/>
      <c r="DO44" s="30"/>
      <c r="DP44" s="30"/>
      <c r="DQ44" s="30"/>
      <c r="DR44" s="30"/>
      <c r="DS44" s="30"/>
      <c r="DT44" s="30"/>
      <c r="DU44" s="30"/>
      <c r="DV44" s="30"/>
      <c r="DW44" s="30"/>
      <c r="DX44" s="30"/>
      <c r="DY44" s="30"/>
      <c r="DZ44" s="30"/>
      <c r="EA44" s="30"/>
      <c r="EB44" s="30"/>
      <c r="EC44" s="30"/>
      <c r="ED44" s="30"/>
      <c r="EE44" s="30"/>
      <c r="EF44" s="30"/>
      <c r="EG44" s="30"/>
      <c r="EH44" s="30"/>
      <c r="EI44" s="30"/>
      <c r="EJ44" s="30"/>
      <c r="EK44" s="30"/>
      <c r="EL44" s="30"/>
      <c r="EM44" s="30"/>
      <c r="EN44" s="30"/>
      <c r="EO44" s="30"/>
      <c r="EP44" s="30"/>
      <c r="EQ44" s="30"/>
      <c r="ER44" s="30"/>
      <c r="ES44" s="30"/>
      <c r="ET44" s="30"/>
      <c r="EU44" s="30"/>
      <c r="EV44" s="30"/>
      <c r="EW44" s="30"/>
      <c r="EX44" s="30"/>
      <c r="EY44" s="30"/>
      <c r="EZ44" s="30"/>
      <c r="FA44" s="30"/>
      <c r="FB44" s="30"/>
      <c r="FC44" s="30"/>
      <c r="FD44" s="30"/>
      <c r="FE44" s="30"/>
      <c r="FF44" s="30"/>
      <c r="FG44" s="30"/>
      <c r="FH44" s="30"/>
      <c r="FI44" s="30"/>
      <c r="FJ44" s="30"/>
      <c r="FK44" s="30"/>
      <c r="FL44" s="30"/>
      <c r="FM44" s="30"/>
      <c r="FN44" s="30"/>
      <c r="FO44" s="30"/>
      <c r="FP44" s="30"/>
      <c r="FQ44" s="30"/>
      <c r="FR44" s="30"/>
      <c r="FS44" s="30"/>
      <c r="FT44" s="30"/>
      <c r="FU44" s="30"/>
      <c r="FV44" s="30"/>
      <c r="FW44" s="30"/>
      <c r="FX44" s="30"/>
      <c r="FY44" s="30"/>
      <c r="FZ44" s="30"/>
      <c r="GA44" s="30"/>
      <c r="GB44" s="30"/>
      <c r="GC44" s="30"/>
      <c r="GD44" s="30"/>
      <c r="GE44" s="30"/>
      <c r="GF44" s="30"/>
      <c r="GG44" s="30"/>
      <c r="GH44" s="30"/>
      <c r="GI44" s="30"/>
      <c r="GJ44" s="30"/>
      <c r="GK44" s="30"/>
      <c r="GL44" s="30"/>
      <c r="GM44" s="30"/>
      <c r="GN44" s="30"/>
      <c r="GO44" s="30"/>
      <c r="GP44" s="30"/>
      <c r="GQ44" s="30"/>
      <c r="GR44" s="30"/>
      <c r="GS44" s="30"/>
      <c r="GT44" s="30"/>
      <c r="GU44" s="30"/>
      <c r="GV44" s="30"/>
      <c r="GW44" s="30"/>
      <c r="GX44" s="30"/>
      <c r="GY44" s="30"/>
      <c r="GZ44" s="30"/>
      <c r="HA44" s="30"/>
      <c r="HB44" s="30"/>
      <c r="HC44" s="30"/>
      <c r="HD44" s="30"/>
      <c r="HE44" s="30"/>
      <c r="HF44" s="30"/>
      <c r="HG44" s="30"/>
      <c r="HH44" s="30"/>
      <c r="HI44" s="30"/>
      <c r="HJ44" s="30"/>
      <c r="HK44" s="30"/>
      <c r="HL44" s="30"/>
      <c r="HM44" s="30"/>
      <c r="HN44" s="30"/>
      <c r="HO44" s="30"/>
      <c r="HP44" s="30"/>
      <c r="HQ44" s="30"/>
      <c r="HR44" s="30"/>
      <c r="HS44" s="30"/>
      <c r="HT44" s="30"/>
      <c r="HU44" s="30"/>
      <c r="HV44" s="30"/>
      <c r="HW44" s="30"/>
      <c r="HX44" s="30"/>
      <c r="HY44" s="30"/>
      <c r="HZ44" s="30"/>
      <c r="IA44" s="30"/>
      <c r="IB44" s="30"/>
      <c r="IC44" s="30"/>
      <c r="ID44" s="30"/>
      <c r="IE44" s="30"/>
      <c r="IF44" s="30"/>
      <c r="IG44" s="30"/>
      <c r="IH44" s="30"/>
      <c r="II44" s="30"/>
      <c r="IJ44" s="30"/>
      <c r="IK44" s="30"/>
      <c r="IL44" s="30"/>
      <c r="IM44" s="30"/>
      <c r="IN44" s="30"/>
      <c r="IO44" s="30"/>
      <c r="IP44" s="30"/>
      <c r="IQ44" s="30"/>
      <c r="IR44" s="30"/>
      <c r="IS44" s="30"/>
      <c r="IT44" s="30"/>
      <c r="IU44" s="30"/>
      <c r="IV44" s="30"/>
      <c r="IW44" s="30"/>
      <c r="IX44" s="30"/>
      <c r="IY44" s="30"/>
      <c r="IZ44" s="30"/>
      <c r="JA44" s="30"/>
      <c r="JB44" s="30"/>
      <c r="JC44" s="30"/>
      <c r="JD44" s="30"/>
      <c r="JE44" s="30"/>
      <c r="JF44" s="30"/>
      <c r="JG44" s="30"/>
      <c r="JH44" s="30"/>
      <c r="JI44" s="30"/>
      <c r="JJ44" s="30"/>
      <c r="JK44" s="30"/>
      <c r="JL44" s="30"/>
      <c r="JM44" s="30"/>
      <c r="JN44" s="30"/>
      <c r="JO44" s="30"/>
      <c r="JP44" s="30"/>
      <c r="JQ44" s="30"/>
      <c r="JR44" s="30"/>
      <c r="JS44" s="30"/>
      <c r="JT44" s="30"/>
      <c r="JU44" s="30"/>
      <c r="JV44" s="30"/>
      <c r="JW44" s="30"/>
      <c r="JX44" s="30"/>
      <c r="JY44" s="30"/>
      <c r="JZ44" s="30"/>
      <c r="KA44" s="30"/>
      <c r="KB44" s="30"/>
      <c r="KC44" s="30"/>
      <c r="KD44" s="30"/>
      <c r="KE44" s="30"/>
      <c r="KF44" s="30"/>
      <c r="KG44" s="30"/>
      <c r="KH44" s="30"/>
      <c r="KI44" s="30"/>
      <c r="KJ44" s="30"/>
      <c r="KK44" s="30"/>
      <c r="KL44" s="30"/>
      <c r="KM44" s="30"/>
      <c r="KN44" s="30"/>
      <c r="KO44" s="30"/>
      <c r="KP44" s="30"/>
      <c r="KQ44" s="30"/>
      <c r="KR44" s="30"/>
      <c r="KS44" s="30"/>
      <c r="KT44" s="30"/>
      <c r="KU44" s="30"/>
      <c r="KV44" s="30"/>
      <c r="KW44" s="30"/>
      <c r="KX44" s="30"/>
      <c r="KY44" s="30"/>
      <c r="KZ44" s="30"/>
      <c r="LA44" s="30"/>
      <c r="LB44" s="30"/>
      <c r="LC44" s="30"/>
      <c r="LD44" s="30"/>
      <c r="LE44" s="30"/>
      <c r="LF44" s="30"/>
      <c r="LG44" s="30"/>
      <c r="LH44" s="30"/>
      <c r="LI44" s="30"/>
      <c r="LJ44" s="30"/>
      <c r="LK44" s="30"/>
      <c r="LL44" s="30"/>
      <c r="LM44" s="30"/>
      <c r="LN44" s="30"/>
      <c r="LO44" s="30"/>
      <c r="LP44" s="30"/>
      <c r="LQ44" s="30"/>
      <c r="LR44" s="30"/>
      <c r="LS44" s="30"/>
      <c r="LT44" s="30"/>
      <c r="LU44" s="30"/>
      <c r="LV44" s="30"/>
      <c r="LW44" s="30"/>
      <c r="LX44" s="30"/>
      <c r="LY44" s="30"/>
      <c r="LZ44" s="30"/>
      <c r="MA44" s="30"/>
      <c r="MB44" s="30"/>
      <c r="MC44" s="30"/>
      <c r="MD44" s="30"/>
      <c r="ME44" s="30"/>
      <c r="MF44" s="30"/>
      <c r="MG44" s="30"/>
      <c r="MH44" s="30"/>
      <c r="MI44" s="30"/>
      <c r="MJ44" s="30"/>
      <c r="MK44" s="30"/>
      <c r="ML44" s="30"/>
      <c r="MM44" s="30"/>
      <c r="MN44" s="30"/>
      <c r="MO44" s="30"/>
      <c r="MP44" s="30"/>
      <c r="MQ44" s="30"/>
      <c r="MR44" s="30"/>
      <c r="MS44" s="30"/>
      <c r="MT44" s="30"/>
      <c r="MU44" s="30"/>
      <c r="MV44" s="30"/>
      <c r="MW44" s="30"/>
      <c r="MX44" s="30"/>
      <c r="MY44" s="30"/>
      <c r="MZ44" s="30"/>
      <c r="NA44" s="30"/>
      <c r="NB44" s="30"/>
      <c r="NC44" s="30"/>
      <c r="ND44" s="30"/>
      <c r="NE44" s="30"/>
      <c r="NF44" s="30"/>
      <c r="NG44" s="30"/>
      <c r="NH44" s="30"/>
      <c r="NI44" s="30"/>
      <c r="NJ44" s="30"/>
      <c r="NK44" s="30"/>
      <c r="NL44" s="30"/>
      <c r="NM44" s="30"/>
      <c r="NN44" s="30"/>
      <c r="NO44" s="30"/>
      <c r="NP44" s="30"/>
      <c r="NQ44" s="30"/>
      <c r="NR44" s="30"/>
      <c r="NS44" s="30"/>
      <c r="NT44" s="30"/>
      <c r="NU44" s="30"/>
      <c r="NV44" s="30"/>
      <c r="NW44" s="30"/>
      <c r="NX44" s="30"/>
      <c r="NY44" s="30"/>
      <c r="NZ44" s="30"/>
      <c r="OA44" s="30"/>
      <c r="OB44" s="30"/>
      <c r="OC44" s="30"/>
      <c r="OD44" s="30"/>
      <c r="OE44" s="30"/>
      <c r="OF44" s="30"/>
      <c r="OG44" s="30"/>
      <c r="OH44" s="30"/>
      <c r="OI44" s="30"/>
      <c r="OJ44" s="30"/>
      <c r="OK44" s="30"/>
      <c r="OL44" s="30"/>
      <c r="OM44" s="30"/>
      <c r="ON44" s="30"/>
      <c r="OO44" s="30"/>
      <c r="OP44" s="30"/>
      <c r="OQ44" s="30"/>
      <c r="OR44" s="30"/>
      <c r="OS44" s="30"/>
      <c r="OT44" s="30"/>
      <c r="OU44" s="30"/>
      <c r="OV44" s="30"/>
    </row>
    <row r="45" ht="18.0" customHeight="1">
      <c r="A45" s="29">
        <v>44.0</v>
      </c>
      <c r="B45" s="30" t="s">
        <v>3920</v>
      </c>
      <c r="C45" s="31" t="s">
        <v>3816</v>
      </c>
      <c r="D45" s="30" t="s">
        <v>3565</v>
      </c>
      <c r="E45" s="29">
        <v>30.0</v>
      </c>
      <c r="F45" s="29">
        <f>COUNTIF('Tổng hợp 75 trang đích'!$B$2:$B$3400,$D45)</f>
        <v>30</v>
      </c>
      <c r="G45" s="29">
        <f>COUNTIFS('Tổng hợp 75 trang đích'!$B$2:$B$3400,$D45,'Tổng hợp 75 trang đích'!$K$2:$K$3400,"PHÙ HỢP CAO")</f>
        <v>4</v>
      </c>
      <c r="H45" s="29">
        <f>COUNTIFS('Tổng hợp 75 trang đích'!$B$2:$B$3400,$D45,'Tổng hợp 75 trang đích'!$K$2:$K$3400,"CÓ THỂ ĐI")</f>
        <v>0</v>
      </c>
      <c r="I45" s="29">
        <f>COUNTIFS('Tổng hợp 75 trang đích'!$B$2:$B$3400,$D45,'Tổng hợp 75 trang đích'!$K$2:$K$3400,"CẦN SOÁT")</f>
        <v>26</v>
      </c>
      <c r="J45" s="32" t="s">
        <v>714</v>
      </c>
      <c r="K45" s="32" t="b">
        <v>0</v>
      </c>
      <c r="L45" s="33" t="s">
        <v>52</v>
      </c>
      <c r="M45" s="30" t="str">
        <f>IFERROR(__xludf.DUMMYFUNCTION("IFERROR(TOROW(CHOOSECOLS(SORT(FILTER({'Tổng hợp 75 trang đích'!$J$2:$J$3400,'Tổng hợp 75 trang đích'!$I$2:$I$3400,MATCH('Tổng hợp 75 trang đích'!$K$2:$K$3400,{""PHÙ HỢP CAO"",""CÓ THỂ ĐI"",""CẦN SOÁT""},0)},'Tổng hợp 75 trang đích'!$B$2:$B$3400=$D45),3,TR"&amp;"UE),1,2)),"""")"),"1 Man Nhật")</f>
        <v>1 Man Nhật</v>
      </c>
      <c r="N45" s="34" t="str">
        <f>IFERROR(__xludf.DUMMYFUNCTION("""COMPUTED_VALUE"""),"https://techcombank.com/thong-tin/blog/tien-nhat")</f>
        <v>https://techcombank.com/thong-tin/blog/tien-nhat</v>
      </c>
      <c r="O45" s="30" t="str">
        <f>IFERROR(__xludf.DUMMYFUNCTION("""COMPUTED_VALUE"""),"1 Man Nhật")</f>
        <v>1 Man Nhật</v>
      </c>
      <c r="P45" s="34" t="str">
        <f>IFERROR(__xludf.DUMMYFUNCTION("""COMPUTED_VALUE"""),"https://techcombank.com/thong-tin/blog/1-yen-bang-bao-nhieu-tien-viet-nam")</f>
        <v>https://techcombank.com/thong-tin/blog/1-yen-bang-bao-nhieu-tien-viet-nam</v>
      </c>
      <c r="Q45" s="30" t="str">
        <f>IFERROR(__xludf.DUMMYFUNCTION("""COMPUTED_VALUE"""),"1 Man bằng bao nhiêu tiền Việt")</f>
        <v>1 Man bằng bao nhiêu tiền Việt</v>
      </c>
      <c r="R45" s="34" t="str">
        <f>IFERROR(__xludf.DUMMYFUNCTION("""COMPUTED_VALUE"""),"https://techcombank.com/thong-tin/blog/1000-yen-bang-bao-nhieu-tien-viet")</f>
        <v>https://techcombank.com/thong-tin/blog/1000-yen-bang-bao-nhieu-tien-viet</v>
      </c>
      <c r="S45" s="30" t="str">
        <f>IFERROR(__xludf.DUMMYFUNCTION("""COMPUTED_VALUE"""),"1 Man Nhật")</f>
        <v>1 Man Nhật</v>
      </c>
      <c r="T45" s="34" t="str">
        <f>IFERROR(__xludf.DUMMYFUNCTION("""COMPUTED_VALUE"""),"https://techcombank.com/thong-tin/blog/chuyen-tien-tu-nhat-ve-viet-nam")</f>
        <v>https://techcombank.com/thong-tin/blog/chuyen-tien-tu-nhat-ve-viet-nam</v>
      </c>
      <c r="U45" s="30" t="str">
        <f>IFERROR(__xludf.DUMMYFUNCTION("""COMPUTED_VALUE"""),"1 Man bằng bao nhiêu tiền Việt")</f>
        <v>1 Man bằng bao nhiêu tiền Việt</v>
      </c>
      <c r="V45" s="34" t="str">
        <f>IFERROR(__xludf.DUMMYFUNCTION("""COMPUTED_VALUE"""),"https://techcombank.com/thong-tin/blog/cach-rut-tien-atm")</f>
        <v>https://techcombank.com/thong-tin/blog/cach-rut-tien-atm</v>
      </c>
      <c r="W45" s="30" t="str">
        <f>IFERROR(__xludf.DUMMYFUNCTION("""COMPUTED_VALUE"""),"1 Man bằng bao nhiêu tiền Việt")</f>
        <v>1 Man bằng bao nhiêu tiền Việt</v>
      </c>
      <c r="X45" s="34" t="str">
        <f>IFERROR(__xludf.DUMMYFUNCTION("""COMPUTED_VALUE"""),"https://techcombank.com/thong-tin/blog/1-van-tien-dai-loan-bang-bao-nhieu-tien-viet")</f>
        <v>https://techcombank.com/thong-tin/blog/1-van-tien-dai-loan-bang-bao-nhieu-tien-viet</v>
      </c>
      <c r="Y45" s="30" t="str">
        <f>IFERROR(__xludf.DUMMYFUNCTION("""COMPUTED_VALUE"""),"1 Man bằng bao nhiêu tiền Việt")</f>
        <v>1 Man bằng bao nhiêu tiền Việt</v>
      </c>
      <c r="Z45" s="34" t="str">
        <f>IFERROR(__xludf.DUMMYFUNCTION("""COMPUTED_VALUE"""),"https://techcombank.com/thong-tin/blog/han-muc-mua-ngoai-te-khi-di-du-lich")</f>
        <v>https://techcombank.com/thong-tin/blog/han-muc-mua-ngoai-te-khi-di-du-lich</v>
      </c>
      <c r="AA45" s="30" t="str">
        <f>IFERROR(__xludf.DUMMYFUNCTION("""COMPUTED_VALUE"""),"1 Man bằng bao nhiêu tiền Việt")</f>
        <v>1 Man bằng bao nhiêu tiền Việt</v>
      </c>
      <c r="AB45" s="34" t="str">
        <f>IFERROR(__xludf.DUMMYFUNCTION("""COMPUTED_VALUE"""),"https://techcombank.com/thong-tin/blog/1-dong-do-la-my-bang-bao-nhieu-tien-viet-nam")</f>
        <v>https://techcombank.com/thong-tin/blog/1-dong-do-la-my-bang-bao-nhieu-tien-viet-nam</v>
      </c>
      <c r="AC45" s="30" t="str">
        <f>IFERROR(__xludf.DUMMYFUNCTION("""COMPUTED_VALUE"""),"1 Man bằng bao nhiêu tiền Việt")</f>
        <v>1 Man bằng bao nhiêu tiền Việt</v>
      </c>
      <c r="AD45" s="34" t="str">
        <f>IFERROR(__xludf.DUMMYFUNCTION("""COMPUTED_VALUE"""),"https://techcombank.com/thong-tin/blog/1-te-bang-bao-nhieu-tien-viet-nam")</f>
        <v>https://techcombank.com/thong-tin/blog/1-te-bang-bao-nhieu-tien-viet-nam</v>
      </c>
      <c r="AE45" s="30" t="str">
        <f>IFERROR(__xludf.DUMMYFUNCTION("""COMPUTED_VALUE"""),"1 Man bằng bao nhiêu tiền Việt")</f>
        <v>1 Man bằng bao nhiêu tiền Việt</v>
      </c>
      <c r="AF45" s="34" t="str">
        <f>IFERROR(__xludf.DUMMYFUNCTION("""COMPUTED_VALUE"""),"https://techcombank.com/thong-tin/blog/tien-trung-quoc")</f>
        <v>https://techcombank.com/thong-tin/blog/tien-trung-quoc</v>
      </c>
      <c r="AG45" s="30" t="str">
        <f>IFERROR(__xludf.DUMMYFUNCTION("""COMPUTED_VALUE"""),"1 Man bằng bao nhiêu tiền Việt")</f>
        <v>1 Man bằng bao nhiêu tiền Việt</v>
      </c>
      <c r="AH45" s="34" t="str">
        <f>IFERROR(__xludf.DUMMYFUNCTION("""COMPUTED_VALUE"""),"https://techcombank.com/thong-tin/blog/1-trieu-do-bang-bao-nhieu-tien-viet")</f>
        <v>https://techcombank.com/thong-tin/blog/1-trieu-do-bang-bao-nhieu-tien-viet</v>
      </c>
      <c r="AI45" s="30" t="str">
        <f>IFERROR(__xludf.DUMMYFUNCTION("""COMPUTED_VALUE"""),"1 Man bằng bao nhiêu tiền Việt")</f>
        <v>1 Man bằng bao nhiêu tiền Việt</v>
      </c>
      <c r="AJ45" s="34" t="str">
        <f>IFERROR(__xludf.DUMMYFUNCTION("""COMPUTED_VALUE"""),"https://techcombank.com/thong-tin/blog/1000-won-bang-bao-nhieu-tien-viet")</f>
        <v>https://techcombank.com/thong-tin/blog/1000-won-bang-bao-nhieu-tien-viet</v>
      </c>
      <c r="AK45" s="30" t="str">
        <f>IFERROR(__xludf.DUMMYFUNCTION("""COMPUTED_VALUE"""),"1 Man Nhật")</f>
        <v>1 Man Nhật</v>
      </c>
      <c r="AL45" s="34" t="str">
        <f>IFERROR(__xludf.DUMMYFUNCTION("""COMPUTED_VALUE"""),"https://techcombank.com/thong-tin/blog/tien-singapore")</f>
        <v>https://techcombank.com/thong-tin/blog/tien-singapore</v>
      </c>
      <c r="AM45" s="30" t="str">
        <f>IFERROR(__xludf.DUMMYFUNCTION("""COMPUTED_VALUE"""),"1 Man bằng bao nhiêu tiền Việt")</f>
        <v>1 Man bằng bao nhiêu tiền Việt</v>
      </c>
      <c r="AN45" s="34" t="str">
        <f>IFERROR(__xludf.DUMMYFUNCTION("""COMPUTED_VALUE"""),"https://techcombank.com/thong-tin/blog/vi-dien-tu-la-gi")</f>
        <v>https://techcombank.com/thong-tin/blog/vi-dien-tu-la-gi</v>
      </c>
      <c r="AO45" s="30" t="str">
        <f>IFERROR(__xludf.DUMMYFUNCTION("""COMPUTED_VALUE"""),"1 Man bằng bao nhiêu tiền Việt")</f>
        <v>1 Man bằng bao nhiêu tiền Việt</v>
      </c>
      <c r="AP45" s="34" t="str">
        <f>IFERROR(__xludf.DUMMYFUNCTION("""COMPUTED_VALUE"""),"https://techcombank.com/thong-tin/blog/tien-dai-loan")</f>
        <v>https://techcombank.com/thong-tin/blog/tien-dai-loan</v>
      </c>
      <c r="AQ45" s="30" t="str">
        <f>IFERROR(__xludf.DUMMYFUNCTION("""COMPUTED_VALUE"""),"1 Man bằng bao nhiêu tiền Việt")</f>
        <v>1 Man bằng bao nhiêu tiền Việt</v>
      </c>
      <c r="AR45" s="34" t="str">
        <f>IFERROR(__xludf.DUMMYFUNCTION("""COMPUTED_VALUE"""),"https://techcombank.com/thong-tin/blog/1-van-te-bang-bao-nhieu-tien-viet")</f>
        <v>https://techcombank.com/thong-tin/blog/1-van-te-bang-bao-nhieu-tien-viet</v>
      </c>
      <c r="AS45" s="30" t="str">
        <f>IFERROR(__xludf.DUMMYFUNCTION("""COMPUTED_VALUE"""),"1 Man bằng bao nhiêu tiền Việt")</f>
        <v>1 Man bằng bao nhiêu tiền Việt</v>
      </c>
      <c r="AT45" s="34" t="str">
        <f>IFERROR(__xludf.DUMMYFUNCTION("""COMPUTED_VALUE"""),"https://techcombank.com/thong-tin/blog/1000-te-bang-bao-nhieu-tien-viet")</f>
        <v>https://techcombank.com/thong-tin/blog/1000-te-bang-bao-nhieu-tien-viet</v>
      </c>
      <c r="AU45" s="30" t="str">
        <f>IFERROR(__xludf.DUMMYFUNCTION("""COMPUTED_VALUE"""),"1 Man bằng bao nhiêu tiền Việt")</f>
        <v>1 Man bằng bao nhiêu tiền Việt</v>
      </c>
      <c r="AV45" s="34" t="str">
        <f>IFERROR(__xludf.DUMMYFUNCTION("""COMPUTED_VALUE"""),"https://techcombank.com/thong-tin/blog/100-riel-bang-bao-nhieu-tien-viet-nam")</f>
        <v>https://techcombank.com/thong-tin/blog/100-riel-bang-bao-nhieu-tien-viet-nam</v>
      </c>
      <c r="AW45" s="30" t="str">
        <f>IFERROR(__xludf.DUMMYFUNCTION("""COMPUTED_VALUE"""),"1 Man bằng bao nhiêu tiền Việt")</f>
        <v>1 Man bằng bao nhiêu tiền Việt</v>
      </c>
      <c r="AX45" s="34" t="str">
        <f>IFERROR(__xludf.DUMMYFUNCTION("""COMPUTED_VALUE"""),"https://techcombank.com/thong-tin/blog/shopeepay-la-gi")</f>
        <v>https://techcombank.com/thong-tin/blog/shopeepay-la-gi</v>
      </c>
      <c r="AY45" s="30" t="str">
        <f>IFERROR(__xludf.DUMMYFUNCTION("""COMPUTED_VALUE"""),"1 Man bằng bao nhiêu tiền Việt")</f>
        <v>1 Man bằng bao nhiêu tiền Việt</v>
      </c>
      <c r="AZ45" s="34" t="str">
        <f>IFERROR(__xludf.DUMMYFUNCTION("""COMPUTED_VALUE"""),"https://techcombank.com/thong-tin/blog/1-won-bang-bao-nhieu-tien-viet")</f>
        <v>https://techcombank.com/thong-tin/blog/1-won-bang-bao-nhieu-tien-viet</v>
      </c>
      <c r="BA45" s="30" t="str">
        <f>IFERROR(__xludf.DUMMYFUNCTION("""COMPUTED_VALUE"""),"1 Man bằng bao nhiêu tiền Việt")</f>
        <v>1 Man bằng bao nhiêu tiền Việt</v>
      </c>
      <c r="BB45" s="34" t="str">
        <f>IFERROR(__xludf.DUMMYFUNCTION("""COMPUTED_VALUE"""),"https://techcombank.com/thong-tin/blog/1-euro-bang-bao-nhieu-tien-viet")</f>
        <v>https://techcombank.com/thong-tin/blog/1-euro-bang-bao-nhieu-tien-viet</v>
      </c>
      <c r="BC45" s="30" t="str">
        <f>IFERROR(__xludf.DUMMYFUNCTION("""COMPUTED_VALUE"""),"1 Man bằng bao nhiêu tiền Việt")</f>
        <v>1 Man bằng bao nhiêu tiền Việt</v>
      </c>
      <c r="BD45" s="34" t="str">
        <f>IFERROR(__xludf.DUMMYFUNCTION("""COMPUTED_VALUE"""),"https://techcombank.com/thong-tin/blog/1-trieu-won-bang-bao-nhieu-tien-viet")</f>
        <v>https://techcombank.com/thong-tin/blog/1-trieu-won-bang-bao-nhieu-tien-viet</v>
      </c>
      <c r="BE45" s="30" t="str">
        <f>IFERROR(__xludf.DUMMYFUNCTION("""COMPUTED_VALUE"""),"1 Man bằng bao nhiêu tiền Việt")</f>
        <v>1 Man bằng bao nhiêu tiền Việt</v>
      </c>
      <c r="BF45" s="34" t="str">
        <f>IFERROR(__xludf.DUMMYFUNCTION("""COMPUTED_VALUE"""),"https://techcombank.com/thong-tin/blog/1-cent-bang-bao-nhieu-tien-viet")</f>
        <v>https://techcombank.com/thong-tin/blog/1-cent-bang-bao-nhieu-tien-viet</v>
      </c>
      <c r="BG45" s="30" t="str">
        <f>IFERROR(__xludf.DUMMYFUNCTION("""COMPUTED_VALUE"""),"1 Man bằng bao nhiêu tiền Việt")</f>
        <v>1 Man bằng bao nhiêu tiền Việt</v>
      </c>
      <c r="BH45" s="34" t="str">
        <f>IFERROR(__xludf.DUMMYFUNCTION("""COMPUTED_VALUE"""),"https://techcombank.com/thong-tin/blog/1-do-uc-bang-bao-nhieu-tien-viet")</f>
        <v>https://techcombank.com/thong-tin/blog/1-do-uc-bang-bao-nhieu-tien-viet</v>
      </c>
      <c r="BI45" s="30" t="str">
        <f>IFERROR(__xludf.DUMMYFUNCTION("""COMPUTED_VALUE"""),"1 Man Nhật")</f>
        <v>1 Man Nhật</v>
      </c>
      <c r="BJ45" s="34" t="str">
        <f>IFERROR(__xludf.DUMMYFUNCTION("""COMPUTED_VALUE"""),"https://techcombank.com/thong-tin/blog/the-tin-dung-nao-nhieu-uu-dai-nhat")</f>
        <v>https://techcombank.com/thong-tin/blog/the-tin-dung-nao-nhieu-uu-dai-nhat</v>
      </c>
      <c r="BK45" s="30" t="str">
        <f>IFERROR(__xludf.DUMMYFUNCTION("""COMPUTED_VALUE"""),"1 Man Nhật")</f>
        <v>1 Man Nhật</v>
      </c>
      <c r="BL45" s="34" t="str">
        <f>IFERROR(__xludf.DUMMYFUNCTION("""COMPUTED_VALUE"""),"https://techcombank.com/thong-tin/blog/cach-tinh-lai-suat-tien-gui-tiet-kiem")</f>
        <v>https://techcombank.com/thong-tin/blog/cach-tinh-lai-suat-tien-gui-tiet-kiem</v>
      </c>
      <c r="BM45" s="30" t="str">
        <f>IFERROR(__xludf.DUMMYFUNCTION("""COMPUTED_VALUE"""),"1 Man bằng bao nhiêu tiền Việt")</f>
        <v>1 Man bằng bao nhiêu tiền Việt</v>
      </c>
      <c r="BN45" s="34" t="str">
        <f>IFERROR(__xludf.DUMMYFUNCTION("""COMPUTED_VALUE"""),"https://techcombank.com/thong-tin/blog/tien-thai-lan")</f>
        <v>https://techcombank.com/thong-tin/blog/tien-thai-lan</v>
      </c>
      <c r="BO45" s="30" t="str">
        <f>IFERROR(__xludf.DUMMYFUNCTION("""COMPUTED_VALUE"""),"1 Man bằng bao nhiêu tiền Việt")</f>
        <v>1 Man bằng bao nhiêu tiền Việt</v>
      </c>
      <c r="BP45" s="34" t="str">
        <f>IFERROR(__xludf.DUMMYFUNCTION("""COMPUTED_VALUE"""),"https://techcombank.com/thong-tin/blog/tien-lao")</f>
        <v>https://techcombank.com/thong-tin/blog/tien-lao</v>
      </c>
      <c r="BQ45" s="30" t="str">
        <f>IFERROR(__xludf.DUMMYFUNCTION("""COMPUTED_VALUE"""),"1 Man Nhật")</f>
        <v>1 Man Nhật</v>
      </c>
      <c r="BR45" s="34" t="str">
        <f>IFERROR(__xludf.DUMMYFUNCTION("""COMPUTED_VALUE"""),"https://techcombank.com/thong-tin/blog/nen-de-tien-trong-the-hay-gui-tiet-kiem")</f>
        <v>https://techcombank.com/thong-tin/blog/nen-de-tien-trong-the-hay-gui-tiet-kiem</v>
      </c>
      <c r="BS45" s="30" t="str">
        <f>IFERROR(__xludf.DUMMYFUNCTION("""COMPUTED_VALUE"""),"1 Man Nhật")</f>
        <v>1 Man Nhật</v>
      </c>
      <c r="BT45" s="34" t="str">
        <f>IFERROR(__xludf.DUMMYFUNCTION("""COMPUTED_VALUE"""),"https://techcombank.com/thong-tin/blog/atm-la-gi")</f>
        <v>https://techcombank.com/thong-tin/blog/atm-la-gi</v>
      </c>
      <c r="BU45" s="30"/>
      <c r="BV45" s="30"/>
      <c r="BW45" s="30"/>
      <c r="BX45" s="30"/>
      <c r="BY45" s="30"/>
      <c r="BZ45" s="30"/>
      <c r="CA45" s="30"/>
      <c r="CB45" s="30"/>
      <c r="CC45" s="30"/>
      <c r="CD45" s="30"/>
      <c r="CE45" s="30"/>
      <c r="CF45" s="30"/>
      <c r="CG45" s="30"/>
      <c r="CH45" s="30"/>
      <c r="CI45" s="30"/>
      <c r="CJ45" s="30"/>
      <c r="CK45" s="30"/>
      <c r="CL45" s="30"/>
      <c r="CM45" s="30"/>
      <c r="CN45" s="30"/>
      <c r="CO45" s="30"/>
      <c r="CP45" s="30"/>
      <c r="CQ45" s="30"/>
      <c r="CR45" s="30"/>
      <c r="CS45" s="30"/>
      <c r="CT45" s="30"/>
      <c r="CU45" s="30"/>
      <c r="CV45" s="30"/>
      <c r="CW45" s="30"/>
      <c r="CX45" s="30"/>
      <c r="CY45" s="30"/>
      <c r="CZ45" s="30"/>
      <c r="DA45" s="30"/>
      <c r="DB45" s="30"/>
      <c r="DC45" s="30"/>
      <c r="DD45" s="30"/>
      <c r="DE45" s="30"/>
      <c r="DF45" s="30"/>
      <c r="DG45" s="30"/>
      <c r="DH45" s="30"/>
      <c r="DI45" s="30"/>
      <c r="DJ45" s="30"/>
      <c r="DK45" s="30"/>
      <c r="DL45" s="30"/>
      <c r="DM45" s="30"/>
      <c r="DN45" s="30"/>
      <c r="DO45" s="30"/>
      <c r="DP45" s="30"/>
      <c r="DQ45" s="30"/>
      <c r="DR45" s="30"/>
      <c r="DS45" s="30"/>
      <c r="DT45" s="30"/>
      <c r="DU45" s="30"/>
      <c r="DV45" s="30"/>
      <c r="DW45" s="30"/>
      <c r="DX45" s="30"/>
      <c r="DY45" s="30"/>
      <c r="DZ45" s="30"/>
      <c r="EA45" s="30"/>
      <c r="EB45" s="30"/>
      <c r="EC45" s="30"/>
      <c r="ED45" s="30"/>
      <c r="EE45" s="30"/>
      <c r="EF45" s="30"/>
      <c r="EG45" s="30"/>
      <c r="EH45" s="30"/>
      <c r="EI45" s="30"/>
      <c r="EJ45" s="30"/>
      <c r="EK45" s="30"/>
      <c r="EL45" s="30"/>
      <c r="EM45" s="30"/>
      <c r="EN45" s="30"/>
      <c r="EO45" s="30"/>
      <c r="EP45" s="30"/>
      <c r="EQ45" s="30"/>
      <c r="ER45" s="30"/>
      <c r="ES45" s="30"/>
      <c r="ET45" s="30"/>
      <c r="EU45" s="30"/>
      <c r="EV45" s="30"/>
      <c r="EW45" s="30"/>
      <c r="EX45" s="30"/>
      <c r="EY45" s="30"/>
      <c r="EZ45" s="30"/>
      <c r="FA45" s="30"/>
      <c r="FB45" s="30"/>
      <c r="FC45" s="30"/>
      <c r="FD45" s="30"/>
      <c r="FE45" s="30"/>
      <c r="FF45" s="30"/>
      <c r="FG45" s="30"/>
      <c r="FH45" s="30"/>
      <c r="FI45" s="30"/>
      <c r="FJ45" s="30"/>
      <c r="FK45" s="30"/>
      <c r="FL45" s="30"/>
      <c r="FM45" s="30"/>
      <c r="FN45" s="30"/>
      <c r="FO45" s="30"/>
      <c r="FP45" s="30"/>
      <c r="FQ45" s="30"/>
      <c r="FR45" s="30"/>
      <c r="FS45" s="30"/>
      <c r="FT45" s="30"/>
      <c r="FU45" s="30"/>
      <c r="FV45" s="30"/>
      <c r="FW45" s="30"/>
      <c r="FX45" s="30"/>
      <c r="FY45" s="30"/>
      <c r="FZ45" s="30"/>
      <c r="GA45" s="30"/>
      <c r="GB45" s="30"/>
      <c r="GC45" s="30"/>
      <c r="GD45" s="30"/>
      <c r="GE45" s="30"/>
      <c r="GF45" s="30"/>
      <c r="GG45" s="30"/>
      <c r="GH45" s="30"/>
      <c r="GI45" s="30"/>
      <c r="GJ45" s="30"/>
      <c r="GK45" s="30"/>
      <c r="GL45" s="30"/>
      <c r="GM45" s="30"/>
      <c r="GN45" s="30"/>
      <c r="GO45" s="30"/>
      <c r="GP45" s="30"/>
      <c r="GQ45" s="30"/>
      <c r="GR45" s="30"/>
      <c r="GS45" s="30"/>
      <c r="GT45" s="30"/>
      <c r="GU45" s="30"/>
      <c r="GV45" s="30"/>
      <c r="GW45" s="30"/>
      <c r="GX45" s="30"/>
      <c r="GY45" s="30"/>
      <c r="GZ45" s="30"/>
      <c r="HA45" s="30"/>
      <c r="HB45" s="30"/>
      <c r="HC45" s="30"/>
      <c r="HD45" s="30"/>
      <c r="HE45" s="30"/>
      <c r="HF45" s="30"/>
      <c r="HG45" s="30"/>
      <c r="HH45" s="30"/>
      <c r="HI45" s="30"/>
      <c r="HJ45" s="30"/>
      <c r="HK45" s="30"/>
      <c r="HL45" s="30"/>
      <c r="HM45" s="30"/>
      <c r="HN45" s="30"/>
      <c r="HO45" s="30"/>
      <c r="HP45" s="30"/>
      <c r="HQ45" s="30"/>
      <c r="HR45" s="30"/>
      <c r="HS45" s="30"/>
      <c r="HT45" s="30"/>
      <c r="HU45" s="30"/>
      <c r="HV45" s="30"/>
      <c r="HW45" s="30"/>
      <c r="HX45" s="30"/>
      <c r="HY45" s="30"/>
      <c r="HZ45" s="30"/>
      <c r="IA45" s="30"/>
      <c r="IB45" s="30"/>
      <c r="IC45" s="30"/>
      <c r="ID45" s="30"/>
      <c r="IE45" s="30"/>
      <c r="IF45" s="30"/>
      <c r="IG45" s="30"/>
      <c r="IH45" s="30"/>
      <c r="II45" s="30"/>
      <c r="IJ45" s="30"/>
      <c r="IK45" s="30"/>
      <c r="IL45" s="30"/>
      <c r="IM45" s="30"/>
      <c r="IN45" s="30"/>
      <c r="IO45" s="30"/>
      <c r="IP45" s="30"/>
      <c r="IQ45" s="30"/>
      <c r="IR45" s="30"/>
      <c r="IS45" s="30"/>
      <c r="IT45" s="30"/>
      <c r="IU45" s="30"/>
      <c r="IV45" s="30"/>
      <c r="IW45" s="30"/>
      <c r="IX45" s="30"/>
      <c r="IY45" s="30"/>
      <c r="IZ45" s="30"/>
      <c r="JA45" s="30"/>
      <c r="JB45" s="30"/>
      <c r="JC45" s="30"/>
      <c r="JD45" s="30"/>
      <c r="JE45" s="30"/>
      <c r="JF45" s="30"/>
      <c r="JG45" s="30"/>
      <c r="JH45" s="30"/>
      <c r="JI45" s="30"/>
      <c r="JJ45" s="30"/>
      <c r="JK45" s="30"/>
      <c r="JL45" s="30"/>
      <c r="JM45" s="30"/>
      <c r="JN45" s="30"/>
      <c r="JO45" s="30"/>
      <c r="JP45" s="30"/>
      <c r="JQ45" s="30"/>
      <c r="JR45" s="30"/>
      <c r="JS45" s="30"/>
      <c r="JT45" s="30"/>
      <c r="JU45" s="30"/>
      <c r="JV45" s="30"/>
      <c r="JW45" s="30"/>
      <c r="JX45" s="30"/>
      <c r="JY45" s="30"/>
      <c r="JZ45" s="30"/>
      <c r="KA45" s="30"/>
      <c r="KB45" s="30"/>
      <c r="KC45" s="30"/>
      <c r="KD45" s="30"/>
      <c r="KE45" s="30"/>
      <c r="KF45" s="30"/>
      <c r="KG45" s="30"/>
      <c r="KH45" s="30"/>
      <c r="KI45" s="30"/>
      <c r="KJ45" s="30"/>
      <c r="KK45" s="30"/>
      <c r="KL45" s="30"/>
      <c r="KM45" s="30"/>
      <c r="KN45" s="30"/>
      <c r="KO45" s="30"/>
      <c r="KP45" s="30"/>
      <c r="KQ45" s="30"/>
      <c r="KR45" s="30"/>
      <c r="KS45" s="30"/>
      <c r="KT45" s="30"/>
      <c r="KU45" s="30"/>
      <c r="KV45" s="30"/>
      <c r="KW45" s="30"/>
      <c r="KX45" s="30"/>
      <c r="KY45" s="30"/>
      <c r="KZ45" s="30"/>
      <c r="LA45" s="30"/>
      <c r="LB45" s="30"/>
      <c r="LC45" s="30"/>
      <c r="LD45" s="30"/>
      <c r="LE45" s="30"/>
      <c r="LF45" s="30"/>
      <c r="LG45" s="30"/>
      <c r="LH45" s="30"/>
      <c r="LI45" s="30"/>
      <c r="LJ45" s="30"/>
      <c r="LK45" s="30"/>
      <c r="LL45" s="30"/>
      <c r="LM45" s="30"/>
      <c r="LN45" s="30"/>
      <c r="LO45" s="30"/>
      <c r="LP45" s="30"/>
      <c r="LQ45" s="30"/>
      <c r="LR45" s="30"/>
      <c r="LS45" s="30"/>
      <c r="LT45" s="30"/>
      <c r="LU45" s="30"/>
      <c r="LV45" s="30"/>
      <c r="LW45" s="30"/>
      <c r="LX45" s="30"/>
      <c r="LY45" s="30"/>
      <c r="LZ45" s="30"/>
      <c r="MA45" s="30"/>
      <c r="MB45" s="30"/>
      <c r="MC45" s="30"/>
      <c r="MD45" s="30"/>
      <c r="ME45" s="30"/>
      <c r="MF45" s="30"/>
      <c r="MG45" s="30"/>
      <c r="MH45" s="30"/>
      <c r="MI45" s="30"/>
      <c r="MJ45" s="30"/>
      <c r="MK45" s="30"/>
      <c r="ML45" s="30"/>
      <c r="MM45" s="30"/>
      <c r="MN45" s="30"/>
      <c r="MO45" s="30"/>
      <c r="MP45" s="30"/>
      <c r="MQ45" s="30"/>
      <c r="MR45" s="30"/>
      <c r="MS45" s="30"/>
      <c r="MT45" s="30"/>
      <c r="MU45" s="30"/>
      <c r="MV45" s="30"/>
      <c r="MW45" s="30"/>
      <c r="MX45" s="30"/>
      <c r="MY45" s="30"/>
      <c r="MZ45" s="30"/>
      <c r="NA45" s="30"/>
      <c r="NB45" s="30"/>
      <c r="NC45" s="30"/>
      <c r="ND45" s="30"/>
      <c r="NE45" s="30"/>
      <c r="NF45" s="30"/>
      <c r="NG45" s="30"/>
      <c r="NH45" s="30"/>
      <c r="NI45" s="30"/>
      <c r="NJ45" s="30"/>
      <c r="NK45" s="30"/>
      <c r="NL45" s="30"/>
      <c r="NM45" s="30"/>
      <c r="NN45" s="30"/>
      <c r="NO45" s="30"/>
      <c r="NP45" s="30"/>
      <c r="NQ45" s="30"/>
      <c r="NR45" s="30"/>
      <c r="NS45" s="30"/>
      <c r="NT45" s="30"/>
      <c r="NU45" s="30"/>
      <c r="NV45" s="30"/>
      <c r="NW45" s="30"/>
      <c r="NX45" s="30"/>
      <c r="NY45" s="30"/>
      <c r="NZ45" s="30"/>
      <c r="OA45" s="30"/>
      <c r="OB45" s="30"/>
      <c r="OC45" s="30"/>
      <c r="OD45" s="30"/>
      <c r="OE45" s="30"/>
      <c r="OF45" s="30"/>
      <c r="OG45" s="30"/>
      <c r="OH45" s="30"/>
      <c r="OI45" s="30"/>
      <c r="OJ45" s="30"/>
      <c r="OK45" s="30"/>
      <c r="OL45" s="30"/>
      <c r="OM45" s="30"/>
      <c r="ON45" s="30"/>
      <c r="OO45" s="30"/>
      <c r="OP45" s="30"/>
      <c r="OQ45" s="30"/>
      <c r="OR45" s="30"/>
      <c r="OS45" s="30"/>
      <c r="OT45" s="30"/>
      <c r="OU45" s="30"/>
      <c r="OV45" s="30"/>
    </row>
    <row r="46" ht="18.0" customHeight="1">
      <c r="A46" s="29">
        <v>45.0</v>
      </c>
      <c r="B46" s="30" t="s">
        <v>3920</v>
      </c>
      <c r="C46" s="31" t="s">
        <v>3842</v>
      </c>
      <c r="D46" s="30" t="s">
        <v>3764</v>
      </c>
      <c r="E46" s="29">
        <v>30.0</v>
      </c>
      <c r="F46" s="29">
        <f>COUNTIF('Tổng hợp 75 trang đích'!$B$2:$B$3400,$D46)</f>
        <v>30</v>
      </c>
      <c r="G46" s="29">
        <f>COUNTIFS('Tổng hợp 75 trang đích'!$B$2:$B$3400,$D46,'Tổng hợp 75 trang đích'!$K$2:$K$3400,"PHÙ HỢP CAO")</f>
        <v>2</v>
      </c>
      <c r="H46" s="29">
        <f>COUNTIFS('Tổng hợp 75 trang đích'!$B$2:$B$3400,$D46,'Tổng hợp 75 trang đích'!$K$2:$K$3400,"CÓ THỂ ĐI")</f>
        <v>0</v>
      </c>
      <c r="I46" s="29">
        <f>COUNTIFS('Tổng hợp 75 trang đích'!$B$2:$B$3400,$D46,'Tổng hợp 75 trang đích'!$K$2:$K$3400,"CẦN SOÁT")</f>
        <v>28</v>
      </c>
      <c r="J46" s="32" t="s">
        <v>714</v>
      </c>
      <c r="K46" s="32" t="b">
        <v>0</v>
      </c>
      <c r="L46" s="33" t="s">
        <v>52</v>
      </c>
      <c r="M46" s="30" t="str">
        <f>IFERROR(__xludf.DUMMYFUNCTION("IFERROR(TOROW(CHOOSECOLS(SORT(FILTER({'Tổng hợp 75 trang đích'!$J$2:$J$3400,'Tổng hợp 75 trang đích'!$I$2:$I$3400,MATCH('Tổng hợp 75 trang đích'!$K$2:$K$3400,{""PHÙ HỢP CAO"",""CÓ THỂ ĐI"",""CẦN SOÁT""},0)},'Tổng hợp 75 trang đích'!$B$2:$B$3400=$D46),3,TR"&amp;"UE),1,2)),"""")"),"tiền Baht")</f>
        <v>tiền Baht</v>
      </c>
      <c r="N46" s="34" t="str">
        <f>IFERROR(__xludf.DUMMYFUNCTION("""COMPUTED_VALUE"""),"https://techcombank.com/thong-tin/blog/thanh-toan-khi-du-lich-thai-lan")</f>
        <v>https://techcombank.com/thong-tin/blog/thanh-toan-khi-du-lich-thai-lan</v>
      </c>
      <c r="O46" s="30" t="str">
        <f>IFERROR(__xludf.DUMMYFUNCTION("""COMPUTED_VALUE"""),"tiền Thái Lan")</f>
        <v>tiền Thái Lan</v>
      </c>
      <c r="P46" s="34" t="str">
        <f>IFERROR(__xludf.DUMMYFUNCTION("""COMPUTED_VALUE"""),"https://techcombank.com/thong-tin/blog/thanh-toan-qr-thai-lan")</f>
        <v>https://techcombank.com/thong-tin/blog/thanh-toan-qr-thai-lan</v>
      </c>
      <c r="Q46" s="30" t="str">
        <f>IFERROR(__xludf.DUMMYFUNCTION("""COMPUTED_VALUE"""),"tiền Thái Lan")</f>
        <v>tiền Thái Lan</v>
      </c>
      <c r="R46" s="34" t="str">
        <f>IFERROR(__xludf.DUMMYFUNCTION("""COMPUTED_VALUE"""),"https://techcombank.com/thong-tin/blog/1-trieu-do-bang-bao-nhieu-tien-viet")</f>
        <v>https://techcombank.com/thong-tin/blog/1-trieu-do-bang-bao-nhieu-tien-viet</v>
      </c>
      <c r="S46" s="30" t="str">
        <f>IFERROR(__xludf.DUMMYFUNCTION("""COMPUTED_VALUE"""),"tiền Thái Lan")</f>
        <v>tiền Thái Lan</v>
      </c>
      <c r="T46" s="34" t="str">
        <f>IFERROR(__xludf.DUMMYFUNCTION("""COMPUTED_VALUE"""),"https://techcombank.com/thong-tin/blog/the-tin-dung-noi-dia")</f>
        <v>https://techcombank.com/thong-tin/blog/the-tin-dung-noi-dia</v>
      </c>
      <c r="U46" s="30" t="str">
        <f>IFERROR(__xludf.DUMMYFUNCTION("""COMPUTED_VALUE"""),"tiền Baht Thái")</f>
        <v>tiền Baht Thái</v>
      </c>
      <c r="V46" s="34" t="str">
        <f>IFERROR(__xludf.DUMMYFUNCTION("""COMPUTED_VALUE"""),"https://techcombank.com/thong-tin/blog/tai-tro-fifa-world-cup")</f>
        <v>https://techcombank.com/thong-tin/blog/tai-tro-fifa-world-cup</v>
      </c>
      <c r="W46" s="30" t="str">
        <f>IFERROR(__xludf.DUMMYFUNCTION("""COMPUTED_VALUE"""),"tiền Thái Lan")</f>
        <v>tiền Thái Lan</v>
      </c>
      <c r="X46" s="34" t="str">
        <f>IFERROR(__xludf.DUMMYFUNCTION("""COMPUTED_VALUE"""),"https://techcombank.com/thong-tin/blog/rut-tien-mat-tu-the-tin-dung")</f>
        <v>https://techcombank.com/thong-tin/blog/rut-tien-mat-tu-the-tin-dung</v>
      </c>
      <c r="Y46" s="30" t="str">
        <f>IFERROR(__xludf.DUMMYFUNCTION("""COMPUTED_VALUE"""),"tiền Thái Lan")</f>
        <v>tiền Thái Lan</v>
      </c>
      <c r="Z46" s="34" t="str">
        <f>IFERROR(__xludf.DUMMYFUNCTION("""COMPUTED_VALUE"""),"https://techcombank.com/thong-tin/blog/cach-thanh-toan-quang-cao-tiktok")</f>
        <v>https://techcombank.com/thong-tin/blog/cach-thanh-toan-quang-cao-tiktok</v>
      </c>
      <c r="AA46" s="30" t="str">
        <f>IFERROR(__xludf.DUMMYFUNCTION("""COMPUTED_VALUE"""),"tiền Baht Thái")</f>
        <v>tiền Baht Thái</v>
      </c>
      <c r="AB46" s="34" t="str">
        <f>IFERROR(__xludf.DUMMYFUNCTION("""COMPUTED_VALUE"""),"https://techcombank.com/thong-tin/blog/hoan-thue-doanh-nghiep")</f>
        <v>https://techcombank.com/thong-tin/blog/hoan-thue-doanh-nghiep</v>
      </c>
      <c r="AC46" s="30" t="str">
        <f>IFERROR(__xludf.DUMMYFUNCTION("""COMPUTED_VALUE"""),"tiền Baht Thái")</f>
        <v>tiền Baht Thái</v>
      </c>
      <c r="AD46" s="34" t="str">
        <f>IFERROR(__xludf.DUMMYFUNCTION("""COMPUTED_VALUE"""),"https://techcombank.com/thong-tin/blog/nop-thue-hai-quan")</f>
        <v>https://techcombank.com/thong-tin/blog/nop-thue-hai-quan</v>
      </c>
      <c r="AE46" s="30" t="str">
        <f>IFERROR(__xludf.DUMMYFUNCTION("""COMPUTED_VALUE"""),"tiền Baht Thái")</f>
        <v>tiền Baht Thái</v>
      </c>
      <c r="AF46" s="34" t="str">
        <f>IFERROR(__xludf.DUMMYFUNCTION("""COMPUTED_VALUE"""),"https://techcombank.com/thong-tin/blog/ebitda-la-gi")</f>
        <v>https://techcombank.com/thong-tin/blog/ebitda-la-gi</v>
      </c>
      <c r="AG46" s="30" t="str">
        <f>IFERROR(__xludf.DUMMYFUNCTION("""COMPUTED_VALUE"""),"tiền Thái Lan")</f>
        <v>tiền Thái Lan</v>
      </c>
      <c r="AH46" s="34" t="str">
        <f>IFERROR(__xludf.DUMMYFUNCTION("""COMPUTED_VALUE"""),"https://techcombank.com/thong-tin/blog/cach-lam-the-ngan-hang-chay-quang-cao-facebook")</f>
        <v>https://techcombank.com/thong-tin/blog/cach-lam-the-ngan-hang-chay-quang-cao-facebook</v>
      </c>
      <c r="AI46" s="30" t="str">
        <f>IFERROR(__xludf.DUMMYFUNCTION("""COMPUTED_VALUE"""),"tiền Baht Thái")</f>
        <v>tiền Baht Thái</v>
      </c>
      <c r="AJ46" s="34" t="str">
        <f>IFERROR(__xludf.DUMMYFUNCTION("""COMPUTED_VALUE"""),"https://techcombank.com/thong-tin/blog/cach-tiet-kiem-tien-hieu-qua-cho-gia-dinh")</f>
        <v>https://techcombank.com/thong-tin/blog/cach-tiet-kiem-tien-hieu-qua-cho-gia-dinh</v>
      </c>
      <c r="AK46" s="30" t="str">
        <f>IFERROR(__xludf.DUMMYFUNCTION("""COMPUTED_VALUE"""),"tiền Thái Lan")</f>
        <v>tiền Thái Lan</v>
      </c>
      <c r="AL46" s="34" t="str">
        <f>IFERROR(__xludf.DUMMYFUNCTION("""COMPUTED_VALUE"""),"https://techcombank.com/thong-tin/blog/atm-la-gi")</f>
        <v>https://techcombank.com/thong-tin/blog/atm-la-gi</v>
      </c>
      <c r="AM46" s="30" t="str">
        <f>IFERROR(__xludf.DUMMYFUNCTION("""COMPUTED_VALUE"""),"tiền Thái Lan")</f>
        <v>tiền Thái Lan</v>
      </c>
      <c r="AN46" s="34" t="str">
        <f>IFERROR(__xludf.DUMMYFUNCTION("""COMPUTED_VALUE"""),"https://techcombank.com/thong-tin/blog/thanh-toan-bang-ma-qr")</f>
        <v>https://techcombank.com/thong-tin/blog/thanh-toan-bang-ma-qr</v>
      </c>
      <c r="AO46" s="30" t="str">
        <f>IFERROR(__xludf.DUMMYFUNCTION("""COMPUTED_VALUE"""),"tiền Baht Thái")</f>
        <v>tiền Baht Thái</v>
      </c>
      <c r="AP46" s="34" t="str">
        <f>IFERROR(__xludf.DUMMYFUNCTION("""COMPUTED_VALUE"""),"https://techcombank.com/thong-tin/blog/dieu-kien-thanh-lap-doanh-nghiep")</f>
        <v>https://techcombank.com/thong-tin/blog/dieu-kien-thanh-lap-doanh-nghiep</v>
      </c>
      <c r="AQ46" s="30" t="str">
        <f>IFERROR(__xludf.DUMMYFUNCTION("""COMPUTED_VALUE"""),"tiền Thái Lan")</f>
        <v>tiền Thái Lan</v>
      </c>
      <c r="AR46" s="34" t="str">
        <f>IFERROR(__xludf.DUMMYFUNCTION("""COMPUTED_VALUE"""),"https://techcombank.com/thong-tin/blog/cac-loai-bao-hiem-suc-khoe")</f>
        <v>https://techcombank.com/thong-tin/blog/cac-loai-bao-hiem-suc-khoe</v>
      </c>
      <c r="AS46" s="30" t="str">
        <f>IFERROR(__xludf.DUMMYFUNCTION("""COMPUTED_VALUE"""),"tiền Baht Thái")</f>
        <v>tiền Baht Thái</v>
      </c>
      <c r="AT46" s="34" t="str">
        <f>IFERROR(__xludf.DUMMYFUNCTION("""COMPUTED_VALUE"""),"https://techcombank.com/thong-tin/blog/chuyen-doi-so-nganh-ngan-hang-thach-thuc-va-co-hoi")</f>
        <v>https://techcombank.com/thong-tin/blog/chuyen-doi-so-nganh-ngan-hang-thach-thuc-va-co-hoi</v>
      </c>
      <c r="AU46" s="30" t="str">
        <f>IFERROR(__xludf.DUMMYFUNCTION("""COMPUTED_VALUE"""),"tiền Baht Thái")</f>
        <v>tiền Baht Thái</v>
      </c>
      <c r="AV46" s="34" t="str">
        <f>IFERROR(__xludf.DUMMYFUNCTION("""COMPUTED_VALUE"""),"https://techcombank.com/thong-tin/blog/gia-tri-thuong-hieu")</f>
        <v>https://techcombank.com/thong-tin/blog/gia-tri-thuong-hieu</v>
      </c>
      <c r="AW46" s="30" t="str">
        <f>IFERROR(__xludf.DUMMYFUNCTION("""COMPUTED_VALUE"""),"tiền Thái Lan")</f>
        <v>tiền Thái Lan</v>
      </c>
      <c r="AX46" s="34" t="str">
        <f>IFERROR(__xludf.DUMMYFUNCTION("""COMPUTED_VALUE"""),"https://techcombank.com/thong-tin/blog/gui-tiet-kiem-ngan-hang-van-la-lua-chon-an-toan-trong-thoi-ky-kinh-te-con-nhieu-bien-dong")</f>
        <v>https://techcombank.com/thong-tin/blog/gui-tiet-kiem-ngan-hang-van-la-lua-chon-an-toan-trong-thoi-ky-kinh-te-con-nhieu-bien-dong</v>
      </c>
      <c r="AY46" s="30" t="str">
        <f>IFERROR(__xludf.DUMMYFUNCTION("""COMPUTED_VALUE"""),"tiền Baht Thái")</f>
        <v>tiền Baht Thái</v>
      </c>
      <c r="AZ46" s="34" t="str">
        <f>IFERROR(__xludf.DUMMYFUNCTION("""COMPUTED_VALUE"""),"https://techcombank.com/thong-tin/blog/phan-mem-quan-ly-tai-chinh-doanh-nghiep")</f>
        <v>https://techcombank.com/thong-tin/blog/phan-mem-quan-ly-tai-chinh-doanh-nghiep</v>
      </c>
      <c r="BA46" s="30" t="str">
        <f>IFERROR(__xludf.DUMMYFUNCTION("""COMPUTED_VALUE"""),"tiền Thái Lan")</f>
        <v>tiền Thái Lan</v>
      </c>
      <c r="BB46" s="34" t="str">
        <f>IFERROR(__xludf.DUMMYFUNCTION("""COMPUTED_VALUE"""),"https://techcombank.com/thong-tin/blog/mobile-banking-la-gi")</f>
        <v>https://techcombank.com/thong-tin/blog/mobile-banking-la-gi</v>
      </c>
      <c r="BC46" s="30" t="str">
        <f>IFERROR(__xludf.DUMMYFUNCTION("""COMPUTED_VALUE"""),"tiền Baht Thái")</f>
        <v>tiền Baht Thái</v>
      </c>
      <c r="BD46" s="34" t="str">
        <f>IFERROR(__xludf.DUMMYFUNCTION("""COMPUTED_VALUE"""),"https://techcombank.com/thong-tin/blog/chuyen-tien-di-uc")</f>
        <v>https://techcombank.com/thong-tin/blog/chuyen-tien-di-uc</v>
      </c>
      <c r="BE46" s="30" t="str">
        <f>IFERROR(__xludf.DUMMYFUNCTION("""COMPUTED_VALUE"""),"tiền Baht Thái")</f>
        <v>tiền Baht Thái</v>
      </c>
      <c r="BF46" s="34" t="str">
        <f>IFERROR(__xludf.DUMMYFUNCTION("""COMPUTED_VALUE"""),"https://techcombank.com/thong-tin/blog/techcombank-va-cong-cuoc-chuyen-doi-so-nganh-ngan-hang")</f>
        <v>https://techcombank.com/thong-tin/blog/techcombank-va-cong-cuoc-chuyen-doi-so-nganh-ngan-hang</v>
      </c>
      <c r="BG46" s="30" t="str">
        <f>IFERROR(__xludf.DUMMYFUNCTION("""COMPUTED_VALUE"""),"tiền Thái Lan")</f>
        <v>tiền Thái Lan</v>
      </c>
      <c r="BH46" s="34" t="str">
        <f>IFERROR(__xludf.DUMMYFUNCTION("""COMPUTED_VALUE"""),"https://techcombank.com/thong-tin/blog/nhan-tien-western-union")</f>
        <v>https://techcombank.com/thong-tin/blog/nhan-tien-western-union</v>
      </c>
      <c r="BI46" s="30" t="str">
        <f>IFERROR(__xludf.DUMMYFUNCTION("""COMPUTED_VALUE"""),"tiền Baht Thái")</f>
        <v>tiền Baht Thái</v>
      </c>
      <c r="BJ46" s="34" t="str">
        <f>IFERROR(__xludf.DUMMYFUNCTION("""COMPUTED_VALUE"""),"https://techcombank.com/thong-tin/blog/gui-tien-du-hoc")</f>
        <v>https://techcombank.com/thong-tin/blog/gui-tien-du-hoc</v>
      </c>
      <c r="BK46" s="30" t="str">
        <f>IFERROR(__xludf.DUMMYFUNCTION("""COMPUTED_VALUE"""),"tiền Thái Lan")</f>
        <v>tiền Thái Lan</v>
      </c>
      <c r="BL46" s="34" t="str">
        <f>IFERROR(__xludf.DUMMYFUNCTION("""COMPUTED_VALUE"""),"https://techcombank.com/thong-tin/blog/chuyen-khoan-lien-ngan-hang")</f>
        <v>https://techcombank.com/thong-tin/blog/chuyen-khoan-lien-ngan-hang</v>
      </c>
      <c r="BM46" s="30" t="str">
        <f>IFERROR(__xludf.DUMMYFUNCTION("""COMPUTED_VALUE"""),"tiền Baht Thái")</f>
        <v>tiền Baht Thái</v>
      </c>
      <c r="BN46" s="34" t="str">
        <f>IFERROR(__xludf.DUMMYFUNCTION("""COMPUTED_VALUE"""),"https://techcombank.com/thong-tin/blog/gui-tien-sang-nuoc-ngoai")</f>
        <v>https://techcombank.com/thong-tin/blog/gui-tien-sang-nuoc-ngoai</v>
      </c>
      <c r="BO46" s="30" t="str">
        <f>IFERROR(__xludf.DUMMYFUNCTION("""COMPUTED_VALUE"""),"tiền Thái Lan")</f>
        <v>tiền Thái Lan</v>
      </c>
      <c r="BP46" s="34" t="str">
        <f>IFERROR(__xludf.DUMMYFUNCTION("""COMPUTED_VALUE"""),"https://techcombank.com/thong-tin/blog/the-debit")</f>
        <v>https://techcombank.com/thong-tin/blog/the-debit</v>
      </c>
      <c r="BQ46" s="30" t="str">
        <f>IFERROR(__xludf.DUMMYFUNCTION("""COMPUTED_VALUE"""),"tiền Baht Thái")</f>
        <v>tiền Baht Thái</v>
      </c>
      <c r="BR46" s="34" t="str">
        <f>IFERROR(__xludf.DUMMYFUNCTION("""COMPUTED_VALUE"""),"https://techcombank.com/thong-tin/blog/vay-sieu-toc")</f>
        <v>https://techcombank.com/thong-tin/blog/vay-sieu-toc</v>
      </c>
      <c r="BS46" s="30" t="str">
        <f>IFERROR(__xludf.DUMMYFUNCTION("""COMPUTED_VALUE"""),"tiền Thái Lan")</f>
        <v>tiền Thái Lan</v>
      </c>
      <c r="BT46" s="34" t="str">
        <f>IFERROR(__xludf.DUMMYFUNCTION("""COMPUTED_VALUE"""),"https://techcombank.com/thong-tin/blog/li-xi-tet")</f>
        <v>https://techcombank.com/thong-tin/blog/li-xi-tet</v>
      </c>
      <c r="BU46" s="30"/>
      <c r="BV46" s="30"/>
      <c r="BW46" s="30"/>
      <c r="BX46" s="30"/>
      <c r="BY46" s="30"/>
      <c r="BZ46" s="30"/>
      <c r="CA46" s="30"/>
      <c r="CB46" s="30"/>
      <c r="CC46" s="30"/>
      <c r="CD46" s="30"/>
      <c r="CE46" s="30"/>
      <c r="CF46" s="30"/>
      <c r="CG46" s="30"/>
      <c r="CH46" s="30"/>
      <c r="CI46" s="30"/>
      <c r="CJ46" s="30"/>
      <c r="CK46" s="30"/>
      <c r="CL46" s="30"/>
      <c r="CM46" s="30"/>
      <c r="CN46" s="30"/>
      <c r="CO46" s="30"/>
      <c r="CP46" s="30"/>
      <c r="CQ46" s="30"/>
      <c r="CR46" s="30"/>
      <c r="CS46" s="30"/>
      <c r="CT46" s="30"/>
      <c r="CU46" s="30"/>
      <c r="CV46" s="30"/>
      <c r="CW46" s="30"/>
      <c r="CX46" s="30"/>
      <c r="CY46" s="30"/>
      <c r="CZ46" s="30"/>
      <c r="DA46" s="30"/>
      <c r="DB46" s="30"/>
      <c r="DC46" s="30"/>
      <c r="DD46" s="30"/>
      <c r="DE46" s="30"/>
      <c r="DF46" s="30"/>
      <c r="DG46" s="30"/>
      <c r="DH46" s="30"/>
      <c r="DI46" s="30"/>
      <c r="DJ46" s="30"/>
      <c r="DK46" s="30"/>
      <c r="DL46" s="30"/>
      <c r="DM46" s="30"/>
      <c r="DN46" s="30"/>
      <c r="DO46" s="30"/>
      <c r="DP46" s="30"/>
      <c r="DQ46" s="30"/>
      <c r="DR46" s="30"/>
      <c r="DS46" s="30"/>
      <c r="DT46" s="30"/>
      <c r="DU46" s="30"/>
      <c r="DV46" s="30"/>
      <c r="DW46" s="30"/>
      <c r="DX46" s="30"/>
      <c r="DY46" s="30"/>
      <c r="DZ46" s="30"/>
      <c r="EA46" s="30"/>
      <c r="EB46" s="30"/>
      <c r="EC46" s="30"/>
      <c r="ED46" s="30"/>
      <c r="EE46" s="30"/>
      <c r="EF46" s="30"/>
      <c r="EG46" s="30"/>
      <c r="EH46" s="30"/>
      <c r="EI46" s="30"/>
      <c r="EJ46" s="30"/>
      <c r="EK46" s="30"/>
      <c r="EL46" s="30"/>
      <c r="EM46" s="30"/>
      <c r="EN46" s="30"/>
      <c r="EO46" s="30"/>
      <c r="EP46" s="30"/>
      <c r="EQ46" s="30"/>
      <c r="ER46" s="30"/>
      <c r="ES46" s="30"/>
      <c r="ET46" s="30"/>
      <c r="EU46" s="30"/>
      <c r="EV46" s="30"/>
      <c r="EW46" s="30"/>
      <c r="EX46" s="30"/>
      <c r="EY46" s="30"/>
      <c r="EZ46" s="30"/>
      <c r="FA46" s="30"/>
      <c r="FB46" s="30"/>
      <c r="FC46" s="30"/>
      <c r="FD46" s="30"/>
      <c r="FE46" s="30"/>
      <c r="FF46" s="30"/>
      <c r="FG46" s="30"/>
      <c r="FH46" s="30"/>
      <c r="FI46" s="30"/>
      <c r="FJ46" s="30"/>
      <c r="FK46" s="30"/>
      <c r="FL46" s="30"/>
      <c r="FM46" s="30"/>
      <c r="FN46" s="30"/>
      <c r="FO46" s="30"/>
      <c r="FP46" s="30"/>
      <c r="FQ46" s="30"/>
      <c r="FR46" s="30"/>
      <c r="FS46" s="30"/>
      <c r="FT46" s="30"/>
      <c r="FU46" s="30"/>
      <c r="FV46" s="30"/>
      <c r="FW46" s="30"/>
      <c r="FX46" s="30"/>
      <c r="FY46" s="30"/>
      <c r="FZ46" s="30"/>
      <c r="GA46" s="30"/>
      <c r="GB46" s="30"/>
      <c r="GC46" s="30"/>
      <c r="GD46" s="30"/>
      <c r="GE46" s="30"/>
      <c r="GF46" s="30"/>
      <c r="GG46" s="30"/>
      <c r="GH46" s="30"/>
      <c r="GI46" s="30"/>
      <c r="GJ46" s="30"/>
      <c r="GK46" s="30"/>
      <c r="GL46" s="30"/>
      <c r="GM46" s="30"/>
      <c r="GN46" s="30"/>
      <c r="GO46" s="30"/>
      <c r="GP46" s="30"/>
      <c r="GQ46" s="30"/>
      <c r="GR46" s="30"/>
      <c r="GS46" s="30"/>
      <c r="GT46" s="30"/>
      <c r="GU46" s="30"/>
      <c r="GV46" s="30"/>
      <c r="GW46" s="30"/>
      <c r="GX46" s="30"/>
      <c r="GY46" s="30"/>
      <c r="GZ46" s="30"/>
      <c r="HA46" s="30"/>
      <c r="HB46" s="30"/>
      <c r="HC46" s="30"/>
      <c r="HD46" s="30"/>
      <c r="HE46" s="30"/>
      <c r="HF46" s="30"/>
      <c r="HG46" s="30"/>
      <c r="HH46" s="30"/>
      <c r="HI46" s="30"/>
      <c r="HJ46" s="30"/>
      <c r="HK46" s="30"/>
      <c r="HL46" s="30"/>
      <c r="HM46" s="30"/>
      <c r="HN46" s="30"/>
      <c r="HO46" s="30"/>
      <c r="HP46" s="30"/>
      <c r="HQ46" s="30"/>
      <c r="HR46" s="30"/>
      <c r="HS46" s="30"/>
      <c r="HT46" s="30"/>
      <c r="HU46" s="30"/>
      <c r="HV46" s="30"/>
      <c r="HW46" s="30"/>
      <c r="HX46" s="30"/>
      <c r="HY46" s="30"/>
      <c r="HZ46" s="30"/>
      <c r="IA46" s="30"/>
      <c r="IB46" s="30"/>
      <c r="IC46" s="30"/>
      <c r="ID46" s="30"/>
      <c r="IE46" s="30"/>
      <c r="IF46" s="30"/>
      <c r="IG46" s="30"/>
      <c r="IH46" s="30"/>
      <c r="II46" s="30"/>
      <c r="IJ46" s="30"/>
      <c r="IK46" s="30"/>
      <c r="IL46" s="30"/>
      <c r="IM46" s="30"/>
      <c r="IN46" s="30"/>
      <c r="IO46" s="30"/>
      <c r="IP46" s="30"/>
      <c r="IQ46" s="30"/>
      <c r="IR46" s="30"/>
      <c r="IS46" s="30"/>
      <c r="IT46" s="30"/>
      <c r="IU46" s="30"/>
      <c r="IV46" s="30"/>
      <c r="IW46" s="30"/>
      <c r="IX46" s="30"/>
      <c r="IY46" s="30"/>
      <c r="IZ46" s="30"/>
      <c r="JA46" s="30"/>
      <c r="JB46" s="30"/>
      <c r="JC46" s="30"/>
      <c r="JD46" s="30"/>
      <c r="JE46" s="30"/>
      <c r="JF46" s="30"/>
      <c r="JG46" s="30"/>
      <c r="JH46" s="30"/>
      <c r="JI46" s="30"/>
      <c r="JJ46" s="30"/>
      <c r="JK46" s="30"/>
      <c r="JL46" s="30"/>
      <c r="JM46" s="30"/>
      <c r="JN46" s="30"/>
      <c r="JO46" s="30"/>
      <c r="JP46" s="30"/>
      <c r="JQ46" s="30"/>
      <c r="JR46" s="30"/>
      <c r="JS46" s="30"/>
      <c r="JT46" s="30"/>
      <c r="JU46" s="30"/>
      <c r="JV46" s="30"/>
      <c r="JW46" s="30"/>
      <c r="JX46" s="30"/>
      <c r="JY46" s="30"/>
      <c r="JZ46" s="30"/>
      <c r="KA46" s="30"/>
      <c r="KB46" s="30"/>
      <c r="KC46" s="30"/>
      <c r="KD46" s="30"/>
      <c r="KE46" s="30"/>
      <c r="KF46" s="30"/>
      <c r="KG46" s="30"/>
      <c r="KH46" s="30"/>
      <c r="KI46" s="30"/>
      <c r="KJ46" s="30"/>
      <c r="KK46" s="30"/>
      <c r="KL46" s="30"/>
      <c r="KM46" s="30"/>
      <c r="KN46" s="30"/>
      <c r="KO46" s="30"/>
      <c r="KP46" s="30"/>
      <c r="KQ46" s="30"/>
      <c r="KR46" s="30"/>
      <c r="KS46" s="30"/>
      <c r="KT46" s="30"/>
      <c r="KU46" s="30"/>
      <c r="KV46" s="30"/>
      <c r="KW46" s="30"/>
      <c r="KX46" s="30"/>
      <c r="KY46" s="30"/>
      <c r="KZ46" s="30"/>
      <c r="LA46" s="30"/>
      <c r="LB46" s="30"/>
      <c r="LC46" s="30"/>
      <c r="LD46" s="30"/>
      <c r="LE46" s="30"/>
      <c r="LF46" s="30"/>
      <c r="LG46" s="30"/>
      <c r="LH46" s="30"/>
      <c r="LI46" s="30"/>
      <c r="LJ46" s="30"/>
      <c r="LK46" s="30"/>
      <c r="LL46" s="30"/>
      <c r="LM46" s="30"/>
      <c r="LN46" s="30"/>
      <c r="LO46" s="30"/>
      <c r="LP46" s="30"/>
      <c r="LQ46" s="30"/>
      <c r="LR46" s="30"/>
      <c r="LS46" s="30"/>
      <c r="LT46" s="30"/>
      <c r="LU46" s="30"/>
      <c r="LV46" s="30"/>
      <c r="LW46" s="30"/>
      <c r="LX46" s="30"/>
      <c r="LY46" s="30"/>
      <c r="LZ46" s="30"/>
      <c r="MA46" s="30"/>
      <c r="MB46" s="30"/>
      <c r="MC46" s="30"/>
      <c r="MD46" s="30"/>
      <c r="ME46" s="30"/>
      <c r="MF46" s="30"/>
      <c r="MG46" s="30"/>
      <c r="MH46" s="30"/>
      <c r="MI46" s="30"/>
      <c r="MJ46" s="30"/>
      <c r="MK46" s="30"/>
      <c r="ML46" s="30"/>
      <c r="MM46" s="30"/>
      <c r="MN46" s="30"/>
      <c r="MO46" s="30"/>
      <c r="MP46" s="30"/>
      <c r="MQ46" s="30"/>
      <c r="MR46" s="30"/>
      <c r="MS46" s="30"/>
      <c r="MT46" s="30"/>
      <c r="MU46" s="30"/>
      <c r="MV46" s="30"/>
      <c r="MW46" s="30"/>
      <c r="MX46" s="30"/>
      <c r="MY46" s="30"/>
      <c r="MZ46" s="30"/>
      <c r="NA46" s="30"/>
      <c r="NB46" s="30"/>
      <c r="NC46" s="30"/>
      <c r="ND46" s="30"/>
      <c r="NE46" s="30"/>
      <c r="NF46" s="30"/>
      <c r="NG46" s="30"/>
      <c r="NH46" s="30"/>
      <c r="NI46" s="30"/>
      <c r="NJ46" s="30"/>
      <c r="NK46" s="30"/>
      <c r="NL46" s="30"/>
      <c r="NM46" s="30"/>
      <c r="NN46" s="30"/>
      <c r="NO46" s="30"/>
      <c r="NP46" s="30"/>
      <c r="NQ46" s="30"/>
      <c r="NR46" s="30"/>
      <c r="NS46" s="30"/>
      <c r="NT46" s="30"/>
      <c r="NU46" s="30"/>
      <c r="NV46" s="30"/>
      <c r="NW46" s="30"/>
      <c r="NX46" s="30"/>
      <c r="NY46" s="30"/>
      <c r="NZ46" s="30"/>
      <c r="OA46" s="30"/>
      <c r="OB46" s="30"/>
      <c r="OC46" s="30"/>
      <c r="OD46" s="30"/>
      <c r="OE46" s="30"/>
      <c r="OF46" s="30"/>
      <c r="OG46" s="30"/>
      <c r="OH46" s="30"/>
      <c r="OI46" s="30"/>
      <c r="OJ46" s="30"/>
      <c r="OK46" s="30"/>
      <c r="OL46" s="30"/>
      <c r="OM46" s="30"/>
      <c r="ON46" s="30"/>
      <c r="OO46" s="30"/>
      <c r="OP46" s="30"/>
      <c r="OQ46" s="30"/>
      <c r="OR46" s="30"/>
      <c r="OS46" s="30"/>
      <c r="OT46" s="30"/>
      <c r="OU46" s="30"/>
      <c r="OV46" s="30"/>
    </row>
    <row r="47" ht="18.0" customHeight="1">
      <c r="A47" s="29">
        <v>46.0</v>
      </c>
      <c r="B47" s="30" t="s">
        <v>3920</v>
      </c>
      <c r="C47" s="31" t="s">
        <v>3901</v>
      </c>
      <c r="D47" s="30" t="s">
        <v>3646</v>
      </c>
      <c r="E47" s="29">
        <v>30.0</v>
      </c>
      <c r="F47" s="29">
        <f>COUNTIF('Tổng hợp 75 trang đích'!$B$2:$B$3400,$D47)</f>
        <v>30</v>
      </c>
      <c r="G47" s="29">
        <f>COUNTIFS('Tổng hợp 75 trang đích'!$B$2:$B$3400,$D47,'Tổng hợp 75 trang đích'!$K$2:$K$3400,"PHÙ HỢP CAO")</f>
        <v>1</v>
      </c>
      <c r="H47" s="29">
        <f>COUNTIFS('Tổng hợp 75 trang đích'!$B$2:$B$3400,$D47,'Tổng hợp 75 trang đích'!$K$2:$K$3400,"CÓ THỂ ĐI")</f>
        <v>0</v>
      </c>
      <c r="I47" s="29">
        <f>COUNTIFS('Tổng hợp 75 trang đích'!$B$2:$B$3400,$D47,'Tổng hợp 75 trang đích'!$K$2:$K$3400,"CẦN SOÁT")</f>
        <v>17</v>
      </c>
      <c r="J47" s="32" t="s">
        <v>714</v>
      </c>
      <c r="K47" s="32" t="b">
        <v>0</v>
      </c>
      <c r="L47" s="33" t="s">
        <v>52</v>
      </c>
      <c r="M47" s="30" t="str">
        <f>IFERROR(__xludf.DUMMYFUNCTION("IFERROR(TOROW(CHOOSECOLS(SORT(FILTER({'Tổng hợp 75 trang đích'!$J$2:$J$3400,'Tổng hợp 75 trang đích'!$I$2:$I$3400,MATCH('Tổng hợp 75 trang đích'!$K$2:$K$3400,{""PHÙ HỢP CAO"",""CÓ THỂ ĐI"",""CẦN SOÁT""},0)},'Tổng hợp 75 trang đích'!$B$2:$B$3400=$D47),3,TR"&amp;"UE),1,2)),"""")"),"1 triệu đô bằng bao nhiêu tiền Việt")</f>
        <v>1 triệu đô bằng bao nhiêu tiền Việt</v>
      </c>
      <c r="N47" s="34" t="str">
        <f>IFERROR(__xludf.DUMMYFUNCTION("""COMPUTED_VALUE"""),"https://techcombank.com/thong-tin/blog/1-dong-do-la-my-bang-bao-nhieu-tien-viet-nam")</f>
        <v>https://techcombank.com/thong-tin/blog/1-dong-do-la-my-bang-bao-nhieu-tien-viet-nam</v>
      </c>
      <c r="O47" s="30" t="str">
        <f>IFERROR(__xludf.DUMMYFUNCTION("""COMPUTED_VALUE"""),"1 triệu đô bằng bao nhiêu tiền Việt")</f>
        <v>1 triệu đô bằng bao nhiêu tiền Việt</v>
      </c>
      <c r="P47" s="34" t="str">
        <f>IFERROR(__xludf.DUMMYFUNCTION("""COMPUTED_VALUE"""),"https://techcombank.com/thong-tin/blog/tien-lao")</f>
        <v>https://techcombank.com/thong-tin/blog/tien-lao</v>
      </c>
      <c r="Q47" s="30" t="str">
        <f>IFERROR(__xludf.DUMMYFUNCTION("""COMPUTED_VALUE"""),"1 triệu đô bằng bao nhiêu tiền Việt")</f>
        <v>1 triệu đô bằng bao nhiêu tiền Việt</v>
      </c>
      <c r="R47" s="34" t="str">
        <f>IFERROR(__xludf.DUMMYFUNCTION("""COMPUTED_VALUE"""),"https://techcombank.com/thong-tin/blog/1-trieu-won-bang-bao-nhieu-tien-viet")</f>
        <v>https://techcombank.com/thong-tin/blog/1-trieu-won-bang-bao-nhieu-tien-viet</v>
      </c>
      <c r="S47" s="30" t="str">
        <f>IFERROR(__xludf.DUMMYFUNCTION("""COMPUTED_VALUE"""),"1 triệu đô bằng bao nhiêu tiền Việt")</f>
        <v>1 triệu đô bằng bao nhiêu tiền Việt</v>
      </c>
      <c r="T47" s="34" t="str">
        <f>IFERROR(__xludf.DUMMYFUNCTION("""COMPUTED_VALUE"""),"https://techcombank.com/thong-tin/blog/1-man-bang-bao-nhieu-tien-viet")</f>
        <v>https://techcombank.com/thong-tin/blog/1-man-bang-bao-nhieu-tien-viet</v>
      </c>
      <c r="U47" s="30" t="str">
        <f>IFERROR(__xludf.DUMMYFUNCTION("""COMPUTED_VALUE"""),"1 triệu đô bằng bao nhiêu tiền Việt")</f>
        <v>1 triệu đô bằng bao nhiêu tiền Việt</v>
      </c>
      <c r="V47" s="34" t="str">
        <f>IFERROR(__xludf.DUMMYFUNCTION("""COMPUTED_VALUE"""),"https://techcombank.com/thong-tin/blog/cach-rut-tien-atm")</f>
        <v>https://techcombank.com/thong-tin/blog/cach-rut-tien-atm</v>
      </c>
      <c r="W47" s="30" t="str">
        <f>IFERROR(__xludf.DUMMYFUNCTION("""COMPUTED_VALUE"""),"1 triệu đô bằng bao nhiêu tiền Việt")</f>
        <v>1 triệu đô bằng bao nhiêu tiền Việt</v>
      </c>
      <c r="X47" s="34" t="str">
        <f>IFERROR(__xludf.DUMMYFUNCTION("""COMPUTED_VALUE"""),"https://techcombank.com/thong-tin/blog/1-yen-bang-bao-nhieu-tien-viet-nam")</f>
        <v>https://techcombank.com/thong-tin/blog/1-yen-bang-bao-nhieu-tien-viet-nam</v>
      </c>
      <c r="Y47" s="30" t="str">
        <f>IFERROR(__xludf.DUMMYFUNCTION("""COMPUTED_VALUE"""),"1 triệu đô bằng bao nhiêu tiền Việt")</f>
        <v>1 triệu đô bằng bao nhiêu tiền Việt</v>
      </c>
      <c r="Z47" s="34" t="str">
        <f>IFERROR(__xludf.DUMMYFUNCTION("""COMPUTED_VALUE"""),"https://techcombank.com/thong-tin/blog/1-van-tien-dai-loan-bang-bao-nhieu-tien-viet")</f>
        <v>https://techcombank.com/thong-tin/blog/1-van-tien-dai-loan-bang-bao-nhieu-tien-viet</v>
      </c>
      <c r="AA47" s="30" t="str">
        <f>IFERROR(__xludf.DUMMYFUNCTION("""COMPUTED_VALUE"""),"1 triệu đô bằng bao nhiêu tiền Việt")</f>
        <v>1 triệu đô bằng bao nhiêu tiền Việt</v>
      </c>
      <c r="AB47" s="34" t="str">
        <f>IFERROR(__xludf.DUMMYFUNCTION("""COMPUTED_VALUE"""),"https://techcombank.com/thong-tin/blog/ma-pin-the-atm")</f>
        <v>https://techcombank.com/thong-tin/blog/ma-pin-the-atm</v>
      </c>
      <c r="AC47" s="30" t="str">
        <f>IFERROR(__xludf.DUMMYFUNCTION("""COMPUTED_VALUE"""),"1 triệu đô bằng bao nhiêu tiền Việt")</f>
        <v>1 triệu đô bằng bao nhiêu tiền Việt</v>
      </c>
      <c r="AD47" s="34" t="str">
        <f>IFERROR(__xludf.DUMMYFUNCTION("""COMPUTED_VALUE"""),"https://techcombank.com/thong-tin/blog/vi-dien-tu-la-gi")</f>
        <v>https://techcombank.com/thong-tin/blog/vi-dien-tu-la-gi</v>
      </c>
      <c r="AE47" s="30" t="str">
        <f>IFERROR(__xludf.DUMMYFUNCTION("""COMPUTED_VALUE"""),"1 triệu đô bằng bao nhiêu tiền Việt")</f>
        <v>1 triệu đô bằng bao nhiêu tiền Việt</v>
      </c>
      <c r="AF47" s="34" t="str">
        <f>IFERROR(__xludf.DUMMYFUNCTION("""COMPUTED_VALUE"""),"https://techcombank.com/thong-tin/blog/shopeepay-la-gi")</f>
        <v>https://techcombank.com/thong-tin/blog/shopeepay-la-gi</v>
      </c>
      <c r="AG47" s="30" t="str">
        <f>IFERROR(__xludf.DUMMYFUNCTION("""COMPUTED_VALUE"""),"1 triệu đô bằng bao nhiêu tiền Việt")</f>
        <v>1 triệu đô bằng bao nhiêu tiền Việt</v>
      </c>
      <c r="AH47" s="34" t="str">
        <f>IFERROR(__xludf.DUMMYFUNCTION("""COMPUTED_VALUE"""),"https://techcombank.com/thong-tin/blog/1-euro-bang-bao-nhieu-tien-viet")</f>
        <v>https://techcombank.com/thong-tin/blog/1-euro-bang-bao-nhieu-tien-viet</v>
      </c>
      <c r="AI47" s="30" t="str">
        <f>IFERROR(__xludf.DUMMYFUNCTION("""COMPUTED_VALUE"""),"1 triệu đô bằng bao nhiêu tiền Việt")</f>
        <v>1 triệu đô bằng bao nhiêu tiền Việt</v>
      </c>
      <c r="AJ47" s="34" t="str">
        <f>IFERROR(__xludf.DUMMYFUNCTION("""COMPUTED_VALUE"""),"https://techcombank.com/thong-tin/blog/1-cent-bang-bao-nhieu-tien-viet")</f>
        <v>https://techcombank.com/thong-tin/blog/1-cent-bang-bao-nhieu-tien-viet</v>
      </c>
      <c r="AK47" s="30" t="str">
        <f>IFERROR(__xludf.DUMMYFUNCTION("""COMPUTED_VALUE"""),"1 triệu đô bằng bao nhiêu tiền Việt")</f>
        <v>1 triệu đô bằng bao nhiêu tiền Việt</v>
      </c>
      <c r="AL47" s="34" t="str">
        <f>IFERROR(__xludf.DUMMYFUNCTION("""COMPUTED_VALUE"""),"https://techcombank.com/thong-tin/blog/1-do-uc-bang-bao-nhieu-tien-viet")</f>
        <v>https://techcombank.com/thong-tin/blog/1-do-uc-bang-bao-nhieu-tien-viet</v>
      </c>
      <c r="AM47" s="30" t="str">
        <f>IFERROR(__xludf.DUMMYFUNCTION("""COMPUTED_VALUE"""),"1 triệu đô bằng bao nhiêu tiền Việt")</f>
        <v>1 triệu đô bằng bao nhiêu tiền Việt</v>
      </c>
      <c r="AN47" s="34" t="str">
        <f>IFERROR(__xludf.DUMMYFUNCTION("""COMPUTED_VALUE"""),"https://techcombank.com/thong-tin/blog/1-te-bang-bao-nhieu-tien-viet-nam")</f>
        <v>https://techcombank.com/thong-tin/blog/1-te-bang-bao-nhieu-tien-viet-nam</v>
      </c>
      <c r="AO47" s="30" t="str">
        <f>IFERROR(__xludf.DUMMYFUNCTION("""COMPUTED_VALUE"""),"1 triệu đô bằng bao nhiêu tiền Việt")</f>
        <v>1 triệu đô bằng bao nhiêu tiền Việt</v>
      </c>
      <c r="AP47" s="34" t="str">
        <f>IFERROR(__xludf.DUMMYFUNCTION("""COMPUTED_VALUE"""),"https://techcombank.com/thong-tin/blog/tien-trung-quoc")</f>
        <v>https://techcombank.com/thong-tin/blog/tien-trung-quoc</v>
      </c>
      <c r="AQ47" s="30" t="str">
        <f>IFERROR(__xludf.DUMMYFUNCTION("""COMPUTED_VALUE"""),"1 triệu đô bằng bao nhiêu tiền Việt")</f>
        <v>1 triệu đô bằng bao nhiêu tiền Việt</v>
      </c>
      <c r="AR47" s="34" t="str">
        <f>IFERROR(__xludf.DUMMYFUNCTION("""COMPUTED_VALUE"""),"https://techcombank.com/thong-tin/blog/tien-dai-loan")</f>
        <v>https://techcombank.com/thong-tin/blog/tien-dai-loan</v>
      </c>
      <c r="AS47" s="30" t="str">
        <f>IFERROR(__xludf.DUMMYFUNCTION("""COMPUTED_VALUE"""),"1 triệu đô bằng bao nhiêu tiền Việt")</f>
        <v>1 triệu đô bằng bao nhiêu tiền Việt</v>
      </c>
      <c r="AT47" s="34" t="str">
        <f>IFERROR(__xludf.DUMMYFUNCTION("""COMPUTED_VALUE"""),"https://techcombank.com/thong-tin/blog/1-van-te-bang-bao-nhieu-tien-viet")</f>
        <v>https://techcombank.com/thong-tin/blog/1-van-te-bang-bao-nhieu-tien-viet</v>
      </c>
      <c r="AU47" s="30" t="str">
        <f>IFERROR(__xludf.DUMMYFUNCTION("""COMPUTED_VALUE"""),"1 triệu đô bằng bao nhiêu tiền Việt")</f>
        <v>1 triệu đô bằng bao nhiêu tiền Việt</v>
      </c>
      <c r="AV47" s="34" t="str">
        <f>IFERROR(__xludf.DUMMYFUNCTION("""COMPUTED_VALUE"""),"https://techcombank.com/thong-tin/blog/1-won-bang-bao-nhieu-tien-viet")</f>
        <v>https://techcombank.com/thong-tin/blog/1-won-bang-bao-nhieu-tien-viet</v>
      </c>
      <c r="AW47" s="30" t="str">
        <f>IFERROR(__xludf.DUMMYFUNCTION("""COMPUTED_VALUE"""),"1 triệu đô bằng bao nhiêu tiền Việt")</f>
        <v>1 triệu đô bằng bao nhiêu tiền Việt</v>
      </c>
      <c r="AX47" s="34" t="str">
        <f>IFERROR(__xludf.DUMMYFUNCTION("""COMPUTED_VALUE"""),"https://techcombank.com/thong-tin/blog/1000-yen-bang-bao-nhieu-tien-viet")</f>
        <v>https://techcombank.com/thong-tin/blog/1000-yen-bang-bao-nhieu-tien-viet</v>
      </c>
      <c r="AY47" s="30" t="str">
        <f>IFERROR(__xludf.DUMMYFUNCTION("""COMPUTED_VALUE"""),"1 triệu đô bằng bao nhiêu tiền Việt")</f>
        <v>1 triệu đô bằng bao nhiêu tiền Việt</v>
      </c>
      <c r="AZ47" s="34" t="str">
        <f>IFERROR(__xludf.DUMMYFUNCTION("""COMPUTED_VALUE"""),"https://techcombank.com/thong-tin/blog/chuyen-tien-tu-nhat-ve-viet-nam")</f>
        <v>https://techcombank.com/thong-tin/blog/chuyen-tien-tu-nhat-ve-viet-nam</v>
      </c>
      <c r="BA47" s="30" t="str">
        <f>IFERROR(__xludf.DUMMYFUNCTION("""COMPUTED_VALUE"""),"1 triệu đô bằng bao nhiêu tiền Việt")</f>
        <v>1 triệu đô bằng bao nhiêu tiền Việt</v>
      </c>
      <c r="BB47" s="34" t="str">
        <f>IFERROR(__xludf.DUMMYFUNCTION("""COMPUTED_VALUE"""),"https://techcombank.com/thong-tin/blog/1000-won-bang-bao-nhieu-tien-viet")</f>
        <v>https://techcombank.com/thong-tin/blog/1000-won-bang-bao-nhieu-tien-viet</v>
      </c>
      <c r="BC47" s="30" t="str">
        <f>IFERROR(__xludf.DUMMYFUNCTION("""COMPUTED_VALUE"""),"1 triệu đô bằng bao nhiêu tiền Việt")</f>
        <v>1 triệu đô bằng bao nhiêu tiền Việt</v>
      </c>
      <c r="BD47" s="34" t="str">
        <f>IFERROR(__xludf.DUMMYFUNCTION("""COMPUTED_VALUE"""),"https://techcombank.com/thong-tin/blog/di-du-lich-nuoc-ngoai-can-chuan-bi-gi")</f>
        <v>https://techcombank.com/thong-tin/blog/di-du-lich-nuoc-ngoai-can-chuan-bi-gi</v>
      </c>
      <c r="BE47" s="30" t="str">
        <f>IFERROR(__xludf.DUMMYFUNCTION("""COMPUTED_VALUE"""),"1 triệu đô bằng bao nhiêu tiền Việt")</f>
        <v>1 triệu đô bằng bao nhiêu tiền Việt</v>
      </c>
      <c r="BF47" s="34" t="str">
        <f>IFERROR(__xludf.DUMMYFUNCTION("""COMPUTED_VALUE"""),"https://techcombank.com/thong-tin/blog/tien-nhat")</f>
        <v>https://techcombank.com/thong-tin/blog/tien-nhat</v>
      </c>
      <c r="BG47" s="30" t="str">
        <f>IFERROR(__xludf.DUMMYFUNCTION("""COMPUTED_VALUE"""),"1 triệu đô bằng bao nhiêu tiền Việt")</f>
        <v>1 triệu đô bằng bao nhiêu tiền Việt</v>
      </c>
      <c r="BH47" s="34" t="str">
        <f>IFERROR(__xludf.DUMMYFUNCTION("""COMPUTED_VALUE"""),"https://techcombank.com/thong-tin/blog/1000-te-bang-bao-nhieu-tien-viet")</f>
        <v>https://techcombank.com/thong-tin/blog/1000-te-bang-bao-nhieu-tien-viet</v>
      </c>
      <c r="BI47" s="30" t="str">
        <f>IFERROR(__xludf.DUMMYFUNCTION("""COMPUTED_VALUE"""),"1 triệu đô bằng bao nhiêu tiền Việt")</f>
        <v>1 triệu đô bằng bao nhiêu tiền Việt</v>
      </c>
      <c r="BJ47" s="34" t="str">
        <f>IFERROR(__xludf.DUMMYFUNCTION("""COMPUTED_VALUE"""),"https://techcombank.com/thong-tin/blog/100-riel-bang-bao-nhieu-tien-viet-nam")</f>
        <v>https://techcombank.com/thong-tin/blog/100-riel-bang-bao-nhieu-tien-viet-nam</v>
      </c>
      <c r="BK47" s="30" t="str">
        <f>IFERROR(__xludf.DUMMYFUNCTION("""COMPUTED_VALUE"""),"1 triệu đô bằng bao nhiêu tiền Việt")</f>
        <v>1 triệu đô bằng bao nhiêu tiền Việt</v>
      </c>
      <c r="BL47" s="34" t="str">
        <f>IFERROR(__xludf.DUMMYFUNCTION("""COMPUTED_VALUE"""),"https://techcombank.com/thong-tin/blog/tien-indonesia")</f>
        <v>https://techcombank.com/thong-tin/blog/tien-indonesia</v>
      </c>
      <c r="BM47" s="30" t="str">
        <f>IFERROR(__xludf.DUMMYFUNCTION("""COMPUTED_VALUE"""),"1 triệu đô bằng bao nhiêu tiền Việt")</f>
        <v>1 triệu đô bằng bao nhiêu tiền Việt</v>
      </c>
      <c r="BN47" s="34" t="str">
        <f>IFERROR(__xludf.DUMMYFUNCTION("""COMPUTED_VALUE"""),"https://techcombank.com/thong-tin/blog/han-muc-mua-ngoai-te-khi-di-du-lich")</f>
        <v>https://techcombank.com/thong-tin/blog/han-muc-mua-ngoai-te-khi-di-du-lich</v>
      </c>
      <c r="BO47" s="30" t="str">
        <f>IFERROR(__xludf.DUMMYFUNCTION("""COMPUTED_VALUE"""),"1 triệu đô bằng bao nhiêu tiền Việt")</f>
        <v>1 triệu đô bằng bao nhiêu tiền Việt</v>
      </c>
      <c r="BP47" s="34" t="str">
        <f>IFERROR(__xludf.DUMMYFUNCTION("""COMPUTED_VALUE"""),"https://techcombank.com/thong-tin/blog/gui-tien-du-hoc")</f>
        <v>https://techcombank.com/thong-tin/blog/gui-tien-du-hoc</v>
      </c>
      <c r="BQ47" s="30" t="str">
        <f>IFERROR(__xludf.DUMMYFUNCTION("""COMPUTED_VALUE"""),"1 triệu đô bằng bao nhiêu tiền Việt")</f>
        <v>1 triệu đô bằng bao nhiêu tiền Việt</v>
      </c>
      <c r="BR47" s="34" t="str">
        <f>IFERROR(__xludf.DUMMYFUNCTION("""COMPUTED_VALUE"""),"https://techcombank.com/thong-tin/blog/chuyen-tien-dinh-cu")</f>
        <v>https://techcombank.com/thong-tin/blog/chuyen-tien-dinh-cu</v>
      </c>
      <c r="BS47" s="30" t="str">
        <f>IFERROR(__xludf.DUMMYFUNCTION("""COMPUTED_VALUE"""),"1 triệu đô bằng bao nhiêu tiền Việt")</f>
        <v>1 triệu đô bằng bao nhiêu tiền Việt</v>
      </c>
      <c r="BT47" s="34" t="str">
        <f>IFERROR(__xludf.DUMMYFUNCTION("""COMPUTED_VALUE"""),"https://techcombank.com/thong-tin/blog/ty-gia-la-gi")</f>
        <v>https://techcombank.com/thong-tin/blog/ty-gia-la-gi</v>
      </c>
      <c r="BU47" s="30"/>
      <c r="BV47" s="30"/>
      <c r="BW47" s="30"/>
      <c r="BX47" s="30"/>
      <c r="BY47" s="30"/>
      <c r="BZ47" s="30"/>
      <c r="CA47" s="30"/>
      <c r="CB47" s="30"/>
      <c r="CC47" s="30"/>
      <c r="CD47" s="30"/>
      <c r="CE47" s="30"/>
      <c r="CF47" s="30"/>
      <c r="CG47" s="30"/>
      <c r="CH47" s="30"/>
      <c r="CI47" s="30"/>
      <c r="CJ47" s="30"/>
      <c r="CK47" s="30"/>
      <c r="CL47" s="30"/>
      <c r="CM47" s="30"/>
      <c r="CN47" s="30"/>
      <c r="CO47" s="30"/>
      <c r="CP47" s="30"/>
      <c r="CQ47" s="30"/>
      <c r="CR47" s="30"/>
      <c r="CS47" s="30"/>
      <c r="CT47" s="30"/>
      <c r="CU47" s="30"/>
      <c r="CV47" s="30"/>
      <c r="CW47" s="30"/>
      <c r="CX47" s="30"/>
      <c r="CY47" s="30"/>
      <c r="CZ47" s="30"/>
      <c r="DA47" s="30"/>
      <c r="DB47" s="30"/>
      <c r="DC47" s="30"/>
      <c r="DD47" s="30"/>
      <c r="DE47" s="30"/>
      <c r="DF47" s="30"/>
      <c r="DG47" s="30"/>
      <c r="DH47" s="30"/>
      <c r="DI47" s="30"/>
      <c r="DJ47" s="30"/>
      <c r="DK47" s="30"/>
      <c r="DL47" s="30"/>
      <c r="DM47" s="30"/>
      <c r="DN47" s="30"/>
      <c r="DO47" s="30"/>
      <c r="DP47" s="30"/>
      <c r="DQ47" s="30"/>
      <c r="DR47" s="30"/>
      <c r="DS47" s="30"/>
      <c r="DT47" s="30"/>
      <c r="DU47" s="30"/>
      <c r="DV47" s="30"/>
      <c r="DW47" s="30"/>
      <c r="DX47" s="30"/>
      <c r="DY47" s="30"/>
      <c r="DZ47" s="30"/>
      <c r="EA47" s="30"/>
      <c r="EB47" s="30"/>
      <c r="EC47" s="30"/>
      <c r="ED47" s="30"/>
      <c r="EE47" s="30"/>
      <c r="EF47" s="30"/>
      <c r="EG47" s="30"/>
      <c r="EH47" s="30"/>
      <c r="EI47" s="30"/>
      <c r="EJ47" s="30"/>
      <c r="EK47" s="30"/>
      <c r="EL47" s="30"/>
      <c r="EM47" s="30"/>
      <c r="EN47" s="30"/>
      <c r="EO47" s="30"/>
      <c r="EP47" s="30"/>
      <c r="EQ47" s="30"/>
      <c r="ER47" s="30"/>
      <c r="ES47" s="30"/>
      <c r="ET47" s="30"/>
      <c r="EU47" s="30"/>
      <c r="EV47" s="30"/>
      <c r="EW47" s="30"/>
      <c r="EX47" s="30"/>
      <c r="EY47" s="30"/>
      <c r="EZ47" s="30"/>
      <c r="FA47" s="30"/>
      <c r="FB47" s="30"/>
      <c r="FC47" s="30"/>
      <c r="FD47" s="30"/>
      <c r="FE47" s="30"/>
      <c r="FF47" s="30"/>
      <c r="FG47" s="30"/>
      <c r="FH47" s="30"/>
      <c r="FI47" s="30"/>
      <c r="FJ47" s="30"/>
      <c r="FK47" s="30"/>
      <c r="FL47" s="30"/>
      <c r="FM47" s="30"/>
      <c r="FN47" s="30"/>
      <c r="FO47" s="30"/>
      <c r="FP47" s="30"/>
      <c r="FQ47" s="30"/>
      <c r="FR47" s="30"/>
      <c r="FS47" s="30"/>
      <c r="FT47" s="30"/>
      <c r="FU47" s="30"/>
      <c r="FV47" s="30"/>
      <c r="FW47" s="30"/>
      <c r="FX47" s="30"/>
      <c r="FY47" s="30"/>
      <c r="FZ47" s="30"/>
      <c r="GA47" s="30"/>
      <c r="GB47" s="30"/>
      <c r="GC47" s="30"/>
      <c r="GD47" s="30"/>
      <c r="GE47" s="30"/>
      <c r="GF47" s="30"/>
      <c r="GG47" s="30"/>
      <c r="GH47" s="30"/>
      <c r="GI47" s="30"/>
      <c r="GJ47" s="30"/>
      <c r="GK47" s="30"/>
      <c r="GL47" s="30"/>
      <c r="GM47" s="30"/>
      <c r="GN47" s="30"/>
      <c r="GO47" s="30"/>
      <c r="GP47" s="30"/>
      <c r="GQ47" s="30"/>
      <c r="GR47" s="30"/>
      <c r="GS47" s="30"/>
      <c r="GT47" s="30"/>
      <c r="GU47" s="30"/>
      <c r="GV47" s="30"/>
      <c r="GW47" s="30"/>
      <c r="GX47" s="30"/>
      <c r="GY47" s="30"/>
      <c r="GZ47" s="30"/>
      <c r="HA47" s="30"/>
      <c r="HB47" s="30"/>
      <c r="HC47" s="30"/>
      <c r="HD47" s="30"/>
      <c r="HE47" s="30"/>
      <c r="HF47" s="30"/>
      <c r="HG47" s="30"/>
      <c r="HH47" s="30"/>
      <c r="HI47" s="30"/>
      <c r="HJ47" s="30"/>
      <c r="HK47" s="30"/>
      <c r="HL47" s="30"/>
      <c r="HM47" s="30"/>
      <c r="HN47" s="30"/>
      <c r="HO47" s="30"/>
      <c r="HP47" s="30"/>
      <c r="HQ47" s="30"/>
      <c r="HR47" s="30"/>
      <c r="HS47" s="30"/>
      <c r="HT47" s="30"/>
      <c r="HU47" s="30"/>
      <c r="HV47" s="30"/>
      <c r="HW47" s="30"/>
      <c r="HX47" s="30"/>
      <c r="HY47" s="30"/>
      <c r="HZ47" s="30"/>
      <c r="IA47" s="30"/>
      <c r="IB47" s="30"/>
      <c r="IC47" s="30"/>
      <c r="ID47" s="30"/>
      <c r="IE47" s="30"/>
      <c r="IF47" s="30"/>
      <c r="IG47" s="30"/>
      <c r="IH47" s="30"/>
      <c r="II47" s="30"/>
      <c r="IJ47" s="30"/>
      <c r="IK47" s="30"/>
      <c r="IL47" s="30"/>
      <c r="IM47" s="30"/>
      <c r="IN47" s="30"/>
      <c r="IO47" s="30"/>
      <c r="IP47" s="30"/>
      <c r="IQ47" s="30"/>
      <c r="IR47" s="30"/>
      <c r="IS47" s="30"/>
      <c r="IT47" s="30"/>
      <c r="IU47" s="30"/>
      <c r="IV47" s="30"/>
      <c r="IW47" s="30"/>
      <c r="IX47" s="30"/>
      <c r="IY47" s="30"/>
      <c r="IZ47" s="30"/>
      <c r="JA47" s="30"/>
      <c r="JB47" s="30"/>
      <c r="JC47" s="30"/>
      <c r="JD47" s="30"/>
      <c r="JE47" s="30"/>
      <c r="JF47" s="30"/>
      <c r="JG47" s="30"/>
      <c r="JH47" s="30"/>
      <c r="JI47" s="30"/>
      <c r="JJ47" s="30"/>
      <c r="JK47" s="30"/>
      <c r="JL47" s="30"/>
      <c r="JM47" s="30"/>
      <c r="JN47" s="30"/>
      <c r="JO47" s="30"/>
      <c r="JP47" s="30"/>
      <c r="JQ47" s="30"/>
      <c r="JR47" s="30"/>
      <c r="JS47" s="30"/>
      <c r="JT47" s="30"/>
      <c r="JU47" s="30"/>
      <c r="JV47" s="30"/>
      <c r="JW47" s="30"/>
      <c r="JX47" s="30"/>
      <c r="JY47" s="30"/>
      <c r="JZ47" s="30"/>
      <c r="KA47" s="30"/>
      <c r="KB47" s="30"/>
      <c r="KC47" s="30"/>
      <c r="KD47" s="30"/>
      <c r="KE47" s="30"/>
      <c r="KF47" s="30"/>
      <c r="KG47" s="30"/>
      <c r="KH47" s="30"/>
      <c r="KI47" s="30"/>
      <c r="KJ47" s="30"/>
      <c r="KK47" s="30"/>
      <c r="KL47" s="30"/>
      <c r="KM47" s="30"/>
      <c r="KN47" s="30"/>
      <c r="KO47" s="30"/>
      <c r="KP47" s="30"/>
      <c r="KQ47" s="30"/>
      <c r="KR47" s="30"/>
      <c r="KS47" s="30"/>
      <c r="KT47" s="30"/>
      <c r="KU47" s="30"/>
      <c r="KV47" s="30"/>
      <c r="KW47" s="30"/>
      <c r="KX47" s="30"/>
      <c r="KY47" s="30"/>
      <c r="KZ47" s="30"/>
      <c r="LA47" s="30"/>
      <c r="LB47" s="30"/>
      <c r="LC47" s="30"/>
      <c r="LD47" s="30"/>
      <c r="LE47" s="30"/>
      <c r="LF47" s="30"/>
      <c r="LG47" s="30"/>
      <c r="LH47" s="30"/>
      <c r="LI47" s="30"/>
      <c r="LJ47" s="30"/>
      <c r="LK47" s="30"/>
      <c r="LL47" s="30"/>
      <c r="LM47" s="30"/>
      <c r="LN47" s="30"/>
      <c r="LO47" s="30"/>
      <c r="LP47" s="30"/>
      <c r="LQ47" s="30"/>
      <c r="LR47" s="30"/>
      <c r="LS47" s="30"/>
      <c r="LT47" s="30"/>
      <c r="LU47" s="30"/>
      <c r="LV47" s="30"/>
      <c r="LW47" s="30"/>
      <c r="LX47" s="30"/>
      <c r="LY47" s="30"/>
      <c r="LZ47" s="30"/>
      <c r="MA47" s="30"/>
      <c r="MB47" s="30"/>
      <c r="MC47" s="30"/>
      <c r="MD47" s="30"/>
      <c r="ME47" s="30"/>
      <c r="MF47" s="30"/>
      <c r="MG47" s="30"/>
      <c r="MH47" s="30"/>
      <c r="MI47" s="30"/>
      <c r="MJ47" s="30"/>
      <c r="MK47" s="30"/>
      <c r="ML47" s="30"/>
      <c r="MM47" s="30"/>
      <c r="MN47" s="30"/>
      <c r="MO47" s="30"/>
      <c r="MP47" s="30"/>
      <c r="MQ47" s="30"/>
      <c r="MR47" s="30"/>
      <c r="MS47" s="30"/>
      <c r="MT47" s="30"/>
      <c r="MU47" s="30"/>
      <c r="MV47" s="30"/>
      <c r="MW47" s="30"/>
      <c r="MX47" s="30"/>
      <c r="MY47" s="30"/>
      <c r="MZ47" s="30"/>
      <c r="NA47" s="30"/>
      <c r="NB47" s="30"/>
      <c r="NC47" s="30"/>
      <c r="ND47" s="30"/>
      <c r="NE47" s="30"/>
      <c r="NF47" s="30"/>
      <c r="NG47" s="30"/>
      <c r="NH47" s="30"/>
      <c r="NI47" s="30"/>
      <c r="NJ47" s="30"/>
      <c r="NK47" s="30"/>
      <c r="NL47" s="30"/>
      <c r="NM47" s="30"/>
      <c r="NN47" s="30"/>
      <c r="NO47" s="30"/>
      <c r="NP47" s="30"/>
      <c r="NQ47" s="30"/>
      <c r="NR47" s="30"/>
      <c r="NS47" s="30"/>
      <c r="NT47" s="30"/>
      <c r="NU47" s="30"/>
      <c r="NV47" s="30"/>
      <c r="NW47" s="30"/>
      <c r="NX47" s="30"/>
      <c r="NY47" s="30"/>
      <c r="NZ47" s="30"/>
      <c r="OA47" s="30"/>
      <c r="OB47" s="30"/>
      <c r="OC47" s="30"/>
      <c r="OD47" s="30"/>
      <c r="OE47" s="30"/>
      <c r="OF47" s="30"/>
      <c r="OG47" s="30"/>
      <c r="OH47" s="30"/>
      <c r="OI47" s="30"/>
      <c r="OJ47" s="30"/>
      <c r="OK47" s="30"/>
      <c r="OL47" s="30"/>
      <c r="OM47" s="30"/>
      <c r="ON47" s="30"/>
      <c r="OO47" s="30"/>
      <c r="OP47" s="30"/>
      <c r="OQ47" s="30"/>
      <c r="OR47" s="30"/>
      <c r="OS47" s="30"/>
      <c r="OT47" s="30"/>
      <c r="OU47" s="30"/>
      <c r="OV47" s="30"/>
    </row>
    <row r="48" ht="18.0" customHeight="1">
      <c r="A48" s="29">
        <v>47.0</v>
      </c>
      <c r="B48" s="30" t="s">
        <v>3920</v>
      </c>
      <c r="C48" s="31" t="s">
        <v>3915</v>
      </c>
      <c r="D48" s="30" t="s">
        <v>3580</v>
      </c>
      <c r="E48" s="29">
        <v>30.0</v>
      </c>
      <c r="F48" s="29">
        <f>COUNTIF('Tổng hợp 75 trang đích'!$B$2:$B$3400,$D48)</f>
        <v>30</v>
      </c>
      <c r="G48" s="29">
        <f>COUNTIFS('Tổng hợp 75 trang đích'!$B$2:$B$3400,$D48,'Tổng hợp 75 trang đích'!$K$2:$K$3400,"PHÙ HỢP CAO")</f>
        <v>3</v>
      </c>
      <c r="H48" s="29">
        <f>COUNTIFS('Tổng hợp 75 trang đích'!$B$2:$B$3400,$D48,'Tổng hợp 75 trang đích'!$K$2:$K$3400,"CÓ THỂ ĐI")</f>
        <v>1</v>
      </c>
      <c r="I48" s="29">
        <f>COUNTIFS('Tổng hợp 75 trang đích'!$B$2:$B$3400,$D48,'Tổng hợp 75 trang đích'!$K$2:$K$3400,"CẦN SOÁT")</f>
        <v>26</v>
      </c>
      <c r="J48" s="32" t="s">
        <v>714</v>
      </c>
      <c r="K48" s="32" t="b">
        <v>0</v>
      </c>
      <c r="L48" s="33" t="s">
        <v>52</v>
      </c>
      <c r="M48" s="30" t="str">
        <f>IFERROR(__xludf.DUMMYFUNCTION("IFERROR(TOROW(CHOOSECOLS(SORT(FILTER({'Tổng hợp 75 trang đích'!$J$2:$J$3400,'Tổng hợp 75 trang đích'!$I$2:$I$3400,MATCH('Tổng hợp 75 trang đích'!$K$2:$K$3400,{""PHÙ HỢP CAO"",""CÓ THỂ ĐI"",""CẦN SOÁT""},0)},'Tổng hợp 75 trang đích'!$B$2:$B$3400=$D48),3,TR"&amp;"UE),1,2)),"""")"),"1,000 won")</f>
        <v>1,000 won</v>
      </c>
      <c r="N48" s="34" t="str">
        <f>IFERROR(__xludf.DUMMYFUNCTION("""COMPUTED_VALUE"""),"https://techcombank.com/thong-tin/blog/1-won-bang-bao-nhieu-tien-viet")</f>
        <v>https://techcombank.com/thong-tin/blog/1-won-bang-bao-nhieu-tien-viet</v>
      </c>
      <c r="O48" s="30" t="str">
        <f>IFERROR(__xludf.DUMMYFUNCTION("""COMPUTED_VALUE"""),"1000 Won bằng bao nhiêu tiền Việt")</f>
        <v>1000 Won bằng bao nhiêu tiền Việt</v>
      </c>
      <c r="P48" s="34" t="str">
        <f>IFERROR(__xludf.DUMMYFUNCTION("""COMPUTED_VALUE"""),"https://techcombank.com/thong-tin/blog/1-trieu-won-bang-bao-nhieu-tien-viet")</f>
        <v>https://techcombank.com/thong-tin/blog/1-trieu-won-bang-bao-nhieu-tien-viet</v>
      </c>
      <c r="Q48" s="30" t="str">
        <f>IFERROR(__xludf.DUMMYFUNCTION("""COMPUTED_VALUE"""),"1000 Won bằng bao nhiêu tiền Việt")</f>
        <v>1000 Won bằng bao nhiêu tiền Việt</v>
      </c>
      <c r="R48" s="34" t="str">
        <f>IFERROR(__xludf.DUMMYFUNCTION("""COMPUTED_VALUE"""),"https://techcombank.com/thong-tin/blog/thanh-toan-khi-du-lich-han-quoc")</f>
        <v>https://techcombank.com/thong-tin/blog/thanh-toan-khi-du-lich-han-quoc</v>
      </c>
      <c r="S48" s="30" t="str">
        <f>IFERROR(__xludf.DUMMYFUNCTION("""COMPUTED_VALUE"""),"1,000 won")</f>
        <v>1,000 won</v>
      </c>
      <c r="T48" s="34" t="str">
        <f>IFERROR(__xludf.DUMMYFUNCTION("""COMPUTED_VALUE"""),"https://techcombank.com/thong-tin/blog/chuyen-tien-tu-han-sang-viet-nam")</f>
        <v>https://techcombank.com/thong-tin/blog/chuyen-tien-tu-han-sang-viet-nam</v>
      </c>
      <c r="U48" s="30" t="str">
        <f>IFERROR(__xludf.DUMMYFUNCTION("""COMPUTED_VALUE"""),"1000 Won bằng bao nhiêu tiền Việt")</f>
        <v>1000 Won bằng bao nhiêu tiền Việt</v>
      </c>
      <c r="V48" s="34" t="str">
        <f>IFERROR(__xludf.DUMMYFUNCTION("""COMPUTED_VALUE"""),"https://techcombank.com/thong-tin/blog/1-dong-do-la-my-bang-bao-nhieu-tien-viet-nam")</f>
        <v>https://techcombank.com/thong-tin/blog/1-dong-do-la-my-bang-bao-nhieu-tien-viet-nam</v>
      </c>
      <c r="W48" s="30" t="str">
        <f>IFERROR(__xludf.DUMMYFUNCTION("""COMPUTED_VALUE"""),"1000 Won bằng bao nhiêu tiền Việt")</f>
        <v>1000 Won bằng bao nhiêu tiền Việt</v>
      </c>
      <c r="X48" s="34" t="str">
        <f>IFERROR(__xludf.DUMMYFUNCTION("""COMPUTED_VALUE"""),"https://techcombank.com/thong-tin/blog/1-te-bang-bao-nhieu-tien-viet-nam")</f>
        <v>https://techcombank.com/thong-tin/blog/1-te-bang-bao-nhieu-tien-viet-nam</v>
      </c>
      <c r="Y48" s="30" t="str">
        <f>IFERROR(__xludf.DUMMYFUNCTION("""COMPUTED_VALUE"""),"1000 Won bằng bao nhiêu tiền Việt")</f>
        <v>1000 Won bằng bao nhiêu tiền Việt</v>
      </c>
      <c r="Z48" s="34" t="str">
        <f>IFERROR(__xludf.DUMMYFUNCTION("""COMPUTED_VALUE"""),"https://techcombank.com/thong-tin/blog/tien-thai-lan")</f>
        <v>https://techcombank.com/thong-tin/blog/tien-thai-lan</v>
      </c>
      <c r="AA48" s="30" t="str">
        <f>IFERROR(__xludf.DUMMYFUNCTION("""COMPUTED_VALUE"""),"1000 Won bằng bao nhiêu tiền Việt")</f>
        <v>1000 Won bằng bao nhiêu tiền Việt</v>
      </c>
      <c r="AB48" s="34" t="str">
        <f>IFERROR(__xludf.DUMMYFUNCTION("""COMPUTED_VALUE"""),"https://techcombank.com/thong-tin/blog/tien-trung-quoc")</f>
        <v>https://techcombank.com/thong-tin/blog/tien-trung-quoc</v>
      </c>
      <c r="AC48" s="30" t="str">
        <f>IFERROR(__xludf.DUMMYFUNCTION("""COMPUTED_VALUE"""),"1000 Won bằng bao nhiêu tiền Việt")</f>
        <v>1000 Won bằng bao nhiêu tiền Việt</v>
      </c>
      <c r="AD48" s="34" t="str">
        <f>IFERROR(__xludf.DUMMYFUNCTION("""COMPUTED_VALUE"""),"https://techcombank.com/thong-tin/blog/1000-yen-bang-bao-nhieu-tien-viet")</f>
        <v>https://techcombank.com/thong-tin/blog/1000-yen-bang-bao-nhieu-tien-viet</v>
      </c>
      <c r="AE48" s="30" t="str">
        <f>IFERROR(__xludf.DUMMYFUNCTION("""COMPUTED_VALUE"""),"1,000 won")</f>
        <v>1,000 won</v>
      </c>
      <c r="AF48" s="34" t="str">
        <f>IFERROR(__xludf.DUMMYFUNCTION("""COMPUTED_VALUE"""),"https://techcombank.com/thong-tin/blog/chuyen-tien-tu-nhat-ve-viet-nam")</f>
        <v>https://techcombank.com/thong-tin/blog/chuyen-tien-tu-nhat-ve-viet-nam</v>
      </c>
      <c r="AG48" s="30" t="str">
        <f>IFERROR(__xludf.DUMMYFUNCTION("""COMPUTED_VALUE"""),"1000 Won bằng bao nhiêu tiền Việt")</f>
        <v>1000 Won bằng bao nhiêu tiền Việt</v>
      </c>
      <c r="AH48" s="34" t="str">
        <f>IFERROR(__xludf.DUMMYFUNCTION("""COMPUTED_VALUE"""),"https://techcombank.com/thong-tin/blog/tien-singapore")</f>
        <v>https://techcombank.com/thong-tin/blog/tien-singapore</v>
      </c>
      <c r="AI48" s="30" t="str">
        <f>IFERROR(__xludf.DUMMYFUNCTION("""COMPUTED_VALUE"""),"1,000 won")</f>
        <v>1,000 won</v>
      </c>
      <c r="AJ48" s="34" t="str">
        <f>IFERROR(__xludf.DUMMYFUNCTION("""COMPUTED_VALUE"""),"https://techcombank.com/thong-tin/blog/qua-han-thanh-toan-the-tin-dung-1-ngay")</f>
        <v>https://techcombank.com/thong-tin/blog/qua-han-thanh-toan-the-tin-dung-1-ngay</v>
      </c>
      <c r="AK48" s="30" t="str">
        <f>IFERROR(__xludf.DUMMYFUNCTION("""COMPUTED_VALUE"""),"1,000 won")</f>
        <v>1,000 won</v>
      </c>
      <c r="AL48" s="34" t="str">
        <f>IFERROR(__xludf.DUMMYFUNCTION("""COMPUTED_VALUE"""),"https://techcombank.com/thong-tin/blog/tien-nhat")</f>
        <v>https://techcombank.com/thong-tin/blog/tien-nhat</v>
      </c>
      <c r="AM48" s="30" t="str">
        <f>IFERROR(__xludf.DUMMYFUNCTION("""COMPUTED_VALUE"""),"1,000 won")</f>
        <v>1,000 won</v>
      </c>
      <c r="AN48" s="34" t="str">
        <f>IFERROR(__xludf.DUMMYFUNCTION("""COMPUTED_VALUE"""),"https://techcombank.com/thong-tin/blog/the-tin-dung-nao-nhieu-uu-dai-nhat")</f>
        <v>https://techcombank.com/thong-tin/blog/the-tin-dung-nao-nhieu-uu-dai-nhat</v>
      </c>
      <c r="AO48" s="30" t="str">
        <f>IFERROR(__xludf.DUMMYFUNCTION("""COMPUTED_VALUE"""),"1,000 won")</f>
        <v>1,000 won</v>
      </c>
      <c r="AP48" s="34" t="str">
        <f>IFERROR(__xludf.DUMMYFUNCTION("""COMPUTED_VALUE"""),"https://techcombank.com/thong-tin/blog/chuyen-tien-di-uc")</f>
        <v>https://techcombank.com/thong-tin/blog/chuyen-tien-di-uc</v>
      </c>
      <c r="AQ48" s="30" t="str">
        <f>IFERROR(__xludf.DUMMYFUNCTION("""COMPUTED_VALUE"""),"1000 Won bằng bao nhiêu tiền Việt")</f>
        <v>1000 Won bằng bao nhiêu tiền Việt</v>
      </c>
      <c r="AR48" s="34" t="str">
        <f>IFERROR(__xludf.DUMMYFUNCTION("""COMPUTED_VALUE"""),"https://techcombank.com/thong-tin/blog/tien-dai-loan")</f>
        <v>https://techcombank.com/thong-tin/blog/tien-dai-loan</v>
      </c>
      <c r="AS48" s="30" t="str">
        <f>IFERROR(__xludf.DUMMYFUNCTION("""COMPUTED_VALUE"""),"1,000 won")</f>
        <v>1,000 won</v>
      </c>
      <c r="AT48" s="34" t="str">
        <f>IFERROR(__xludf.DUMMYFUNCTION("""COMPUTED_VALUE"""),"https://techcombank.com/thong-tin/blog/1-van-te-bang-bao-nhieu-tien-viet")</f>
        <v>https://techcombank.com/thong-tin/blog/1-van-te-bang-bao-nhieu-tien-viet</v>
      </c>
      <c r="AU48" s="30" t="str">
        <f>IFERROR(__xludf.DUMMYFUNCTION("""COMPUTED_VALUE"""),"1000 Won bằng bao nhiêu tiền Việt")</f>
        <v>1000 Won bằng bao nhiêu tiền Việt</v>
      </c>
      <c r="AV48" s="34" t="str">
        <f>IFERROR(__xludf.DUMMYFUNCTION("""COMPUTED_VALUE"""),"https://techcombank.com/thong-tin/blog/1-cent-bang-bao-nhieu-tien-viet")</f>
        <v>https://techcombank.com/thong-tin/blog/1-cent-bang-bao-nhieu-tien-viet</v>
      </c>
      <c r="AW48" s="30" t="str">
        <f>IFERROR(__xludf.DUMMYFUNCTION("""COMPUTED_VALUE"""),"1000 Won bằng bao nhiêu tiền Việt")</f>
        <v>1000 Won bằng bao nhiêu tiền Việt</v>
      </c>
      <c r="AX48" s="34" t="str">
        <f>IFERROR(__xludf.DUMMYFUNCTION("""COMPUTED_VALUE"""),"https://techcombank.com/thong-tin/blog/1000-te-bang-bao-nhieu-tien-viet")</f>
        <v>https://techcombank.com/thong-tin/blog/1000-te-bang-bao-nhieu-tien-viet</v>
      </c>
      <c r="AY48" s="30" t="str">
        <f>IFERROR(__xludf.DUMMYFUNCTION("""COMPUTED_VALUE"""),"1000 Won bằng bao nhiêu tiền Việt")</f>
        <v>1000 Won bằng bao nhiêu tiền Việt</v>
      </c>
      <c r="AZ48" s="34" t="str">
        <f>IFERROR(__xludf.DUMMYFUNCTION("""COMPUTED_VALUE"""),"https://techcombank.com/thong-tin/blog/100-riel-bang-bao-nhieu-tien-viet-nam")</f>
        <v>https://techcombank.com/thong-tin/blog/100-riel-bang-bao-nhieu-tien-viet-nam</v>
      </c>
      <c r="BA48" s="30" t="str">
        <f>IFERROR(__xludf.DUMMYFUNCTION("""COMPUTED_VALUE"""),"1,000 won")</f>
        <v>1,000 won</v>
      </c>
      <c r="BB48" s="34" t="str">
        <f>IFERROR(__xludf.DUMMYFUNCTION("""COMPUTED_VALUE"""),"https://techcombank.com/thong-tin/blog/tien-indonesia")</f>
        <v>https://techcombank.com/thong-tin/blog/tien-indonesia</v>
      </c>
      <c r="BC48" s="30" t="str">
        <f>IFERROR(__xludf.DUMMYFUNCTION("""COMPUTED_VALUE"""),"1000 Won bằng bao nhiêu tiền Việt")</f>
        <v>1000 Won bằng bao nhiêu tiền Việt</v>
      </c>
      <c r="BD48" s="34" t="str">
        <f>IFERROR(__xludf.DUMMYFUNCTION("""COMPUTED_VALUE"""),"https://techcombank.com/thong-tin/blog/1-do-uc-bang-bao-nhieu-tien-viet")</f>
        <v>https://techcombank.com/thong-tin/blog/1-do-uc-bang-bao-nhieu-tien-viet</v>
      </c>
      <c r="BE48" s="30" t="str">
        <f>IFERROR(__xludf.DUMMYFUNCTION("""COMPUTED_VALUE"""),"1000 Won bằng bao nhiêu tiền Việt")</f>
        <v>1000 Won bằng bao nhiêu tiền Việt</v>
      </c>
      <c r="BF48" s="34" t="str">
        <f>IFERROR(__xludf.DUMMYFUNCTION("""COMPUTED_VALUE"""),"https://techcombank.com/thong-tin/blog/han-muc-mua-ngoai-te-khi-di-du-lich")</f>
        <v>https://techcombank.com/thong-tin/blog/han-muc-mua-ngoai-te-khi-di-du-lich</v>
      </c>
      <c r="BG48" s="30" t="str">
        <f>IFERROR(__xludf.DUMMYFUNCTION("""COMPUTED_VALUE"""),"1,000 won")</f>
        <v>1,000 won</v>
      </c>
      <c r="BH48" s="34" t="str">
        <f>IFERROR(__xludf.DUMMYFUNCTION("""COMPUTED_VALUE"""),"https://techcombank.com/thong-tin/blog/tous-les-jours")</f>
        <v>https://techcombank.com/thong-tin/blog/tous-les-jours</v>
      </c>
      <c r="BI48" s="30" t="str">
        <f>IFERROR(__xludf.DUMMYFUNCTION("""COMPUTED_VALUE"""),"1,000 won")</f>
        <v>1,000 won</v>
      </c>
      <c r="BJ48" s="34" t="str">
        <f>IFERROR(__xludf.DUMMYFUNCTION("""COMPUTED_VALUE"""),"https://techcombank.com/thong-tin/blog/the-visa-co-may-loai")</f>
        <v>https://techcombank.com/thong-tin/blog/the-visa-co-may-loai</v>
      </c>
      <c r="BK48" s="30" t="str">
        <f>IFERROR(__xludf.DUMMYFUNCTION("""COMPUTED_VALUE"""),"1,000 won")</f>
        <v>1,000 won</v>
      </c>
      <c r="BL48" s="34" t="str">
        <f>IFERROR(__xludf.DUMMYFUNCTION("""COMPUTED_VALUE"""),"https://techcombank.com/thong-tin/blog/1-trieu-do-bang-bao-nhieu-tien-viet")</f>
        <v>https://techcombank.com/thong-tin/blog/1-trieu-do-bang-bao-nhieu-tien-viet</v>
      </c>
      <c r="BM48" s="30" t="str">
        <f>IFERROR(__xludf.DUMMYFUNCTION("""COMPUTED_VALUE"""),"1,000 won")</f>
        <v>1,000 won</v>
      </c>
      <c r="BN48" s="34" t="str">
        <f>IFERROR(__xludf.DUMMYFUNCTION("""COMPUTED_VALUE"""),"https://techcombank.com/thong-tin/blog/voucher-highland")</f>
        <v>https://techcombank.com/thong-tin/blog/voucher-highland</v>
      </c>
      <c r="BO48" s="30" t="str">
        <f>IFERROR(__xludf.DUMMYFUNCTION("""COMPUTED_VALUE"""),"1000 Won bằng bao nhiêu tiền Việt")</f>
        <v>1000 Won bằng bao nhiêu tiền Việt</v>
      </c>
      <c r="BP48" s="34" t="str">
        <f>IFERROR(__xludf.DUMMYFUNCTION("""COMPUTED_VALUE"""),"https://techcombank.com/thong-tin/blog/thanh-toan-bang-the-quoc-te")</f>
        <v>https://techcombank.com/thong-tin/blog/thanh-toan-bang-the-quoc-te</v>
      </c>
      <c r="BQ48" s="30" t="str">
        <f>IFERROR(__xludf.DUMMYFUNCTION("""COMPUTED_VALUE"""),"1,000 won")</f>
        <v>1,000 won</v>
      </c>
      <c r="BR48" s="34" t="str">
        <f>IFERROR(__xludf.DUMMYFUNCTION("""COMPUTED_VALUE"""),"https://techcombank.com/thong-tin/blog/vay-du-hoc")</f>
        <v>https://techcombank.com/thong-tin/blog/vay-du-hoc</v>
      </c>
      <c r="BS48" s="30" t="str">
        <f>IFERROR(__xludf.DUMMYFUNCTION("""COMPUTED_VALUE"""),"1,000 won")</f>
        <v>1,000 won</v>
      </c>
      <c r="BT48" s="34" t="str">
        <f>IFERROR(__xludf.DUMMYFUNCTION("""COMPUTED_VALUE"""),"https://techcombank.com/thong-tin/blog/cach-tinh-lai-suat-tien-gui-tiet-kiem")</f>
        <v>https://techcombank.com/thong-tin/blog/cach-tinh-lai-suat-tien-gui-tiet-kiem</v>
      </c>
      <c r="BU48" s="30"/>
      <c r="BV48" s="30"/>
      <c r="BW48" s="30"/>
      <c r="BX48" s="30"/>
      <c r="BY48" s="30"/>
      <c r="BZ48" s="30"/>
      <c r="CA48" s="30"/>
      <c r="CB48" s="30"/>
      <c r="CC48" s="30"/>
      <c r="CD48" s="30"/>
      <c r="CE48" s="30"/>
      <c r="CF48" s="30"/>
      <c r="CG48" s="30"/>
      <c r="CH48" s="30"/>
      <c r="CI48" s="30"/>
      <c r="CJ48" s="30"/>
      <c r="CK48" s="30"/>
      <c r="CL48" s="30"/>
      <c r="CM48" s="30"/>
      <c r="CN48" s="30"/>
      <c r="CO48" s="30"/>
      <c r="CP48" s="30"/>
      <c r="CQ48" s="30"/>
      <c r="CR48" s="30"/>
      <c r="CS48" s="30"/>
      <c r="CT48" s="30"/>
      <c r="CU48" s="30"/>
      <c r="CV48" s="30"/>
      <c r="CW48" s="30"/>
      <c r="CX48" s="30"/>
      <c r="CY48" s="30"/>
      <c r="CZ48" s="30"/>
      <c r="DA48" s="30"/>
      <c r="DB48" s="30"/>
      <c r="DC48" s="30"/>
      <c r="DD48" s="30"/>
      <c r="DE48" s="30"/>
      <c r="DF48" s="30"/>
      <c r="DG48" s="30"/>
      <c r="DH48" s="30"/>
      <c r="DI48" s="30"/>
      <c r="DJ48" s="30"/>
      <c r="DK48" s="30"/>
      <c r="DL48" s="30"/>
      <c r="DM48" s="30"/>
      <c r="DN48" s="30"/>
      <c r="DO48" s="30"/>
      <c r="DP48" s="30"/>
      <c r="DQ48" s="30"/>
      <c r="DR48" s="30"/>
      <c r="DS48" s="30"/>
      <c r="DT48" s="30"/>
      <c r="DU48" s="30"/>
      <c r="DV48" s="30"/>
      <c r="DW48" s="30"/>
      <c r="DX48" s="30"/>
      <c r="DY48" s="30"/>
      <c r="DZ48" s="30"/>
      <c r="EA48" s="30"/>
      <c r="EB48" s="30"/>
      <c r="EC48" s="30"/>
      <c r="ED48" s="30"/>
      <c r="EE48" s="30"/>
      <c r="EF48" s="30"/>
      <c r="EG48" s="30"/>
      <c r="EH48" s="30"/>
      <c r="EI48" s="30"/>
      <c r="EJ48" s="30"/>
      <c r="EK48" s="30"/>
      <c r="EL48" s="30"/>
      <c r="EM48" s="30"/>
      <c r="EN48" s="30"/>
      <c r="EO48" s="30"/>
      <c r="EP48" s="30"/>
      <c r="EQ48" s="30"/>
      <c r="ER48" s="30"/>
      <c r="ES48" s="30"/>
      <c r="ET48" s="30"/>
      <c r="EU48" s="30"/>
      <c r="EV48" s="30"/>
      <c r="EW48" s="30"/>
      <c r="EX48" s="30"/>
      <c r="EY48" s="30"/>
      <c r="EZ48" s="30"/>
      <c r="FA48" s="30"/>
      <c r="FB48" s="30"/>
      <c r="FC48" s="30"/>
      <c r="FD48" s="30"/>
      <c r="FE48" s="30"/>
      <c r="FF48" s="30"/>
      <c r="FG48" s="30"/>
      <c r="FH48" s="30"/>
      <c r="FI48" s="30"/>
      <c r="FJ48" s="30"/>
      <c r="FK48" s="30"/>
      <c r="FL48" s="30"/>
      <c r="FM48" s="30"/>
      <c r="FN48" s="30"/>
      <c r="FO48" s="30"/>
      <c r="FP48" s="30"/>
      <c r="FQ48" s="30"/>
      <c r="FR48" s="30"/>
      <c r="FS48" s="30"/>
      <c r="FT48" s="30"/>
      <c r="FU48" s="30"/>
      <c r="FV48" s="30"/>
      <c r="FW48" s="30"/>
      <c r="FX48" s="30"/>
      <c r="FY48" s="30"/>
      <c r="FZ48" s="30"/>
      <c r="GA48" s="30"/>
      <c r="GB48" s="30"/>
      <c r="GC48" s="30"/>
      <c r="GD48" s="30"/>
      <c r="GE48" s="30"/>
      <c r="GF48" s="30"/>
      <c r="GG48" s="30"/>
      <c r="GH48" s="30"/>
      <c r="GI48" s="30"/>
      <c r="GJ48" s="30"/>
      <c r="GK48" s="30"/>
      <c r="GL48" s="30"/>
      <c r="GM48" s="30"/>
      <c r="GN48" s="30"/>
      <c r="GO48" s="30"/>
      <c r="GP48" s="30"/>
      <c r="GQ48" s="30"/>
      <c r="GR48" s="30"/>
      <c r="GS48" s="30"/>
      <c r="GT48" s="30"/>
      <c r="GU48" s="30"/>
      <c r="GV48" s="30"/>
      <c r="GW48" s="30"/>
      <c r="GX48" s="30"/>
      <c r="GY48" s="30"/>
      <c r="GZ48" s="30"/>
      <c r="HA48" s="30"/>
      <c r="HB48" s="30"/>
      <c r="HC48" s="30"/>
      <c r="HD48" s="30"/>
      <c r="HE48" s="30"/>
      <c r="HF48" s="30"/>
      <c r="HG48" s="30"/>
      <c r="HH48" s="30"/>
      <c r="HI48" s="30"/>
      <c r="HJ48" s="30"/>
      <c r="HK48" s="30"/>
      <c r="HL48" s="30"/>
      <c r="HM48" s="30"/>
      <c r="HN48" s="30"/>
      <c r="HO48" s="30"/>
      <c r="HP48" s="30"/>
      <c r="HQ48" s="30"/>
      <c r="HR48" s="30"/>
      <c r="HS48" s="30"/>
      <c r="HT48" s="30"/>
      <c r="HU48" s="30"/>
      <c r="HV48" s="30"/>
      <c r="HW48" s="30"/>
      <c r="HX48" s="30"/>
      <c r="HY48" s="30"/>
      <c r="HZ48" s="30"/>
      <c r="IA48" s="30"/>
      <c r="IB48" s="30"/>
      <c r="IC48" s="30"/>
      <c r="ID48" s="30"/>
      <c r="IE48" s="30"/>
      <c r="IF48" s="30"/>
      <c r="IG48" s="30"/>
      <c r="IH48" s="30"/>
      <c r="II48" s="30"/>
      <c r="IJ48" s="30"/>
      <c r="IK48" s="30"/>
      <c r="IL48" s="30"/>
      <c r="IM48" s="30"/>
      <c r="IN48" s="30"/>
      <c r="IO48" s="30"/>
      <c r="IP48" s="30"/>
      <c r="IQ48" s="30"/>
      <c r="IR48" s="30"/>
      <c r="IS48" s="30"/>
      <c r="IT48" s="30"/>
      <c r="IU48" s="30"/>
      <c r="IV48" s="30"/>
      <c r="IW48" s="30"/>
      <c r="IX48" s="30"/>
      <c r="IY48" s="30"/>
      <c r="IZ48" s="30"/>
      <c r="JA48" s="30"/>
      <c r="JB48" s="30"/>
      <c r="JC48" s="30"/>
      <c r="JD48" s="30"/>
      <c r="JE48" s="30"/>
      <c r="JF48" s="30"/>
      <c r="JG48" s="30"/>
      <c r="JH48" s="30"/>
      <c r="JI48" s="30"/>
      <c r="JJ48" s="30"/>
      <c r="JK48" s="30"/>
      <c r="JL48" s="30"/>
      <c r="JM48" s="30"/>
      <c r="JN48" s="30"/>
      <c r="JO48" s="30"/>
      <c r="JP48" s="30"/>
      <c r="JQ48" s="30"/>
      <c r="JR48" s="30"/>
      <c r="JS48" s="30"/>
      <c r="JT48" s="30"/>
      <c r="JU48" s="30"/>
      <c r="JV48" s="30"/>
      <c r="JW48" s="30"/>
      <c r="JX48" s="30"/>
      <c r="JY48" s="30"/>
      <c r="JZ48" s="30"/>
      <c r="KA48" s="30"/>
      <c r="KB48" s="30"/>
      <c r="KC48" s="30"/>
      <c r="KD48" s="30"/>
      <c r="KE48" s="30"/>
      <c r="KF48" s="30"/>
      <c r="KG48" s="30"/>
      <c r="KH48" s="30"/>
      <c r="KI48" s="30"/>
      <c r="KJ48" s="30"/>
      <c r="KK48" s="30"/>
      <c r="KL48" s="30"/>
      <c r="KM48" s="30"/>
      <c r="KN48" s="30"/>
      <c r="KO48" s="30"/>
      <c r="KP48" s="30"/>
      <c r="KQ48" s="30"/>
      <c r="KR48" s="30"/>
      <c r="KS48" s="30"/>
      <c r="KT48" s="30"/>
      <c r="KU48" s="30"/>
      <c r="KV48" s="30"/>
      <c r="KW48" s="30"/>
      <c r="KX48" s="30"/>
      <c r="KY48" s="30"/>
      <c r="KZ48" s="30"/>
      <c r="LA48" s="30"/>
      <c r="LB48" s="30"/>
      <c r="LC48" s="30"/>
      <c r="LD48" s="30"/>
      <c r="LE48" s="30"/>
      <c r="LF48" s="30"/>
      <c r="LG48" s="30"/>
      <c r="LH48" s="30"/>
      <c r="LI48" s="30"/>
      <c r="LJ48" s="30"/>
      <c r="LK48" s="30"/>
      <c r="LL48" s="30"/>
      <c r="LM48" s="30"/>
      <c r="LN48" s="30"/>
      <c r="LO48" s="30"/>
      <c r="LP48" s="30"/>
      <c r="LQ48" s="30"/>
      <c r="LR48" s="30"/>
      <c r="LS48" s="30"/>
      <c r="LT48" s="30"/>
      <c r="LU48" s="30"/>
      <c r="LV48" s="30"/>
      <c r="LW48" s="30"/>
      <c r="LX48" s="30"/>
      <c r="LY48" s="30"/>
      <c r="LZ48" s="30"/>
      <c r="MA48" s="30"/>
      <c r="MB48" s="30"/>
      <c r="MC48" s="30"/>
      <c r="MD48" s="30"/>
      <c r="ME48" s="30"/>
      <c r="MF48" s="30"/>
      <c r="MG48" s="30"/>
      <c r="MH48" s="30"/>
      <c r="MI48" s="30"/>
      <c r="MJ48" s="30"/>
      <c r="MK48" s="30"/>
      <c r="ML48" s="30"/>
      <c r="MM48" s="30"/>
      <c r="MN48" s="30"/>
      <c r="MO48" s="30"/>
      <c r="MP48" s="30"/>
      <c r="MQ48" s="30"/>
      <c r="MR48" s="30"/>
      <c r="MS48" s="30"/>
      <c r="MT48" s="30"/>
      <c r="MU48" s="30"/>
      <c r="MV48" s="30"/>
      <c r="MW48" s="30"/>
      <c r="MX48" s="30"/>
      <c r="MY48" s="30"/>
      <c r="MZ48" s="30"/>
      <c r="NA48" s="30"/>
      <c r="NB48" s="30"/>
      <c r="NC48" s="30"/>
      <c r="ND48" s="30"/>
      <c r="NE48" s="30"/>
      <c r="NF48" s="30"/>
      <c r="NG48" s="30"/>
      <c r="NH48" s="30"/>
      <c r="NI48" s="30"/>
      <c r="NJ48" s="30"/>
      <c r="NK48" s="30"/>
      <c r="NL48" s="30"/>
      <c r="NM48" s="30"/>
      <c r="NN48" s="30"/>
      <c r="NO48" s="30"/>
      <c r="NP48" s="30"/>
      <c r="NQ48" s="30"/>
      <c r="NR48" s="30"/>
      <c r="NS48" s="30"/>
      <c r="NT48" s="30"/>
      <c r="NU48" s="30"/>
      <c r="NV48" s="30"/>
      <c r="NW48" s="30"/>
      <c r="NX48" s="30"/>
      <c r="NY48" s="30"/>
      <c r="NZ48" s="30"/>
      <c r="OA48" s="30"/>
      <c r="OB48" s="30"/>
      <c r="OC48" s="30"/>
      <c r="OD48" s="30"/>
      <c r="OE48" s="30"/>
      <c r="OF48" s="30"/>
      <c r="OG48" s="30"/>
      <c r="OH48" s="30"/>
      <c r="OI48" s="30"/>
      <c r="OJ48" s="30"/>
      <c r="OK48" s="30"/>
      <c r="OL48" s="30"/>
      <c r="OM48" s="30"/>
      <c r="ON48" s="30"/>
      <c r="OO48" s="30"/>
      <c r="OP48" s="30"/>
      <c r="OQ48" s="30"/>
      <c r="OR48" s="30"/>
      <c r="OS48" s="30"/>
      <c r="OT48" s="30"/>
      <c r="OU48" s="30"/>
      <c r="OV48" s="30"/>
    </row>
    <row r="49" ht="18.0" customHeight="1">
      <c r="A49" s="29">
        <v>48.0</v>
      </c>
      <c r="B49" s="30" t="s">
        <v>3920</v>
      </c>
      <c r="C49" s="31" t="s">
        <v>3969</v>
      </c>
      <c r="D49" s="30" t="s">
        <v>3574</v>
      </c>
      <c r="E49" s="29">
        <v>30.0</v>
      </c>
      <c r="F49" s="29">
        <f>COUNTIF('Tổng hợp 75 trang đích'!$B$2:$B$3400,$D49)</f>
        <v>30</v>
      </c>
      <c r="G49" s="29">
        <f>COUNTIFS('Tổng hợp 75 trang đích'!$B$2:$B$3400,$D49,'Tổng hợp 75 trang đích'!$K$2:$K$3400,"PHÙ HỢP CAO")</f>
        <v>3</v>
      </c>
      <c r="H49" s="29">
        <f>COUNTIFS('Tổng hợp 75 trang đích'!$B$2:$B$3400,$D49,'Tổng hợp 75 trang đích'!$K$2:$K$3400,"CÓ THỂ ĐI")</f>
        <v>9</v>
      </c>
      <c r="I49" s="29">
        <f>COUNTIFS('Tổng hợp 75 trang đích'!$B$2:$B$3400,$D49,'Tổng hợp 75 trang đích'!$K$2:$K$3400,"CẦN SOÁT")</f>
        <v>18</v>
      </c>
      <c r="J49" s="32" t="s">
        <v>714</v>
      </c>
      <c r="K49" s="32" t="b">
        <v>0</v>
      </c>
      <c r="L49" s="33" t="s">
        <v>52</v>
      </c>
      <c r="M49" s="30" t="str">
        <f>IFERROR(__xludf.DUMMYFUNCTION("IFERROR(TOROW(CHOOSECOLS(SORT(FILTER({'Tổng hợp 75 trang đích'!$J$2:$J$3400,'Tổng hợp 75 trang đích'!$I$2:$I$3400,MATCH('Tổng hợp 75 trang đích'!$K$2:$K$3400,{""PHÙ HỢP CAO"",""CÓ THỂ ĐI"",""CẦN SOÁT""},0)},'Tổng hợp 75 trang đích'!$B$2:$B$3400=$D49),3,TR"&amp;"UE),1,2)),"""")"),"nhận tiền từ nước ngoài")</f>
        <v>nhận tiền từ nước ngoài</v>
      </c>
      <c r="N49" s="34" t="str">
        <f>IFERROR(__xludf.DUMMYFUNCTION("""COMPUTED_VALUE"""),"https://techcombank.com/thong-tin/blog/nhan-tien-western-union")</f>
        <v>https://techcombank.com/thong-tin/blog/nhan-tien-western-union</v>
      </c>
      <c r="O49" s="30" t="str">
        <f>IFERROR(__xludf.DUMMYFUNCTION("""COMPUTED_VALUE"""),"nhận tiền từ nước ngoài")</f>
        <v>nhận tiền từ nước ngoài</v>
      </c>
      <c r="P49" s="34" t="str">
        <f>IFERROR(__xludf.DUMMYFUNCTION("""COMPUTED_VALUE"""),"https://techcombank.com/thong-tin/blog/ma-swift-ngan-hang")</f>
        <v>https://techcombank.com/thong-tin/blog/ma-swift-ngan-hang</v>
      </c>
      <c r="Q49" s="30" t="str">
        <f>IFERROR(__xludf.DUMMYFUNCTION("""COMPUTED_VALUE"""),"nhận kiều hối")</f>
        <v>nhận kiều hối</v>
      </c>
      <c r="R49" s="34" t="str">
        <f>IFERROR(__xludf.DUMMYFUNCTION("""COMPUTED_VALUE"""),"https://techcombank.com/thong-tin/blog/remittance-la-gi")</f>
        <v>https://techcombank.com/thong-tin/blog/remittance-la-gi</v>
      </c>
      <c r="S49" s="30" t="str">
        <f>IFERROR(__xludf.DUMMYFUNCTION("""COMPUTED_VALUE"""),"nhận tiền từ nước ngoài")</f>
        <v>nhận tiền từ nước ngoài</v>
      </c>
      <c r="T49" s="34" t="str">
        <f>IFERROR(__xludf.DUMMYFUNCTION("""COMPUTED_VALUE"""),"https://techcombank.com/thong-tin/blog/1-trieu-do-bang-bao-nhieu-tien-viet")</f>
        <v>https://techcombank.com/thong-tin/blog/1-trieu-do-bang-bao-nhieu-tien-viet</v>
      </c>
      <c r="U49" s="30" t="str">
        <f>IFERROR(__xludf.DUMMYFUNCTION("""COMPUTED_VALUE"""),"nhận kiều hối")</f>
        <v>nhận kiều hối</v>
      </c>
      <c r="V49" s="34" t="str">
        <f>IFERROR(__xludf.DUMMYFUNCTION("""COMPUTED_VALUE"""),"https://techcombank.com/thong-tin/blog/1-euro-bang-bao-nhieu-tien-viet")</f>
        <v>https://techcombank.com/thong-tin/blog/1-euro-bang-bao-nhieu-tien-viet</v>
      </c>
      <c r="W49" s="30" t="str">
        <f>IFERROR(__xludf.DUMMYFUNCTION("""COMPUTED_VALUE"""),"nhận kiều hối")</f>
        <v>nhận kiều hối</v>
      </c>
      <c r="X49" s="34" t="str">
        <f>IFERROR(__xludf.DUMMYFUNCTION("""COMPUTED_VALUE"""),"https://techcombank.com/thong-tin/blog/tien-singapore")</f>
        <v>https://techcombank.com/thong-tin/blog/tien-singapore</v>
      </c>
      <c r="Y49" s="30" t="str">
        <f>IFERROR(__xludf.DUMMYFUNCTION("""COMPUTED_VALUE"""),"nhận tiền từ nước ngoài")</f>
        <v>nhận tiền từ nước ngoài</v>
      </c>
      <c r="Z49" s="34" t="str">
        <f>IFERROR(__xludf.DUMMYFUNCTION("""COMPUTED_VALUE"""),"https://techcombank.com/thong-tin/blog/1-man-bang-bao-nhieu-tien-viet")</f>
        <v>https://techcombank.com/thong-tin/blog/1-man-bang-bao-nhieu-tien-viet</v>
      </c>
      <c r="AA49" s="30" t="str">
        <f>IFERROR(__xludf.DUMMYFUNCTION("""COMPUTED_VALUE"""),"nhận kiều hối")</f>
        <v>nhận kiều hối</v>
      </c>
      <c r="AB49" s="34" t="str">
        <f>IFERROR(__xludf.DUMMYFUNCTION("""COMPUTED_VALUE"""),"https://techcombank.com/thong-tin/blog/1000-te-bang-bao-nhieu-tien-viet")</f>
        <v>https://techcombank.com/thong-tin/blog/1000-te-bang-bao-nhieu-tien-viet</v>
      </c>
      <c r="AC49" s="30" t="str">
        <f>IFERROR(__xludf.DUMMYFUNCTION("""COMPUTED_VALUE"""),"nhận tiền từ nước ngoài")</f>
        <v>nhận tiền từ nước ngoài</v>
      </c>
      <c r="AD49" s="34" t="str">
        <f>IFERROR(__xludf.DUMMYFUNCTION("""COMPUTED_VALUE"""),"https://techcombank.com/thong-tin/blog/tien-trung-quoc")</f>
        <v>https://techcombank.com/thong-tin/blog/tien-trung-quoc</v>
      </c>
      <c r="AE49" s="30" t="str">
        <f>IFERROR(__xludf.DUMMYFUNCTION("""COMPUTED_VALUE"""),"nhận kiều hối")</f>
        <v>nhận kiều hối</v>
      </c>
      <c r="AF49" s="34" t="str">
        <f>IFERROR(__xludf.DUMMYFUNCTION("""COMPUTED_VALUE"""),"https://techcombank.com/thong-tin/blog/1-do-uc-bang-bao-nhieu-tien-viet")</f>
        <v>https://techcombank.com/thong-tin/blog/1-do-uc-bang-bao-nhieu-tien-viet</v>
      </c>
      <c r="AG49" s="30" t="str">
        <f>IFERROR(__xludf.DUMMYFUNCTION("""COMPUTED_VALUE"""),"nhận tiền từ nước ngoài")</f>
        <v>nhận tiền từ nước ngoài</v>
      </c>
      <c r="AH49" s="34" t="str">
        <f>IFERROR(__xludf.DUMMYFUNCTION("""COMPUTED_VALUE"""),"https://techcombank.com/thong-tin/blog/1-van-te-bang-bao-nhieu-tien-viet")</f>
        <v>https://techcombank.com/thong-tin/blog/1-van-te-bang-bao-nhieu-tien-viet</v>
      </c>
      <c r="AI49" s="30" t="str">
        <f>IFERROR(__xludf.DUMMYFUNCTION("""COMPUTED_VALUE"""),"nhận tiền từ nước ngoài")</f>
        <v>nhận tiền từ nước ngoài</v>
      </c>
      <c r="AJ49" s="34" t="str">
        <f>IFERROR(__xludf.DUMMYFUNCTION("""COMPUTED_VALUE"""),"https://techcombank.com/thong-tin/blog/chi-phi-mo-tai-khoan-ngan-hang-cho-cong-ty")</f>
        <v>https://techcombank.com/thong-tin/blog/chi-phi-mo-tai-khoan-ngan-hang-cho-cong-ty</v>
      </c>
      <c r="AK49" s="30" t="str">
        <f>IFERROR(__xludf.DUMMYFUNCTION("""COMPUTED_VALUE"""),"nhận tiền từ nước ngoài")</f>
        <v>nhận tiền từ nước ngoài</v>
      </c>
      <c r="AL49" s="34" t="str">
        <f>IFERROR(__xludf.DUMMYFUNCTION("""COMPUTED_VALUE"""),"https://techcombank.com/thong-tin/blog/thanh-toan-quoc-te")</f>
        <v>https://techcombank.com/thong-tin/blog/thanh-toan-quoc-te</v>
      </c>
      <c r="AM49" s="30" t="str">
        <f>IFERROR(__xludf.DUMMYFUNCTION("""COMPUTED_VALUE"""),"nhận tiền từ nước ngoài")</f>
        <v>nhận tiền từ nước ngoài</v>
      </c>
      <c r="AN49" s="34" t="str">
        <f>IFERROR(__xludf.DUMMYFUNCTION("""COMPUTED_VALUE"""),"https://techcombank.com/thong-tin/blog/the-tin-dung-quoc-te")</f>
        <v>https://techcombank.com/thong-tin/blog/the-tin-dung-quoc-te</v>
      </c>
      <c r="AO49" s="30" t="str">
        <f>IFERROR(__xludf.DUMMYFUNCTION("""COMPUTED_VALUE"""),"nhận tiền từ nước ngoài")</f>
        <v>nhận tiền từ nước ngoài</v>
      </c>
      <c r="AP49" s="34" t="str">
        <f>IFERROR(__xludf.DUMMYFUNCTION("""COMPUTED_VALUE"""),"https://techcombank.com/thong-tin/blog/the-ghi-no-noi-dia")</f>
        <v>https://techcombank.com/thong-tin/blog/the-ghi-no-noi-dia</v>
      </c>
      <c r="AQ49" s="30" t="str">
        <f>IFERROR(__xludf.DUMMYFUNCTION("""COMPUTED_VALUE"""),"nhận tiền từ nước ngoài")</f>
        <v>nhận tiền từ nước ngoài</v>
      </c>
      <c r="AR49" s="34" t="str">
        <f>IFERROR(__xludf.DUMMYFUNCTION("""COMPUTED_VALUE"""),"https://techcombank.com/thong-tin/blog/iban-la-gi")</f>
        <v>https://techcombank.com/thong-tin/blog/iban-la-gi</v>
      </c>
      <c r="AS49" s="30" t="str">
        <f>IFERROR(__xludf.DUMMYFUNCTION("""COMPUTED_VALUE"""),"nhận tiền từ nước ngoài")</f>
        <v>nhận tiền từ nước ngoài</v>
      </c>
      <c r="AT49" s="34" t="str">
        <f>IFERROR(__xludf.DUMMYFUNCTION("""COMPUTED_VALUE"""),"https://techcombank.com/thong-tin/blog/lam-the-thanh-toan-quoc-te")</f>
        <v>https://techcombank.com/thong-tin/blog/lam-the-thanh-toan-quoc-te</v>
      </c>
      <c r="AU49" s="30" t="str">
        <f>IFERROR(__xludf.DUMMYFUNCTION("""COMPUTED_VALUE"""),"nhận tiền từ nước ngoài")</f>
        <v>nhận tiền từ nước ngoài</v>
      </c>
      <c r="AV49" s="34" t="str">
        <f>IFERROR(__xludf.DUMMYFUNCTION("""COMPUTED_VALUE"""),"https://techcombank.com/thong-tin/blog/the-ghi-no-visa-la-gi")</f>
        <v>https://techcombank.com/thong-tin/blog/the-ghi-no-visa-la-gi</v>
      </c>
      <c r="AW49" s="30" t="str">
        <f>IFERROR(__xludf.DUMMYFUNCTION("""COMPUTED_VALUE"""),"nhận tiền từ nước ngoài")</f>
        <v>nhận tiền từ nước ngoài</v>
      </c>
      <c r="AX49" s="34" t="str">
        <f>IFERROR(__xludf.DUMMYFUNCTION("""COMPUTED_VALUE"""),"https://techcombank.com/thong-tin/blog/the-visa-co-thanh-toan-quoc-te-duoc-khong")</f>
        <v>https://techcombank.com/thong-tin/blog/the-visa-co-thanh-toan-quoc-te-duoc-khong</v>
      </c>
      <c r="AY49" s="30" t="str">
        <f>IFERROR(__xludf.DUMMYFUNCTION("""COMPUTED_VALUE"""),"nhận tiền từ nước ngoài")</f>
        <v>nhận tiền từ nước ngoài</v>
      </c>
      <c r="AZ49" s="34" t="str">
        <f>IFERROR(__xludf.DUMMYFUNCTION("""COMPUTED_VALUE"""),"https://techcombank.com/thong-tin/blog/chuyen-tien-dinh-cu")</f>
        <v>https://techcombank.com/thong-tin/blog/chuyen-tien-dinh-cu</v>
      </c>
      <c r="BA49" s="30" t="str">
        <f>IFERROR(__xludf.DUMMYFUNCTION("""COMPUTED_VALUE"""),"nhận tiền từ nước ngoài")</f>
        <v>nhận tiền từ nước ngoài</v>
      </c>
      <c r="BB49" s="34" t="str">
        <f>IFERROR(__xludf.DUMMYFUNCTION("""COMPUTED_VALUE"""),"https://techcombank.com/thong-tin/blog/thanh-toan-bang-the-quoc-te")</f>
        <v>https://techcombank.com/thong-tin/blog/thanh-toan-bang-the-quoc-te</v>
      </c>
      <c r="BC49" s="30" t="str">
        <f>IFERROR(__xludf.DUMMYFUNCTION("""COMPUTED_VALUE"""),"cách nhận tiền từ nước ngoài về Việt Nam")</f>
        <v>cách nhận tiền từ nước ngoài về Việt Nam</v>
      </c>
      <c r="BD49" s="34" t="str">
        <f>IFERROR(__xludf.DUMMYFUNCTION("""COMPUTED_VALUE"""),"https://techcombank.com/thong-tin/blog/han-muc-mua-ngoai-te-khi-di-du-lich")</f>
        <v>https://techcombank.com/thong-tin/blog/han-muc-mua-ngoai-te-khi-di-du-lich</v>
      </c>
      <c r="BE49" s="30" t="str">
        <f>IFERROR(__xludf.DUMMYFUNCTION("""COMPUTED_VALUE"""),"nhận tiền từ nước ngoài")</f>
        <v>nhận tiền từ nước ngoài</v>
      </c>
      <c r="BF49" s="34" t="str">
        <f>IFERROR(__xludf.DUMMYFUNCTION("""COMPUTED_VALUE"""),"https://techcombank.com/thong-tin/blog/ngoai-te-la-gi")</f>
        <v>https://techcombank.com/thong-tin/blog/ngoai-te-la-gi</v>
      </c>
      <c r="BG49" s="30" t="str">
        <f>IFERROR(__xludf.DUMMYFUNCTION("""COMPUTED_VALUE"""),"nhận tiền từ nước ngoài")</f>
        <v>nhận tiền từ nước ngoài</v>
      </c>
      <c r="BH49" s="34" t="str">
        <f>IFERROR(__xludf.DUMMYFUNCTION("""COMPUTED_VALUE"""),"https://techcombank.com/thong-tin/blog/nen-lam-the-visa-hay-noi-dia")</f>
        <v>https://techcombank.com/thong-tin/blog/nen-lam-the-visa-hay-noi-dia</v>
      </c>
      <c r="BI49" s="30" t="str">
        <f>IFERROR(__xludf.DUMMYFUNCTION("""COMPUTED_VALUE"""),"nhận tiền từ nước ngoài")</f>
        <v>nhận tiền từ nước ngoài</v>
      </c>
      <c r="BJ49" s="34" t="str">
        <f>IFERROR(__xludf.DUMMYFUNCTION("""COMPUTED_VALUE"""),"https://techcombank.com/thong-tin/blog/dinh-cu-chau-au")</f>
        <v>https://techcombank.com/thong-tin/blog/dinh-cu-chau-au</v>
      </c>
      <c r="BK49" s="30" t="str">
        <f>IFERROR(__xludf.DUMMYFUNCTION("""COMPUTED_VALUE"""),"cách nhận tiền từ nước ngoài về Việt Nam")</f>
        <v>cách nhận tiền từ nước ngoài về Việt Nam</v>
      </c>
      <c r="BL49" s="34" t="str">
        <f>IFERROR(__xludf.DUMMYFUNCTION("""COMPUTED_VALUE"""),"https://techcombank.com/thong-tin/blog/vay-du-hoc")</f>
        <v>https://techcombank.com/thong-tin/blog/vay-du-hoc</v>
      </c>
      <c r="BM49" s="30" t="str">
        <f>IFERROR(__xludf.DUMMYFUNCTION("""COMPUTED_VALUE"""),"nhận tiền từ nước ngoài")</f>
        <v>nhận tiền từ nước ngoài</v>
      </c>
      <c r="BN49" s="34" t="str">
        <f>IFERROR(__xludf.DUMMYFUNCTION("""COMPUTED_VALUE"""),"https://techcombank.com/thong-tin/blog/di-du-lich-nuoc-ngoai-can-chuan-bi-gi")</f>
        <v>https://techcombank.com/thong-tin/blog/di-du-lich-nuoc-ngoai-can-chuan-bi-gi</v>
      </c>
      <c r="BO49" s="30" t="str">
        <f>IFERROR(__xludf.DUMMYFUNCTION("""COMPUTED_VALUE"""),"nhận tiền từ nước ngoài")</f>
        <v>nhận tiền từ nước ngoài</v>
      </c>
      <c r="BP49" s="34" t="str">
        <f>IFERROR(__xludf.DUMMYFUNCTION("""COMPUTED_VALUE"""),"https://techcombank.com/thong-tin/blog/thu-tuc-chuyen-tien-ra-nuoc-ngoai")</f>
        <v>https://techcombank.com/thong-tin/blog/thu-tuc-chuyen-tien-ra-nuoc-ngoai</v>
      </c>
      <c r="BQ49" s="30" t="str">
        <f>IFERROR(__xludf.DUMMYFUNCTION("""COMPUTED_VALUE"""),"nhận tiền từ nước ngoài")</f>
        <v>nhận tiền từ nước ngoài</v>
      </c>
      <c r="BR49" s="34" t="str">
        <f>IFERROR(__xludf.DUMMYFUNCTION("""COMPUTED_VALUE"""),"https://techcombank.com/thong-tin/blog/gui-tien-sang-nuoc-ngoai")</f>
        <v>https://techcombank.com/thong-tin/blog/gui-tien-sang-nuoc-ngoai</v>
      </c>
      <c r="BS49" s="30" t="str">
        <f>IFERROR(__xludf.DUMMYFUNCTION("""COMPUTED_VALUE"""),"nhận tiền từ nước ngoài")</f>
        <v>nhận tiền từ nước ngoài</v>
      </c>
      <c r="BT49" s="34" t="str">
        <f>IFERROR(__xludf.DUMMYFUNCTION("""COMPUTED_VALUE"""),"https://techcombank.com/thong-tin/blog/gui-tien-du-hoc")</f>
        <v>https://techcombank.com/thong-tin/blog/gui-tien-du-hoc</v>
      </c>
      <c r="BU49" s="30"/>
      <c r="BV49" s="30"/>
      <c r="BW49" s="30"/>
      <c r="BX49" s="30"/>
      <c r="BY49" s="30"/>
      <c r="BZ49" s="30"/>
      <c r="CA49" s="30"/>
      <c r="CB49" s="30"/>
      <c r="CC49" s="30"/>
      <c r="CD49" s="30"/>
      <c r="CE49" s="30"/>
      <c r="CF49" s="30"/>
      <c r="CG49" s="30"/>
      <c r="CH49" s="30"/>
      <c r="CI49" s="30"/>
      <c r="CJ49" s="30"/>
      <c r="CK49" s="30"/>
      <c r="CL49" s="30"/>
      <c r="CM49" s="30"/>
      <c r="CN49" s="30"/>
      <c r="CO49" s="30"/>
      <c r="CP49" s="30"/>
      <c r="CQ49" s="30"/>
      <c r="CR49" s="30"/>
      <c r="CS49" s="30"/>
      <c r="CT49" s="30"/>
      <c r="CU49" s="30"/>
      <c r="CV49" s="30"/>
      <c r="CW49" s="30"/>
      <c r="CX49" s="30"/>
      <c r="CY49" s="30"/>
      <c r="CZ49" s="30"/>
      <c r="DA49" s="30"/>
      <c r="DB49" s="30"/>
      <c r="DC49" s="30"/>
      <c r="DD49" s="30"/>
      <c r="DE49" s="30"/>
      <c r="DF49" s="30"/>
      <c r="DG49" s="30"/>
      <c r="DH49" s="30"/>
      <c r="DI49" s="30"/>
      <c r="DJ49" s="30"/>
      <c r="DK49" s="30"/>
      <c r="DL49" s="30"/>
      <c r="DM49" s="30"/>
      <c r="DN49" s="30"/>
      <c r="DO49" s="30"/>
      <c r="DP49" s="30"/>
      <c r="DQ49" s="30"/>
      <c r="DR49" s="30"/>
      <c r="DS49" s="30"/>
      <c r="DT49" s="30"/>
      <c r="DU49" s="30"/>
      <c r="DV49" s="30"/>
      <c r="DW49" s="30"/>
      <c r="DX49" s="30"/>
      <c r="DY49" s="30"/>
      <c r="DZ49" s="30"/>
      <c r="EA49" s="30"/>
      <c r="EB49" s="30"/>
      <c r="EC49" s="30"/>
      <c r="ED49" s="30"/>
      <c r="EE49" s="30"/>
      <c r="EF49" s="30"/>
      <c r="EG49" s="30"/>
      <c r="EH49" s="30"/>
      <c r="EI49" s="30"/>
      <c r="EJ49" s="30"/>
      <c r="EK49" s="30"/>
      <c r="EL49" s="30"/>
      <c r="EM49" s="30"/>
      <c r="EN49" s="30"/>
      <c r="EO49" s="30"/>
      <c r="EP49" s="30"/>
      <c r="EQ49" s="30"/>
      <c r="ER49" s="30"/>
      <c r="ES49" s="30"/>
      <c r="ET49" s="30"/>
      <c r="EU49" s="30"/>
      <c r="EV49" s="30"/>
      <c r="EW49" s="30"/>
      <c r="EX49" s="30"/>
      <c r="EY49" s="30"/>
      <c r="EZ49" s="30"/>
      <c r="FA49" s="30"/>
      <c r="FB49" s="30"/>
      <c r="FC49" s="30"/>
      <c r="FD49" s="30"/>
      <c r="FE49" s="30"/>
      <c r="FF49" s="30"/>
      <c r="FG49" s="30"/>
      <c r="FH49" s="30"/>
      <c r="FI49" s="30"/>
      <c r="FJ49" s="30"/>
      <c r="FK49" s="30"/>
      <c r="FL49" s="30"/>
      <c r="FM49" s="30"/>
      <c r="FN49" s="30"/>
      <c r="FO49" s="30"/>
      <c r="FP49" s="30"/>
      <c r="FQ49" s="30"/>
      <c r="FR49" s="30"/>
      <c r="FS49" s="30"/>
      <c r="FT49" s="30"/>
      <c r="FU49" s="30"/>
      <c r="FV49" s="30"/>
      <c r="FW49" s="30"/>
      <c r="FX49" s="30"/>
      <c r="FY49" s="30"/>
      <c r="FZ49" s="30"/>
      <c r="GA49" s="30"/>
      <c r="GB49" s="30"/>
      <c r="GC49" s="30"/>
      <c r="GD49" s="30"/>
      <c r="GE49" s="30"/>
      <c r="GF49" s="30"/>
      <c r="GG49" s="30"/>
      <c r="GH49" s="30"/>
      <c r="GI49" s="30"/>
      <c r="GJ49" s="30"/>
      <c r="GK49" s="30"/>
      <c r="GL49" s="30"/>
      <c r="GM49" s="30"/>
      <c r="GN49" s="30"/>
      <c r="GO49" s="30"/>
      <c r="GP49" s="30"/>
      <c r="GQ49" s="30"/>
      <c r="GR49" s="30"/>
      <c r="GS49" s="30"/>
      <c r="GT49" s="30"/>
      <c r="GU49" s="30"/>
      <c r="GV49" s="30"/>
      <c r="GW49" s="30"/>
      <c r="GX49" s="30"/>
      <c r="GY49" s="30"/>
      <c r="GZ49" s="30"/>
      <c r="HA49" s="30"/>
      <c r="HB49" s="30"/>
      <c r="HC49" s="30"/>
      <c r="HD49" s="30"/>
      <c r="HE49" s="30"/>
      <c r="HF49" s="30"/>
      <c r="HG49" s="30"/>
      <c r="HH49" s="30"/>
      <c r="HI49" s="30"/>
      <c r="HJ49" s="30"/>
      <c r="HK49" s="30"/>
      <c r="HL49" s="30"/>
      <c r="HM49" s="30"/>
      <c r="HN49" s="30"/>
      <c r="HO49" s="30"/>
      <c r="HP49" s="30"/>
      <c r="HQ49" s="30"/>
      <c r="HR49" s="30"/>
      <c r="HS49" s="30"/>
      <c r="HT49" s="30"/>
      <c r="HU49" s="30"/>
      <c r="HV49" s="30"/>
      <c r="HW49" s="30"/>
      <c r="HX49" s="30"/>
      <c r="HY49" s="30"/>
      <c r="HZ49" s="30"/>
      <c r="IA49" s="30"/>
      <c r="IB49" s="30"/>
      <c r="IC49" s="30"/>
      <c r="ID49" s="30"/>
      <c r="IE49" s="30"/>
      <c r="IF49" s="30"/>
      <c r="IG49" s="30"/>
      <c r="IH49" s="30"/>
      <c r="II49" s="30"/>
      <c r="IJ49" s="30"/>
      <c r="IK49" s="30"/>
      <c r="IL49" s="30"/>
      <c r="IM49" s="30"/>
      <c r="IN49" s="30"/>
      <c r="IO49" s="30"/>
      <c r="IP49" s="30"/>
      <c r="IQ49" s="30"/>
      <c r="IR49" s="30"/>
      <c r="IS49" s="30"/>
      <c r="IT49" s="30"/>
      <c r="IU49" s="30"/>
      <c r="IV49" s="30"/>
      <c r="IW49" s="30"/>
      <c r="IX49" s="30"/>
      <c r="IY49" s="30"/>
      <c r="IZ49" s="30"/>
      <c r="JA49" s="30"/>
      <c r="JB49" s="30"/>
      <c r="JC49" s="30"/>
      <c r="JD49" s="30"/>
      <c r="JE49" s="30"/>
      <c r="JF49" s="30"/>
      <c r="JG49" s="30"/>
      <c r="JH49" s="30"/>
      <c r="JI49" s="30"/>
      <c r="JJ49" s="30"/>
      <c r="JK49" s="30"/>
      <c r="JL49" s="30"/>
      <c r="JM49" s="30"/>
      <c r="JN49" s="30"/>
      <c r="JO49" s="30"/>
      <c r="JP49" s="30"/>
      <c r="JQ49" s="30"/>
      <c r="JR49" s="30"/>
      <c r="JS49" s="30"/>
      <c r="JT49" s="30"/>
      <c r="JU49" s="30"/>
      <c r="JV49" s="30"/>
      <c r="JW49" s="30"/>
      <c r="JX49" s="30"/>
      <c r="JY49" s="30"/>
      <c r="JZ49" s="30"/>
      <c r="KA49" s="30"/>
      <c r="KB49" s="30"/>
      <c r="KC49" s="30"/>
      <c r="KD49" s="30"/>
      <c r="KE49" s="30"/>
      <c r="KF49" s="30"/>
      <c r="KG49" s="30"/>
      <c r="KH49" s="30"/>
      <c r="KI49" s="30"/>
      <c r="KJ49" s="30"/>
      <c r="KK49" s="30"/>
      <c r="KL49" s="30"/>
      <c r="KM49" s="30"/>
      <c r="KN49" s="30"/>
      <c r="KO49" s="30"/>
      <c r="KP49" s="30"/>
      <c r="KQ49" s="30"/>
      <c r="KR49" s="30"/>
      <c r="KS49" s="30"/>
      <c r="KT49" s="30"/>
      <c r="KU49" s="30"/>
      <c r="KV49" s="30"/>
      <c r="KW49" s="30"/>
      <c r="KX49" s="30"/>
      <c r="KY49" s="30"/>
      <c r="KZ49" s="30"/>
      <c r="LA49" s="30"/>
      <c r="LB49" s="30"/>
      <c r="LC49" s="30"/>
      <c r="LD49" s="30"/>
      <c r="LE49" s="30"/>
      <c r="LF49" s="30"/>
      <c r="LG49" s="30"/>
      <c r="LH49" s="30"/>
      <c r="LI49" s="30"/>
      <c r="LJ49" s="30"/>
      <c r="LK49" s="30"/>
      <c r="LL49" s="30"/>
      <c r="LM49" s="30"/>
      <c r="LN49" s="30"/>
      <c r="LO49" s="30"/>
      <c r="LP49" s="30"/>
      <c r="LQ49" s="30"/>
      <c r="LR49" s="30"/>
      <c r="LS49" s="30"/>
      <c r="LT49" s="30"/>
      <c r="LU49" s="30"/>
      <c r="LV49" s="30"/>
      <c r="LW49" s="30"/>
      <c r="LX49" s="30"/>
      <c r="LY49" s="30"/>
      <c r="LZ49" s="30"/>
      <c r="MA49" s="30"/>
      <c r="MB49" s="30"/>
      <c r="MC49" s="30"/>
      <c r="MD49" s="30"/>
      <c r="ME49" s="30"/>
      <c r="MF49" s="30"/>
      <c r="MG49" s="30"/>
      <c r="MH49" s="30"/>
      <c r="MI49" s="30"/>
      <c r="MJ49" s="30"/>
      <c r="MK49" s="30"/>
      <c r="ML49" s="30"/>
      <c r="MM49" s="30"/>
      <c r="MN49" s="30"/>
      <c r="MO49" s="30"/>
      <c r="MP49" s="30"/>
      <c r="MQ49" s="30"/>
      <c r="MR49" s="30"/>
      <c r="MS49" s="30"/>
      <c r="MT49" s="30"/>
      <c r="MU49" s="30"/>
      <c r="MV49" s="30"/>
      <c r="MW49" s="30"/>
      <c r="MX49" s="30"/>
      <c r="MY49" s="30"/>
      <c r="MZ49" s="30"/>
      <c r="NA49" s="30"/>
      <c r="NB49" s="30"/>
      <c r="NC49" s="30"/>
      <c r="ND49" s="30"/>
      <c r="NE49" s="30"/>
      <c r="NF49" s="30"/>
      <c r="NG49" s="30"/>
      <c r="NH49" s="30"/>
      <c r="NI49" s="30"/>
      <c r="NJ49" s="30"/>
      <c r="NK49" s="30"/>
      <c r="NL49" s="30"/>
      <c r="NM49" s="30"/>
      <c r="NN49" s="30"/>
      <c r="NO49" s="30"/>
      <c r="NP49" s="30"/>
      <c r="NQ49" s="30"/>
      <c r="NR49" s="30"/>
      <c r="NS49" s="30"/>
      <c r="NT49" s="30"/>
      <c r="NU49" s="30"/>
      <c r="NV49" s="30"/>
      <c r="NW49" s="30"/>
      <c r="NX49" s="30"/>
      <c r="NY49" s="30"/>
      <c r="NZ49" s="30"/>
      <c r="OA49" s="30"/>
      <c r="OB49" s="30"/>
      <c r="OC49" s="30"/>
      <c r="OD49" s="30"/>
      <c r="OE49" s="30"/>
      <c r="OF49" s="30"/>
      <c r="OG49" s="30"/>
      <c r="OH49" s="30"/>
      <c r="OI49" s="30"/>
      <c r="OJ49" s="30"/>
      <c r="OK49" s="30"/>
      <c r="OL49" s="30"/>
      <c r="OM49" s="30"/>
      <c r="ON49" s="30"/>
      <c r="OO49" s="30"/>
      <c r="OP49" s="30"/>
      <c r="OQ49" s="30"/>
      <c r="OR49" s="30"/>
      <c r="OS49" s="30"/>
      <c r="OT49" s="30"/>
      <c r="OU49" s="30"/>
      <c r="OV49" s="30"/>
    </row>
    <row r="50" ht="18.0" customHeight="1">
      <c r="A50" s="29">
        <v>49.0</v>
      </c>
      <c r="B50" s="30" t="s">
        <v>3920</v>
      </c>
      <c r="C50" s="31" t="s">
        <v>3999</v>
      </c>
      <c r="D50" s="30" t="s">
        <v>3616</v>
      </c>
      <c r="E50" s="29">
        <v>30.0</v>
      </c>
      <c r="F50" s="29">
        <f>COUNTIF('Tổng hợp 75 trang đích'!$B$2:$B$3400,$D50)</f>
        <v>30</v>
      </c>
      <c r="G50" s="29">
        <f>COUNTIFS('Tổng hợp 75 trang đích'!$B$2:$B$3400,$D50,'Tổng hợp 75 trang đích'!$K$2:$K$3400,"PHÙ HỢP CAO")</f>
        <v>0</v>
      </c>
      <c r="H50" s="29">
        <f>COUNTIFS('Tổng hợp 75 trang đích'!$B$2:$B$3400,$D50,'Tổng hợp 75 trang đích'!$K$2:$K$3400,"CÓ THỂ ĐI")</f>
        <v>2</v>
      </c>
      <c r="I50" s="29">
        <f>COUNTIFS('Tổng hợp 75 trang đích'!$B$2:$B$3400,$D50,'Tổng hợp 75 trang đích'!$K$2:$K$3400,"CẦN SOÁT")</f>
        <v>28</v>
      </c>
      <c r="J50" s="32" t="s">
        <v>714</v>
      </c>
      <c r="K50" s="32" t="b">
        <v>0</v>
      </c>
      <c r="L50" s="33" t="s">
        <v>52</v>
      </c>
      <c r="M50" s="30" t="str">
        <f>IFERROR(__xludf.DUMMYFUNCTION("IFERROR(TOROW(CHOOSECOLS(SORT(FILTER({'Tổng hợp 75 trang đích'!$J$2:$J$3400,'Tổng hợp 75 trang đích'!$I$2:$I$3400,MATCH('Tổng hợp 75 trang đích'!$K$2:$K$3400,{""PHÙ HỢP CAO"",""CÓ THỂ ĐI"",""CẦN SOÁT""},0)},'Tổng hợp 75 trang đích'!$B$2:$B$3400=$D50),3,TR"&amp;"UE),1,2)),"""")"),"đổi tiền đô ở đâu")</f>
        <v>đổi tiền đô ở đâu</v>
      </c>
      <c r="N50" s="34" t="str">
        <f>IFERROR(__xludf.DUMMYFUNCTION("""COMPUTED_VALUE"""),"https://techcombank.com/thong-tin/blog/di-du-lich-nuoc-ngoai-can-chuan-bi-gi")</f>
        <v>https://techcombank.com/thong-tin/blog/di-du-lich-nuoc-ngoai-can-chuan-bi-gi</v>
      </c>
      <c r="O50" s="30" t="str">
        <f>IFERROR(__xludf.DUMMYFUNCTION("""COMPUTED_VALUE"""),"đổi tiền đô ở đâu")</f>
        <v>đổi tiền đô ở đâu</v>
      </c>
      <c r="P50" s="34" t="str">
        <f>IFERROR(__xludf.DUMMYFUNCTION("""COMPUTED_VALUE"""),"https://techcombank.com/thong-tin/blog/1-trieu-do-bang-bao-nhieu-tien-viet")</f>
        <v>https://techcombank.com/thong-tin/blog/1-trieu-do-bang-bao-nhieu-tien-viet</v>
      </c>
      <c r="Q50" s="30" t="str">
        <f>IFERROR(__xludf.DUMMYFUNCTION("""COMPUTED_VALUE"""),"đổi USD ở đâu")</f>
        <v>đổi USD ở đâu</v>
      </c>
      <c r="R50" s="34" t="str">
        <f>IFERROR(__xludf.DUMMYFUNCTION("""COMPUTED_VALUE"""),"https://techcombank.com/thong-tin/blog/vnd-to-myr")</f>
        <v>https://techcombank.com/thong-tin/blog/vnd-to-myr</v>
      </c>
      <c r="S50" s="30" t="str">
        <f>IFERROR(__xludf.DUMMYFUNCTION("""COMPUTED_VALUE"""),"đổi tiền đô ở đâu")</f>
        <v>đổi tiền đô ở đâu</v>
      </c>
      <c r="T50" s="34" t="str">
        <f>IFERROR(__xludf.DUMMYFUNCTION("""COMPUTED_VALUE"""),"https://techcombank.com/thong-tin/blog/tien-trung-quoc")</f>
        <v>https://techcombank.com/thong-tin/blog/tien-trung-quoc</v>
      </c>
      <c r="U50" s="30" t="str">
        <f>IFERROR(__xludf.DUMMYFUNCTION("""COMPUTED_VALUE"""),"đổi tiền đô ở đâu")</f>
        <v>đổi tiền đô ở đâu</v>
      </c>
      <c r="V50" s="34" t="str">
        <f>IFERROR(__xludf.DUMMYFUNCTION("""COMPUTED_VALUE"""),"https://techcombank.com/thong-tin/blog/tien-malaysia")</f>
        <v>https://techcombank.com/thong-tin/blog/tien-malaysia</v>
      </c>
      <c r="W50" s="30" t="str">
        <f>IFERROR(__xludf.DUMMYFUNCTION("""COMPUTED_VALUE"""),"đổi tiền đô ở đâu")</f>
        <v>đổi tiền đô ở đâu</v>
      </c>
      <c r="X50" s="34" t="str">
        <f>IFERROR(__xludf.DUMMYFUNCTION("""COMPUTED_VALUE"""),"https://techcombank.com/thong-tin/blog/mo-the-tin-dung-co-loi-ich-gi")</f>
        <v>https://techcombank.com/thong-tin/blog/mo-the-tin-dung-co-loi-ich-gi</v>
      </c>
      <c r="Y50" s="30" t="str">
        <f>IFERROR(__xludf.DUMMYFUNCTION("""COMPUTED_VALUE"""),"đổi tiền đô ở đâu")</f>
        <v>đổi tiền đô ở đâu</v>
      </c>
      <c r="Z50" s="34" t="str">
        <f>IFERROR(__xludf.DUMMYFUNCTION("""COMPUTED_VALUE"""),"https://techcombank.com/thong-tin/blog/nen-lam-the-visa-hay-noi-dia")</f>
        <v>https://techcombank.com/thong-tin/blog/nen-lam-the-visa-hay-noi-dia</v>
      </c>
      <c r="AA50" s="30" t="str">
        <f>IFERROR(__xludf.DUMMYFUNCTION("""COMPUTED_VALUE"""),"đổi tiền đô ở đâu")</f>
        <v>đổi tiền đô ở đâu</v>
      </c>
      <c r="AB50" s="34" t="str">
        <f>IFERROR(__xludf.DUMMYFUNCTION("""COMPUTED_VALUE"""),"https://techcombank.com/thong-tin/blog/quan-ly-tai-chinh-cho-dan-van-phong")</f>
        <v>https://techcombank.com/thong-tin/blog/quan-ly-tai-chinh-cho-dan-van-phong</v>
      </c>
      <c r="AC50" s="30" t="str">
        <f>IFERROR(__xludf.DUMMYFUNCTION("""COMPUTED_VALUE"""),"đổi tiền đô ở đâu")</f>
        <v>đổi tiền đô ở đâu</v>
      </c>
      <c r="AD50" s="34" t="str">
        <f>IFERROR(__xludf.DUMMYFUNCTION("""COMPUTED_VALUE"""),"https://techcombank.com/thong-tin/blog/rut-tien-mat-tu-tai-khoan-doanh-nghiep")</f>
        <v>https://techcombank.com/thong-tin/blog/rut-tien-mat-tu-tai-khoan-doanh-nghiep</v>
      </c>
      <c r="AE50" s="30" t="str">
        <f>IFERROR(__xludf.DUMMYFUNCTION("""COMPUTED_VALUE"""),"đổi tiền đô ở đâu")</f>
        <v>đổi tiền đô ở đâu</v>
      </c>
      <c r="AF50" s="34" t="str">
        <f>IFERROR(__xludf.DUMMYFUNCTION("""COMPUTED_VALUE"""),"https://techcombank.com/thong-tin/blog/chuyen-tien-tro-cap-than-nhan-o-nuoc-ngoai")</f>
        <v>https://techcombank.com/thong-tin/blog/chuyen-tien-tro-cap-than-nhan-o-nuoc-ngoai</v>
      </c>
      <c r="AG50" s="30" t="str">
        <f>IFERROR(__xludf.DUMMYFUNCTION("""COMPUTED_VALUE"""),"đổi tiền đô ở đâu")</f>
        <v>đổi tiền đô ở đâu</v>
      </c>
      <c r="AH50" s="34" t="str">
        <f>IFERROR(__xludf.DUMMYFUNCTION("""COMPUTED_VALUE"""),"https://techcombank.com/thong-tin/blog/bao-hiem-suc-khoe-la-gi")</f>
        <v>https://techcombank.com/thong-tin/blog/bao-hiem-suc-khoe-la-gi</v>
      </c>
      <c r="AI50" s="30" t="str">
        <f>IFERROR(__xludf.DUMMYFUNCTION("""COMPUTED_VALUE"""),"đổi tiền đô ở đâu")</f>
        <v>đổi tiền đô ở đâu</v>
      </c>
      <c r="AJ50" s="34" t="str">
        <f>IFERROR(__xludf.DUMMYFUNCTION("""COMPUTED_VALUE"""),"https://techcombank.com/thong-tin/blog/ho-kinh-doanh-can-gi-o-tai-khoan-ngan-hang")</f>
        <v>https://techcombank.com/thong-tin/blog/ho-kinh-doanh-can-gi-o-tai-khoan-ngan-hang</v>
      </c>
      <c r="AK50" s="30" t="str">
        <f>IFERROR(__xludf.DUMMYFUNCTION("""COMPUTED_VALUE"""),"đổi tiền đô ở đâu")</f>
        <v>đổi tiền đô ở đâu</v>
      </c>
      <c r="AL50" s="34" t="str">
        <f>IFERROR(__xludf.DUMMYFUNCTION("""COMPUTED_VALUE"""),"https://techcombank.com/thong-tin/blog/nap-tien-vao-tai-khoan-ngan-hang")</f>
        <v>https://techcombank.com/thong-tin/blog/nap-tien-vao-tai-khoan-ngan-hang</v>
      </c>
      <c r="AM50" s="30" t="str">
        <f>IFERROR(__xludf.DUMMYFUNCTION("""COMPUTED_VALUE"""),"đổi tiền đô ở đâu")</f>
        <v>đổi tiền đô ở đâu</v>
      </c>
      <c r="AN50" s="34" t="str">
        <f>IFERROR(__xludf.DUMMYFUNCTION("""COMPUTED_VALUE"""),"https://techcombank.com/thong-tin/blog/tien-indonesia")</f>
        <v>https://techcombank.com/thong-tin/blog/tien-indonesia</v>
      </c>
      <c r="AO50" s="30" t="str">
        <f>IFERROR(__xludf.DUMMYFUNCTION("""COMPUTED_VALUE"""),"đổi tiền đô ở đâu")</f>
        <v>đổi tiền đô ở đâu</v>
      </c>
      <c r="AP50" s="34" t="str">
        <f>IFERROR(__xludf.DUMMYFUNCTION("""COMPUTED_VALUE"""),"https://techcombank.com/thong-tin/blog/nhan-tien-western-union")</f>
        <v>https://techcombank.com/thong-tin/blog/nhan-tien-western-union</v>
      </c>
      <c r="AQ50" s="30" t="str">
        <f>IFERROR(__xludf.DUMMYFUNCTION("""COMPUTED_VALUE"""),"đổi tiền đô ở đâu")</f>
        <v>đổi tiền đô ở đâu</v>
      </c>
      <c r="AR50" s="34" t="str">
        <f>IFERROR(__xludf.DUMMYFUNCTION("""COMPUTED_VALUE"""),"https://techcombank.com/thong-tin/blog/vang-24k")</f>
        <v>https://techcombank.com/thong-tin/blog/vang-24k</v>
      </c>
      <c r="AS50" s="30" t="str">
        <f>IFERROR(__xludf.DUMMYFUNCTION("""COMPUTED_VALUE"""),"đổi tiền đô ở đâu")</f>
        <v>đổi tiền đô ở đâu</v>
      </c>
      <c r="AT50" s="34" t="str">
        <f>IFERROR(__xludf.DUMMYFUNCTION("""COMPUTED_VALUE"""),"https://techcombank.com/thong-tin/blog/bao-hiem-sinh-ky-la-gi")</f>
        <v>https://techcombank.com/thong-tin/blog/bao-hiem-sinh-ky-la-gi</v>
      </c>
      <c r="AU50" s="30" t="str">
        <f>IFERROR(__xludf.DUMMYFUNCTION("""COMPUTED_VALUE"""),"đổi tiền đô ở đâu")</f>
        <v>đổi tiền đô ở đâu</v>
      </c>
      <c r="AV50" s="34" t="str">
        <f>IFERROR(__xludf.DUMMYFUNCTION("""COMPUTED_VALUE"""),"https://techcombank.com/thong-tin/blog/techcombank-sinh-loi-tu-dong")</f>
        <v>https://techcombank.com/thong-tin/blog/techcombank-sinh-loi-tu-dong</v>
      </c>
      <c r="AW50" s="30" t="str">
        <f>IFERROR(__xludf.DUMMYFUNCTION("""COMPUTED_VALUE"""),"đổi tiền đô ở đâu")</f>
        <v>đổi tiền đô ở đâu</v>
      </c>
      <c r="AX50" s="34" t="str">
        <f>IFERROR(__xludf.DUMMYFUNCTION("""COMPUTED_VALUE"""),"https://techcombank.com/thong-tin/blog/phi-chuyen-doi-ngoai-te")</f>
        <v>https://techcombank.com/thong-tin/blog/phi-chuyen-doi-ngoai-te</v>
      </c>
      <c r="AY50" s="30" t="str">
        <f>IFERROR(__xludf.DUMMYFUNCTION("""COMPUTED_VALUE"""),"đổi tiền đô ở đâu")</f>
        <v>đổi tiền đô ở đâu</v>
      </c>
      <c r="AZ50" s="34" t="str">
        <f>IFERROR(__xludf.DUMMYFUNCTION("""COMPUTED_VALUE"""),"https://techcombank.com/thong-tin/blog/1-do-uc-bang-bao-nhieu-tien-viet")</f>
        <v>https://techcombank.com/thong-tin/blog/1-do-uc-bang-bao-nhieu-tien-viet</v>
      </c>
      <c r="BA50" s="30" t="str">
        <f>IFERROR(__xludf.DUMMYFUNCTION("""COMPUTED_VALUE"""),"đổi tiền đô ở đâu")</f>
        <v>đổi tiền đô ở đâu</v>
      </c>
      <c r="BB50" s="34" t="str">
        <f>IFERROR(__xludf.DUMMYFUNCTION("""COMPUTED_VALUE"""),"https://techcombank.com/thong-tin/blog/cach-tiet-kiem-tien-theo-tuan")</f>
        <v>https://techcombank.com/thong-tin/blog/cach-tiet-kiem-tien-theo-tuan</v>
      </c>
      <c r="BC50" s="30" t="str">
        <f>IFERROR(__xludf.DUMMYFUNCTION("""COMPUTED_VALUE"""),"đổi tiền đô ở đâu")</f>
        <v>đổi tiền đô ở đâu</v>
      </c>
      <c r="BD50" s="34" t="str">
        <f>IFERROR(__xludf.DUMMYFUNCTION("""COMPUTED_VALUE"""),"https://techcombank.com/thong-tin/blog/tien-singapore")</f>
        <v>https://techcombank.com/thong-tin/blog/tien-singapore</v>
      </c>
      <c r="BE50" s="30" t="str">
        <f>IFERROR(__xludf.DUMMYFUNCTION("""COMPUTED_VALUE"""),"đổi tiền đô ở đâu")</f>
        <v>đổi tiền đô ở đâu</v>
      </c>
      <c r="BF50" s="34" t="str">
        <f>IFERROR(__xludf.DUMMYFUNCTION("""COMPUTED_VALUE"""),"https://techcombank.com/thong-tin/blog/1-cent-bang-bao-nhieu-tien-viet")</f>
        <v>https://techcombank.com/thong-tin/blog/1-cent-bang-bao-nhieu-tien-viet</v>
      </c>
      <c r="BG50" s="30" t="str">
        <f>IFERROR(__xludf.DUMMYFUNCTION("""COMPUTED_VALUE"""),"đổi tiền đô ở đâu")</f>
        <v>đổi tiền đô ở đâu</v>
      </c>
      <c r="BH50" s="34" t="str">
        <f>IFERROR(__xludf.DUMMYFUNCTION("""COMPUTED_VALUE"""),"https://techcombank.com/thong-tin/blog/vay-sinh-vien")</f>
        <v>https://techcombank.com/thong-tin/blog/vay-sinh-vien</v>
      </c>
      <c r="BI50" s="30" t="str">
        <f>IFERROR(__xludf.DUMMYFUNCTION("""COMPUTED_VALUE"""),"đổi tiền đô ở đâu")</f>
        <v>đổi tiền đô ở đâu</v>
      </c>
      <c r="BJ50" s="34" t="str">
        <f>IFERROR(__xludf.DUMMYFUNCTION("""COMPUTED_VALUE"""),"https://techcombank.com/thong-tin/blog/hoc-cach-tiet-kiem-tien-luong")</f>
        <v>https://techcombank.com/thong-tin/blog/hoc-cach-tiet-kiem-tien-luong</v>
      </c>
      <c r="BK50" s="30" t="str">
        <f>IFERROR(__xludf.DUMMYFUNCTION("""COMPUTED_VALUE"""),"đổi tiền đô ở đâu")</f>
        <v>đổi tiền đô ở đâu</v>
      </c>
      <c r="BL50" s="34" t="str">
        <f>IFERROR(__xludf.DUMMYFUNCTION("""COMPUTED_VALUE"""),"https://techcombank.com/thong-tin/blog/chuyen-tien-di-uc")</f>
        <v>https://techcombank.com/thong-tin/blog/chuyen-tien-di-uc</v>
      </c>
      <c r="BM50" s="30" t="str">
        <f>IFERROR(__xludf.DUMMYFUNCTION("""COMPUTED_VALUE"""),"đổi tiền đô ở đâu")</f>
        <v>đổi tiền đô ở đâu</v>
      </c>
      <c r="BN50" s="34" t="str">
        <f>IFERROR(__xludf.DUMMYFUNCTION("""COMPUTED_VALUE"""),"https://techcombank.com/thong-tin/blog/thanh-toan-qr-thai-lan")</f>
        <v>https://techcombank.com/thong-tin/blog/thanh-toan-qr-thai-lan</v>
      </c>
      <c r="BO50" s="30" t="str">
        <f>IFERROR(__xludf.DUMMYFUNCTION("""COMPUTED_VALUE"""),"đổi tiền đô ở đâu")</f>
        <v>đổi tiền đô ở đâu</v>
      </c>
      <c r="BP50" s="34" t="str">
        <f>IFERROR(__xludf.DUMMYFUNCTION("""COMPUTED_VALUE"""),"https://techcombank.com/thong-tin/blog/chuyen-tien-tu-my-ve-viet-nam")</f>
        <v>https://techcombank.com/thong-tin/blog/chuyen-tien-tu-my-ve-viet-nam</v>
      </c>
      <c r="BQ50" s="30" t="str">
        <f>IFERROR(__xludf.DUMMYFUNCTION("""COMPUTED_VALUE"""),"đổi tiền đô ở đâu")</f>
        <v>đổi tiền đô ở đâu</v>
      </c>
      <c r="BR50" s="34" t="str">
        <f>IFERROR(__xludf.DUMMYFUNCTION("""COMPUTED_VALUE"""),"https://techcombank.com/thong-tin/blog/1-dong-do-la-my-bang-bao-nhieu-tien-viet-nam")</f>
        <v>https://techcombank.com/thong-tin/blog/1-dong-do-la-my-bang-bao-nhieu-tien-viet-nam</v>
      </c>
      <c r="BS50" s="30" t="str">
        <f>IFERROR(__xludf.DUMMYFUNCTION("""COMPUTED_VALUE"""),"đổi tiền đô ở đâu")</f>
        <v>đổi tiền đô ở đâu</v>
      </c>
      <c r="BT50" s="34" t="str">
        <f>IFERROR(__xludf.DUMMYFUNCTION("""COMPUTED_VALUE"""),"https://techcombank.com/thong-tin/blog/npv-la-gi")</f>
        <v>https://techcombank.com/thong-tin/blog/npv-la-gi</v>
      </c>
      <c r="BU50" s="30"/>
      <c r="BV50" s="30"/>
      <c r="BW50" s="30"/>
      <c r="BX50" s="30"/>
      <c r="BY50" s="30"/>
      <c r="BZ50" s="30"/>
      <c r="CA50" s="30"/>
      <c r="CB50" s="30"/>
      <c r="CC50" s="30"/>
      <c r="CD50" s="30"/>
      <c r="CE50" s="30"/>
      <c r="CF50" s="30"/>
      <c r="CG50" s="30"/>
      <c r="CH50" s="30"/>
      <c r="CI50" s="30"/>
      <c r="CJ50" s="30"/>
      <c r="CK50" s="30"/>
      <c r="CL50" s="30"/>
      <c r="CM50" s="30"/>
      <c r="CN50" s="30"/>
      <c r="CO50" s="30"/>
      <c r="CP50" s="30"/>
      <c r="CQ50" s="30"/>
      <c r="CR50" s="30"/>
      <c r="CS50" s="30"/>
      <c r="CT50" s="30"/>
      <c r="CU50" s="30"/>
      <c r="CV50" s="30"/>
      <c r="CW50" s="30"/>
      <c r="CX50" s="30"/>
      <c r="CY50" s="30"/>
      <c r="CZ50" s="30"/>
      <c r="DA50" s="30"/>
      <c r="DB50" s="30"/>
      <c r="DC50" s="30"/>
      <c r="DD50" s="30"/>
      <c r="DE50" s="30"/>
      <c r="DF50" s="30"/>
      <c r="DG50" s="30"/>
      <c r="DH50" s="30"/>
      <c r="DI50" s="30"/>
      <c r="DJ50" s="30"/>
      <c r="DK50" s="30"/>
      <c r="DL50" s="30"/>
      <c r="DM50" s="30"/>
      <c r="DN50" s="30"/>
      <c r="DO50" s="30"/>
      <c r="DP50" s="30"/>
      <c r="DQ50" s="30"/>
      <c r="DR50" s="30"/>
      <c r="DS50" s="30"/>
      <c r="DT50" s="30"/>
      <c r="DU50" s="30"/>
      <c r="DV50" s="30"/>
      <c r="DW50" s="30"/>
      <c r="DX50" s="30"/>
      <c r="DY50" s="30"/>
      <c r="DZ50" s="30"/>
      <c r="EA50" s="30"/>
      <c r="EB50" s="30"/>
      <c r="EC50" s="30"/>
      <c r="ED50" s="30"/>
      <c r="EE50" s="30"/>
      <c r="EF50" s="30"/>
      <c r="EG50" s="30"/>
      <c r="EH50" s="30"/>
      <c r="EI50" s="30"/>
      <c r="EJ50" s="30"/>
      <c r="EK50" s="30"/>
      <c r="EL50" s="30"/>
      <c r="EM50" s="30"/>
      <c r="EN50" s="30"/>
      <c r="EO50" s="30"/>
      <c r="EP50" s="30"/>
      <c r="EQ50" s="30"/>
      <c r="ER50" s="30"/>
      <c r="ES50" s="30"/>
      <c r="ET50" s="30"/>
      <c r="EU50" s="30"/>
      <c r="EV50" s="30"/>
      <c r="EW50" s="30"/>
      <c r="EX50" s="30"/>
      <c r="EY50" s="30"/>
      <c r="EZ50" s="30"/>
      <c r="FA50" s="30"/>
      <c r="FB50" s="30"/>
      <c r="FC50" s="30"/>
      <c r="FD50" s="30"/>
      <c r="FE50" s="30"/>
      <c r="FF50" s="30"/>
      <c r="FG50" s="30"/>
      <c r="FH50" s="30"/>
      <c r="FI50" s="30"/>
      <c r="FJ50" s="30"/>
      <c r="FK50" s="30"/>
      <c r="FL50" s="30"/>
      <c r="FM50" s="30"/>
      <c r="FN50" s="30"/>
      <c r="FO50" s="30"/>
      <c r="FP50" s="30"/>
      <c r="FQ50" s="30"/>
      <c r="FR50" s="30"/>
      <c r="FS50" s="30"/>
      <c r="FT50" s="30"/>
      <c r="FU50" s="30"/>
      <c r="FV50" s="30"/>
      <c r="FW50" s="30"/>
      <c r="FX50" s="30"/>
      <c r="FY50" s="30"/>
      <c r="FZ50" s="30"/>
      <c r="GA50" s="30"/>
      <c r="GB50" s="30"/>
      <c r="GC50" s="30"/>
      <c r="GD50" s="30"/>
      <c r="GE50" s="30"/>
      <c r="GF50" s="30"/>
      <c r="GG50" s="30"/>
      <c r="GH50" s="30"/>
      <c r="GI50" s="30"/>
      <c r="GJ50" s="30"/>
      <c r="GK50" s="30"/>
      <c r="GL50" s="30"/>
      <c r="GM50" s="30"/>
      <c r="GN50" s="30"/>
      <c r="GO50" s="30"/>
      <c r="GP50" s="30"/>
      <c r="GQ50" s="30"/>
      <c r="GR50" s="30"/>
      <c r="GS50" s="30"/>
      <c r="GT50" s="30"/>
      <c r="GU50" s="30"/>
      <c r="GV50" s="30"/>
      <c r="GW50" s="30"/>
      <c r="GX50" s="30"/>
      <c r="GY50" s="30"/>
      <c r="GZ50" s="30"/>
      <c r="HA50" s="30"/>
      <c r="HB50" s="30"/>
      <c r="HC50" s="30"/>
      <c r="HD50" s="30"/>
      <c r="HE50" s="30"/>
      <c r="HF50" s="30"/>
      <c r="HG50" s="30"/>
      <c r="HH50" s="30"/>
      <c r="HI50" s="30"/>
      <c r="HJ50" s="30"/>
      <c r="HK50" s="30"/>
      <c r="HL50" s="30"/>
      <c r="HM50" s="30"/>
      <c r="HN50" s="30"/>
      <c r="HO50" s="30"/>
      <c r="HP50" s="30"/>
      <c r="HQ50" s="30"/>
      <c r="HR50" s="30"/>
      <c r="HS50" s="30"/>
      <c r="HT50" s="30"/>
      <c r="HU50" s="30"/>
      <c r="HV50" s="30"/>
      <c r="HW50" s="30"/>
      <c r="HX50" s="30"/>
      <c r="HY50" s="30"/>
      <c r="HZ50" s="30"/>
      <c r="IA50" s="30"/>
      <c r="IB50" s="30"/>
      <c r="IC50" s="30"/>
      <c r="ID50" s="30"/>
      <c r="IE50" s="30"/>
      <c r="IF50" s="30"/>
      <c r="IG50" s="30"/>
      <c r="IH50" s="30"/>
      <c r="II50" s="30"/>
      <c r="IJ50" s="30"/>
      <c r="IK50" s="30"/>
      <c r="IL50" s="30"/>
      <c r="IM50" s="30"/>
      <c r="IN50" s="30"/>
      <c r="IO50" s="30"/>
      <c r="IP50" s="30"/>
      <c r="IQ50" s="30"/>
      <c r="IR50" s="30"/>
      <c r="IS50" s="30"/>
      <c r="IT50" s="30"/>
      <c r="IU50" s="30"/>
      <c r="IV50" s="30"/>
      <c r="IW50" s="30"/>
      <c r="IX50" s="30"/>
      <c r="IY50" s="30"/>
      <c r="IZ50" s="30"/>
      <c r="JA50" s="30"/>
      <c r="JB50" s="30"/>
      <c r="JC50" s="30"/>
      <c r="JD50" s="30"/>
      <c r="JE50" s="30"/>
      <c r="JF50" s="30"/>
      <c r="JG50" s="30"/>
      <c r="JH50" s="30"/>
      <c r="JI50" s="30"/>
      <c r="JJ50" s="30"/>
      <c r="JK50" s="30"/>
      <c r="JL50" s="30"/>
      <c r="JM50" s="30"/>
      <c r="JN50" s="30"/>
      <c r="JO50" s="30"/>
      <c r="JP50" s="30"/>
      <c r="JQ50" s="30"/>
      <c r="JR50" s="30"/>
      <c r="JS50" s="30"/>
      <c r="JT50" s="30"/>
      <c r="JU50" s="30"/>
      <c r="JV50" s="30"/>
      <c r="JW50" s="30"/>
      <c r="JX50" s="30"/>
      <c r="JY50" s="30"/>
      <c r="JZ50" s="30"/>
      <c r="KA50" s="30"/>
      <c r="KB50" s="30"/>
      <c r="KC50" s="30"/>
      <c r="KD50" s="30"/>
      <c r="KE50" s="30"/>
      <c r="KF50" s="30"/>
      <c r="KG50" s="30"/>
      <c r="KH50" s="30"/>
      <c r="KI50" s="30"/>
      <c r="KJ50" s="30"/>
      <c r="KK50" s="30"/>
      <c r="KL50" s="30"/>
      <c r="KM50" s="30"/>
      <c r="KN50" s="30"/>
      <c r="KO50" s="30"/>
      <c r="KP50" s="30"/>
      <c r="KQ50" s="30"/>
      <c r="KR50" s="30"/>
      <c r="KS50" s="30"/>
      <c r="KT50" s="30"/>
      <c r="KU50" s="30"/>
      <c r="KV50" s="30"/>
      <c r="KW50" s="30"/>
      <c r="KX50" s="30"/>
      <c r="KY50" s="30"/>
      <c r="KZ50" s="30"/>
      <c r="LA50" s="30"/>
      <c r="LB50" s="30"/>
      <c r="LC50" s="30"/>
      <c r="LD50" s="30"/>
      <c r="LE50" s="30"/>
      <c r="LF50" s="30"/>
      <c r="LG50" s="30"/>
      <c r="LH50" s="30"/>
      <c r="LI50" s="30"/>
      <c r="LJ50" s="30"/>
      <c r="LK50" s="30"/>
      <c r="LL50" s="30"/>
      <c r="LM50" s="30"/>
      <c r="LN50" s="30"/>
      <c r="LO50" s="30"/>
      <c r="LP50" s="30"/>
      <c r="LQ50" s="30"/>
      <c r="LR50" s="30"/>
      <c r="LS50" s="30"/>
      <c r="LT50" s="30"/>
      <c r="LU50" s="30"/>
      <c r="LV50" s="30"/>
      <c r="LW50" s="30"/>
      <c r="LX50" s="30"/>
      <c r="LY50" s="30"/>
      <c r="LZ50" s="30"/>
      <c r="MA50" s="30"/>
      <c r="MB50" s="30"/>
      <c r="MC50" s="30"/>
      <c r="MD50" s="30"/>
      <c r="ME50" s="30"/>
      <c r="MF50" s="30"/>
      <c r="MG50" s="30"/>
      <c r="MH50" s="30"/>
      <c r="MI50" s="30"/>
      <c r="MJ50" s="30"/>
      <c r="MK50" s="30"/>
      <c r="ML50" s="30"/>
      <c r="MM50" s="30"/>
      <c r="MN50" s="30"/>
      <c r="MO50" s="30"/>
      <c r="MP50" s="30"/>
      <c r="MQ50" s="30"/>
      <c r="MR50" s="30"/>
      <c r="MS50" s="30"/>
      <c r="MT50" s="30"/>
      <c r="MU50" s="30"/>
      <c r="MV50" s="30"/>
      <c r="MW50" s="30"/>
      <c r="MX50" s="30"/>
      <c r="MY50" s="30"/>
      <c r="MZ50" s="30"/>
      <c r="NA50" s="30"/>
      <c r="NB50" s="30"/>
      <c r="NC50" s="30"/>
      <c r="ND50" s="30"/>
      <c r="NE50" s="30"/>
      <c r="NF50" s="30"/>
      <c r="NG50" s="30"/>
      <c r="NH50" s="30"/>
      <c r="NI50" s="30"/>
      <c r="NJ50" s="30"/>
      <c r="NK50" s="30"/>
      <c r="NL50" s="30"/>
      <c r="NM50" s="30"/>
      <c r="NN50" s="30"/>
      <c r="NO50" s="30"/>
      <c r="NP50" s="30"/>
      <c r="NQ50" s="30"/>
      <c r="NR50" s="30"/>
      <c r="NS50" s="30"/>
      <c r="NT50" s="30"/>
      <c r="NU50" s="30"/>
      <c r="NV50" s="30"/>
      <c r="NW50" s="30"/>
      <c r="NX50" s="30"/>
      <c r="NY50" s="30"/>
      <c r="NZ50" s="30"/>
      <c r="OA50" s="30"/>
      <c r="OB50" s="30"/>
      <c r="OC50" s="30"/>
      <c r="OD50" s="30"/>
      <c r="OE50" s="30"/>
      <c r="OF50" s="30"/>
      <c r="OG50" s="30"/>
      <c r="OH50" s="30"/>
      <c r="OI50" s="30"/>
      <c r="OJ50" s="30"/>
      <c r="OK50" s="30"/>
      <c r="OL50" s="30"/>
      <c r="OM50" s="30"/>
      <c r="ON50" s="30"/>
      <c r="OO50" s="30"/>
      <c r="OP50" s="30"/>
      <c r="OQ50" s="30"/>
      <c r="OR50" s="30"/>
      <c r="OS50" s="30"/>
      <c r="OT50" s="30"/>
      <c r="OU50" s="30"/>
      <c r="OV50" s="30"/>
    </row>
    <row r="51" ht="18.0" customHeight="1">
      <c r="A51" s="29">
        <v>50.0</v>
      </c>
      <c r="B51" s="30" t="s">
        <v>4716</v>
      </c>
      <c r="C51" s="31" t="s">
        <v>4054</v>
      </c>
      <c r="D51" s="30" t="s">
        <v>2895</v>
      </c>
      <c r="E51" s="29">
        <v>30.0</v>
      </c>
      <c r="F51" s="29">
        <f>COUNTIF('Tổng hợp 75 trang đích'!$B$2:$B$3400,$D51)</f>
        <v>30</v>
      </c>
      <c r="G51" s="29">
        <f>COUNTIFS('Tổng hợp 75 trang đích'!$B$2:$B$3400,$D51,'Tổng hợp 75 trang đích'!$K$2:$K$3400,"PHÙ HỢP CAO")</f>
        <v>1</v>
      </c>
      <c r="H51" s="29">
        <f>COUNTIFS('Tổng hợp 75 trang đích'!$B$2:$B$3400,$D51,'Tổng hợp 75 trang đích'!$K$2:$K$3400,"CÓ THỂ ĐI")</f>
        <v>1</v>
      </c>
      <c r="I51" s="29">
        <f>COUNTIFS('Tổng hợp 75 trang đích'!$B$2:$B$3400,$D51,'Tổng hợp 75 trang đích'!$K$2:$K$3400,"CẦN SOÁT")</f>
        <v>28</v>
      </c>
      <c r="J51" s="32" t="s">
        <v>714</v>
      </c>
      <c r="K51" s="32" t="b">
        <v>0</v>
      </c>
      <c r="L51" s="33" t="s">
        <v>52</v>
      </c>
      <c r="M51" s="30" t="str">
        <f>IFERROR(__xludf.DUMMYFUNCTION("IFERROR(TOROW(CHOOSECOLS(SORT(FILTER({'Tổng hợp 75 trang đích'!$J$2:$J$3400,'Tổng hợp 75 trang đích'!$I$2:$I$3400,MATCH('Tổng hợp 75 trang đích'!$K$2:$K$3400,{""PHÙ HỢP CAO"",""CÓ THỂ ĐI"",""CẦN SOÁT""},0)},'Tổng hợp 75 trang đích'!$B$2:$B$3400=$D51),3,TR"&amp;"UE),1,2)),"""")"),"vay ngân hàng 1 tỷ mỗi tháng trả bao nhiêu")</f>
        <v>vay ngân hàng 1 tỷ mỗi tháng trả bao nhiêu</v>
      </c>
      <c r="N51" s="34" t="str">
        <f>IFERROR(__xludf.DUMMYFUNCTION("""COMPUTED_VALUE"""),"https://techcombank.com/thong-tin/blog/co-nen-vay-ngan-hang-mua-nha")</f>
        <v>https://techcombank.com/thong-tin/blog/co-nen-vay-ngan-hang-mua-nha</v>
      </c>
      <c r="O51" s="30" t="str">
        <f>IFERROR(__xludf.DUMMYFUNCTION("""COMPUTED_VALUE"""),"vay ngân hàng 1 tỷ mỗi tháng trả bao nhiêu")</f>
        <v>vay ngân hàng 1 tỷ mỗi tháng trả bao nhiêu</v>
      </c>
      <c r="P51" s="34" t="str">
        <f>IFERROR(__xludf.DUMMYFUNCTION("""COMPUTED_VALUE"""),"https://techcombank.com/thong-tin/blog/lai-suat-vay-the-chap")</f>
        <v>https://techcombank.com/thong-tin/blog/lai-suat-vay-the-chap</v>
      </c>
      <c r="Q51" s="30" t="str">
        <f>IFERROR(__xludf.DUMMYFUNCTION("""COMPUTED_VALUE"""),"vay 1 tỷ mỗi tháng trả bao nhiêu")</f>
        <v>vay 1 tỷ mỗi tháng trả bao nhiêu</v>
      </c>
      <c r="R51" s="34" t="str">
        <f>IFERROR(__xludf.DUMMYFUNCTION("""COMPUTED_VALUE"""),"https://techcombank.com/thong-tin/blog/du-no-la-gi")</f>
        <v>https://techcombank.com/thong-tin/blog/du-no-la-gi</v>
      </c>
      <c r="S51" s="30" t="str">
        <f>IFERROR(__xludf.DUMMYFUNCTION("""COMPUTED_VALUE"""),"vay 1 tỷ mỗi tháng trả bao nhiêu")</f>
        <v>vay 1 tỷ mỗi tháng trả bao nhiêu</v>
      </c>
      <c r="T51" s="34" t="str">
        <f>IFERROR(__xludf.DUMMYFUNCTION("""COMPUTED_VALUE"""),"https://techcombank.com/thong-tin/blog/tat-toan")</f>
        <v>https://techcombank.com/thong-tin/blog/tat-toan</v>
      </c>
      <c r="U51" s="30" t="str">
        <f>IFERROR(__xludf.DUMMYFUNCTION("""COMPUTED_VALUE"""),"vay ngân hàng 1 tỷ mỗi tháng trả bao nhiêu")</f>
        <v>vay ngân hàng 1 tỷ mỗi tháng trả bao nhiêu</v>
      </c>
      <c r="V51" s="34" t="str">
        <f>IFERROR(__xludf.DUMMYFUNCTION("""COMPUTED_VALUE"""),"https://techcombank.com/thong-tin/blog/dang-vay-tra-gop-co-vay-them-duoc-khong")</f>
        <v>https://techcombank.com/thong-tin/blog/dang-vay-tra-gop-co-vay-them-duoc-khong</v>
      </c>
      <c r="W51" s="30" t="str">
        <f>IFERROR(__xludf.DUMMYFUNCTION("""COMPUTED_VALUE"""),"vay 1 tỷ trong 20 năm mỗi tháng trả bao nhiêu")</f>
        <v>vay 1 tỷ trong 20 năm mỗi tháng trả bao nhiêu</v>
      </c>
      <c r="X51" s="34" t="str">
        <f>IFERROR(__xludf.DUMMYFUNCTION("""COMPUTED_VALUE"""),"https://techcombank.com/thong-tin/blog/luong-huu")</f>
        <v>https://techcombank.com/thong-tin/blog/luong-huu</v>
      </c>
      <c r="Y51" s="30" t="str">
        <f>IFERROR(__xludf.DUMMYFUNCTION("""COMPUTED_VALUE"""),"vay ngân hàng 1 tỷ mỗi tháng trả bao nhiêu")</f>
        <v>vay ngân hàng 1 tỷ mỗi tháng trả bao nhiêu</v>
      </c>
      <c r="Z51" s="34" t="str">
        <f>IFERROR(__xludf.DUMMYFUNCTION("""COMPUTED_VALUE"""),"https://techcombank.com/thong-tin/blog/vay-tra-gop")</f>
        <v>https://techcombank.com/thong-tin/blog/vay-tra-gop</v>
      </c>
      <c r="AA51" s="30" t="str">
        <f>IFERROR(__xludf.DUMMYFUNCTION("""COMPUTED_VALUE"""),"vay ngân hàng 1 tỷ mỗi tháng trả bao nhiêu")</f>
        <v>vay ngân hàng 1 tỷ mỗi tháng trả bao nhiêu</v>
      </c>
      <c r="AB51" s="34" t="str">
        <f>IFERROR(__xludf.DUMMYFUNCTION("""COMPUTED_VALUE"""),"https://techcombank.com/thong-tin/blog/tra-gop-qua-the-tin-dung")</f>
        <v>https://techcombank.com/thong-tin/blog/tra-gop-qua-the-tin-dung</v>
      </c>
      <c r="AC51" s="30" t="str">
        <f>IFERROR(__xludf.DUMMYFUNCTION("""COMPUTED_VALUE"""),"vay ngân hàng 1 tỷ mỗi tháng trả bao nhiêu")</f>
        <v>vay ngân hàng 1 tỷ mỗi tháng trả bao nhiêu</v>
      </c>
      <c r="AD51" s="34" t="str">
        <f>IFERROR(__xludf.DUMMYFUNCTION("""COMPUTED_VALUE"""),"https://techcombank.com/thong-tin/blog/lai-suat-the-tin-dung")</f>
        <v>https://techcombank.com/thong-tin/blog/lai-suat-the-tin-dung</v>
      </c>
      <c r="AE51" s="30" t="str">
        <f>IFERROR(__xludf.DUMMYFUNCTION("""COMPUTED_VALUE"""),"vay ngân hàng 1 tỷ mỗi tháng trả bao nhiêu")</f>
        <v>vay ngân hàng 1 tỷ mỗi tháng trả bao nhiêu</v>
      </c>
      <c r="AF51" s="34" t="str">
        <f>IFERROR(__xludf.DUMMYFUNCTION("""COMPUTED_VALUE"""),"https://techcombank.com/thong-tin/blog/vay-the-chap-khong-tra-duoc")</f>
        <v>https://techcombank.com/thong-tin/blog/vay-the-chap-khong-tra-duoc</v>
      </c>
      <c r="AG51" s="30" t="str">
        <f>IFERROR(__xludf.DUMMYFUNCTION("""COMPUTED_VALUE"""),"vay 1 tỷ mỗi tháng trả bao nhiêu")</f>
        <v>vay 1 tỷ mỗi tháng trả bao nhiêu</v>
      </c>
      <c r="AH51" s="34" t="str">
        <f>IFERROR(__xludf.DUMMYFUNCTION("""COMPUTED_VALUE"""),"https://techcombank.com/thong-tin/blog/qua-han-thanh-toan-the-tin-dung-1-ngay")</f>
        <v>https://techcombank.com/thong-tin/blog/qua-han-thanh-toan-the-tin-dung-1-ngay</v>
      </c>
      <c r="AI51" s="30" t="str">
        <f>IFERROR(__xludf.DUMMYFUNCTION("""COMPUTED_VALUE"""),"vay 1 tỷ mỗi tháng trả bao nhiêu")</f>
        <v>vay 1 tỷ mỗi tháng trả bao nhiêu</v>
      </c>
      <c r="AJ51" s="34" t="str">
        <f>IFERROR(__xludf.DUMMYFUNCTION("""COMPUTED_VALUE"""),"https://techcombank.com/thong-tin/blog/vay-300-trieu")</f>
        <v>https://techcombank.com/thong-tin/blog/vay-300-trieu</v>
      </c>
      <c r="AK51" s="30" t="str">
        <f>IFERROR(__xludf.DUMMYFUNCTION("""COMPUTED_VALUE"""),"vay 1 tỷ mỗi tháng trả bao nhiêu")</f>
        <v>vay 1 tỷ mỗi tháng trả bao nhiêu</v>
      </c>
      <c r="AL51" s="34" t="str">
        <f>IFERROR(__xludf.DUMMYFUNCTION("""COMPUTED_VALUE"""),"https://techcombank.com/thong-tin/blog/vay-20-trieu")</f>
        <v>https://techcombank.com/thong-tin/blog/vay-20-trieu</v>
      </c>
      <c r="AM51" s="30" t="str">
        <f>IFERROR(__xludf.DUMMYFUNCTION("""COMPUTED_VALUE"""),"vay 1 tỷ mỗi tháng trả bao nhiêu")</f>
        <v>vay 1 tỷ mỗi tháng trả bao nhiêu</v>
      </c>
      <c r="AN51" s="34" t="str">
        <f>IFERROR(__xludf.DUMMYFUNCTION("""COMPUTED_VALUE"""),"https://techcombank.com/thong-tin/blog/nhu-cau-vay-tieu-dung-cua-nguoi-viet-du-kien-tang-manh-trong-thoi-gian-toi")</f>
        <v>https://techcombank.com/thong-tin/blog/nhu-cau-vay-tieu-dung-cua-nguoi-viet-du-kien-tang-manh-trong-thoi-gian-toi</v>
      </c>
      <c r="AO51" s="30" t="str">
        <f>IFERROR(__xludf.DUMMYFUNCTION("""COMPUTED_VALUE"""),"vay 1 tỷ mỗi tháng trả bao nhiêu")</f>
        <v>vay 1 tỷ mỗi tháng trả bao nhiêu</v>
      </c>
      <c r="AP51" s="34" t="str">
        <f>IFERROR(__xludf.DUMMYFUNCTION("""COMPUTED_VALUE"""),"https://techcombank.com/thong-tin/blog/mo-tai-khoan-ho-kinh-doanh")</f>
        <v>https://techcombank.com/thong-tin/blog/mo-tai-khoan-ho-kinh-doanh</v>
      </c>
      <c r="AQ51" s="30" t="str">
        <f>IFERROR(__xludf.DUMMYFUNCTION("""COMPUTED_VALUE"""),"vay ngân hàng 1 tỷ mỗi tháng trả bao nhiêu")</f>
        <v>vay ngân hàng 1 tỷ mỗi tháng trả bao nhiêu</v>
      </c>
      <c r="AR51" s="34" t="str">
        <f>IFERROR(__xludf.DUMMYFUNCTION("""COMPUTED_VALUE"""),"https://techcombank.com/thong-tin/blog/vay-the-chap-la-gi")</f>
        <v>https://techcombank.com/thong-tin/blog/vay-the-chap-la-gi</v>
      </c>
      <c r="AS51" s="30" t="str">
        <f>IFERROR(__xludf.DUMMYFUNCTION("""COMPUTED_VALUE"""),"vay 1 tỷ mỗi tháng trả bao nhiêu")</f>
        <v>vay 1 tỷ mỗi tháng trả bao nhiêu</v>
      </c>
      <c r="AT51" s="34" t="str">
        <f>IFERROR(__xludf.DUMMYFUNCTION("""COMPUTED_VALUE"""),"https://techcombank.com/thong-tin/blog/khai-bao-tai-khoan-ngan-hang-voi-co-quan-thue")</f>
        <v>https://techcombank.com/thong-tin/blog/khai-bao-tai-khoan-ngan-hang-voi-co-quan-thue</v>
      </c>
      <c r="AU51" s="30" t="str">
        <f>IFERROR(__xludf.DUMMYFUNCTION("""COMPUTED_VALUE"""),"vay 1 tỷ mỗi tháng trả bao nhiêu")</f>
        <v>vay 1 tỷ mỗi tháng trả bao nhiêu</v>
      </c>
      <c r="AV51" s="34" t="str">
        <f>IFERROR(__xludf.DUMMYFUNCTION("""COMPUTED_VALUE"""),"https://techcombank.com/thong-tin/blog/cho-vay-tung-lan")</f>
        <v>https://techcombank.com/thong-tin/blog/cho-vay-tung-lan</v>
      </c>
      <c r="AW51" s="30" t="str">
        <f>IFERROR(__xludf.DUMMYFUNCTION("""COMPUTED_VALUE"""),"vay 1 tỷ mỗi tháng trả bao nhiêu")</f>
        <v>vay 1 tỷ mỗi tháng trả bao nhiêu</v>
      </c>
      <c r="AX51" s="34" t="str">
        <f>IFERROR(__xludf.DUMMYFUNCTION("""COMPUTED_VALUE"""),"https://techcombank.com/thong-tin/blog/thay-doi-dia-chi-ho-kinh-doanh")</f>
        <v>https://techcombank.com/thong-tin/blog/thay-doi-dia-chi-ho-kinh-doanh</v>
      </c>
      <c r="AY51" s="30" t="str">
        <f>IFERROR(__xludf.DUMMYFUNCTION("""COMPUTED_VALUE"""),"vay ngân hàng 1 tỷ mỗi tháng trả bao nhiêu")</f>
        <v>vay ngân hàng 1 tỷ mỗi tháng trả bao nhiêu</v>
      </c>
      <c r="AZ51" s="34" t="str">
        <f>IFERROR(__xludf.DUMMYFUNCTION("""COMPUTED_VALUE"""),"https://techcombank.com/thong-tin/blog/kinh-nghiem-vay-the-chap-ngan-hang")</f>
        <v>https://techcombank.com/thong-tin/blog/kinh-nghiem-vay-the-chap-ngan-hang</v>
      </c>
      <c r="BA51" s="30" t="str">
        <f>IFERROR(__xludf.DUMMYFUNCTION("""COMPUTED_VALUE"""),"vay ngân hàng 1 tỷ mỗi tháng trả bao nhiêu")</f>
        <v>vay ngân hàng 1 tỷ mỗi tháng trả bao nhiêu</v>
      </c>
      <c r="BB51" s="34" t="str">
        <f>IFERROR(__xludf.DUMMYFUNCTION("""COMPUTED_VALUE"""),"https://techcombank.com/thong-tin/blog/vay-mua-xe-tra-gop-ngan-hang-nao-tot-nhat")</f>
        <v>https://techcombank.com/thong-tin/blog/vay-mua-xe-tra-gop-ngan-hang-nao-tot-nhat</v>
      </c>
      <c r="BC51" s="30" t="str">
        <f>IFERROR(__xludf.DUMMYFUNCTION("""COMPUTED_VALUE"""),"vay 1 tỷ mỗi tháng trả bao nhiêu")</f>
        <v>vay 1 tỷ mỗi tháng trả bao nhiêu</v>
      </c>
      <c r="BD51" s="34" t="str">
        <f>IFERROR(__xludf.DUMMYFUNCTION("""COMPUTED_VALUE"""),"https://techcombank.com/thong-tin/blog/bao-hiem-trung")</f>
        <v>https://techcombank.com/thong-tin/blog/bao-hiem-trung</v>
      </c>
      <c r="BE51" s="30" t="str">
        <f>IFERROR(__xludf.DUMMYFUNCTION("""COMPUTED_VALUE"""),"vay 1 tỷ mỗi tháng trả bao nhiêu")</f>
        <v>vay 1 tỷ mỗi tháng trả bao nhiêu</v>
      </c>
      <c r="BF51" s="34" t="str">
        <f>IFERROR(__xludf.DUMMYFUNCTION("""COMPUTED_VALUE"""),"https://techcombank.com/thong-tin/blog/vay-mua-nha-tra-gop")</f>
        <v>https://techcombank.com/thong-tin/blog/vay-mua-nha-tra-gop</v>
      </c>
      <c r="BG51" s="30" t="str">
        <f>IFERROR(__xludf.DUMMYFUNCTION("""COMPUTED_VALUE"""),"vay 1 tỷ mỗi tháng trả bao nhiêu")</f>
        <v>vay 1 tỷ mỗi tháng trả bao nhiêu</v>
      </c>
      <c r="BH51" s="34" t="str">
        <f>IFERROR(__xludf.DUMMYFUNCTION("""COMPUTED_VALUE"""),"https://techcombank.com/thong-tin/blog/co-100-trieu-co-mua-nen-mua-tra-gop")</f>
        <v>https://techcombank.com/thong-tin/blog/co-100-trieu-co-mua-nen-mua-tra-gop</v>
      </c>
      <c r="BI51" s="30" t="str">
        <f>IFERROR(__xludf.DUMMYFUNCTION("""COMPUTED_VALUE"""),"vay 1 tỷ mỗi tháng trả bao nhiêu")</f>
        <v>vay 1 tỷ mỗi tháng trả bao nhiêu</v>
      </c>
      <c r="BJ51" s="34" t="str">
        <f>IFERROR(__xludf.DUMMYFUNCTION("""COMPUTED_VALUE"""),"https://techcombank.com/thong-tin/blog/nhung-ho-kinh-doanh-duoc-mien-thue")</f>
        <v>https://techcombank.com/thong-tin/blog/nhung-ho-kinh-doanh-duoc-mien-thue</v>
      </c>
      <c r="BK51" s="30" t="str">
        <f>IFERROR(__xludf.DUMMYFUNCTION("""COMPUTED_VALUE"""),"vay 1 tỷ mỗi tháng trả bao nhiêu")</f>
        <v>vay 1 tỷ mỗi tháng trả bao nhiêu</v>
      </c>
      <c r="BL51" s="34" t="str">
        <f>IFERROR(__xludf.DUMMYFUNCTION("""COMPUTED_VALUE"""),"https://techcombank.com/thong-tin/blog/vay-40-trieu")</f>
        <v>https://techcombank.com/thong-tin/blog/vay-40-trieu</v>
      </c>
      <c r="BM51" s="30" t="str">
        <f>IFERROR(__xludf.DUMMYFUNCTION("""COMPUTED_VALUE"""),"vay 1 tỷ mỗi tháng trả bao nhiêu")</f>
        <v>vay 1 tỷ mỗi tháng trả bao nhiêu</v>
      </c>
      <c r="BN51" s="34" t="str">
        <f>IFERROR(__xludf.DUMMYFUNCTION("""COMPUTED_VALUE"""),"https://techcombank.com/thong-tin/blog/cach-tinh-thue-ho-kinh-doanh-nho-le")</f>
        <v>https://techcombank.com/thong-tin/blog/cach-tinh-thue-ho-kinh-doanh-nho-le</v>
      </c>
      <c r="BO51" s="30" t="str">
        <f>IFERROR(__xludf.DUMMYFUNCTION("""COMPUTED_VALUE"""),"vay ngân hàng 1 tỷ mỗi tháng trả bao nhiêu")</f>
        <v>vay ngân hàng 1 tỷ mỗi tháng trả bao nhiêu</v>
      </c>
      <c r="BP51" s="34" t="str">
        <f>IFERROR(__xludf.DUMMYFUNCTION("""COMPUTED_VALUE"""),"https://techcombank.com/thong-tin/blog/thu-tuc-mua-xe-tra-gop")</f>
        <v>https://techcombank.com/thong-tin/blog/thu-tuc-mua-xe-tra-gop</v>
      </c>
      <c r="BQ51" s="30" t="str">
        <f>IFERROR(__xludf.DUMMYFUNCTION("""COMPUTED_VALUE"""),"vay 1 tỷ mỗi tháng trả bao nhiêu")</f>
        <v>vay 1 tỷ mỗi tháng trả bao nhiêu</v>
      </c>
      <c r="BR51" s="34" t="str">
        <f>IFERROR(__xludf.DUMMYFUNCTION("""COMPUTED_VALUE"""),"https://techcombank.com/thong-tin/blog/vay-100-trieu")</f>
        <v>https://techcombank.com/thong-tin/blog/vay-100-trieu</v>
      </c>
      <c r="BS51" s="30" t="str">
        <f>IFERROR(__xludf.DUMMYFUNCTION("""COMPUTED_VALUE"""),"vay 1 tỷ mỗi tháng trả bao nhiêu")</f>
        <v>vay 1 tỷ mỗi tháng trả bao nhiêu</v>
      </c>
      <c r="BT51" s="34" t="str">
        <f>IFERROR(__xludf.DUMMYFUNCTION("""COMPUTED_VALUE"""),"https://techcombank.com/thong-tin/blog/thue-ho-kinh-doanh-2025")</f>
        <v>https://techcombank.com/thong-tin/blog/thue-ho-kinh-doanh-2025</v>
      </c>
      <c r="BU51" s="30"/>
      <c r="BV51" s="30"/>
      <c r="BW51" s="30"/>
      <c r="BX51" s="30"/>
      <c r="BY51" s="30"/>
      <c r="BZ51" s="30"/>
      <c r="CA51" s="30"/>
      <c r="CB51" s="30"/>
      <c r="CC51" s="30"/>
      <c r="CD51" s="30"/>
      <c r="CE51" s="30"/>
      <c r="CF51" s="30"/>
      <c r="CG51" s="30"/>
      <c r="CH51" s="30"/>
      <c r="CI51" s="30"/>
      <c r="CJ51" s="30"/>
      <c r="CK51" s="30"/>
      <c r="CL51" s="30"/>
      <c r="CM51" s="30"/>
      <c r="CN51" s="30"/>
      <c r="CO51" s="30"/>
      <c r="CP51" s="30"/>
      <c r="CQ51" s="30"/>
      <c r="CR51" s="30"/>
      <c r="CS51" s="30"/>
      <c r="CT51" s="30"/>
      <c r="CU51" s="30"/>
      <c r="CV51" s="30"/>
      <c r="CW51" s="30"/>
      <c r="CX51" s="30"/>
      <c r="CY51" s="30"/>
      <c r="CZ51" s="30"/>
      <c r="DA51" s="30"/>
      <c r="DB51" s="30"/>
      <c r="DC51" s="30"/>
      <c r="DD51" s="30"/>
      <c r="DE51" s="30"/>
      <c r="DF51" s="30"/>
      <c r="DG51" s="30"/>
      <c r="DH51" s="30"/>
      <c r="DI51" s="30"/>
      <c r="DJ51" s="30"/>
      <c r="DK51" s="30"/>
      <c r="DL51" s="30"/>
      <c r="DM51" s="30"/>
      <c r="DN51" s="30"/>
      <c r="DO51" s="30"/>
      <c r="DP51" s="30"/>
      <c r="DQ51" s="30"/>
      <c r="DR51" s="30"/>
      <c r="DS51" s="30"/>
      <c r="DT51" s="30"/>
      <c r="DU51" s="30"/>
      <c r="DV51" s="30"/>
      <c r="DW51" s="30"/>
      <c r="DX51" s="30"/>
      <c r="DY51" s="30"/>
      <c r="DZ51" s="30"/>
      <c r="EA51" s="30"/>
      <c r="EB51" s="30"/>
      <c r="EC51" s="30"/>
      <c r="ED51" s="30"/>
      <c r="EE51" s="30"/>
      <c r="EF51" s="30"/>
      <c r="EG51" s="30"/>
      <c r="EH51" s="30"/>
      <c r="EI51" s="30"/>
      <c r="EJ51" s="30"/>
      <c r="EK51" s="30"/>
      <c r="EL51" s="30"/>
      <c r="EM51" s="30"/>
      <c r="EN51" s="30"/>
      <c r="EO51" s="30"/>
      <c r="EP51" s="30"/>
      <c r="EQ51" s="30"/>
      <c r="ER51" s="30"/>
      <c r="ES51" s="30"/>
      <c r="ET51" s="30"/>
      <c r="EU51" s="30"/>
      <c r="EV51" s="30"/>
      <c r="EW51" s="30"/>
      <c r="EX51" s="30"/>
      <c r="EY51" s="30"/>
      <c r="EZ51" s="30"/>
      <c r="FA51" s="30"/>
      <c r="FB51" s="30"/>
      <c r="FC51" s="30"/>
      <c r="FD51" s="30"/>
      <c r="FE51" s="30"/>
      <c r="FF51" s="30"/>
      <c r="FG51" s="30"/>
      <c r="FH51" s="30"/>
      <c r="FI51" s="30"/>
      <c r="FJ51" s="30"/>
      <c r="FK51" s="30"/>
      <c r="FL51" s="30"/>
      <c r="FM51" s="30"/>
      <c r="FN51" s="30"/>
      <c r="FO51" s="30"/>
      <c r="FP51" s="30"/>
      <c r="FQ51" s="30"/>
      <c r="FR51" s="30"/>
      <c r="FS51" s="30"/>
      <c r="FT51" s="30"/>
      <c r="FU51" s="30"/>
      <c r="FV51" s="30"/>
      <c r="FW51" s="30"/>
      <c r="FX51" s="30"/>
      <c r="FY51" s="30"/>
      <c r="FZ51" s="30"/>
      <c r="GA51" s="30"/>
      <c r="GB51" s="30"/>
      <c r="GC51" s="30"/>
      <c r="GD51" s="30"/>
      <c r="GE51" s="30"/>
      <c r="GF51" s="30"/>
      <c r="GG51" s="30"/>
      <c r="GH51" s="30"/>
      <c r="GI51" s="30"/>
      <c r="GJ51" s="30"/>
      <c r="GK51" s="30"/>
      <c r="GL51" s="30"/>
      <c r="GM51" s="30"/>
      <c r="GN51" s="30"/>
      <c r="GO51" s="30"/>
      <c r="GP51" s="30"/>
      <c r="GQ51" s="30"/>
      <c r="GR51" s="30"/>
      <c r="GS51" s="30"/>
      <c r="GT51" s="30"/>
      <c r="GU51" s="30"/>
      <c r="GV51" s="30"/>
      <c r="GW51" s="30"/>
      <c r="GX51" s="30"/>
      <c r="GY51" s="30"/>
      <c r="GZ51" s="30"/>
      <c r="HA51" s="30"/>
      <c r="HB51" s="30"/>
      <c r="HC51" s="30"/>
      <c r="HD51" s="30"/>
      <c r="HE51" s="30"/>
      <c r="HF51" s="30"/>
      <c r="HG51" s="30"/>
      <c r="HH51" s="30"/>
      <c r="HI51" s="30"/>
      <c r="HJ51" s="30"/>
      <c r="HK51" s="30"/>
      <c r="HL51" s="30"/>
      <c r="HM51" s="30"/>
      <c r="HN51" s="30"/>
      <c r="HO51" s="30"/>
      <c r="HP51" s="30"/>
      <c r="HQ51" s="30"/>
      <c r="HR51" s="30"/>
      <c r="HS51" s="30"/>
      <c r="HT51" s="30"/>
      <c r="HU51" s="30"/>
      <c r="HV51" s="30"/>
      <c r="HW51" s="30"/>
      <c r="HX51" s="30"/>
      <c r="HY51" s="30"/>
      <c r="HZ51" s="30"/>
      <c r="IA51" s="30"/>
      <c r="IB51" s="30"/>
      <c r="IC51" s="30"/>
      <c r="ID51" s="30"/>
      <c r="IE51" s="30"/>
      <c r="IF51" s="30"/>
      <c r="IG51" s="30"/>
      <c r="IH51" s="30"/>
      <c r="II51" s="30"/>
      <c r="IJ51" s="30"/>
      <c r="IK51" s="30"/>
      <c r="IL51" s="30"/>
      <c r="IM51" s="30"/>
      <c r="IN51" s="30"/>
      <c r="IO51" s="30"/>
      <c r="IP51" s="30"/>
      <c r="IQ51" s="30"/>
      <c r="IR51" s="30"/>
      <c r="IS51" s="30"/>
      <c r="IT51" s="30"/>
      <c r="IU51" s="30"/>
      <c r="IV51" s="30"/>
      <c r="IW51" s="30"/>
      <c r="IX51" s="30"/>
      <c r="IY51" s="30"/>
      <c r="IZ51" s="30"/>
      <c r="JA51" s="30"/>
      <c r="JB51" s="30"/>
      <c r="JC51" s="30"/>
      <c r="JD51" s="30"/>
      <c r="JE51" s="30"/>
      <c r="JF51" s="30"/>
      <c r="JG51" s="30"/>
      <c r="JH51" s="30"/>
      <c r="JI51" s="30"/>
      <c r="JJ51" s="30"/>
      <c r="JK51" s="30"/>
      <c r="JL51" s="30"/>
      <c r="JM51" s="30"/>
      <c r="JN51" s="30"/>
      <c r="JO51" s="30"/>
      <c r="JP51" s="30"/>
      <c r="JQ51" s="30"/>
      <c r="JR51" s="30"/>
      <c r="JS51" s="30"/>
      <c r="JT51" s="30"/>
      <c r="JU51" s="30"/>
      <c r="JV51" s="30"/>
      <c r="JW51" s="30"/>
      <c r="JX51" s="30"/>
      <c r="JY51" s="30"/>
      <c r="JZ51" s="30"/>
      <c r="KA51" s="30"/>
      <c r="KB51" s="30"/>
      <c r="KC51" s="30"/>
      <c r="KD51" s="30"/>
      <c r="KE51" s="30"/>
      <c r="KF51" s="30"/>
      <c r="KG51" s="30"/>
      <c r="KH51" s="30"/>
      <c r="KI51" s="30"/>
      <c r="KJ51" s="30"/>
      <c r="KK51" s="30"/>
      <c r="KL51" s="30"/>
      <c r="KM51" s="30"/>
      <c r="KN51" s="30"/>
      <c r="KO51" s="30"/>
      <c r="KP51" s="30"/>
      <c r="KQ51" s="30"/>
      <c r="KR51" s="30"/>
      <c r="KS51" s="30"/>
      <c r="KT51" s="30"/>
      <c r="KU51" s="30"/>
      <c r="KV51" s="30"/>
      <c r="KW51" s="30"/>
      <c r="KX51" s="30"/>
      <c r="KY51" s="30"/>
      <c r="KZ51" s="30"/>
      <c r="LA51" s="30"/>
      <c r="LB51" s="30"/>
      <c r="LC51" s="30"/>
      <c r="LD51" s="30"/>
      <c r="LE51" s="30"/>
      <c r="LF51" s="30"/>
      <c r="LG51" s="30"/>
      <c r="LH51" s="30"/>
      <c r="LI51" s="30"/>
      <c r="LJ51" s="30"/>
      <c r="LK51" s="30"/>
      <c r="LL51" s="30"/>
      <c r="LM51" s="30"/>
      <c r="LN51" s="30"/>
      <c r="LO51" s="30"/>
      <c r="LP51" s="30"/>
      <c r="LQ51" s="30"/>
      <c r="LR51" s="30"/>
      <c r="LS51" s="30"/>
      <c r="LT51" s="30"/>
      <c r="LU51" s="30"/>
      <c r="LV51" s="30"/>
      <c r="LW51" s="30"/>
      <c r="LX51" s="30"/>
      <c r="LY51" s="30"/>
      <c r="LZ51" s="30"/>
      <c r="MA51" s="30"/>
      <c r="MB51" s="30"/>
      <c r="MC51" s="30"/>
      <c r="MD51" s="30"/>
      <c r="ME51" s="30"/>
      <c r="MF51" s="30"/>
      <c r="MG51" s="30"/>
      <c r="MH51" s="30"/>
      <c r="MI51" s="30"/>
      <c r="MJ51" s="30"/>
      <c r="MK51" s="30"/>
      <c r="ML51" s="30"/>
      <c r="MM51" s="30"/>
      <c r="MN51" s="30"/>
      <c r="MO51" s="30"/>
      <c r="MP51" s="30"/>
      <c r="MQ51" s="30"/>
      <c r="MR51" s="30"/>
      <c r="MS51" s="30"/>
      <c r="MT51" s="30"/>
      <c r="MU51" s="30"/>
      <c r="MV51" s="30"/>
      <c r="MW51" s="30"/>
      <c r="MX51" s="30"/>
      <c r="MY51" s="30"/>
      <c r="MZ51" s="30"/>
      <c r="NA51" s="30"/>
      <c r="NB51" s="30"/>
      <c r="NC51" s="30"/>
      <c r="ND51" s="30"/>
      <c r="NE51" s="30"/>
      <c r="NF51" s="30"/>
      <c r="NG51" s="30"/>
      <c r="NH51" s="30"/>
      <c r="NI51" s="30"/>
      <c r="NJ51" s="30"/>
      <c r="NK51" s="30"/>
      <c r="NL51" s="30"/>
      <c r="NM51" s="30"/>
      <c r="NN51" s="30"/>
      <c r="NO51" s="30"/>
      <c r="NP51" s="30"/>
      <c r="NQ51" s="30"/>
      <c r="NR51" s="30"/>
      <c r="NS51" s="30"/>
      <c r="NT51" s="30"/>
      <c r="NU51" s="30"/>
      <c r="NV51" s="30"/>
      <c r="NW51" s="30"/>
      <c r="NX51" s="30"/>
      <c r="NY51" s="30"/>
      <c r="NZ51" s="30"/>
      <c r="OA51" s="30"/>
      <c r="OB51" s="30"/>
      <c r="OC51" s="30"/>
      <c r="OD51" s="30"/>
      <c r="OE51" s="30"/>
      <c r="OF51" s="30"/>
      <c r="OG51" s="30"/>
      <c r="OH51" s="30"/>
      <c r="OI51" s="30"/>
      <c r="OJ51" s="30"/>
      <c r="OK51" s="30"/>
      <c r="OL51" s="30"/>
      <c r="OM51" s="30"/>
      <c r="ON51" s="30"/>
      <c r="OO51" s="30"/>
      <c r="OP51" s="30"/>
      <c r="OQ51" s="30"/>
      <c r="OR51" s="30"/>
      <c r="OS51" s="30"/>
      <c r="OT51" s="30"/>
      <c r="OU51" s="30"/>
      <c r="OV51" s="30"/>
    </row>
    <row r="52" ht="18.0" customHeight="1">
      <c r="A52" s="29">
        <v>51.0</v>
      </c>
      <c r="B52" s="30" t="s">
        <v>4781</v>
      </c>
      <c r="C52" s="31" t="s">
        <v>4173</v>
      </c>
      <c r="D52" s="30" t="s">
        <v>4121</v>
      </c>
      <c r="E52" s="29">
        <v>30.0</v>
      </c>
      <c r="F52" s="29">
        <f>COUNTIF('Tổng hợp 75 trang đích'!$B$2:$B$3400,$D52)</f>
        <v>30</v>
      </c>
      <c r="G52" s="29">
        <f>COUNTIFS('Tổng hợp 75 trang đích'!$B$2:$B$3400,$D52,'Tổng hợp 75 trang đích'!$K$2:$K$3400,"PHÙ HỢP CAO")</f>
        <v>0</v>
      </c>
      <c r="H52" s="29">
        <f>COUNTIFS('Tổng hợp 75 trang đích'!$B$2:$B$3400,$D52,'Tổng hợp 75 trang đích'!$K$2:$K$3400,"CÓ THỂ ĐI")</f>
        <v>0</v>
      </c>
      <c r="I52" s="29">
        <f>COUNTIFS('Tổng hợp 75 trang đích'!$B$2:$B$3400,$D52,'Tổng hợp 75 trang đích'!$K$2:$K$3400,"CẦN SOÁT")</f>
        <v>20</v>
      </c>
      <c r="J52" s="32" t="s">
        <v>714</v>
      </c>
      <c r="K52" s="32" t="b">
        <v>0</v>
      </c>
      <c r="L52" s="33" t="s">
        <v>52</v>
      </c>
      <c r="M52" s="30" t="str">
        <f>IFERROR(__xludf.DUMMYFUNCTION("IFERROR(TOROW(CHOOSECOLS(SORT(FILTER({'Tổng hợp 75 trang đích'!$J$2:$J$3400,'Tổng hợp 75 trang đích'!$I$2:$I$3400,MATCH('Tổng hợp 75 trang đích'!$K$2:$K$3400,{""PHÙ HỢP CAO"",""CÓ THỂ ĐI"",""CẦN SOÁT""},0)},'Tổng hợp 75 trang đích'!$B$2:$B$3400=$D52),3,TR"&amp;"UE),1,2)),"""")"),"voucher Traveloka")</f>
        <v>voucher Traveloka</v>
      </c>
      <c r="N52" s="34" t="str">
        <f>IFERROR(__xludf.DUMMYFUNCTION("""COMPUTED_VALUE"""),"https://techcombank.com/thong-tin/blog/quy-gia-dinh")</f>
        <v>https://techcombank.com/thong-tin/blog/quy-gia-dinh</v>
      </c>
      <c r="O52" s="30" t="str">
        <f>IFERROR(__xludf.DUMMYFUNCTION("""COMPUTED_VALUE"""),"cách lấy voucher Traveloka")</f>
        <v>cách lấy voucher Traveloka</v>
      </c>
      <c r="P52" s="34" t="str">
        <f>IFERROR(__xludf.DUMMYFUNCTION("""COMPUTED_VALUE"""),"https://techcombank.com/thong-tin/blog/voucher-the-pizza-company")</f>
        <v>https://techcombank.com/thong-tin/blog/voucher-the-pizza-company</v>
      </c>
      <c r="Q52" s="30" t="str">
        <f>IFERROR(__xludf.DUMMYFUNCTION("""COMPUTED_VALUE"""),"cách lấy voucher Traveloka")</f>
        <v>cách lấy voucher Traveloka</v>
      </c>
      <c r="R52" s="34" t="str">
        <f>IFERROR(__xludf.DUMMYFUNCTION("""COMPUTED_VALUE"""),"https://techcombank.com/thong-tin/blog/ma-giam-gia-al-frescos")</f>
        <v>https://techcombank.com/thong-tin/blog/ma-giam-gia-al-frescos</v>
      </c>
      <c r="S52" s="30" t="str">
        <f>IFERROR(__xludf.DUMMYFUNCTION("""COMPUTED_VALUE"""),"cách lấy voucher Traveloka")</f>
        <v>cách lấy voucher Traveloka</v>
      </c>
      <c r="T52" s="34" t="str">
        <f>IFERROR(__xludf.DUMMYFUNCTION("""COMPUTED_VALUE"""),"https://techcombank.com/thong-tin/blog/voucher-coopmart")</f>
        <v>https://techcombank.com/thong-tin/blog/voucher-coopmart</v>
      </c>
      <c r="U52" s="30" t="str">
        <f>IFERROR(__xludf.DUMMYFUNCTION("""COMPUTED_VALUE"""),"cách lấy voucher Traveloka")</f>
        <v>cách lấy voucher Traveloka</v>
      </c>
      <c r="V52" s="34" t="str">
        <f>IFERROR(__xludf.DUMMYFUNCTION("""COMPUTED_VALUE"""),"https://techcombank.com/thong-tin/blog/voucher-jollibee")</f>
        <v>https://techcombank.com/thong-tin/blog/voucher-jollibee</v>
      </c>
      <c r="W52" s="30" t="str">
        <f>IFERROR(__xludf.DUMMYFUNCTION("""COMPUTED_VALUE"""),"cách lấy voucher Traveloka")</f>
        <v>cách lấy voucher Traveloka</v>
      </c>
      <c r="X52" s="34" t="str">
        <f>IFERROR(__xludf.DUMMYFUNCTION("""COMPUTED_VALUE"""),"https://techcombank.com/thong-tin/blog/giam-gia-be")</f>
        <v>https://techcombank.com/thong-tin/blog/giam-gia-be</v>
      </c>
      <c r="Y52" s="30" t="str">
        <f>IFERROR(__xludf.DUMMYFUNCTION("""COMPUTED_VALUE"""),"cách lấy voucher Traveloka")</f>
        <v>cách lấy voucher Traveloka</v>
      </c>
      <c r="Z52" s="34" t="str">
        <f>IFERROR(__xludf.DUMMYFUNCTION("""COMPUTED_VALUE"""),"https://techcombank.com/thong-tin/blog/voucher-katinat")</f>
        <v>https://techcombank.com/thong-tin/blog/voucher-katinat</v>
      </c>
      <c r="AA52" s="30" t="str">
        <f>IFERROR(__xludf.DUMMYFUNCTION("""COMPUTED_VALUE"""),"cách lấy voucher Traveloka")</f>
        <v>cách lấy voucher Traveloka</v>
      </c>
      <c r="AB52" s="34" t="str">
        <f>IFERROR(__xludf.DUMMYFUNCTION("""COMPUTED_VALUE"""),"https://techcombank.com/thong-tin/blog/ma-giam-gia-phela")</f>
        <v>https://techcombank.com/thong-tin/blog/ma-giam-gia-phela</v>
      </c>
      <c r="AC52" s="30" t="str">
        <f>IFERROR(__xludf.DUMMYFUNCTION("""COMPUTED_VALUE"""),"cách lấy voucher Traveloka")</f>
        <v>cách lấy voucher Traveloka</v>
      </c>
      <c r="AD52" s="34" t="str">
        <f>IFERROR(__xludf.DUMMYFUNCTION("""COMPUTED_VALUE"""),"https://techcombank.com/thong-tin/blog/kichi-kichi")</f>
        <v>https://techcombank.com/thong-tin/blog/kichi-kichi</v>
      </c>
      <c r="AE52" s="30" t="str">
        <f>IFERROR(__xludf.DUMMYFUNCTION("""COMPUTED_VALUE"""),"cách lấy voucher Traveloka")</f>
        <v>cách lấy voucher Traveloka</v>
      </c>
      <c r="AF52" s="34" t="str">
        <f>IFERROR(__xludf.DUMMYFUNCTION("""COMPUTED_VALUE"""),"https://techcombank.com/thong-tin/blog/ma-giam-gia-shopee")</f>
        <v>https://techcombank.com/thong-tin/blog/ma-giam-gia-shopee</v>
      </c>
      <c r="AG52" s="30" t="str">
        <f>IFERROR(__xludf.DUMMYFUNCTION("""COMPUTED_VALUE"""),"cách lấy voucher Traveloka")</f>
        <v>cách lấy voucher Traveloka</v>
      </c>
      <c r="AH52" s="34" t="str">
        <f>IFERROR(__xludf.DUMMYFUNCTION("""COMPUTED_VALUE"""),"https://techcombank.com/thong-tin/blog/voucher-starbucks")</f>
        <v>https://techcombank.com/thong-tin/blog/voucher-starbucks</v>
      </c>
      <c r="AI52" s="30" t="str">
        <f>IFERROR(__xludf.DUMMYFUNCTION("""COMPUTED_VALUE"""),"cách lấy voucher Traveloka")</f>
        <v>cách lấy voucher Traveloka</v>
      </c>
      <c r="AJ52" s="34" t="str">
        <f>IFERROR(__xludf.DUMMYFUNCTION("""COMPUTED_VALUE"""),"https://techcombank.com/thong-tin/blog/cua-hang-tien-loi")</f>
        <v>https://techcombank.com/thong-tin/blog/cua-hang-tien-loi</v>
      </c>
      <c r="AK52" s="30" t="str">
        <f>IFERROR(__xludf.DUMMYFUNCTION("""COMPUTED_VALUE"""),"cách lấy voucher Traveloka")</f>
        <v>cách lấy voucher Traveloka</v>
      </c>
      <c r="AL52" s="34" t="str">
        <f>IFERROR(__xludf.DUMMYFUNCTION("""COMPUTED_VALUE"""),"https://techcombank.com/thong-tin/blog/ma-giam-xanh-sm")</f>
        <v>https://techcombank.com/thong-tin/blog/ma-giam-xanh-sm</v>
      </c>
      <c r="AM52" s="30" t="str">
        <f>IFERROR(__xludf.DUMMYFUNCTION("""COMPUTED_VALUE"""),"cách lấy voucher Traveloka")</f>
        <v>cách lấy voucher Traveloka</v>
      </c>
      <c r="AN52" s="34" t="str">
        <f>IFERROR(__xludf.DUMMYFUNCTION("""COMPUTED_VALUE"""),"https://techcombank.com/thong-tin/blog/voucher-kfc")</f>
        <v>https://techcombank.com/thong-tin/blog/voucher-kfc</v>
      </c>
      <c r="AO52" s="30" t="str">
        <f>IFERROR(__xludf.DUMMYFUNCTION("""COMPUTED_VALUE"""),"cách lấy voucher Traveloka")</f>
        <v>cách lấy voucher Traveloka</v>
      </c>
      <c r="AP52" s="34" t="str">
        <f>IFERROR(__xludf.DUMMYFUNCTION("""COMPUTED_VALUE"""),"https://techcombank.com/thong-tin/blog/mr-eco")</f>
        <v>https://techcombank.com/thong-tin/blog/mr-eco</v>
      </c>
      <c r="AQ52" s="30" t="str">
        <f>IFERROR(__xludf.DUMMYFUNCTION("""COMPUTED_VALUE"""),"cách lấy voucher Traveloka")</f>
        <v>cách lấy voucher Traveloka</v>
      </c>
      <c r="AR52" s="34" t="str">
        <f>IFERROR(__xludf.DUMMYFUNCTION("""COMPUTED_VALUE"""),"https://techcombank.com/thong-tin/blog/voucher-phuc-long")</f>
        <v>https://techcombank.com/thong-tin/blog/voucher-phuc-long</v>
      </c>
      <c r="AS52" s="30" t="str">
        <f>IFERROR(__xludf.DUMMYFUNCTION("""COMPUTED_VALUE"""),"cách lấy voucher Traveloka")</f>
        <v>cách lấy voucher Traveloka</v>
      </c>
      <c r="AT52" s="34" t="str">
        <f>IFERROR(__xludf.DUMMYFUNCTION("""COMPUTED_VALUE"""),"https://techcombank.com/thong-tin/blog/voucher-grab")</f>
        <v>https://techcombank.com/thong-tin/blog/voucher-grab</v>
      </c>
      <c r="AU52" s="30" t="str">
        <f>IFERROR(__xludf.DUMMYFUNCTION("""COMPUTED_VALUE"""),"cách lấy voucher Traveloka")</f>
        <v>cách lấy voucher Traveloka</v>
      </c>
      <c r="AV52" s="34" t="str">
        <f>IFERROR(__xludf.DUMMYFUNCTION("""COMPUTED_VALUE"""),"https://techcombank.com/thong-tin/blog/dat-xe-xanh-sm")</f>
        <v>https://techcombank.com/thong-tin/blog/dat-xe-xanh-sm</v>
      </c>
      <c r="AW52" s="30" t="str">
        <f>IFERROR(__xludf.DUMMYFUNCTION("""COMPUTED_VALUE"""),"cách lấy voucher Traveloka")</f>
        <v>cách lấy voucher Traveloka</v>
      </c>
      <c r="AX52" s="34" t="str">
        <f>IFERROR(__xludf.DUMMYFUNCTION("""COMPUTED_VALUE"""),"https://techcombank.com/thong-tin/blog/tous-les-jours")</f>
        <v>https://techcombank.com/thong-tin/blog/tous-les-jours</v>
      </c>
      <c r="AY52" s="30" t="str">
        <f>IFERROR(__xludf.DUMMYFUNCTION("""COMPUTED_VALUE"""),"cách lấy voucher Traveloka")</f>
        <v>cách lấy voucher Traveloka</v>
      </c>
      <c r="AZ52" s="34" t="str">
        <f>IFERROR(__xludf.DUMMYFUNCTION("""COMPUTED_VALUE"""),"https://techcombank.com/thong-tin/blog/voucher-xanh-sm")</f>
        <v>https://techcombank.com/thong-tin/blog/voucher-xanh-sm</v>
      </c>
      <c r="BA52" s="30" t="str">
        <f>IFERROR(__xludf.DUMMYFUNCTION("""COMPUTED_VALUE"""),"voucher Traveloka")</f>
        <v>voucher Traveloka</v>
      </c>
      <c r="BB52" s="34" t="str">
        <f>IFERROR(__xludf.DUMMYFUNCTION("""COMPUTED_VALUE"""),"https://techcombank.com/thong-tin/blog/voucher-the-coffee-house")</f>
        <v>https://techcombank.com/thong-tin/blog/voucher-the-coffee-house</v>
      </c>
      <c r="BC52" s="30" t="str">
        <f>IFERROR(__xludf.DUMMYFUNCTION("""COMPUTED_VALUE"""),"voucher Traveloka")</f>
        <v>voucher Traveloka</v>
      </c>
      <c r="BD52" s="34" t="str">
        <f>IFERROR(__xludf.DUMMYFUNCTION("""COMPUTED_VALUE"""),"https://techcombank.com/thong-tin/blog/yakimono")</f>
        <v>https://techcombank.com/thong-tin/blog/yakimono</v>
      </c>
      <c r="BE52" s="30" t="str">
        <f>IFERROR(__xludf.DUMMYFUNCTION("""COMPUTED_VALUE"""),"voucher Traveloka")</f>
        <v>voucher Traveloka</v>
      </c>
      <c r="BF52" s="34" t="str">
        <f>IFERROR(__xludf.DUMMYFUNCTION("""COMPUTED_VALUE"""),"https://techcombank.com/thong-tin/blog/chixmax")</f>
        <v>https://techcombank.com/thong-tin/blog/chixmax</v>
      </c>
      <c r="BG52" s="30" t="str">
        <f>IFERROR(__xludf.DUMMYFUNCTION("""COMPUTED_VALUE"""),"voucher Traveloka")</f>
        <v>voucher Traveloka</v>
      </c>
      <c r="BH52" s="34" t="str">
        <f>IFERROR(__xludf.DUMMYFUNCTION("""COMPUTED_VALUE"""),"https://techcombank.com/thong-tin/blog/voucher-cgv")</f>
        <v>https://techcombank.com/thong-tin/blog/voucher-cgv</v>
      </c>
      <c r="BI52" s="30" t="str">
        <f>IFERROR(__xludf.DUMMYFUNCTION("""COMPUTED_VALUE"""),"voucher Traveloka")</f>
        <v>voucher Traveloka</v>
      </c>
      <c r="BJ52" s="34" t="str">
        <f>IFERROR(__xludf.DUMMYFUNCTION("""COMPUTED_VALUE"""),"https://techcombank.com/thong-tin/blog/voucher-highland")</f>
        <v>https://techcombank.com/thong-tin/blog/voucher-highland</v>
      </c>
      <c r="BK52" s="30" t="str">
        <f>IFERROR(__xludf.DUMMYFUNCTION("""COMPUTED_VALUE"""),"voucher Traveloka")</f>
        <v>voucher Traveloka</v>
      </c>
      <c r="BL52" s="34" t="str">
        <f>IFERROR(__xludf.DUMMYFUNCTION("""COMPUTED_VALUE"""),"https://techcombank.com/thong-tin/blog/shang-chi")</f>
        <v>https://techcombank.com/thong-tin/blog/shang-chi</v>
      </c>
      <c r="BM52" s="30" t="str">
        <f>IFERROR(__xludf.DUMMYFUNCTION("""COMPUTED_VALUE"""),"voucher Traveloka")</f>
        <v>voucher Traveloka</v>
      </c>
      <c r="BN52" s="34" t="str">
        <f>IFERROR(__xludf.DUMMYFUNCTION("""COMPUTED_VALUE"""),"https://techcombank.com/thong-tin/blog/woomaster")</f>
        <v>https://techcombank.com/thong-tin/blog/woomaster</v>
      </c>
      <c r="BO52" s="30" t="str">
        <f>IFERROR(__xludf.DUMMYFUNCTION("""COMPUTED_VALUE"""),"voucher Traveloka")</f>
        <v>voucher Traveloka</v>
      </c>
      <c r="BP52" s="34" t="str">
        <f>IFERROR(__xludf.DUMMYFUNCTION("""COMPUTED_VALUE"""),"https://techcombank.com/thong-tin/blog/diem-loyalty-la-gi")</f>
        <v>https://techcombank.com/thong-tin/blog/diem-loyalty-la-gi</v>
      </c>
      <c r="BQ52" s="30" t="str">
        <f>IFERROR(__xludf.DUMMYFUNCTION("""COMPUTED_VALUE"""),"cách lấy voucher Traveloka")</f>
        <v>cách lấy voucher Traveloka</v>
      </c>
      <c r="BR52" s="34" t="str">
        <f>IFERROR(__xludf.DUMMYFUNCTION("""COMPUTED_VALUE"""),"https://techcombank.com/thong-tin/blog/thanh-toan-ve-may-bay-online")</f>
        <v>https://techcombank.com/thong-tin/blog/thanh-toan-ve-may-bay-online</v>
      </c>
      <c r="BS52" s="30" t="str">
        <f>IFERROR(__xludf.DUMMYFUNCTION("""COMPUTED_VALUE"""),"voucher Traveloka")</f>
        <v>voucher Traveloka</v>
      </c>
      <c r="BT52" s="34" t="str">
        <f>IFERROR(__xludf.DUMMYFUNCTION("""COMPUTED_VALUE"""),"https://techcombank.com/thong-tin/blog/uu-dai-mua-ve-may-bay-bang-the-tin-dung")</f>
        <v>https://techcombank.com/thong-tin/blog/uu-dai-mua-ve-may-bay-bang-the-tin-dung</v>
      </c>
      <c r="BU52" s="30"/>
      <c r="BV52" s="30"/>
      <c r="BW52" s="30"/>
      <c r="BX52" s="30"/>
      <c r="BY52" s="30"/>
      <c r="BZ52" s="30"/>
      <c r="CA52" s="30"/>
      <c r="CB52" s="30"/>
      <c r="CC52" s="30"/>
      <c r="CD52" s="30"/>
      <c r="CE52" s="30"/>
      <c r="CF52" s="30"/>
      <c r="CG52" s="30"/>
      <c r="CH52" s="30"/>
      <c r="CI52" s="30"/>
      <c r="CJ52" s="30"/>
      <c r="CK52" s="30"/>
      <c r="CL52" s="30"/>
      <c r="CM52" s="30"/>
      <c r="CN52" s="30"/>
      <c r="CO52" s="30"/>
      <c r="CP52" s="30"/>
      <c r="CQ52" s="30"/>
      <c r="CR52" s="30"/>
      <c r="CS52" s="30"/>
      <c r="CT52" s="30"/>
      <c r="CU52" s="30"/>
      <c r="CV52" s="30"/>
      <c r="CW52" s="30"/>
      <c r="CX52" s="30"/>
      <c r="CY52" s="30"/>
      <c r="CZ52" s="30"/>
      <c r="DA52" s="30"/>
      <c r="DB52" s="30"/>
      <c r="DC52" s="30"/>
      <c r="DD52" s="30"/>
      <c r="DE52" s="30"/>
      <c r="DF52" s="30"/>
      <c r="DG52" s="30"/>
      <c r="DH52" s="30"/>
      <c r="DI52" s="30"/>
      <c r="DJ52" s="30"/>
      <c r="DK52" s="30"/>
      <c r="DL52" s="30"/>
      <c r="DM52" s="30"/>
      <c r="DN52" s="30"/>
      <c r="DO52" s="30"/>
      <c r="DP52" s="30"/>
      <c r="DQ52" s="30"/>
      <c r="DR52" s="30"/>
      <c r="DS52" s="30"/>
      <c r="DT52" s="30"/>
      <c r="DU52" s="30"/>
      <c r="DV52" s="30"/>
      <c r="DW52" s="30"/>
      <c r="DX52" s="30"/>
      <c r="DY52" s="30"/>
      <c r="DZ52" s="30"/>
      <c r="EA52" s="30"/>
      <c r="EB52" s="30"/>
      <c r="EC52" s="30"/>
      <c r="ED52" s="30"/>
      <c r="EE52" s="30"/>
      <c r="EF52" s="30"/>
      <c r="EG52" s="30"/>
      <c r="EH52" s="30"/>
      <c r="EI52" s="30"/>
      <c r="EJ52" s="30"/>
      <c r="EK52" s="30"/>
      <c r="EL52" s="30"/>
      <c r="EM52" s="30"/>
      <c r="EN52" s="30"/>
      <c r="EO52" s="30"/>
      <c r="EP52" s="30"/>
      <c r="EQ52" s="30"/>
      <c r="ER52" s="30"/>
      <c r="ES52" s="30"/>
      <c r="ET52" s="30"/>
      <c r="EU52" s="30"/>
      <c r="EV52" s="30"/>
      <c r="EW52" s="30"/>
      <c r="EX52" s="30"/>
      <c r="EY52" s="30"/>
      <c r="EZ52" s="30"/>
      <c r="FA52" s="30"/>
      <c r="FB52" s="30"/>
      <c r="FC52" s="30"/>
      <c r="FD52" s="30"/>
      <c r="FE52" s="30"/>
      <c r="FF52" s="30"/>
      <c r="FG52" s="30"/>
      <c r="FH52" s="30"/>
      <c r="FI52" s="30"/>
      <c r="FJ52" s="30"/>
      <c r="FK52" s="30"/>
      <c r="FL52" s="30"/>
      <c r="FM52" s="30"/>
      <c r="FN52" s="30"/>
      <c r="FO52" s="30"/>
      <c r="FP52" s="30"/>
      <c r="FQ52" s="30"/>
      <c r="FR52" s="30"/>
      <c r="FS52" s="30"/>
      <c r="FT52" s="30"/>
      <c r="FU52" s="30"/>
      <c r="FV52" s="30"/>
      <c r="FW52" s="30"/>
      <c r="FX52" s="30"/>
      <c r="FY52" s="30"/>
      <c r="FZ52" s="30"/>
      <c r="GA52" s="30"/>
      <c r="GB52" s="30"/>
      <c r="GC52" s="30"/>
      <c r="GD52" s="30"/>
      <c r="GE52" s="30"/>
      <c r="GF52" s="30"/>
      <c r="GG52" s="30"/>
      <c r="GH52" s="30"/>
      <c r="GI52" s="30"/>
      <c r="GJ52" s="30"/>
      <c r="GK52" s="30"/>
      <c r="GL52" s="30"/>
      <c r="GM52" s="30"/>
      <c r="GN52" s="30"/>
      <c r="GO52" s="30"/>
      <c r="GP52" s="30"/>
      <c r="GQ52" s="30"/>
      <c r="GR52" s="30"/>
      <c r="GS52" s="30"/>
      <c r="GT52" s="30"/>
      <c r="GU52" s="30"/>
      <c r="GV52" s="30"/>
      <c r="GW52" s="30"/>
      <c r="GX52" s="30"/>
      <c r="GY52" s="30"/>
      <c r="GZ52" s="30"/>
      <c r="HA52" s="30"/>
      <c r="HB52" s="30"/>
      <c r="HC52" s="30"/>
      <c r="HD52" s="30"/>
      <c r="HE52" s="30"/>
      <c r="HF52" s="30"/>
      <c r="HG52" s="30"/>
      <c r="HH52" s="30"/>
      <c r="HI52" s="30"/>
      <c r="HJ52" s="30"/>
      <c r="HK52" s="30"/>
      <c r="HL52" s="30"/>
      <c r="HM52" s="30"/>
      <c r="HN52" s="30"/>
      <c r="HO52" s="30"/>
      <c r="HP52" s="30"/>
      <c r="HQ52" s="30"/>
      <c r="HR52" s="30"/>
      <c r="HS52" s="30"/>
      <c r="HT52" s="30"/>
      <c r="HU52" s="30"/>
      <c r="HV52" s="30"/>
      <c r="HW52" s="30"/>
      <c r="HX52" s="30"/>
      <c r="HY52" s="30"/>
      <c r="HZ52" s="30"/>
      <c r="IA52" s="30"/>
      <c r="IB52" s="30"/>
      <c r="IC52" s="30"/>
      <c r="ID52" s="30"/>
      <c r="IE52" s="30"/>
      <c r="IF52" s="30"/>
      <c r="IG52" s="30"/>
      <c r="IH52" s="30"/>
      <c r="II52" s="30"/>
      <c r="IJ52" s="30"/>
      <c r="IK52" s="30"/>
      <c r="IL52" s="30"/>
      <c r="IM52" s="30"/>
      <c r="IN52" s="30"/>
      <c r="IO52" s="30"/>
      <c r="IP52" s="30"/>
      <c r="IQ52" s="30"/>
      <c r="IR52" s="30"/>
      <c r="IS52" s="30"/>
      <c r="IT52" s="30"/>
      <c r="IU52" s="30"/>
      <c r="IV52" s="30"/>
      <c r="IW52" s="30"/>
      <c r="IX52" s="30"/>
      <c r="IY52" s="30"/>
      <c r="IZ52" s="30"/>
      <c r="JA52" s="30"/>
      <c r="JB52" s="30"/>
      <c r="JC52" s="30"/>
      <c r="JD52" s="30"/>
      <c r="JE52" s="30"/>
      <c r="JF52" s="30"/>
      <c r="JG52" s="30"/>
      <c r="JH52" s="30"/>
      <c r="JI52" s="30"/>
      <c r="JJ52" s="30"/>
      <c r="JK52" s="30"/>
      <c r="JL52" s="30"/>
      <c r="JM52" s="30"/>
      <c r="JN52" s="30"/>
      <c r="JO52" s="30"/>
      <c r="JP52" s="30"/>
      <c r="JQ52" s="30"/>
      <c r="JR52" s="30"/>
      <c r="JS52" s="30"/>
      <c r="JT52" s="30"/>
      <c r="JU52" s="30"/>
      <c r="JV52" s="30"/>
      <c r="JW52" s="30"/>
      <c r="JX52" s="30"/>
      <c r="JY52" s="30"/>
      <c r="JZ52" s="30"/>
      <c r="KA52" s="30"/>
      <c r="KB52" s="30"/>
      <c r="KC52" s="30"/>
      <c r="KD52" s="30"/>
      <c r="KE52" s="30"/>
      <c r="KF52" s="30"/>
      <c r="KG52" s="30"/>
      <c r="KH52" s="30"/>
      <c r="KI52" s="30"/>
      <c r="KJ52" s="30"/>
      <c r="KK52" s="30"/>
      <c r="KL52" s="30"/>
      <c r="KM52" s="30"/>
      <c r="KN52" s="30"/>
      <c r="KO52" s="30"/>
      <c r="KP52" s="30"/>
      <c r="KQ52" s="30"/>
      <c r="KR52" s="30"/>
      <c r="KS52" s="30"/>
      <c r="KT52" s="30"/>
      <c r="KU52" s="30"/>
      <c r="KV52" s="30"/>
      <c r="KW52" s="30"/>
      <c r="KX52" s="30"/>
      <c r="KY52" s="30"/>
      <c r="KZ52" s="30"/>
      <c r="LA52" s="30"/>
      <c r="LB52" s="30"/>
      <c r="LC52" s="30"/>
      <c r="LD52" s="30"/>
      <c r="LE52" s="30"/>
      <c r="LF52" s="30"/>
      <c r="LG52" s="30"/>
      <c r="LH52" s="30"/>
      <c r="LI52" s="30"/>
      <c r="LJ52" s="30"/>
      <c r="LK52" s="30"/>
      <c r="LL52" s="30"/>
      <c r="LM52" s="30"/>
      <c r="LN52" s="30"/>
      <c r="LO52" s="30"/>
      <c r="LP52" s="30"/>
      <c r="LQ52" s="30"/>
      <c r="LR52" s="30"/>
      <c r="LS52" s="30"/>
      <c r="LT52" s="30"/>
      <c r="LU52" s="30"/>
      <c r="LV52" s="30"/>
      <c r="LW52" s="30"/>
      <c r="LX52" s="30"/>
      <c r="LY52" s="30"/>
      <c r="LZ52" s="30"/>
      <c r="MA52" s="30"/>
      <c r="MB52" s="30"/>
      <c r="MC52" s="30"/>
      <c r="MD52" s="30"/>
      <c r="ME52" s="30"/>
      <c r="MF52" s="30"/>
      <c r="MG52" s="30"/>
      <c r="MH52" s="30"/>
      <c r="MI52" s="30"/>
      <c r="MJ52" s="30"/>
      <c r="MK52" s="30"/>
      <c r="ML52" s="30"/>
      <c r="MM52" s="30"/>
      <c r="MN52" s="30"/>
      <c r="MO52" s="30"/>
      <c r="MP52" s="30"/>
      <c r="MQ52" s="30"/>
      <c r="MR52" s="30"/>
      <c r="MS52" s="30"/>
      <c r="MT52" s="30"/>
      <c r="MU52" s="30"/>
      <c r="MV52" s="30"/>
      <c r="MW52" s="30"/>
      <c r="MX52" s="30"/>
      <c r="MY52" s="30"/>
      <c r="MZ52" s="30"/>
      <c r="NA52" s="30"/>
      <c r="NB52" s="30"/>
      <c r="NC52" s="30"/>
      <c r="ND52" s="30"/>
      <c r="NE52" s="30"/>
      <c r="NF52" s="30"/>
      <c r="NG52" s="30"/>
      <c r="NH52" s="30"/>
      <c r="NI52" s="30"/>
      <c r="NJ52" s="30"/>
      <c r="NK52" s="30"/>
      <c r="NL52" s="30"/>
      <c r="NM52" s="30"/>
      <c r="NN52" s="30"/>
      <c r="NO52" s="30"/>
      <c r="NP52" s="30"/>
      <c r="NQ52" s="30"/>
      <c r="NR52" s="30"/>
      <c r="NS52" s="30"/>
      <c r="NT52" s="30"/>
      <c r="NU52" s="30"/>
      <c r="NV52" s="30"/>
      <c r="NW52" s="30"/>
      <c r="NX52" s="30"/>
      <c r="NY52" s="30"/>
      <c r="NZ52" s="30"/>
      <c r="OA52" s="30"/>
      <c r="OB52" s="30"/>
      <c r="OC52" s="30"/>
      <c r="OD52" s="30"/>
      <c r="OE52" s="30"/>
      <c r="OF52" s="30"/>
      <c r="OG52" s="30"/>
      <c r="OH52" s="30"/>
      <c r="OI52" s="30"/>
      <c r="OJ52" s="30"/>
      <c r="OK52" s="30"/>
      <c r="OL52" s="30"/>
      <c r="OM52" s="30"/>
      <c r="ON52" s="30"/>
      <c r="OO52" s="30"/>
      <c r="OP52" s="30"/>
      <c r="OQ52" s="30"/>
      <c r="OR52" s="30"/>
      <c r="OS52" s="30"/>
      <c r="OT52" s="30"/>
      <c r="OU52" s="30"/>
      <c r="OV52" s="30"/>
    </row>
    <row r="53" ht="18.0" customHeight="1">
      <c r="A53" s="29">
        <v>52.0</v>
      </c>
      <c r="B53" s="30" t="s">
        <v>4825</v>
      </c>
      <c r="C53" s="31" t="s">
        <v>4198</v>
      </c>
      <c r="D53" s="30" t="s">
        <v>314</v>
      </c>
      <c r="E53" s="29">
        <v>50.0</v>
      </c>
      <c r="F53" s="29">
        <f>COUNTIF('Tổng hợp 75 trang đích'!$B$2:$B$3400,$D53)</f>
        <v>50</v>
      </c>
      <c r="G53" s="29">
        <f>COUNTIFS('Tổng hợp 75 trang đích'!$B$2:$B$3400,$D53,'Tổng hợp 75 trang đích'!$K$2:$K$3400,"PHÙ HỢP CAO")</f>
        <v>2</v>
      </c>
      <c r="H53" s="29">
        <f>COUNTIFS('Tổng hợp 75 trang đích'!$B$2:$B$3400,$D53,'Tổng hợp 75 trang đích'!$K$2:$K$3400,"CÓ THỂ ĐI")</f>
        <v>3</v>
      </c>
      <c r="I53" s="29">
        <f>COUNTIFS('Tổng hợp 75 trang đích'!$B$2:$B$3400,$D53,'Tổng hợp 75 trang đích'!$K$2:$K$3400,"CẦN SOÁT")</f>
        <v>45</v>
      </c>
      <c r="J53" s="32" t="s">
        <v>714</v>
      </c>
      <c r="K53" s="32" t="b">
        <v>0</v>
      </c>
      <c r="L53" s="33" t="s">
        <v>52</v>
      </c>
      <c r="M53" s="30" t="str">
        <f>IFERROR(__xludf.DUMMYFUNCTION("IFERROR(TOROW(CHOOSECOLS(SORT(FILTER({'Tổng hợp 75 trang đích'!$J$2:$J$3400,'Tổng hợp 75 trang đích'!$I$2:$I$3400,MATCH('Tổng hợp 75 trang đích'!$K$2:$K$3400,{""PHÙ HỢP CAO"",""CÓ THỂ ĐI"",""CẦN SOÁT""},0)},'Tổng hợp 75 trang đích'!$B$2:$B$3400=$D53),3,TR"&amp;"UE),1,2)),"""")"),"thuế hộ kinh doanh")</f>
        <v>thuế hộ kinh doanh</v>
      </c>
      <c r="N53" s="34" t="str">
        <f>IFERROR(__xludf.DUMMYFUNCTION("""COMPUTED_VALUE"""),"https://techcombank.com/thong-tin/blog/thue-khoan-ho-kinh-doanh-la-gi")</f>
        <v>https://techcombank.com/thong-tin/blog/thue-khoan-ho-kinh-doanh-la-gi</v>
      </c>
      <c r="O53" s="30" t="str">
        <f>IFERROR(__xludf.DUMMYFUNCTION("""COMPUTED_VALUE"""),"thuế hộ kinh doanh")</f>
        <v>thuế hộ kinh doanh</v>
      </c>
      <c r="P53" s="34" t="str">
        <f>IFERROR(__xludf.DUMMYFUNCTION("""COMPUTED_VALUE"""),"https://techcombank.com/thong-tin/blog/truy-thu-thue-ho-kinh-doanh")</f>
        <v>https://techcombank.com/thong-tin/blog/truy-thu-thue-ho-kinh-doanh</v>
      </c>
      <c r="Q53" s="30" t="str">
        <f>IFERROR(__xludf.DUMMYFUNCTION("""COMPUTED_VALUE"""),"thuế hộ kinh doanh")</f>
        <v>thuế hộ kinh doanh</v>
      </c>
      <c r="R53" s="34" t="str">
        <f>IFERROR(__xludf.DUMMYFUNCTION("""COMPUTED_VALUE"""),"https://techcombank.com/thong-tin/blog/dong-ma-so-thue-ho-kinh-doanh")</f>
        <v>https://techcombank.com/thong-tin/blog/dong-ma-so-thue-ho-kinh-doanh</v>
      </c>
      <c r="S53" s="30" t="str">
        <f>IFERROR(__xludf.DUMMYFUNCTION("""COMPUTED_VALUE"""),"thuế hộ kinh doanh")</f>
        <v>thuế hộ kinh doanh</v>
      </c>
      <c r="T53" s="34" t="str">
        <f>IFERROR(__xludf.DUMMYFUNCTION("""COMPUTED_VALUE"""),"https://techcombank.com/thong-tin/blog/phat-cham-dang-ky-thue-ho-kinh-doanh")</f>
        <v>https://techcombank.com/thong-tin/blog/phat-cham-dang-ky-thue-ho-kinh-doanh</v>
      </c>
      <c r="U53" s="30" t="str">
        <f>IFERROR(__xludf.DUMMYFUNCTION("""COMPUTED_VALUE"""),"thuế hộ kinh doanh")</f>
        <v>thuế hộ kinh doanh</v>
      </c>
      <c r="V53" s="34" t="str">
        <f>IFERROR(__xludf.DUMMYFUNCTION("""COMPUTED_VALUE"""),"https://techcombank.com/thong-tin/blog/cach-nop-thue-dien-tu")</f>
        <v>https://techcombank.com/thong-tin/blog/cach-nop-thue-dien-tu</v>
      </c>
      <c r="W53" s="30" t="str">
        <f>IFERROR(__xludf.DUMMYFUNCTION("""COMPUTED_VALUE"""),"thuế hộ kinh doanh")</f>
        <v>thuế hộ kinh doanh</v>
      </c>
      <c r="X53" s="34" t="str">
        <f>IFERROR(__xludf.DUMMYFUNCTION("""COMPUTED_VALUE"""),"https://techcombank.com/thong-tin/blog/hoan-thue-doanh-nghiep")</f>
        <v>https://techcombank.com/thong-tin/blog/hoan-thue-doanh-nghiep</v>
      </c>
      <c r="Y53" s="30" t="str">
        <f>IFERROR(__xludf.DUMMYFUNCTION("""COMPUTED_VALUE"""),"thuế hộ kinh doanh")</f>
        <v>thuế hộ kinh doanh</v>
      </c>
      <c r="Z53" s="34" t="str">
        <f>IFERROR(__xludf.DUMMYFUNCTION("""COMPUTED_VALUE"""),"https://techcombank.com/thong-tin/blog/thanh-lap-ho-kinh-doanh-ca-the")</f>
        <v>https://techcombank.com/thong-tin/blog/thanh-lap-ho-kinh-doanh-ca-the</v>
      </c>
      <c r="AA53" s="30" t="str">
        <f>IFERROR(__xludf.DUMMYFUNCTION("""COMPUTED_VALUE"""),"thuế hộ kinh doanh")</f>
        <v>thuế hộ kinh doanh</v>
      </c>
      <c r="AB53" s="34" t="str">
        <f>IFERROR(__xludf.DUMMYFUNCTION("""COMPUTED_VALUE"""),"https://techcombank.com/thong-tin/blog/thue-doanh-nghiep-2025")</f>
        <v>https://techcombank.com/thong-tin/blog/thue-doanh-nghiep-2025</v>
      </c>
      <c r="AC53" s="30" t="str">
        <f>IFERROR(__xludf.DUMMYFUNCTION("""COMPUTED_VALUE"""),"thuế hộ kinh doanh")</f>
        <v>thuế hộ kinh doanh</v>
      </c>
      <c r="AD53" s="34" t="str">
        <f>IFERROR(__xludf.DUMMYFUNCTION("""COMPUTED_VALUE"""),"https://techcombank.com/thong-tin/blog/cach-tao-ma-qr")</f>
        <v>https://techcombank.com/thong-tin/blog/cach-tao-ma-qr</v>
      </c>
      <c r="AE53" s="30" t="str">
        <f>IFERROR(__xludf.DUMMYFUNCTION("""COMPUTED_VALUE"""),"thuế hộ kinh doanh")</f>
        <v>thuế hộ kinh doanh</v>
      </c>
      <c r="AF53" s="34" t="str">
        <f>IFERROR(__xludf.DUMMYFUNCTION("""COMPUTED_VALUE"""),"https://techcombank.com/thong-tin/blog/kiem-tra-thue-thu-nhap-ca-nhan")</f>
        <v>https://techcombank.com/thong-tin/blog/kiem-tra-thue-thu-nhap-ca-nhan</v>
      </c>
      <c r="AG53" s="30" t="str">
        <f>IFERROR(__xludf.DUMMYFUNCTION("""COMPUTED_VALUE"""),"thuế hộ kinh doanh")</f>
        <v>thuế hộ kinh doanh</v>
      </c>
      <c r="AH53" s="34" t="str">
        <f>IFERROR(__xludf.DUMMYFUNCTION("""COMPUTED_VALUE"""),"https://techcombank.com/thong-tin/blog/loi-ich-khi-ho-kinh-doanh-chuyen-len-doanh-nghiep")</f>
        <v>https://techcombank.com/thong-tin/blog/loi-ich-khi-ho-kinh-doanh-chuyen-len-doanh-nghiep</v>
      </c>
      <c r="AI53" s="30" t="str">
        <f>IFERROR(__xludf.DUMMYFUNCTION("""COMPUTED_VALUE"""),"thuế hộ kinh doanh")</f>
        <v>thuế hộ kinh doanh</v>
      </c>
      <c r="AJ53" s="34" t="str">
        <f>IFERROR(__xludf.DUMMYFUNCTION("""COMPUTED_VALUE"""),"https://techcombank.com/thong-tin/blog/tiem-nang-chuyen-doi-tu-ho-kinh-doanh-len-doanh-nghiep-sme")</f>
        <v>https://techcombank.com/thong-tin/blog/tiem-nang-chuyen-doi-tu-ho-kinh-doanh-len-doanh-nghiep-sme</v>
      </c>
      <c r="AK53" s="30" t="str">
        <f>IFERROR(__xludf.DUMMYFUNCTION("""COMPUTED_VALUE"""),"thuế hộ kinh doanh")</f>
        <v>thuế hộ kinh doanh</v>
      </c>
      <c r="AL53" s="34" t="str">
        <f>IFERROR(__xludf.DUMMYFUNCTION("""COMPUTED_VALUE"""),"https://techcombank.com/thong-tin/blog/kinh-nghiem-chuyen-doi-tu-ho-kinh-doanh-len-doanh-nghiep")</f>
        <v>https://techcombank.com/thong-tin/blog/kinh-nghiem-chuyen-doi-tu-ho-kinh-doanh-len-doanh-nghiep</v>
      </c>
      <c r="AM53" s="30" t="str">
        <f>IFERROR(__xludf.DUMMYFUNCTION("""COMPUTED_VALUE"""),"thuế hộ kinh doanh")</f>
        <v>thuế hộ kinh doanh</v>
      </c>
      <c r="AN53" s="34" t="str">
        <f>IFERROR(__xludf.DUMMYFUNCTION("""COMPUTED_VALUE"""),"https://techcombank.com/thong-tin/blog/cach-tinh-thue-thu-nhap-doanh-nghiep")</f>
        <v>https://techcombank.com/thong-tin/blog/cach-tinh-thue-thu-nhap-doanh-nghiep</v>
      </c>
      <c r="AO53" s="30" t="str">
        <f>IFERROR(__xludf.DUMMYFUNCTION("""COMPUTED_VALUE"""),"thuế hộ kinh doanh")</f>
        <v>thuế hộ kinh doanh</v>
      </c>
      <c r="AP53" s="34" t="str">
        <f>IFERROR(__xludf.DUMMYFUNCTION("""COMPUTED_VALUE"""),"https://techcombank.com/thong-tin/blog/lai-suat-vay-kinh-doanh")</f>
        <v>https://techcombank.com/thong-tin/blog/lai-suat-vay-kinh-doanh</v>
      </c>
      <c r="AQ53" s="30" t="str">
        <f>IFERROR(__xludf.DUMMYFUNCTION("""COMPUTED_VALUE"""),"thuế hộ kinh doanh")</f>
        <v>thuế hộ kinh doanh</v>
      </c>
      <c r="AR53" s="34" t="str">
        <f>IFERROR(__xludf.DUMMYFUNCTION("""COMPUTED_VALUE"""),"https://techcombank.com/thong-tin/blog/khoi-nghiep-truoc-chinh-sach-thue-moi")</f>
        <v>https://techcombank.com/thong-tin/blog/khoi-nghiep-truoc-chinh-sach-thue-moi</v>
      </c>
      <c r="AS53" s="30" t="str">
        <f>IFERROR(__xludf.DUMMYFUNCTION("""COMPUTED_VALUE"""),"thuế hộ kinh doanh")</f>
        <v>thuế hộ kinh doanh</v>
      </c>
      <c r="AT53" s="34" t="str">
        <f>IFERROR(__xludf.DUMMYFUNCTION("""COMPUTED_VALUE"""),"https://techcombank.com/thong-tin/blog/cach-tra-cuu-hoa-don-dien-tu")</f>
        <v>https://techcombank.com/thong-tin/blog/cach-tra-cuu-hoa-don-dien-tu</v>
      </c>
      <c r="AU53" s="30" t="str">
        <f>IFERROR(__xludf.DUMMYFUNCTION("""COMPUTED_VALUE"""),"thuế hộ kinh doanh")</f>
        <v>thuế hộ kinh doanh</v>
      </c>
      <c r="AV53" s="34" t="str">
        <f>IFERROR(__xludf.DUMMYFUNCTION("""COMPUTED_VALUE"""),"https://techcombank.com/thong-tin/blog/tra-cuu-no-thue-hai-quan")</f>
        <v>https://techcombank.com/thong-tin/blog/tra-cuu-no-thue-hai-quan</v>
      </c>
      <c r="AW53" s="30" t="str">
        <f>IFERROR(__xludf.DUMMYFUNCTION("""COMPUTED_VALUE"""),"thuế hộ kinh doanh")</f>
        <v>thuế hộ kinh doanh</v>
      </c>
      <c r="AX53" s="34" t="str">
        <f>IFERROR(__xludf.DUMMYFUNCTION("""COMPUTED_VALUE"""),"https://techcombank.com/thong-tin/blog/chuyen-doi-ho-kinh-doanh-len-doanh-nghiep")</f>
        <v>https://techcombank.com/thong-tin/blog/chuyen-doi-ho-kinh-doanh-len-doanh-nghiep</v>
      </c>
      <c r="AY53" s="30" t="str">
        <f>IFERROR(__xludf.DUMMYFUNCTION("""COMPUTED_VALUE"""),"thuế hộ kinh doanh")</f>
        <v>thuế hộ kinh doanh</v>
      </c>
      <c r="AZ53" s="34" t="str">
        <f>IFERROR(__xludf.DUMMYFUNCTION("""COMPUTED_VALUE"""),"https://techcombank.com/thong-tin/blog/thanh-toan-khong-dung-tien-mat")</f>
        <v>https://techcombank.com/thong-tin/blog/thanh-toan-khong-dung-tien-mat</v>
      </c>
      <c r="BA53" s="30" t="str">
        <f>IFERROR(__xludf.DUMMYFUNCTION("""COMPUTED_VALUE"""),"thuế hộ kinh doanh")</f>
        <v>thuế hộ kinh doanh</v>
      </c>
      <c r="BB53" s="34" t="str">
        <f>IFERROR(__xludf.DUMMYFUNCTION("""COMPUTED_VALUE"""),"https://techcombank.com/thong-tin/blog/mo-tai-khoan-ho-kinh-doanh")</f>
        <v>https://techcombank.com/thong-tin/blog/mo-tai-khoan-ho-kinh-doanh</v>
      </c>
      <c r="BC53" s="30" t="str">
        <f>IFERROR(__xludf.DUMMYFUNCTION("""COMPUTED_VALUE"""),"thuế hộ kinh doanh")</f>
        <v>thuế hộ kinh doanh</v>
      </c>
      <c r="BD53" s="34" t="str">
        <f>IFERROR(__xludf.DUMMYFUNCTION("""COMPUTED_VALUE"""),"https://techcombank.com/thong-tin/blog/nhung-chi-phi-khong-duoc-tru-khi-tinh-thue-tndn")</f>
        <v>https://techcombank.com/thong-tin/blog/nhung-chi-phi-khong-duoc-tru-khi-tinh-thue-tndn</v>
      </c>
      <c r="BE53" s="30" t="str">
        <f>IFERROR(__xludf.DUMMYFUNCTION("""COMPUTED_VALUE"""),"thuế hộ kinh doanh")</f>
        <v>thuế hộ kinh doanh</v>
      </c>
      <c r="BF53" s="34" t="str">
        <f>IFERROR(__xludf.DUMMYFUNCTION("""COMPUTED_VALUE"""),"https://techcombank.com/thong-tin/blog/giai-dap-ve-thue-doanh-nghiep")</f>
        <v>https://techcombank.com/thong-tin/blog/giai-dap-ve-thue-doanh-nghiep</v>
      </c>
      <c r="BG53" s="30" t="str">
        <f>IFERROR(__xludf.DUMMYFUNCTION("""COMPUTED_VALUE"""),"thuế hộ kinh doanh")</f>
        <v>thuế hộ kinh doanh</v>
      </c>
      <c r="BH53" s="34" t="str">
        <f>IFERROR(__xludf.DUMMYFUNCTION("""COMPUTED_VALUE"""),"https://techcombank.com/thong-tin/blog/nen-thanh-lap-ho-kinh-doanh-ke-khai-hay-doanh-nghiep")</f>
        <v>https://techcombank.com/thong-tin/blog/nen-thanh-lap-ho-kinh-doanh-ke-khai-hay-doanh-nghiep</v>
      </c>
      <c r="BI53" s="30" t="str">
        <f>IFERROR(__xludf.DUMMYFUNCTION("""COMPUTED_VALUE"""),"thuế hộ kinh doanh")</f>
        <v>thuế hộ kinh doanh</v>
      </c>
      <c r="BJ53" s="34" t="str">
        <f>IFERROR(__xludf.DUMMYFUNCTION("""COMPUTED_VALUE"""),"https://techcombank.com/thong-tin/blog/nop-thue-dat-qua-ngan-hang")</f>
        <v>https://techcombank.com/thong-tin/blog/nop-thue-dat-qua-ngan-hang</v>
      </c>
      <c r="BK53" s="30" t="str">
        <f>IFERROR(__xludf.DUMMYFUNCTION("""COMPUTED_VALUE"""),"thuế hộ kinh doanh")</f>
        <v>thuế hộ kinh doanh</v>
      </c>
      <c r="BL53" s="34" t="str">
        <f>IFERROR(__xludf.DUMMYFUNCTION("""COMPUTED_VALUE"""),"https://techcombank.com/thong-tin/blog/vay-tin-chap-ho-kinh-doanh")</f>
        <v>https://techcombank.com/thong-tin/blog/vay-tin-chap-ho-kinh-doanh</v>
      </c>
      <c r="BM53" s="30" t="str">
        <f>IFERROR(__xludf.DUMMYFUNCTION("""COMPUTED_VALUE"""),"thuế hộ kinh doanh")</f>
        <v>thuế hộ kinh doanh</v>
      </c>
      <c r="BN53" s="34" t="str">
        <f>IFERROR(__xludf.DUMMYFUNCTION("""COMPUTED_VALUE"""),"https://techcombank.com/thong-tin/blog/tra-cuu-no-thue-ho-kinh-doanh")</f>
        <v>https://techcombank.com/thong-tin/blog/tra-cuu-no-thue-ho-kinh-doanh</v>
      </c>
      <c r="BO53" s="30" t="str">
        <f>IFERROR(__xludf.DUMMYFUNCTION("""COMPUTED_VALUE"""),"thuế hộ kinh doanh")</f>
        <v>thuế hộ kinh doanh</v>
      </c>
      <c r="BP53" s="34" t="str">
        <f>IFERROR(__xludf.DUMMYFUNCTION("""COMPUTED_VALUE"""),"https://techcombank.com/thong-tin/blog/lien-ket-tai-khoan-ngan-hang-voi-etax-mobile")</f>
        <v>https://techcombank.com/thong-tin/blog/lien-ket-tai-khoan-ngan-hang-voi-etax-mobile</v>
      </c>
      <c r="BQ53" s="30" t="str">
        <f>IFERROR(__xludf.DUMMYFUNCTION("""COMPUTED_VALUE"""),"thuế hộ kinh doanh")</f>
        <v>thuế hộ kinh doanh</v>
      </c>
      <c r="BR53" s="34" t="str">
        <f>IFERROR(__xludf.DUMMYFUNCTION("""COMPUTED_VALUE"""),"https://techcombank.com/thong-tin/blog/thu-tuc-vay-von-kinh-doanh-nho")</f>
        <v>https://techcombank.com/thong-tin/blog/thu-tuc-vay-von-kinh-doanh-nho</v>
      </c>
      <c r="BS53" s="30" t="str">
        <f>IFERROR(__xludf.DUMMYFUNCTION("""COMPUTED_VALUE"""),"thuế hộ kinh doanh")</f>
        <v>thuế hộ kinh doanh</v>
      </c>
      <c r="BT53" s="34" t="str">
        <f>IFERROR(__xludf.DUMMYFUNCTION("""COMPUTED_VALUE"""),"https://techcombank.com/thong-tin/blog/kiem-tra-thue-ho-kinh-doanh")</f>
        <v>https://techcombank.com/thong-tin/blog/kiem-tra-thue-ho-kinh-doanh</v>
      </c>
      <c r="BU53" s="30" t="str">
        <f>IFERROR(__xludf.DUMMYFUNCTION("""COMPUTED_VALUE"""),"thuế hộ kinh doanh")</f>
        <v>thuế hộ kinh doanh</v>
      </c>
      <c r="BV53" s="34" t="str">
        <f>IFERROR(__xludf.DUMMYFUNCTION("""COMPUTED_VALUE"""),"https://techcombank.com/thong-tin/blog/cac-sai-lam-pho-bien-khi-chuyen-doi-ho-kinh-doanh-len-sme")</f>
        <v>https://techcombank.com/thong-tin/blog/cac-sai-lam-pho-bien-khi-chuyen-doi-ho-kinh-doanh-len-sme</v>
      </c>
      <c r="BW53" s="30" t="str">
        <f>IFERROR(__xludf.DUMMYFUNCTION("""COMPUTED_VALUE"""),"thuế hộ kinh doanh")</f>
        <v>thuế hộ kinh doanh</v>
      </c>
      <c r="BX53" s="34" t="str">
        <f>IFERROR(__xludf.DUMMYFUNCTION("""COMPUTED_VALUE"""),"https://techcombank.com/thong-tin/blog/giay-phep-kinh-doanh")</f>
        <v>https://techcombank.com/thong-tin/blog/giay-phep-kinh-doanh</v>
      </c>
      <c r="BY53" s="30" t="str">
        <f>IFERROR(__xludf.DUMMYFUNCTION("""COMPUTED_VALUE"""),"thuế hộ kinh doanh")</f>
        <v>thuế hộ kinh doanh</v>
      </c>
      <c r="BZ53" s="34" t="str">
        <f>IFERROR(__xludf.DUMMYFUNCTION("""COMPUTED_VALUE"""),"https://techcombank.com/thong-tin/blog/tra-cuu-no-thue-ca-nhan")</f>
        <v>https://techcombank.com/thong-tin/blog/tra-cuu-no-thue-ca-nhan</v>
      </c>
      <c r="CA53" s="30" t="str">
        <f>IFERROR(__xludf.DUMMYFUNCTION("""COMPUTED_VALUE"""),"thuế hộ kinh doanh")</f>
        <v>thuế hộ kinh doanh</v>
      </c>
      <c r="CB53" s="34" t="str">
        <f>IFERROR(__xludf.DUMMYFUNCTION("""COMPUTED_VALUE"""),"https://techcombank.com/thong-tin/blog/chuyen-doi-hoa-don-dien-tu")</f>
        <v>https://techcombank.com/thong-tin/blog/chuyen-doi-hoa-don-dien-tu</v>
      </c>
      <c r="CC53" s="30" t="str">
        <f>IFERROR(__xludf.DUMMYFUNCTION("""COMPUTED_VALUE"""),"thuế hộ kinh doanh")</f>
        <v>thuế hộ kinh doanh</v>
      </c>
      <c r="CD53" s="34" t="str">
        <f>IFERROR(__xludf.DUMMYFUNCTION("""COMPUTED_VALUE"""),"https://techcombank.com/thong-tin/blog/khai-bao-tai-khoan-ngan-hang-voi-co-quan-thue")</f>
        <v>https://techcombank.com/thong-tin/blog/khai-bao-tai-khoan-ngan-hang-voi-co-quan-thue</v>
      </c>
      <c r="CE53" s="30" t="str">
        <f>IFERROR(__xludf.DUMMYFUNCTION("""COMPUTED_VALUE"""),"thuế hộ kinh doanh")</f>
        <v>thuế hộ kinh doanh</v>
      </c>
      <c r="CF53" s="34" t="str">
        <f>IFERROR(__xludf.DUMMYFUNCTION("""COMPUTED_VALUE"""),"https://techcombank.com/thong-tin/blog/dang-ky-kinh-doanh-la-gi")</f>
        <v>https://techcombank.com/thong-tin/blog/dang-ky-kinh-doanh-la-gi</v>
      </c>
      <c r="CG53" s="30" t="str">
        <f>IFERROR(__xludf.DUMMYFUNCTION("""COMPUTED_VALUE"""),"thuế hộ kinh doanh")</f>
        <v>thuế hộ kinh doanh</v>
      </c>
      <c r="CH53" s="34" t="str">
        <f>IFERROR(__xludf.DUMMYFUNCTION("""COMPUTED_VALUE"""),"https://techcombank.com/thong-tin/blog/thay-doi-dia-chi-ho-kinh-doanh")</f>
        <v>https://techcombank.com/thong-tin/blog/thay-doi-dia-chi-ho-kinh-doanh</v>
      </c>
      <c r="CI53" s="30" t="str">
        <f>IFERROR(__xludf.DUMMYFUNCTION("""COMPUTED_VALUE"""),"thuế hộ kinh doanh")</f>
        <v>thuế hộ kinh doanh</v>
      </c>
      <c r="CJ53" s="34" t="str">
        <f>IFERROR(__xludf.DUMMYFUNCTION("""COMPUTED_VALUE"""),"https://techcombank.com/thong-tin/blog/cach-dang-ky-ma-so-thue-ho-kinh-doanh-online")</f>
        <v>https://techcombank.com/thong-tin/blog/cach-dang-ky-ma-so-thue-ho-kinh-doanh-online</v>
      </c>
      <c r="CK53" s="30" t="str">
        <f>IFERROR(__xludf.DUMMYFUNCTION("""COMPUTED_VALUE"""),"thuế hộ kinh doanh")</f>
        <v>thuế hộ kinh doanh</v>
      </c>
      <c r="CL53" s="34" t="str">
        <f>IFERROR(__xludf.DUMMYFUNCTION("""COMPUTED_VALUE"""),"https://techcombank.com/thong-tin/blog/luu-y-khi-chuyen-doi-tu-ho-kinh-doanh-len-doanh-nghiep")</f>
        <v>https://techcombank.com/thong-tin/blog/luu-y-khi-chuyen-doi-tu-ho-kinh-doanh-len-doanh-nghiep</v>
      </c>
      <c r="CM53" s="30" t="str">
        <f>IFERROR(__xludf.DUMMYFUNCTION("""COMPUTED_VALUE"""),"thuế hộ kinh doanh")</f>
        <v>thuế hộ kinh doanh</v>
      </c>
      <c r="CN53" s="34" t="str">
        <f>IFERROR(__xludf.DUMMYFUNCTION("""COMPUTED_VALUE"""),"https://techcombank.com/thong-tin/blog/merchant-la-gi")</f>
        <v>https://techcombank.com/thong-tin/blog/merchant-la-gi</v>
      </c>
      <c r="CO53" s="30" t="str">
        <f>IFERROR(__xludf.DUMMYFUNCTION("""COMPUTED_VALUE"""),"thuế hộ kinh doanh")</f>
        <v>thuế hộ kinh doanh</v>
      </c>
      <c r="CP53" s="34" t="str">
        <f>IFERROR(__xludf.DUMMYFUNCTION("""COMPUTED_VALUE"""),"https://techcombank.com/thong-tin/blog/hieu-hiet-ve-tuan-thu-thue-cho-cac-doanh-nghiep-khoi-nghiep")</f>
        <v>https://techcombank.com/thong-tin/blog/hieu-hiet-ve-tuan-thu-thue-cho-cac-doanh-nghiep-khoi-nghiep</v>
      </c>
      <c r="CQ53" s="30" t="str">
        <f>IFERROR(__xludf.DUMMYFUNCTION("""COMPUTED_VALUE"""),"hộ kinh doanh đóng thuế như thế nào")</f>
        <v>hộ kinh doanh đóng thuế như thế nào</v>
      </c>
      <c r="CR53" s="34" t="str">
        <f>IFERROR(__xludf.DUMMYFUNCTION("""COMPUTED_VALUE"""),"https://techcombank.com/thong-tin/blog/barcode-la-gi")</f>
        <v>https://techcombank.com/thong-tin/blog/barcode-la-gi</v>
      </c>
      <c r="CS53" s="30" t="str">
        <f>IFERROR(__xludf.DUMMYFUNCTION("""COMPUTED_VALUE"""),"thuế hộ kinh doanh")</f>
        <v>thuế hộ kinh doanh</v>
      </c>
      <c r="CT53" s="34" t="str">
        <f>IFERROR(__xludf.DUMMYFUNCTION("""COMPUTED_VALUE"""),"https://techcombank.com/thong-tin/blog/tra-cuu-ma-so-thue-ho-kinh-doanh")</f>
        <v>https://techcombank.com/thong-tin/blog/tra-cuu-ma-so-thue-ho-kinh-doanh</v>
      </c>
      <c r="CU53" s="30" t="str">
        <f>IFERROR(__xludf.DUMMYFUNCTION("""COMPUTED_VALUE"""),"thuế hộ kinh doanh")</f>
        <v>thuế hộ kinh doanh</v>
      </c>
      <c r="CV53" s="34" t="str">
        <f>IFERROR(__xludf.DUMMYFUNCTION("""COMPUTED_VALUE"""),"https://techcombank.com/thong-tin/blog/dang-ky-thue-ho-kinh-doanh-ca-the-online")</f>
        <v>https://techcombank.com/thong-tin/blog/dang-ky-thue-ho-kinh-doanh-ca-the-online</v>
      </c>
      <c r="CW53" s="30" t="str">
        <f>IFERROR(__xludf.DUMMYFUNCTION("""COMPUTED_VALUE"""),"thuế hộ kinh doanh")</f>
        <v>thuế hộ kinh doanh</v>
      </c>
      <c r="CX53" s="34" t="str">
        <f>IFERROR(__xludf.DUMMYFUNCTION("""COMPUTED_VALUE"""),"https://techcombank.com/thong-tin/blog/chuyen-doi-so-ho-kinh-doanh")</f>
        <v>https://techcombank.com/thong-tin/blog/chuyen-doi-so-ho-kinh-doanh</v>
      </c>
      <c r="CY53" s="30" t="str">
        <f>IFERROR(__xludf.DUMMYFUNCTION("""COMPUTED_VALUE"""),"hộ kinh doanh đóng thuế như thế nào")</f>
        <v>hộ kinh doanh đóng thuế như thế nào</v>
      </c>
      <c r="CZ53" s="34" t="str">
        <f>IFERROR(__xludf.DUMMYFUNCTION("""COMPUTED_VALUE"""),"https://techcombank.com/thong-tin/blog/chinh-sach-thue-moi")</f>
        <v>https://techcombank.com/thong-tin/blog/chinh-sach-thue-moi</v>
      </c>
      <c r="DA53" s="30" t="str">
        <f>IFERROR(__xludf.DUMMYFUNCTION("""COMPUTED_VALUE"""),"hộ kinh doanh đóng thuế như thế nào")</f>
        <v>hộ kinh doanh đóng thuế như thế nào</v>
      </c>
      <c r="DB53" s="34" t="str">
        <f>IFERROR(__xludf.DUMMYFUNCTION("""COMPUTED_VALUE"""),"https://techcombank.com/thong-tin/blog/hoa-don-dien-tu")</f>
        <v>https://techcombank.com/thong-tin/blog/hoa-don-dien-tu</v>
      </c>
      <c r="DC53" s="30" t="str">
        <f>IFERROR(__xludf.DUMMYFUNCTION("""COMPUTED_VALUE"""),"thuế hộ kinh doanh")</f>
        <v>thuế hộ kinh doanh</v>
      </c>
      <c r="DD53" s="34" t="str">
        <f>IFERROR(__xludf.DUMMYFUNCTION("""COMPUTED_VALUE"""),"https://techcombank.com/thong-tin/blog/luat-thuong-mai-dien-tu")</f>
        <v>https://techcombank.com/thong-tin/blog/luat-thuong-mai-dien-tu</v>
      </c>
      <c r="DE53" s="30" t="str">
        <f>IFERROR(__xludf.DUMMYFUNCTION("""COMPUTED_VALUE"""),"thuế hộ kinh doanh")</f>
        <v>thuế hộ kinh doanh</v>
      </c>
      <c r="DF53" s="34" t="str">
        <f>IFERROR(__xludf.DUMMYFUNCTION("""COMPUTED_VALUE"""),"https://techcombank.com/thong-tin/blog/ke-khai-thue-ho-kinh-doanh-ca-the-online")</f>
        <v>https://techcombank.com/thong-tin/blog/ke-khai-thue-ho-kinh-doanh-ca-the-online</v>
      </c>
      <c r="DG53" s="30" t="str">
        <f>IFERROR(__xludf.DUMMYFUNCTION("""COMPUTED_VALUE"""),"thuế hộ kinh doanh")</f>
        <v>thuế hộ kinh doanh</v>
      </c>
      <c r="DH53" s="34" t="str">
        <f>IFERROR(__xludf.DUMMYFUNCTION("""COMPUTED_VALUE"""),"https://techcombank.com/thong-tin/blog/vay-the-chap-kinh-doanh")</f>
        <v>https://techcombank.com/thong-tin/blog/vay-the-chap-kinh-doanh</v>
      </c>
      <c r="DI53" s="30"/>
      <c r="DJ53" s="30"/>
      <c r="DK53" s="30"/>
      <c r="DL53" s="30"/>
      <c r="DM53" s="30"/>
      <c r="DN53" s="30"/>
      <c r="DO53" s="30"/>
      <c r="DP53" s="30"/>
      <c r="DQ53" s="30"/>
      <c r="DR53" s="30"/>
      <c r="DS53" s="30"/>
      <c r="DT53" s="30"/>
      <c r="DU53" s="30"/>
      <c r="DV53" s="30"/>
      <c r="DW53" s="30"/>
      <c r="DX53" s="30"/>
      <c r="DY53" s="30"/>
      <c r="DZ53" s="30"/>
      <c r="EA53" s="30"/>
      <c r="EB53" s="30"/>
      <c r="EC53" s="30"/>
      <c r="ED53" s="30"/>
      <c r="EE53" s="30"/>
      <c r="EF53" s="30"/>
      <c r="EG53" s="30"/>
      <c r="EH53" s="30"/>
      <c r="EI53" s="30"/>
      <c r="EJ53" s="30"/>
      <c r="EK53" s="30"/>
      <c r="EL53" s="30"/>
      <c r="EM53" s="30"/>
      <c r="EN53" s="30"/>
      <c r="EO53" s="30"/>
      <c r="EP53" s="30"/>
      <c r="EQ53" s="30"/>
      <c r="ER53" s="30"/>
      <c r="ES53" s="30"/>
      <c r="ET53" s="30"/>
      <c r="EU53" s="30"/>
      <c r="EV53" s="30"/>
      <c r="EW53" s="30"/>
      <c r="EX53" s="30"/>
      <c r="EY53" s="30"/>
      <c r="EZ53" s="30"/>
      <c r="FA53" s="30"/>
      <c r="FB53" s="30"/>
      <c r="FC53" s="30"/>
      <c r="FD53" s="30"/>
      <c r="FE53" s="30"/>
      <c r="FF53" s="30"/>
      <c r="FG53" s="30"/>
      <c r="FH53" s="30"/>
      <c r="FI53" s="30"/>
      <c r="FJ53" s="30"/>
      <c r="FK53" s="30"/>
      <c r="FL53" s="30"/>
      <c r="FM53" s="30"/>
      <c r="FN53" s="30"/>
      <c r="FO53" s="30"/>
      <c r="FP53" s="30"/>
      <c r="FQ53" s="30"/>
      <c r="FR53" s="30"/>
      <c r="FS53" s="30"/>
      <c r="FT53" s="30"/>
      <c r="FU53" s="30"/>
      <c r="FV53" s="30"/>
      <c r="FW53" s="30"/>
      <c r="FX53" s="30"/>
      <c r="FY53" s="30"/>
      <c r="FZ53" s="30"/>
      <c r="GA53" s="30"/>
      <c r="GB53" s="30"/>
      <c r="GC53" s="30"/>
      <c r="GD53" s="30"/>
      <c r="GE53" s="30"/>
      <c r="GF53" s="30"/>
      <c r="GG53" s="30"/>
      <c r="GH53" s="30"/>
      <c r="GI53" s="30"/>
      <c r="GJ53" s="30"/>
      <c r="GK53" s="30"/>
      <c r="GL53" s="30"/>
      <c r="GM53" s="30"/>
      <c r="GN53" s="30"/>
      <c r="GO53" s="30"/>
      <c r="GP53" s="30"/>
      <c r="GQ53" s="30"/>
      <c r="GR53" s="30"/>
      <c r="GS53" s="30"/>
      <c r="GT53" s="30"/>
      <c r="GU53" s="30"/>
      <c r="GV53" s="30"/>
      <c r="GW53" s="30"/>
      <c r="GX53" s="30"/>
      <c r="GY53" s="30"/>
      <c r="GZ53" s="30"/>
      <c r="HA53" s="30"/>
      <c r="HB53" s="30"/>
      <c r="HC53" s="30"/>
      <c r="HD53" s="30"/>
      <c r="HE53" s="30"/>
      <c r="HF53" s="30"/>
      <c r="HG53" s="30"/>
      <c r="HH53" s="30"/>
      <c r="HI53" s="30"/>
      <c r="HJ53" s="30"/>
      <c r="HK53" s="30"/>
      <c r="HL53" s="30"/>
      <c r="HM53" s="30"/>
      <c r="HN53" s="30"/>
      <c r="HO53" s="30"/>
      <c r="HP53" s="30"/>
      <c r="HQ53" s="30"/>
      <c r="HR53" s="30"/>
      <c r="HS53" s="30"/>
      <c r="HT53" s="30"/>
      <c r="HU53" s="30"/>
      <c r="HV53" s="30"/>
      <c r="HW53" s="30"/>
      <c r="HX53" s="30"/>
      <c r="HY53" s="30"/>
      <c r="HZ53" s="30"/>
      <c r="IA53" s="30"/>
      <c r="IB53" s="30"/>
      <c r="IC53" s="30"/>
      <c r="ID53" s="30"/>
      <c r="IE53" s="30"/>
      <c r="IF53" s="30"/>
      <c r="IG53" s="30"/>
      <c r="IH53" s="30"/>
      <c r="II53" s="30"/>
      <c r="IJ53" s="30"/>
      <c r="IK53" s="30"/>
      <c r="IL53" s="30"/>
      <c r="IM53" s="30"/>
      <c r="IN53" s="30"/>
      <c r="IO53" s="30"/>
      <c r="IP53" s="30"/>
      <c r="IQ53" s="30"/>
      <c r="IR53" s="30"/>
      <c r="IS53" s="30"/>
      <c r="IT53" s="30"/>
      <c r="IU53" s="30"/>
      <c r="IV53" s="30"/>
      <c r="IW53" s="30"/>
      <c r="IX53" s="30"/>
      <c r="IY53" s="30"/>
      <c r="IZ53" s="30"/>
      <c r="JA53" s="30"/>
      <c r="JB53" s="30"/>
      <c r="JC53" s="30"/>
      <c r="JD53" s="30"/>
      <c r="JE53" s="30"/>
      <c r="JF53" s="30"/>
      <c r="JG53" s="30"/>
      <c r="JH53" s="30"/>
      <c r="JI53" s="30"/>
      <c r="JJ53" s="30"/>
      <c r="JK53" s="30"/>
      <c r="JL53" s="30"/>
      <c r="JM53" s="30"/>
      <c r="JN53" s="30"/>
      <c r="JO53" s="30"/>
      <c r="JP53" s="30"/>
      <c r="JQ53" s="30"/>
      <c r="JR53" s="30"/>
      <c r="JS53" s="30"/>
      <c r="JT53" s="30"/>
      <c r="JU53" s="30"/>
      <c r="JV53" s="30"/>
      <c r="JW53" s="30"/>
      <c r="JX53" s="30"/>
      <c r="JY53" s="30"/>
      <c r="JZ53" s="30"/>
      <c r="KA53" s="30"/>
      <c r="KB53" s="30"/>
      <c r="KC53" s="30"/>
      <c r="KD53" s="30"/>
      <c r="KE53" s="30"/>
      <c r="KF53" s="30"/>
      <c r="KG53" s="30"/>
      <c r="KH53" s="30"/>
      <c r="KI53" s="30"/>
      <c r="KJ53" s="30"/>
      <c r="KK53" s="30"/>
      <c r="KL53" s="30"/>
      <c r="KM53" s="30"/>
      <c r="KN53" s="30"/>
      <c r="KO53" s="30"/>
      <c r="KP53" s="30"/>
      <c r="KQ53" s="30"/>
      <c r="KR53" s="30"/>
      <c r="KS53" s="30"/>
      <c r="KT53" s="30"/>
      <c r="KU53" s="30"/>
      <c r="KV53" s="30"/>
      <c r="KW53" s="30"/>
      <c r="KX53" s="30"/>
      <c r="KY53" s="30"/>
      <c r="KZ53" s="30"/>
      <c r="LA53" s="30"/>
      <c r="LB53" s="30"/>
      <c r="LC53" s="30"/>
      <c r="LD53" s="30"/>
      <c r="LE53" s="30"/>
      <c r="LF53" s="30"/>
      <c r="LG53" s="30"/>
      <c r="LH53" s="30"/>
      <c r="LI53" s="30"/>
      <c r="LJ53" s="30"/>
      <c r="LK53" s="30"/>
      <c r="LL53" s="30"/>
      <c r="LM53" s="30"/>
      <c r="LN53" s="30"/>
      <c r="LO53" s="30"/>
      <c r="LP53" s="30"/>
      <c r="LQ53" s="30"/>
      <c r="LR53" s="30"/>
      <c r="LS53" s="30"/>
      <c r="LT53" s="30"/>
      <c r="LU53" s="30"/>
      <c r="LV53" s="30"/>
      <c r="LW53" s="30"/>
      <c r="LX53" s="30"/>
      <c r="LY53" s="30"/>
      <c r="LZ53" s="30"/>
      <c r="MA53" s="30"/>
      <c r="MB53" s="30"/>
      <c r="MC53" s="30"/>
      <c r="MD53" s="30"/>
      <c r="ME53" s="30"/>
      <c r="MF53" s="30"/>
      <c r="MG53" s="30"/>
      <c r="MH53" s="30"/>
      <c r="MI53" s="30"/>
      <c r="MJ53" s="30"/>
      <c r="MK53" s="30"/>
      <c r="ML53" s="30"/>
      <c r="MM53" s="30"/>
      <c r="MN53" s="30"/>
      <c r="MO53" s="30"/>
      <c r="MP53" s="30"/>
      <c r="MQ53" s="30"/>
      <c r="MR53" s="30"/>
      <c r="MS53" s="30"/>
      <c r="MT53" s="30"/>
      <c r="MU53" s="30"/>
      <c r="MV53" s="30"/>
      <c r="MW53" s="30"/>
      <c r="MX53" s="30"/>
      <c r="MY53" s="30"/>
      <c r="MZ53" s="30"/>
      <c r="NA53" s="30"/>
      <c r="NB53" s="30"/>
      <c r="NC53" s="30"/>
      <c r="ND53" s="30"/>
      <c r="NE53" s="30"/>
      <c r="NF53" s="30"/>
      <c r="NG53" s="30"/>
      <c r="NH53" s="30"/>
      <c r="NI53" s="30"/>
      <c r="NJ53" s="30"/>
      <c r="NK53" s="30"/>
      <c r="NL53" s="30"/>
      <c r="NM53" s="30"/>
      <c r="NN53" s="30"/>
      <c r="NO53" s="30"/>
      <c r="NP53" s="30"/>
      <c r="NQ53" s="30"/>
      <c r="NR53" s="30"/>
      <c r="NS53" s="30"/>
      <c r="NT53" s="30"/>
      <c r="NU53" s="30"/>
      <c r="NV53" s="30"/>
      <c r="NW53" s="30"/>
      <c r="NX53" s="30"/>
      <c r="NY53" s="30"/>
      <c r="NZ53" s="30"/>
      <c r="OA53" s="30"/>
      <c r="OB53" s="30"/>
      <c r="OC53" s="30"/>
      <c r="OD53" s="30"/>
      <c r="OE53" s="30"/>
      <c r="OF53" s="30"/>
      <c r="OG53" s="30"/>
      <c r="OH53" s="30"/>
      <c r="OI53" s="30"/>
      <c r="OJ53" s="30"/>
      <c r="OK53" s="30"/>
      <c r="OL53" s="30"/>
      <c r="OM53" s="30"/>
      <c r="ON53" s="30"/>
      <c r="OO53" s="30"/>
      <c r="OP53" s="30"/>
      <c r="OQ53" s="30"/>
      <c r="OR53" s="30"/>
      <c r="OS53" s="30"/>
      <c r="OT53" s="30"/>
      <c r="OU53" s="30"/>
      <c r="OV53" s="30"/>
    </row>
    <row r="54" ht="18.0" customHeight="1">
      <c r="A54" s="29">
        <v>53.0</v>
      </c>
      <c r="B54" s="30" t="s">
        <v>4825</v>
      </c>
      <c r="C54" s="31" t="s">
        <v>4263</v>
      </c>
      <c r="D54" s="30" t="s">
        <v>4257</v>
      </c>
      <c r="E54" s="29">
        <v>30.0</v>
      </c>
      <c r="F54" s="29">
        <f>COUNTIF('Tổng hợp 75 trang đích'!$B$2:$B$3400,$D54)</f>
        <v>30</v>
      </c>
      <c r="G54" s="29">
        <f>COUNTIFS('Tổng hợp 75 trang đích'!$B$2:$B$3400,$D54,'Tổng hợp 75 trang đích'!$K$2:$K$3400,"PHÙ HỢP CAO")</f>
        <v>2</v>
      </c>
      <c r="H54" s="29">
        <f>COUNTIFS('Tổng hợp 75 trang đích'!$B$2:$B$3400,$D54,'Tổng hợp 75 trang đích'!$K$2:$K$3400,"CÓ THỂ ĐI")</f>
        <v>13</v>
      </c>
      <c r="I54" s="29">
        <f>COUNTIFS('Tổng hợp 75 trang đích'!$B$2:$B$3400,$D54,'Tổng hợp 75 trang đích'!$K$2:$K$3400,"CẦN SOÁT")</f>
        <v>15</v>
      </c>
      <c r="J54" s="32" t="s">
        <v>714</v>
      </c>
      <c r="K54" s="32" t="b">
        <v>0</v>
      </c>
      <c r="L54" s="33" t="s">
        <v>52</v>
      </c>
      <c r="M54" s="30" t="str">
        <f>IFERROR(__xludf.DUMMYFUNCTION("IFERROR(TOROW(CHOOSECOLS(SORT(FILTER({'Tổng hợp 75 trang đích'!$J$2:$J$3400,'Tổng hợp 75 trang đích'!$I$2:$I$3400,MATCH('Tổng hợp 75 trang đích'!$K$2:$K$3400,{""PHÙ HỢP CAO"",""CÓ THỂ ĐI"",""CẦN SOÁT""},0)},'Tổng hợp 75 trang đích'!$B$2:$B$3400=$D54),3,TR"&amp;"UE),1,2)),"""")"),"mô hình kinh doanh")</f>
        <v>mô hình kinh doanh</v>
      </c>
      <c r="N54" s="34" t="str">
        <f>IFERROR(__xludf.DUMMYFUNCTION("""COMPUTED_VALUE"""),"https://techcombank.com/thong-tin/blog/nhuong-quyen-la-gi")</f>
        <v>https://techcombank.com/thong-tin/blog/nhuong-quyen-la-gi</v>
      </c>
      <c r="O54" s="30" t="str">
        <f>IFERROR(__xludf.DUMMYFUNCTION("""COMPUTED_VALUE"""),"mô hình kinh doanh là gì")</f>
        <v>mô hình kinh doanh là gì</v>
      </c>
      <c r="P54" s="34" t="str">
        <f>IFERROR(__xludf.DUMMYFUNCTION("""COMPUTED_VALUE"""),"https://techcombank.com/thong-tin/blog/kinh-doanh-online")</f>
        <v>https://techcombank.com/thong-tin/blog/kinh-doanh-online</v>
      </c>
      <c r="Q54" s="30" t="str">
        <f>IFERROR(__xludf.DUMMYFUNCTION("""COMPUTED_VALUE"""),"mô hình kinh doanh là gì")</f>
        <v>mô hình kinh doanh là gì</v>
      </c>
      <c r="R54" s="34" t="str">
        <f>IFERROR(__xludf.DUMMYFUNCTION("""COMPUTED_VALUE"""),"https://techcombank.com/thong-tin/blog/one-stop-shop")</f>
        <v>https://techcombank.com/thong-tin/blog/one-stop-shop</v>
      </c>
      <c r="S54" s="30" t="str">
        <f>IFERROR(__xludf.DUMMYFUNCTION("""COMPUTED_VALUE"""),"mô hình kinh doanh là gì")</f>
        <v>mô hình kinh doanh là gì</v>
      </c>
      <c r="T54" s="34" t="str">
        <f>IFERROR(__xludf.DUMMYFUNCTION("""COMPUTED_VALUE"""),"https://techcombank.com/thong-tin/blog/cac-loai-hinh-doanh-nghiep")</f>
        <v>https://techcombank.com/thong-tin/blog/cac-loai-hinh-doanh-nghiep</v>
      </c>
      <c r="U54" s="30" t="str">
        <f>IFERROR(__xludf.DUMMYFUNCTION("""COMPUTED_VALUE"""),"mô hình kinh doanh")</f>
        <v>mô hình kinh doanh</v>
      </c>
      <c r="V54" s="34" t="str">
        <f>IFERROR(__xludf.DUMMYFUNCTION("""COMPUTED_VALUE"""),"https://techcombank.com/thong-tin/blog/dao-tao-the-he-ke-can")</f>
        <v>https://techcombank.com/thong-tin/blog/dao-tao-the-he-ke-can</v>
      </c>
      <c r="W54" s="30" t="str">
        <f>IFERROR(__xludf.DUMMYFUNCTION("""COMPUTED_VALUE"""),"mô hình kinh doanh")</f>
        <v>mô hình kinh doanh</v>
      </c>
      <c r="X54" s="34" t="str">
        <f>IFERROR(__xludf.DUMMYFUNCTION("""COMPUTED_VALUE"""),"https://techcombank.com/thong-tin/blog/roa")</f>
        <v>https://techcombank.com/thong-tin/blog/roa</v>
      </c>
      <c r="Y54" s="30" t="str">
        <f>IFERROR(__xludf.DUMMYFUNCTION("""COMPUTED_VALUE"""),"mô hình kinh doanh")</f>
        <v>mô hình kinh doanh</v>
      </c>
      <c r="Z54" s="34" t="str">
        <f>IFERROR(__xludf.DUMMYFUNCTION("""COMPUTED_VALUE"""),"https://techcombank.com/thong-tin/blog/softpos")</f>
        <v>https://techcombank.com/thong-tin/blog/softpos</v>
      </c>
      <c r="AA54" s="30" t="str">
        <f>IFERROR(__xludf.DUMMYFUNCTION("""COMPUTED_VALUE"""),"mô hình kinh doanh")</f>
        <v>mô hình kinh doanh</v>
      </c>
      <c r="AB54" s="34" t="str">
        <f>IFERROR(__xludf.DUMMYFUNCTION("""COMPUTED_VALUE"""),"https://techcombank.com/thong-tin/blog/pos")</f>
        <v>https://techcombank.com/thong-tin/blog/pos</v>
      </c>
      <c r="AC54" s="30" t="str">
        <f>IFERROR(__xludf.DUMMYFUNCTION("""COMPUTED_VALUE"""),"mô hình kinh doanh")</f>
        <v>mô hình kinh doanh</v>
      </c>
      <c r="AD54" s="34" t="str">
        <f>IFERROR(__xludf.DUMMYFUNCTION("""COMPUTED_VALUE"""),"https://techcombank.com/thong-tin/blog/nim-la-gi")</f>
        <v>https://techcombank.com/thong-tin/blog/nim-la-gi</v>
      </c>
      <c r="AE54" s="30" t="str">
        <f>IFERROR(__xludf.DUMMYFUNCTION("""COMPUTED_VALUE"""),"mô hình kinh doanh")</f>
        <v>mô hình kinh doanh</v>
      </c>
      <c r="AF54" s="34" t="str">
        <f>IFERROR(__xludf.DUMMYFUNCTION("""COMPUTED_VALUE"""),"https://techcombank.com/thong-tin/blog/kinh-nghiem-chuyen-doi-tu-ho-kinh-doanh-len-doanh-nghiep")</f>
        <v>https://techcombank.com/thong-tin/blog/kinh-nghiem-chuyen-doi-tu-ho-kinh-doanh-len-doanh-nghiep</v>
      </c>
      <c r="AG54" s="30" t="str">
        <f>IFERROR(__xludf.DUMMYFUNCTION("""COMPUTED_VALUE"""),"mô hình kinh doanh")</f>
        <v>mô hình kinh doanh</v>
      </c>
      <c r="AH54" s="34" t="str">
        <f>IFERROR(__xludf.DUMMYFUNCTION("""COMPUTED_VALUE"""),"https://techcombank.com/thong-tin/blog/thanh-toan-bang-ma-qr")</f>
        <v>https://techcombank.com/thong-tin/blog/thanh-toan-bang-ma-qr</v>
      </c>
      <c r="AI54" s="30" t="str">
        <f>IFERROR(__xludf.DUMMYFUNCTION("""COMPUTED_VALUE"""),"mô hình kinh doanh")</f>
        <v>mô hình kinh doanh</v>
      </c>
      <c r="AJ54" s="34" t="str">
        <f>IFERROR(__xludf.DUMMYFUNCTION("""COMPUTED_VALUE"""),"https://techcombank.com/thong-tin/blog/vay-ngan-han")</f>
        <v>https://techcombank.com/thong-tin/blog/vay-ngan-han</v>
      </c>
      <c r="AK54" s="30" t="str">
        <f>IFERROR(__xludf.DUMMYFUNCTION("""COMPUTED_VALUE"""),"mô hình kinh doanh")</f>
        <v>mô hình kinh doanh</v>
      </c>
      <c r="AL54" s="34" t="str">
        <f>IFERROR(__xludf.DUMMYFUNCTION("""COMPUTED_VALUE"""),"https://techcombank.com/thong-tin/blog/chuyen-doi-xanh")</f>
        <v>https://techcombank.com/thong-tin/blog/chuyen-doi-xanh</v>
      </c>
      <c r="AM54" s="30" t="str">
        <f>IFERROR(__xludf.DUMMYFUNCTION("""COMPUTED_VALUE"""),"mô hình kinh doanh")</f>
        <v>mô hình kinh doanh</v>
      </c>
      <c r="AN54" s="34" t="str">
        <f>IFERROR(__xludf.DUMMYFUNCTION("""COMPUTED_VALUE"""),"https://techcombank.com/thong-tin/blog/gia-cao-su")</f>
        <v>https://techcombank.com/thong-tin/blog/gia-cao-su</v>
      </c>
      <c r="AO54" s="30" t="str">
        <f>IFERROR(__xludf.DUMMYFUNCTION("""COMPUTED_VALUE"""),"mô hình kinh doanh")</f>
        <v>mô hình kinh doanh</v>
      </c>
      <c r="AP54" s="34" t="str">
        <f>IFERROR(__xludf.DUMMYFUNCTION("""COMPUTED_VALUE"""),"https://techcombank.com/thong-tin/blog/dang-ky-thue-ho-kinh-doanh-ca-the-online")</f>
        <v>https://techcombank.com/thong-tin/blog/dang-ky-thue-ho-kinh-doanh-ca-the-online</v>
      </c>
      <c r="AQ54" s="30" t="str">
        <f>IFERROR(__xludf.DUMMYFUNCTION("""COMPUTED_VALUE"""),"mô hình kinh doanh là gì")</f>
        <v>mô hình kinh doanh là gì</v>
      </c>
      <c r="AR54" s="34" t="str">
        <f>IFERROR(__xludf.DUMMYFUNCTION("""COMPUTED_VALUE"""),"https://techcombank.com/thong-tin/blog/huong-dan-dang-ky-thanh-lap-doanh-nghiep")</f>
        <v>https://techcombank.com/thong-tin/blog/huong-dan-dang-ky-thanh-lap-doanh-nghiep</v>
      </c>
      <c r="AS54" s="30" t="str">
        <f>IFERROR(__xludf.DUMMYFUNCTION("""COMPUTED_VALUE"""),"mô hình kinh doanh là gì")</f>
        <v>mô hình kinh doanh là gì</v>
      </c>
      <c r="AT54" s="34" t="str">
        <f>IFERROR(__xludf.DUMMYFUNCTION("""COMPUTED_VALUE"""),"https://techcombank.com/thong-tin/blog/mo-tai-khoan-ho-kinh-doanh")</f>
        <v>https://techcombank.com/thong-tin/blog/mo-tai-khoan-ho-kinh-doanh</v>
      </c>
      <c r="AU54" s="30" t="str">
        <f>IFERROR(__xludf.DUMMYFUNCTION("""COMPUTED_VALUE"""),"mô hình kinh doanh là gì")</f>
        <v>mô hình kinh doanh là gì</v>
      </c>
      <c r="AV54" s="34" t="str">
        <f>IFERROR(__xludf.DUMMYFUNCTION("""COMPUTED_VALUE"""),"https://techcombank.com/thong-tin/blog/quan-ly-chuoi-cua-hang")</f>
        <v>https://techcombank.com/thong-tin/blog/quan-ly-chuoi-cua-hang</v>
      </c>
      <c r="AW54" s="30" t="str">
        <f>IFERROR(__xludf.DUMMYFUNCTION("""COMPUTED_VALUE"""),"mô hình kinh doanh là gì")</f>
        <v>mô hình kinh doanh là gì</v>
      </c>
      <c r="AX54" s="34" t="str">
        <f>IFERROR(__xludf.DUMMYFUNCTION("""COMPUTED_VALUE"""),"https://techcombank.com/thong-tin/blog/tra-cuu-ma-so-thue-ho-kinh-doanh")</f>
        <v>https://techcombank.com/thong-tin/blog/tra-cuu-ma-so-thue-ho-kinh-doanh</v>
      </c>
      <c r="AY54" s="30" t="str">
        <f>IFERROR(__xludf.DUMMYFUNCTION("""COMPUTED_VALUE"""),"mô hình kinh doanh là gì")</f>
        <v>mô hình kinh doanh là gì</v>
      </c>
      <c r="AZ54" s="34" t="str">
        <f>IFERROR(__xludf.DUMMYFUNCTION("""COMPUTED_VALUE"""),"https://techcombank.com/thong-tin/blog/tieu-dung-ben-vung")</f>
        <v>https://techcombank.com/thong-tin/blog/tieu-dung-ben-vung</v>
      </c>
      <c r="BA54" s="30" t="str">
        <f>IFERROR(__xludf.DUMMYFUNCTION("""COMPUTED_VALUE"""),"mô hình kinh doanh")</f>
        <v>mô hình kinh doanh</v>
      </c>
      <c r="BB54" s="34" t="str">
        <f>IFERROR(__xludf.DUMMYFUNCTION("""COMPUTED_VALUE"""),"https://techcombank.com/thong-tin/blog/top-phan-mem-ban-hang")</f>
        <v>https://techcombank.com/thong-tin/blog/top-phan-mem-ban-hang</v>
      </c>
      <c r="BC54" s="30" t="str">
        <f>IFERROR(__xludf.DUMMYFUNCTION("""COMPUTED_VALUE"""),"mô hình kinh doanh là gì")</f>
        <v>mô hình kinh doanh là gì</v>
      </c>
      <c r="BD54" s="34" t="str">
        <f>IFERROR(__xludf.DUMMYFUNCTION("""COMPUTED_VALUE"""),"https://techcombank.com/thong-tin/blog/thue-phi-co-dinh-khi-chuyen-doi-tu-ho-kinh-doanh-len-doanh-nghiep")</f>
        <v>https://techcombank.com/thong-tin/blog/thue-phi-co-dinh-khi-chuyen-doi-tu-ho-kinh-doanh-len-doanh-nghiep</v>
      </c>
      <c r="BE54" s="30" t="str">
        <f>IFERROR(__xludf.DUMMYFUNCTION("""COMPUTED_VALUE"""),"mô hình kinh doanh")</f>
        <v>mô hình kinh doanh</v>
      </c>
      <c r="BF54" s="34" t="str">
        <f>IFERROR(__xludf.DUMMYFUNCTION("""COMPUTED_VALUE"""),"https://techcombank.com/thong-tin/blog/ho-kinh-doanh-ca-the")</f>
        <v>https://techcombank.com/thong-tin/blog/ho-kinh-doanh-ca-the</v>
      </c>
      <c r="BG54" s="30" t="str">
        <f>IFERROR(__xludf.DUMMYFUNCTION("""COMPUTED_VALUE"""),"mô hình kinh doanh là gì")</f>
        <v>mô hình kinh doanh là gì</v>
      </c>
      <c r="BH54" s="34" t="str">
        <f>IFERROR(__xludf.DUMMYFUNCTION("""COMPUTED_VALUE"""),"https://techcombank.com/thong-tin/blog/cac-sai-lam-pho-bien-khi-chuyen-doi-ho-kinh-doanh-len-sme")</f>
        <v>https://techcombank.com/thong-tin/blog/cac-sai-lam-pho-bien-khi-chuyen-doi-ho-kinh-doanh-len-sme</v>
      </c>
      <c r="BI54" s="30" t="str">
        <f>IFERROR(__xludf.DUMMYFUNCTION("""COMPUTED_VALUE"""),"mô hình kinh doanh là gì")</f>
        <v>mô hình kinh doanh là gì</v>
      </c>
      <c r="BJ54" s="34" t="str">
        <f>IFERROR(__xludf.DUMMYFUNCTION("""COMPUTED_VALUE"""),"https://techcombank.com/thong-tin/blog/tim-hieu-ve-chinh-sach-thue-moi")</f>
        <v>https://techcombank.com/thong-tin/blog/tim-hieu-ve-chinh-sach-thue-moi</v>
      </c>
      <c r="BK54" s="30" t="str">
        <f>IFERROR(__xludf.DUMMYFUNCTION("""COMPUTED_VALUE"""),"mô hình kinh doanh là gì")</f>
        <v>mô hình kinh doanh là gì</v>
      </c>
      <c r="BL54" s="34" t="str">
        <f>IFERROR(__xludf.DUMMYFUNCTION("""COMPUTED_VALUE"""),"https://techcombank.com/thong-tin/blog/chuyen-doi-ho-kinh-doanh-len-doanh-nghiep")</f>
        <v>https://techcombank.com/thong-tin/blog/chuyen-doi-ho-kinh-doanh-len-doanh-nghiep</v>
      </c>
      <c r="BM54" s="30" t="str">
        <f>IFERROR(__xludf.DUMMYFUNCTION("""COMPUTED_VALUE"""),"mô hình kinh doanh")</f>
        <v>mô hình kinh doanh</v>
      </c>
      <c r="BN54" s="34" t="str">
        <f>IFERROR(__xludf.DUMMYFUNCTION("""COMPUTED_VALUE"""),"https://techcombank.com/thong-tin/blog/nen-thanh-lap-ho-kinh-doanh-ke-khai-hay-doanh-nghiep")</f>
        <v>https://techcombank.com/thong-tin/blog/nen-thanh-lap-ho-kinh-doanh-ke-khai-hay-doanh-nghiep</v>
      </c>
      <c r="BO54" s="30" t="str">
        <f>IFERROR(__xludf.DUMMYFUNCTION("""COMPUTED_VALUE"""),"mô hình kinh doanh là gì")</f>
        <v>mô hình kinh doanh là gì</v>
      </c>
      <c r="BP54" s="34" t="str">
        <f>IFERROR(__xludf.DUMMYFUNCTION("""COMPUTED_VALUE"""),"https://techcombank.com/thong-tin/blog/tiem-nang-chuyen-doi-tu-ho-kinh-doanh-len-doanh-nghiep-sme")</f>
        <v>https://techcombank.com/thong-tin/blog/tiem-nang-chuyen-doi-tu-ho-kinh-doanh-len-doanh-nghiep-sme</v>
      </c>
      <c r="BQ54" s="30" t="str">
        <f>IFERROR(__xludf.DUMMYFUNCTION("""COMPUTED_VALUE"""),"mô hình kinh doanh là gì")</f>
        <v>mô hình kinh doanh là gì</v>
      </c>
      <c r="BR54" s="34" t="str">
        <f>IFERROR(__xludf.DUMMYFUNCTION("""COMPUTED_VALUE"""),"https://techcombank.com/thong-tin/blog/giay-phep-kinh-doanh")</f>
        <v>https://techcombank.com/thong-tin/blog/giay-phep-kinh-doanh</v>
      </c>
      <c r="BS54" s="30" t="str">
        <f>IFERROR(__xludf.DUMMYFUNCTION("""COMPUTED_VALUE"""),"mô hình kinh doanh là gì")</f>
        <v>mô hình kinh doanh là gì</v>
      </c>
      <c r="BT54" s="34" t="str">
        <f>IFERROR(__xludf.DUMMYFUNCTION("""COMPUTED_VALUE"""),"https://techcombank.com/thong-tin/blog/dang-ky-kinh-doanh-la-gi")</f>
        <v>https://techcombank.com/thong-tin/blog/dang-ky-kinh-doanh-la-gi</v>
      </c>
      <c r="BU54" s="30"/>
      <c r="BV54" s="30"/>
      <c r="BW54" s="30"/>
      <c r="BX54" s="30"/>
      <c r="BY54" s="30"/>
      <c r="BZ54" s="30"/>
      <c r="CA54" s="30"/>
      <c r="CB54" s="30"/>
      <c r="CC54" s="30"/>
      <c r="CD54" s="30"/>
      <c r="CE54" s="30"/>
      <c r="CF54" s="30"/>
      <c r="CG54" s="30"/>
      <c r="CH54" s="30"/>
      <c r="CI54" s="30"/>
      <c r="CJ54" s="30"/>
      <c r="CK54" s="30"/>
      <c r="CL54" s="30"/>
      <c r="CM54" s="30"/>
      <c r="CN54" s="30"/>
      <c r="CO54" s="30"/>
      <c r="CP54" s="30"/>
      <c r="CQ54" s="30"/>
      <c r="CR54" s="30"/>
      <c r="CS54" s="30"/>
      <c r="CT54" s="30"/>
      <c r="CU54" s="30"/>
      <c r="CV54" s="30"/>
      <c r="CW54" s="30"/>
      <c r="CX54" s="30"/>
      <c r="CY54" s="30"/>
      <c r="CZ54" s="30"/>
      <c r="DA54" s="30"/>
      <c r="DB54" s="30"/>
      <c r="DC54" s="30"/>
      <c r="DD54" s="30"/>
      <c r="DE54" s="30"/>
      <c r="DF54" s="30"/>
      <c r="DG54" s="30"/>
      <c r="DH54" s="30"/>
      <c r="DI54" s="30"/>
      <c r="DJ54" s="30"/>
      <c r="DK54" s="30"/>
      <c r="DL54" s="30"/>
      <c r="DM54" s="30"/>
      <c r="DN54" s="30"/>
      <c r="DO54" s="30"/>
      <c r="DP54" s="30"/>
      <c r="DQ54" s="30"/>
      <c r="DR54" s="30"/>
      <c r="DS54" s="30"/>
      <c r="DT54" s="30"/>
      <c r="DU54" s="30"/>
      <c r="DV54" s="30"/>
      <c r="DW54" s="30"/>
      <c r="DX54" s="30"/>
      <c r="DY54" s="30"/>
      <c r="DZ54" s="30"/>
      <c r="EA54" s="30"/>
      <c r="EB54" s="30"/>
      <c r="EC54" s="30"/>
      <c r="ED54" s="30"/>
      <c r="EE54" s="30"/>
      <c r="EF54" s="30"/>
      <c r="EG54" s="30"/>
      <c r="EH54" s="30"/>
      <c r="EI54" s="30"/>
      <c r="EJ54" s="30"/>
      <c r="EK54" s="30"/>
      <c r="EL54" s="30"/>
      <c r="EM54" s="30"/>
      <c r="EN54" s="30"/>
      <c r="EO54" s="30"/>
      <c r="EP54" s="30"/>
      <c r="EQ54" s="30"/>
      <c r="ER54" s="30"/>
      <c r="ES54" s="30"/>
      <c r="ET54" s="30"/>
      <c r="EU54" s="30"/>
      <c r="EV54" s="30"/>
      <c r="EW54" s="30"/>
      <c r="EX54" s="30"/>
      <c r="EY54" s="30"/>
      <c r="EZ54" s="30"/>
      <c r="FA54" s="30"/>
      <c r="FB54" s="30"/>
      <c r="FC54" s="30"/>
      <c r="FD54" s="30"/>
      <c r="FE54" s="30"/>
      <c r="FF54" s="30"/>
      <c r="FG54" s="30"/>
      <c r="FH54" s="30"/>
      <c r="FI54" s="30"/>
      <c r="FJ54" s="30"/>
      <c r="FK54" s="30"/>
      <c r="FL54" s="30"/>
      <c r="FM54" s="30"/>
      <c r="FN54" s="30"/>
      <c r="FO54" s="30"/>
      <c r="FP54" s="30"/>
      <c r="FQ54" s="30"/>
      <c r="FR54" s="30"/>
      <c r="FS54" s="30"/>
      <c r="FT54" s="30"/>
      <c r="FU54" s="30"/>
      <c r="FV54" s="30"/>
      <c r="FW54" s="30"/>
      <c r="FX54" s="30"/>
      <c r="FY54" s="30"/>
      <c r="FZ54" s="30"/>
      <c r="GA54" s="30"/>
      <c r="GB54" s="30"/>
      <c r="GC54" s="30"/>
      <c r="GD54" s="30"/>
      <c r="GE54" s="30"/>
      <c r="GF54" s="30"/>
      <c r="GG54" s="30"/>
      <c r="GH54" s="30"/>
      <c r="GI54" s="30"/>
      <c r="GJ54" s="30"/>
      <c r="GK54" s="30"/>
      <c r="GL54" s="30"/>
      <c r="GM54" s="30"/>
      <c r="GN54" s="30"/>
      <c r="GO54" s="30"/>
      <c r="GP54" s="30"/>
      <c r="GQ54" s="30"/>
      <c r="GR54" s="30"/>
      <c r="GS54" s="30"/>
      <c r="GT54" s="30"/>
      <c r="GU54" s="30"/>
      <c r="GV54" s="30"/>
      <c r="GW54" s="30"/>
      <c r="GX54" s="30"/>
      <c r="GY54" s="30"/>
      <c r="GZ54" s="30"/>
      <c r="HA54" s="30"/>
      <c r="HB54" s="30"/>
      <c r="HC54" s="30"/>
      <c r="HD54" s="30"/>
      <c r="HE54" s="30"/>
      <c r="HF54" s="30"/>
      <c r="HG54" s="30"/>
      <c r="HH54" s="30"/>
      <c r="HI54" s="30"/>
      <c r="HJ54" s="30"/>
      <c r="HK54" s="30"/>
      <c r="HL54" s="30"/>
      <c r="HM54" s="30"/>
      <c r="HN54" s="30"/>
      <c r="HO54" s="30"/>
      <c r="HP54" s="30"/>
      <c r="HQ54" s="30"/>
      <c r="HR54" s="30"/>
      <c r="HS54" s="30"/>
      <c r="HT54" s="30"/>
      <c r="HU54" s="30"/>
      <c r="HV54" s="30"/>
      <c r="HW54" s="30"/>
      <c r="HX54" s="30"/>
      <c r="HY54" s="30"/>
      <c r="HZ54" s="30"/>
      <c r="IA54" s="30"/>
      <c r="IB54" s="30"/>
      <c r="IC54" s="30"/>
      <c r="ID54" s="30"/>
      <c r="IE54" s="30"/>
      <c r="IF54" s="30"/>
      <c r="IG54" s="30"/>
      <c r="IH54" s="30"/>
      <c r="II54" s="30"/>
      <c r="IJ54" s="30"/>
      <c r="IK54" s="30"/>
      <c r="IL54" s="30"/>
      <c r="IM54" s="30"/>
      <c r="IN54" s="30"/>
      <c r="IO54" s="30"/>
      <c r="IP54" s="30"/>
      <c r="IQ54" s="30"/>
      <c r="IR54" s="30"/>
      <c r="IS54" s="30"/>
      <c r="IT54" s="30"/>
      <c r="IU54" s="30"/>
      <c r="IV54" s="30"/>
      <c r="IW54" s="30"/>
      <c r="IX54" s="30"/>
      <c r="IY54" s="30"/>
      <c r="IZ54" s="30"/>
      <c r="JA54" s="30"/>
      <c r="JB54" s="30"/>
      <c r="JC54" s="30"/>
      <c r="JD54" s="30"/>
      <c r="JE54" s="30"/>
      <c r="JF54" s="30"/>
      <c r="JG54" s="30"/>
      <c r="JH54" s="30"/>
      <c r="JI54" s="30"/>
      <c r="JJ54" s="30"/>
      <c r="JK54" s="30"/>
      <c r="JL54" s="30"/>
      <c r="JM54" s="30"/>
      <c r="JN54" s="30"/>
      <c r="JO54" s="30"/>
      <c r="JP54" s="30"/>
      <c r="JQ54" s="30"/>
      <c r="JR54" s="30"/>
      <c r="JS54" s="30"/>
      <c r="JT54" s="30"/>
      <c r="JU54" s="30"/>
      <c r="JV54" s="30"/>
      <c r="JW54" s="30"/>
      <c r="JX54" s="30"/>
      <c r="JY54" s="30"/>
      <c r="JZ54" s="30"/>
      <c r="KA54" s="30"/>
      <c r="KB54" s="30"/>
      <c r="KC54" s="30"/>
      <c r="KD54" s="30"/>
      <c r="KE54" s="30"/>
      <c r="KF54" s="30"/>
      <c r="KG54" s="30"/>
      <c r="KH54" s="30"/>
      <c r="KI54" s="30"/>
      <c r="KJ54" s="30"/>
      <c r="KK54" s="30"/>
      <c r="KL54" s="30"/>
      <c r="KM54" s="30"/>
      <c r="KN54" s="30"/>
      <c r="KO54" s="30"/>
      <c r="KP54" s="30"/>
      <c r="KQ54" s="30"/>
      <c r="KR54" s="30"/>
      <c r="KS54" s="30"/>
      <c r="KT54" s="30"/>
      <c r="KU54" s="30"/>
      <c r="KV54" s="30"/>
      <c r="KW54" s="30"/>
      <c r="KX54" s="30"/>
      <c r="KY54" s="30"/>
      <c r="KZ54" s="30"/>
      <c r="LA54" s="30"/>
      <c r="LB54" s="30"/>
      <c r="LC54" s="30"/>
      <c r="LD54" s="30"/>
      <c r="LE54" s="30"/>
      <c r="LF54" s="30"/>
      <c r="LG54" s="30"/>
      <c r="LH54" s="30"/>
      <c r="LI54" s="30"/>
      <c r="LJ54" s="30"/>
      <c r="LK54" s="30"/>
      <c r="LL54" s="30"/>
      <c r="LM54" s="30"/>
      <c r="LN54" s="30"/>
      <c r="LO54" s="30"/>
      <c r="LP54" s="30"/>
      <c r="LQ54" s="30"/>
      <c r="LR54" s="30"/>
      <c r="LS54" s="30"/>
      <c r="LT54" s="30"/>
      <c r="LU54" s="30"/>
      <c r="LV54" s="30"/>
      <c r="LW54" s="30"/>
      <c r="LX54" s="30"/>
      <c r="LY54" s="30"/>
      <c r="LZ54" s="30"/>
      <c r="MA54" s="30"/>
      <c r="MB54" s="30"/>
      <c r="MC54" s="30"/>
      <c r="MD54" s="30"/>
      <c r="ME54" s="30"/>
      <c r="MF54" s="30"/>
      <c r="MG54" s="30"/>
      <c r="MH54" s="30"/>
      <c r="MI54" s="30"/>
      <c r="MJ54" s="30"/>
      <c r="MK54" s="30"/>
      <c r="ML54" s="30"/>
      <c r="MM54" s="30"/>
      <c r="MN54" s="30"/>
      <c r="MO54" s="30"/>
      <c r="MP54" s="30"/>
      <c r="MQ54" s="30"/>
      <c r="MR54" s="30"/>
      <c r="MS54" s="30"/>
      <c r="MT54" s="30"/>
      <c r="MU54" s="30"/>
      <c r="MV54" s="30"/>
      <c r="MW54" s="30"/>
      <c r="MX54" s="30"/>
      <c r="MY54" s="30"/>
      <c r="MZ54" s="30"/>
      <c r="NA54" s="30"/>
      <c r="NB54" s="30"/>
      <c r="NC54" s="30"/>
      <c r="ND54" s="30"/>
      <c r="NE54" s="30"/>
      <c r="NF54" s="30"/>
      <c r="NG54" s="30"/>
      <c r="NH54" s="30"/>
      <c r="NI54" s="30"/>
      <c r="NJ54" s="30"/>
      <c r="NK54" s="30"/>
      <c r="NL54" s="30"/>
      <c r="NM54" s="30"/>
      <c r="NN54" s="30"/>
      <c r="NO54" s="30"/>
      <c r="NP54" s="30"/>
      <c r="NQ54" s="30"/>
      <c r="NR54" s="30"/>
      <c r="NS54" s="30"/>
      <c r="NT54" s="30"/>
      <c r="NU54" s="30"/>
      <c r="NV54" s="30"/>
      <c r="NW54" s="30"/>
      <c r="NX54" s="30"/>
      <c r="NY54" s="30"/>
      <c r="NZ54" s="30"/>
      <c r="OA54" s="30"/>
      <c r="OB54" s="30"/>
      <c r="OC54" s="30"/>
      <c r="OD54" s="30"/>
      <c r="OE54" s="30"/>
      <c r="OF54" s="30"/>
      <c r="OG54" s="30"/>
      <c r="OH54" s="30"/>
      <c r="OI54" s="30"/>
      <c r="OJ54" s="30"/>
      <c r="OK54" s="30"/>
      <c r="OL54" s="30"/>
      <c r="OM54" s="30"/>
      <c r="ON54" s="30"/>
      <c r="OO54" s="30"/>
      <c r="OP54" s="30"/>
      <c r="OQ54" s="30"/>
      <c r="OR54" s="30"/>
      <c r="OS54" s="30"/>
      <c r="OT54" s="30"/>
      <c r="OU54" s="30"/>
      <c r="OV54" s="30"/>
    </row>
    <row r="55" ht="18.0" customHeight="1">
      <c r="A55" s="29">
        <v>54.0</v>
      </c>
      <c r="B55" s="30" t="s">
        <v>4825</v>
      </c>
      <c r="C55" s="31" t="s">
        <v>4324</v>
      </c>
      <c r="D55" s="30" t="s">
        <v>2236</v>
      </c>
      <c r="E55" s="29">
        <v>30.0</v>
      </c>
      <c r="F55" s="29">
        <f>COUNTIF('Tổng hợp 75 trang đích'!$B$2:$B$3400,$D55)</f>
        <v>30</v>
      </c>
      <c r="G55" s="29">
        <f>COUNTIFS('Tổng hợp 75 trang đích'!$B$2:$B$3400,$D55,'Tổng hợp 75 trang đích'!$K$2:$K$3400,"PHÙ HỢP CAO")</f>
        <v>4</v>
      </c>
      <c r="H55" s="29">
        <f>COUNTIFS('Tổng hợp 75 trang đích'!$B$2:$B$3400,$D55,'Tổng hợp 75 trang đích'!$K$2:$K$3400,"CÓ THỂ ĐI")</f>
        <v>1</v>
      </c>
      <c r="I55" s="29">
        <f>COUNTIFS('Tổng hợp 75 trang đích'!$B$2:$B$3400,$D55,'Tổng hợp 75 trang đích'!$K$2:$K$3400,"CẦN SOÁT")</f>
        <v>25</v>
      </c>
      <c r="J55" s="32" t="s">
        <v>714</v>
      </c>
      <c r="K55" s="32" t="b">
        <v>0</v>
      </c>
      <c r="L55" s="33" t="s">
        <v>52</v>
      </c>
      <c r="M55" s="30" t="str">
        <f>IFERROR(__xludf.DUMMYFUNCTION("IFERROR(TOROW(CHOOSECOLS(SORT(FILTER({'Tổng hợp 75 trang đích'!$J$2:$J$3400,'Tổng hợp 75 trang đích'!$I$2:$I$3400,MATCH('Tổng hợp 75 trang đích'!$K$2:$K$3400,{""PHÙ HỢP CAO"",""CÓ THỂ ĐI"",""CẦN SOÁT""},0)},'Tổng hợp 75 trang đích'!$B$2:$B$3400=$D55),3,TR"&amp;"UE),1,2)),"""")"),"cách gửi mã QR ngân hàng")</f>
        <v>cách gửi mã QR ngân hàng</v>
      </c>
      <c r="N55" s="34" t="str">
        <f>IFERROR(__xludf.DUMMYFUNCTION("""COMPUTED_VALUE"""),"https://techcombank.com/thong-tin/blog/cach-tao-ma-qr")</f>
        <v>https://techcombank.com/thong-tin/blog/cach-tao-ma-qr</v>
      </c>
      <c r="O55" s="30" t="str">
        <f>IFERROR(__xludf.DUMMYFUNCTION("""COMPUTED_VALUE"""),"cách gửi mã QR ngân hàng")</f>
        <v>cách gửi mã QR ngân hàng</v>
      </c>
      <c r="P55" s="34" t="str">
        <f>IFERROR(__xludf.DUMMYFUNCTION("""COMPUTED_VALUE"""),"https://techcombank.com/thong-tin/blog/in-ma-qr-ngan-hang")</f>
        <v>https://techcombank.com/thong-tin/blog/in-ma-qr-ngan-hang</v>
      </c>
      <c r="Q55" s="30" t="str">
        <f>IFERROR(__xludf.DUMMYFUNCTION("""COMPUTED_VALUE"""),"cách gửi mã QR ngân hàng")</f>
        <v>cách gửi mã QR ngân hàng</v>
      </c>
      <c r="R55" s="34" t="str">
        <f>IFERROR(__xludf.DUMMYFUNCTION("""COMPUTED_VALUE"""),"https://techcombank.com/thong-tin/blog/lo-ma-qr-ngan-hang-co-sao-khong")</f>
        <v>https://techcombank.com/thong-tin/blog/lo-ma-qr-ngan-hang-co-sao-khong</v>
      </c>
      <c r="S55" s="30" t="str">
        <f>IFERROR(__xludf.DUMMYFUNCTION("""COMPUTED_VALUE"""),"gửi mã QR ngân hàng")</f>
        <v>gửi mã QR ngân hàng</v>
      </c>
      <c r="T55" s="34" t="str">
        <f>IFERROR(__xludf.DUMMYFUNCTION("""COMPUTED_VALUE"""),"https://techcombank.com/thong-tin/blog/lam-ma-qr-ngan-hang-co-mat-phi-khong")</f>
        <v>https://techcombank.com/thong-tin/blog/lam-ma-qr-ngan-hang-co-mat-phi-khong</v>
      </c>
      <c r="U55" s="30" t="str">
        <f>IFERROR(__xludf.DUMMYFUNCTION("""COMPUTED_VALUE"""),"cách gửi mã QR ngân hàng")</f>
        <v>cách gửi mã QR ngân hàng</v>
      </c>
      <c r="V55" s="34" t="str">
        <f>IFERROR(__xludf.DUMMYFUNCTION("""COMPUTED_VALUE"""),"https://techcombank.com/thong-tin/blog/ma-qr-ngan-hang-khong-hop-le")</f>
        <v>https://techcombank.com/thong-tin/blog/ma-qr-ngan-hang-khong-hop-le</v>
      </c>
      <c r="W55" s="30" t="str">
        <f>IFERROR(__xludf.DUMMYFUNCTION("""COMPUTED_VALUE"""),"cách gửi mã QR ngân hàng")</f>
        <v>cách gửi mã QR ngân hàng</v>
      </c>
      <c r="X55" s="34" t="str">
        <f>IFERROR(__xludf.DUMMYFUNCTION("""COMPUTED_VALUE"""),"https://techcombank.com/thong-tin/blog/quet-ma-qr-techcombank")</f>
        <v>https://techcombank.com/thong-tin/blog/quet-ma-qr-techcombank</v>
      </c>
      <c r="Y55" s="30" t="str">
        <f>IFERROR(__xludf.DUMMYFUNCTION("""COMPUTED_VALUE"""),"cách gửi mã QR ngân hàng")</f>
        <v>cách gửi mã QR ngân hàng</v>
      </c>
      <c r="Z55" s="34" t="str">
        <f>IFERROR(__xludf.DUMMYFUNCTION("""COMPUTED_VALUE"""),"https://techcombank.com/thong-tin/blog/tao-ma-qr-thanh-toan-cho-cua-hang")</f>
        <v>https://techcombank.com/thong-tin/blog/tao-ma-qr-thanh-toan-cho-cua-hang</v>
      </c>
      <c r="AA55" s="30" t="str">
        <f>IFERROR(__xludf.DUMMYFUNCTION("""COMPUTED_VALUE"""),"gửi mã QR ngân hàng")</f>
        <v>gửi mã QR ngân hàng</v>
      </c>
      <c r="AB55" s="34" t="str">
        <f>IFERROR(__xludf.DUMMYFUNCTION("""COMPUTED_VALUE"""),"https://techcombank.com/thong-tin/blog/pos")</f>
        <v>https://techcombank.com/thong-tin/blog/pos</v>
      </c>
      <c r="AC55" s="30" t="str">
        <f>IFERROR(__xludf.DUMMYFUNCTION("""COMPUTED_VALUE"""),"cách gửi mã QR ngân hàng")</f>
        <v>cách gửi mã QR ngân hàng</v>
      </c>
      <c r="AD55" s="34" t="str">
        <f>IFERROR(__xludf.DUMMYFUNCTION("""COMPUTED_VALUE"""),"https://techcombank.com/thong-tin/blog/phi-rut-tien-mat-the-tin-dung")</f>
        <v>https://techcombank.com/thong-tin/blog/phi-rut-tien-mat-the-tin-dung</v>
      </c>
      <c r="AE55" s="30" t="str">
        <f>IFERROR(__xludf.DUMMYFUNCTION("""COMPUTED_VALUE"""),"gửi mã QR ngân hàng")</f>
        <v>gửi mã QR ngân hàng</v>
      </c>
      <c r="AF55" s="34" t="str">
        <f>IFERROR(__xludf.DUMMYFUNCTION("""COMPUTED_VALUE"""),"https://techcombank.com/thong-tin/blog/merchant-la-gi")</f>
        <v>https://techcombank.com/thong-tin/blog/merchant-la-gi</v>
      </c>
      <c r="AG55" s="30" t="str">
        <f>IFERROR(__xludf.DUMMYFUNCTION("""COMPUTED_VALUE"""),"cách gửi mã QR ngân hàng")</f>
        <v>cách gửi mã QR ngân hàng</v>
      </c>
      <c r="AH55" s="34" t="str">
        <f>IFERROR(__xludf.DUMMYFUNCTION("""COMPUTED_VALUE"""),"https://techcombank.com/thong-tin/blog/mo-tai-khoan-ho-kinh-doanh")</f>
        <v>https://techcombank.com/thong-tin/blog/mo-tai-khoan-ho-kinh-doanh</v>
      </c>
      <c r="AI55" s="30" t="str">
        <f>IFERROR(__xludf.DUMMYFUNCTION("""COMPUTED_VALUE"""),"gửi mã QR ngân hàng")</f>
        <v>gửi mã QR ngân hàng</v>
      </c>
      <c r="AJ55" s="34" t="str">
        <f>IFERROR(__xludf.DUMMYFUNCTION("""COMPUTED_VALUE"""),"https://techcombank.com/thong-tin/blog/ma-qr-techcombank")</f>
        <v>https://techcombank.com/thong-tin/blog/ma-qr-techcombank</v>
      </c>
      <c r="AK55" s="30" t="str">
        <f>IFERROR(__xludf.DUMMYFUNCTION("""COMPUTED_VALUE"""),"gửi mã QR ngân hàng")</f>
        <v>gửi mã QR ngân hàng</v>
      </c>
      <c r="AL55" s="34" t="str">
        <f>IFERROR(__xludf.DUMMYFUNCTION("""COMPUTED_VALUE"""),"https://techcombank.com/thong-tin/blog/so-sanh-ma-qr-va-ma-vach")</f>
        <v>https://techcombank.com/thong-tin/blog/so-sanh-ma-qr-va-ma-vach</v>
      </c>
      <c r="AM55" s="30" t="str">
        <f>IFERROR(__xludf.DUMMYFUNCTION("""COMPUTED_VALUE"""),"gửi mã QR ngân hàng")</f>
        <v>gửi mã QR ngân hàng</v>
      </c>
      <c r="AN55" s="34" t="str">
        <f>IFERROR(__xludf.DUMMYFUNCTION("""COMPUTED_VALUE"""),"https://techcombank.com/thong-tin/blog/qr-code-doanh-nghiep")</f>
        <v>https://techcombank.com/thong-tin/blog/qr-code-doanh-nghiep</v>
      </c>
      <c r="AO55" s="30" t="str">
        <f>IFERROR(__xludf.DUMMYFUNCTION("""COMPUTED_VALUE"""),"cách gửi mã QR ngân hàng")</f>
        <v>cách gửi mã QR ngân hàng</v>
      </c>
      <c r="AP55" s="34" t="str">
        <f>IFERROR(__xludf.DUMMYFUNCTION("""COMPUTED_VALUE"""),"https://techcombank.com/thong-tin/blog/thanh-toan-bang-ma-qr")</f>
        <v>https://techcombank.com/thong-tin/blog/thanh-toan-bang-ma-qr</v>
      </c>
      <c r="AQ55" s="30" t="str">
        <f>IFERROR(__xludf.DUMMYFUNCTION("""COMPUTED_VALUE"""),"cách gửi mã QR ngân hàng")</f>
        <v>cách gửi mã QR ngân hàng</v>
      </c>
      <c r="AR55" s="34" t="str">
        <f>IFERROR(__xludf.DUMMYFUNCTION("""COMPUTED_VALUE"""),"https://techcombank.com/thong-tin/blog/thanh-toan-truc-tuyen")</f>
        <v>https://techcombank.com/thong-tin/blog/thanh-toan-truc-tuyen</v>
      </c>
      <c r="AS55" s="30" t="str">
        <f>IFERROR(__xludf.DUMMYFUNCTION("""COMPUTED_VALUE"""),"gửi mã QR ngân hàng")</f>
        <v>gửi mã QR ngân hàng</v>
      </c>
      <c r="AT55" s="34" t="str">
        <f>IFERROR(__xludf.DUMMYFUNCTION("""COMPUTED_VALUE"""),"https://techcombank.com/thong-tin/blog/qr-dong")</f>
        <v>https://techcombank.com/thong-tin/blog/qr-dong</v>
      </c>
      <c r="AU55" s="30" t="str">
        <f>IFERROR(__xludf.DUMMYFUNCTION("""COMPUTED_VALUE"""),"gửi mã QR ngân hàng")</f>
        <v>gửi mã QR ngân hàng</v>
      </c>
      <c r="AV55" s="34" t="str">
        <f>IFERROR(__xludf.DUMMYFUNCTION("""COMPUTED_VALUE"""),"https://techcombank.com/thong-tin/blog/rut-tien-bang-ma-qr-khac-ngan-hang-duoc-khong")</f>
        <v>https://techcombank.com/thong-tin/blog/rut-tien-bang-ma-qr-khac-ngan-hang-duoc-khong</v>
      </c>
      <c r="AW55" s="30" t="str">
        <f>IFERROR(__xludf.DUMMYFUNCTION("""COMPUTED_VALUE"""),"gửi mã QR ngân hàng")</f>
        <v>gửi mã QR ngân hàng</v>
      </c>
      <c r="AX55" s="34" t="str">
        <f>IFERROR(__xludf.DUMMYFUNCTION("""COMPUTED_VALUE"""),"https://techcombank.com/thong-tin/blog/thanh-toan-ma-qr-tro-thanh-phuong-thuc-duoc-ua-chuong-va-trien-khai-manh-me")</f>
        <v>https://techcombank.com/thong-tin/blog/thanh-toan-ma-qr-tro-thanh-phuong-thuc-duoc-ua-chuong-va-trien-khai-manh-me</v>
      </c>
      <c r="AY55" s="30" t="str">
        <f>IFERROR(__xludf.DUMMYFUNCTION("""COMPUTED_VALUE"""),"gửi mã QR ngân hàng")</f>
        <v>gửi mã QR ngân hàng</v>
      </c>
      <c r="AZ55" s="34" t="str">
        <f>IFERROR(__xludf.DUMMYFUNCTION("""COMPUTED_VALUE"""),"https://techcombank.com/thong-tin/blog/qr-code-phuong-thuc-thanh-toan-toi-uu-trong-ky-nguyen-so")</f>
        <v>https://techcombank.com/thong-tin/blog/qr-code-phuong-thuc-thanh-toan-toi-uu-trong-ky-nguyen-so</v>
      </c>
      <c r="BA55" s="30" t="str">
        <f>IFERROR(__xludf.DUMMYFUNCTION("""COMPUTED_VALUE"""),"cách gửi mã QR ngân hàng")</f>
        <v>cách gửi mã QR ngân hàng</v>
      </c>
      <c r="BB55" s="34" t="str">
        <f>IFERROR(__xludf.DUMMYFUNCTION("""COMPUTED_VALUE"""),"https://techcombank.com/thong-tin/blog/rut-tien-bang-ma-qr-la-gi-cach-thuc-hien-nhu-the-nao")</f>
        <v>https://techcombank.com/thong-tin/blog/rut-tien-bang-ma-qr-la-gi-cach-thuc-hien-nhu-the-nao</v>
      </c>
      <c r="BC55" s="30" t="str">
        <f>IFERROR(__xludf.DUMMYFUNCTION("""COMPUTED_VALUE"""),"gửi mã QR ngân hàng")</f>
        <v>gửi mã QR ngân hàng</v>
      </c>
      <c r="BD55" s="34" t="str">
        <f>IFERROR(__xludf.DUMMYFUNCTION("""COMPUTED_VALUE"""),"https://techcombank.com/thong-tin/blog/cach-chuyen-khoan-bang-dien-thoai")</f>
        <v>https://techcombank.com/thong-tin/blog/cach-chuyen-khoan-bang-dien-thoai</v>
      </c>
      <c r="BE55" s="30" t="str">
        <f>IFERROR(__xludf.DUMMYFUNCTION("""COMPUTED_VALUE"""),"cách gửi mã QR ngân hàng")</f>
        <v>cách gửi mã QR ngân hàng</v>
      </c>
      <c r="BF55" s="34" t="str">
        <f>IFERROR(__xludf.DUMMYFUNCTION("""COMPUTED_VALUE"""),"https://techcombank.com/thong-tin/blog/cach-rut-tien-atm")</f>
        <v>https://techcombank.com/thong-tin/blog/cach-rut-tien-atm</v>
      </c>
      <c r="BG55" s="30" t="str">
        <f>IFERROR(__xludf.DUMMYFUNCTION("""COMPUTED_VALUE"""),"cách gửi mã QR ngân hàng")</f>
        <v>cách gửi mã QR ngân hàng</v>
      </c>
      <c r="BH55" s="34" t="str">
        <f>IFERROR(__xludf.DUMMYFUNCTION("""COMPUTED_VALUE"""),"https://techcombank.com/thong-tin/blog/cach-chuyen-tien")</f>
        <v>https://techcombank.com/thong-tin/blog/cach-chuyen-tien</v>
      </c>
      <c r="BI55" s="30" t="str">
        <f>IFERROR(__xludf.DUMMYFUNCTION("""COMPUTED_VALUE"""),"gửi mã QR ngân hàng")</f>
        <v>gửi mã QR ngân hàng</v>
      </c>
      <c r="BJ55" s="34" t="str">
        <f>IFERROR(__xludf.DUMMYFUNCTION("""COMPUTED_VALUE"""),"https://techcombank.com/thong-tin/blog/cach-chuyen-tien-qua-ma-qr-techcombank")</f>
        <v>https://techcombank.com/thong-tin/blog/cach-chuyen-tien-qua-ma-qr-techcombank</v>
      </c>
      <c r="BK55" s="30" t="str">
        <f>IFERROR(__xludf.DUMMYFUNCTION("""COMPUTED_VALUE"""),"cách gửi mã QR ngân hàng")</f>
        <v>cách gửi mã QR ngân hàng</v>
      </c>
      <c r="BL55" s="34" t="str">
        <f>IFERROR(__xludf.DUMMYFUNCTION("""COMPUTED_VALUE"""),"https://techcombank.com/thong-tin/blog/thanh-toan-qr-thai-lan")</f>
        <v>https://techcombank.com/thong-tin/blog/thanh-toan-qr-thai-lan</v>
      </c>
      <c r="BM55" s="30" t="str">
        <f>IFERROR(__xludf.DUMMYFUNCTION("""COMPUTED_VALUE"""),"cách gửi mã QR ngân hàng")</f>
        <v>cách gửi mã QR ngân hàng</v>
      </c>
      <c r="BN55" s="34" t="str">
        <f>IFERROR(__xludf.DUMMYFUNCTION("""COMPUTED_VALUE"""),"https://techcombank.com/thong-tin/blog/one-stop-shop")</f>
        <v>https://techcombank.com/thong-tin/blog/one-stop-shop</v>
      </c>
      <c r="BO55" s="30" t="str">
        <f>IFERROR(__xludf.DUMMYFUNCTION("""COMPUTED_VALUE"""),"cách gửi mã QR ngân hàng")</f>
        <v>cách gửi mã QR ngân hàng</v>
      </c>
      <c r="BP55" s="34" t="str">
        <f>IFERROR(__xludf.DUMMYFUNCTION("""COMPUTED_VALUE"""),"https://techcombank.com/thong-tin/blog/loa-thong-bao-chuyen-khoan")</f>
        <v>https://techcombank.com/thong-tin/blog/loa-thong-bao-chuyen-khoan</v>
      </c>
      <c r="BQ55" s="30" t="str">
        <f>IFERROR(__xludf.DUMMYFUNCTION("""COMPUTED_VALUE"""),"gửi mã QR ngân hàng")</f>
        <v>gửi mã QR ngân hàng</v>
      </c>
      <c r="BR55" s="34" t="str">
        <f>IFERROR(__xludf.DUMMYFUNCTION("""COMPUTED_VALUE"""),"https://techcombank.com/thong-tin/blog/top-phan-mem-ban-hang")</f>
        <v>https://techcombank.com/thong-tin/blog/top-phan-mem-ban-hang</v>
      </c>
      <c r="BS55" s="30" t="str">
        <f>IFERROR(__xludf.DUMMYFUNCTION("""COMPUTED_VALUE"""),"gửi mã QR ngân hàng")</f>
        <v>gửi mã QR ngân hàng</v>
      </c>
      <c r="BT55" s="34" t="str">
        <f>IFERROR(__xludf.DUMMYFUNCTION("""COMPUTED_VALUE"""),"https://techcombank.com/thong-tin/blog/loa-ting-ting")</f>
        <v>https://techcombank.com/thong-tin/blog/loa-ting-ting</v>
      </c>
      <c r="BU55" s="30"/>
      <c r="BV55" s="30"/>
      <c r="BW55" s="30"/>
      <c r="BX55" s="30"/>
      <c r="BY55" s="30"/>
      <c r="BZ55" s="30"/>
      <c r="CA55" s="30"/>
      <c r="CB55" s="30"/>
      <c r="CC55" s="30"/>
      <c r="CD55" s="30"/>
      <c r="CE55" s="30"/>
      <c r="CF55" s="30"/>
      <c r="CG55" s="30"/>
      <c r="CH55" s="30"/>
      <c r="CI55" s="30"/>
      <c r="CJ55" s="30"/>
      <c r="CK55" s="30"/>
      <c r="CL55" s="30"/>
      <c r="CM55" s="30"/>
      <c r="CN55" s="30"/>
      <c r="CO55" s="30"/>
      <c r="CP55" s="30"/>
      <c r="CQ55" s="30"/>
      <c r="CR55" s="30"/>
      <c r="CS55" s="30"/>
      <c r="CT55" s="30"/>
      <c r="CU55" s="30"/>
      <c r="CV55" s="30"/>
      <c r="CW55" s="30"/>
      <c r="CX55" s="30"/>
      <c r="CY55" s="30"/>
      <c r="CZ55" s="30"/>
      <c r="DA55" s="30"/>
      <c r="DB55" s="30"/>
      <c r="DC55" s="30"/>
      <c r="DD55" s="30"/>
      <c r="DE55" s="30"/>
      <c r="DF55" s="30"/>
      <c r="DG55" s="30"/>
      <c r="DH55" s="30"/>
      <c r="DI55" s="30"/>
      <c r="DJ55" s="30"/>
      <c r="DK55" s="30"/>
      <c r="DL55" s="30"/>
      <c r="DM55" s="30"/>
      <c r="DN55" s="30"/>
      <c r="DO55" s="30"/>
      <c r="DP55" s="30"/>
      <c r="DQ55" s="30"/>
      <c r="DR55" s="30"/>
      <c r="DS55" s="30"/>
      <c r="DT55" s="30"/>
      <c r="DU55" s="30"/>
      <c r="DV55" s="30"/>
      <c r="DW55" s="30"/>
      <c r="DX55" s="30"/>
      <c r="DY55" s="30"/>
      <c r="DZ55" s="30"/>
      <c r="EA55" s="30"/>
      <c r="EB55" s="30"/>
      <c r="EC55" s="30"/>
      <c r="ED55" s="30"/>
      <c r="EE55" s="30"/>
      <c r="EF55" s="30"/>
      <c r="EG55" s="30"/>
      <c r="EH55" s="30"/>
      <c r="EI55" s="30"/>
      <c r="EJ55" s="30"/>
      <c r="EK55" s="30"/>
      <c r="EL55" s="30"/>
      <c r="EM55" s="30"/>
      <c r="EN55" s="30"/>
      <c r="EO55" s="30"/>
      <c r="EP55" s="30"/>
      <c r="EQ55" s="30"/>
      <c r="ER55" s="30"/>
      <c r="ES55" s="30"/>
      <c r="ET55" s="30"/>
      <c r="EU55" s="30"/>
      <c r="EV55" s="30"/>
      <c r="EW55" s="30"/>
      <c r="EX55" s="30"/>
      <c r="EY55" s="30"/>
      <c r="EZ55" s="30"/>
      <c r="FA55" s="30"/>
      <c r="FB55" s="30"/>
      <c r="FC55" s="30"/>
      <c r="FD55" s="30"/>
      <c r="FE55" s="30"/>
      <c r="FF55" s="30"/>
      <c r="FG55" s="30"/>
      <c r="FH55" s="30"/>
      <c r="FI55" s="30"/>
      <c r="FJ55" s="30"/>
      <c r="FK55" s="30"/>
      <c r="FL55" s="30"/>
      <c r="FM55" s="30"/>
      <c r="FN55" s="30"/>
      <c r="FO55" s="30"/>
      <c r="FP55" s="30"/>
      <c r="FQ55" s="30"/>
      <c r="FR55" s="30"/>
      <c r="FS55" s="30"/>
      <c r="FT55" s="30"/>
      <c r="FU55" s="30"/>
      <c r="FV55" s="30"/>
      <c r="FW55" s="30"/>
      <c r="FX55" s="30"/>
      <c r="FY55" s="30"/>
      <c r="FZ55" s="30"/>
      <c r="GA55" s="30"/>
      <c r="GB55" s="30"/>
      <c r="GC55" s="30"/>
      <c r="GD55" s="30"/>
      <c r="GE55" s="30"/>
      <c r="GF55" s="30"/>
      <c r="GG55" s="30"/>
      <c r="GH55" s="30"/>
      <c r="GI55" s="30"/>
      <c r="GJ55" s="30"/>
      <c r="GK55" s="30"/>
      <c r="GL55" s="30"/>
      <c r="GM55" s="30"/>
      <c r="GN55" s="30"/>
      <c r="GO55" s="30"/>
      <c r="GP55" s="30"/>
      <c r="GQ55" s="30"/>
      <c r="GR55" s="30"/>
      <c r="GS55" s="30"/>
      <c r="GT55" s="30"/>
      <c r="GU55" s="30"/>
      <c r="GV55" s="30"/>
      <c r="GW55" s="30"/>
      <c r="GX55" s="30"/>
      <c r="GY55" s="30"/>
      <c r="GZ55" s="30"/>
      <c r="HA55" s="30"/>
      <c r="HB55" s="30"/>
      <c r="HC55" s="30"/>
      <c r="HD55" s="30"/>
      <c r="HE55" s="30"/>
      <c r="HF55" s="30"/>
      <c r="HG55" s="30"/>
      <c r="HH55" s="30"/>
      <c r="HI55" s="30"/>
      <c r="HJ55" s="30"/>
      <c r="HK55" s="30"/>
      <c r="HL55" s="30"/>
      <c r="HM55" s="30"/>
      <c r="HN55" s="30"/>
      <c r="HO55" s="30"/>
      <c r="HP55" s="30"/>
      <c r="HQ55" s="30"/>
      <c r="HR55" s="30"/>
      <c r="HS55" s="30"/>
      <c r="HT55" s="30"/>
      <c r="HU55" s="30"/>
      <c r="HV55" s="30"/>
      <c r="HW55" s="30"/>
      <c r="HX55" s="30"/>
      <c r="HY55" s="30"/>
      <c r="HZ55" s="30"/>
      <c r="IA55" s="30"/>
      <c r="IB55" s="30"/>
      <c r="IC55" s="30"/>
      <c r="ID55" s="30"/>
      <c r="IE55" s="30"/>
      <c r="IF55" s="30"/>
      <c r="IG55" s="30"/>
      <c r="IH55" s="30"/>
      <c r="II55" s="30"/>
      <c r="IJ55" s="30"/>
      <c r="IK55" s="30"/>
      <c r="IL55" s="30"/>
      <c r="IM55" s="30"/>
      <c r="IN55" s="30"/>
      <c r="IO55" s="30"/>
      <c r="IP55" s="30"/>
      <c r="IQ55" s="30"/>
      <c r="IR55" s="30"/>
      <c r="IS55" s="30"/>
      <c r="IT55" s="30"/>
      <c r="IU55" s="30"/>
      <c r="IV55" s="30"/>
      <c r="IW55" s="30"/>
      <c r="IX55" s="30"/>
      <c r="IY55" s="30"/>
      <c r="IZ55" s="30"/>
      <c r="JA55" s="30"/>
      <c r="JB55" s="30"/>
      <c r="JC55" s="30"/>
      <c r="JD55" s="30"/>
      <c r="JE55" s="30"/>
      <c r="JF55" s="30"/>
      <c r="JG55" s="30"/>
      <c r="JH55" s="30"/>
      <c r="JI55" s="30"/>
      <c r="JJ55" s="30"/>
      <c r="JK55" s="30"/>
      <c r="JL55" s="30"/>
      <c r="JM55" s="30"/>
      <c r="JN55" s="30"/>
      <c r="JO55" s="30"/>
      <c r="JP55" s="30"/>
      <c r="JQ55" s="30"/>
      <c r="JR55" s="30"/>
      <c r="JS55" s="30"/>
      <c r="JT55" s="30"/>
      <c r="JU55" s="30"/>
      <c r="JV55" s="30"/>
      <c r="JW55" s="30"/>
      <c r="JX55" s="30"/>
      <c r="JY55" s="30"/>
      <c r="JZ55" s="30"/>
      <c r="KA55" s="30"/>
      <c r="KB55" s="30"/>
      <c r="KC55" s="30"/>
      <c r="KD55" s="30"/>
      <c r="KE55" s="30"/>
      <c r="KF55" s="30"/>
      <c r="KG55" s="30"/>
      <c r="KH55" s="30"/>
      <c r="KI55" s="30"/>
      <c r="KJ55" s="30"/>
      <c r="KK55" s="30"/>
      <c r="KL55" s="30"/>
      <c r="KM55" s="30"/>
      <c r="KN55" s="30"/>
      <c r="KO55" s="30"/>
      <c r="KP55" s="30"/>
      <c r="KQ55" s="30"/>
      <c r="KR55" s="30"/>
      <c r="KS55" s="30"/>
      <c r="KT55" s="30"/>
      <c r="KU55" s="30"/>
      <c r="KV55" s="30"/>
      <c r="KW55" s="30"/>
      <c r="KX55" s="30"/>
      <c r="KY55" s="30"/>
      <c r="KZ55" s="30"/>
      <c r="LA55" s="30"/>
      <c r="LB55" s="30"/>
      <c r="LC55" s="30"/>
      <c r="LD55" s="30"/>
      <c r="LE55" s="30"/>
      <c r="LF55" s="30"/>
      <c r="LG55" s="30"/>
      <c r="LH55" s="30"/>
      <c r="LI55" s="30"/>
      <c r="LJ55" s="30"/>
      <c r="LK55" s="30"/>
      <c r="LL55" s="30"/>
      <c r="LM55" s="30"/>
      <c r="LN55" s="30"/>
      <c r="LO55" s="30"/>
      <c r="LP55" s="30"/>
      <c r="LQ55" s="30"/>
      <c r="LR55" s="30"/>
      <c r="LS55" s="30"/>
      <c r="LT55" s="30"/>
      <c r="LU55" s="30"/>
      <c r="LV55" s="30"/>
      <c r="LW55" s="30"/>
      <c r="LX55" s="30"/>
      <c r="LY55" s="30"/>
      <c r="LZ55" s="30"/>
      <c r="MA55" s="30"/>
      <c r="MB55" s="30"/>
      <c r="MC55" s="30"/>
      <c r="MD55" s="30"/>
      <c r="ME55" s="30"/>
      <c r="MF55" s="30"/>
      <c r="MG55" s="30"/>
      <c r="MH55" s="30"/>
      <c r="MI55" s="30"/>
      <c r="MJ55" s="30"/>
      <c r="MK55" s="30"/>
      <c r="ML55" s="30"/>
      <c r="MM55" s="30"/>
      <c r="MN55" s="30"/>
      <c r="MO55" s="30"/>
      <c r="MP55" s="30"/>
      <c r="MQ55" s="30"/>
      <c r="MR55" s="30"/>
      <c r="MS55" s="30"/>
      <c r="MT55" s="30"/>
      <c r="MU55" s="30"/>
      <c r="MV55" s="30"/>
      <c r="MW55" s="30"/>
      <c r="MX55" s="30"/>
      <c r="MY55" s="30"/>
      <c r="MZ55" s="30"/>
      <c r="NA55" s="30"/>
      <c r="NB55" s="30"/>
      <c r="NC55" s="30"/>
      <c r="ND55" s="30"/>
      <c r="NE55" s="30"/>
      <c r="NF55" s="30"/>
      <c r="NG55" s="30"/>
      <c r="NH55" s="30"/>
      <c r="NI55" s="30"/>
      <c r="NJ55" s="30"/>
      <c r="NK55" s="30"/>
      <c r="NL55" s="30"/>
      <c r="NM55" s="30"/>
      <c r="NN55" s="30"/>
      <c r="NO55" s="30"/>
      <c r="NP55" s="30"/>
      <c r="NQ55" s="30"/>
      <c r="NR55" s="30"/>
      <c r="NS55" s="30"/>
      <c r="NT55" s="30"/>
      <c r="NU55" s="30"/>
      <c r="NV55" s="30"/>
      <c r="NW55" s="30"/>
      <c r="NX55" s="30"/>
      <c r="NY55" s="30"/>
      <c r="NZ55" s="30"/>
      <c r="OA55" s="30"/>
      <c r="OB55" s="30"/>
      <c r="OC55" s="30"/>
      <c r="OD55" s="30"/>
      <c r="OE55" s="30"/>
      <c r="OF55" s="30"/>
      <c r="OG55" s="30"/>
      <c r="OH55" s="30"/>
      <c r="OI55" s="30"/>
      <c r="OJ55" s="30"/>
      <c r="OK55" s="30"/>
      <c r="OL55" s="30"/>
      <c r="OM55" s="30"/>
      <c r="ON55" s="30"/>
      <c r="OO55" s="30"/>
      <c r="OP55" s="30"/>
      <c r="OQ55" s="30"/>
      <c r="OR55" s="30"/>
      <c r="OS55" s="30"/>
      <c r="OT55" s="30"/>
      <c r="OU55" s="30"/>
      <c r="OV55" s="30"/>
    </row>
    <row r="56" ht="18.0" customHeight="1">
      <c r="A56" s="29">
        <v>55.0</v>
      </c>
      <c r="B56" s="30" t="s">
        <v>4825</v>
      </c>
      <c r="C56" s="31" t="s">
        <v>4373</v>
      </c>
      <c r="D56" s="30" t="s">
        <v>1643</v>
      </c>
      <c r="E56" s="29">
        <v>30.0</v>
      </c>
      <c r="F56" s="29">
        <f>COUNTIF('Tổng hợp 75 trang đích'!$B$2:$B$3400,$D56)</f>
        <v>30</v>
      </c>
      <c r="G56" s="29">
        <f>COUNTIFS('Tổng hợp 75 trang đích'!$B$2:$B$3400,$D56,'Tổng hợp 75 trang đích'!$K$2:$K$3400,"PHÙ HỢP CAO")</f>
        <v>3</v>
      </c>
      <c r="H56" s="29">
        <f>COUNTIFS('Tổng hợp 75 trang đích'!$B$2:$B$3400,$D56,'Tổng hợp 75 trang đích'!$K$2:$K$3400,"CÓ THỂ ĐI")</f>
        <v>3</v>
      </c>
      <c r="I56" s="29">
        <f>COUNTIFS('Tổng hợp 75 trang đích'!$B$2:$B$3400,$D56,'Tổng hợp 75 trang đích'!$K$2:$K$3400,"CẦN SOÁT")</f>
        <v>24</v>
      </c>
      <c r="J56" s="32" t="s">
        <v>714</v>
      </c>
      <c r="K56" s="32" t="b">
        <v>0</v>
      </c>
      <c r="L56" s="33" t="s">
        <v>52</v>
      </c>
      <c r="M56" s="30" t="str">
        <f>IFERROR(__xludf.DUMMYFUNCTION("IFERROR(TOROW(CHOOSECOLS(SORT(FILTER({'Tổng hợp 75 trang đích'!$J$2:$J$3400,'Tổng hợp 75 trang đích'!$I$2:$I$3400,MATCH('Tổng hợp 75 trang đích'!$K$2:$K$3400,{""PHÙ HỢP CAO"",""CÓ THỂ ĐI"",""CẦN SOÁT""},0)},'Tổng hợp 75 trang đích'!$B$2:$B$3400=$D56),3,TR"&amp;"UE),1,2)),"""")"),"tài khoản hộ kinh doanh")</f>
        <v>tài khoản hộ kinh doanh</v>
      </c>
      <c r="N56" s="34" t="str">
        <f>IFERROR(__xludf.DUMMYFUNCTION("""COMPUTED_VALUE"""),"https://techcombank.com/thong-tin/blog/ho-kinh-doanh-can-gi-o-tai-khoan-ngan-hang")</f>
        <v>https://techcombank.com/thong-tin/blog/ho-kinh-doanh-can-gi-o-tai-khoan-ngan-hang</v>
      </c>
      <c r="O56" s="30" t="str">
        <f>IFERROR(__xludf.DUMMYFUNCTION("""COMPUTED_VALUE"""),"mở tài khoản hộ kinh doanh")</f>
        <v>mở tài khoản hộ kinh doanh</v>
      </c>
      <c r="P56" s="34" t="str">
        <f>IFERROR(__xludf.DUMMYFUNCTION("""COMPUTED_VALUE"""),"https://techcombank.com/thong-tin/blog/thanh-lap-ho-kinh-doanh-ca-the")</f>
        <v>https://techcombank.com/thong-tin/blog/thanh-lap-ho-kinh-doanh-ca-the</v>
      </c>
      <c r="Q56" s="30" t="str">
        <f>IFERROR(__xludf.DUMMYFUNCTION("""COMPUTED_VALUE"""),"tài khoản hộ kinh doanh")</f>
        <v>tài khoản hộ kinh doanh</v>
      </c>
      <c r="R56" s="34" t="str">
        <f>IFERROR(__xludf.DUMMYFUNCTION("""COMPUTED_VALUE"""),"https://techcombank.com/thong-tin/blog/khai-bao-tai-khoan-ngan-hang-voi-co-quan-thue")</f>
        <v>https://techcombank.com/thong-tin/blog/khai-bao-tai-khoan-ngan-hang-voi-co-quan-thue</v>
      </c>
      <c r="S56" s="30" t="str">
        <f>IFERROR(__xludf.DUMMYFUNCTION("""COMPUTED_VALUE"""),"mở tài khoản hộ kinh doanh")</f>
        <v>mở tài khoản hộ kinh doanh</v>
      </c>
      <c r="T56" s="34" t="str">
        <f>IFERROR(__xludf.DUMMYFUNCTION("""COMPUTED_VALUE"""),"https://techcombank.com/thong-tin/blog/ho-kinh-doanh-ca-the")</f>
        <v>https://techcombank.com/thong-tin/blog/ho-kinh-doanh-ca-the</v>
      </c>
      <c r="U56" s="30" t="str">
        <f>IFERROR(__xludf.DUMMYFUNCTION("""COMPUTED_VALUE"""),"mở tài khoản hộ kinh doanh")</f>
        <v>mở tài khoản hộ kinh doanh</v>
      </c>
      <c r="V56" s="34" t="str">
        <f>IFERROR(__xludf.DUMMYFUNCTION("""COMPUTED_VALUE"""),"https://techcombank.com/thong-tin/blog/cach-dang-ky-ma-so-thue-ho-kinh-doanh-online")</f>
        <v>https://techcombank.com/thong-tin/blog/cach-dang-ky-ma-so-thue-ho-kinh-doanh-online</v>
      </c>
      <c r="W56" s="30" t="str">
        <f>IFERROR(__xludf.DUMMYFUNCTION("""COMPUTED_VALUE"""),"tài khoản hộ kinh doanh")</f>
        <v>tài khoản hộ kinh doanh</v>
      </c>
      <c r="X56" s="34" t="str">
        <f>IFERROR(__xludf.DUMMYFUNCTION("""COMPUTED_VALUE"""),"https://techcombank.com/thong-tin/blog/quan-ly-chuoi-cua-hang")</f>
        <v>https://techcombank.com/thong-tin/blog/quan-ly-chuoi-cua-hang</v>
      </c>
      <c r="Y56" s="30" t="str">
        <f>IFERROR(__xludf.DUMMYFUNCTION("""COMPUTED_VALUE"""),"tài khoản hộ kinh doanh")</f>
        <v>tài khoản hộ kinh doanh</v>
      </c>
      <c r="Z56" s="34" t="str">
        <f>IFERROR(__xludf.DUMMYFUNCTION("""COMPUTED_VALUE"""),"https://techcombank.com/thong-tin/blog/ho-kinh-doanh-la-gi")</f>
        <v>https://techcombank.com/thong-tin/blog/ho-kinh-doanh-la-gi</v>
      </c>
      <c r="AA56" s="30" t="str">
        <f>IFERROR(__xludf.DUMMYFUNCTION("""COMPUTED_VALUE"""),"cách mở tài khoản hộ kinh doanh")</f>
        <v>cách mở tài khoản hộ kinh doanh</v>
      </c>
      <c r="AB56" s="34" t="str">
        <f>IFERROR(__xludf.DUMMYFUNCTION("""COMPUTED_VALUE"""),"https://techcombank.com/thong-tin/blog/thue-ho-kinh-doanh-2025")</f>
        <v>https://techcombank.com/thong-tin/blog/thue-ho-kinh-doanh-2025</v>
      </c>
      <c r="AC56" s="30" t="str">
        <f>IFERROR(__xludf.DUMMYFUNCTION("""COMPUTED_VALUE"""),"tài khoản hộ kinh doanh")</f>
        <v>tài khoản hộ kinh doanh</v>
      </c>
      <c r="AD56" s="34" t="str">
        <f>IFERROR(__xludf.DUMMYFUNCTION("""COMPUTED_VALUE"""),"https://techcombank.com/thong-tin/blog/cach-tao-ma-qr")</f>
        <v>https://techcombank.com/thong-tin/blog/cach-tao-ma-qr</v>
      </c>
      <c r="AE56" s="30" t="str">
        <f>IFERROR(__xludf.DUMMYFUNCTION("""COMPUTED_VALUE"""),"mở tài khoản hộ kinh doanh")</f>
        <v>mở tài khoản hộ kinh doanh</v>
      </c>
      <c r="AF56" s="34" t="str">
        <f>IFERROR(__xludf.DUMMYFUNCTION("""COMPUTED_VALUE"""),"https://techcombank.com/thong-tin/blog/cach-tinh-thue-ho-kinh-doanh-nho-le")</f>
        <v>https://techcombank.com/thong-tin/blog/cach-tinh-thue-ho-kinh-doanh-nho-le</v>
      </c>
      <c r="AG56" s="30" t="str">
        <f>IFERROR(__xludf.DUMMYFUNCTION("""COMPUTED_VALUE"""),"mở tài khoản hộ kinh doanh")</f>
        <v>mở tài khoản hộ kinh doanh</v>
      </c>
      <c r="AH56" s="34" t="str">
        <f>IFERROR(__xludf.DUMMYFUNCTION("""COMPUTED_VALUE"""),"https://techcombank.com/thong-tin/blog/loi-ich-khi-ho-kinh-doanh-chuyen-len-doanh-nghiep")</f>
        <v>https://techcombank.com/thong-tin/blog/loi-ich-khi-ho-kinh-doanh-chuyen-len-doanh-nghiep</v>
      </c>
      <c r="AI56" s="30" t="str">
        <f>IFERROR(__xludf.DUMMYFUNCTION("""COMPUTED_VALUE"""),"mở tài khoản hộ kinh doanh")</f>
        <v>mở tài khoản hộ kinh doanh</v>
      </c>
      <c r="AJ56" s="34" t="str">
        <f>IFERROR(__xludf.DUMMYFUNCTION("""COMPUTED_VALUE"""),"https://techcombank.com/thong-tin/blog/tiem-nang-chuyen-doi-tu-ho-kinh-doanh-len-doanh-nghiep-sme")</f>
        <v>https://techcombank.com/thong-tin/blog/tiem-nang-chuyen-doi-tu-ho-kinh-doanh-len-doanh-nghiep-sme</v>
      </c>
      <c r="AK56" s="30" t="str">
        <f>IFERROR(__xludf.DUMMYFUNCTION("""COMPUTED_VALUE"""),"tài khoản hộ kinh doanh")</f>
        <v>tài khoản hộ kinh doanh</v>
      </c>
      <c r="AL56" s="34" t="str">
        <f>IFERROR(__xludf.DUMMYFUNCTION("""COMPUTED_VALUE"""),"https://techcombank.com/thong-tin/blog/lai-suat-vay-kinh-doanh")</f>
        <v>https://techcombank.com/thong-tin/blog/lai-suat-vay-kinh-doanh</v>
      </c>
      <c r="AM56" s="30" t="str">
        <f>IFERROR(__xludf.DUMMYFUNCTION("""COMPUTED_VALUE"""),"tài khoản hộ kinh doanh")</f>
        <v>tài khoản hộ kinh doanh</v>
      </c>
      <c r="AN56" s="34" t="str">
        <f>IFERROR(__xludf.DUMMYFUNCTION("""COMPUTED_VALUE"""),"https://techcombank.com/thong-tin/blog/chuyen-doi-ho-kinh-doanh-len-doanh-nghiep")</f>
        <v>https://techcombank.com/thong-tin/blog/chuyen-doi-ho-kinh-doanh-len-doanh-nghiep</v>
      </c>
      <c r="AO56" s="30" t="str">
        <f>IFERROR(__xludf.DUMMYFUNCTION("""COMPUTED_VALUE"""),"tài khoản hộ kinh doanh")</f>
        <v>tài khoản hộ kinh doanh</v>
      </c>
      <c r="AP56" s="34" t="str">
        <f>IFERROR(__xludf.DUMMYFUNCTION("""COMPUTED_VALUE"""),"https://techcombank.com/thong-tin/blog/thanh-toan-khong-dung-tien-mat")</f>
        <v>https://techcombank.com/thong-tin/blog/thanh-toan-khong-dung-tien-mat</v>
      </c>
      <c r="AQ56" s="30" t="str">
        <f>IFERROR(__xludf.DUMMYFUNCTION("""COMPUTED_VALUE"""),"tài khoản hộ kinh doanh")</f>
        <v>tài khoản hộ kinh doanh</v>
      </c>
      <c r="AR56" s="34" t="str">
        <f>IFERROR(__xludf.DUMMYFUNCTION("""COMPUTED_VALUE"""),"https://techcombank.com/thong-tin/blog/nen-thanh-lap-ho-kinh-doanh-ke-khai-hay-doanh-nghiep")</f>
        <v>https://techcombank.com/thong-tin/blog/nen-thanh-lap-ho-kinh-doanh-ke-khai-hay-doanh-nghiep</v>
      </c>
      <c r="AS56" s="30" t="str">
        <f>IFERROR(__xludf.DUMMYFUNCTION("""COMPUTED_VALUE"""),"tài khoản hộ kinh doanh")</f>
        <v>tài khoản hộ kinh doanh</v>
      </c>
      <c r="AT56" s="34" t="str">
        <f>IFERROR(__xludf.DUMMYFUNCTION("""COMPUTED_VALUE"""),"https://techcombank.com/thong-tin/blog/vay-tin-chap-ho-kinh-doanh")</f>
        <v>https://techcombank.com/thong-tin/blog/vay-tin-chap-ho-kinh-doanh</v>
      </c>
      <c r="AU56" s="30" t="str">
        <f>IFERROR(__xludf.DUMMYFUNCTION("""COMPUTED_VALUE"""),"mở tài khoản hộ kinh doanh")</f>
        <v>mở tài khoản hộ kinh doanh</v>
      </c>
      <c r="AV56" s="34" t="str">
        <f>IFERROR(__xludf.DUMMYFUNCTION("""COMPUTED_VALUE"""),"https://techcombank.com/thong-tin/blog/tra-cuu-no-thue-ho-kinh-doanh")</f>
        <v>https://techcombank.com/thong-tin/blog/tra-cuu-no-thue-ho-kinh-doanh</v>
      </c>
      <c r="AW56" s="30" t="str">
        <f>IFERROR(__xludf.DUMMYFUNCTION("""COMPUTED_VALUE"""),"tài khoản hộ kinh doanh")</f>
        <v>tài khoản hộ kinh doanh</v>
      </c>
      <c r="AX56" s="34" t="str">
        <f>IFERROR(__xludf.DUMMYFUNCTION("""COMPUTED_VALUE"""),"https://techcombank.com/thong-tin/blog/thu-tuc-vay-von-kinh-doanh-nho")</f>
        <v>https://techcombank.com/thong-tin/blog/thu-tuc-vay-von-kinh-doanh-nho</v>
      </c>
      <c r="AY56" s="30" t="str">
        <f>IFERROR(__xludf.DUMMYFUNCTION("""COMPUTED_VALUE"""),"tài khoản hộ kinh doanh")</f>
        <v>tài khoản hộ kinh doanh</v>
      </c>
      <c r="AZ56" s="34" t="str">
        <f>IFERROR(__xludf.DUMMYFUNCTION("""COMPUTED_VALUE"""),"https://techcombank.com/thong-tin/blog/truy-thu-thue-ho-kinh-doanh")</f>
        <v>https://techcombank.com/thong-tin/blog/truy-thu-thue-ho-kinh-doanh</v>
      </c>
      <c r="BA56" s="30" t="str">
        <f>IFERROR(__xludf.DUMMYFUNCTION("""COMPUTED_VALUE"""),"mở tài khoản hộ kinh doanh")</f>
        <v>mở tài khoản hộ kinh doanh</v>
      </c>
      <c r="BB56" s="34" t="str">
        <f>IFERROR(__xludf.DUMMYFUNCTION("""COMPUTED_VALUE"""),"https://techcombank.com/thong-tin/blog/kiem-tra-thue-ho-kinh-doanh")</f>
        <v>https://techcombank.com/thong-tin/blog/kiem-tra-thue-ho-kinh-doanh</v>
      </c>
      <c r="BC56" s="30" t="str">
        <f>IFERROR(__xludf.DUMMYFUNCTION("""COMPUTED_VALUE"""),"mở tài khoản hộ kinh doanh")</f>
        <v>mở tài khoản hộ kinh doanh</v>
      </c>
      <c r="BD56" s="34" t="str">
        <f>IFERROR(__xludf.DUMMYFUNCTION("""COMPUTED_VALUE"""),"https://techcombank.com/thong-tin/blog/cac-sai-lam-pho-bien-khi-chuyen-doi-ho-kinh-doanh-len-sme")</f>
        <v>https://techcombank.com/thong-tin/blog/cac-sai-lam-pho-bien-khi-chuyen-doi-ho-kinh-doanh-len-sme</v>
      </c>
      <c r="BE56" s="30" t="str">
        <f>IFERROR(__xludf.DUMMYFUNCTION("""COMPUTED_VALUE"""),"mở tài khoản hộ kinh doanh")</f>
        <v>mở tài khoản hộ kinh doanh</v>
      </c>
      <c r="BF56" s="34" t="str">
        <f>IFERROR(__xludf.DUMMYFUNCTION("""COMPUTED_VALUE"""),"https://techcombank.com/thong-tin/blog/giay-phep-kinh-doanh")</f>
        <v>https://techcombank.com/thong-tin/blog/giay-phep-kinh-doanh</v>
      </c>
      <c r="BG56" s="30" t="str">
        <f>IFERROR(__xludf.DUMMYFUNCTION("""COMPUTED_VALUE"""),"tài khoản hộ kinh doanh")</f>
        <v>tài khoản hộ kinh doanh</v>
      </c>
      <c r="BH56" s="34" t="str">
        <f>IFERROR(__xludf.DUMMYFUNCTION("""COMPUTED_VALUE"""),"https://techcombank.com/thong-tin/blog/chuyen-doi-hoa-don-dien-tu")</f>
        <v>https://techcombank.com/thong-tin/blog/chuyen-doi-hoa-don-dien-tu</v>
      </c>
      <c r="BI56" s="30" t="str">
        <f>IFERROR(__xludf.DUMMYFUNCTION("""COMPUTED_VALUE"""),"tài khoản hộ kinh doanh")</f>
        <v>tài khoản hộ kinh doanh</v>
      </c>
      <c r="BJ56" s="34" t="str">
        <f>IFERROR(__xludf.DUMMYFUNCTION("""COMPUTED_VALUE"""),"https://techcombank.com/thong-tin/blog/dang-ky-kinh-doanh-la-gi")</f>
        <v>https://techcombank.com/thong-tin/blog/dang-ky-kinh-doanh-la-gi</v>
      </c>
      <c r="BK56" s="30" t="str">
        <f>IFERROR(__xludf.DUMMYFUNCTION("""COMPUTED_VALUE"""),"tài khoản hộ kinh doanh")</f>
        <v>tài khoản hộ kinh doanh</v>
      </c>
      <c r="BL56" s="34" t="str">
        <f>IFERROR(__xludf.DUMMYFUNCTION("""COMPUTED_VALUE"""),"https://techcombank.com/thong-tin/blog/thay-doi-dia-chi-ho-kinh-doanh")</f>
        <v>https://techcombank.com/thong-tin/blog/thay-doi-dia-chi-ho-kinh-doanh</v>
      </c>
      <c r="BM56" s="30" t="str">
        <f>IFERROR(__xludf.DUMMYFUNCTION("""COMPUTED_VALUE"""),"tài khoản hộ kinh doanh")</f>
        <v>tài khoản hộ kinh doanh</v>
      </c>
      <c r="BN56" s="34" t="str">
        <f>IFERROR(__xludf.DUMMYFUNCTION("""COMPUTED_VALUE"""),"https://techcombank.com/thong-tin/blog/nhung-ho-kinh-doanh-duoc-mien-thue")</f>
        <v>https://techcombank.com/thong-tin/blog/nhung-ho-kinh-doanh-duoc-mien-thue</v>
      </c>
      <c r="BO56" s="30" t="str">
        <f>IFERROR(__xludf.DUMMYFUNCTION("""COMPUTED_VALUE"""),"tài khoản hộ kinh doanh")</f>
        <v>tài khoản hộ kinh doanh</v>
      </c>
      <c r="BP56" s="34" t="str">
        <f>IFERROR(__xludf.DUMMYFUNCTION("""COMPUTED_VALUE"""),"https://techcombank.com/thong-tin/blog/luu-y-khi-chuyen-doi-tu-ho-kinh-doanh-len-doanh-nghiep")</f>
        <v>https://techcombank.com/thong-tin/blog/luu-y-khi-chuyen-doi-tu-ho-kinh-doanh-len-doanh-nghiep</v>
      </c>
      <c r="BQ56" s="30" t="str">
        <f>IFERROR(__xludf.DUMMYFUNCTION("""COMPUTED_VALUE"""),"tài khoản hộ kinh doanh")</f>
        <v>tài khoản hộ kinh doanh</v>
      </c>
      <c r="BR56" s="34" t="str">
        <f>IFERROR(__xludf.DUMMYFUNCTION("""COMPUTED_VALUE"""),"https://techcombank.com/thong-tin/blog/barcode-la-gi")</f>
        <v>https://techcombank.com/thong-tin/blog/barcode-la-gi</v>
      </c>
      <c r="BS56" s="30" t="str">
        <f>IFERROR(__xludf.DUMMYFUNCTION("""COMPUTED_VALUE"""),"tài khoản hộ kinh doanh")</f>
        <v>tài khoản hộ kinh doanh</v>
      </c>
      <c r="BT56" s="34" t="str">
        <f>IFERROR(__xludf.DUMMYFUNCTION("""COMPUTED_VALUE"""),"https://techcombank.com/thong-tin/blog/tra-cuu-ma-so-thue-ho-kinh-doanh")</f>
        <v>https://techcombank.com/thong-tin/blog/tra-cuu-ma-so-thue-ho-kinh-doanh</v>
      </c>
      <c r="BU56" s="30"/>
      <c r="BV56" s="30"/>
      <c r="BW56" s="30"/>
      <c r="BX56" s="30"/>
      <c r="BY56" s="30"/>
      <c r="BZ56" s="30"/>
      <c r="CA56" s="30"/>
      <c r="CB56" s="30"/>
      <c r="CC56" s="30"/>
      <c r="CD56" s="30"/>
      <c r="CE56" s="30"/>
      <c r="CF56" s="30"/>
      <c r="CG56" s="30"/>
      <c r="CH56" s="30"/>
      <c r="CI56" s="30"/>
      <c r="CJ56" s="30"/>
      <c r="CK56" s="30"/>
      <c r="CL56" s="30"/>
      <c r="CM56" s="30"/>
      <c r="CN56" s="30"/>
      <c r="CO56" s="30"/>
      <c r="CP56" s="30"/>
      <c r="CQ56" s="30"/>
      <c r="CR56" s="30"/>
      <c r="CS56" s="30"/>
      <c r="CT56" s="30"/>
      <c r="CU56" s="30"/>
      <c r="CV56" s="30"/>
      <c r="CW56" s="30"/>
      <c r="CX56" s="30"/>
      <c r="CY56" s="30"/>
      <c r="CZ56" s="30"/>
      <c r="DA56" s="30"/>
      <c r="DB56" s="30"/>
      <c r="DC56" s="30"/>
      <c r="DD56" s="30"/>
      <c r="DE56" s="30"/>
      <c r="DF56" s="30"/>
      <c r="DG56" s="30"/>
      <c r="DH56" s="30"/>
      <c r="DI56" s="30"/>
      <c r="DJ56" s="30"/>
      <c r="DK56" s="30"/>
      <c r="DL56" s="30"/>
      <c r="DM56" s="30"/>
      <c r="DN56" s="30"/>
      <c r="DO56" s="30"/>
      <c r="DP56" s="30"/>
      <c r="DQ56" s="30"/>
      <c r="DR56" s="30"/>
      <c r="DS56" s="30"/>
      <c r="DT56" s="30"/>
      <c r="DU56" s="30"/>
      <c r="DV56" s="30"/>
      <c r="DW56" s="30"/>
      <c r="DX56" s="30"/>
      <c r="DY56" s="30"/>
      <c r="DZ56" s="30"/>
      <c r="EA56" s="30"/>
      <c r="EB56" s="30"/>
      <c r="EC56" s="30"/>
      <c r="ED56" s="30"/>
      <c r="EE56" s="30"/>
      <c r="EF56" s="30"/>
      <c r="EG56" s="30"/>
      <c r="EH56" s="30"/>
      <c r="EI56" s="30"/>
      <c r="EJ56" s="30"/>
      <c r="EK56" s="30"/>
      <c r="EL56" s="30"/>
      <c r="EM56" s="30"/>
      <c r="EN56" s="30"/>
      <c r="EO56" s="30"/>
      <c r="EP56" s="30"/>
      <c r="EQ56" s="30"/>
      <c r="ER56" s="30"/>
      <c r="ES56" s="30"/>
      <c r="ET56" s="30"/>
      <c r="EU56" s="30"/>
      <c r="EV56" s="30"/>
      <c r="EW56" s="30"/>
      <c r="EX56" s="30"/>
      <c r="EY56" s="30"/>
      <c r="EZ56" s="30"/>
      <c r="FA56" s="30"/>
      <c r="FB56" s="30"/>
      <c r="FC56" s="30"/>
      <c r="FD56" s="30"/>
      <c r="FE56" s="30"/>
      <c r="FF56" s="30"/>
      <c r="FG56" s="30"/>
      <c r="FH56" s="30"/>
      <c r="FI56" s="30"/>
      <c r="FJ56" s="30"/>
      <c r="FK56" s="30"/>
      <c r="FL56" s="30"/>
      <c r="FM56" s="30"/>
      <c r="FN56" s="30"/>
      <c r="FO56" s="30"/>
      <c r="FP56" s="30"/>
      <c r="FQ56" s="30"/>
      <c r="FR56" s="30"/>
      <c r="FS56" s="30"/>
      <c r="FT56" s="30"/>
      <c r="FU56" s="30"/>
      <c r="FV56" s="30"/>
      <c r="FW56" s="30"/>
      <c r="FX56" s="30"/>
      <c r="FY56" s="30"/>
      <c r="FZ56" s="30"/>
      <c r="GA56" s="30"/>
      <c r="GB56" s="30"/>
      <c r="GC56" s="30"/>
      <c r="GD56" s="30"/>
      <c r="GE56" s="30"/>
      <c r="GF56" s="30"/>
      <c r="GG56" s="30"/>
      <c r="GH56" s="30"/>
      <c r="GI56" s="30"/>
      <c r="GJ56" s="30"/>
      <c r="GK56" s="30"/>
      <c r="GL56" s="30"/>
      <c r="GM56" s="30"/>
      <c r="GN56" s="30"/>
      <c r="GO56" s="30"/>
      <c r="GP56" s="30"/>
      <c r="GQ56" s="30"/>
      <c r="GR56" s="30"/>
      <c r="GS56" s="30"/>
      <c r="GT56" s="30"/>
      <c r="GU56" s="30"/>
      <c r="GV56" s="30"/>
      <c r="GW56" s="30"/>
      <c r="GX56" s="30"/>
      <c r="GY56" s="30"/>
      <c r="GZ56" s="30"/>
      <c r="HA56" s="30"/>
      <c r="HB56" s="30"/>
      <c r="HC56" s="30"/>
      <c r="HD56" s="30"/>
      <c r="HE56" s="30"/>
      <c r="HF56" s="30"/>
      <c r="HG56" s="30"/>
      <c r="HH56" s="30"/>
      <c r="HI56" s="30"/>
      <c r="HJ56" s="30"/>
      <c r="HK56" s="30"/>
      <c r="HL56" s="30"/>
      <c r="HM56" s="30"/>
      <c r="HN56" s="30"/>
      <c r="HO56" s="30"/>
      <c r="HP56" s="30"/>
      <c r="HQ56" s="30"/>
      <c r="HR56" s="30"/>
      <c r="HS56" s="30"/>
      <c r="HT56" s="30"/>
      <c r="HU56" s="30"/>
      <c r="HV56" s="30"/>
      <c r="HW56" s="30"/>
      <c r="HX56" s="30"/>
      <c r="HY56" s="30"/>
      <c r="HZ56" s="30"/>
      <c r="IA56" s="30"/>
      <c r="IB56" s="30"/>
      <c r="IC56" s="30"/>
      <c r="ID56" s="30"/>
      <c r="IE56" s="30"/>
      <c r="IF56" s="30"/>
      <c r="IG56" s="30"/>
      <c r="IH56" s="30"/>
      <c r="II56" s="30"/>
      <c r="IJ56" s="30"/>
      <c r="IK56" s="30"/>
      <c r="IL56" s="30"/>
      <c r="IM56" s="30"/>
      <c r="IN56" s="30"/>
      <c r="IO56" s="30"/>
      <c r="IP56" s="30"/>
      <c r="IQ56" s="30"/>
      <c r="IR56" s="30"/>
      <c r="IS56" s="30"/>
      <c r="IT56" s="30"/>
      <c r="IU56" s="30"/>
      <c r="IV56" s="30"/>
      <c r="IW56" s="30"/>
      <c r="IX56" s="30"/>
      <c r="IY56" s="30"/>
      <c r="IZ56" s="30"/>
      <c r="JA56" s="30"/>
      <c r="JB56" s="30"/>
      <c r="JC56" s="30"/>
      <c r="JD56" s="30"/>
      <c r="JE56" s="30"/>
      <c r="JF56" s="30"/>
      <c r="JG56" s="30"/>
      <c r="JH56" s="30"/>
      <c r="JI56" s="30"/>
      <c r="JJ56" s="30"/>
      <c r="JK56" s="30"/>
      <c r="JL56" s="30"/>
      <c r="JM56" s="30"/>
      <c r="JN56" s="30"/>
      <c r="JO56" s="30"/>
      <c r="JP56" s="30"/>
      <c r="JQ56" s="30"/>
      <c r="JR56" s="30"/>
      <c r="JS56" s="30"/>
      <c r="JT56" s="30"/>
      <c r="JU56" s="30"/>
      <c r="JV56" s="30"/>
      <c r="JW56" s="30"/>
      <c r="JX56" s="30"/>
      <c r="JY56" s="30"/>
      <c r="JZ56" s="30"/>
      <c r="KA56" s="30"/>
      <c r="KB56" s="30"/>
      <c r="KC56" s="30"/>
      <c r="KD56" s="30"/>
      <c r="KE56" s="30"/>
      <c r="KF56" s="30"/>
      <c r="KG56" s="30"/>
      <c r="KH56" s="30"/>
      <c r="KI56" s="30"/>
      <c r="KJ56" s="30"/>
      <c r="KK56" s="30"/>
      <c r="KL56" s="30"/>
      <c r="KM56" s="30"/>
      <c r="KN56" s="30"/>
      <c r="KO56" s="30"/>
      <c r="KP56" s="30"/>
      <c r="KQ56" s="30"/>
      <c r="KR56" s="30"/>
      <c r="KS56" s="30"/>
      <c r="KT56" s="30"/>
      <c r="KU56" s="30"/>
      <c r="KV56" s="30"/>
      <c r="KW56" s="30"/>
      <c r="KX56" s="30"/>
      <c r="KY56" s="30"/>
      <c r="KZ56" s="30"/>
      <c r="LA56" s="30"/>
      <c r="LB56" s="30"/>
      <c r="LC56" s="30"/>
      <c r="LD56" s="30"/>
      <c r="LE56" s="30"/>
      <c r="LF56" s="30"/>
      <c r="LG56" s="30"/>
      <c r="LH56" s="30"/>
      <c r="LI56" s="30"/>
      <c r="LJ56" s="30"/>
      <c r="LK56" s="30"/>
      <c r="LL56" s="30"/>
      <c r="LM56" s="30"/>
      <c r="LN56" s="30"/>
      <c r="LO56" s="30"/>
      <c r="LP56" s="30"/>
      <c r="LQ56" s="30"/>
      <c r="LR56" s="30"/>
      <c r="LS56" s="30"/>
      <c r="LT56" s="30"/>
      <c r="LU56" s="30"/>
      <c r="LV56" s="30"/>
      <c r="LW56" s="30"/>
      <c r="LX56" s="30"/>
      <c r="LY56" s="30"/>
      <c r="LZ56" s="30"/>
      <c r="MA56" s="30"/>
      <c r="MB56" s="30"/>
      <c r="MC56" s="30"/>
      <c r="MD56" s="30"/>
      <c r="ME56" s="30"/>
      <c r="MF56" s="30"/>
      <c r="MG56" s="30"/>
      <c r="MH56" s="30"/>
      <c r="MI56" s="30"/>
      <c r="MJ56" s="30"/>
      <c r="MK56" s="30"/>
      <c r="ML56" s="30"/>
      <c r="MM56" s="30"/>
      <c r="MN56" s="30"/>
      <c r="MO56" s="30"/>
      <c r="MP56" s="30"/>
      <c r="MQ56" s="30"/>
      <c r="MR56" s="30"/>
      <c r="MS56" s="30"/>
      <c r="MT56" s="30"/>
      <c r="MU56" s="30"/>
      <c r="MV56" s="30"/>
      <c r="MW56" s="30"/>
      <c r="MX56" s="30"/>
      <c r="MY56" s="30"/>
      <c r="MZ56" s="30"/>
      <c r="NA56" s="30"/>
      <c r="NB56" s="30"/>
      <c r="NC56" s="30"/>
      <c r="ND56" s="30"/>
      <c r="NE56" s="30"/>
      <c r="NF56" s="30"/>
      <c r="NG56" s="30"/>
      <c r="NH56" s="30"/>
      <c r="NI56" s="30"/>
      <c r="NJ56" s="30"/>
      <c r="NK56" s="30"/>
      <c r="NL56" s="30"/>
      <c r="NM56" s="30"/>
      <c r="NN56" s="30"/>
      <c r="NO56" s="30"/>
      <c r="NP56" s="30"/>
      <c r="NQ56" s="30"/>
      <c r="NR56" s="30"/>
      <c r="NS56" s="30"/>
      <c r="NT56" s="30"/>
      <c r="NU56" s="30"/>
      <c r="NV56" s="30"/>
      <c r="NW56" s="30"/>
      <c r="NX56" s="30"/>
      <c r="NY56" s="30"/>
      <c r="NZ56" s="30"/>
      <c r="OA56" s="30"/>
      <c r="OB56" s="30"/>
      <c r="OC56" s="30"/>
      <c r="OD56" s="30"/>
      <c r="OE56" s="30"/>
      <c r="OF56" s="30"/>
      <c r="OG56" s="30"/>
      <c r="OH56" s="30"/>
      <c r="OI56" s="30"/>
      <c r="OJ56" s="30"/>
      <c r="OK56" s="30"/>
      <c r="OL56" s="30"/>
      <c r="OM56" s="30"/>
      <c r="ON56" s="30"/>
      <c r="OO56" s="30"/>
      <c r="OP56" s="30"/>
      <c r="OQ56" s="30"/>
      <c r="OR56" s="30"/>
      <c r="OS56" s="30"/>
      <c r="OT56" s="30"/>
      <c r="OU56" s="30"/>
      <c r="OV56" s="30"/>
    </row>
    <row r="57" ht="18.0" customHeight="1">
      <c r="A57" s="29">
        <v>56.0</v>
      </c>
      <c r="B57" s="30" t="s">
        <v>4825</v>
      </c>
      <c r="C57" s="31" t="s">
        <v>4436</v>
      </c>
      <c r="D57" s="30" t="s">
        <v>738</v>
      </c>
      <c r="E57" s="29">
        <v>30.0</v>
      </c>
      <c r="F57" s="29">
        <f>COUNTIF('Tổng hợp 75 trang đích'!$B$2:$B$3400,$D57)</f>
        <v>30</v>
      </c>
      <c r="G57" s="29">
        <f>COUNTIFS('Tổng hợp 75 trang đích'!$B$2:$B$3400,$D57,'Tổng hợp 75 trang đích'!$K$2:$K$3400,"PHÙ HỢP CAO")</f>
        <v>3</v>
      </c>
      <c r="H57" s="29">
        <f>COUNTIFS('Tổng hợp 75 trang đích'!$B$2:$B$3400,$D57,'Tổng hợp 75 trang đích'!$K$2:$K$3400,"CÓ THỂ ĐI")</f>
        <v>2</v>
      </c>
      <c r="I57" s="29">
        <f>COUNTIFS('Tổng hợp 75 trang đích'!$B$2:$B$3400,$D57,'Tổng hợp 75 trang đích'!$K$2:$K$3400,"CẦN SOÁT")</f>
        <v>25</v>
      </c>
      <c r="J57" s="32" t="s">
        <v>714</v>
      </c>
      <c r="K57" s="32" t="b">
        <v>0</v>
      </c>
      <c r="L57" s="33" t="s">
        <v>52</v>
      </c>
      <c r="M57" s="30" t="str">
        <f>IFERROR(__xludf.DUMMYFUNCTION("IFERROR(TOROW(CHOOSECOLS(SORT(FILTER({'Tổng hợp 75 trang đích'!$J$2:$J$3400,'Tổng hợp 75 trang đích'!$I$2:$I$3400,MATCH('Tổng hợp 75 trang đích'!$K$2:$K$3400,{""PHÙ HỢP CAO"",""CÓ THỂ ĐI"",""CẦN SOÁT""},0)},'Tổng hợp 75 trang đích'!$B$2:$B$3400=$D57),3,TR"&amp;"UE),1,2)),"""")"),"cách tính thuế hộ kinh doanh")</f>
        <v>cách tính thuế hộ kinh doanh</v>
      </c>
      <c r="N57" s="34" t="str">
        <f>IFERROR(__xludf.DUMMYFUNCTION("""COMPUTED_VALUE"""),"https://techcombank.com/thong-tin/blog/ke-khai-thue-ho-kinh-doanh-ca-the-online")</f>
        <v>https://techcombank.com/thong-tin/blog/ke-khai-thue-ho-kinh-doanh-ca-the-online</v>
      </c>
      <c r="O57" s="30" t="str">
        <f>IFERROR(__xludf.DUMMYFUNCTION("""COMPUTED_VALUE"""),"cách tính thuế hộ kinh doanh")</f>
        <v>cách tính thuế hộ kinh doanh</v>
      </c>
      <c r="P57" s="34" t="str">
        <f>IFERROR(__xludf.DUMMYFUNCTION("""COMPUTED_VALUE"""),"https://techcombank.com/thong-tin/blog/kiem-tra-thue-ho-kinh-doanh")</f>
        <v>https://techcombank.com/thong-tin/blog/kiem-tra-thue-ho-kinh-doanh</v>
      </c>
      <c r="Q57" s="30" t="str">
        <f>IFERROR(__xludf.DUMMYFUNCTION("""COMPUTED_VALUE"""),"cách tính thuế hộ kinh doanh")</f>
        <v>cách tính thuế hộ kinh doanh</v>
      </c>
      <c r="R57" s="34" t="str">
        <f>IFERROR(__xludf.DUMMYFUNCTION("""COMPUTED_VALUE"""),"https://techcombank.com/thong-tin/blog/thue-thuong-mai-dien-tu")</f>
        <v>https://techcombank.com/thong-tin/blog/thue-thuong-mai-dien-tu</v>
      </c>
      <c r="S57" s="30" t="str">
        <f>IFERROR(__xludf.DUMMYFUNCTION("""COMPUTED_VALUE"""),"cách tính thuế hộ kinh doanh")</f>
        <v>cách tính thuế hộ kinh doanh</v>
      </c>
      <c r="T57" s="34" t="str">
        <f>IFERROR(__xludf.DUMMYFUNCTION("""COMPUTED_VALUE"""),"https://techcombank.com/thong-tin/blog/chinh-sach-thue-moi")</f>
        <v>https://techcombank.com/thong-tin/blog/chinh-sach-thue-moi</v>
      </c>
      <c r="U57" s="30" t="str">
        <f>IFERROR(__xludf.DUMMYFUNCTION("""COMPUTED_VALUE"""),"cách tính thuế hộ kinh doanh")</f>
        <v>cách tính thuế hộ kinh doanh</v>
      </c>
      <c r="V57" s="34" t="str">
        <f>IFERROR(__xludf.DUMMYFUNCTION("""COMPUTED_VALUE"""),"https://techcombank.com/thong-tin/blog/ho-kinh-doanh-ca-the")</f>
        <v>https://techcombank.com/thong-tin/blog/ho-kinh-doanh-ca-the</v>
      </c>
      <c r="W57" s="30" t="str">
        <f>IFERROR(__xludf.DUMMYFUNCTION("""COMPUTED_VALUE"""),"cách tính thuế hộ kinh doanh")</f>
        <v>cách tính thuế hộ kinh doanh</v>
      </c>
      <c r="X57" s="34" t="str">
        <f>IFERROR(__xludf.DUMMYFUNCTION("""COMPUTED_VALUE"""),"https://techcombank.com/thong-tin/blog/ho-kinh-doanh-la-gi")</f>
        <v>https://techcombank.com/thong-tin/blog/ho-kinh-doanh-la-gi</v>
      </c>
      <c r="Y57" s="30" t="str">
        <f>IFERROR(__xludf.DUMMYFUNCTION("""COMPUTED_VALUE"""),"cách tính thuế hộ kinh doanh")</f>
        <v>cách tính thuế hộ kinh doanh</v>
      </c>
      <c r="Z57" s="34" t="str">
        <f>IFERROR(__xludf.DUMMYFUNCTION("""COMPUTED_VALUE"""),"https://techcombank.com/thong-tin/blog/thanh-lap-ho-kinh-doanh-ca-the")</f>
        <v>https://techcombank.com/thong-tin/blog/thanh-lap-ho-kinh-doanh-ca-the</v>
      </c>
      <c r="AA57" s="30" t="str">
        <f>IFERROR(__xludf.DUMMYFUNCTION("""COMPUTED_VALUE"""),"cách tính thuế hộ kinh doanh")</f>
        <v>cách tính thuế hộ kinh doanh</v>
      </c>
      <c r="AB57" s="34" t="str">
        <f>IFERROR(__xludf.DUMMYFUNCTION("""COMPUTED_VALUE"""),"https://techcombank.com/thong-tin/blog/thue-ho-kinh-doanh-2025")</f>
        <v>https://techcombank.com/thong-tin/blog/thue-ho-kinh-doanh-2025</v>
      </c>
      <c r="AC57" s="30" t="str">
        <f>IFERROR(__xludf.DUMMYFUNCTION("""COMPUTED_VALUE"""),"cách tính thuế hộ kinh doanh")</f>
        <v>cách tính thuế hộ kinh doanh</v>
      </c>
      <c r="AD57" s="34" t="str">
        <f>IFERROR(__xludf.DUMMYFUNCTION("""COMPUTED_VALUE"""),"https://techcombank.com/thong-tin/blog/cach-tao-ma-qr")</f>
        <v>https://techcombank.com/thong-tin/blog/cach-tao-ma-qr</v>
      </c>
      <c r="AE57" s="30" t="str">
        <f>IFERROR(__xludf.DUMMYFUNCTION("""COMPUTED_VALUE"""),"cách tính thuế hộ kinh doanh")</f>
        <v>cách tính thuế hộ kinh doanh</v>
      </c>
      <c r="AF57" s="34" t="str">
        <f>IFERROR(__xludf.DUMMYFUNCTION("""COMPUTED_VALUE"""),"https://techcombank.com/thong-tin/blog/loi-ich-khi-ho-kinh-doanh-chuyen-len-doanh-nghiep")</f>
        <v>https://techcombank.com/thong-tin/blog/loi-ich-khi-ho-kinh-doanh-chuyen-len-doanh-nghiep</v>
      </c>
      <c r="AG57" s="30" t="str">
        <f>IFERROR(__xludf.DUMMYFUNCTION("""COMPUTED_VALUE"""),"cách tính thuế hộ kinh doanh")</f>
        <v>cách tính thuế hộ kinh doanh</v>
      </c>
      <c r="AH57" s="34" t="str">
        <f>IFERROR(__xludf.DUMMYFUNCTION("""COMPUTED_VALUE"""),"https://techcombank.com/thong-tin/blog/tiem-nang-chuyen-doi-tu-ho-kinh-doanh-len-doanh-nghiep-sme")</f>
        <v>https://techcombank.com/thong-tin/blog/tiem-nang-chuyen-doi-tu-ho-kinh-doanh-len-doanh-nghiep-sme</v>
      </c>
      <c r="AI57" s="30" t="str">
        <f>IFERROR(__xludf.DUMMYFUNCTION("""COMPUTED_VALUE"""),"cách tính thuế hộ kinh doanh")</f>
        <v>cách tính thuế hộ kinh doanh</v>
      </c>
      <c r="AJ57" s="34" t="str">
        <f>IFERROR(__xludf.DUMMYFUNCTION("""COMPUTED_VALUE"""),"https://techcombank.com/thong-tin/blog/lai-suat-vay-kinh-doanh")</f>
        <v>https://techcombank.com/thong-tin/blog/lai-suat-vay-kinh-doanh</v>
      </c>
      <c r="AK57" s="30" t="str">
        <f>IFERROR(__xludf.DUMMYFUNCTION("""COMPUTED_VALUE"""),"cách tính thuế hộ kinh doanh")</f>
        <v>cách tính thuế hộ kinh doanh</v>
      </c>
      <c r="AL57" s="34" t="str">
        <f>IFERROR(__xludf.DUMMYFUNCTION("""COMPUTED_VALUE"""),"https://techcombank.com/thong-tin/blog/chuyen-doi-ho-kinh-doanh-len-doanh-nghiep")</f>
        <v>https://techcombank.com/thong-tin/blog/chuyen-doi-ho-kinh-doanh-len-doanh-nghiep</v>
      </c>
      <c r="AM57" s="30" t="str">
        <f>IFERROR(__xludf.DUMMYFUNCTION("""COMPUTED_VALUE"""),"cách tính thuế hộ kinh doanh")</f>
        <v>cách tính thuế hộ kinh doanh</v>
      </c>
      <c r="AN57" s="34" t="str">
        <f>IFERROR(__xludf.DUMMYFUNCTION("""COMPUTED_VALUE"""),"https://techcombank.com/thong-tin/blog/thanh-toan-khong-dung-tien-mat")</f>
        <v>https://techcombank.com/thong-tin/blog/thanh-toan-khong-dung-tien-mat</v>
      </c>
      <c r="AO57" s="30" t="str">
        <f>IFERROR(__xludf.DUMMYFUNCTION("""COMPUTED_VALUE"""),"cách tính thuế hộ kinh doanh")</f>
        <v>cách tính thuế hộ kinh doanh</v>
      </c>
      <c r="AP57" s="34" t="str">
        <f>IFERROR(__xludf.DUMMYFUNCTION("""COMPUTED_VALUE"""),"https://techcombank.com/thong-tin/blog/mo-tai-khoan-ho-kinh-doanh")</f>
        <v>https://techcombank.com/thong-tin/blog/mo-tai-khoan-ho-kinh-doanh</v>
      </c>
      <c r="AQ57" s="30" t="str">
        <f>IFERROR(__xludf.DUMMYFUNCTION("""COMPUTED_VALUE"""),"cách tính thuế hộ kinh doanh nhỏ lẻ")</f>
        <v>cách tính thuế hộ kinh doanh nhỏ lẻ</v>
      </c>
      <c r="AR57" s="34" t="str">
        <f>IFERROR(__xludf.DUMMYFUNCTION("""COMPUTED_VALUE"""),"https://techcombank.com/thong-tin/blog/nen-thanh-lap-ho-kinh-doanh-ke-khai-hay-doanh-nghiep")</f>
        <v>https://techcombank.com/thong-tin/blog/nen-thanh-lap-ho-kinh-doanh-ke-khai-hay-doanh-nghiep</v>
      </c>
      <c r="AS57" s="30" t="str">
        <f>IFERROR(__xludf.DUMMYFUNCTION("""COMPUTED_VALUE"""),"cách tính thuế hộ kinh doanh nhỏ lẻ")</f>
        <v>cách tính thuế hộ kinh doanh nhỏ lẻ</v>
      </c>
      <c r="AT57" s="34" t="str">
        <f>IFERROR(__xludf.DUMMYFUNCTION("""COMPUTED_VALUE"""),"https://techcombank.com/thong-tin/blog/vay-tin-chap-ho-kinh-doanh")</f>
        <v>https://techcombank.com/thong-tin/blog/vay-tin-chap-ho-kinh-doanh</v>
      </c>
      <c r="AU57" s="30" t="str">
        <f>IFERROR(__xludf.DUMMYFUNCTION("""COMPUTED_VALUE"""),"cách tính thuế hộ kinh doanh")</f>
        <v>cách tính thuế hộ kinh doanh</v>
      </c>
      <c r="AV57" s="34" t="str">
        <f>IFERROR(__xludf.DUMMYFUNCTION("""COMPUTED_VALUE"""),"https://techcombank.com/thong-tin/blog/tra-cuu-no-thue-ho-kinh-doanh")</f>
        <v>https://techcombank.com/thong-tin/blog/tra-cuu-no-thue-ho-kinh-doanh</v>
      </c>
      <c r="AW57" s="30" t="str">
        <f>IFERROR(__xludf.DUMMYFUNCTION("""COMPUTED_VALUE"""),"cách tính thuế hộ kinh doanh")</f>
        <v>cách tính thuế hộ kinh doanh</v>
      </c>
      <c r="AX57" s="34" t="str">
        <f>IFERROR(__xludf.DUMMYFUNCTION("""COMPUTED_VALUE"""),"https://techcombank.com/thong-tin/blog/lien-ket-tai-khoan-ngan-hang-voi-etax-mobile")</f>
        <v>https://techcombank.com/thong-tin/blog/lien-ket-tai-khoan-ngan-hang-voi-etax-mobile</v>
      </c>
      <c r="AY57" s="30" t="str">
        <f>IFERROR(__xludf.DUMMYFUNCTION("""COMPUTED_VALUE"""),"cách tính thuế hộ kinh doanh")</f>
        <v>cách tính thuế hộ kinh doanh</v>
      </c>
      <c r="AZ57" s="34" t="str">
        <f>IFERROR(__xludf.DUMMYFUNCTION("""COMPUTED_VALUE"""),"https://techcombank.com/thong-tin/blog/hoa-don-dien-tu")</f>
        <v>https://techcombank.com/thong-tin/blog/hoa-don-dien-tu</v>
      </c>
      <c r="BA57" s="30" t="str">
        <f>IFERROR(__xludf.DUMMYFUNCTION("""COMPUTED_VALUE"""),"cách tính thuế hộ kinh doanh")</f>
        <v>cách tính thuế hộ kinh doanh</v>
      </c>
      <c r="BB57" s="34" t="str">
        <f>IFERROR(__xludf.DUMMYFUNCTION("""COMPUTED_VALUE"""),"https://techcombank.com/thong-tin/blog/truy-thu-thue-ho-kinh-doanh")</f>
        <v>https://techcombank.com/thong-tin/blog/truy-thu-thue-ho-kinh-doanh</v>
      </c>
      <c r="BC57" s="30" t="str">
        <f>IFERROR(__xludf.DUMMYFUNCTION("""COMPUTED_VALUE"""),"cách tính thuế hộ kinh doanh")</f>
        <v>cách tính thuế hộ kinh doanh</v>
      </c>
      <c r="BD57" s="34" t="str">
        <f>IFERROR(__xludf.DUMMYFUNCTION("""COMPUTED_VALUE"""),"https://techcombank.com/thong-tin/blog/cac-sai-lam-pho-bien-khi-chuyen-doi-ho-kinh-doanh-len-sme")</f>
        <v>https://techcombank.com/thong-tin/blog/cac-sai-lam-pho-bien-khi-chuyen-doi-ho-kinh-doanh-len-sme</v>
      </c>
      <c r="BE57" s="30" t="str">
        <f>IFERROR(__xludf.DUMMYFUNCTION("""COMPUTED_VALUE"""),"cách tính thuế hộ kinh doanh nhỏ lẻ")</f>
        <v>cách tính thuế hộ kinh doanh nhỏ lẻ</v>
      </c>
      <c r="BF57" s="34" t="str">
        <f>IFERROR(__xludf.DUMMYFUNCTION("""COMPUTED_VALUE"""),"https://techcombank.com/thong-tin/blog/ho-kinh-doanh-dong-thue-nhu-nao")</f>
        <v>https://techcombank.com/thong-tin/blog/ho-kinh-doanh-dong-thue-nhu-nao</v>
      </c>
      <c r="BG57" s="30" t="str">
        <f>IFERROR(__xludf.DUMMYFUNCTION("""COMPUTED_VALUE"""),"cách tính thuế hộ kinh doanh")</f>
        <v>cách tính thuế hộ kinh doanh</v>
      </c>
      <c r="BH57" s="34" t="str">
        <f>IFERROR(__xludf.DUMMYFUNCTION("""COMPUTED_VALUE"""),"https://techcombank.com/thong-tin/blog/chuyen-doi-hoa-don-dien-tu")</f>
        <v>https://techcombank.com/thong-tin/blog/chuyen-doi-hoa-don-dien-tu</v>
      </c>
      <c r="BI57" s="30" t="str">
        <f>IFERROR(__xludf.DUMMYFUNCTION("""COMPUTED_VALUE"""),"cách tính thuế hộ kinh doanh")</f>
        <v>cách tính thuế hộ kinh doanh</v>
      </c>
      <c r="BJ57" s="34" t="str">
        <f>IFERROR(__xludf.DUMMYFUNCTION("""COMPUTED_VALUE"""),"https://techcombank.com/thong-tin/blog/dang-ky-kinh-doanh-la-gi")</f>
        <v>https://techcombank.com/thong-tin/blog/dang-ky-kinh-doanh-la-gi</v>
      </c>
      <c r="BK57" s="30" t="str">
        <f>IFERROR(__xludf.DUMMYFUNCTION("""COMPUTED_VALUE"""),"cách tính thuế hộ kinh doanh")</f>
        <v>cách tính thuế hộ kinh doanh</v>
      </c>
      <c r="BL57" s="34" t="str">
        <f>IFERROR(__xludf.DUMMYFUNCTION("""COMPUTED_VALUE"""),"https://techcombank.com/thong-tin/blog/thay-doi-dia-chi-ho-kinh-doanh")</f>
        <v>https://techcombank.com/thong-tin/blog/thay-doi-dia-chi-ho-kinh-doanh</v>
      </c>
      <c r="BM57" s="30" t="str">
        <f>IFERROR(__xludf.DUMMYFUNCTION("""COMPUTED_VALUE"""),"cách tính thuế hộ kinh doanh")</f>
        <v>cách tính thuế hộ kinh doanh</v>
      </c>
      <c r="BN57" s="34" t="str">
        <f>IFERROR(__xludf.DUMMYFUNCTION("""COMPUTED_VALUE"""),"https://techcombank.com/thong-tin/blog/cach-dang-ky-ma-so-thue-ho-kinh-doanh-online")</f>
        <v>https://techcombank.com/thong-tin/blog/cach-dang-ky-ma-so-thue-ho-kinh-doanh-online</v>
      </c>
      <c r="BO57" s="30" t="str">
        <f>IFERROR(__xludf.DUMMYFUNCTION("""COMPUTED_VALUE"""),"cách tính thuế hộ kinh doanh")</f>
        <v>cách tính thuế hộ kinh doanh</v>
      </c>
      <c r="BP57" s="34" t="str">
        <f>IFERROR(__xludf.DUMMYFUNCTION("""COMPUTED_VALUE"""),"https://techcombank.com/thong-tin/blog/nhung-ho-kinh-doanh-duoc-mien-thue")</f>
        <v>https://techcombank.com/thong-tin/blog/nhung-ho-kinh-doanh-duoc-mien-thue</v>
      </c>
      <c r="BQ57" s="30" t="str">
        <f>IFERROR(__xludf.DUMMYFUNCTION("""COMPUTED_VALUE"""),"cách tính thuế hộ kinh doanh")</f>
        <v>cách tính thuế hộ kinh doanh</v>
      </c>
      <c r="BR57" s="34" t="str">
        <f>IFERROR(__xludf.DUMMYFUNCTION("""COMPUTED_VALUE"""),"https://techcombank.com/thong-tin/blog/luu-y-khi-chuyen-doi-tu-ho-kinh-doanh-len-doanh-nghiep")</f>
        <v>https://techcombank.com/thong-tin/blog/luu-y-khi-chuyen-doi-tu-ho-kinh-doanh-len-doanh-nghiep</v>
      </c>
      <c r="BS57" s="30" t="str">
        <f>IFERROR(__xludf.DUMMYFUNCTION("""COMPUTED_VALUE"""),"cách tính thuế hộ kinh doanh")</f>
        <v>cách tính thuế hộ kinh doanh</v>
      </c>
      <c r="BT57" s="34" t="str">
        <f>IFERROR(__xludf.DUMMYFUNCTION("""COMPUTED_VALUE"""),"https://techcombank.com/thong-tin/blog/barcode-la-gi")</f>
        <v>https://techcombank.com/thong-tin/blog/barcode-la-gi</v>
      </c>
      <c r="BU57" s="30"/>
      <c r="BV57" s="30"/>
      <c r="BW57" s="30"/>
      <c r="BX57" s="30"/>
      <c r="BY57" s="30"/>
      <c r="BZ57" s="30"/>
      <c r="CA57" s="30"/>
      <c r="CB57" s="30"/>
      <c r="CC57" s="30"/>
      <c r="CD57" s="30"/>
      <c r="CE57" s="30"/>
      <c r="CF57" s="30"/>
      <c r="CG57" s="30"/>
      <c r="CH57" s="30"/>
      <c r="CI57" s="30"/>
      <c r="CJ57" s="30"/>
      <c r="CK57" s="30"/>
      <c r="CL57" s="30"/>
      <c r="CM57" s="30"/>
      <c r="CN57" s="30"/>
      <c r="CO57" s="30"/>
      <c r="CP57" s="30"/>
      <c r="CQ57" s="30"/>
      <c r="CR57" s="30"/>
      <c r="CS57" s="30"/>
      <c r="CT57" s="30"/>
      <c r="CU57" s="30"/>
      <c r="CV57" s="30"/>
      <c r="CW57" s="30"/>
      <c r="CX57" s="30"/>
      <c r="CY57" s="30"/>
      <c r="CZ57" s="30"/>
      <c r="DA57" s="30"/>
      <c r="DB57" s="30"/>
      <c r="DC57" s="30"/>
      <c r="DD57" s="30"/>
      <c r="DE57" s="30"/>
      <c r="DF57" s="30"/>
      <c r="DG57" s="30"/>
      <c r="DH57" s="30"/>
      <c r="DI57" s="30"/>
      <c r="DJ57" s="30"/>
      <c r="DK57" s="30"/>
      <c r="DL57" s="30"/>
      <c r="DM57" s="30"/>
      <c r="DN57" s="30"/>
      <c r="DO57" s="30"/>
      <c r="DP57" s="30"/>
      <c r="DQ57" s="30"/>
      <c r="DR57" s="30"/>
      <c r="DS57" s="30"/>
      <c r="DT57" s="30"/>
      <c r="DU57" s="30"/>
      <c r="DV57" s="30"/>
      <c r="DW57" s="30"/>
      <c r="DX57" s="30"/>
      <c r="DY57" s="30"/>
      <c r="DZ57" s="30"/>
      <c r="EA57" s="30"/>
      <c r="EB57" s="30"/>
      <c r="EC57" s="30"/>
      <c r="ED57" s="30"/>
      <c r="EE57" s="30"/>
      <c r="EF57" s="30"/>
      <c r="EG57" s="30"/>
      <c r="EH57" s="30"/>
      <c r="EI57" s="30"/>
      <c r="EJ57" s="30"/>
      <c r="EK57" s="30"/>
      <c r="EL57" s="30"/>
      <c r="EM57" s="30"/>
      <c r="EN57" s="30"/>
      <c r="EO57" s="30"/>
      <c r="EP57" s="30"/>
      <c r="EQ57" s="30"/>
      <c r="ER57" s="30"/>
      <c r="ES57" s="30"/>
      <c r="ET57" s="30"/>
      <c r="EU57" s="30"/>
      <c r="EV57" s="30"/>
      <c r="EW57" s="30"/>
      <c r="EX57" s="30"/>
      <c r="EY57" s="30"/>
      <c r="EZ57" s="30"/>
      <c r="FA57" s="30"/>
      <c r="FB57" s="30"/>
      <c r="FC57" s="30"/>
      <c r="FD57" s="30"/>
      <c r="FE57" s="30"/>
      <c r="FF57" s="30"/>
      <c r="FG57" s="30"/>
      <c r="FH57" s="30"/>
      <c r="FI57" s="30"/>
      <c r="FJ57" s="30"/>
      <c r="FK57" s="30"/>
      <c r="FL57" s="30"/>
      <c r="FM57" s="30"/>
      <c r="FN57" s="30"/>
      <c r="FO57" s="30"/>
      <c r="FP57" s="30"/>
      <c r="FQ57" s="30"/>
      <c r="FR57" s="30"/>
      <c r="FS57" s="30"/>
      <c r="FT57" s="30"/>
      <c r="FU57" s="30"/>
      <c r="FV57" s="30"/>
      <c r="FW57" s="30"/>
      <c r="FX57" s="30"/>
      <c r="FY57" s="30"/>
      <c r="FZ57" s="30"/>
      <c r="GA57" s="30"/>
      <c r="GB57" s="30"/>
      <c r="GC57" s="30"/>
      <c r="GD57" s="30"/>
      <c r="GE57" s="30"/>
      <c r="GF57" s="30"/>
      <c r="GG57" s="30"/>
      <c r="GH57" s="30"/>
      <c r="GI57" s="30"/>
      <c r="GJ57" s="30"/>
      <c r="GK57" s="30"/>
      <c r="GL57" s="30"/>
      <c r="GM57" s="30"/>
      <c r="GN57" s="30"/>
      <c r="GO57" s="30"/>
      <c r="GP57" s="30"/>
      <c r="GQ57" s="30"/>
      <c r="GR57" s="30"/>
      <c r="GS57" s="30"/>
      <c r="GT57" s="30"/>
      <c r="GU57" s="30"/>
      <c r="GV57" s="30"/>
      <c r="GW57" s="30"/>
      <c r="GX57" s="30"/>
      <c r="GY57" s="30"/>
      <c r="GZ57" s="30"/>
      <c r="HA57" s="30"/>
      <c r="HB57" s="30"/>
      <c r="HC57" s="30"/>
      <c r="HD57" s="30"/>
      <c r="HE57" s="30"/>
      <c r="HF57" s="30"/>
      <c r="HG57" s="30"/>
      <c r="HH57" s="30"/>
      <c r="HI57" s="30"/>
      <c r="HJ57" s="30"/>
      <c r="HK57" s="30"/>
      <c r="HL57" s="30"/>
      <c r="HM57" s="30"/>
      <c r="HN57" s="30"/>
      <c r="HO57" s="30"/>
      <c r="HP57" s="30"/>
      <c r="HQ57" s="30"/>
      <c r="HR57" s="30"/>
      <c r="HS57" s="30"/>
      <c r="HT57" s="30"/>
      <c r="HU57" s="30"/>
      <c r="HV57" s="30"/>
      <c r="HW57" s="30"/>
      <c r="HX57" s="30"/>
      <c r="HY57" s="30"/>
      <c r="HZ57" s="30"/>
      <c r="IA57" s="30"/>
      <c r="IB57" s="30"/>
      <c r="IC57" s="30"/>
      <c r="ID57" s="30"/>
      <c r="IE57" s="30"/>
      <c r="IF57" s="30"/>
      <c r="IG57" s="30"/>
      <c r="IH57" s="30"/>
      <c r="II57" s="30"/>
      <c r="IJ57" s="30"/>
      <c r="IK57" s="30"/>
      <c r="IL57" s="30"/>
      <c r="IM57" s="30"/>
      <c r="IN57" s="30"/>
      <c r="IO57" s="30"/>
      <c r="IP57" s="30"/>
      <c r="IQ57" s="30"/>
      <c r="IR57" s="30"/>
      <c r="IS57" s="30"/>
      <c r="IT57" s="30"/>
      <c r="IU57" s="30"/>
      <c r="IV57" s="30"/>
      <c r="IW57" s="30"/>
      <c r="IX57" s="30"/>
      <c r="IY57" s="30"/>
      <c r="IZ57" s="30"/>
      <c r="JA57" s="30"/>
      <c r="JB57" s="30"/>
      <c r="JC57" s="30"/>
      <c r="JD57" s="30"/>
      <c r="JE57" s="30"/>
      <c r="JF57" s="30"/>
      <c r="JG57" s="30"/>
      <c r="JH57" s="30"/>
      <c r="JI57" s="30"/>
      <c r="JJ57" s="30"/>
      <c r="JK57" s="30"/>
      <c r="JL57" s="30"/>
      <c r="JM57" s="30"/>
      <c r="JN57" s="30"/>
      <c r="JO57" s="30"/>
      <c r="JP57" s="30"/>
      <c r="JQ57" s="30"/>
      <c r="JR57" s="30"/>
      <c r="JS57" s="30"/>
      <c r="JT57" s="30"/>
      <c r="JU57" s="30"/>
      <c r="JV57" s="30"/>
      <c r="JW57" s="30"/>
      <c r="JX57" s="30"/>
      <c r="JY57" s="30"/>
      <c r="JZ57" s="30"/>
      <c r="KA57" s="30"/>
      <c r="KB57" s="30"/>
      <c r="KC57" s="30"/>
      <c r="KD57" s="30"/>
      <c r="KE57" s="30"/>
      <c r="KF57" s="30"/>
      <c r="KG57" s="30"/>
      <c r="KH57" s="30"/>
      <c r="KI57" s="30"/>
      <c r="KJ57" s="30"/>
      <c r="KK57" s="30"/>
      <c r="KL57" s="30"/>
      <c r="KM57" s="30"/>
      <c r="KN57" s="30"/>
      <c r="KO57" s="30"/>
      <c r="KP57" s="30"/>
      <c r="KQ57" s="30"/>
      <c r="KR57" s="30"/>
      <c r="KS57" s="30"/>
      <c r="KT57" s="30"/>
      <c r="KU57" s="30"/>
      <c r="KV57" s="30"/>
      <c r="KW57" s="30"/>
      <c r="KX57" s="30"/>
      <c r="KY57" s="30"/>
      <c r="KZ57" s="30"/>
      <c r="LA57" s="30"/>
      <c r="LB57" s="30"/>
      <c r="LC57" s="30"/>
      <c r="LD57" s="30"/>
      <c r="LE57" s="30"/>
      <c r="LF57" s="30"/>
      <c r="LG57" s="30"/>
      <c r="LH57" s="30"/>
      <c r="LI57" s="30"/>
      <c r="LJ57" s="30"/>
      <c r="LK57" s="30"/>
      <c r="LL57" s="30"/>
      <c r="LM57" s="30"/>
      <c r="LN57" s="30"/>
      <c r="LO57" s="30"/>
      <c r="LP57" s="30"/>
      <c r="LQ57" s="30"/>
      <c r="LR57" s="30"/>
      <c r="LS57" s="30"/>
      <c r="LT57" s="30"/>
      <c r="LU57" s="30"/>
      <c r="LV57" s="30"/>
      <c r="LW57" s="30"/>
      <c r="LX57" s="30"/>
      <c r="LY57" s="30"/>
      <c r="LZ57" s="30"/>
      <c r="MA57" s="30"/>
      <c r="MB57" s="30"/>
      <c r="MC57" s="30"/>
      <c r="MD57" s="30"/>
      <c r="ME57" s="30"/>
      <c r="MF57" s="30"/>
      <c r="MG57" s="30"/>
      <c r="MH57" s="30"/>
      <c r="MI57" s="30"/>
      <c r="MJ57" s="30"/>
      <c r="MK57" s="30"/>
      <c r="ML57" s="30"/>
      <c r="MM57" s="30"/>
      <c r="MN57" s="30"/>
      <c r="MO57" s="30"/>
      <c r="MP57" s="30"/>
      <c r="MQ57" s="30"/>
      <c r="MR57" s="30"/>
      <c r="MS57" s="30"/>
      <c r="MT57" s="30"/>
      <c r="MU57" s="30"/>
      <c r="MV57" s="30"/>
      <c r="MW57" s="30"/>
      <c r="MX57" s="30"/>
      <c r="MY57" s="30"/>
      <c r="MZ57" s="30"/>
      <c r="NA57" s="30"/>
      <c r="NB57" s="30"/>
      <c r="NC57" s="30"/>
      <c r="ND57" s="30"/>
      <c r="NE57" s="30"/>
      <c r="NF57" s="30"/>
      <c r="NG57" s="30"/>
      <c r="NH57" s="30"/>
      <c r="NI57" s="30"/>
      <c r="NJ57" s="30"/>
      <c r="NK57" s="30"/>
      <c r="NL57" s="30"/>
      <c r="NM57" s="30"/>
      <c r="NN57" s="30"/>
      <c r="NO57" s="30"/>
      <c r="NP57" s="30"/>
      <c r="NQ57" s="30"/>
      <c r="NR57" s="30"/>
      <c r="NS57" s="30"/>
      <c r="NT57" s="30"/>
      <c r="NU57" s="30"/>
      <c r="NV57" s="30"/>
      <c r="NW57" s="30"/>
      <c r="NX57" s="30"/>
      <c r="NY57" s="30"/>
      <c r="NZ57" s="30"/>
      <c r="OA57" s="30"/>
      <c r="OB57" s="30"/>
      <c r="OC57" s="30"/>
      <c r="OD57" s="30"/>
      <c r="OE57" s="30"/>
      <c r="OF57" s="30"/>
      <c r="OG57" s="30"/>
      <c r="OH57" s="30"/>
      <c r="OI57" s="30"/>
      <c r="OJ57" s="30"/>
      <c r="OK57" s="30"/>
      <c r="OL57" s="30"/>
      <c r="OM57" s="30"/>
      <c r="ON57" s="30"/>
      <c r="OO57" s="30"/>
      <c r="OP57" s="30"/>
      <c r="OQ57" s="30"/>
      <c r="OR57" s="30"/>
      <c r="OS57" s="30"/>
      <c r="OT57" s="30"/>
      <c r="OU57" s="30"/>
      <c r="OV57" s="30"/>
    </row>
    <row r="58" ht="18.0" customHeight="1">
      <c r="A58" s="29">
        <v>57.0</v>
      </c>
      <c r="B58" s="30" t="s">
        <v>5061</v>
      </c>
      <c r="C58" s="31" t="s">
        <v>6427</v>
      </c>
      <c r="D58" s="30" t="s">
        <v>94</v>
      </c>
      <c r="E58" s="29">
        <v>50.0</v>
      </c>
      <c r="F58" s="29">
        <f>COUNTIF('Tổng hợp 75 trang đích'!$B$2:$B$3400,$D58)</f>
        <v>50</v>
      </c>
      <c r="G58" s="29">
        <f>COUNTIFS('Tổng hợp 75 trang đích'!$B$2:$B$3400,$D58,'Tổng hợp 75 trang đích'!$K$2:$K$3400,"PHÙ HỢP CAO")</f>
        <v>4</v>
      </c>
      <c r="H58" s="29">
        <f>COUNTIFS('Tổng hợp 75 trang đích'!$B$2:$B$3400,$D58,'Tổng hợp 75 trang đích'!$K$2:$K$3400,"CÓ THỂ ĐI")</f>
        <v>7</v>
      </c>
      <c r="I58" s="29">
        <f>COUNTIFS('Tổng hợp 75 trang đích'!$B$2:$B$3400,$D58,'Tổng hợp 75 trang đích'!$K$2:$K$3400,"CẦN SOÁT")</f>
        <v>39</v>
      </c>
      <c r="J58" s="32" t="s">
        <v>714</v>
      </c>
      <c r="K58" s="32" t="b">
        <v>0</v>
      </c>
      <c r="L58" s="33" t="s">
        <v>52</v>
      </c>
      <c r="M58" s="30" t="str">
        <f>IFERROR(__xludf.DUMMYFUNCTION("IFERROR(TOROW(CHOOSECOLS(SORT(FILTER({'Tổng hợp 75 trang đích'!$J$2:$J$3400,'Tổng hợp 75 trang đích'!$I$2:$I$3400,MATCH('Tổng hợp 75 trang đích'!$K$2:$K$3400,{""PHÙ HỢP CAO"",""CÓ THỂ ĐI"",""CẦN SOÁT""},0)},'Tổng hợp 75 trang đích'!$B$2:$B$3400=$D58),3,TR"&amp;"UE),1,2)),"""")"),"cách tính lãi suất vay")</f>
        <v>cách tính lãi suất vay</v>
      </c>
      <c r="N58" s="34" t="str">
        <f>IFERROR(__xludf.DUMMYFUNCTION("""COMPUTED_VALUE"""),"https://techcombank.com/thong-tin/blog/du-no-la-gi")</f>
        <v>https://techcombank.com/thong-tin/blog/du-no-la-gi</v>
      </c>
      <c r="O58" s="30" t="str">
        <f>IFERROR(__xludf.DUMMYFUNCTION("""COMPUTED_VALUE"""),"cách tính lãi suất vay ngân hàng")</f>
        <v>cách tính lãi suất vay ngân hàng</v>
      </c>
      <c r="P58" s="34" t="str">
        <f>IFERROR(__xludf.DUMMYFUNCTION("""COMPUTED_VALUE"""),"https://techcombank.com/thong-tin/blog/an-han-no-goc-la-gi")</f>
        <v>https://techcombank.com/thong-tin/blog/an-han-no-goc-la-gi</v>
      </c>
      <c r="Q58" s="30" t="str">
        <f>IFERROR(__xludf.DUMMYFUNCTION("""COMPUTED_VALUE"""),"cách tính lãi suất vay")</f>
        <v>cách tính lãi suất vay</v>
      </c>
      <c r="R58" s="34" t="str">
        <f>IFERROR(__xludf.DUMMYFUNCTION("""COMPUTED_VALUE"""),"https://techcombank.com/thong-tin/blog/lai-suat-tha-noi")</f>
        <v>https://techcombank.com/thong-tin/blog/lai-suat-tha-noi</v>
      </c>
      <c r="S58" s="30" t="str">
        <f>IFERROR(__xludf.DUMMYFUNCTION("""COMPUTED_VALUE"""),"cách tính lãi suất vay ngân hàng")</f>
        <v>cách tính lãi suất vay ngân hàng</v>
      </c>
      <c r="T58" s="34" t="str">
        <f>IFERROR(__xludf.DUMMYFUNCTION("""COMPUTED_VALUE"""),"https://techcombank.com/thong-tin/blog/cong-thuc-tinh-lai-suat-thuc")</f>
        <v>https://techcombank.com/thong-tin/blog/cong-thuc-tinh-lai-suat-thuc</v>
      </c>
      <c r="U58" s="30" t="str">
        <f>IFERROR(__xludf.DUMMYFUNCTION("""COMPUTED_VALUE"""),"cách tính lãi suất vay")</f>
        <v>cách tính lãi suất vay</v>
      </c>
      <c r="V58" s="34" t="str">
        <f>IFERROR(__xludf.DUMMYFUNCTION("""COMPUTED_VALUE"""),"https://techcombank.com/thong-tin/blog/vay-tra-gop")</f>
        <v>https://techcombank.com/thong-tin/blog/vay-tra-gop</v>
      </c>
      <c r="W58" s="30" t="str">
        <f>IFERROR(__xludf.DUMMYFUNCTION("""COMPUTED_VALUE"""),"cách tính lãi suất vay")</f>
        <v>cách tính lãi suất vay</v>
      </c>
      <c r="X58" s="34" t="str">
        <f>IFERROR(__xludf.DUMMYFUNCTION("""COMPUTED_VALUE"""),"https://techcombank.com/thong-tin/blog/phi-vay-the-chap")</f>
        <v>https://techcombank.com/thong-tin/blog/phi-vay-the-chap</v>
      </c>
      <c r="Y58" s="30" t="str">
        <f>IFERROR(__xludf.DUMMYFUNCTION("""COMPUTED_VALUE"""),"cách tính lãi suất vay ngân hàng")</f>
        <v>cách tính lãi suất vay ngân hàng</v>
      </c>
      <c r="Z58" s="34" t="str">
        <f>IFERROR(__xludf.DUMMYFUNCTION("""COMPUTED_VALUE"""),"https://techcombank.com/thong-tin/blog/the-tin-dung-phu-la-gi")</f>
        <v>https://techcombank.com/thong-tin/blog/the-tin-dung-phu-la-gi</v>
      </c>
      <c r="AA58" s="30" t="str">
        <f>IFERROR(__xludf.DUMMYFUNCTION("""COMPUTED_VALUE"""),"cách tính lãi suất vay ngân hàng")</f>
        <v>cách tính lãi suất vay ngân hàng</v>
      </c>
      <c r="AB58" s="34" t="str">
        <f>IFERROR(__xludf.DUMMYFUNCTION("""COMPUTED_VALUE"""),"https://techcombank.com/thong-tin/blog/vay-ngan-hang-1-ty-moi-thang-tra-bao-nhieu")</f>
        <v>https://techcombank.com/thong-tin/blog/vay-ngan-hang-1-ty-moi-thang-tra-bao-nhieu</v>
      </c>
      <c r="AC58" s="30" t="str">
        <f>IFERROR(__xludf.DUMMYFUNCTION("""COMPUTED_VALUE"""),"cách tính lãi suất vay")</f>
        <v>cách tính lãi suất vay</v>
      </c>
      <c r="AD58" s="34" t="str">
        <f>IFERROR(__xludf.DUMMYFUNCTION("""COMPUTED_VALUE"""),"https://techcombank.com/thong-tin/blog/uu-dai-the-tin-dung-techcombank-signature")</f>
        <v>https://techcombank.com/thong-tin/blog/uu-dai-the-tin-dung-techcombank-signature</v>
      </c>
      <c r="AE58" s="30" t="str">
        <f>IFERROR(__xludf.DUMMYFUNCTION("""COMPUTED_VALUE"""),"cách tính lãi suất vay ngân hàng")</f>
        <v>cách tính lãi suất vay ngân hàng</v>
      </c>
      <c r="AF58" s="34" t="str">
        <f>IFERROR(__xludf.DUMMYFUNCTION("""COMPUTED_VALUE"""),"https://techcombank.com/thong-tin/blog/lai-suat-tiet-kiem")</f>
        <v>https://techcombank.com/thong-tin/blog/lai-suat-tiet-kiem</v>
      </c>
      <c r="AG58" s="30" t="str">
        <f>IFERROR(__xludf.DUMMYFUNCTION("""COMPUTED_VALUE"""),"cách tính lãi suất vay")</f>
        <v>cách tính lãi suất vay</v>
      </c>
      <c r="AH58" s="34" t="str">
        <f>IFERROR(__xludf.DUMMYFUNCTION("""COMPUTED_VALUE"""),"https://techcombank.com/thong-tin/blog/nen-gui-tiet-kiem-6-thang-hay-1-nam")</f>
        <v>https://techcombank.com/thong-tin/blog/nen-gui-tiet-kiem-6-thang-hay-1-nam</v>
      </c>
      <c r="AI58" s="30" t="str">
        <f>IFERROR(__xludf.DUMMYFUNCTION("""COMPUTED_VALUE"""),"cách tính lãi suất vay")</f>
        <v>cách tính lãi suất vay</v>
      </c>
      <c r="AJ58" s="34" t="str">
        <f>IFERROR(__xludf.DUMMYFUNCTION("""COMPUTED_VALUE"""),"https://techcombank.com/thong-tin/blog/lai-suat-vay-kinh-doanh")</f>
        <v>https://techcombank.com/thong-tin/blog/lai-suat-vay-kinh-doanh</v>
      </c>
      <c r="AK58" s="30" t="str">
        <f>IFERROR(__xludf.DUMMYFUNCTION("""COMPUTED_VALUE"""),"cách tính lãi suất vay")</f>
        <v>cách tính lãi suất vay</v>
      </c>
      <c r="AL58" s="34" t="str">
        <f>IFERROR(__xludf.DUMMYFUNCTION("""COMPUTED_VALUE"""),"https://techcombank.com/thong-tin/blog/cac-hinh-thuc-vay-von-ngan-hang")</f>
        <v>https://techcombank.com/thong-tin/blog/cac-hinh-thuc-vay-von-ngan-hang</v>
      </c>
      <c r="AM58" s="30" t="str">
        <f>IFERROR(__xludf.DUMMYFUNCTION("""COMPUTED_VALUE"""),"cách tính lãi suất vay")</f>
        <v>cách tính lãi suất vay</v>
      </c>
      <c r="AN58" s="34" t="str">
        <f>IFERROR(__xludf.DUMMYFUNCTION("""COMPUTED_VALUE"""),"https://techcombank.com/thong-tin/blog/loi-nhuan")</f>
        <v>https://techcombank.com/thong-tin/blog/loi-nhuan</v>
      </c>
      <c r="AO58" s="30" t="str">
        <f>IFERROR(__xludf.DUMMYFUNCTION("""COMPUTED_VALUE"""),"cách tính lãi suất vay ngân hàng")</f>
        <v>cách tính lãi suất vay ngân hàng</v>
      </c>
      <c r="AP58" s="34" t="str">
        <f>IFERROR(__xludf.DUMMYFUNCTION("""COMPUTED_VALUE"""),"https://techcombank.com/thong-tin/blog/co-nen-mua-o-to-tra-gop")</f>
        <v>https://techcombank.com/thong-tin/blog/co-nen-mua-o-to-tra-gop</v>
      </c>
      <c r="AQ58" s="30" t="str">
        <f>IFERROR(__xludf.DUMMYFUNCTION("""COMPUTED_VALUE"""),"cách tính lãi suất vay")</f>
        <v>cách tính lãi suất vay</v>
      </c>
      <c r="AR58" s="34" t="str">
        <f>IFERROR(__xludf.DUMMYFUNCTION("""COMPUTED_VALUE"""),"https://techcombank.com/thong-tin/blog/vay-300-trieu")</f>
        <v>https://techcombank.com/thong-tin/blog/vay-300-trieu</v>
      </c>
      <c r="AS58" s="30" t="str">
        <f>IFERROR(__xludf.DUMMYFUNCTION("""COMPUTED_VALUE"""),"cách tính lãi suất vay ngân hàng")</f>
        <v>cách tính lãi suất vay ngân hàng</v>
      </c>
      <c r="AT58" s="34" t="str">
        <f>IFERROR(__xludf.DUMMYFUNCTION("""COMPUTED_VALUE"""),"https://techcombank.com/thong-tin/blog/rui-ro-khi-vay-the-chap-ngan-hang")</f>
        <v>https://techcombank.com/thong-tin/blog/rui-ro-khi-vay-the-chap-ngan-hang</v>
      </c>
      <c r="AU58" s="30" t="str">
        <f>IFERROR(__xludf.DUMMYFUNCTION("""COMPUTED_VALUE"""),"cách tính lãi suất vay ngân hàng")</f>
        <v>cách tính lãi suất vay ngân hàng</v>
      </c>
      <c r="AV58" s="34" t="str">
        <f>IFERROR(__xludf.DUMMYFUNCTION("""COMPUTED_VALUE"""),"https://techcombank.com/thong-tin/blog/vay-tin-chap-va-vay-the-chap")</f>
        <v>https://techcombank.com/thong-tin/blog/vay-tin-chap-va-vay-the-chap</v>
      </c>
      <c r="AW58" s="30" t="str">
        <f>IFERROR(__xludf.DUMMYFUNCTION("""COMPUTED_VALUE"""),"cách tính lãi suất vay ngân hàng")</f>
        <v>cách tính lãi suất vay ngân hàng</v>
      </c>
      <c r="AX58" s="34" t="str">
        <f>IFERROR(__xludf.DUMMYFUNCTION("""COMPUTED_VALUE"""),"https://techcombank.com/thong-tin/blog/lai-suat-vay-the-chap")</f>
        <v>https://techcombank.com/thong-tin/blog/lai-suat-vay-the-chap</v>
      </c>
      <c r="AY58" s="30" t="str">
        <f>IFERROR(__xludf.DUMMYFUNCTION("""COMPUTED_VALUE"""),"cách tính lãi suất vay ngân hàng")</f>
        <v>cách tính lãi suất vay ngân hàng</v>
      </c>
      <c r="AZ58" s="34" t="str">
        <f>IFERROR(__xludf.DUMMYFUNCTION("""COMPUTED_VALUE"""),"https://techcombank.com/thong-tin/blog/tat-toan")</f>
        <v>https://techcombank.com/thong-tin/blog/tat-toan</v>
      </c>
      <c r="BA58" s="30" t="str">
        <f>IFERROR(__xludf.DUMMYFUNCTION("""COMPUTED_VALUE"""),"cách tính lãi suất vay")</f>
        <v>cách tính lãi suất vay</v>
      </c>
      <c r="BB58" s="34" t="str">
        <f>IFERROR(__xludf.DUMMYFUNCTION("""COMPUTED_VALUE"""),"https://techcombank.com/thong-tin/blog/dao-han-la-gi")</f>
        <v>https://techcombank.com/thong-tin/blog/dao-han-la-gi</v>
      </c>
      <c r="BC58" s="30" t="str">
        <f>IFERROR(__xludf.DUMMYFUNCTION("""COMPUTED_VALUE"""),"cách tính lãi suất vay ngân hàng")</f>
        <v>cách tính lãi suất vay ngân hàng</v>
      </c>
      <c r="BD58" s="34" t="str">
        <f>IFERROR(__xludf.DUMMYFUNCTION("""COMPUTED_VALUE"""),"https://techcombank.com/thong-tin/blog/vay-mua-xe-tra-gop-ngan-hang-nao-tot-nhat")</f>
        <v>https://techcombank.com/thong-tin/blog/vay-mua-xe-tra-gop-ngan-hang-nao-tot-nhat</v>
      </c>
      <c r="BE58" s="30" t="str">
        <f>IFERROR(__xludf.DUMMYFUNCTION("""COMPUTED_VALUE"""),"cách tính lãi suất vay")</f>
        <v>cách tính lãi suất vay</v>
      </c>
      <c r="BF58" s="34" t="str">
        <f>IFERROR(__xludf.DUMMYFUNCTION("""COMPUTED_VALUE"""),"https://techcombank.com/thong-tin/blog/lai-suat-vay-thau-chi")</f>
        <v>https://techcombank.com/thong-tin/blog/lai-suat-vay-thau-chi</v>
      </c>
      <c r="BG58" s="30" t="str">
        <f>IFERROR(__xludf.DUMMYFUNCTION("""COMPUTED_VALUE"""),"cách tính lãi suất vay")</f>
        <v>cách tính lãi suất vay</v>
      </c>
      <c r="BH58" s="34" t="str">
        <f>IFERROR(__xludf.DUMMYFUNCTION("""COMPUTED_VALUE"""),"https://techcombank.com/thong-tin/blog/vay-mua-nha-tra-gop")</f>
        <v>https://techcombank.com/thong-tin/blog/vay-mua-nha-tra-gop</v>
      </c>
      <c r="BI58" s="30" t="str">
        <f>IFERROR(__xludf.DUMMYFUNCTION("""COMPUTED_VALUE"""),"cách tính lãi suất vay ngân hàng")</f>
        <v>cách tính lãi suất vay ngân hàng</v>
      </c>
      <c r="BJ58" s="34" t="str">
        <f>IFERROR(__xludf.DUMMYFUNCTION("""COMPUTED_VALUE"""),"https://techcombank.com/thong-tin/blog/cach-thanh-toan-the-tin-dung")</f>
        <v>https://techcombank.com/thong-tin/blog/cach-thanh-toan-the-tin-dung</v>
      </c>
      <c r="BK58" s="30" t="str">
        <f>IFERROR(__xludf.DUMMYFUNCTION("""COMPUTED_VALUE"""),"cách tính lãi suất vay ngân hàng")</f>
        <v>cách tính lãi suất vay ngân hàng</v>
      </c>
      <c r="BL58" s="34" t="str">
        <f>IFERROR(__xludf.DUMMYFUNCTION("""COMPUTED_VALUE"""),"https://techcombank.com/thong-tin/blog/quy-trinh-tat-toan-khoan-vay-the-chap")</f>
        <v>https://techcombank.com/thong-tin/blog/quy-trinh-tat-toan-khoan-vay-the-chap</v>
      </c>
      <c r="BM58" s="30" t="str">
        <f>IFERROR(__xludf.DUMMYFUNCTION("""COMPUTED_VALUE"""),"cách tính lãi suất vay")</f>
        <v>cách tính lãi suất vay</v>
      </c>
      <c r="BN58" s="34" t="str">
        <f>IFERROR(__xludf.DUMMYFUNCTION("""COMPUTED_VALUE"""),"https://techcombank.com/thong-tin/blog/vay-40-trieu")</f>
        <v>https://techcombank.com/thong-tin/blog/vay-40-trieu</v>
      </c>
      <c r="BO58" s="30" t="str">
        <f>IFERROR(__xludf.DUMMYFUNCTION("""COMPUTED_VALUE"""),"cách tính lãi suất vay")</f>
        <v>cách tính lãi suất vay</v>
      </c>
      <c r="BP58" s="34" t="str">
        <f>IFERROR(__xludf.DUMMYFUNCTION("""COMPUTED_VALUE"""),"https://techcombank.com/thong-tin/blog/thu-tuc-mua-xe-tra-gop")</f>
        <v>https://techcombank.com/thong-tin/blog/thu-tuc-mua-xe-tra-gop</v>
      </c>
      <c r="BQ58" s="30" t="str">
        <f>IFERROR(__xludf.DUMMYFUNCTION("""COMPUTED_VALUE"""),"cách tính lãi suất vay")</f>
        <v>cách tính lãi suất vay</v>
      </c>
      <c r="BR58" s="34" t="str">
        <f>IFERROR(__xludf.DUMMYFUNCTION("""COMPUTED_VALUE"""),"https://techcombank.com/thong-tin/blog/vay-100-trieu")</f>
        <v>https://techcombank.com/thong-tin/blog/vay-100-trieu</v>
      </c>
      <c r="BS58" s="30" t="str">
        <f>IFERROR(__xludf.DUMMYFUNCTION("""COMPUTED_VALUE"""),"cách tính lãi suất vay")</f>
        <v>cách tính lãi suất vay</v>
      </c>
      <c r="BT58" s="34" t="str">
        <f>IFERROR(__xludf.DUMMYFUNCTION("""COMPUTED_VALUE"""),"https://techcombank.com/thong-tin/blog/tra-gop-hoc-phi")</f>
        <v>https://techcombank.com/thong-tin/blog/tra-gop-hoc-phi</v>
      </c>
      <c r="BU58" s="30" t="str">
        <f>IFERROR(__xludf.DUMMYFUNCTION("""COMPUTED_VALUE"""),"cách tính lãi suất vay")</f>
        <v>cách tính lãi suất vay</v>
      </c>
      <c r="BV58" s="34" t="str">
        <f>IFERROR(__xludf.DUMMYFUNCTION("""COMPUTED_VALUE"""),"https://techcombank.com/thong-tin/blog/lai-suat-la-gi")</f>
        <v>https://techcombank.com/thong-tin/blog/lai-suat-la-gi</v>
      </c>
      <c r="BW58" s="30" t="str">
        <f>IFERROR(__xludf.DUMMYFUNCTION("""COMPUTED_VALUE"""),"cách tính lãi suất vay")</f>
        <v>cách tính lãi suất vay</v>
      </c>
      <c r="BX58" s="34" t="str">
        <f>IFERROR(__xludf.DUMMYFUNCTION("""COMPUTED_VALUE"""),"https://techcombank.com/thong-tin/blog/tra-gop-lazada")</f>
        <v>https://techcombank.com/thong-tin/blog/tra-gop-lazada</v>
      </c>
      <c r="BY58" s="30" t="str">
        <f>IFERROR(__xludf.DUMMYFUNCTION("""COMPUTED_VALUE"""),"cách tính lãi suất vay ngân hàng")</f>
        <v>cách tính lãi suất vay ngân hàng</v>
      </c>
      <c r="BZ58" s="34" t="str">
        <f>IFERROR(__xludf.DUMMYFUNCTION("""COMPUTED_VALUE"""),"https://techcombank.com/thong-tin/blog/lai-suat-vay-the-chap-so-do")</f>
        <v>https://techcombank.com/thong-tin/blog/lai-suat-vay-the-chap-so-do</v>
      </c>
      <c r="CA58" s="30" t="str">
        <f>IFERROR(__xludf.DUMMYFUNCTION("""COMPUTED_VALUE"""),"cách tính lãi suất vay ngân hàng")</f>
        <v>cách tính lãi suất vay ngân hàng</v>
      </c>
      <c r="CB58" s="34" t="str">
        <f>IFERROR(__xludf.DUMMYFUNCTION("""COMPUTED_VALUE"""),"https://techcombank.com/thong-tin/blog/nen-mua-xe-tra-gop-hay-tra-thang")</f>
        <v>https://techcombank.com/thong-tin/blog/nen-mua-xe-tra-gop-hay-tra-thang</v>
      </c>
      <c r="CC58" s="30" t="str">
        <f>IFERROR(__xludf.DUMMYFUNCTION("""COMPUTED_VALUE"""),"cách tính lãi suất vay")</f>
        <v>cách tính lãi suất vay</v>
      </c>
      <c r="CD58" s="34" t="str">
        <f>IFERROR(__xludf.DUMMYFUNCTION("""COMPUTED_VALUE"""),"https://techcombank.com/thong-tin/blog/vay-15-trieu")</f>
        <v>https://techcombank.com/thong-tin/blog/vay-15-trieu</v>
      </c>
      <c r="CE58" s="30" t="str">
        <f>IFERROR(__xludf.DUMMYFUNCTION("""COMPUTED_VALUE"""),"cách tính lãi suất vay ngân hàng")</f>
        <v>cách tính lãi suất vay ngân hàng</v>
      </c>
      <c r="CF58" s="34" t="str">
        <f>IFERROR(__xludf.DUMMYFUNCTION("""COMPUTED_VALUE"""),"https://techcombank.com/thong-tin/blog/sao-ke-the-tin-dung-la-gi")</f>
        <v>https://techcombank.com/thong-tin/blog/sao-ke-the-tin-dung-la-gi</v>
      </c>
      <c r="CG58" s="30" t="str">
        <f>IFERROR(__xludf.DUMMYFUNCTION("""COMPUTED_VALUE"""),"cách tính lãi suất vay ngân hàng")</f>
        <v>cách tính lãi suất vay ngân hàng</v>
      </c>
      <c r="CH58" s="34" t="str">
        <f>IFERROR(__xludf.DUMMYFUNCTION("""COMPUTED_VALUE"""),"https://techcombank.com/thong-tin/blog/lai-suat-vay-tieu-dung")</f>
        <v>https://techcombank.com/thong-tin/blog/lai-suat-vay-tieu-dung</v>
      </c>
      <c r="CI58" s="30" t="str">
        <f>IFERROR(__xludf.DUMMYFUNCTION("""COMPUTED_VALUE"""),"cách tính lãi suất vay")</f>
        <v>cách tính lãi suất vay</v>
      </c>
      <c r="CJ58" s="34" t="str">
        <f>IFERROR(__xludf.DUMMYFUNCTION("""COMPUTED_VALUE"""),"https://techcombank.com/thong-tin/blog/lam-ho-so-tra-gop-dien-thoai")</f>
        <v>https://techcombank.com/thong-tin/blog/lam-ho-so-tra-gop-dien-thoai</v>
      </c>
      <c r="CK58" s="30" t="str">
        <f>IFERROR(__xludf.DUMMYFUNCTION("""COMPUTED_VALUE"""),"cách tính lãi suất vay")</f>
        <v>cách tính lãi suất vay</v>
      </c>
      <c r="CL58" s="34" t="str">
        <f>IFERROR(__xludf.DUMMYFUNCTION("""COMPUTED_VALUE"""),"https://techcombank.com/thong-tin/blog/vay-30-trieu")</f>
        <v>https://techcombank.com/thong-tin/blog/vay-30-trieu</v>
      </c>
      <c r="CM58" s="30" t="str">
        <f>IFERROR(__xludf.DUMMYFUNCTION("""COMPUTED_VALUE"""),"cách tính lãi suất vay ngân hàng")</f>
        <v>cách tính lãi suất vay ngân hàng</v>
      </c>
      <c r="CN58" s="34" t="str">
        <f>IFERROR(__xludf.DUMMYFUNCTION("""COMPUTED_VALUE"""),"https://techcombank.com/thong-tin/blog/thu-tuc-vay-von-ngan-hang-de-xay-nha")</f>
        <v>https://techcombank.com/thong-tin/blog/thu-tuc-vay-von-ngan-hang-de-xay-nha</v>
      </c>
      <c r="CO58" s="30" t="str">
        <f>IFERROR(__xludf.DUMMYFUNCTION("""COMPUTED_VALUE"""),"cách tính lãi suất vay")</f>
        <v>cách tính lãi suất vay</v>
      </c>
      <c r="CP58" s="34" t="str">
        <f>IFERROR(__xludf.DUMMYFUNCTION("""COMPUTED_VALUE"""),"https://techcombank.com/thong-tin/blog/lai-suat-ngan-hang-cho-vay-xay-nha")</f>
        <v>https://techcombank.com/thong-tin/blog/lai-suat-ngan-hang-cho-vay-xay-nha</v>
      </c>
      <c r="CQ58" s="30" t="str">
        <f>IFERROR(__xludf.DUMMYFUNCTION("""COMPUTED_VALUE"""),"cách tính lãi suất vay")</f>
        <v>cách tính lãi suất vay</v>
      </c>
      <c r="CR58" s="34" t="str">
        <f>IFERROR(__xludf.DUMMYFUNCTION("""COMPUTED_VALUE"""),"https://techcombank.com/thong-tin/blog/dieu-kien-vay-von-ngan-hang")</f>
        <v>https://techcombank.com/thong-tin/blog/dieu-kien-vay-von-ngan-hang</v>
      </c>
      <c r="CS58" s="30" t="str">
        <f>IFERROR(__xludf.DUMMYFUNCTION("""COMPUTED_VALUE"""),"cách tính lãi suất vay")</f>
        <v>cách tính lãi suất vay</v>
      </c>
      <c r="CT58" s="34" t="str">
        <f>IFERROR(__xludf.DUMMYFUNCTION("""COMPUTED_VALUE"""),"https://techcombank.com/thong-tin/blog/vay-mua-nha-o-xa-hoi")</f>
        <v>https://techcombank.com/thong-tin/blog/vay-mua-nha-o-xa-hoi</v>
      </c>
      <c r="CU58" s="30" t="str">
        <f>IFERROR(__xludf.DUMMYFUNCTION("""COMPUTED_VALUE"""),"cách tính lãi suất vay")</f>
        <v>cách tính lãi suất vay</v>
      </c>
      <c r="CV58" s="34" t="str">
        <f>IFERROR(__xludf.DUMMYFUNCTION("""COMPUTED_VALUE"""),"https://techcombank.com/thong-tin/blog/vay-200-trieu")</f>
        <v>https://techcombank.com/thong-tin/blog/vay-200-trieu</v>
      </c>
      <c r="CW58" s="30" t="str">
        <f>IFERROR(__xludf.DUMMYFUNCTION("""COMPUTED_VALUE"""),"cách tính lãi suất vay ngân hàng")</f>
        <v>cách tính lãi suất vay ngân hàng</v>
      </c>
      <c r="CX58" s="34" t="str">
        <f>IFERROR(__xludf.DUMMYFUNCTION("""COMPUTED_VALUE"""),"https://techcombank.com/thong-tin/blog/kinh-nghiem-vay-tien-ngan-hang-xay-nha")</f>
        <v>https://techcombank.com/thong-tin/blog/kinh-nghiem-vay-tien-ngan-hang-xay-nha</v>
      </c>
      <c r="CY58" s="30" t="str">
        <f>IFERROR(__xludf.DUMMYFUNCTION("""COMPUTED_VALUE"""),"cách tính lãi suất vay")</f>
        <v>cách tính lãi suất vay</v>
      </c>
      <c r="CZ58" s="34" t="str">
        <f>IFERROR(__xludf.DUMMYFUNCTION("""COMPUTED_VALUE"""),"https://techcombank.com/thong-tin/blog/vay-tin-chap-theo-luong")</f>
        <v>https://techcombank.com/thong-tin/blog/vay-tin-chap-theo-luong</v>
      </c>
      <c r="DA58" s="30" t="str">
        <f>IFERROR(__xludf.DUMMYFUNCTION("""COMPUTED_VALUE"""),"cách tính lãi suất vay ngân hàng")</f>
        <v>cách tính lãi suất vay ngân hàng</v>
      </c>
      <c r="DB58" s="34" t="str">
        <f>IFERROR(__xludf.DUMMYFUNCTION("""COMPUTED_VALUE"""),"https://techcombank.com/thong-tin/blog/tra-gop-qua-the-tin-dung")</f>
        <v>https://techcombank.com/thong-tin/blog/tra-gop-qua-the-tin-dung</v>
      </c>
      <c r="DC58" s="30" t="str">
        <f>IFERROR(__xludf.DUMMYFUNCTION("""COMPUTED_VALUE"""),"cách tính lãi suất vay")</f>
        <v>cách tính lãi suất vay</v>
      </c>
      <c r="DD58" s="34" t="str">
        <f>IFERROR(__xludf.DUMMYFUNCTION("""COMPUTED_VALUE"""),"https://techcombank.com/thong-tin/blog/lai-suat-vay-tin-chap")</f>
        <v>https://techcombank.com/thong-tin/blog/lai-suat-vay-tin-chap</v>
      </c>
      <c r="DE58" s="30" t="str">
        <f>IFERROR(__xludf.DUMMYFUNCTION("""COMPUTED_VALUE"""),"cách tính lãi suất vay")</f>
        <v>cách tính lãi suất vay</v>
      </c>
      <c r="DF58" s="34" t="str">
        <f>IFERROR(__xludf.DUMMYFUNCTION("""COMPUTED_VALUE"""),"https://techcombank.com/thong-tin/blog/lai-suat-vay-ngan-hang")</f>
        <v>https://techcombank.com/thong-tin/blog/lai-suat-vay-ngan-hang</v>
      </c>
      <c r="DG58" s="30" t="str">
        <f>IFERROR(__xludf.DUMMYFUNCTION("""COMPUTED_VALUE"""),"cách tính lãi suất vay")</f>
        <v>cách tính lãi suất vay</v>
      </c>
      <c r="DH58" s="34" t="str">
        <f>IFERROR(__xludf.DUMMYFUNCTION("""COMPUTED_VALUE"""),"https://techcombank.com/thong-tin/blog/du-no-tin-dung-la-gi")</f>
        <v>https://techcombank.com/thong-tin/blog/du-no-tin-dung-la-gi</v>
      </c>
      <c r="DI58" s="30"/>
      <c r="DJ58" s="30"/>
      <c r="DK58" s="30"/>
      <c r="DL58" s="30"/>
      <c r="DM58" s="30"/>
      <c r="DN58" s="30"/>
      <c r="DO58" s="30"/>
      <c r="DP58" s="30"/>
      <c r="DQ58" s="30"/>
      <c r="DR58" s="30"/>
      <c r="DS58" s="30"/>
      <c r="DT58" s="30"/>
      <c r="DU58" s="30"/>
      <c r="DV58" s="30"/>
      <c r="DW58" s="30"/>
      <c r="DX58" s="30"/>
      <c r="DY58" s="30"/>
      <c r="DZ58" s="30"/>
      <c r="EA58" s="30"/>
      <c r="EB58" s="30"/>
      <c r="EC58" s="30"/>
      <c r="ED58" s="30"/>
      <c r="EE58" s="30"/>
      <c r="EF58" s="30"/>
      <c r="EG58" s="30"/>
      <c r="EH58" s="30"/>
      <c r="EI58" s="30"/>
      <c r="EJ58" s="30"/>
      <c r="EK58" s="30"/>
      <c r="EL58" s="30"/>
      <c r="EM58" s="30"/>
      <c r="EN58" s="30"/>
      <c r="EO58" s="30"/>
      <c r="EP58" s="30"/>
      <c r="EQ58" s="30"/>
      <c r="ER58" s="30"/>
      <c r="ES58" s="30"/>
      <c r="ET58" s="30"/>
      <c r="EU58" s="30"/>
      <c r="EV58" s="30"/>
      <c r="EW58" s="30"/>
      <c r="EX58" s="30"/>
      <c r="EY58" s="30"/>
      <c r="EZ58" s="30"/>
      <c r="FA58" s="30"/>
      <c r="FB58" s="30"/>
      <c r="FC58" s="30"/>
      <c r="FD58" s="30"/>
      <c r="FE58" s="30"/>
      <c r="FF58" s="30"/>
      <c r="FG58" s="30"/>
      <c r="FH58" s="30"/>
      <c r="FI58" s="30"/>
      <c r="FJ58" s="30"/>
      <c r="FK58" s="30"/>
      <c r="FL58" s="30"/>
      <c r="FM58" s="30"/>
      <c r="FN58" s="30"/>
      <c r="FO58" s="30"/>
      <c r="FP58" s="30"/>
      <c r="FQ58" s="30"/>
      <c r="FR58" s="30"/>
      <c r="FS58" s="30"/>
      <c r="FT58" s="30"/>
      <c r="FU58" s="30"/>
      <c r="FV58" s="30"/>
      <c r="FW58" s="30"/>
      <c r="FX58" s="30"/>
      <c r="FY58" s="30"/>
      <c r="FZ58" s="30"/>
      <c r="GA58" s="30"/>
      <c r="GB58" s="30"/>
      <c r="GC58" s="30"/>
      <c r="GD58" s="30"/>
      <c r="GE58" s="30"/>
      <c r="GF58" s="30"/>
      <c r="GG58" s="30"/>
      <c r="GH58" s="30"/>
      <c r="GI58" s="30"/>
      <c r="GJ58" s="30"/>
      <c r="GK58" s="30"/>
      <c r="GL58" s="30"/>
      <c r="GM58" s="30"/>
      <c r="GN58" s="30"/>
      <c r="GO58" s="30"/>
      <c r="GP58" s="30"/>
      <c r="GQ58" s="30"/>
      <c r="GR58" s="30"/>
      <c r="GS58" s="30"/>
      <c r="GT58" s="30"/>
      <c r="GU58" s="30"/>
      <c r="GV58" s="30"/>
      <c r="GW58" s="30"/>
      <c r="GX58" s="30"/>
      <c r="GY58" s="30"/>
      <c r="GZ58" s="30"/>
      <c r="HA58" s="30"/>
      <c r="HB58" s="30"/>
      <c r="HC58" s="30"/>
      <c r="HD58" s="30"/>
      <c r="HE58" s="30"/>
      <c r="HF58" s="30"/>
      <c r="HG58" s="30"/>
      <c r="HH58" s="30"/>
      <c r="HI58" s="30"/>
      <c r="HJ58" s="30"/>
      <c r="HK58" s="30"/>
      <c r="HL58" s="30"/>
      <c r="HM58" s="30"/>
      <c r="HN58" s="30"/>
      <c r="HO58" s="30"/>
      <c r="HP58" s="30"/>
      <c r="HQ58" s="30"/>
      <c r="HR58" s="30"/>
      <c r="HS58" s="30"/>
      <c r="HT58" s="30"/>
      <c r="HU58" s="30"/>
      <c r="HV58" s="30"/>
      <c r="HW58" s="30"/>
      <c r="HX58" s="30"/>
      <c r="HY58" s="30"/>
      <c r="HZ58" s="30"/>
      <c r="IA58" s="30"/>
      <c r="IB58" s="30"/>
      <c r="IC58" s="30"/>
      <c r="ID58" s="30"/>
      <c r="IE58" s="30"/>
      <c r="IF58" s="30"/>
      <c r="IG58" s="30"/>
      <c r="IH58" s="30"/>
      <c r="II58" s="30"/>
      <c r="IJ58" s="30"/>
      <c r="IK58" s="30"/>
      <c r="IL58" s="30"/>
      <c r="IM58" s="30"/>
      <c r="IN58" s="30"/>
      <c r="IO58" s="30"/>
      <c r="IP58" s="30"/>
      <c r="IQ58" s="30"/>
      <c r="IR58" s="30"/>
      <c r="IS58" s="30"/>
      <c r="IT58" s="30"/>
      <c r="IU58" s="30"/>
      <c r="IV58" s="30"/>
      <c r="IW58" s="30"/>
      <c r="IX58" s="30"/>
      <c r="IY58" s="30"/>
      <c r="IZ58" s="30"/>
      <c r="JA58" s="30"/>
      <c r="JB58" s="30"/>
      <c r="JC58" s="30"/>
      <c r="JD58" s="30"/>
      <c r="JE58" s="30"/>
      <c r="JF58" s="30"/>
      <c r="JG58" s="30"/>
      <c r="JH58" s="30"/>
      <c r="JI58" s="30"/>
      <c r="JJ58" s="30"/>
      <c r="JK58" s="30"/>
      <c r="JL58" s="30"/>
      <c r="JM58" s="30"/>
      <c r="JN58" s="30"/>
      <c r="JO58" s="30"/>
      <c r="JP58" s="30"/>
      <c r="JQ58" s="30"/>
      <c r="JR58" s="30"/>
      <c r="JS58" s="30"/>
      <c r="JT58" s="30"/>
      <c r="JU58" s="30"/>
      <c r="JV58" s="30"/>
      <c r="JW58" s="30"/>
      <c r="JX58" s="30"/>
      <c r="JY58" s="30"/>
      <c r="JZ58" s="30"/>
      <c r="KA58" s="30"/>
      <c r="KB58" s="30"/>
      <c r="KC58" s="30"/>
      <c r="KD58" s="30"/>
      <c r="KE58" s="30"/>
      <c r="KF58" s="30"/>
      <c r="KG58" s="30"/>
      <c r="KH58" s="30"/>
      <c r="KI58" s="30"/>
      <c r="KJ58" s="30"/>
      <c r="KK58" s="30"/>
      <c r="KL58" s="30"/>
      <c r="KM58" s="30"/>
      <c r="KN58" s="30"/>
      <c r="KO58" s="30"/>
      <c r="KP58" s="30"/>
      <c r="KQ58" s="30"/>
      <c r="KR58" s="30"/>
      <c r="KS58" s="30"/>
      <c r="KT58" s="30"/>
      <c r="KU58" s="30"/>
      <c r="KV58" s="30"/>
      <c r="KW58" s="30"/>
      <c r="KX58" s="30"/>
      <c r="KY58" s="30"/>
      <c r="KZ58" s="30"/>
      <c r="LA58" s="30"/>
      <c r="LB58" s="30"/>
      <c r="LC58" s="30"/>
      <c r="LD58" s="30"/>
      <c r="LE58" s="30"/>
      <c r="LF58" s="30"/>
      <c r="LG58" s="30"/>
      <c r="LH58" s="30"/>
      <c r="LI58" s="30"/>
      <c r="LJ58" s="30"/>
      <c r="LK58" s="30"/>
      <c r="LL58" s="30"/>
      <c r="LM58" s="30"/>
      <c r="LN58" s="30"/>
      <c r="LO58" s="30"/>
      <c r="LP58" s="30"/>
      <c r="LQ58" s="30"/>
      <c r="LR58" s="30"/>
      <c r="LS58" s="30"/>
      <c r="LT58" s="30"/>
      <c r="LU58" s="30"/>
      <c r="LV58" s="30"/>
      <c r="LW58" s="30"/>
      <c r="LX58" s="30"/>
      <c r="LY58" s="30"/>
      <c r="LZ58" s="30"/>
      <c r="MA58" s="30"/>
      <c r="MB58" s="30"/>
      <c r="MC58" s="30"/>
      <c r="MD58" s="30"/>
      <c r="ME58" s="30"/>
      <c r="MF58" s="30"/>
      <c r="MG58" s="30"/>
      <c r="MH58" s="30"/>
      <c r="MI58" s="30"/>
      <c r="MJ58" s="30"/>
      <c r="MK58" s="30"/>
      <c r="ML58" s="30"/>
      <c r="MM58" s="30"/>
      <c r="MN58" s="30"/>
      <c r="MO58" s="30"/>
      <c r="MP58" s="30"/>
      <c r="MQ58" s="30"/>
      <c r="MR58" s="30"/>
      <c r="MS58" s="30"/>
      <c r="MT58" s="30"/>
      <c r="MU58" s="30"/>
      <c r="MV58" s="30"/>
      <c r="MW58" s="30"/>
      <c r="MX58" s="30"/>
      <c r="MY58" s="30"/>
      <c r="MZ58" s="30"/>
      <c r="NA58" s="30"/>
      <c r="NB58" s="30"/>
      <c r="NC58" s="30"/>
      <c r="ND58" s="30"/>
      <c r="NE58" s="30"/>
      <c r="NF58" s="30"/>
      <c r="NG58" s="30"/>
      <c r="NH58" s="30"/>
      <c r="NI58" s="30"/>
      <c r="NJ58" s="30"/>
      <c r="NK58" s="30"/>
      <c r="NL58" s="30"/>
      <c r="NM58" s="30"/>
      <c r="NN58" s="30"/>
      <c r="NO58" s="30"/>
      <c r="NP58" s="30"/>
      <c r="NQ58" s="30"/>
      <c r="NR58" s="30"/>
      <c r="NS58" s="30"/>
      <c r="NT58" s="30"/>
      <c r="NU58" s="30"/>
      <c r="NV58" s="30"/>
      <c r="NW58" s="30"/>
      <c r="NX58" s="30"/>
      <c r="NY58" s="30"/>
      <c r="NZ58" s="30"/>
      <c r="OA58" s="30"/>
      <c r="OB58" s="30"/>
      <c r="OC58" s="30"/>
      <c r="OD58" s="30"/>
      <c r="OE58" s="30"/>
      <c r="OF58" s="30"/>
      <c r="OG58" s="30"/>
      <c r="OH58" s="30"/>
      <c r="OI58" s="30"/>
      <c r="OJ58" s="30"/>
      <c r="OK58" s="30"/>
      <c r="OL58" s="30"/>
      <c r="OM58" s="30"/>
      <c r="ON58" s="30"/>
      <c r="OO58" s="30"/>
      <c r="OP58" s="30"/>
      <c r="OQ58" s="30"/>
      <c r="OR58" s="30"/>
      <c r="OS58" s="30"/>
      <c r="OT58" s="30"/>
      <c r="OU58" s="30"/>
      <c r="OV58" s="30"/>
    </row>
    <row r="59" ht="18.0" customHeight="1">
      <c r="A59" s="29">
        <v>58.0</v>
      </c>
      <c r="B59" s="30" t="s">
        <v>5061</v>
      </c>
      <c r="C59" s="31" t="s">
        <v>4545</v>
      </c>
      <c r="D59" s="30" t="s">
        <v>68</v>
      </c>
      <c r="E59" s="29">
        <v>30.0</v>
      </c>
      <c r="F59" s="29">
        <f>COUNTIF('Tổng hợp 75 trang đích'!$B$2:$B$3400,$D59)</f>
        <v>30</v>
      </c>
      <c r="G59" s="29">
        <f>COUNTIFS('Tổng hợp 75 trang đích'!$B$2:$B$3400,$D59,'Tổng hợp 75 trang đích'!$K$2:$K$3400,"PHÙ HỢP CAO")</f>
        <v>4</v>
      </c>
      <c r="H59" s="29">
        <f>COUNTIFS('Tổng hợp 75 trang đích'!$B$2:$B$3400,$D59,'Tổng hợp 75 trang đích'!$K$2:$K$3400,"CÓ THỂ ĐI")</f>
        <v>2</v>
      </c>
      <c r="I59" s="29">
        <f>COUNTIFS('Tổng hợp 75 trang đích'!$B$2:$B$3400,$D59,'Tổng hợp 75 trang đích'!$K$2:$K$3400,"CẦN SOÁT")</f>
        <v>24</v>
      </c>
      <c r="J59" s="32" t="s">
        <v>714</v>
      </c>
      <c r="K59" s="32" t="b">
        <v>0</v>
      </c>
      <c r="L59" s="33" t="s">
        <v>52</v>
      </c>
      <c r="M59" s="30" t="str">
        <f>IFERROR(__xludf.DUMMYFUNCTION("IFERROR(TOROW(CHOOSECOLS(SORT(FILTER({'Tổng hợp 75 trang đích'!$J$2:$J$3400,'Tổng hợp 75 trang đích'!$I$2:$I$3400,MATCH('Tổng hợp 75 trang đích'!$K$2:$K$3400,{""PHÙ HỢP CAO"",""CÓ THỂ ĐI"",""CẦN SOÁT""},0)},'Tổng hợp 75 trang đích'!$B$2:$B$3400=$D59),3,TR"&amp;"UE),1,2)),"""")"),"vay thế chấp sổ đỏ")</f>
        <v>vay thế chấp sổ đỏ</v>
      </c>
      <c r="N59" s="34" t="str">
        <f>IFERROR(__xludf.DUMMYFUNCTION("""COMPUTED_VALUE"""),"https://techcombank.com/thong-tin/blog/han-muc-vay-the-chap-so-do")</f>
        <v>https://techcombank.com/thong-tin/blog/han-muc-vay-the-chap-so-do</v>
      </c>
      <c r="O59" s="30" t="str">
        <f>IFERROR(__xludf.DUMMYFUNCTION("""COMPUTED_VALUE"""),"lãi suất vay thế chấp sổ hồng")</f>
        <v>lãi suất vay thế chấp sổ hồng</v>
      </c>
      <c r="P59" s="34" t="str">
        <f>IFERROR(__xludf.DUMMYFUNCTION("""COMPUTED_VALUE"""),"https://techcombank.com/thong-tin/blog/vay-the-chap-so-hong")</f>
        <v>https://techcombank.com/thong-tin/blog/vay-the-chap-so-hong</v>
      </c>
      <c r="Q59" s="30" t="str">
        <f>IFERROR(__xludf.DUMMYFUNCTION("""COMPUTED_VALUE"""),"lãi suất vay thế chấp sổ đỏ")</f>
        <v>lãi suất vay thế chấp sổ đỏ</v>
      </c>
      <c r="R59" s="34" t="str">
        <f>IFERROR(__xludf.DUMMYFUNCTION("""COMPUTED_VALUE"""),"https://techcombank.com/thong-tin/blog/kinh-nghiem-vay-the-chap-ngan-hang")</f>
        <v>https://techcombank.com/thong-tin/blog/kinh-nghiem-vay-the-chap-ngan-hang</v>
      </c>
      <c r="S59" s="30" t="str">
        <f>IFERROR(__xludf.DUMMYFUNCTION("""COMPUTED_VALUE"""),"vay thế chấp sổ đỏ ngân hàng")</f>
        <v>vay thế chấp sổ đỏ ngân hàng</v>
      </c>
      <c r="T59" s="34" t="str">
        <f>IFERROR(__xludf.DUMMYFUNCTION("""COMPUTED_VALUE"""),"https://techcombank.com/thong-tin/blog/nen-vay-the-chap-ngan-hang-nao")</f>
        <v>https://techcombank.com/thong-tin/blog/nen-vay-the-chap-ngan-hang-nao</v>
      </c>
      <c r="U59" s="30" t="str">
        <f>IFERROR(__xludf.DUMMYFUNCTION("""COMPUTED_VALUE"""),"vay thế chấp sổ đỏ ngân hàng")</f>
        <v>vay thế chấp sổ đỏ ngân hàng</v>
      </c>
      <c r="V59" s="34" t="str">
        <f>IFERROR(__xludf.DUMMYFUNCTION("""COMPUTED_VALUE"""),"https://techcombank.com/thong-tin/blog/vay-the-chap-la-gi")</f>
        <v>https://techcombank.com/thong-tin/blog/vay-the-chap-la-gi</v>
      </c>
      <c r="W59" s="30" t="str">
        <f>IFERROR(__xludf.DUMMYFUNCTION("""COMPUTED_VALUE"""),"vay thế chấp sổ đỏ")</f>
        <v>vay thế chấp sổ đỏ</v>
      </c>
      <c r="X59" s="34" t="str">
        <f>IFERROR(__xludf.DUMMYFUNCTION("""COMPUTED_VALUE"""),"https://techcombank.com/thong-tin/blog/so-tai-khoan-ngan-hang")</f>
        <v>https://techcombank.com/thong-tin/blog/so-tai-khoan-ngan-hang</v>
      </c>
      <c r="Y59" s="30" t="str">
        <f>IFERROR(__xludf.DUMMYFUNCTION("""COMPUTED_VALUE"""),"lãi suất vay thế chấp sổ đỏ")</f>
        <v>lãi suất vay thế chấp sổ đỏ</v>
      </c>
      <c r="Z59" s="34" t="str">
        <f>IFERROR(__xludf.DUMMYFUNCTION("""COMPUTED_VALUE"""),"https://techcombank.com/thong-tin/blog/vay-von-doanh-nghiep-khong-the-chap")</f>
        <v>https://techcombank.com/thong-tin/blog/vay-von-doanh-nghiep-khong-the-chap</v>
      </c>
      <c r="AA59" s="30" t="str">
        <f>IFERROR(__xludf.DUMMYFUNCTION("""COMPUTED_VALUE"""),"lãi suất vay thế chấp sổ hồng")</f>
        <v>lãi suất vay thế chấp sổ hồng</v>
      </c>
      <c r="AB59" s="34" t="str">
        <f>IFERROR(__xludf.DUMMYFUNCTION("""COMPUTED_VALUE"""),"https://techcombank.com/thong-tin/blog/thu-tuc-vay-von-kinh-doanh-nho")</f>
        <v>https://techcombank.com/thong-tin/blog/thu-tuc-vay-von-kinh-doanh-nho</v>
      </c>
      <c r="AC59" s="30" t="str">
        <f>IFERROR(__xludf.DUMMYFUNCTION("""COMPUTED_VALUE"""),"lãi suất vay thế chấp sổ đỏ")</f>
        <v>lãi suất vay thế chấp sổ đỏ</v>
      </c>
      <c r="AD59" s="34" t="str">
        <f>IFERROR(__xludf.DUMMYFUNCTION("""COMPUTED_VALUE"""),"https://techcombank.com/thong-tin/blog/cac-hinh-thuc-vay-von-ngan-hang")</f>
        <v>https://techcombank.com/thong-tin/blog/cac-hinh-thuc-vay-von-ngan-hang</v>
      </c>
      <c r="AE59" s="30" t="str">
        <f>IFERROR(__xludf.DUMMYFUNCTION("""COMPUTED_VALUE"""),"vay thế chấp sổ đỏ ngân hàng")</f>
        <v>vay thế chấp sổ đỏ ngân hàng</v>
      </c>
      <c r="AF59" s="34" t="str">
        <f>IFERROR(__xludf.DUMMYFUNCTION("""COMPUTED_VALUE"""),"https://techcombank.com/thong-tin/blog/vay-san-xuat-kinh-doanh")</f>
        <v>https://techcombank.com/thong-tin/blog/vay-san-xuat-kinh-doanh</v>
      </c>
      <c r="AG59" s="30" t="str">
        <f>IFERROR(__xludf.DUMMYFUNCTION("""COMPUTED_VALUE"""),"lãi suất vay thế chấp sổ hồng")</f>
        <v>lãi suất vay thế chấp sổ hồng</v>
      </c>
      <c r="AH59" s="34" t="str">
        <f>IFERROR(__xludf.DUMMYFUNCTION("""COMPUTED_VALUE"""),"https://techcombank.com/thong-tin/blog/vay-the-chap-kinh-doanh")</f>
        <v>https://techcombank.com/thong-tin/blog/vay-the-chap-kinh-doanh</v>
      </c>
      <c r="AI59" s="30" t="str">
        <f>IFERROR(__xludf.DUMMYFUNCTION("""COMPUTED_VALUE"""),"vay thế chấp sổ đỏ ngân hàng")</f>
        <v>vay thế chấp sổ đỏ ngân hàng</v>
      </c>
      <c r="AJ59" s="34" t="str">
        <f>IFERROR(__xludf.DUMMYFUNCTION("""COMPUTED_VALUE"""),"https://techcombank.com/thong-tin/blog/vay-the-chap-khong-tra-duoc")</f>
        <v>https://techcombank.com/thong-tin/blog/vay-the-chap-khong-tra-duoc</v>
      </c>
      <c r="AK59" s="30" t="str">
        <f>IFERROR(__xludf.DUMMYFUNCTION("""COMPUTED_VALUE"""),"vay thế chấp sổ đỏ")</f>
        <v>vay thế chấp sổ đỏ</v>
      </c>
      <c r="AL59" s="34" t="str">
        <f>IFERROR(__xludf.DUMMYFUNCTION("""COMPUTED_VALUE"""),"https://techcombank.com/thong-tin/blog/vay-the-chap-so-bao-hiem-xa-hoi")</f>
        <v>https://techcombank.com/thong-tin/blog/vay-the-chap-so-bao-hiem-xa-hoi</v>
      </c>
      <c r="AM59" s="30" t="str">
        <f>IFERROR(__xludf.DUMMYFUNCTION("""COMPUTED_VALUE"""),"vay thế chấp sổ đỏ")</f>
        <v>vay thế chấp sổ đỏ</v>
      </c>
      <c r="AN59" s="34" t="str">
        <f>IFERROR(__xludf.DUMMYFUNCTION("""COMPUTED_VALUE"""),"https://techcombank.com/thong-tin/blog/rui-ro-khi-vay-the-chap-ngan-hang")</f>
        <v>https://techcombank.com/thong-tin/blog/rui-ro-khi-vay-the-chap-ngan-hang</v>
      </c>
      <c r="AO59" s="30" t="str">
        <f>IFERROR(__xludf.DUMMYFUNCTION("""COMPUTED_VALUE"""),"lãi suất vay thế chấp sổ đỏ")</f>
        <v>lãi suất vay thế chấp sổ đỏ</v>
      </c>
      <c r="AP59" s="34" t="str">
        <f>IFERROR(__xludf.DUMMYFUNCTION("""COMPUTED_VALUE"""),"https://techcombank.com/thong-tin/blog/vay-tin-chap-va-vay-the-chap")</f>
        <v>https://techcombank.com/thong-tin/blog/vay-tin-chap-va-vay-the-chap</v>
      </c>
      <c r="AQ59" s="30" t="str">
        <f>IFERROR(__xludf.DUMMYFUNCTION("""COMPUTED_VALUE"""),"lãi suất vay thế chấp sổ hồng")</f>
        <v>lãi suất vay thế chấp sổ hồng</v>
      </c>
      <c r="AR59" s="34" t="str">
        <f>IFERROR(__xludf.DUMMYFUNCTION("""COMPUTED_VALUE"""),"https://techcombank.com/thong-tin/blog/lai-suat-vay-the-chap")</f>
        <v>https://techcombank.com/thong-tin/blog/lai-suat-vay-the-chap</v>
      </c>
      <c r="AS59" s="30" t="str">
        <f>IFERROR(__xludf.DUMMYFUNCTION("""COMPUTED_VALUE"""),"lãi suất vay thế chấp sổ đỏ")</f>
        <v>lãi suất vay thế chấp sổ đỏ</v>
      </c>
      <c r="AT59" s="34" t="str">
        <f>IFERROR(__xludf.DUMMYFUNCTION("""COMPUTED_VALUE"""),"https://techcombank.com/thong-tin/blog/quy-trinh-tat-toan-khoan-vay-the-chap")</f>
        <v>https://techcombank.com/thong-tin/blog/quy-trinh-tat-toan-khoan-vay-the-chap</v>
      </c>
      <c r="AU59" s="30" t="str">
        <f>IFERROR(__xludf.DUMMYFUNCTION("""COMPUTED_VALUE"""),"lãi suất vay thế chấp sổ hồng")</f>
        <v>lãi suất vay thế chấp sổ hồng</v>
      </c>
      <c r="AV59" s="34" t="str">
        <f>IFERROR(__xludf.DUMMYFUNCTION("""COMPUTED_VALUE"""),"https://techcombank.com/thong-tin/blog/vay-the-chap-xe-o-to-cu")</f>
        <v>https://techcombank.com/thong-tin/blog/vay-the-chap-xe-o-to-cu</v>
      </c>
      <c r="AW59" s="30" t="str">
        <f>IFERROR(__xludf.DUMMYFUNCTION("""COMPUTED_VALUE"""),"vay thế chấp sổ đỏ ngân hàng")</f>
        <v>vay thế chấp sổ đỏ ngân hàng</v>
      </c>
      <c r="AX59" s="34" t="str">
        <f>IFERROR(__xludf.DUMMYFUNCTION("""COMPUTED_VALUE"""),"https://techcombank.com/thong-tin/blog/vay-the-chap-qua-luong")</f>
        <v>https://techcombank.com/thong-tin/blog/vay-the-chap-qua-luong</v>
      </c>
      <c r="AY59" s="30" t="str">
        <f>IFERROR(__xludf.DUMMYFUNCTION("""COMPUTED_VALUE"""),"vay thế chấp sổ đỏ")</f>
        <v>vay thế chấp sổ đỏ</v>
      </c>
      <c r="AZ59" s="34" t="str">
        <f>IFERROR(__xludf.DUMMYFUNCTION("""COMPUTED_VALUE"""),"https://techcombank.com/thong-tin/blog/ho-so-thu-tuc-xoa-the-chap")</f>
        <v>https://techcombank.com/thong-tin/blog/ho-so-thu-tuc-xoa-the-chap</v>
      </c>
      <c r="BA59" s="30" t="str">
        <f>IFERROR(__xludf.DUMMYFUNCTION("""COMPUTED_VALUE"""),"vay thế chấp sổ đỏ ngân hàng")</f>
        <v>vay thế chấp sổ đỏ ngân hàng</v>
      </c>
      <c r="BB59" s="34" t="str">
        <f>IFERROR(__xludf.DUMMYFUNCTION("""COMPUTED_VALUE"""),"https://techcombank.com/thong-tin/blog/nen-mua-xe-tra-gop-hay-tra-thang")</f>
        <v>https://techcombank.com/thong-tin/blog/nen-mua-xe-tra-gop-hay-tra-thang</v>
      </c>
      <c r="BC59" s="30" t="str">
        <f>IFERROR(__xludf.DUMMYFUNCTION("""COMPUTED_VALUE"""),"vay thế chấp sổ đỏ ngân hàng")</f>
        <v>vay thế chấp sổ đỏ ngân hàng</v>
      </c>
      <c r="BD59" s="34" t="str">
        <f>IFERROR(__xludf.DUMMYFUNCTION("""COMPUTED_VALUE"""),"https://techcombank.com/thong-tin/blog/giai-ngan-vay-the-chap")</f>
        <v>https://techcombank.com/thong-tin/blog/giai-ngan-vay-the-chap</v>
      </c>
      <c r="BE59" s="30" t="str">
        <f>IFERROR(__xludf.DUMMYFUNCTION("""COMPUTED_VALUE"""),"vay thế chấp sổ đỏ ngân hàng")</f>
        <v>vay thế chấp sổ đỏ ngân hàng</v>
      </c>
      <c r="BF59" s="34" t="str">
        <f>IFERROR(__xludf.DUMMYFUNCTION("""COMPUTED_VALUE"""),"https://techcombank.com/thong-tin/blog/no-xau-co-vay-the-chap-duoc-khong")</f>
        <v>https://techcombank.com/thong-tin/blog/no-xau-co-vay-the-chap-duoc-khong</v>
      </c>
      <c r="BG59" s="30" t="str">
        <f>IFERROR(__xludf.DUMMYFUNCTION("""COMPUTED_VALUE"""),"lãi suất vay thế chấp sổ đỏ")</f>
        <v>lãi suất vay thế chấp sổ đỏ</v>
      </c>
      <c r="BH59" s="34" t="str">
        <f>IFERROR(__xludf.DUMMYFUNCTION("""COMPUTED_VALUE"""),"https://techcombank.com/thong-tin/blog/phi-vay-the-chap")</f>
        <v>https://techcombank.com/thong-tin/blog/phi-vay-the-chap</v>
      </c>
      <c r="BI59" s="30" t="str">
        <f>IFERROR(__xludf.DUMMYFUNCTION("""COMPUTED_VALUE"""),"lãi suất vay thế chấp sổ hồng")</f>
        <v>lãi suất vay thế chấp sổ hồng</v>
      </c>
      <c r="BJ59" s="34" t="str">
        <f>IFERROR(__xludf.DUMMYFUNCTION("""COMPUTED_VALUE"""),"https://techcombank.com/thong-tin/blog/cac-hinh-thuc-cho-vay-tieu-dung")</f>
        <v>https://techcombank.com/thong-tin/blog/cac-hinh-thuc-cho-vay-tieu-dung</v>
      </c>
      <c r="BK59" s="30" t="str">
        <f>IFERROR(__xludf.DUMMYFUNCTION("""COMPUTED_VALUE"""),"vay thế chấp sổ đỏ")</f>
        <v>vay thế chấp sổ đỏ</v>
      </c>
      <c r="BL59" s="34" t="str">
        <f>IFERROR(__xludf.DUMMYFUNCTION("""COMPUTED_VALUE"""),"https://techcombank.com/thong-tin/blog/vay-the-chap-toi-da-duoc-bao-nhieu")</f>
        <v>https://techcombank.com/thong-tin/blog/vay-the-chap-toi-da-duoc-bao-nhieu</v>
      </c>
      <c r="BM59" s="30" t="str">
        <f>IFERROR(__xludf.DUMMYFUNCTION("""COMPUTED_VALUE"""),"lãi suất vay thế chấp sổ đỏ")</f>
        <v>lãi suất vay thế chấp sổ đỏ</v>
      </c>
      <c r="BN59" s="34" t="str">
        <f>IFERROR(__xludf.DUMMYFUNCTION("""COMPUTED_VALUE"""),"https://techcombank.com/thong-tin/blog/dieu-kien-vay-the-chap")</f>
        <v>https://techcombank.com/thong-tin/blog/dieu-kien-vay-the-chap</v>
      </c>
      <c r="BO59" s="30" t="str">
        <f>IFERROR(__xludf.DUMMYFUNCTION("""COMPUTED_VALUE"""),"lãi suất vay thế chấp sổ hồng")</f>
        <v>lãi suất vay thế chấp sổ hồng</v>
      </c>
      <c r="BP59" s="34" t="str">
        <f>IFERROR(__xludf.DUMMYFUNCTION("""COMPUTED_VALUE"""),"https://techcombank.com/thong-tin/blog/lai-suat-vay-mua-o-to")</f>
        <v>https://techcombank.com/thong-tin/blog/lai-suat-vay-mua-o-to</v>
      </c>
      <c r="BQ59" s="30" t="str">
        <f>IFERROR(__xludf.DUMMYFUNCTION("""COMPUTED_VALUE"""),"lãi suất vay thế chấp sổ đỏ")</f>
        <v>lãi suất vay thế chấp sổ đỏ</v>
      </c>
      <c r="BR59" s="34" t="str">
        <f>IFERROR(__xludf.DUMMYFUNCTION("""COMPUTED_VALUE"""),"https://techcombank.com/thong-tin/blog/the-chap-la-gi")</f>
        <v>https://techcombank.com/thong-tin/blog/the-chap-la-gi</v>
      </c>
      <c r="BS59" s="30" t="str">
        <f>IFERROR(__xludf.DUMMYFUNCTION("""COMPUTED_VALUE"""),"vay thế chấp sổ đỏ ngân hàng")</f>
        <v>vay thế chấp sổ đỏ ngân hàng</v>
      </c>
      <c r="BT59" s="34" t="str">
        <f>IFERROR(__xludf.DUMMYFUNCTION("""COMPUTED_VALUE"""),"https://techcombank.com/thong-tin/blog/vay-the-chap-khong-chung-minh-thu-nhap")</f>
        <v>https://techcombank.com/thong-tin/blog/vay-the-chap-khong-chung-minh-thu-nhap</v>
      </c>
      <c r="BU59" s="30"/>
      <c r="BV59" s="30"/>
      <c r="BW59" s="30"/>
      <c r="BX59" s="30"/>
      <c r="BY59" s="30"/>
      <c r="BZ59" s="30"/>
      <c r="CA59" s="30"/>
      <c r="CB59" s="30"/>
      <c r="CC59" s="30"/>
      <c r="CD59" s="30"/>
      <c r="CE59" s="30"/>
      <c r="CF59" s="30"/>
      <c r="CG59" s="30"/>
      <c r="CH59" s="30"/>
      <c r="CI59" s="30"/>
      <c r="CJ59" s="30"/>
      <c r="CK59" s="30"/>
      <c r="CL59" s="30"/>
      <c r="CM59" s="30"/>
      <c r="CN59" s="30"/>
      <c r="CO59" s="30"/>
      <c r="CP59" s="30"/>
      <c r="CQ59" s="30"/>
      <c r="CR59" s="30"/>
      <c r="CS59" s="30"/>
      <c r="CT59" s="30"/>
      <c r="CU59" s="30"/>
      <c r="CV59" s="30"/>
      <c r="CW59" s="30"/>
      <c r="CX59" s="30"/>
      <c r="CY59" s="30"/>
      <c r="CZ59" s="30"/>
      <c r="DA59" s="30"/>
      <c r="DB59" s="30"/>
      <c r="DC59" s="30"/>
      <c r="DD59" s="30"/>
      <c r="DE59" s="30"/>
      <c r="DF59" s="30"/>
      <c r="DG59" s="30"/>
      <c r="DH59" s="30"/>
      <c r="DI59" s="30"/>
      <c r="DJ59" s="30"/>
      <c r="DK59" s="30"/>
      <c r="DL59" s="30"/>
      <c r="DM59" s="30"/>
      <c r="DN59" s="30"/>
      <c r="DO59" s="30"/>
      <c r="DP59" s="30"/>
      <c r="DQ59" s="30"/>
      <c r="DR59" s="30"/>
      <c r="DS59" s="30"/>
      <c r="DT59" s="30"/>
      <c r="DU59" s="30"/>
      <c r="DV59" s="30"/>
      <c r="DW59" s="30"/>
      <c r="DX59" s="30"/>
      <c r="DY59" s="30"/>
      <c r="DZ59" s="30"/>
      <c r="EA59" s="30"/>
      <c r="EB59" s="30"/>
      <c r="EC59" s="30"/>
      <c r="ED59" s="30"/>
      <c r="EE59" s="30"/>
      <c r="EF59" s="30"/>
      <c r="EG59" s="30"/>
      <c r="EH59" s="30"/>
      <c r="EI59" s="30"/>
      <c r="EJ59" s="30"/>
      <c r="EK59" s="30"/>
      <c r="EL59" s="30"/>
      <c r="EM59" s="30"/>
      <c r="EN59" s="30"/>
      <c r="EO59" s="30"/>
      <c r="EP59" s="30"/>
      <c r="EQ59" s="30"/>
      <c r="ER59" s="30"/>
      <c r="ES59" s="30"/>
      <c r="ET59" s="30"/>
      <c r="EU59" s="30"/>
      <c r="EV59" s="30"/>
      <c r="EW59" s="30"/>
      <c r="EX59" s="30"/>
      <c r="EY59" s="30"/>
      <c r="EZ59" s="30"/>
      <c r="FA59" s="30"/>
      <c r="FB59" s="30"/>
      <c r="FC59" s="30"/>
      <c r="FD59" s="30"/>
      <c r="FE59" s="30"/>
      <c r="FF59" s="30"/>
      <c r="FG59" s="30"/>
      <c r="FH59" s="30"/>
      <c r="FI59" s="30"/>
      <c r="FJ59" s="30"/>
      <c r="FK59" s="30"/>
      <c r="FL59" s="30"/>
      <c r="FM59" s="30"/>
      <c r="FN59" s="30"/>
      <c r="FO59" s="30"/>
      <c r="FP59" s="30"/>
      <c r="FQ59" s="30"/>
      <c r="FR59" s="30"/>
      <c r="FS59" s="30"/>
      <c r="FT59" s="30"/>
      <c r="FU59" s="30"/>
      <c r="FV59" s="30"/>
      <c r="FW59" s="30"/>
      <c r="FX59" s="30"/>
      <c r="FY59" s="30"/>
      <c r="FZ59" s="30"/>
      <c r="GA59" s="30"/>
      <c r="GB59" s="30"/>
      <c r="GC59" s="30"/>
      <c r="GD59" s="30"/>
      <c r="GE59" s="30"/>
      <c r="GF59" s="30"/>
      <c r="GG59" s="30"/>
      <c r="GH59" s="30"/>
      <c r="GI59" s="30"/>
      <c r="GJ59" s="30"/>
      <c r="GK59" s="30"/>
      <c r="GL59" s="30"/>
      <c r="GM59" s="30"/>
      <c r="GN59" s="30"/>
      <c r="GO59" s="30"/>
      <c r="GP59" s="30"/>
      <c r="GQ59" s="30"/>
      <c r="GR59" s="30"/>
      <c r="GS59" s="30"/>
      <c r="GT59" s="30"/>
      <c r="GU59" s="30"/>
      <c r="GV59" s="30"/>
      <c r="GW59" s="30"/>
      <c r="GX59" s="30"/>
      <c r="GY59" s="30"/>
      <c r="GZ59" s="30"/>
      <c r="HA59" s="30"/>
      <c r="HB59" s="30"/>
      <c r="HC59" s="30"/>
      <c r="HD59" s="30"/>
      <c r="HE59" s="30"/>
      <c r="HF59" s="30"/>
      <c r="HG59" s="30"/>
      <c r="HH59" s="30"/>
      <c r="HI59" s="30"/>
      <c r="HJ59" s="30"/>
      <c r="HK59" s="30"/>
      <c r="HL59" s="30"/>
      <c r="HM59" s="30"/>
      <c r="HN59" s="30"/>
      <c r="HO59" s="30"/>
      <c r="HP59" s="30"/>
      <c r="HQ59" s="30"/>
      <c r="HR59" s="30"/>
      <c r="HS59" s="30"/>
      <c r="HT59" s="30"/>
      <c r="HU59" s="30"/>
      <c r="HV59" s="30"/>
      <c r="HW59" s="30"/>
      <c r="HX59" s="30"/>
      <c r="HY59" s="30"/>
      <c r="HZ59" s="30"/>
      <c r="IA59" s="30"/>
      <c r="IB59" s="30"/>
      <c r="IC59" s="30"/>
      <c r="ID59" s="30"/>
      <c r="IE59" s="30"/>
      <c r="IF59" s="30"/>
      <c r="IG59" s="30"/>
      <c r="IH59" s="30"/>
      <c r="II59" s="30"/>
      <c r="IJ59" s="30"/>
      <c r="IK59" s="30"/>
      <c r="IL59" s="30"/>
      <c r="IM59" s="30"/>
      <c r="IN59" s="30"/>
      <c r="IO59" s="30"/>
      <c r="IP59" s="30"/>
      <c r="IQ59" s="30"/>
      <c r="IR59" s="30"/>
      <c r="IS59" s="30"/>
      <c r="IT59" s="30"/>
      <c r="IU59" s="30"/>
      <c r="IV59" s="30"/>
      <c r="IW59" s="30"/>
      <c r="IX59" s="30"/>
      <c r="IY59" s="30"/>
      <c r="IZ59" s="30"/>
      <c r="JA59" s="30"/>
      <c r="JB59" s="30"/>
      <c r="JC59" s="30"/>
      <c r="JD59" s="30"/>
      <c r="JE59" s="30"/>
      <c r="JF59" s="30"/>
      <c r="JG59" s="30"/>
      <c r="JH59" s="30"/>
      <c r="JI59" s="30"/>
      <c r="JJ59" s="30"/>
      <c r="JK59" s="30"/>
      <c r="JL59" s="30"/>
      <c r="JM59" s="30"/>
      <c r="JN59" s="30"/>
      <c r="JO59" s="30"/>
      <c r="JP59" s="30"/>
      <c r="JQ59" s="30"/>
      <c r="JR59" s="30"/>
      <c r="JS59" s="30"/>
      <c r="JT59" s="30"/>
      <c r="JU59" s="30"/>
      <c r="JV59" s="30"/>
      <c r="JW59" s="30"/>
      <c r="JX59" s="30"/>
      <c r="JY59" s="30"/>
      <c r="JZ59" s="30"/>
      <c r="KA59" s="30"/>
      <c r="KB59" s="30"/>
      <c r="KC59" s="30"/>
      <c r="KD59" s="30"/>
      <c r="KE59" s="30"/>
      <c r="KF59" s="30"/>
      <c r="KG59" s="30"/>
      <c r="KH59" s="30"/>
      <c r="KI59" s="30"/>
      <c r="KJ59" s="30"/>
      <c r="KK59" s="30"/>
      <c r="KL59" s="30"/>
      <c r="KM59" s="30"/>
      <c r="KN59" s="30"/>
      <c r="KO59" s="30"/>
      <c r="KP59" s="30"/>
      <c r="KQ59" s="30"/>
      <c r="KR59" s="30"/>
      <c r="KS59" s="30"/>
      <c r="KT59" s="30"/>
      <c r="KU59" s="30"/>
      <c r="KV59" s="30"/>
      <c r="KW59" s="30"/>
      <c r="KX59" s="30"/>
      <c r="KY59" s="30"/>
      <c r="KZ59" s="30"/>
      <c r="LA59" s="30"/>
      <c r="LB59" s="30"/>
      <c r="LC59" s="30"/>
      <c r="LD59" s="30"/>
      <c r="LE59" s="30"/>
      <c r="LF59" s="30"/>
      <c r="LG59" s="30"/>
      <c r="LH59" s="30"/>
      <c r="LI59" s="30"/>
      <c r="LJ59" s="30"/>
      <c r="LK59" s="30"/>
      <c r="LL59" s="30"/>
      <c r="LM59" s="30"/>
      <c r="LN59" s="30"/>
      <c r="LO59" s="30"/>
      <c r="LP59" s="30"/>
      <c r="LQ59" s="30"/>
      <c r="LR59" s="30"/>
      <c r="LS59" s="30"/>
      <c r="LT59" s="30"/>
      <c r="LU59" s="30"/>
      <c r="LV59" s="30"/>
      <c r="LW59" s="30"/>
      <c r="LX59" s="30"/>
      <c r="LY59" s="30"/>
      <c r="LZ59" s="30"/>
      <c r="MA59" s="30"/>
      <c r="MB59" s="30"/>
      <c r="MC59" s="30"/>
      <c r="MD59" s="30"/>
      <c r="ME59" s="30"/>
      <c r="MF59" s="30"/>
      <c r="MG59" s="30"/>
      <c r="MH59" s="30"/>
      <c r="MI59" s="30"/>
      <c r="MJ59" s="30"/>
      <c r="MK59" s="30"/>
      <c r="ML59" s="30"/>
      <c r="MM59" s="30"/>
      <c r="MN59" s="30"/>
      <c r="MO59" s="30"/>
      <c r="MP59" s="30"/>
      <c r="MQ59" s="30"/>
      <c r="MR59" s="30"/>
      <c r="MS59" s="30"/>
      <c r="MT59" s="30"/>
      <c r="MU59" s="30"/>
      <c r="MV59" s="30"/>
      <c r="MW59" s="30"/>
      <c r="MX59" s="30"/>
      <c r="MY59" s="30"/>
      <c r="MZ59" s="30"/>
      <c r="NA59" s="30"/>
      <c r="NB59" s="30"/>
      <c r="NC59" s="30"/>
      <c r="ND59" s="30"/>
      <c r="NE59" s="30"/>
      <c r="NF59" s="30"/>
      <c r="NG59" s="30"/>
      <c r="NH59" s="30"/>
      <c r="NI59" s="30"/>
      <c r="NJ59" s="30"/>
      <c r="NK59" s="30"/>
      <c r="NL59" s="30"/>
      <c r="NM59" s="30"/>
      <c r="NN59" s="30"/>
      <c r="NO59" s="30"/>
      <c r="NP59" s="30"/>
      <c r="NQ59" s="30"/>
      <c r="NR59" s="30"/>
      <c r="NS59" s="30"/>
      <c r="NT59" s="30"/>
      <c r="NU59" s="30"/>
      <c r="NV59" s="30"/>
      <c r="NW59" s="30"/>
      <c r="NX59" s="30"/>
      <c r="NY59" s="30"/>
      <c r="NZ59" s="30"/>
      <c r="OA59" s="30"/>
      <c r="OB59" s="30"/>
      <c r="OC59" s="30"/>
      <c r="OD59" s="30"/>
      <c r="OE59" s="30"/>
      <c r="OF59" s="30"/>
      <c r="OG59" s="30"/>
      <c r="OH59" s="30"/>
      <c r="OI59" s="30"/>
      <c r="OJ59" s="30"/>
      <c r="OK59" s="30"/>
      <c r="OL59" s="30"/>
      <c r="OM59" s="30"/>
      <c r="ON59" s="30"/>
      <c r="OO59" s="30"/>
      <c r="OP59" s="30"/>
      <c r="OQ59" s="30"/>
      <c r="OR59" s="30"/>
      <c r="OS59" s="30"/>
      <c r="OT59" s="30"/>
      <c r="OU59" s="30"/>
      <c r="OV59" s="30"/>
    </row>
    <row r="60" ht="18.0" customHeight="1">
      <c r="A60" s="29">
        <v>59.0</v>
      </c>
      <c r="B60" s="30" t="s">
        <v>5061</v>
      </c>
      <c r="C60" s="31" t="s">
        <v>4597</v>
      </c>
      <c r="D60" s="30" t="s">
        <v>4576</v>
      </c>
      <c r="E60" s="29">
        <v>30.0</v>
      </c>
      <c r="F60" s="29">
        <f>COUNTIF('Tổng hợp 75 trang đích'!$B$2:$B$3400,$D60)</f>
        <v>30</v>
      </c>
      <c r="G60" s="29">
        <f>COUNTIFS('Tổng hợp 75 trang đích'!$B$2:$B$3400,$D60,'Tổng hợp 75 trang đích'!$K$2:$K$3400,"PHÙ HỢP CAO")</f>
        <v>2</v>
      </c>
      <c r="H60" s="29">
        <f>COUNTIFS('Tổng hợp 75 trang đích'!$B$2:$B$3400,$D60,'Tổng hợp 75 trang đích'!$K$2:$K$3400,"CÓ THỂ ĐI")</f>
        <v>2</v>
      </c>
      <c r="I60" s="29">
        <f>COUNTIFS('Tổng hợp 75 trang đích'!$B$2:$B$3400,$D60,'Tổng hợp 75 trang đích'!$K$2:$K$3400,"CẦN SOÁT")</f>
        <v>26</v>
      </c>
      <c r="J60" s="32" t="s">
        <v>714</v>
      </c>
      <c r="K60" s="32" t="b">
        <v>0</v>
      </c>
      <c r="L60" s="33" t="s">
        <v>52</v>
      </c>
      <c r="M60" s="30" t="str">
        <f>IFERROR(__xludf.DUMMYFUNCTION("IFERROR(TOROW(CHOOSECOLS(SORT(FILTER({'Tổng hợp 75 trang đích'!$J$2:$J$3400,'Tổng hợp 75 trang đích'!$I$2:$I$3400,MATCH('Tổng hợp 75 trang đích'!$K$2:$K$3400,{""PHÙ HỢP CAO"",""CÓ THỂ ĐI"",""CẦN SOÁT""},0)},'Tổng hợp 75 trang đích'!$B$2:$B$3400=$D60),3,TR"&amp;"UE),1,2)),"""")"),"thủ tục xóa thế chấp")</f>
        <v>thủ tục xóa thế chấp</v>
      </c>
      <c r="N60" s="34" t="str">
        <f>IFERROR(__xludf.DUMMYFUNCTION("""COMPUTED_VALUE"""),"https://techcombank.com/thong-tin/blog/quy-trinh-tat-toan-khoan-vay-the-chap")</f>
        <v>https://techcombank.com/thong-tin/blog/quy-trinh-tat-toan-khoan-vay-the-chap</v>
      </c>
      <c r="O60" s="30" t="str">
        <f>IFERROR(__xludf.DUMMYFUNCTION("""COMPUTED_VALUE"""),"hồ sơ thủ tục xóa thế chấp")</f>
        <v>hồ sơ thủ tục xóa thế chấp</v>
      </c>
      <c r="P60" s="34" t="str">
        <f>IFERROR(__xludf.DUMMYFUNCTION("""COMPUTED_VALUE"""),"https://techcombank.com/thong-tin/blog/tat-toan")</f>
        <v>https://techcombank.com/thong-tin/blog/tat-toan</v>
      </c>
      <c r="Q60" s="30" t="str">
        <f>IFERROR(__xludf.DUMMYFUNCTION("""COMPUTED_VALUE"""),"thủ tục xóa thế chấp")</f>
        <v>thủ tục xóa thế chấp</v>
      </c>
      <c r="R60" s="34" t="str">
        <f>IFERROR(__xludf.DUMMYFUNCTION("""COMPUTED_VALUE"""),"https://techcombank.com/thong-tin/blog/the-chap-la-gi")</f>
        <v>https://techcombank.com/thong-tin/blog/the-chap-la-gi</v>
      </c>
      <c r="S60" s="30" t="str">
        <f>IFERROR(__xludf.DUMMYFUNCTION("""COMPUTED_VALUE"""),"hồ sơ thủ tục xóa thế chấp")</f>
        <v>hồ sơ thủ tục xóa thế chấp</v>
      </c>
      <c r="T60" s="34" t="str">
        <f>IFERROR(__xludf.DUMMYFUNCTION("""COMPUTED_VALUE"""),"https://techcombank.com/thong-tin/blog/giai-ngan-vay-the-chap")</f>
        <v>https://techcombank.com/thong-tin/blog/giai-ngan-vay-the-chap</v>
      </c>
      <c r="U60" s="30" t="str">
        <f>IFERROR(__xludf.DUMMYFUNCTION("""COMPUTED_VALUE"""),"hồ sơ thủ tục xóa thế chấp")</f>
        <v>hồ sơ thủ tục xóa thế chấp</v>
      </c>
      <c r="V60" s="34" t="str">
        <f>IFERROR(__xludf.DUMMYFUNCTION("""COMPUTED_VALUE"""),"https://techcombank.com/thong-tin/blog/vay-tien-mat")</f>
        <v>https://techcombank.com/thong-tin/blog/vay-tien-mat</v>
      </c>
      <c r="W60" s="30" t="str">
        <f>IFERROR(__xludf.DUMMYFUNCTION("""COMPUTED_VALUE"""),"hồ sơ thủ tục xóa thế chấp")</f>
        <v>hồ sơ thủ tục xóa thế chấp</v>
      </c>
      <c r="X60" s="34" t="str">
        <f>IFERROR(__xludf.DUMMYFUNCTION("""COMPUTED_VALUE"""),"https://techcombank.com/thong-tin/blog/vay-von-doanh-nghiep-khong-the-chap")</f>
        <v>https://techcombank.com/thong-tin/blog/vay-von-doanh-nghiep-khong-the-chap</v>
      </c>
      <c r="Y60" s="30" t="str">
        <f>IFERROR(__xludf.DUMMYFUNCTION("""COMPUTED_VALUE"""),"hồ sơ thủ tục xóa thế chấp")</f>
        <v>hồ sơ thủ tục xóa thế chấp</v>
      </c>
      <c r="Z60" s="34" t="str">
        <f>IFERROR(__xludf.DUMMYFUNCTION("""COMPUTED_VALUE"""),"https://techcombank.com/thong-tin/blog/thu-tuc-mua-xe-tra-gop")</f>
        <v>https://techcombank.com/thong-tin/blog/thu-tuc-mua-xe-tra-gop</v>
      </c>
      <c r="AA60" s="30" t="str">
        <f>IFERROR(__xludf.DUMMYFUNCTION("""COMPUTED_VALUE"""),"thủ tục xóa thế chấp")</f>
        <v>thủ tục xóa thế chấp</v>
      </c>
      <c r="AB60" s="34" t="str">
        <f>IFERROR(__xludf.DUMMYFUNCTION("""COMPUTED_VALUE"""),"https://techcombank.com/thong-tin/blog/thu-tuc-vay-von-kinh-doanh-nho")</f>
        <v>https://techcombank.com/thong-tin/blog/thu-tuc-vay-von-kinh-doanh-nho</v>
      </c>
      <c r="AC60" s="30" t="str">
        <f>IFERROR(__xludf.DUMMYFUNCTION("""COMPUTED_VALUE"""),"thủ tục xóa thế chấp")</f>
        <v>thủ tục xóa thế chấp</v>
      </c>
      <c r="AD60" s="34" t="str">
        <f>IFERROR(__xludf.DUMMYFUNCTION("""COMPUTED_VALUE"""),"https://techcombank.com/thong-tin/blog/cac-hinh-thuc-vay-von-ngan-hang")</f>
        <v>https://techcombank.com/thong-tin/blog/cac-hinh-thuc-vay-von-ngan-hang</v>
      </c>
      <c r="AE60" s="30" t="str">
        <f>IFERROR(__xludf.DUMMYFUNCTION("""COMPUTED_VALUE"""),"hồ sơ thủ tục xóa thế chấp")</f>
        <v>hồ sơ thủ tục xóa thế chấp</v>
      </c>
      <c r="AF60" s="34" t="str">
        <f>IFERROR(__xludf.DUMMYFUNCTION("""COMPUTED_VALUE"""),"https://techcombank.com/thong-tin/blog/vay-san-xuat-kinh-doanh")</f>
        <v>https://techcombank.com/thong-tin/blog/vay-san-xuat-kinh-doanh</v>
      </c>
      <c r="AG60" s="30" t="str">
        <f>IFERROR(__xludf.DUMMYFUNCTION("""COMPUTED_VALUE"""),"hồ sơ thủ tục xóa thế chấp")</f>
        <v>hồ sơ thủ tục xóa thế chấp</v>
      </c>
      <c r="AH60" s="34" t="str">
        <f>IFERROR(__xludf.DUMMYFUNCTION("""COMPUTED_VALUE"""),"https://techcombank.com/thong-tin/blog/vay-the-chap-kinh-doanh")</f>
        <v>https://techcombank.com/thong-tin/blog/vay-the-chap-kinh-doanh</v>
      </c>
      <c r="AI60" s="30" t="str">
        <f>IFERROR(__xludf.DUMMYFUNCTION("""COMPUTED_VALUE"""),"xóa thế chấp sổ đỏ")</f>
        <v>xóa thế chấp sổ đỏ</v>
      </c>
      <c r="AJ60" s="34" t="str">
        <f>IFERROR(__xludf.DUMMYFUNCTION("""COMPUTED_VALUE"""),"https://techcombank.com/thong-tin/blog/vay-the-chap-so-bao-hiem-xa-hoi")</f>
        <v>https://techcombank.com/thong-tin/blog/vay-the-chap-so-bao-hiem-xa-hoi</v>
      </c>
      <c r="AK60" s="30" t="str">
        <f>IFERROR(__xludf.DUMMYFUNCTION("""COMPUTED_VALUE"""),"hồ sơ thủ tục xóa thế chấp")</f>
        <v>hồ sơ thủ tục xóa thế chấp</v>
      </c>
      <c r="AL60" s="34" t="str">
        <f>IFERROR(__xludf.DUMMYFUNCTION("""COMPUTED_VALUE"""),"https://techcombank.com/thong-tin/blog/vay-300-trieu")</f>
        <v>https://techcombank.com/thong-tin/blog/vay-300-trieu</v>
      </c>
      <c r="AM60" s="30" t="str">
        <f>IFERROR(__xludf.DUMMYFUNCTION("""COMPUTED_VALUE"""),"hồ sơ thủ tục xóa thế chấp")</f>
        <v>hồ sơ thủ tục xóa thế chấp</v>
      </c>
      <c r="AN60" s="34" t="str">
        <f>IFERROR(__xludf.DUMMYFUNCTION("""COMPUTED_VALUE"""),"https://techcombank.com/thong-tin/blog/vay-the-chap-la-gi")</f>
        <v>https://techcombank.com/thong-tin/blog/vay-the-chap-la-gi</v>
      </c>
      <c r="AO60" s="30" t="str">
        <f>IFERROR(__xludf.DUMMYFUNCTION("""COMPUTED_VALUE"""),"hồ sơ thủ tục xóa thế chấp")</f>
        <v>hồ sơ thủ tục xóa thế chấp</v>
      </c>
      <c r="AP60" s="34" t="str">
        <f>IFERROR(__xludf.DUMMYFUNCTION("""COMPUTED_VALUE"""),"https://techcombank.com/thong-tin/blog/cach-gui-tiet-kiem-online")</f>
        <v>https://techcombank.com/thong-tin/blog/cach-gui-tiet-kiem-online</v>
      </c>
      <c r="AQ60" s="30" t="str">
        <f>IFERROR(__xludf.DUMMYFUNCTION("""COMPUTED_VALUE"""),"xóa thế chấp sổ đỏ")</f>
        <v>xóa thế chấp sổ đỏ</v>
      </c>
      <c r="AR60" s="34" t="str">
        <f>IFERROR(__xludf.DUMMYFUNCTION("""COMPUTED_VALUE"""),"https://techcombank.com/thong-tin/blog/rui-ro-khi-vay-the-chap-ngan-hang")</f>
        <v>https://techcombank.com/thong-tin/blog/rui-ro-khi-vay-the-chap-ngan-hang</v>
      </c>
      <c r="AS60" s="30" t="str">
        <f>IFERROR(__xludf.DUMMYFUNCTION("""COMPUTED_VALUE"""),"hồ sơ thủ tục xóa thế chấp")</f>
        <v>hồ sơ thủ tục xóa thế chấp</v>
      </c>
      <c r="AT60" s="34" t="str">
        <f>IFERROR(__xludf.DUMMYFUNCTION("""COMPUTED_VALUE"""),"https://techcombank.com/thong-tin/blog/viet-kieu-co-mo-duoc-tai-khoan-ngan-hang-khong")</f>
        <v>https://techcombank.com/thong-tin/blog/viet-kieu-co-mo-duoc-tai-khoan-ngan-hang-khong</v>
      </c>
      <c r="AU60" s="30" t="str">
        <f>IFERROR(__xludf.DUMMYFUNCTION("""COMPUTED_VALUE"""),"hồ sơ thủ tục xóa thế chấp")</f>
        <v>hồ sơ thủ tục xóa thế chấp</v>
      </c>
      <c r="AV60" s="34" t="str">
        <f>IFERROR(__xludf.DUMMYFUNCTION("""COMPUTED_VALUE"""),"https://techcombank.com/thong-tin/blog/kich-hoat-the-tin-dung-techcombank")</f>
        <v>https://techcombank.com/thong-tin/blog/kich-hoat-the-tin-dung-techcombank</v>
      </c>
      <c r="AW60" s="30" t="str">
        <f>IFERROR(__xludf.DUMMYFUNCTION("""COMPUTED_VALUE"""),"hồ sơ thủ tục xóa thế chấp")</f>
        <v>hồ sơ thủ tục xóa thế chấp</v>
      </c>
      <c r="AX60" s="34" t="str">
        <f>IFERROR(__xludf.DUMMYFUNCTION("""COMPUTED_VALUE"""),"https://techcombank.com/thong-tin/blog/vay-200-trieu")</f>
        <v>https://techcombank.com/thong-tin/blog/vay-200-trieu</v>
      </c>
      <c r="AY60" s="30" t="str">
        <f>IFERROR(__xludf.DUMMYFUNCTION("""COMPUTED_VALUE"""),"hồ sơ thủ tục xóa thế chấp")</f>
        <v>hồ sơ thủ tục xóa thế chấp</v>
      </c>
      <c r="AZ60" s="34" t="str">
        <f>IFERROR(__xludf.DUMMYFUNCTION("""COMPUTED_VALUE"""),"https://techcombank.com/thong-tin/blog/vay-tin-chap-theo-luong")</f>
        <v>https://techcombank.com/thong-tin/blog/vay-tin-chap-theo-luong</v>
      </c>
      <c r="BA60" s="30" t="str">
        <f>IFERROR(__xludf.DUMMYFUNCTION("""COMPUTED_VALUE"""),"hồ sơ thủ tục xóa thế chấp")</f>
        <v>hồ sơ thủ tục xóa thế chấp</v>
      </c>
      <c r="BB60" s="34" t="str">
        <f>IFERROR(__xludf.DUMMYFUNCTION("""COMPUTED_VALUE"""),"https://techcombank.com/thong-tin/blog/cac-hinh-thuc-cho-vay-tieu-dung")</f>
        <v>https://techcombank.com/thong-tin/blog/cac-hinh-thuc-cho-vay-tieu-dung</v>
      </c>
      <c r="BC60" s="30" t="str">
        <f>IFERROR(__xludf.DUMMYFUNCTION("""COMPUTED_VALUE"""),"thủ tục giải chấp sổ đỏ")</f>
        <v>thủ tục giải chấp sổ đỏ</v>
      </c>
      <c r="BD60" s="34" t="str">
        <f>IFERROR(__xludf.DUMMYFUNCTION("""COMPUTED_VALUE"""),"https://techcombank.com/thong-tin/blog/lai-suat-vay-the-chap-so-do")</f>
        <v>https://techcombank.com/thong-tin/blog/lai-suat-vay-the-chap-so-do</v>
      </c>
      <c r="BE60" s="30" t="str">
        <f>IFERROR(__xludf.DUMMYFUNCTION("""COMPUTED_VALUE"""),"hồ sơ thủ tục xóa thế chấp")</f>
        <v>hồ sơ thủ tục xóa thế chấp</v>
      </c>
      <c r="BF60" s="34" t="str">
        <f>IFERROR(__xludf.DUMMYFUNCTION("""COMPUTED_VALUE"""),"https://techcombank.com/thong-tin/blog/ho-so-vay-tin-chap")</f>
        <v>https://techcombank.com/thong-tin/blog/ho-so-vay-tin-chap</v>
      </c>
      <c r="BG60" s="30" t="str">
        <f>IFERROR(__xludf.DUMMYFUNCTION("""COMPUTED_VALUE"""),"thủ tục xóa thế chấp")</f>
        <v>thủ tục xóa thế chấp</v>
      </c>
      <c r="BH60" s="34" t="str">
        <f>IFERROR(__xludf.DUMMYFUNCTION("""COMPUTED_VALUE"""),"https://techcombank.com/thong-tin/blog/mo-tai-khoan-ho-kinh-doanh")</f>
        <v>https://techcombank.com/thong-tin/blog/mo-tai-khoan-ho-kinh-doanh</v>
      </c>
      <c r="BI60" s="30" t="str">
        <f>IFERROR(__xludf.DUMMYFUNCTION("""COMPUTED_VALUE"""),"xóa thế chấp sổ đỏ")</f>
        <v>xóa thế chấp sổ đỏ</v>
      </c>
      <c r="BJ60" s="34" t="str">
        <f>IFERROR(__xludf.DUMMYFUNCTION("""COMPUTED_VALUE"""),"https://techcombank.com/thong-tin/blog/vay-the-chap-toi-da-duoc-bao-nhieu")</f>
        <v>https://techcombank.com/thong-tin/blog/vay-the-chap-toi-da-duoc-bao-nhieu</v>
      </c>
      <c r="BK60" s="30" t="str">
        <f>IFERROR(__xludf.DUMMYFUNCTION("""COMPUTED_VALUE"""),"xóa thế chấp sổ đỏ")</f>
        <v>xóa thế chấp sổ đỏ</v>
      </c>
      <c r="BL60" s="34" t="str">
        <f>IFERROR(__xludf.DUMMYFUNCTION("""COMPUTED_VALUE"""),"https://techcombank.com/thong-tin/blog/so-tai-khoan-ngan-hang")</f>
        <v>https://techcombank.com/thong-tin/blog/so-tai-khoan-ngan-hang</v>
      </c>
      <c r="BM60" s="30" t="str">
        <f>IFERROR(__xludf.DUMMYFUNCTION("""COMPUTED_VALUE"""),"thủ tục xóa thế chấp")</f>
        <v>thủ tục xóa thế chấp</v>
      </c>
      <c r="BN60" s="34" t="str">
        <f>IFERROR(__xludf.DUMMYFUNCTION("""COMPUTED_VALUE"""),"https://techcombank.com/thong-tin/blog/khai-bao-tai-khoan-ngan-hang-voi-co-quan-thue")</f>
        <v>https://techcombank.com/thong-tin/blog/khai-bao-tai-khoan-ngan-hang-voi-co-quan-thue</v>
      </c>
      <c r="BO60" s="30" t="str">
        <f>IFERROR(__xludf.DUMMYFUNCTION("""COMPUTED_VALUE"""),"xóa thế chấp sổ đỏ")</f>
        <v>xóa thế chấp sổ đỏ</v>
      </c>
      <c r="BP60" s="34" t="str">
        <f>IFERROR(__xludf.DUMMYFUNCTION("""COMPUTED_VALUE"""),"https://techcombank.com/thong-tin/blog/han-muc-vay-the-chap-so-do")</f>
        <v>https://techcombank.com/thong-tin/blog/han-muc-vay-the-chap-so-do</v>
      </c>
      <c r="BQ60" s="30" t="str">
        <f>IFERROR(__xludf.DUMMYFUNCTION("""COMPUTED_VALUE"""),"thủ tục xóa thế chấp")</f>
        <v>thủ tục xóa thế chấp</v>
      </c>
      <c r="BR60" s="34" t="str">
        <f>IFERROR(__xludf.DUMMYFUNCTION("""COMPUTED_VALUE"""),"https://techcombank.com/thong-tin/blog/thay-doi-dia-chi-ho-kinh-doanh")</f>
        <v>https://techcombank.com/thong-tin/blog/thay-doi-dia-chi-ho-kinh-doanh</v>
      </c>
      <c r="BS60" s="30" t="str">
        <f>IFERROR(__xludf.DUMMYFUNCTION("""COMPUTED_VALUE"""),"thủ tục xóa thế chấp")</f>
        <v>thủ tục xóa thế chấp</v>
      </c>
      <c r="BT60" s="34" t="str">
        <f>IFERROR(__xludf.DUMMYFUNCTION("""COMPUTED_VALUE"""),"https://techcombank.com/thong-tin/blog/merchant-la-gi")</f>
        <v>https://techcombank.com/thong-tin/blog/merchant-la-gi</v>
      </c>
      <c r="BU60" s="30"/>
      <c r="BV60" s="30"/>
      <c r="BW60" s="30"/>
      <c r="BX60" s="30"/>
      <c r="BY60" s="30"/>
      <c r="BZ60" s="30"/>
      <c r="CA60" s="30"/>
      <c r="CB60" s="30"/>
      <c r="CC60" s="30"/>
      <c r="CD60" s="30"/>
      <c r="CE60" s="30"/>
      <c r="CF60" s="30"/>
      <c r="CG60" s="30"/>
      <c r="CH60" s="30"/>
      <c r="CI60" s="30"/>
      <c r="CJ60" s="30"/>
      <c r="CK60" s="30"/>
      <c r="CL60" s="30"/>
      <c r="CM60" s="30"/>
      <c r="CN60" s="30"/>
      <c r="CO60" s="30"/>
      <c r="CP60" s="30"/>
      <c r="CQ60" s="30"/>
      <c r="CR60" s="30"/>
      <c r="CS60" s="30"/>
      <c r="CT60" s="30"/>
      <c r="CU60" s="30"/>
      <c r="CV60" s="30"/>
      <c r="CW60" s="30"/>
      <c r="CX60" s="30"/>
      <c r="CY60" s="30"/>
      <c r="CZ60" s="30"/>
      <c r="DA60" s="30"/>
      <c r="DB60" s="30"/>
      <c r="DC60" s="30"/>
      <c r="DD60" s="30"/>
      <c r="DE60" s="30"/>
      <c r="DF60" s="30"/>
      <c r="DG60" s="30"/>
      <c r="DH60" s="30"/>
      <c r="DI60" s="30"/>
      <c r="DJ60" s="30"/>
      <c r="DK60" s="30"/>
      <c r="DL60" s="30"/>
      <c r="DM60" s="30"/>
      <c r="DN60" s="30"/>
      <c r="DO60" s="30"/>
      <c r="DP60" s="30"/>
      <c r="DQ60" s="30"/>
      <c r="DR60" s="30"/>
      <c r="DS60" s="30"/>
      <c r="DT60" s="30"/>
      <c r="DU60" s="30"/>
      <c r="DV60" s="30"/>
      <c r="DW60" s="30"/>
      <c r="DX60" s="30"/>
      <c r="DY60" s="30"/>
      <c r="DZ60" s="30"/>
      <c r="EA60" s="30"/>
      <c r="EB60" s="30"/>
      <c r="EC60" s="30"/>
      <c r="ED60" s="30"/>
      <c r="EE60" s="30"/>
      <c r="EF60" s="30"/>
      <c r="EG60" s="30"/>
      <c r="EH60" s="30"/>
      <c r="EI60" s="30"/>
      <c r="EJ60" s="30"/>
      <c r="EK60" s="30"/>
      <c r="EL60" s="30"/>
      <c r="EM60" s="30"/>
      <c r="EN60" s="30"/>
      <c r="EO60" s="30"/>
      <c r="EP60" s="30"/>
      <c r="EQ60" s="30"/>
      <c r="ER60" s="30"/>
      <c r="ES60" s="30"/>
      <c r="ET60" s="30"/>
      <c r="EU60" s="30"/>
      <c r="EV60" s="30"/>
      <c r="EW60" s="30"/>
      <c r="EX60" s="30"/>
      <c r="EY60" s="30"/>
      <c r="EZ60" s="30"/>
      <c r="FA60" s="30"/>
      <c r="FB60" s="30"/>
      <c r="FC60" s="30"/>
      <c r="FD60" s="30"/>
      <c r="FE60" s="30"/>
      <c r="FF60" s="30"/>
      <c r="FG60" s="30"/>
      <c r="FH60" s="30"/>
      <c r="FI60" s="30"/>
      <c r="FJ60" s="30"/>
      <c r="FK60" s="30"/>
      <c r="FL60" s="30"/>
      <c r="FM60" s="30"/>
      <c r="FN60" s="30"/>
      <c r="FO60" s="30"/>
      <c r="FP60" s="30"/>
      <c r="FQ60" s="30"/>
      <c r="FR60" s="30"/>
      <c r="FS60" s="30"/>
      <c r="FT60" s="30"/>
      <c r="FU60" s="30"/>
      <c r="FV60" s="30"/>
      <c r="FW60" s="30"/>
      <c r="FX60" s="30"/>
      <c r="FY60" s="30"/>
      <c r="FZ60" s="30"/>
      <c r="GA60" s="30"/>
      <c r="GB60" s="30"/>
      <c r="GC60" s="30"/>
      <c r="GD60" s="30"/>
      <c r="GE60" s="30"/>
      <c r="GF60" s="30"/>
      <c r="GG60" s="30"/>
      <c r="GH60" s="30"/>
      <c r="GI60" s="30"/>
      <c r="GJ60" s="30"/>
      <c r="GK60" s="30"/>
      <c r="GL60" s="30"/>
      <c r="GM60" s="30"/>
      <c r="GN60" s="30"/>
      <c r="GO60" s="30"/>
      <c r="GP60" s="30"/>
      <c r="GQ60" s="30"/>
      <c r="GR60" s="30"/>
      <c r="GS60" s="30"/>
      <c r="GT60" s="30"/>
      <c r="GU60" s="30"/>
      <c r="GV60" s="30"/>
      <c r="GW60" s="30"/>
      <c r="GX60" s="30"/>
      <c r="GY60" s="30"/>
      <c r="GZ60" s="30"/>
      <c r="HA60" s="30"/>
      <c r="HB60" s="30"/>
      <c r="HC60" s="30"/>
      <c r="HD60" s="30"/>
      <c r="HE60" s="30"/>
      <c r="HF60" s="30"/>
      <c r="HG60" s="30"/>
      <c r="HH60" s="30"/>
      <c r="HI60" s="30"/>
      <c r="HJ60" s="30"/>
      <c r="HK60" s="30"/>
      <c r="HL60" s="30"/>
      <c r="HM60" s="30"/>
      <c r="HN60" s="30"/>
      <c r="HO60" s="30"/>
      <c r="HP60" s="30"/>
      <c r="HQ60" s="30"/>
      <c r="HR60" s="30"/>
      <c r="HS60" s="30"/>
      <c r="HT60" s="30"/>
      <c r="HU60" s="30"/>
      <c r="HV60" s="30"/>
      <c r="HW60" s="30"/>
      <c r="HX60" s="30"/>
      <c r="HY60" s="30"/>
      <c r="HZ60" s="30"/>
      <c r="IA60" s="30"/>
      <c r="IB60" s="30"/>
      <c r="IC60" s="30"/>
      <c r="ID60" s="30"/>
      <c r="IE60" s="30"/>
      <c r="IF60" s="30"/>
      <c r="IG60" s="30"/>
      <c r="IH60" s="30"/>
      <c r="II60" s="30"/>
      <c r="IJ60" s="30"/>
      <c r="IK60" s="30"/>
      <c r="IL60" s="30"/>
      <c r="IM60" s="30"/>
      <c r="IN60" s="30"/>
      <c r="IO60" s="30"/>
      <c r="IP60" s="30"/>
      <c r="IQ60" s="30"/>
      <c r="IR60" s="30"/>
      <c r="IS60" s="30"/>
      <c r="IT60" s="30"/>
      <c r="IU60" s="30"/>
      <c r="IV60" s="30"/>
      <c r="IW60" s="30"/>
      <c r="IX60" s="30"/>
      <c r="IY60" s="30"/>
      <c r="IZ60" s="30"/>
      <c r="JA60" s="30"/>
      <c r="JB60" s="30"/>
      <c r="JC60" s="30"/>
      <c r="JD60" s="30"/>
      <c r="JE60" s="30"/>
      <c r="JF60" s="30"/>
      <c r="JG60" s="30"/>
      <c r="JH60" s="30"/>
      <c r="JI60" s="30"/>
      <c r="JJ60" s="30"/>
      <c r="JK60" s="30"/>
      <c r="JL60" s="30"/>
      <c r="JM60" s="30"/>
      <c r="JN60" s="30"/>
      <c r="JO60" s="30"/>
      <c r="JP60" s="30"/>
      <c r="JQ60" s="30"/>
      <c r="JR60" s="30"/>
      <c r="JS60" s="30"/>
      <c r="JT60" s="30"/>
      <c r="JU60" s="30"/>
      <c r="JV60" s="30"/>
      <c r="JW60" s="30"/>
      <c r="JX60" s="30"/>
      <c r="JY60" s="30"/>
      <c r="JZ60" s="30"/>
      <c r="KA60" s="30"/>
      <c r="KB60" s="30"/>
      <c r="KC60" s="30"/>
      <c r="KD60" s="30"/>
      <c r="KE60" s="30"/>
      <c r="KF60" s="30"/>
      <c r="KG60" s="30"/>
      <c r="KH60" s="30"/>
      <c r="KI60" s="30"/>
      <c r="KJ60" s="30"/>
      <c r="KK60" s="30"/>
      <c r="KL60" s="30"/>
      <c r="KM60" s="30"/>
      <c r="KN60" s="30"/>
      <c r="KO60" s="30"/>
      <c r="KP60" s="30"/>
      <c r="KQ60" s="30"/>
      <c r="KR60" s="30"/>
      <c r="KS60" s="30"/>
      <c r="KT60" s="30"/>
      <c r="KU60" s="30"/>
      <c r="KV60" s="30"/>
      <c r="KW60" s="30"/>
      <c r="KX60" s="30"/>
      <c r="KY60" s="30"/>
      <c r="KZ60" s="30"/>
      <c r="LA60" s="30"/>
      <c r="LB60" s="30"/>
      <c r="LC60" s="30"/>
      <c r="LD60" s="30"/>
      <c r="LE60" s="30"/>
      <c r="LF60" s="30"/>
      <c r="LG60" s="30"/>
      <c r="LH60" s="30"/>
      <c r="LI60" s="30"/>
      <c r="LJ60" s="30"/>
      <c r="LK60" s="30"/>
      <c r="LL60" s="30"/>
      <c r="LM60" s="30"/>
      <c r="LN60" s="30"/>
      <c r="LO60" s="30"/>
      <c r="LP60" s="30"/>
      <c r="LQ60" s="30"/>
      <c r="LR60" s="30"/>
      <c r="LS60" s="30"/>
      <c r="LT60" s="30"/>
      <c r="LU60" s="30"/>
      <c r="LV60" s="30"/>
      <c r="LW60" s="30"/>
      <c r="LX60" s="30"/>
      <c r="LY60" s="30"/>
      <c r="LZ60" s="30"/>
      <c r="MA60" s="30"/>
      <c r="MB60" s="30"/>
      <c r="MC60" s="30"/>
      <c r="MD60" s="30"/>
      <c r="ME60" s="30"/>
      <c r="MF60" s="30"/>
      <c r="MG60" s="30"/>
      <c r="MH60" s="30"/>
      <c r="MI60" s="30"/>
      <c r="MJ60" s="30"/>
      <c r="MK60" s="30"/>
      <c r="ML60" s="30"/>
      <c r="MM60" s="30"/>
      <c r="MN60" s="30"/>
      <c r="MO60" s="30"/>
      <c r="MP60" s="30"/>
      <c r="MQ60" s="30"/>
      <c r="MR60" s="30"/>
      <c r="MS60" s="30"/>
      <c r="MT60" s="30"/>
      <c r="MU60" s="30"/>
      <c r="MV60" s="30"/>
      <c r="MW60" s="30"/>
      <c r="MX60" s="30"/>
      <c r="MY60" s="30"/>
      <c r="MZ60" s="30"/>
      <c r="NA60" s="30"/>
      <c r="NB60" s="30"/>
      <c r="NC60" s="30"/>
      <c r="ND60" s="30"/>
      <c r="NE60" s="30"/>
      <c r="NF60" s="30"/>
      <c r="NG60" s="30"/>
      <c r="NH60" s="30"/>
      <c r="NI60" s="30"/>
      <c r="NJ60" s="30"/>
      <c r="NK60" s="30"/>
      <c r="NL60" s="30"/>
      <c r="NM60" s="30"/>
      <c r="NN60" s="30"/>
      <c r="NO60" s="30"/>
      <c r="NP60" s="30"/>
      <c r="NQ60" s="30"/>
      <c r="NR60" s="30"/>
      <c r="NS60" s="30"/>
      <c r="NT60" s="30"/>
      <c r="NU60" s="30"/>
      <c r="NV60" s="30"/>
      <c r="NW60" s="30"/>
      <c r="NX60" s="30"/>
      <c r="NY60" s="30"/>
      <c r="NZ60" s="30"/>
      <c r="OA60" s="30"/>
      <c r="OB60" s="30"/>
      <c r="OC60" s="30"/>
      <c r="OD60" s="30"/>
      <c r="OE60" s="30"/>
      <c r="OF60" s="30"/>
      <c r="OG60" s="30"/>
      <c r="OH60" s="30"/>
      <c r="OI60" s="30"/>
      <c r="OJ60" s="30"/>
      <c r="OK60" s="30"/>
      <c r="OL60" s="30"/>
      <c r="OM60" s="30"/>
      <c r="ON60" s="30"/>
      <c r="OO60" s="30"/>
      <c r="OP60" s="30"/>
      <c r="OQ60" s="30"/>
      <c r="OR60" s="30"/>
      <c r="OS60" s="30"/>
      <c r="OT60" s="30"/>
      <c r="OU60" s="30"/>
      <c r="OV60" s="30"/>
    </row>
    <row r="61" ht="18.0" customHeight="1">
      <c r="A61" s="29">
        <v>60.0</v>
      </c>
      <c r="B61" s="30" t="s">
        <v>5270</v>
      </c>
      <c r="C61" s="31" t="s">
        <v>6464</v>
      </c>
      <c r="D61" s="30" t="s">
        <v>1714</v>
      </c>
      <c r="E61" s="29">
        <v>200.0</v>
      </c>
      <c r="F61" s="29">
        <f>COUNTIF('Tổng hợp 75 trang đích'!$B$2:$B$3400,$D61)</f>
        <v>200</v>
      </c>
      <c r="G61" s="29">
        <f>COUNTIFS('Tổng hợp 75 trang đích'!$B$2:$B$3400,$D61,'Tổng hợp 75 trang đích'!$K$2:$K$3400,"PHÙ HỢP CAO")</f>
        <v>1</v>
      </c>
      <c r="H61" s="29">
        <f>COUNTIFS('Tổng hợp 75 trang đích'!$B$2:$B$3400,$D61,'Tổng hợp 75 trang đích'!$K$2:$K$3400,"CÓ THỂ ĐI")</f>
        <v>3</v>
      </c>
      <c r="I61" s="29">
        <f>COUNTIFS('Tổng hợp 75 trang đích'!$B$2:$B$3400,$D61,'Tổng hợp 75 trang đích'!$K$2:$K$3400,"CẦN SOÁT")</f>
        <v>196</v>
      </c>
      <c r="J61" s="32" t="s">
        <v>714</v>
      </c>
      <c r="K61" s="32" t="b">
        <v>0</v>
      </c>
      <c r="L61" s="33" t="s">
        <v>52</v>
      </c>
      <c r="M61" s="30" t="str">
        <f>IFERROR(__xludf.DUMMYFUNCTION("IFERROR(TOROW(CHOOSECOLS(SORT(FILTER({'Tổng hợp 75 trang đích'!$J$2:$J$3400,'Tổng hợp 75 trang đích'!$I$2:$I$3400,MATCH('Tổng hợp 75 trang đích'!$K$2:$K$3400,{""PHÙ HỢP CAO"",""CÓ THỂ ĐI"",""CẦN SOÁT""},0)},'Tổng hợp 75 trang đích'!$B$2:$B$3400=$D61),3,TR"&amp;"UE),1,2)),"""")"),"lãi suất ngân hàng hiện nay")</f>
        <v>lãi suất ngân hàng hiện nay</v>
      </c>
      <c r="N61" s="34" t="str">
        <f>IFERROR(__xludf.DUMMYFUNCTION("""COMPUTED_VALUE"""),"https://techcombank.com/thong-tin/blog/tai-sao-gui-tiet-kiem-online-lai-suat-cao-hon")</f>
        <v>https://techcombank.com/thong-tin/blog/tai-sao-gui-tiet-kiem-online-lai-suat-cao-hon</v>
      </c>
      <c r="O61" s="30" t="str">
        <f>IFERROR(__xludf.DUMMYFUNCTION("""COMPUTED_VALUE"""),"lãi suất ngân hàng")</f>
        <v>lãi suất ngân hàng</v>
      </c>
      <c r="P61" s="34" t="str">
        <f>IFERROR(__xludf.DUMMYFUNCTION("""COMPUTED_VALUE"""),"https://techcombank.com/thong-tin/blog/vay-the-chap-hop-dong-mua-ban-can-ho")</f>
        <v>https://techcombank.com/thong-tin/blog/vay-the-chap-hop-dong-mua-ban-can-ho</v>
      </c>
      <c r="Q61" s="30" t="str">
        <f>IFERROR(__xludf.DUMMYFUNCTION("""COMPUTED_VALUE"""),"lãi suất ngân hàng")</f>
        <v>lãi suất ngân hàng</v>
      </c>
      <c r="R61" s="34" t="str">
        <f>IFERROR(__xludf.DUMMYFUNCTION("""COMPUTED_VALUE"""),"https://techcombank.com/thong-tin/blog/cach-tinh-gia-vang")</f>
        <v>https://techcombank.com/thong-tin/blog/cach-tinh-gia-vang</v>
      </c>
      <c r="S61" s="30" t="str">
        <f>IFERROR(__xludf.DUMMYFUNCTION("""COMPUTED_VALUE"""),"lãi suất gửi tiết kiệm ngân hàng")</f>
        <v>lãi suất gửi tiết kiệm ngân hàng</v>
      </c>
      <c r="T61" s="34" t="str">
        <f>IFERROR(__xludf.DUMMYFUNCTION("""COMPUTED_VALUE"""),"https://techcombank.com/thong-tin/blog/so-sanh-gui-tiet-kiem-online-va-tai-quay")</f>
        <v>https://techcombank.com/thong-tin/blog/so-sanh-gui-tiet-kiem-online-va-tai-quay</v>
      </c>
      <c r="U61" s="30" t="str">
        <f>IFERROR(__xludf.DUMMYFUNCTION("""COMPUTED_VALUE"""),"lãi suất ngân hàng")</f>
        <v>lãi suất ngân hàng</v>
      </c>
      <c r="V61" s="34" t="str">
        <f>IFERROR(__xludf.DUMMYFUNCTION("""COMPUTED_VALUE"""),"https://techcombank.com/thong-tin/blog/no-xau-mo-the-tin-dung-duoc-khong")</f>
        <v>https://techcombank.com/thong-tin/blog/no-xau-mo-the-tin-dung-duoc-khong</v>
      </c>
      <c r="W61" s="30" t="str">
        <f>IFERROR(__xludf.DUMMYFUNCTION("""COMPUTED_VALUE"""),"lãi suất gửi tiết kiệm ngân hàng")</f>
        <v>lãi suất gửi tiết kiệm ngân hàng</v>
      </c>
      <c r="X61" s="34" t="str">
        <f>IFERROR(__xludf.DUMMYFUNCTION("""COMPUTED_VALUE"""),"https://techcombank.com/thong-tin/blog/so-tiet-kiem-ngan-hang")</f>
        <v>https://techcombank.com/thong-tin/blog/so-tiet-kiem-ngan-hang</v>
      </c>
      <c r="Y61" s="30" t="str">
        <f>IFERROR(__xludf.DUMMYFUNCTION("""COMPUTED_VALUE"""),"lãi suất ngân hàng")</f>
        <v>lãi suất ngân hàng</v>
      </c>
      <c r="Z61" s="34" t="str">
        <f>IFERROR(__xludf.DUMMYFUNCTION("""COMPUTED_VALUE"""),"https://techcombank.com/thong-tin/blog/rut-tien-mat-tu-the-tin-dung")</f>
        <v>https://techcombank.com/thong-tin/blog/rut-tien-mat-tu-the-tin-dung</v>
      </c>
      <c r="AA61" s="30" t="str">
        <f>IFERROR(__xludf.DUMMYFUNCTION("""COMPUTED_VALUE"""),"lãi suất gửi tiết kiệm ngân hàng")</f>
        <v>lãi suất gửi tiết kiệm ngân hàng</v>
      </c>
      <c r="AB61" s="34" t="str">
        <f>IFERROR(__xludf.DUMMYFUNCTION("""COMPUTED_VALUE"""),"https://techcombank.com/thong-tin/blog/gui-tiet-kiem-theo-ngay")</f>
        <v>https://techcombank.com/thong-tin/blog/gui-tiet-kiem-theo-ngay</v>
      </c>
      <c r="AC61" s="30" t="str">
        <f>IFERROR(__xludf.DUMMYFUNCTION("""COMPUTED_VALUE"""),"lãi suất ngân hàng tiền gửi")</f>
        <v>lãi suất ngân hàng tiền gửi</v>
      </c>
      <c r="AD61" s="34" t="str">
        <f>IFERROR(__xludf.DUMMYFUNCTION("""COMPUTED_VALUE"""),"https://techcombank.com/thong-tin/blog/gui-tiet-kiem-vang")</f>
        <v>https://techcombank.com/thong-tin/blog/gui-tiet-kiem-vang</v>
      </c>
      <c r="AE61" s="30" t="str">
        <f>IFERROR(__xludf.DUMMYFUNCTION("""COMPUTED_VALUE"""),"lãi suất ngân hàng hiện nay")</f>
        <v>lãi suất ngân hàng hiện nay</v>
      </c>
      <c r="AF61" s="34" t="str">
        <f>IFERROR(__xludf.DUMMYFUNCTION("""COMPUTED_VALUE"""),"https://techcombank.com/thong-tin/blog/phi-rut-tien-mat-the-tin-dung")</f>
        <v>https://techcombank.com/thong-tin/blog/phi-rut-tien-mat-the-tin-dung</v>
      </c>
      <c r="AG61" s="30" t="str">
        <f>IFERROR(__xludf.DUMMYFUNCTION("""COMPUTED_VALUE"""),"lãi suất gửi tiết kiệm ngân hàng")</f>
        <v>lãi suất gửi tiết kiệm ngân hàng</v>
      </c>
      <c r="AH61" s="34" t="str">
        <f>IFERROR(__xludf.DUMMYFUNCTION("""COMPUTED_VALUE"""),"https://techcombank.com/thong-tin/blog/nen-gui-tiet-kiem-thong-thuong-hay-tich-luy")</f>
        <v>https://techcombank.com/thong-tin/blog/nen-gui-tiet-kiem-thong-thuong-hay-tich-luy</v>
      </c>
      <c r="AI61" s="30" t="str">
        <f>IFERROR(__xludf.DUMMYFUNCTION("""COMPUTED_VALUE"""),"lãi suất gửi tiết kiệm ngân hàng")</f>
        <v>lãi suất gửi tiết kiệm ngân hàng</v>
      </c>
      <c r="AJ61" s="34" t="str">
        <f>IFERROR(__xludf.DUMMYFUNCTION("""COMPUTED_VALUE"""),"https://techcombank.com/thong-tin/blog/nen-de-tien-trong-the-hay-gui-tiet-kiem")</f>
        <v>https://techcombank.com/thong-tin/blog/nen-de-tien-trong-the-hay-gui-tiet-kiem</v>
      </c>
      <c r="AK61" s="30" t="str">
        <f>IFERROR(__xludf.DUMMYFUNCTION("""COMPUTED_VALUE"""),"lãi suất tiền gửi ngân hàng")</f>
        <v>lãi suất tiền gửi ngân hàng</v>
      </c>
      <c r="AL61" s="34" t="str">
        <f>IFERROR(__xludf.DUMMYFUNCTION("""COMPUTED_VALUE"""),"https://techcombank.com/thong-tin/blog/tien-gui-khong-ky-han")</f>
        <v>https://techcombank.com/thong-tin/blog/tien-gui-khong-ky-han</v>
      </c>
      <c r="AM61" s="30" t="str">
        <f>IFERROR(__xludf.DUMMYFUNCTION("""COMPUTED_VALUE"""),"lãi suất ngân hàng")</f>
        <v>lãi suất ngân hàng</v>
      </c>
      <c r="AN61" s="34" t="str">
        <f>IFERROR(__xludf.DUMMYFUNCTION("""COMPUTED_VALUE"""),"https://techcombank.com/thong-tin/blog/vay-mua-nha-tra-gop")</f>
        <v>https://techcombank.com/thong-tin/blog/vay-mua-nha-tra-gop</v>
      </c>
      <c r="AO61" s="30" t="str">
        <f>IFERROR(__xludf.DUMMYFUNCTION("""COMPUTED_VALUE"""),"lãi suất ngân hàng hiện nay")</f>
        <v>lãi suất ngân hàng hiện nay</v>
      </c>
      <c r="AP61" s="34" t="str">
        <f>IFERROR(__xludf.DUMMYFUNCTION("""COMPUTED_VALUE"""),"https://techcombank.com/thong-tin/blog/vay-du-hoc")</f>
        <v>https://techcombank.com/thong-tin/blog/vay-du-hoc</v>
      </c>
      <c r="AQ61" s="30" t="str">
        <f>IFERROR(__xludf.DUMMYFUNCTION("""COMPUTED_VALUE"""),"lãi suất ngân hàng tiền gửi")</f>
        <v>lãi suất ngân hàng tiền gửi</v>
      </c>
      <c r="AR61" s="34" t="str">
        <f>IFERROR(__xludf.DUMMYFUNCTION("""COMPUTED_VALUE"""),"https://techcombank.com/thong-tin/blog/gui-tiet-kiem-ngan-hang-van-la-lua-chon-an-toan-trong-thoi-ky-kinh-te-con-nhieu-bien-dong")</f>
        <v>https://techcombank.com/thong-tin/blog/gui-tiet-kiem-ngan-hang-van-la-lua-chon-an-toan-trong-thoi-ky-kinh-te-con-nhieu-bien-dong</v>
      </c>
      <c r="AS61" s="30" t="str">
        <f>IFERROR(__xludf.DUMMYFUNCTION("""COMPUTED_VALUE"""),"lãi suất tiền gửi ngân hàng")</f>
        <v>lãi suất tiền gửi ngân hàng</v>
      </c>
      <c r="AT61" s="34" t="str">
        <f>IFERROR(__xludf.DUMMYFUNCTION("""COMPUTED_VALUE"""),"https://techcombank.com/thong-tin/blog/cach-gui-tiet-kiem-online")</f>
        <v>https://techcombank.com/thong-tin/blog/cach-gui-tiet-kiem-online</v>
      </c>
      <c r="AU61" s="30" t="str">
        <f>IFERROR(__xludf.DUMMYFUNCTION("""COMPUTED_VALUE"""),"lãi suất ngân hàng tiền gửi")</f>
        <v>lãi suất ngân hàng tiền gửi</v>
      </c>
      <c r="AV61" s="34" t="str">
        <f>IFERROR(__xludf.DUMMYFUNCTION("""COMPUTED_VALUE"""),"https://techcombank.com/thong-tin/blog/gui-tien-ngan-hang-co-an-toan-khong")</f>
        <v>https://techcombank.com/thong-tin/blog/gui-tien-ngan-hang-co-an-toan-khong</v>
      </c>
      <c r="AW61" s="30" t="str">
        <f>IFERROR(__xludf.DUMMYFUNCTION("""COMPUTED_VALUE"""),"lãi suất ngân hàng")</f>
        <v>lãi suất ngân hàng</v>
      </c>
      <c r="AX61" s="34" t="str">
        <f>IFERROR(__xludf.DUMMYFUNCTION("""COMPUTED_VALUE"""),"https://techcombank.com/thong-tin/blog/dau-tu-trai-phieu-doanh-nghiep-dung-ham-lai-suat-cao")</f>
        <v>https://techcombank.com/thong-tin/blog/dau-tu-trai-phieu-doanh-nghiep-dung-ham-lai-suat-cao</v>
      </c>
      <c r="AY61" s="30" t="str">
        <f>IFERROR(__xludf.DUMMYFUNCTION("""COMPUTED_VALUE"""),"lãi suất ngân hàng")</f>
        <v>lãi suất ngân hàng</v>
      </c>
      <c r="AZ61" s="34" t="str">
        <f>IFERROR(__xludf.DUMMYFUNCTION("""COMPUTED_VALUE"""),"https://techcombank.com/thong-tin/blog/casa-la-gi")</f>
        <v>https://techcombank.com/thong-tin/blog/casa-la-gi</v>
      </c>
      <c r="BA61" s="30" t="str">
        <f>IFERROR(__xludf.DUMMYFUNCTION("""COMPUTED_VALUE"""),"lãi suất ngân hàng")</f>
        <v>lãi suất ngân hàng</v>
      </c>
      <c r="BB61" s="34" t="str">
        <f>IFERROR(__xludf.DUMMYFUNCTION("""COMPUTED_VALUE"""),"https://techcombank.com/thong-tin/blog/gui-tiet-kiem-tich-luy-la-gi")</f>
        <v>https://techcombank.com/thong-tin/blog/gui-tiet-kiem-tich-luy-la-gi</v>
      </c>
      <c r="BC61" s="30" t="str">
        <f>IFERROR(__xludf.DUMMYFUNCTION("""COMPUTED_VALUE"""),"lãi suất tiền gửi ngân hàng")</f>
        <v>lãi suất tiền gửi ngân hàng</v>
      </c>
      <c r="BD61" s="34" t="str">
        <f>IFERROR(__xludf.DUMMYFUNCTION("""COMPUTED_VALUE"""),"https://techcombank.com/thong-tin/blog/gui-tiet-kiem-lay-lai-hang-thang")</f>
        <v>https://techcombank.com/thong-tin/blog/gui-tiet-kiem-lay-lai-hang-thang</v>
      </c>
      <c r="BE61" s="30" t="str">
        <f>IFERROR(__xludf.DUMMYFUNCTION("""COMPUTED_VALUE"""),"lãi suất ngân hàng tiền gửi")</f>
        <v>lãi suất ngân hàng tiền gửi</v>
      </c>
      <c r="BF61" s="34" t="str">
        <f>IFERROR(__xludf.DUMMYFUNCTION("""COMPUTED_VALUE"""),"https://techcombank.com/thong-tin/blog/rui-ro-khi-gui-tiet-kiem-online")</f>
        <v>https://techcombank.com/thong-tin/blog/rui-ro-khi-gui-tiet-kiem-online</v>
      </c>
      <c r="BG61" s="30" t="str">
        <f>IFERROR(__xludf.DUMMYFUNCTION("""COMPUTED_VALUE"""),"lãi suất ngân hàng")</f>
        <v>lãi suất ngân hàng</v>
      </c>
      <c r="BH61" s="34" t="str">
        <f>IFERROR(__xludf.DUMMYFUNCTION("""COMPUTED_VALUE"""),"https://techcombank.com/thong-tin/blog/mo-the-tin-dung-co-loi-ich-gi")</f>
        <v>https://techcombank.com/thong-tin/blog/mo-the-tin-dung-co-loi-ich-gi</v>
      </c>
      <c r="BI61" s="30" t="str">
        <f>IFERROR(__xludf.DUMMYFUNCTION("""COMPUTED_VALUE"""),"lãi suất tiền gửi ngân hàng")</f>
        <v>lãi suất tiền gửi ngân hàng</v>
      </c>
      <c r="BJ61" s="34" t="str">
        <f>IFERROR(__xludf.DUMMYFUNCTION("""COMPUTED_VALUE"""),"https://techcombank.com/thong-tin/blog/chon-kenh-dau-tu-an-toan-trong-boi-canh-thi-truong-bien-dong")</f>
        <v>https://techcombank.com/thong-tin/blog/chon-kenh-dau-tu-an-toan-trong-boi-canh-thi-truong-bien-dong</v>
      </c>
      <c r="BK61" s="30" t="str">
        <f>IFERROR(__xludf.DUMMYFUNCTION("""COMPUTED_VALUE"""),"lãi suất ngân hàng")</f>
        <v>lãi suất ngân hàng</v>
      </c>
      <c r="BL61" s="34" t="str">
        <f>IFERROR(__xludf.DUMMYFUNCTION("""COMPUTED_VALUE"""),"https://techcombank.com/thong-tin/blog/vay-tin-chap-cho-doanh-nghiep-moi-thanh-lap")</f>
        <v>https://techcombank.com/thong-tin/blog/vay-tin-chap-cho-doanh-nghiep-moi-thanh-lap</v>
      </c>
      <c r="BM61" s="30" t="str">
        <f>IFERROR(__xludf.DUMMYFUNCTION("""COMPUTED_VALUE"""),"lãi suất ngân hàng tiền gửi")</f>
        <v>lãi suất ngân hàng tiền gửi</v>
      </c>
      <c r="BN61" s="34" t="str">
        <f>IFERROR(__xludf.DUMMYFUNCTION("""COMPUTED_VALUE"""),"https://techcombank.com/thong-tin/blog/gui-tiet-kiem-ngoai-te")</f>
        <v>https://techcombank.com/thong-tin/blog/gui-tiet-kiem-ngoai-te</v>
      </c>
      <c r="BO61" s="30" t="str">
        <f>IFERROR(__xludf.DUMMYFUNCTION("""COMPUTED_VALUE"""),"lãi suất ngân hàng")</f>
        <v>lãi suất ngân hàng</v>
      </c>
      <c r="BP61" s="34" t="str">
        <f>IFERROR(__xludf.DUMMYFUNCTION("""COMPUTED_VALUE"""),"https://techcombank.com/thong-tin/blog/rui-ro-khi-gui-tiet-kiem-ngan-hang")</f>
        <v>https://techcombank.com/thong-tin/blog/rui-ro-khi-gui-tiet-kiem-ngan-hang</v>
      </c>
      <c r="BQ61" s="30" t="str">
        <f>IFERROR(__xludf.DUMMYFUNCTION("""COMPUTED_VALUE"""),"lãi suất tiền gửi ngân hàng")</f>
        <v>lãi suất tiền gửi ngân hàng</v>
      </c>
      <c r="BR61" s="34" t="str">
        <f>IFERROR(__xludf.DUMMYFUNCTION("""COMPUTED_VALUE"""),"https://techcombank.com/thong-tin/blog/gui-tiet-kiem-hang-thang")</f>
        <v>https://techcombank.com/thong-tin/blog/gui-tiet-kiem-hang-thang</v>
      </c>
      <c r="BS61" s="30" t="str">
        <f>IFERROR(__xludf.DUMMYFUNCTION("""COMPUTED_VALUE"""),"lãi suất gửi tiết kiệm ngân hàng")</f>
        <v>lãi suất gửi tiết kiệm ngân hàng</v>
      </c>
      <c r="BT61" s="34" t="str">
        <f>IFERROR(__xludf.DUMMYFUNCTION("""COMPUTED_VALUE"""),"https://techcombank.com/thong-tin/blog/xu-huong-dau-tu-trai-phieu-ky-han-duoi-mot-nam-lua-chon-an-toan-khi-thi-truong-bien-dong")</f>
        <v>https://techcombank.com/thong-tin/blog/xu-huong-dau-tu-trai-phieu-ky-han-duoi-mot-nam-lua-chon-an-toan-khi-thi-truong-bien-dong</v>
      </c>
      <c r="BU61" s="30" t="str">
        <f>IFERROR(__xludf.DUMMYFUNCTION("""COMPUTED_VALUE"""),"lãi suất gửi tiết kiệm ngân hàng")</f>
        <v>lãi suất gửi tiết kiệm ngân hàng</v>
      </c>
      <c r="BV61" s="34" t="str">
        <f>IFERROR(__xludf.DUMMYFUNCTION("""COMPUTED_VALUE"""),"https://techcombank.com/thong-tin/blog/gui-tiet-kiem-online-bi-mat-tien")</f>
        <v>https://techcombank.com/thong-tin/blog/gui-tiet-kiem-online-bi-mat-tien</v>
      </c>
      <c r="BW61" s="30" t="str">
        <f>IFERROR(__xludf.DUMMYFUNCTION("""COMPUTED_VALUE"""),"lãi suất ngân hàng tiền gửi")</f>
        <v>lãi suất ngân hàng tiền gửi</v>
      </c>
      <c r="BX61" s="34" t="str">
        <f>IFERROR(__xludf.DUMMYFUNCTION("""COMPUTED_VALUE"""),"https://techcombank.com/thong-tin/blog/kinh-nghiem-gui-tiet-kiem-online")</f>
        <v>https://techcombank.com/thong-tin/blog/kinh-nghiem-gui-tiet-kiem-online</v>
      </c>
      <c r="BY61" s="30" t="str">
        <f>IFERROR(__xludf.DUMMYFUNCTION("""COMPUTED_VALUE"""),"lãi suất tiền gửi ngân hàng")</f>
        <v>lãi suất tiền gửi ngân hàng</v>
      </c>
      <c r="BZ61" s="34" t="str">
        <f>IFERROR(__xludf.DUMMYFUNCTION("""COMPUTED_VALUE"""),"https://techcombank.com/thong-tin/blog/gui-tiet-kiem-online-co-rut-truoc-han-duoc-khong")</f>
        <v>https://techcombank.com/thong-tin/blog/gui-tiet-kiem-online-co-rut-truoc-han-duoc-khong</v>
      </c>
      <c r="CA61" s="30" t="str">
        <f>IFERROR(__xludf.DUMMYFUNCTION("""COMPUTED_VALUE"""),"lãi suất ngân hàng")</f>
        <v>lãi suất ngân hàng</v>
      </c>
      <c r="CB61" s="34" t="str">
        <f>IFERROR(__xludf.DUMMYFUNCTION("""COMPUTED_VALUE"""),"https://techcombank.com/thong-tin/blog/kinh-nghiem-vay-tien-ngan-hang-xay-nha")</f>
        <v>https://techcombank.com/thong-tin/blog/kinh-nghiem-vay-tien-ngan-hang-xay-nha</v>
      </c>
      <c r="CC61" s="30" t="str">
        <f>IFERROR(__xludf.DUMMYFUNCTION("""COMPUTED_VALUE"""),"lãi suất ngân hàng")</f>
        <v>lãi suất ngân hàng</v>
      </c>
      <c r="CD61" s="34" t="str">
        <f>IFERROR(__xludf.DUMMYFUNCTION("""COMPUTED_VALUE"""),"https://techcombank.com/thong-tin/blog/the-visa-co-may-loai")</f>
        <v>https://techcombank.com/thong-tin/blog/the-visa-co-may-loai</v>
      </c>
      <c r="CE61" s="30" t="str">
        <f>IFERROR(__xludf.DUMMYFUNCTION("""COMPUTED_VALUE"""),"lãi suất ngân hàng tiền gửi")</f>
        <v>lãi suất ngân hàng tiền gửi</v>
      </c>
      <c r="CF61" s="34" t="str">
        <f>IFERROR(__xludf.DUMMYFUNCTION("""COMPUTED_VALUE"""),"https://techcombank.com/thong-tin/blog/chung-chi-tien-gui-co-duoc-rut-truoc-han")</f>
        <v>https://techcombank.com/thong-tin/blog/chung-chi-tien-gui-co-duoc-rut-truoc-han</v>
      </c>
      <c r="CG61" s="30" t="str">
        <f>IFERROR(__xludf.DUMMYFUNCTION("""COMPUTED_VALUE"""),"lãi suất ngân hàng")</f>
        <v>lãi suất ngân hàng</v>
      </c>
      <c r="CH61" s="34" t="str">
        <f>IFERROR(__xludf.DUMMYFUNCTION("""COMPUTED_VALUE"""),"https://techcombank.com/thong-tin/blog/tien-singapore")</f>
        <v>https://techcombank.com/thong-tin/blog/tien-singapore</v>
      </c>
      <c r="CI61" s="30" t="str">
        <f>IFERROR(__xludf.DUMMYFUNCTION("""COMPUTED_VALUE"""),"lãi suất ngân hàng")</f>
        <v>lãi suất ngân hàng</v>
      </c>
      <c r="CJ61" s="34" t="str">
        <f>IFERROR(__xludf.DUMMYFUNCTION("""COMPUTED_VALUE"""),"https://techcombank.com/thong-tin/blog/nen-lam-the-visa-hay-noi-dia")</f>
        <v>https://techcombank.com/thong-tin/blog/nen-lam-the-visa-hay-noi-dia</v>
      </c>
      <c r="CK61" s="30" t="str">
        <f>IFERROR(__xludf.DUMMYFUNCTION("""COMPUTED_VALUE"""),"lãi suất ngân hàng hiện nay")</f>
        <v>lãi suất ngân hàng hiện nay</v>
      </c>
      <c r="CL61" s="34" t="str">
        <f>IFERROR(__xludf.DUMMYFUNCTION("""COMPUTED_VALUE"""),"https://techcombank.com/thong-tin/blog/lai-suat-cho-vay-doanh-nghiep")</f>
        <v>https://techcombank.com/thong-tin/blog/lai-suat-cho-vay-doanh-nghiep</v>
      </c>
      <c r="CM61" s="30" t="str">
        <f>IFERROR(__xludf.DUMMYFUNCTION("""COMPUTED_VALUE"""),"lãi suất ngân hàng hiện nay")</f>
        <v>lãi suất ngân hàng hiện nay</v>
      </c>
      <c r="CN61" s="34" t="str">
        <f>IFERROR(__xludf.DUMMYFUNCTION("""COMPUTED_VALUE"""),"https://techcombank.com/thong-tin/blog/lai-suat-gui-tiet-kiem-usd")</f>
        <v>https://techcombank.com/thong-tin/blog/lai-suat-gui-tiet-kiem-usd</v>
      </c>
      <c r="CO61" s="30" t="str">
        <f>IFERROR(__xludf.DUMMYFUNCTION("""COMPUTED_VALUE"""),"lãi suất ngân hàng hiện nay")</f>
        <v>lãi suất ngân hàng hiện nay</v>
      </c>
      <c r="CP61" s="34" t="str">
        <f>IFERROR(__xludf.DUMMYFUNCTION("""COMPUTED_VALUE"""),"https://techcombank.com/thong-tin/blog/gui-tiet-kiem-usd")</f>
        <v>https://techcombank.com/thong-tin/blog/gui-tiet-kiem-usd</v>
      </c>
      <c r="CQ61" s="30" t="str">
        <f>IFERROR(__xludf.DUMMYFUNCTION("""COMPUTED_VALUE"""),"lãi suất tiền gửi ngân hàng")</f>
        <v>lãi suất tiền gửi ngân hàng</v>
      </c>
      <c r="CR61" s="34" t="str">
        <f>IFERROR(__xludf.DUMMYFUNCTION("""COMPUTED_VALUE"""),"https://techcombank.com/thong-tin/blog/cach-tinh-ty-gia-ky-han")</f>
        <v>https://techcombank.com/thong-tin/blog/cach-tinh-ty-gia-ky-han</v>
      </c>
      <c r="CS61" s="30" t="str">
        <f>IFERROR(__xludf.DUMMYFUNCTION("""COMPUTED_VALUE"""),"lãi suất ngân hàng tiền gửi")</f>
        <v>lãi suất ngân hàng tiền gửi</v>
      </c>
      <c r="CT61" s="34" t="str">
        <f>IFERROR(__xludf.DUMMYFUNCTION("""COMPUTED_VALUE"""),"https://techcombank.com/thong-tin/blog/lai-suat-chung-chi-tien-gui-cac-ngan-hang")</f>
        <v>https://techcombank.com/thong-tin/blog/lai-suat-chung-chi-tien-gui-cac-ngan-hang</v>
      </c>
      <c r="CU61" s="30" t="str">
        <f>IFERROR(__xludf.DUMMYFUNCTION("""COMPUTED_VALUE"""),"lãi suất tiền gửi ngân hàng")</f>
        <v>lãi suất tiền gửi ngân hàng</v>
      </c>
      <c r="CV61" s="34" t="str">
        <f>IFERROR(__xludf.DUMMYFUNCTION("""COMPUTED_VALUE"""),"https://techcombank.com/thong-tin/blog/app-gui-tien-tiet-kiem")</f>
        <v>https://techcombank.com/thong-tin/blog/app-gui-tien-tiet-kiem</v>
      </c>
      <c r="CW61" s="30" t="str">
        <f>IFERROR(__xludf.DUMMYFUNCTION("""COMPUTED_VALUE"""),"lãi suất ngân hàng hiện nay")</f>
        <v>lãi suất ngân hàng hiện nay</v>
      </c>
      <c r="CX61" s="34" t="str">
        <f>IFERROR(__xludf.DUMMYFUNCTION("""COMPUTED_VALUE"""),"https://techcombank.com/thong-tin/blog/bi-quyet-tiet-kiem-tien-mua-nha")</f>
        <v>https://techcombank.com/thong-tin/blog/bi-quyet-tiet-kiem-tien-mua-nha</v>
      </c>
      <c r="CY61" s="30" t="str">
        <f>IFERROR(__xludf.DUMMYFUNCTION("""COMPUTED_VALUE"""),"lãi suất ngân hàng tiền gửi")</f>
        <v>lãi suất ngân hàng tiền gửi</v>
      </c>
      <c r="CZ61" s="34" t="str">
        <f>IFERROR(__xludf.DUMMYFUNCTION("""COMPUTED_VALUE"""),"https://techcombank.com/thong-tin/blog/tat-toan-so-tiet-kiem")</f>
        <v>https://techcombank.com/thong-tin/blog/tat-toan-so-tiet-kiem</v>
      </c>
      <c r="DA61" s="30" t="str">
        <f>IFERROR(__xludf.DUMMYFUNCTION("""COMPUTED_VALUE"""),"lãi suất ngân hàng")</f>
        <v>lãi suất ngân hàng</v>
      </c>
      <c r="DB61" s="34" t="str">
        <f>IFERROR(__xludf.DUMMYFUNCTION("""COMPUTED_VALUE"""),"https://techcombank.com/thong-tin/blog/tra-gop-shopee")</f>
        <v>https://techcombank.com/thong-tin/blog/tra-gop-shopee</v>
      </c>
      <c r="DC61" s="30" t="str">
        <f>IFERROR(__xludf.DUMMYFUNCTION("""COMPUTED_VALUE"""),"lãi suất ngân hàng")</f>
        <v>lãi suất ngân hàng</v>
      </c>
      <c r="DD61" s="34" t="str">
        <f>IFERROR(__xludf.DUMMYFUNCTION("""COMPUTED_VALUE"""),"https://techcombank.com/thong-tin/blog/vay-thau-chi-bang-so-tiet-kiem")</f>
        <v>https://techcombank.com/thong-tin/blog/vay-thau-chi-bang-so-tiet-kiem</v>
      </c>
      <c r="DE61" s="30" t="str">
        <f>IFERROR(__xludf.DUMMYFUNCTION("""COMPUTED_VALUE"""),"lãi suất tiền gửi ngân hàng")</f>
        <v>lãi suất tiền gửi ngân hàng</v>
      </c>
      <c r="DF61" s="34" t="str">
        <f>IFERROR(__xludf.DUMMYFUNCTION("""COMPUTED_VALUE"""),"https://techcombank.com/thong-tin/blog/chung-chi-tien-gui-la-gi")</f>
        <v>https://techcombank.com/thong-tin/blog/chung-chi-tien-gui-la-gi</v>
      </c>
      <c r="DG61" s="30" t="str">
        <f>IFERROR(__xludf.DUMMYFUNCTION("""COMPUTED_VALUE"""),"lãi suất ngân hàng")</f>
        <v>lãi suất ngân hàng</v>
      </c>
      <c r="DH61" s="34" t="str">
        <f>IFERROR(__xludf.DUMMYFUNCTION("""COMPUTED_VALUE"""),"https://techcombank.com/thong-tin/blog/ngan-hang-so")</f>
        <v>https://techcombank.com/thong-tin/blog/ngan-hang-so</v>
      </c>
      <c r="DI61" s="30" t="str">
        <f>IFERROR(__xludf.DUMMYFUNCTION("""COMPUTED_VALUE"""),"lãi suất ngân hàng")</f>
        <v>lãi suất ngân hàng</v>
      </c>
      <c r="DJ61" s="34" t="str">
        <f>IFERROR(__xludf.DUMMYFUNCTION("""COMPUTED_VALUE"""),"https://techcombank.com/thong-tin/blog/cong-ty-su-dung-tai-khoan-ca-nhan")</f>
        <v>https://techcombank.com/thong-tin/blog/cong-ty-su-dung-tai-khoan-ca-nhan</v>
      </c>
      <c r="DK61" s="30" t="str">
        <f>IFERROR(__xludf.DUMMYFUNCTION("""COMPUTED_VALUE"""),"lãi suất ngân hàng")</f>
        <v>lãi suất ngân hàng</v>
      </c>
      <c r="DL61" s="34" t="str">
        <f>IFERROR(__xludf.DUMMYFUNCTION("""COMPUTED_VALUE"""),"https://techcombank.com/thong-tin/blog/khach-hang-vip-bat-dong-san")</f>
        <v>https://techcombank.com/thong-tin/blog/khach-hang-vip-bat-dong-san</v>
      </c>
      <c r="DM61" s="30" t="str">
        <f>IFERROR(__xludf.DUMMYFUNCTION("""COMPUTED_VALUE"""),"lãi suất gửi tiết kiệm ngân hàng")</f>
        <v>lãi suất gửi tiết kiệm ngân hàng</v>
      </c>
      <c r="DN61" s="34" t="str">
        <f>IFERROR(__xludf.DUMMYFUNCTION("""COMPUTED_VALUE"""),"https://techcombank.com/thong-tin/blog/tich-luy-tai-san")</f>
        <v>https://techcombank.com/thong-tin/blog/tich-luy-tai-san</v>
      </c>
      <c r="DO61" s="30" t="str">
        <f>IFERROR(__xludf.DUMMYFUNCTION("""COMPUTED_VALUE"""),"lãi suất ngân hàng hiện nay")</f>
        <v>lãi suất ngân hàng hiện nay</v>
      </c>
      <c r="DP61" s="34" t="str">
        <f>IFERROR(__xludf.DUMMYFUNCTION("""COMPUTED_VALUE"""),"https://techcombank.com/thong-tin/blog/nghich-ly-nha-dau-tu-che-trai-phieu-lai-suat-cao-ua-ma-an-toan-du-lai-suat-thap-hon-05-1")</f>
        <v>https://techcombank.com/thong-tin/blog/nghich-ly-nha-dau-tu-che-trai-phieu-lai-suat-cao-ua-ma-an-toan-du-lai-suat-thap-hon-05-1</v>
      </c>
      <c r="DQ61" s="30" t="str">
        <f>IFERROR(__xludf.DUMMYFUNCTION("""COMPUTED_VALUE"""),"lãi suất ngân hàng hiện nay")</f>
        <v>lãi suất ngân hàng hiện nay</v>
      </c>
      <c r="DR61" s="34" t="str">
        <f>IFERROR(__xludf.DUMMYFUNCTION("""COMPUTED_VALUE"""),"https://techcombank.com/thong-tin/blog/thi-truong-trai-phieu-co-hoi-dau-tu-trai-phieu-vang-du-lai-suat-thap")</f>
        <v>https://techcombank.com/thong-tin/blog/thi-truong-trai-phieu-co-hoi-dau-tu-trai-phieu-vang-du-lai-suat-thap</v>
      </c>
      <c r="DS61" s="30" t="str">
        <f>IFERROR(__xludf.DUMMYFUNCTION("""COMPUTED_VALUE"""),"lãi suất ngân hàng nào cao nhất")</f>
        <v>lãi suất ngân hàng nào cao nhất</v>
      </c>
      <c r="DT61" s="34" t="str">
        <f>IFERROR(__xludf.DUMMYFUNCTION("""COMPUTED_VALUE"""),"https://techcombank.com/thong-tin/blog/techcombank-sinh-loi-tu-dong")</f>
        <v>https://techcombank.com/thong-tin/blog/techcombank-sinh-loi-tu-dong</v>
      </c>
      <c r="DU61" s="30" t="str">
        <f>IFERROR(__xludf.DUMMYFUNCTION("""COMPUTED_VALUE"""),"lãi suất ngân hàng")</f>
        <v>lãi suất ngân hàng</v>
      </c>
      <c r="DV61" s="34" t="str">
        <f>IFERROR(__xludf.DUMMYFUNCTION("""COMPUTED_VALUE"""),"https://techcombank.com/thong-tin/blog/the-tin-dung-phu-la-gi")</f>
        <v>https://techcombank.com/thong-tin/blog/the-tin-dung-phu-la-gi</v>
      </c>
      <c r="DW61" s="30" t="str">
        <f>IFERROR(__xludf.DUMMYFUNCTION("""COMPUTED_VALUE"""),"lãi suất tiền gửi ngân hàng")</f>
        <v>lãi suất tiền gửi ngân hàng</v>
      </c>
      <c r="DX61" s="34" t="str">
        <f>IFERROR(__xludf.DUMMYFUNCTION("""COMPUTED_VALUE"""),"https://techcombank.com/thong-tin/blog/lai-suat-chung-chi-quy")</f>
        <v>https://techcombank.com/thong-tin/blog/lai-suat-chung-chi-quy</v>
      </c>
      <c r="DY61" s="30" t="str">
        <f>IFERROR(__xludf.DUMMYFUNCTION("""COMPUTED_VALUE"""),"lãi suất gửi tiết kiệm ngân hàng")</f>
        <v>lãi suất gửi tiết kiệm ngân hàng</v>
      </c>
      <c r="DZ61" s="34" t="str">
        <f>IFERROR(__xludf.DUMMYFUNCTION("""COMPUTED_VALUE"""),"https://techcombank.com/thong-tin/blog/mo-tai-khoan-tiet-kiem-cho-con")</f>
        <v>https://techcombank.com/thong-tin/blog/mo-tai-khoan-tiet-kiem-cho-con</v>
      </c>
      <c r="EA61" s="30" t="str">
        <f>IFERROR(__xludf.DUMMYFUNCTION("""COMPUTED_VALUE"""),"lãi suất ngân hàng")</f>
        <v>lãi suất ngân hàng</v>
      </c>
      <c r="EB61" s="34" t="str">
        <f>IFERROR(__xludf.DUMMYFUNCTION("""COMPUTED_VALUE"""),"https://techcombank.com/thong-tin/blog/vay-100-trieu")</f>
        <v>https://techcombank.com/thong-tin/blog/vay-100-trieu</v>
      </c>
      <c r="EC61" s="30" t="str">
        <f>IFERROR(__xludf.DUMMYFUNCTION("""COMPUTED_VALUE"""),"lãi suất ngân hàng tiền gửi")</f>
        <v>lãi suất ngân hàng tiền gửi</v>
      </c>
      <c r="ED61" s="34" t="str">
        <f>IFERROR(__xludf.DUMMYFUNCTION("""COMPUTED_VALUE"""),"https://techcombank.com/thong-tin/blog/quy-du-phong-tai-chinh-la-gi")</f>
        <v>https://techcombank.com/thong-tin/blog/quy-du-phong-tai-chinh-la-gi</v>
      </c>
      <c r="EE61" s="30" t="str">
        <f>IFERROR(__xludf.DUMMYFUNCTION("""COMPUTED_VALUE"""),"lãi suất ngân hàng")</f>
        <v>lãi suất ngân hàng</v>
      </c>
      <c r="EF61" s="34" t="str">
        <f>IFERROR(__xludf.DUMMYFUNCTION("""COMPUTED_VALUE"""),"https://techcombank.com/thong-tin/blog/co-nen-vay-ngan-hang-mua-nha")</f>
        <v>https://techcombank.com/thong-tin/blog/co-nen-vay-ngan-hang-mua-nha</v>
      </c>
      <c r="EG61" s="30" t="str">
        <f>IFERROR(__xludf.DUMMYFUNCTION("""COMPUTED_VALUE"""),"lãi suất gửi tiết kiệm ngân hàng")</f>
        <v>lãi suất gửi tiết kiệm ngân hàng</v>
      </c>
      <c r="EH61" s="34" t="str">
        <f>IFERROR(__xludf.DUMMYFUNCTION("""COMPUTED_VALUE"""),"https://techcombank.com/thong-tin/blog/rut-tien-tiet-kiem-truoc-thoi-han")</f>
        <v>https://techcombank.com/thong-tin/blog/rut-tien-tiet-kiem-truoc-thoi-han</v>
      </c>
      <c r="EI61" s="30" t="str">
        <f>IFERROR(__xludf.DUMMYFUNCTION("""COMPUTED_VALUE"""),"lãi suất tiền gửi ngân hàng")</f>
        <v>lãi suất tiền gửi ngân hàng</v>
      </c>
      <c r="EJ61" s="34" t="str">
        <f>IFERROR(__xludf.DUMMYFUNCTION("""COMPUTED_VALUE"""),"https://techcombank.com/thong-tin/blog/lai-suat-la-gi")</f>
        <v>https://techcombank.com/thong-tin/blog/lai-suat-la-gi</v>
      </c>
      <c r="EK61" s="30" t="str">
        <f>IFERROR(__xludf.DUMMYFUNCTION("""COMPUTED_VALUE"""),"lãi suất ngân hàng")</f>
        <v>lãi suất ngân hàng</v>
      </c>
      <c r="EL61" s="34" t="str">
        <f>IFERROR(__xludf.DUMMYFUNCTION("""COMPUTED_VALUE"""),"https://techcombank.com/thong-tin/blog/vi-sao-lai-suat-trai-phieu-tai-tcbs-lai-thap-hon-so-voi-cac-to-chuc-phat-hanh-khac")</f>
        <v>https://techcombank.com/thong-tin/blog/vi-sao-lai-suat-trai-phieu-tai-tcbs-lai-thap-hon-so-voi-cac-to-chuc-phat-hanh-khac</v>
      </c>
      <c r="EM61" s="30" t="str">
        <f>IFERROR(__xludf.DUMMYFUNCTION("""COMPUTED_VALUE"""),"lãi suất gửi tiết kiệm ngân hàng")</f>
        <v>lãi suất gửi tiết kiệm ngân hàng</v>
      </c>
      <c r="EN61" s="34" t="str">
        <f>IFERROR(__xludf.DUMMYFUNCTION("""COMPUTED_VALUE"""),"https://techcombank.com/thong-tin/blog/cach-dau-tu")</f>
        <v>https://techcombank.com/thong-tin/blog/cach-dau-tu</v>
      </c>
      <c r="EO61" s="30" t="str">
        <f>IFERROR(__xludf.DUMMYFUNCTION("""COMPUTED_VALUE"""),"lãi suất ngân hàng hiện nay")</f>
        <v>lãi suất ngân hàng hiện nay</v>
      </c>
      <c r="EP61" s="34" t="str">
        <f>IFERROR(__xludf.DUMMYFUNCTION("""COMPUTED_VALUE"""),"https://techcombank.com/thong-tin/blog/vay-bo-sung-von-luu-dong")</f>
        <v>https://techcombank.com/thong-tin/blog/vay-bo-sung-von-luu-dong</v>
      </c>
      <c r="EQ61" s="30" t="str">
        <f>IFERROR(__xludf.DUMMYFUNCTION("""COMPUTED_VALUE"""),"lãi suất ngân hàng")</f>
        <v>lãi suất ngân hàng</v>
      </c>
      <c r="ER61" s="34" t="str">
        <f>IFERROR(__xludf.DUMMYFUNCTION("""COMPUTED_VALUE"""),"https://techcombank.com/thong-tin/blog/vay-ngan-han")</f>
        <v>https://techcombank.com/thong-tin/blog/vay-ngan-han</v>
      </c>
      <c r="ES61" s="30" t="str">
        <f>IFERROR(__xludf.DUMMYFUNCTION("""COMPUTED_VALUE"""),"lãi suất ngân hàng")</f>
        <v>lãi suất ngân hàng</v>
      </c>
      <c r="ET61" s="34" t="str">
        <f>IFERROR(__xludf.DUMMYFUNCTION("""COMPUTED_VALUE"""),"https://techcombank.com/thong-tin/blog/cho-vay-kinh-doanh-ho-gia-dinh")</f>
        <v>https://techcombank.com/thong-tin/blog/cho-vay-kinh-doanh-ho-gia-dinh</v>
      </c>
      <c r="EU61" s="30" t="str">
        <f>IFERROR(__xludf.DUMMYFUNCTION("""COMPUTED_VALUE"""),"lãi suất ngân hàng")</f>
        <v>lãi suất ngân hàng</v>
      </c>
      <c r="EV61" s="34" t="str">
        <f>IFERROR(__xludf.DUMMYFUNCTION("""COMPUTED_VALUE"""),"https://techcombank.com/thong-tin/blog/vay-von-doanh-nghiep-nho")</f>
        <v>https://techcombank.com/thong-tin/blog/vay-von-doanh-nghiep-nho</v>
      </c>
      <c r="EW61" s="30" t="str">
        <f>IFERROR(__xludf.DUMMYFUNCTION("""COMPUTED_VALUE"""),"lãi suất ngân hàng")</f>
        <v>lãi suất ngân hàng</v>
      </c>
      <c r="EX61" s="34" t="str">
        <f>IFERROR(__xludf.DUMMYFUNCTION("""COMPUTED_VALUE"""),"https://techcombank.com/thong-tin/blog/vay-mua-chung-cu")</f>
        <v>https://techcombank.com/thong-tin/blog/vay-mua-chung-cu</v>
      </c>
      <c r="EY61" s="30" t="str">
        <f>IFERROR(__xludf.DUMMYFUNCTION("""COMPUTED_VALUE"""),"lãi suất ngân hàng")</f>
        <v>lãi suất ngân hàng</v>
      </c>
      <c r="EZ61" s="34" t="str">
        <f>IFERROR(__xludf.DUMMYFUNCTION("""COMPUTED_VALUE"""),"https://techcombank.com/thong-tin/blog/tra-gop-hoc-phi")</f>
        <v>https://techcombank.com/thong-tin/blog/tra-gop-hoc-phi</v>
      </c>
      <c r="FA61" s="30" t="str">
        <f>IFERROR(__xludf.DUMMYFUNCTION("""COMPUTED_VALUE"""),"lãi suất ngân hàng hiện nay")</f>
        <v>lãi suất ngân hàng hiện nay</v>
      </c>
      <c r="FB61" s="34" t="str">
        <f>IFERROR(__xludf.DUMMYFUNCTION("""COMPUTED_VALUE"""),"https://techcombank.com/thong-tin/blog/vay-50-trieu")</f>
        <v>https://techcombank.com/thong-tin/blog/vay-50-trieu</v>
      </c>
      <c r="FC61" s="30" t="str">
        <f>IFERROR(__xludf.DUMMYFUNCTION("""COMPUTED_VALUE"""),"lãi suất gửi tiết kiệm ngân hàng")</f>
        <v>lãi suất gửi tiết kiệm ngân hàng</v>
      </c>
      <c r="FD61" s="34" t="str">
        <f>IFERROR(__xludf.DUMMYFUNCTION("""COMPUTED_VALUE"""),"https://techcombank.com/thong-tin/blog/chung-chi-tien-gui-co-an-toan-khong")</f>
        <v>https://techcombank.com/thong-tin/blog/chung-chi-tien-gui-co-an-toan-khong</v>
      </c>
      <c r="FE61" s="30" t="str">
        <f>IFERROR(__xludf.DUMMYFUNCTION("""COMPUTED_VALUE"""),"lãi suất ngân hàng")</f>
        <v>lãi suất ngân hàng</v>
      </c>
      <c r="FF61" s="34" t="str">
        <f>IFERROR(__xludf.DUMMYFUNCTION("""COMPUTED_VALUE"""),"https://techcombank.com/thong-tin/blog/vay-mua-dien-thoai")</f>
        <v>https://techcombank.com/thong-tin/blog/vay-mua-dien-thoai</v>
      </c>
      <c r="FG61" s="30" t="str">
        <f>IFERROR(__xludf.DUMMYFUNCTION("""COMPUTED_VALUE"""),"lãi suất ngân hàng tiền gửi")</f>
        <v>lãi suất ngân hàng tiền gửi</v>
      </c>
      <c r="FH61" s="34" t="str">
        <f>IFERROR(__xludf.DUMMYFUNCTION("""COMPUTED_VALUE"""),"https://techcombank.com/thong-tin/blog/tien-nhan-roi-nen-lam-gi")</f>
        <v>https://techcombank.com/thong-tin/blog/tien-nhan-roi-nen-lam-gi</v>
      </c>
      <c r="FI61" s="30" t="str">
        <f>IFERROR(__xludf.DUMMYFUNCTION("""COMPUTED_VALUE"""),"lãi suất ngân hàng")</f>
        <v>lãi suất ngân hàng</v>
      </c>
      <c r="FJ61" s="34" t="str">
        <f>IFERROR(__xludf.DUMMYFUNCTION("""COMPUTED_VALUE"""),"https://techcombank.com/thong-tin/blog/cong-thuc-tinh-lai-suat-thuc")</f>
        <v>https://techcombank.com/thong-tin/blog/cong-thuc-tinh-lai-suat-thuc</v>
      </c>
      <c r="FK61" s="30" t="str">
        <f>IFERROR(__xludf.DUMMYFUNCTION("""COMPUTED_VALUE"""),"lãi suất ngân hàng")</f>
        <v>lãi suất ngân hàng</v>
      </c>
      <c r="FL61" s="34" t="str">
        <f>IFERROR(__xludf.DUMMYFUNCTION("""COMPUTED_VALUE"""),"https://techcombank.com/thong-tin/blog/nen-vay-tin-chap-o-dau")</f>
        <v>https://techcombank.com/thong-tin/blog/nen-vay-tin-chap-o-dau</v>
      </c>
      <c r="FM61" s="30" t="str">
        <f>IFERROR(__xludf.DUMMYFUNCTION("""COMPUTED_VALUE"""),"lãi suất gửi tiết kiệm ngân hàng")</f>
        <v>lãi suất gửi tiết kiệm ngân hàng</v>
      </c>
      <c r="FN61" s="34" t="str">
        <f>IFERROR(__xludf.DUMMYFUNCTION("""COMPUTED_VALUE"""),"https://techcombank.com/thong-tin/blog/diem-tin-dung")</f>
        <v>https://techcombank.com/thong-tin/blog/diem-tin-dung</v>
      </c>
      <c r="FO61" s="30" t="str">
        <f>IFERROR(__xludf.DUMMYFUNCTION("""COMPUTED_VALUE"""),"lãi suất ngân hàng hiện nay")</f>
        <v>lãi suất ngân hàng hiện nay</v>
      </c>
      <c r="FP61" s="34" t="str">
        <f>IFERROR(__xludf.DUMMYFUNCTION("""COMPUTED_VALUE"""),"https://techcombank.com/thong-tin/blog/kinh-nghiem-vay-the-chap-ngan-hang")</f>
        <v>https://techcombank.com/thong-tin/blog/kinh-nghiem-vay-the-chap-ngan-hang</v>
      </c>
      <c r="FQ61" s="30" t="str">
        <f>IFERROR(__xludf.DUMMYFUNCTION("""COMPUTED_VALUE"""),"lãi suất ngân hàng")</f>
        <v>lãi suất ngân hàng</v>
      </c>
      <c r="FR61" s="34" t="str">
        <f>IFERROR(__xludf.DUMMYFUNCTION("""COMPUTED_VALUE"""),"https://techcombank.com/thong-tin/blog/cho-vay-tieu-dung-la-gi")</f>
        <v>https://techcombank.com/thong-tin/blog/cho-vay-tieu-dung-la-gi</v>
      </c>
      <c r="FS61" s="30" t="str">
        <f>IFERROR(__xludf.DUMMYFUNCTION("""COMPUTED_VALUE"""),"lãi suất ngân hàng")</f>
        <v>lãi suất ngân hàng</v>
      </c>
      <c r="FT61" s="34" t="str">
        <f>IFERROR(__xludf.DUMMYFUNCTION("""COMPUTED_VALUE"""),"https://techcombank.com/thong-tin/blog/vay-15-trieu")</f>
        <v>https://techcombank.com/thong-tin/blog/vay-15-trieu</v>
      </c>
      <c r="FU61" s="30" t="str">
        <f>IFERROR(__xludf.DUMMYFUNCTION("""COMPUTED_VALUE"""),"lãi suất ngân hàng")</f>
        <v>lãi suất ngân hàng</v>
      </c>
      <c r="FV61" s="34" t="str">
        <f>IFERROR(__xludf.DUMMYFUNCTION("""COMPUTED_VALUE"""),"https://techcombank.com/thong-tin/blog/lai-suat-tha-noi")</f>
        <v>https://techcombank.com/thong-tin/blog/lai-suat-tha-noi</v>
      </c>
      <c r="FW61" s="30" t="str">
        <f>IFERROR(__xludf.DUMMYFUNCTION("""COMPUTED_VALUE"""),"lãi suất ngân hàng")</f>
        <v>lãi suất ngân hàng</v>
      </c>
      <c r="FX61" s="34" t="str">
        <f>IFERROR(__xludf.DUMMYFUNCTION("""COMPUTED_VALUE"""),"https://techcombank.com/thong-tin/blog/vay-tien-mat")</f>
        <v>https://techcombank.com/thong-tin/blog/vay-tien-mat</v>
      </c>
      <c r="FY61" s="30" t="str">
        <f>IFERROR(__xludf.DUMMYFUNCTION("""COMPUTED_VALUE"""),"lãi suất ngân hàng")</f>
        <v>lãi suất ngân hàng</v>
      </c>
      <c r="FZ61" s="34" t="str">
        <f>IFERROR(__xludf.DUMMYFUNCTION("""COMPUTED_VALUE"""),"https://techcombank.com/thong-tin/blog/vnd-to-myr")</f>
        <v>https://techcombank.com/thong-tin/blog/vnd-to-myr</v>
      </c>
      <c r="GA61" s="30" t="str">
        <f>IFERROR(__xludf.DUMMYFUNCTION("""COMPUTED_VALUE"""),"lãi suất ngân hàng")</f>
        <v>lãi suất ngân hàng</v>
      </c>
      <c r="GB61" s="34" t="str">
        <f>IFERROR(__xludf.DUMMYFUNCTION("""COMPUTED_VALUE"""),"https://techcombank.com/thong-tin/blog/lai-suat-qua-han")</f>
        <v>https://techcombank.com/thong-tin/blog/lai-suat-qua-han</v>
      </c>
      <c r="GC61" s="30" t="str">
        <f>IFERROR(__xludf.DUMMYFUNCTION("""COMPUTED_VALUE"""),"lãi suất ngân hàng")</f>
        <v>lãi suất ngân hàng</v>
      </c>
      <c r="GD61" s="34" t="str">
        <f>IFERROR(__xludf.DUMMYFUNCTION("""COMPUTED_VALUE"""),"https://techcombank.com/thong-tin/blog/app-vay-tien-nhanh")</f>
        <v>https://techcombank.com/thong-tin/blog/app-vay-tien-nhanh</v>
      </c>
      <c r="GE61" s="30" t="str">
        <f>IFERROR(__xludf.DUMMYFUNCTION("""COMPUTED_VALUE"""),"lãi suất ngân hàng hiện nay")</f>
        <v>lãi suất ngân hàng hiện nay</v>
      </c>
      <c r="GF61" s="34" t="str">
        <f>IFERROR(__xludf.DUMMYFUNCTION("""COMPUTED_VALUE"""),"https://techcombank.com/thong-tin/blog/tin-chap-doanh-nghiep")</f>
        <v>https://techcombank.com/thong-tin/blog/tin-chap-doanh-nghiep</v>
      </c>
      <c r="GG61" s="30" t="str">
        <f>IFERROR(__xludf.DUMMYFUNCTION("""COMPUTED_VALUE"""),"lãi suất ngân hàng")</f>
        <v>lãi suất ngân hàng</v>
      </c>
      <c r="GH61" s="34" t="str">
        <f>IFERROR(__xludf.DUMMYFUNCTION("""COMPUTED_VALUE"""),"https://techcombank.com/thong-tin/blog/vay-sinh-vien")</f>
        <v>https://techcombank.com/thong-tin/blog/vay-sinh-vien</v>
      </c>
      <c r="GI61" s="30" t="str">
        <f>IFERROR(__xludf.DUMMYFUNCTION("""COMPUTED_VALUE"""),"lãi suất ngân hàng")</f>
        <v>lãi suất ngân hàng</v>
      </c>
      <c r="GJ61" s="34" t="str">
        <f>IFERROR(__xludf.DUMMYFUNCTION("""COMPUTED_VALUE"""),"https://techcombank.com/thong-tin/blog/vay-the-chap-so-hong")</f>
        <v>https://techcombank.com/thong-tin/blog/vay-the-chap-so-hong</v>
      </c>
      <c r="GK61" s="30" t="str">
        <f>IFERROR(__xludf.DUMMYFUNCTION("""COMPUTED_VALUE"""),"lãi suất ngân hàng hiện nay")</f>
        <v>lãi suất ngân hàng hiện nay</v>
      </c>
      <c r="GL61" s="34" t="str">
        <f>IFERROR(__xludf.DUMMYFUNCTION("""COMPUTED_VALUE"""),"https://techcombank.com/thong-tin/blog/lai-suat-vay-mua-o-to")</f>
        <v>https://techcombank.com/thong-tin/blog/lai-suat-vay-mua-o-to</v>
      </c>
      <c r="GM61" s="30" t="str">
        <f>IFERROR(__xludf.DUMMYFUNCTION("""COMPUTED_VALUE"""),"lãi suất ngân hàng")</f>
        <v>lãi suất ngân hàng</v>
      </c>
      <c r="GN61" s="34" t="str">
        <f>IFERROR(__xludf.DUMMYFUNCTION("""COMPUTED_VALUE"""),"https://techcombank.com/thong-tin/blog/1-cmnd-dang-ky-duoc-may-tai-khoan-ngan-hang")</f>
        <v>https://techcombank.com/thong-tin/blog/1-cmnd-dang-ky-duoc-may-tai-khoan-ngan-hang</v>
      </c>
      <c r="GO61" s="30" t="str">
        <f>IFERROR(__xludf.DUMMYFUNCTION("""COMPUTED_VALUE"""),"lãi suất ngân hàng")</f>
        <v>lãi suất ngân hàng</v>
      </c>
      <c r="GP61" s="34" t="str">
        <f>IFERROR(__xludf.DUMMYFUNCTION("""COMPUTED_VALUE"""),"https://techcombank.com/thong-tin/blog/vay-300-trieu")</f>
        <v>https://techcombank.com/thong-tin/blog/vay-300-trieu</v>
      </c>
      <c r="GQ61" s="30" t="str">
        <f>IFERROR(__xludf.DUMMYFUNCTION("""COMPUTED_VALUE"""),"lãi suất ngân hàng")</f>
        <v>lãi suất ngân hàng</v>
      </c>
      <c r="GR61" s="34" t="str">
        <f>IFERROR(__xludf.DUMMYFUNCTION("""COMPUTED_VALUE"""),"https://techcombank.com/thong-tin/blog/vay-the-chap-xe-o-to-cu")</f>
        <v>https://techcombank.com/thong-tin/blog/vay-the-chap-xe-o-to-cu</v>
      </c>
      <c r="GS61" s="30" t="str">
        <f>IFERROR(__xludf.DUMMYFUNCTION("""COMPUTED_VALUE"""),"lãi suất tiền gửi ngân hàng")</f>
        <v>lãi suất tiền gửi ngân hàng</v>
      </c>
      <c r="GT61" s="34" t="str">
        <f>IFERROR(__xludf.DUMMYFUNCTION("""COMPUTED_VALUE"""),"https://techcombank.com/thong-tin/blog/dang-ky-nhieu-tai-khoan-ngan-hang-co-sao-khong")</f>
        <v>https://techcombank.com/thong-tin/blog/dang-ky-nhieu-tai-khoan-ngan-hang-co-sao-khong</v>
      </c>
      <c r="GU61" s="30" t="str">
        <f>IFERROR(__xludf.DUMMYFUNCTION("""COMPUTED_VALUE"""),"lãi suất ngân hàng")</f>
        <v>lãi suất ngân hàng</v>
      </c>
      <c r="GV61" s="34" t="str">
        <f>IFERROR(__xludf.DUMMYFUNCTION("""COMPUTED_VALUE"""),"https://techcombank.com/thong-tin/blog/lai-suat-the-tin-dung")</f>
        <v>https://techcombank.com/thong-tin/blog/lai-suat-the-tin-dung</v>
      </c>
      <c r="GW61" s="30" t="str">
        <f>IFERROR(__xludf.DUMMYFUNCTION("""COMPUTED_VALUE"""),"lãi suất ngân hàng")</f>
        <v>lãi suất ngân hàng</v>
      </c>
      <c r="GX61" s="34" t="str">
        <f>IFERROR(__xludf.DUMMYFUNCTION("""COMPUTED_VALUE"""),"https://techcombank.com/thong-tin/blog/tra-gop-lazada")</f>
        <v>https://techcombank.com/thong-tin/blog/tra-gop-lazada</v>
      </c>
      <c r="GY61" s="30" t="str">
        <f>IFERROR(__xludf.DUMMYFUNCTION("""COMPUTED_VALUE"""),"lãi suất ngân hàng")</f>
        <v>lãi suất ngân hàng</v>
      </c>
      <c r="GZ61" s="34" t="str">
        <f>IFERROR(__xludf.DUMMYFUNCTION("""COMPUTED_VALUE"""),"https://techcombank.com/thong-tin/blog/lam-ho-so-tra-gop-dien-thoai")</f>
        <v>https://techcombank.com/thong-tin/blog/lam-ho-so-tra-gop-dien-thoai</v>
      </c>
      <c r="HA61" s="30" t="str">
        <f>IFERROR(__xludf.DUMMYFUNCTION("""COMPUTED_VALUE"""),"lãi suất ngân hàng tiền gửi")</f>
        <v>lãi suất ngân hàng tiền gửi</v>
      </c>
      <c r="HB61" s="34" t="str">
        <f>IFERROR(__xludf.DUMMYFUNCTION("""COMPUTED_VALUE"""),"https://techcombank.com/thong-tin/blog/vay-30-trieu")</f>
        <v>https://techcombank.com/thong-tin/blog/vay-30-trieu</v>
      </c>
      <c r="HC61" s="30" t="str">
        <f>IFERROR(__xludf.DUMMYFUNCTION("""COMPUTED_VALUE"""),"lãi suất ngân hàng")</f>
        <v>lãi suất ngân hàng</v>
      </c>
      <c r="HD61" s="34" t="str">
        <f>IFERROR(__xludf.DUMMYFUNCTION("""COMPUTED_VALUE"""),"https://techcombank.com/thong-tin/blog/lai-suat-ngan-hang-cho-vay-xay-nha")</f>
        <v>https://techcombank.com/thong-tin/blog/lai-suat-ngan-hang-cho-vay-xay-nha</v>
      </c>
      <c r="HE61" s="30" t="str">
        <f>IFERROR(__xludf.DUMMYFUNCTION("""COMPUTED_VALUE"""),"lãi suất ngân hàng")</f>
        <v>lãi suất ngân hàng</v>
      </c>
      <c r="HF61" s="34" t="str">
        <f>IFERROR(__xludf.DUMMYFUNCTION("""COMPUTED_VALUE"""),"https://techcombank.com/thong-tin/blog/cach-su-dung-the-tin-dung")</f>
        <v>https://techcombank.com/thong-tin/blog/cach-su-dung-the-tin-dung</v>
      </c>
      <c r="HG61" s="30" t="str">
        <f>IFERROR(__xludf.DUMMYFUNCTION("""COMPUTED_VALUE"""),"lãi suất ngân hàng hiện nay")</f>
        <v>lãi suất ngân hàng hiện nay</v>
      </c>
      <c r="HH61" s="34" t="str">
        <f>IFERROR(__xludf.DUMMYFUNCTION("""COMPUTED_VALUE"""),"https://techcombank.com/thong-tin/blog/vay-mua-nha-o-xa-hoi")</f>
        <v>https://techcombank.com/thong-tin/blog/vay-mua-nha-o-xa-hoi</v>
      </c>
      <c r="HI61" s="30" t="str">
        <f>IFERROR(__xludf.DUMMYFUNCTION("""COMPUTED_VALUE"""),"lãi suất tiền gửi ngân hàng")</f>
        <v>lãi suất tiền gửi ngân hàng</v>
      </c>
      <c r="HJ61" s="34" t="str">
        <f>IFERROR(__xludf.DUMMYFUNCTION("""COMPUTED_VALUE"""),"https://techcombank.com/thong-tin/blog/dao-han-la-gi")</f>
        <v>https://techcombank.com/thong-tin/blog/dao-han-la-gi</v>
      </c>
      <c r="HK61" s="30" t="str">
        <f>IFERROR(__xludf.DUMMYFUNCTION("""COMPUTED_VALUE"""),"lãi suất ngân hàng")</f>
        <v>lãi suất ngân hàng</v>
      </c>
      <c r="HL61" s="34" t="str">
        <f>IFERROR(__xludf.DUMMYFUNCTION("""COMPUTED_VALUE"""),"https://techcombank.com/thong-tin/blog/vay-mua-xe-tra-gop-ngan-hang-nao-tot-nhat")</f>
        <v>https://techcombank.com/thong-tin/blog/vay-mua-xe-tra-gop-ngan-hang-nao-tot-nhat</v>
      </c>
      <c r="HM61" s="30" t="str">
        <f>IFERROR(__xludf.DUMMYFUNCTION("""COMPUTED_VALUE"""),"lãi suất ngân hàng")</f>
        <v>lãi suất ngân hàng</v>
      </c>
      <c r="HN61" s="34" t="str">
        <f>IFERROR(__xludf.DUMMYFUNCTION("""COMPUTED_VALUE"""),"https://techcombank.com/thong-tin/blog/nen-mua-xe-tra-gop-hay-tra-thang")</f>
        <v>https://techcombank.com/thong-tin/blog/nen-mua-xe-tra-gop-hay-tra-thang</v>
      </c>
      <c r="HO61" s="30" t="str">
        <f>IFERROR(__xludf.DUMMYFUNCTION("""COMPUTED_VALUE"""),"lãi suất ngân hàng")</f>
        <v>lãi suất ngân hàng</v>
      </c>
      <c r="HP61" s="34" t="str">
        <f>IFERROR(__xludf.DUMMYFUNCTION("""COMPUTED_VALUE"""),"https://techcombank.com/thong-tin/blog/vay-tin-chap-la-gi")</f>
        <v>https://techcombank.com/thong-tin/blog/vay-tin-chap-la-gi</v>
      </c>
      <c r="HQ61" s="30" t="str">
        <f>IFERROR(__xludf.DUMMYFUNCTION("""COMPUTED_VALUE"""),"lãi suất ngân hàng")</f>
        <v>lãi suất ngân hàng</v>
      </c>
      <c r="HR61" s="34" t="str">
        <f>IFERROR(__xludf.DUMMYFUNCTION("""COMPUTED_VALUE"""),"https://techcombank.com/thong-tin/blog/vay-the-chap-kinh-doanh")</f>
        <v>https://techcombank.com/thong-tin/blog/vay-the-chap-kinh-doanh</v>
      </c>
      <c r="HS61" s="30" t="str">
        <f>IFERROR(__xludf.DUMMYFUNCTION("""COMPUTED_VALUE"""),"lãi suất ngân hàng tiền gửi")</f>
        <v>lãi suất ngân hàng tiền gửi</v>
      </c>
      <c r="HT61" s="34" t="str">
        <f>IFERROR(__xludf.DUMMYFUNCTION("""COMPUTED_VALUE"""),"https://techcombank.com/thong-tin/blog/the-ghi-no-va-the-tin-dung")</f>
        <v>https://techcombank.com/thong-tin/blog/the-ghi-no-va-the-tin-dung</v>
      </c>
      <c r="HU61" s="30" t="str">
        <f>IFERROR(__xludf.DUMMYFUNCTION("""COMPUTED_VALUE"""),"lãi suất ngân hàng hiện nay")</f>
        <v>lãi suất ngân hàng hiện nay</v>
      </c>
      <c r="HV61" s="34" t="str">
        <f>IFERROR(__xludf.DUMMYFUNCTION("""COMPUTED_VALUE"""),"https://techcombank.com/thong-tin/blog/lai-suat-vay-the-chap")</f>
        <v>https://techcombank.com/thong-tin/blog/lai-suat-vay-the-chap</v>
      </c>
      <c r="HW61" s="30" t="str">
        <f>IFERROR(__xludf.DUMMYFUNCTION("""COMPUTED_VALUE"""),"lãi suất ngân hàng hiện nay")</f>
        <v>lãi suất ngân hàng hiện nay</v>
      </c>
      <c r="HX61" s="34" t="str">
        <f>IFERROR(__xludf.DUMMYFUNCTION("""COMPUTED_VALUE"""),"https://techcombank.com/thong-tin/blog/lai-suat-vay-thau-chi")</f>
        <v>https://techcombank.com/thong-tin/blog/lai-suat-vay-thau-chi</v>
      </c>
      <c r="HY61" s="30" t="str">
        <f>IFERROR(__xludf.DUMMYFUNCTION("""COMPUTED_VALUE"""),"lãi suất ngân hàng hiện nay")</f>
        <v>lãi suất ngân hàng hiện nay</v>
      </c>
      <c r="HZ61" s="34" t="str">
        <f>IFERROR(__xludf.DUMMYFUNCTION("""COMPUTED_VALUE"""),"https://techcombank.com/thong-tin/blog/lai-suat-vay-tieu-dung")</f>
        <v>https://techcombank.com/thong-tin/blog/lai-suat-vay-tieu-dung</v>
      </c>
      <c r="IA61" s="30" t="str">
        <f>IFERROR(__xludf.DUMMYFUNCTION("""COMPUTED_VALUE"""),"lãi suất ngân hàng hiện nay")</f>
        <v>lãi suất ngân hàng hiện nay</v>
      </c>
      <c r="IB61" s="34" t="str">
        <f>IFERROR(__xludf.DUMMYFUNCTION("""COMPUTED_VALUE"""),"https://techcombank.com/thong-tin/blog/cach-tinh-lai-vay-ngan-hang")</f>
        <v>https://techcombank.com/thong-tin/blog/cach-tinh-lai-vay-ngan-hang</v>
      </c>
      <c r="IC61" s="30" t="str">
        <f>IFERROR(__xludf.DUMMYFUNCTION("""COMPUTED_VALUE"""),"lãi suất ngân hàng hôm nay")</f>
        <v>lãi suất ngân hàng hôm nay</v>
      </c>
      <c r="ID61" s="34" t="str">
        <f>IFERROR(__xludf.DUMMYFUNCTION("""COMPUTED_VALUE"""),"https://techcombank.com/thong-tin/blog/lai-suat-vay-ngan-hang")</f>
        <v>https://techcombank.com/thong-tin/blog/lai-suat-vay-ngan-hang</v>
      </c>
      <c r="IE61" s="30" t="str">
        <f>IFERROR(__xludf.DUMMYFUNCTION("""COMPUTED_VALUE"""),"lãi suất ngân hàng")</f>
        <v>lãi suất ngân hàng</v>
      </c>
      <c r="IF61" s="34" t="str">
        <f>IFERROR(__xludf.DUMMYFUNCTION("""COMPUTED_VALUE"""),"https://techcombank.com/thong-tin/blog/uu-dai-the-tin-dung-techcombank-signature")</f>
        <v>https://techcombank.com/thong-tin/blog/uu-dai-the-tin-dung-techcombank-signature</v>
      </c>
      <c r="IG61" s="30" t="str">
        <f>IFERROR(__xludf.DUMMYFUNCTION("""COMPUTED_VALUE"""),"lãi suất ngân hàng hiện nay")</f>
        <v>lãi suất ngân hàng hiện nay</v>
      </c>
      <c r="IH61" s="34" t="str">
        <f>IFERROR(__xludf.DUMMYFUNCTION("""COMPUTED_VALUE"""),"https://techcombank.com/thong-tin/blog/lai-suat-vay-tin-chap")</f>
        <v>https://techcombank.com/thong-tin/blog/lai-suat-vay-tin-chap</v>
      </c>
      <c r="II61" s="30" t="str">
        <f>IFERROR(__xludf.DUMMYFUNCTION("""COMPUTED_VALUE"""),"lãi suất ngân hàng")</f>
        <v>lãi suất ngân hàng</v>
      </c>
      <c r="IJ61" s="34" t="str">
        <f>IFERROR(__xludf.DUMMYFUNCTION("""COMPUTED_VALUE"""),"https://techcombank.com/thong-tin/blog/lai-suat-vay-kinh-doanh")</f>
        <v>https://techcombank.com/thong-tin/blog/lai-suat-vay-kinh-doanh</v>
      </c>
      <c r="IK61" s="30" t="str">
        <f>IFERROR(__xludf.DUMMYFUNCTION("""COMPUTED_VALUE"""),"lãi suất ngân hàng hiện nay")</f>
        <v>lãi suất ngân hàng hiện nay</v>
      </c>
      <c r="IL61" s="34" t="str">
        <f>IFERROR(__xludf.DUMMYFUNCTION("""COMPUTED_VALUE"""),"https://techcombank.com/thong-tin/blog/vay-tin-chap-va-vay-the-chap")</f>
        <v>https://techcombank.com/thong-tin/blog/vay-tin-chap-va-vay-the-chap</v>
      </c>
      <c r="IM61" s="30" t="str">
        <f>IFERROR(__xludf.DUMMYFUNCTION("""COMPUTED_VALUE"""),"lãi suất ngân hàng hiện nay")</f>
        <v>lãi suất ngân hàng hiện nay</v>
      </c>
      <c r="IN61" s="34" t="str">
        <f>IFERROR(__xludf.DUMMYFUNCTION("""COMPUTED_VALUE"""),"https://techcombank.com/thong-tin/blog/lai-suat-vay-the-chap-so-do")</f>
        <v>https://techcombank.com/thong-tin/blog/lai-suat-vay-the-chap-so-do</v>
      </c>
      <c r="IO61" s="30" t="str">
        <f>IFERROR(__xludf.DUMMYFUNCTION("""COMPUTED_VALUE"""),"lãi suất ngân hàng")</f>
        <v>lãi suất ngân hàng</v>
      </c>
      <c r="IP61" s="34" t="str">
        <f>IFERROR(__xludf.DUMMYFUNCTION("""COMPUTED_VALUE"""),"https://techcombank.com/thong-tin/blog/quy-trinh-tat-toan-khoan-vay-the-chap")</f>
        <v>https://techcombank.com/thong-tin/blog/quy-trinh-tat-toan-khoan-vay-the-chap</v>
      </c>
      <c r="IQ61" s="30" t="str">
        <f>IFERROR(__xludf.DUMMYFUNCTION("""COMPUTED_VALUE"""),"lãi suất gửi tiết kiệm ngân hàng")</f>
        <v>lãi suất gửi tiết kiệm ngân hàng</v>
      </c>
      <c r="IR61" s="34" t="str">
        <f>IFERROR(__xludf.DUMMYFUNCTION("""COMPUTED_VALUE"""),"https://techcombank.com/thong-tin/blog/ngan-hang-dien-tu")</f>
        <v>https://techcombank.com/thong-tin/blog/ngan-hang-dien-tu</v>
      </c>
      <c r="IS61" s="30" t="str">
        <f>IFERROR(__xludf.DUMMYFUNCTION("""COMPUTED_VALUE"""),"lãi suất gửi tiết kiệm ngân hàng")</f>
        <v>lãi suất gửi tiết kiệm ngân hàng</v>
      </c>
      <c r="IT61" s="34" t="str">
        <f>IFERROR(__xludf.DUMMYFUNCTION("""COMPUTED_VALUE"""),"https://techcombank.com/thong-tin/blog/nhung-kho-khan-khi-tiet-kiem-tien")</f>
        <v>https://techcombank.com/thong-tin/blog/nhung-kho-khan-khi-tiet-kiem-tien</v>
      </c>
      <c r="IU61" s="30" t="str">
        <f>IFERROR(__xludf.DUMMYFUNCTION("""COMPUTED_VALUE"""),"lãi suất ngân hàng")</f>
        <v>lãi suất ngân hàng</v>
      </c>
      <c r="IV61" s="34" t="str">
        <f>IFERROR(__xludf.DUMMYFUNCTION("""COMPUTED_VALUE"""),"https://techcombank.com/thong-tin/blog/dieu-kien-vay-von-ngan-hang")</f>
        <v>https://techcombank.com/thong-tin/blog/dieu-kien-vay-von-ngan-hang</v>
      </c>
      <c r="IW61" s="30" t="str">
        <f>IFERROR(__xludf.DUMMYFUNCTION("""COMPUTED_VALUE"""),"lãi suất ngân hàng")</f>
        <v>lãi suất ngân hàng</v>
      </c>
      <c r="IX61" s="34" t="str">
        <f>IFERROR(__xludf.DUMMYFUNCTION("""COMPUTED_VALUE"""),"https://techcombank.com/thong-tin/blog/cho-vay-tung-lan")</f>
        <v>https://techcombank.com/thong-tin/blog/cho-vay-tung-lan</v>
      </c>
      <c r="IY61" s="30" t="str">
        <f>IFERROR(__xludf.DUMMYFUNCTION("""COMPUTED_VALUE"""),"lãi suất ngân hàng")</f>
        <v>lãi suất ngân hàng</v>
      </c>
      <c r="IZ61" s="34" t="str">
        <f>IFERROR(__xludf.DUMMYFUNCTION("""COMPUTED_VALUE"""),"https://techcombank.com/thong-tin/blog/1-te-bang-bao-nhieu-tien-viet-nam")</f>
        <v>https://techcombank.com/thong-tin/blog/1-te-bang-bao-nhieu-tien-viet-nam</v>
      </c>
      <c r="JA61" s="30" t="str">
        <f>IFERROR(__xludf.DUMMYFUNCTION("""COMPUTED_VALUE"""),"lãi suất ngân hàng")</f>
        <v>lãi suất ngân hàng</v>
      </c>
      <c r="JB61" s="34" t="str">
        <f>IFERROR(__xludf.DUMMYFUNCTION("""COMPUTED_VALUE"""),"https://techcombank.com/thong-tin/blog/cach-thanh-toan-the-tin-dung")</f>
        <v>https://techcombank.com/thong-tin/blog/cach-thanh-toan-the-tin-dung</v>
      </c>
      <c r="JC61" s="30" t="str">
        <f>IFERROR(__xludf.DUMMYFUNCTION("""COMPUTED_VALUE"""),"lãi suất gửi tiết kiệm ngân hàng")</f>
        <v>lãi suất gửi tiết kiệm ngân hàng</v>
      </c>
      <c r="JD61" s="34" t="str">
        <f>IFERROR(__xludf.DUMMYFUNCTION("""COMPUTED_VALUE"""),"https://techcombank.com/thong-tin/blog/quan-ly-chuoi-cua-hang")</f>
        <v>https://techcombank.com/thong-tin/blog/quan-ly-chuoi-cua-hang</v>
      </c>
      <c r="JE61" s="30" t="str">
        <f>IFERROR(__xludf.DUMMYFUNCTION("""COMPUTED_VALUE"""),"lãi suất tiền gửi ngân hàng")</f>
        <v>lãi suất tiền gửi ngân hàng</v>
      </c>
      <c r="JF61" s="34" t="str">
        <f>IFERROR(__xludf.DUMMYFUNCTION("""COMPUTED_VALUE"""),"https://techcombank.com/thong-tin/blog/ngoai-te-la-gi")</f>
        <v>https://techcombank.com/thong-tin/blog/ngoai-te-la-gi</v>
      </c>
      <c r="JG61" s="30" t="str">
        <f>IFERROR(__xludf.DUMMYFUNCTION("""COMPUTED_VALUE"""),"lãi suất ngân hàng")</f>
        <v>lãi suất ngân hàng</v>
      </c>
      <c r="JH61" s="34" t="str">
        <f>IFERROR(__xludf.DUMMYFUNCTION("""COMPUTED_VALUE"""),"https://techcombank.com/thong-tin/blog/tin-dung-la-gi")</f>
        <v>https://techcombank.com/thong-tin/blog/tin-dung-la-gi</v>
      </c>
      <c r="JI61" s="30" t="str">
        <f>IFERROR(__xludf.DUMMYFUNCTION("""COMPUTED_VALUE"""),"lãi suất gửi tiết kiệm ngân hàng")</f>
        <v>lãi suất gửi tiết kiệm ngân hàng</v>
      </c>
      <c r="JJ61" s="34" t="str">
        <f>IFERROR(__xludf.DUMMYFUNCTION("""COMPUTED_VALUE"""),"https://techcombank.com/thong-tin/blog/cach-tiet-kiem-tien-theo-tuan")</f>
        <v>https://techcombank.com/thong-tin/blog/cach-tiet-kiem-tien-theo-tuan</v>
      </c>
      <c r="JK61" s="30" t="str">
        <f>IFERROR(__xludf.DUMMYFUNCTION("""COMPUTED_VALUE"""),"lãi suất ngân hàng")</f>
        <v>lãi suất ngân hàng</v>
      </c>
      <c r="JL61" s="34" t="str">
        <f>IFERROR(__xludf.DUMMYFUNCTION("""COMPUTED_VALUE"""),"https://techcombank.com/thong-tin/blog/quan-ly-tai-chinh-cho-dan-van-phong")</f>
        <v>https://techcombank.com/thong-tin/blog/quan-ly-tai-chinh-cho-dan-van-phong</v>
      </c>
      <c r="JM61" s="30" t="str">
        <f>IFERROR(__xludf.DUMMYFUNCTION("""COMPUTED_VALUE"""),"lãi suất ngân hàng")</f>
        <v>lãi suất ngân hàng</v>
      </c>
      <c r="JN61" s="34" t="str">
        <f>IFERROR(__xludf.DUMMYFUNCTION("""COMPUTED_VALUE"""),"https://techcombank.com/thong-tin/blog/dau-tu-ngan-han")</f>
        <v>https://techcombank.com/thong-tin/blog/dau-tu-ngan-han</v>
      </c>
      <c r="JO61" s="30" t="str">
        <f>IFERROR(__xludf.DUMMYFUNCTION("""COMPUTED_VALUE"""),"lãi suất ngân hàng tiền gửi")</f>
        <v>lãi suất ngân hàng tiền gửi</v>
      </c>
      <c r="JP61" s="34" t="str">
        <f>IFERROR(__xludf.DUMMYFUNCTION("""COMPUTED_VALUE"""),"https://techcombank.com/thong-tin/blog/tiet-kiem-tien-moi-ngay")</f>
        <v>https://techcombank.com/thong-tin/blog/tiet-kiem-tien-moi-ngay</v>
      </c>
      <c r="JQ61" s="30" t="str">
        <f>IFERROR(__xludf.DUMMYFUNCTION("""COMPUTED_VALUE"""),"lãi suất gửi tiết kiệm ngân hàng")</f>
        <v>lãi suất gửi tiết kiệm ngân hàng</v>
      </c>
      <c r="JR61" s="34" t="str">
        <f>IFERROR(__xludf.DUMMYFUNCTION("""COMPUTED_VALUE"""),"https://techcombank.com/thong-tin/blog/cach-tiet-kiem-100-trieu-1-nam")</f>
        <v>https://techcombank.com/thong-tin/blog/cach-tiet-kiem-100-trieu-1-nam</v>
      </c>
      <c r="JS61" s="30" t="str">
        <f>IFERROR(__xludf.DUMMYFUNCTION("""COMPUTED_VALUE"""),"lãi suất ngân hàng")</f>
        <v>lãi suất ngân hàng</v>
      </c>
      <c r="JT61" s="34" t="str">
        <f>IFERROR(__xludf.DUMMYFUNCTION("""COMPUTED_VALUE"""),"https://techcombank.com/thong-tin/blog/no-xau-co-lam-the-visa-duoc-khong")</f>
        <v>https://techcombank.com/thong-tin/blog/no-xau-co-lam-the-visa-duoc-khong</v>
      </c>
      <c r="JU61" s="30" t="str">
        <f>IFERROR(__xludf.DUMMYFUNCTION("""COMPUTED_VALUE"""),"lãi suất tiền gửi ngân hàng")</f>
        <v>lãi suất tiền gửi ngân hàng</v>
      </c>
      <c r="JV61" s="34" t="str">
        <f>IFERROR(__xludf.DUMMYFUNCTION("""COMPUTED_VALUE"""),"https://techcombank.com/thong-tin/blog/tai-khoan-tiet-kiem")</f>
        <v>https://techcombank.com/thong-tin/blog/tai-khoan-tiet-kiem</v>
      </c>
      <c r="JW61" s="30" t="str">
        <f>IFERROR(__xludf.DUMMYFUNCTION("""COMPUTED_VALUE"""),"lãi suất gửi tiết kiệm ngân hàng")</f>
        <v>lãi suất gửi tiết kiệm ngân hàng</v>
      </c>
      <c r="JX61" s="34" t="str">
        <f>IFERROR(__xludf.DUMMYFUNCTION("""COMPUTED_VALUE"""),"https://techcombank.com/thong-tin/blog/the-nao-la-tiet-kiem")</f>
        <v>https://techcombank.com/thong-tin/blog/the-nao-la-tiet-kiem</v>
      </c>
      <c r="JY61" s="30" t="str">
        <f>IFERROR(__xludf.DUMMYFUNCTION("""COMPUTED_VALUE"""),"lãi suất ngân hàng hiện nay")</f>
        <v>lãi suất ngân hàng hiện nay</v>
      </c>
      <c r="JZ61" s="34" t="str">
        <f>IFERROR(__xludf.DUMMYFUNCTION("""COMPUTED_VALUE"""),"https://techcombank.com/thong-tin/blog/thanh-toan-khi-du-lich-singapore")</f>
        <v>https://techcombank.com/thong-tin/blog/thanh-toan-khi-du-lich-singapore</v>
      </c>
      <c r="KA61" s="30" t="str">
        <f>IFERROR(__xludf.DUMMYFUNCTION("""COMPUTED_VALUE"""),"lãi suất ngân hàng")</f>
        <v>lãi suất ngân hàng</v>
      </c>
      <c r="KB61" s="34" t="str">
        <f>IFERROR(__xludf.DUMMYFUNCTION("""COMPUTED_VALUE"""),"https://techcombank.com/thong-tin/blog/co-nen-dung-the-tin-dung-khong")</f>
        <v>https://techcombank.com/thong-tin/blog/co-nen-dung-the-tin-dung-khong</v>
      </c>
      <c r="KC61" s="30" t="str">
        <f>IFERROR(__xludf.DUMMYFUNCTION("""COMPUTED_VALUE"""),"lãi suất ngân hàng hiện nay")</f>
        <v>lãi suất ngân hàng hiện nay</v>
      </c>
      <c r="KD61" s="34" t="str">
        <f>IFERROR(__xludf.DUMMYFUNCTION("""COMPUTED_VALUE"""),"https://techcombank.com/thong-tin/blog/tieu-dung-ben-vung")</f>
        <v>https://techcombank.com/thong-tin/blog/tieu-dung-ben-vung</v>
      </c>
      <c r="KE61" s="30" t="str">
        <f>IFERROR(__xludf.DUMMYFUNCTION("""COMPUTED_VALUE"""),"lãi suất ngân hàng tiền gửi")</f>
        <v>lãi suất ngân hàng tiền gửi</v>
      </c>
      <c r="KF61" s="34" t="str">
        <f>IFERROR(__xludf.DUMMYFUNCTION("""COMPUTED_VALUE"""),"https://techcombank.com/thong-tin/blog/cach-tiet-kiem-tien-cua-nguoi-nhat")</f>
        <v>https://techcombank.com/thong-tin/blog/cach-tiet-kiem-tien-cua-nguoi-nhat</v>
      </c>
      <c r="KG61" s="30" t="str">
        <f>IFERROR(__xludf.DUMMYFUNCTION("""COMPUTED_VALUE"""),"lãi suất gửi tiết kiệm ngân hàng")</f>
        <v>lãi suất gửi tiết kiệm ngân hàng</v>
      </c>
      <c r="KH61" s="34" t="str">
        <f>IFERROR(__xludf.DUMMYFUNCTION("""COMPUTED_VALUE"""),"https://techcombank.com/thong-tin/blog/tai-khoan-thanh-toan-la-gi")</f>
        <v>https://techcombank.com/thong-tin/blog/tai-khoan-thanh-toan-la-gi</v>
      </c>
      <c r="KI61" s="30" t="str">
        <f>IFERROR(__xludf.DUMMYFUNCTION("""COMPUTED_VALUE"""),"lãi suất gửi tiết kiệm ngân hàng")</f>
        <v>lãi suất gửi tiết kiệm ngân hàng</v>
      </c>
      <c r="KJ61" s="34" t="str">
        <f>IFERROR(__xludf.DUMMYFUNCTION("""COMPUTED_VALUE"""),"https://techcombank.com/thong-tin/blog/gui-them-tien-vao-so-tiet-kiem")</f>
        <v>https://techcombank.com/thong-tin/blog/gui-them-tien-vao-so-tiet-kiem</v>
      </c>
      <c r="KK61" s="30" t="str">
        <f>IFERROR(__xludf.DUMMYFUNCTION("""COMPUTED_VALUE"""),"lãi suất gửi tiết kiệm ngân hàng")</f>
        <v>lãi suất gửi tiết kiệm ngân hàng</v>
      </c>
      <c r="KL61" s="34" t="str">
        <f>IFERROR(__xludf.DUMMYFUNCTION("""COMPUTED_VALUE"""),"https://techcombank.com/thong-tin/blog/loi-ich-cua-viec-tiet-kiem-tien")</f>
        <v>https://techcombank.com/thong-tin/blog/loi-ich-cua-viec-tiet-kiem-tien</v>
      </c>
      <c r="KM61" s="30" t="str">
        <f>IFERROR(__xludf.DUMMYFUNCTION("""COMPUTED_VALUE"""),"lãi suất ngân hàng")</f>
        <v>lãi suất ngân hàng</v>
      </c>
      <c r="KN61" s="34" t="str">
        <f>IFERROR(__xludf.DUMMYFUNCTION("""COMPUTED_VALUE"""),"https://techcombank.com/thong-tin/blog/co-100-trieu-co-mua-nen-mua-tra-gop")</f>
        <v>https://techcombank.com/thong-tin/blog/co-100-trieu-co-mua-nen-mua-tra-gop</v>
      </c>
      <c r="KO61" s="30" t="str">
        <f>IFERROR(__xludf.DUMMYFUNCTION("""COMPUTED_VALUE"""),"lãi suất tiền gửi ngân hàng")</f>
        <v>lãi suất tiền gửi ngân hàng</v>
      </c>
      <c r="KP61" s="34" t="str">
        <f>IFERROR(__xludf.DUMMYFUNCTION("""COMPUTED_VALUE"""),"https://techcombank.com/thong-tin/blog/phan-mem-lap-ke-hoach-tai-chinh-ca-nhan")</f>
        <v>https://techcombank.com/thong-tin/blog/phan-mem-lap-ke-hoach-tai-chinh-ca-nhan</v>
      </c>
      <c r="KQ61" s="30" t="str">
        <f>IFERROR(__xludf.DUMMYFUNCTION("""COMPUTED_VALUE"""),"lãi suất ngân hàng hiện nay")</f>
        <v>lãi suất ngân hàng hiện nay</v>
      </c>
      <c r="KR61" s="34" t="str">
        <f>IFERROR(__xludf.DUMMYFUNCTION("""COMPUTED_VALUE"""),"https://techcombank.com/thong-tin/blog/chuyen-doi-xanh")</f>
        <v>https://techcombank.com/thong-tin/blog/chuyen-doi-xanh</v>
      </c>
      <c r="KS61" s="30" t="str">
        <f>IFERROR(__xludf.DUMMYFUNCTION("""COMPUTED_VALUE"""),"lãi suất ngân hàng tiền gửi")</f>
        <v>lãi suất ngân hàng tiền gửi</v>
      </c>
      <c r="KT61" s="34" t="str">
        <f>IFERROR(__xludf.DUMMYFUNCTION("""COMPUTED_VALUE"""),"https://techcombank.com/thong-tin/blog/mat-so-tiet-kiem")</f>
        <v>https://techcombank.com/thong-tin/blog/mat-so-tiet-kiem</v>
      </c>
      <c r="KU61" s="30" t="str">
        <f>IFERROR(__xludf.DUMMYFUNCTION("""COMPUTED_VALUE"""),"lãi suất ngân hàng")</f>
        <v>lãi suất ngân hàng</v>
      </c>
      <c r="KV61" s="34" t="str">
        <f>IFERROR(__xludf.DUMMYFUNCTION("""COMPUTED_VALUE"""),"https://techcombank.com/thong-tin/blog/nap-tien-vao-tai-khoan-ngan-hang")</f>
        <v>https://techcombank.com/thong-tin/blog/nap-tien-vao-tai-khoan-ngan-hang</v>
      </c>
      <c r="KW61" s="30" t="str">
        <f>IFERROR(__xludf.DUMMYFUNCTION("""COMPUTED_VALUE"""),"lãi suất ngân hàng")</f>
        <v>lãi suất ngân hàng</v>
      </c>
      <c r="KX61" s="34" t="str">
        <f>IFERROR(__xludf.DUMMYFUNCTION("""COMPUTED_VALUE"""),"https://techcombank.com/thong-tin/blog/vay-ngan-hang-1-ty-moi-thang-tra-bao-nhieu")</f>
        <v>https://techcombank.com/thong-tin/blog/vay-ngan-hang-1-ty-moi-thang-tra-bao-nhieu</v>
      </c>
      <c r="KY61" s="30" t="str">
        <f>IFERROR(__xludf.DUMMYFUNCTION("""COMPUTED_VALUE"""),"lãi suất ngân hàng hiện nay")</f>
        <v>lãi suất ngân hàng hiện nay</v>
      </c>
      <c r="KZ61" s="34" t="str">
        <f>IFERROR(__xludf.DUMMYFUNCTION("""COMPUTED_VALUE"""),"https://techcombank.com/thong-tin/blog/thanh-toan-khi-du-lich-han-quoc")</f>
        <v>https://techcombank.com/thong-tin/blog/thanh-toan-khi-du-lich-han-quoc</v>
      </c>
      <c r="LA61" s="30" t="str">
        <f>IFERROR(__xludf.DUMMYFUNCTION("""COMPUTED_VALUE"""),"lãi suất tiền gửi ngân hàng")</f>
        <v>lãi suất tiền gửi ngân hàng</v>
      </c>
      <c r="LB61" s="34" t="str">
        <f>IFERROR(__xludf.DUMMYFUNCTION("""COMPUTED_VALUE"""),"https://techcombank.com/thong-tin/blog/co-nen-gui-chung-chi-tien-gui")</f>
        <v>https://techcombank.com/thong-tin/blog/co-nen-gui-chung-chi-tien-gui</v>
      </c>
      <c r="LC61" s="30" t="str">
        <f>IFERROR(__xludf.DUMMYFUNCTION("""COMPUTED_VALUE"""),"lãi suất ngân hàng hôm nay")</f>
        <v>lãi suất ngân hàng hôm nay</v>
      </c>
      <c r="LD61" s="34" t="str">
        <f>IFERROR(__xludf.DUMMYFUNCTION("""COMPUTED_VALUE"""),"https://techcombank.com/thong-tin/blog/cashback-the-thanh-toan")</f>
        <v>https://techcombank.com/thong-tin/blog/cashback-the-thanh-toan</v>
      </c>
      <c r="LE61" s="30" t="str">
        <f>IFERROR(__xludf.DUMMYFUNCTION("""COMPUTED_VALUE"""),"lãi suất ngân hàng tiền gửi")</f>
        <v>lãi suất ngân hàng tiền gửi</v>
      </c>
      <c r="LF61" s="34" t="str">
        <f>IFERROR(__xludf.DUMMYFUNCTION("""COMPUTED_VALUE"""),"https://techcombank.com/thong-tin/blog/hoc-cach-tiet-kiem-tien-luong")</f>
        <v>https://techcombank.com/thong-tin/blog/hoc-cach-tiet-kiem-tien-luong</v>
      </c>
      <c r="LG61" s="30" t="str">
        <f>IFERROR(__xludf.DUMMYFUNCTION("""COMPUTED_VALUE"""),"lãi suất ngân hàng")</f>
        <v>lãi suất ngân hàng</v>
      </c>
      <c r="LH61" s="34" t="str">
        <f>IFERROR(__xludf.DUMMYFUNCTION("""COMPUTED_VALUE"""),"https://techcombank.com/thong-tin/blog/thu-tuc-vay-von-kinh-doanh-nho")</f>
        <v>https://techcombank.com/thong-tin/blog/thu-tuc-vay-von-kinh-doanh-nho</v>
      </c>
      <c r="LI61" s="30" t="str">
        <f>IFERROR(__xludf.DUMMYFUNCTION("""COMPUTED_VALUE"""),"lãi suất ngân hàng")</f>
        <v>lãi suất ngân hàng</v>
      </c>
      <c r="LJ61" s="34" t="str">
        <f>IFERROR(__xludf.DUMMYFUNCTION("""COMPUTED_VALUE"""),"https://techcombank.com/thong-tin/blog/mobile-banking-la-gi")</f>
        <v>https://techcombank.com/thong-tin/blog/mobile-banking-la-gi</v>
      </c>
      <c r="LK61" s="30" t="str">
        <f>IFERROR(__xludf.DUMMYFUNCTION("""COMPUTED_VALUE"""),"lãi suất ngân hàng")</f>
        <v>lãi suất ngân hàng</v>
      </c>
      <c r="LL61" s="34" t="str">
        <f>IFERROR(__xludf.DUMMYFUNCTION("""COMPUTED_VALUE"""),"https://techcombank.com/thong-tin/blog/uu-dai-mo-the-tin-dung")</f>
        <v>https://techcombank.com/thong-tin/blog/uu-dai-mo-the-tin-dung</v>
      </c>
      <c r="LM61" s="30" t="str">
        <f>IFERROR(__xludf.DUMMYFUNCTION("""COMPUTED_VALUE"""),"lãi suất gửi tiết kiệm ngân hàng")</f>
        <v>lãi suất gửi tiết kiệm ngân hàng</v>
      </c>
      <c r="LN61" s="34" t="str">
        <f>IFERROR(__xludf.DUMMYFUNCTION("""COMPUTED_VALUE"""),"https://techcombank.com/thong-tin/blog/cach-tiet-kiem-tien-hieu-qua-cho-gia-dinh")</f>
        <v>https://techcombank.com/thong-tin/blog/cach-tiet-kiem-tien-hieu-qua-cho-gia-dinh</v>
      </c>
      <c r="LO61" s="30" t="str">
        <f>IFERROR(__xludf.DUMMYFUNCTION("""COMPUTED_VALUE"""),"lãi suất gửi tiết kiệm ngân hàng")</f>
        <v>lãi suất gửi tiết kiệm ngân hàng</v>
      </c>
      <c r="LP61" s="34" t="str">
        <f>IFERROR(__xludf.DUMMYFUNCTION("""COMPUTED_VALUE"""),"https://techcombank.com/thong-tin/blog/khau-vi-nha-dau-tu-tpdn-thay-doi-the-nao-sau-nhung-bien-dong-vua-qua")</f>
        <v>https://techcombank.com/thong-tin/blog/khau-vi-nha-dau-tu-tpdn-thay-doi-the-nao-sau-nhung-bien-dong-vua-qua</v>
      </c>
      <c r="LQ61" s="30" t="str">
        <f>IFERROR(__xludf.DUMMYFUNCTION("""COMPUTED_VALUE"""),"lãi suất ngân hàng hiện nay")</f>
        <v>lãi suất ngân hàng hiện nay</v>
      </c>
      <c r="LR61" s="34" t="str">
        <f>IFERROR(__xludf.DUMMYFUNCTION("""COMPUTED_VALUE"""),"https://techcombank.com/thong-tin/blog/uu-dai-the-tin-dung")</f>
        <v>https://techcombank.com/thong-tin/blog/uu-dai-the-tin-dung</v>
      </c>
      <c r="LS61" s="30" t="str">
        <f>IFERROR(__xludf.DUMMYFUNCTION("""COMPUTED_VALUE"""),"lãi suất ngân hàng")</f>
        <v>lãi suất ngân hàng</v>
      </c>
      <c r="LT61" s="34" t="str">
        <f>IFERROR(__xludf.DUMMYFUNCTION("""COMPUTED_VALUE"""),"https://techcombank.com/thong-tin/blog/tat-toan-chung-chi-tien-gui")</f>
        <v>https://techcombank.com/thong-tin/blog/tat-toan-chung-chi-tien-gui</v>
      </c>
      <c r="LU61" s="30" t="str">
        <f>IFERROR(__xludf.DUMMYFUNCTION("""COMPUTED_VALUE"""),"lãi suất tiền gửi ngân hàng")</f>
        <v>lãi suất tiền gửi ngân hàng</v>
      </c>
      <c r="LV61" s="34" t="str">
        <f>IFERROR(__xludf.DUMMYFUNCTION("""COMPUTED_VALUE"""),"https://techcombank.com/thong-tin/blog/tai-khoan-ngan-hang-la-gi")</f>
        <v>https://techcombank.com/thong-tin/blog/tai-khoan-ngan-hang-la-gi</v>
      </c>
      <c r="LW61" s="30" t="str">
        <f>IFERROR(__xludf.DUMMYFUNCTION("""COMPUTED_VALUE"""),"lãi suất ngân hàng hiện nay")</f>
        <v>lãi suất ngân hàng hiện nay</v>
      </c>
      <c r="LX61" s="34" t="str">
        <f>IFERROR(__xludf.DUMMYFUNCTION("""COMPUTED_VALUE"""),"https://techcombank.com/thong-tin/blog/mo-the-tin-dung-khong-can-chung-minh-thu-nhap")</f>
        <v>https://techcombank.com/thong-tin/blog/mo-the-tin-dung-khong-can-chung-minh-thu-nhap</v>
      </c>
      <c r="LY61" s="30" t="str">
        <f>IFERROR(__xludf.DUMMYFUNCTION("""COMPUTED_VALUE"""),"lãi suất ngân hàng")</f>
        <v>lãi suất ngân hàng</v>
      </c>
      <c r="LZ61" s="34" t="str">
        <f>IFERROR(__xludf.DUMMYFUNCTION("""COMPUTED_VALUE"""),"https://techcombank.com/thong-tin/blog/tat-toan")</f>
        <v>https://techcombank.com/thong-tin/blog/tat-toan</v>
      </c>
      <c r="MA61" s="30" t="str">
        <f>IFERROR(__xludf.DUMMYFUNCTION("""COMPUTED_VALUE"""),"lãi suất ngân hàng tiền gửi")</f>
        <v>lãi suất ngân hàng tiền gửi</v>
      </c>
      <c r="MB61" s="34" t="str">
        <f>IFERROR(__xludf.DUMMYFUNCTION("""COMPUTED_VALUE"""),"https://techcombank.com/thong-tin/blog/so-du-kha-dung")</f>
        <v>https://techcombank.com/thong-tin/blog/so-du-kha-dung</v>
      </c>
      <c r="MC61" s="30" t="str">
        <f>IFERROR(__xludf.DUMMYFUNCTION("""COMPUTED_VALUE"""),"lãi suất ngân hàng")</f>
        <v>lãi suất ngân hàng</v>
      </c>
      <c r="MD61" s="34" t="str">
        <f>IFERROR(__xludf.DUMMYFUNCTION("""COMPUTED_VALUE"""),"https://techcombank.com/thong-tin/blog/thu-tuc-vay-von-ngan-hang-de-xay-nha")</f>
        <v>https://techcombank.com/thong-tin/blog/thu-tuc-vay-von-ngan-hang-de-xay-nha</v>
      </c>
      <c r="ME61" s="30" t="str">
        <f>IFERROR(__xludf.DUMMYFUNCTION("""COMPUTED_VALUE"""),"lãi suất ngân hàng")</f>
        <v>lãi suất ngân hàng</v>
      </c>
      <c r="MF61" s="34" t="str">
        <f>IFERROR(__xludf.DUMMYFUNCTION("""COMPUTED_VALUE"""),"https://techcombank.com/thong-tin/blog/du-no-la-gi")</f>
        <v>https://techcombank.com/thong-tin/blog/du-no-la-gi</v>
      </c>
      <c r="MG61" s="30" t="str">
        <f>IFERROR(__xludf.DUMMYFUNCTION("""COMPUTED_VALUE"""),"lãi suất tiền gửi ngân hàng")</f>
        <v>lãi suất tiền gửi ngân hàng</v>
      </c>
      <c r="MH61" s="34" t="str">
        <f>IFERROR(__xludf.DUMMYFUNCTION("""COMPUTED_VALUE"""),"https://techcombank.com/thong-tin/blog/nguyen-tac-quan-ly-tai-chinh-ca-nhan")</f>
        <v>https://techcombank.com/thong-tin/blog/nguyen-tac-quan-ly-tai-chinh-ca-nhan</v>
      </c>
      <c r="MI61" s="30" t="str">
        <f>IFERROR(__xludf.DUMMYFUNCTION("""COMPUTED_VALUE"""),"lãi suất gửi tiết kiệm ngân hàng")</f>
        <v>lãi suất gửi tiết kiệm ngân hàng</v>
      </c>
      <c r="MJ61" s="34" t="str">
        <f>IFERROR(__xludf.DUMMYFUNCTION("""COMPUTED_VALUE"""),"https://techcombank.com/thong-tin/blog/5-trieu-mua-duoc-bao-nhieu-vang")</f>
        <v>https://techcombank.com/thong-tin/blog/5-trieu-mua-duoc-bao-nhieu-vang</v>
      </c>
      <c r="MK61" s="30" t="str">
        <f>IFERROR(__xludf.DUMMYFUNCTION("""COMPUTED_VALUE"""),"lãi suất ngân hàng")</f>
        <v>lãi suất ngân hàng</v>
      </c>
      <c r="ML61" s="34" t="str">
        <f>IFERROR(__xludf.DUMMYFUNCTION("""COMPUTED_VALUE"""),"https://techcombank.com/thong-tin/blog/quan-ly-tai-chinh-doanh-nghiep-nho")</f>
        <v>https://techcombank.com/thong-tin/blog/quan-ly-tai-chinh-doanh-nghiep-nho</v>
      </c>
      <c r="MM61" s="30" t="str">
        <f>IFERROR(__xludf.DUMMYFUNCTION("""COMPUTED_VALUE"""),"lãi suất gửi tiết kiệm ngân hàng")</f>
        <v>lãi suất gửi tiết kiệm ngân hàng</v>
      </c>
      <c r="MN61" s="34" t="str">
        <f>IFERROR(__xludf.DUMMYFUNCTION("""COMPUTED_VALUE"""),"https://techcombank.com/thong-tin/blog/tai-san-va-tieu-san-la-gi")</f>
        <v>https://techcombank.com/thong-tin/blog/tai-san-va-tieu-san-la-gi</v>
      </c>
      <c r="MO61" s="30" t="str">
        <f>IFERROR(__xludf.DUMMYFUNCTION("""COMPUTED_VALUE"""),"lãi suất ngân hàng")</f>
        <v>lãi suất ngân hàng</v>
      </c>
      <c r="MP61" s="34" t="str">
        <f>IFERROR(__xludf.DUMMYFUNCTION("""COMPUTED_VALUE"""),"https://techcombank.com/thong-tin/blog/thanh-toan-toi-thieu-the-tin-dung")</f>
        <v>https://techcombank.com/thong-tin/blog/thanh-toan-toi-thieu-the-tin-dung</v>
      </c>
      <c r="MQ61" s="30" t="str">
        <f>IFERROR(__xludf.DUMMYFUNCTION("""COMPUTED_VALUE"""),"lãi suất ngân hàng")</f>
        <v>lãi suất ngân hàng</v>
      </c>
      <c r="MR61" s="34" t="str">
        <f>IFERROR(__xludf.DUMMYFUNCTION("""COMPUTED_VALUE"""),"https://techcombank.com/thong-tin/blog/fintech-la-gi")</f>
        <v>https://techcombank.com/thong-tin/blog/fintech-la-gi</v>
      </c>
      <c r="MS61" s="30" t="str">
        <f>IFERROR(__xludf.DUMMYFUNCTION("""COMPUTED_VALUE"""),"lãi suất ngân hàng")</f>
        <v>lãi suất ngân hàng</v>
      </c>
      <c r="MT61" s="34" t="str">
        <f>IFERROR(__xludf.DUMMYFUNCTION("""COMPUTED_VALUE"""),"https://techcombank.com/thong-tin/blog/ty-gia-la-gi")</f>
        <v>https://techcombank.com/thong-tin/blog/ty-gia-la-gi</v>
      </c>
      <c r="MU61" s="30" t="str">
        <f>IFERROR(__xludf.DUMMYFUNCTION("""COMPUTED_VALUE"""),"lãi suất gửi tiết kiệm ngân hàng")</f>
        <v>lãi suất gửi tiết kiệm ngân hàng</v>
      </c>
      <c r="MV61" s="34" t="str">
        <f>IFERROR(__xludf.DUMMYFUNCTION("""COMPUTED_VALUE"""),"https://techcombank.com/thong-tin/blog/6-chiec-lo-tai-chinh-ca-nhan")</f>
        <v>https://techcombank.com/thong-tin/blog/6-chiec-lo-tai-chinh-ca-nhan</v>
      </c>
      <c r="MW61" s="30" t="str">
        <f>IFERROR(__xludf.DUMMYFUNCTION("""COMPUTED_VALUE"""),"lãi suất ngân hàng")</f>
        <v>lãi suất ngân hàng</v>
      </c>
      <c r="MX61" s="34" t="str">
        <f>IFERROR(__xludf.DUMMYFUNCTION("""COMPUTED_VALUE"""),"https://techcombank.com/thong-tin/blog/quy-trinh-cho-vay-tieu-dung")</f>
        <v>https://techcombank.com/thong-tin/blog/quy-trinh-cho-vay-tieu-dung</v>
      </c>
      <c r="MY61" s="30" t="str">
        <f>IFERROR(__xludf.DUMMYFUNCTION("""COMPUTED_VALUE"""),"lãi suất gửi tiết kiệm ngân hàng")</f>
        <v>lãi suất gửi tiết kiệm ngân hàng</v>
      </c>
      <c r="MZ61" s="34" t="str">
        <f>IFERROR(__xludf.DUMMYFUNCTION("""COMPUTED_VALUE"""),"https://techcombank.com/thong-tin/blog/cach-quan-ly-tai-san")</f>
        <v>https://techcombank.com/thong-tin/blog/cach-quan-ly-tai-san</v>
      </c>
      <c r="NA61" s="30" t="str">
        <f>IFERROR(__xludf.DUMMYFUNCTION("""COMPUTED_VALUE"""),"lãi suất ngân hàng")</f>
        <v>lãi suất ngân hàng</v>
      </c>
      <c r="NB61" s="34" t="str">
        <f>IFERROR(__xludf.DUMMYFUNCTION("""COMPUTED_VALUE"""),"https://techcombank.com/thong-tin/blog/vay-kinh-doanh-online")</f>
        <v>https://techcombank.com/thong-tin/blog/vay-kinh-doanh-online</v>
      </c>
      <c r="NC61" s="30" t="str">
        <f>IFERROR(__xludf.DUMMYFUNCTION("""COMPUTED_VALUE"""),"lãi suất ngân hàng tiền gửi")</f>
        <v>lãi suất ngân hàng tiền gửi</v>
      </c>
      <c r="ND61" s="34" t="str">
        <f>IFERROR(__xludf.DUMMYFUNCTION("""COMPUTED_VALUE"""),"https://techcombank.com/thong-tin/blog/chung-chi-tien-gui-co-duoc-bao-hiem-khong")</f>
        <v>https://techcombank.com/thong-tin/blog/chung-chi-tien-gui-co-duoc-bao-hiem-khong</v>
      </c>
      <c r="NE61" s="30" t="str">
        <f>IFERROR(__xludf.DUMMYFUNCTION("""COMPUTED_VALUE"""),"lãi suất tiền gửi ngân hàng")</f>
        <v>lãi suất tiền gửi ngân hàng</v>
      </c>
      <c r="NF61" s="34" t="str">
        <f>IFERROR(__xludf.DUMMYFUNCTION("""COMPUTED_VALUE"""),"https://techcombank.com/thong-tin/blog/chuyen-nhuong-chung-chi-tien-gui")</f>
        <v>https://techcombank.com/thong-tin/blog/chuyen-nhuong-chung-chi-tien-gui</v>
      </c>
      <c r="NG61" s="30" t="str">
        <f>IFERROR(__xludf.DUMMYFUNCTION("""COMPUTED_VALUE"""),"lãi suất ngân hàng")</f>
        <v>lãi suất ngân hàng</v>
      </c>
      <c r="NH61" s="34" t="str">
        <f>IFERROR(__xludf.DUMMYFUNCTION("""COMPUTED_VALUE"""),"https://techcombank.com/thong-tin/blog/chung-chi-tien-gui-co-phai-la-trai-phieu-khong")</f>
        <v>https://techcombank.com/thong-tin/blog/chung-chi-tien-gui-co-phai-la-trai-phieu-khong</v>
      </c>
      <c r="NI61" s="30" t="str">
        <f>IFERROR(__xludf.DUMMYFUNCTION("""COMPUTED_VALUE"""),"lãi suất ngân hàng")</f>
        <v>lãi suất ngân hàng</v>
      </c>
      <c r="NJ61" s="34" t="str">
        <f>IFERROR(__xludf.DUMMYFUNCTION("""COMPUTED_VALUE"""),"https://techcombank.com/thong-tin/blog/vay-tra-gop")</f>
        <v>https://techcombank.com/thong-tin/blog/vay-tra-gop</v>
      </c>
      <c r="NK61" s="30" t="str">
        <f>IFERROR(__xludf.DUMMYFUNCTION("""COMPUTED_VALUE"""),"lãi suất ngân hàng tiền gửi")</f>
        <v>lãi suất ngân hàng tiền gửi</v>
      </c>
      <c r="NL61" s="34" t="str">
        <f>IFERROR(__xludf.DUMMYFUNCTION("""COMPUTED_VALUE"""),"https://techcombank.com/thong-tin/blog/tinh-thanh-khoan-la-gi")</f>
        <v>https://techcombank.com/thong-tin/blog/tinh-thanh-khoan-la-gi</v>
      </c>
      <c r="NM61" s="30" t="str">
        <f>IFERROR(__xludf.DUMMYFUNCTION("""COMPUTED_VALUE"""),"lãi suất ngân hàng")</f>
        <v>lãi suất ngân hàng</v>
      </c>
      <c r="NN61" s="34" t="str">
        <f>IFERROR(__xludf.DUMMYFUNCTION("""COMPUTED_VALUE"""),"https://techcombank.com/thong-tin/blog/kinh-nghiem-mua-vang-tich-tru")</f>
        <v>https://techcombank.com/thong-tin/blog/kinh-nghiem-mua-vang-tich-tru</v>
      </c>
      <c r="NO61" s="30" t="str">
        <f>IFERROR(__xludf.DUMMYFUNCTION("""COMPUTED_VALUE"""),"lãi suất ngân hàng hiện nay")</f>
        <v>lãi suất ngân hàng hiện nay</v>
      </c>
      <c r="NP61" s="34" t="str">
        <f>IFERROR(__xludf.DUMMYFUNCTION("""COMPUTED_VALUE"""),"https://techcombank.com/thong-tin/blog/mo-tai-khoan-ngan-hang-cho-tre-em")</f>
        <v>https://techcombank.com/thong-tin/blog/mo-tai-khoan-ngan-hang-cho-tre-em</v>
      </c>
      <c r="NQ61" s="30" t="str">
        <f>IFERROR(__xludf.DUMMYFUNCTION("""COMPUTED_VALUE"""),"lãi suất ngân hàng")</f>
        <v>lãi suất ngân hàng</v>
      </c>
      <c r="NR61" s="34" t="str">
        <f>IFERROR(__xludf.DUMMYFUNCTION("""COMPUTED_VALUE"""),"https://techcombank.com/thong-tin/blog/1000-yen-bang-bao-nhieu-tien-viet")</f>
        <v>https://techcombank.com/thong-tin/blog/1000-yen-bang-bao-nhieu-tien-viet</v>
      </c>
      <c r="NS61" s="30" t="str">
        <f>IFERROR(__xludf.DUMMYFUNCTION("""COMPUTED_VALUE"""),"lãi suất ngân hàng hiện nay")</f>
        <v>lãi suất ngân hàng hiện nay</v>
      </c>
      <c r="NT61" s="34" t="str">
        <f>IFERROR(__xludf.DUMMYFUNCTION("""COMPUTED_VALUE"""),"https://techcombank.com/thong-tin/blog/vay-tin-chap-theo-luong")</f>
        <v>https://techcombank.com/thong-tin/blog/vay-tin-chap-theo-luong</v>
      </c>
      <c r="NU61" s="30" t="str">
        <f>IFERROR(__xludf.DUMMYFUNCTION("""COMPUTED_VALUE"""),"lãi suất tiền gửi ngân hàng")</f>
        <v>lãi suất tiền gửi ngân hàng</v>
      </c>
      <c r="NV61" s="34" t="str">
        <f>IFERROR(__xludf.DUMMYFUNCTION("""COMPUTED_VALUE"""),"https://techcombank.com/thong-tin/blog/cach-tinh-loi-nhuan-chung-chi-tien-gui")</f>
        <v>https://techcombank.com/thong-tin/blog/cach-tinh-loi-nhuan-chung-chi-tien-gui</v>
      </c>
      <c r="NW61" s="30" t="str">
        <f>IFERROR(__xludf.DUMMYFUNCTION("""COMPUTED_VALUE"""),"lãi suất ngân hàng")</f>
        <v>lãi suất ngân hàng</v>
      </c>
      <c r="NX61" s="34" t="str">
        <f>IFERROR(__xludf.DUMMYFUNCTION("""COMPUTED_VALUE"""),"https://techcombank.com/thong-tin/blog/rut-tien-bao-hiem-nhan-tho-khi-het-han")</f>
        <v>https://techcombank.com/thong-tin/blog/rut-tien-bao-hiem-nhan-tho-khi-het-han</v>
      </c>
      <c r="NY61" s="30" t="str">
        <f>IFERROR(__xludf.DUMMYFUNCTION("""COMPUTED_VALUE"""),"lãi suất ngân hàng hôm nay")</f>
        <v>lãi suất ngân hàng hôm nay</v>
      </c>
      <c r="NZ61" s="34" t="str">
        <f>IFERROR(__xludf.DUMMYFUNCTION("""COMPUTED_VALUE"""),"https://techcombank.com/thong-tin/blog/ho-kinh-doanh-can-gi-o-tai-khoan-ngan-hang")</f>
        <v>https://techcombank.com/thong-tin/blog/ho-kinh-doanh-can-gi-o-tai-khoan-ngan-hang</v>
      </c>
      <c r="OA61" s="30" t="str">
        <f>IFERROR(__xludf.DUMMYFUNCTION("""COMPUTED_VALUE"""),"lãi suất ngân hàng")</f>
        <v>lãi suất ngân hàng</v>
      </c>
      <c r="OB61" s="34" t="str">
        <f>IFERROR(__xludf.DUMMYFUNCTION("""COMPUTED_VALUE"""),"https://techcombank.com/thong-tin/blog/the-tin-dung-hoan-tien")</f>
        <v>https://techcombank.com/thong-tin/blog/the-tin-dung-hoan-tien</v>
      </c>
      <c r="OC61" s="30" t="str">
        <f>IFERROR(__xludf.DUMMYFUNCTION("""COMPUTED_VALUE"""),"lãi suất ngân hàng")</f>
        <v>lãi suất ngân hàng</v>
      </c>
      <c r="OD61" s="34" t="str">
        <f>IFERROR(__xludf.DUMMYFUNCTION("""COMPUTED_VALUE"""),"https://techcombank.com/thong-tin/blog/bao-hiem-lien-ket-dau-tu")</f>
        <v>https://techcombank.com/thong-tin/blog/bao-hiem-lien-ket-dau-tu</v>
      </c>
      <c r="OE61" s="30" t="str">
        <f>IFERROR(__xludf.DUMMYFUNCTION("""COMPUTED_VALUE"""),"lãi suất ngân hàng nào cao nhất")</f>
        <v>lãi suất ngân hàng nào cao nhất</v>
      </c>
      <c r="OF61" s="34" t="str">
        <f>IFERROR(__xludf.DUMMYFUNCTION("""COMPUTED_VALUE"""),"https://techcombank.com/thong-tin/blog/anh-sang-cuoi-duong-ham-xuat-hien-trai-phieu-doanh-nghiep-tot-va-an-toan-se-duoc-nha-dau-tu-chon")</f>
        <v>https://techcombank.com/thong-tin/blog/anh-sang-cuoi-duong-ham-xuat-hien-trai-phieu-doanh-nghiep-tot-va-an-toan-se-duoc-nha-dau-tu-chon</v>
      </c>
      <c r="OG61" s="30" t="str">
        <f>IFERROR(__xludf.DUMMYFUNCTION("""COMPUTED_VALUE"""),"lãi suất ngân hàng")</f>
        <v>lãi suất ngân hàng</v>
      </c>
      <c r="OH61" s="34" t="str">
        <f>IFERROR(__xludf.DUMMYFUNCTION("""COMPUTED_VALUE"""),"https://techcombank.com/thong-tin/blog/dieu-kien-vay-the-chap")</f>
        <v>https://techcombank.com/thong-tin/blog/dieu-kien-vay-the-chap</v>
      </c>
      <c r="OI61" s="30" t="str">
        <f>IFERROR(__xludf.DUMMYFUNCTION("""COMPUTED_VALUE"""),"lãi suất ngân hàng tiền gửi")</f>
        <v>lãi suất ngân hàng tiền gửi</v>
      </c>
      <c r="OJ61" s="34" t="str">
        <f>IFERROR(__xludf.DUMMYFUNCTION("""COMPUTED_VALUE"""),"https://techcombank.com/thong-tin/blog/chung-chi-quy-dong")</f>
        <v>https://techcombank.com/thong-tin/blog/chung-chi-quy-dong</v>
      </c>
      <c r="OK61" s="30" t="str">
        <f>IFERROR(__xludf.DUMMYFUNCTION("""COMPUTED_VALUE"""),"lãi suất ngân hàng")</f>
        <v>lãi suất ngân hàng</v>
      </c>
      <c r="OL61" s="34" t="str">
        <f>IFERROR(__xludf.DUMMYFUNCTION("""COMPUTED_VALUE"""),"https://techcombank.com/thong-tin/blog/thu-tuc-vay-von-doanh-nghiep")</f>
        <v>https://techcombank.com/thong-tin/blog/thu-tuc-vay-von-doanh-nghiep</v>
      </c>
      <c r="OM61" s="30" t="str">
        <f>IFERROR(__xludf.DUMMYFUNCTION("""COMPUTED_VALUE"""),"lãi suất ngân hàng")</f>
        <v>lãi suất ngân hàng</v>
      </c>
      <c r="ON61" s="34" t="str">
        <f>IFERROR(__xludf.DUMMYFUNCTION("""COMPUTED_VALUE"""),"https://techcombank.com/thong-tin/blog/bao-hiem-sinh-ky-la-gi")</f>
        <v>https://techcombank.com/thong-tin/blog/bao-hiem-sinh-ky-la-gi</v>
      </c>
      <c r="OO61" s="30" t="str">
        <f>IFERROR(__xludf.DUMMYFUNCTION("""COMPUTED_VALUE"""),"lãi suất tiền gửi ngân hàng")</f>
        <v>lãi suất tiền gửi ngân hàng</v>
      </c>
      <c r="OP61" s="34" t="str">
        <f>IFERROR(__xludf.DUMMYFUNCTION("""COMPUTED_VALUE"""),"https://techcombank.com/thong-tin/blog/ly-do-ngan-hang-so-tro-thanh-cong-cu-tai-chinh-hang-dau-cua-gioi-tre")</f>
        <v>https://techcombank.com/thong-tin/blog/ly-do-ngan-hang-so-tro-thanh-cong-cu-tai-chinh-hang-dau-cua-gioi-tre</v>
      </c>
      <c r="OQ61" s="30" t="str">
        <f>IFERROR(__xludf.DUMMYFUNCTION("""COMPUTED_VALUE"""),"lãi suất ngân hàng hiện nay")</f>
        <v>lãi suất ngân hàng hiện nay</v>
      </c>
      <c r="OR61" s="34" t="str">
        <f>IFERROR(__xludf.DUMMYFUNCTION("""COMPUTED_VALUE"""),"https://techcombank.com/thong-tin/blog/ngan-hang-xanh")</f>
        <v>https://techcombank.com/thong-tin/blog/ngan-hang-xanh</v>
      </c>
      <c r="OS61" s="30" t="str">
        <f>IFERROR(__xludf.DUMMYFUNCTION("""COMPUTED_VALUE"""),"lãi suất ngân hàng hôm nay")</f>
        <v>lãi suất ngân hàng hôm nay</v>
      </c>
      <c r="OT61" s="34" t="str">
        <f>IFERROR(__xludf.DUMMYFUNCTION("""COMPUTED_VALUE"""),"https://techcombank.com/thong-tin/blog/chung-chi-quy-mo-va-dong")</f>
        <v>https://techcombank.com/thong-tin/blog/chung-chi-quy-mo-va-dong</v>
      </c>
      <c r="OU61" s="30" t="str">
        <f>IFERROR(__xludf.DUMMYFUNCTION("""COMPUTED_VALUE"""),"lãi suất ngân hàng")</f>
        <v>lãi suất ngân hàng</v>
      </c>
      <c r="OV61" s="34" t="str">
        <f>IFERROR(__xludf.DUMMYFUNCTION("""COMPUTED_VALUE"""),"https://techcombank.com/thong-tin/blog/so-du-tai-khoan-thanh-toan")</f>
        <v>https://techcombank.com/thong-tin/blog/so-du-tai-khoan-thanh-toan</v>
      </c>
    </row>
    <row r="62" ht="18.0" customHeight="1">
      <c r="A62" s="29">
        <v>61.0</v>
      </c>
      <c r="B62" s="30" t="s">
        <v>5270</v>
      </c>
      <c r="C62" s="31" t="s">
        <v>6525</v>
      </c>
      <c r="D62" s="30" t="s">
        <v>1716</v>
      </c>
      <c r="E62" s="29">
        <v>150.0</v>
      </c>
      <c r="F62" s="29">
        <f>COUNTIF('Tổng hợp 75 trang đích'!$B$2:$B$3400,$D62)</f>
        <v>150</v>
      </c>
      <c r="G62" s="29">
        <f>COUNTIFS('Tổng hợp 75 trang đích'!$B$2:$B$3400,$D62,'Tổng hợp 75 trang đích'!$K$2:$K$3400,"PHÙ HỢP CAO")</f>
        <v>1</v>
      </c>
      <c r="H62" s="29">
        <f>COUNTIFS('Tổng hợp 75 trang đích'!$B$2:$B$3400,$D62,'Tổng hợp 75 trang đích'!$K$2:$K$3400,"CÓ THỂ ĐI")</f>
        <v>6</v>
      </c>
      <c r="I62" s="29">
        <f>COUNTIFS('Tổng hợp 75 trang đích'!$B$2:$B$3400,$D62,'Tổng hợp 75 trang đích'!$K$2:$K$3400,"CẦN SOÁT")</f>
        <v>143</v>
      </c>
      <c r="J62" s="32" t="s">
        <v>714</v>
      </c>
      <c r="K62" s="32" t="b">
        <v>0</v>
      </c>
      <c r="L62" s="33" t="s">
        <v>52</v>
      </c>
      <c r="M62" s="30" t="str">
        <f>IFERROR(__xludf.DUMMYFUNCTION("IFERROR(TOROW(CHOOSECOLS(SORT(FILTER({'Tổng hợp 75 trang đích'!$J$2:$J$3400,'Tổng hợp 75 trang đích'!$I$2:$I$3400,MATCH('Tổng hợp 75 trang đích'!$K$2:$K$3400,{""PHÙ HỢP CAO"",""CÓ THỂ ĐI"",""CẦN SOÁT""},0)},'Tổng hợp 75 trang đích'!$B$2:$B$3400=$D62),3,TR"&amp;"UE),1,2)),"""")"),"cách tính lãi suất ngân hàng")</f>
        <v>cách tính lãi suất ngân hàng</v>
      </c>
      <c r="N62" s="34" t="str">
        <f>IFERROR(__xludf.DUMMYFUNCTION("""COMPUTED_VALUE"""),"https://techcombank.com/thong-tin/blog/gui-tiet-kiem-hang-thang")</f>
        <v>https://techcombank.com/thong-tin/blog/gui-tiet-kiem-hang-thang</v>
      </c>
      <c r="O62" s="30" t="str">
        <f>IFERROR(__xludf.DUMMYFUNCTION("""COMPUTED_VALUE"""),"tính lãi suất tiết kiệm")</f>
        <v>tính lãi suất tiết kiệm</v>
      </c>
      <c r="P62" s="34" t="str">
        <f>IFERROR(__xludf.DUMMYFUNCTION("""COMPUTED_VALUE"""),"https://techcombank.com/thong-tin/blog/kinh-nghiem-vay-tien-ngan-hang-xay-nha")</f>
        <v>https://techcombank.com/thong-tin/blog/kinh-nghiem-vay-tien-ngan-hang-xay-nha</v>
      </c>
      <c r="Q62" s="30" t="str">
        <f>IFERROR(__xludf.DUMMYFUNCTION("""COMPUTED_VALUE"""),"tính lãi suất tiết kiệm")</f>
        <v>tính lãi suất tiết kiệm</v>
      </c>
      <c r="R62" s="34" t="str">
        <f>IFERROR(__xludf.DUMMYFUNCTION("""COMPUTED_VALUE"""),"https://techcombank.com/thong-tin/blog/tai-khoan-ngan-hang-duoi-50k-co-bi-khoa-khong")</f>
        <v>https://techcombank.com/thong-tin/blog/tai-khoan-ngan-hang-duoi-50k-co-bi-khoa-khong</v>
      </c>
      <c r="S62" s="30" t="str">
        <f>IFERROR(__xludf.DUMMYFUNCTION("""COMPUTED_VALUE"""),"tính lãi suất ngân hàng")</f>
        <v>tính lãi suất ngân hàng</v>
      </c>
      <c r="T62" s="34" t="str">
        <f>IFERROR(__xludf.DUMMYFUNCTION("""COMPUTED_VALUE"""),"https://techcombank.com/thong-tin/blog/tien-gui-khong-ky-han")</f>
        <v>https://techcombank.com/thong-tin/blog/tien-gui-khong-ky-han</v>
      </c>
      <c r="U62" s="30" t="str">
        <f>IFERROR(__xludf.DUMMYFUNCTION("""COMPUTED_VALUE"""),"tính lãi suất ngân hàng")</f>
        <v>tính lãi suất ngân hàng</v>
      </c>
      <c r="V62" s="34" t="str">
        <f>IFERROR(__xludf.DUMMYFUNCTION("""COMPUTED_VALUE"""),"https://techcombank.com/thong-tin/blog/dao-han-la-gi")</f>
        <v>https://techcombank.com/thong-tin/blog/dao-han-la-gi</v>
      </c>
      <c r="W62" s="30" t="str">
        <f>IFERROR(__xludf.DUMMYFUNCTION("""COMPUTED_VALUE"""),"tính lãi suất tiết kiệm")</f>
        <v>tính lãi suất tiết kiệm</v>
      </c>
      <c r="X62" s="34" t="str">
        <f>IFERROR(__xludf.DUMMYFUNCTION("""COMPUTED_VALUE"""),"https://techcombank.com/thong-tin/blog/thanh-toan-tien-dien-bang-the-tin-dung")</f>
        <v>https://techcombank.com/thong-tin/blog/thanh-toan-tien-dien-bang-the-tin-dung</v>
      </c>
      <c r="Y62" s="30" t="str">
        <f>IFERROR(__xludf.DUMMYFUNCTION("""COMPUTED_VALUE"""),"tính lãi suất tiết kiệm")</f>
        <v>tính lãi suất tiết kiệm</v>
      </c>
      <c r="Z62" s="34" t="str">
        <f>IFERROR(__xludf.DUMMYFUNCTION("""COMPUTED_VALUE"""),"https://techcombank.com/thong-tin/blog/thanh-toan-hoa-don-tieu-dung")</f>
        <v>https://techcombank.com/thong-tin/blog/thanh-toan-hoa-don-tieu-dung</v>
      </c>
      <c r="AA62" s="30" t="str">
        <f>IFERROR(__xludf.DUMMYFUNCTION("""COMPUTED_VALUE"""),"tính lãi suất ngân hàng")</f>
        <v>tính lãi suất ngân hàng</v>
      </c>
      <c r="AB62" s="34" t="str">
        <f>IFERROR(__xludf.DUMMYFUNCTION("""COMPUTED_VALUE"""),"https://techcombank.com/thong-tin/blog/lai-suat-vay-kinh-doanh")</f>
        <v>https://techcombank.com/thong-tin/blog/lai-suat-vay-kinh-doanh</v>
      </c>
      <c r="AC62" s="30" t="str">
        <f>IFERROR(__xludf.DUMMYFUNCTION("""COMPUTED_VALUE"""),"cách tính lãi suất ngân hàng")</f>
        <v>cách tính lãi suất ngân hàng</v>
      </c>
      <c r="AD62" s="34" t="str">
        <f>IFERROR(__xludf.DUMMYFUNCTION("""COMPUTED_VALUE"""),"https://techcombank.com/thong-tin/blog/cong-thuc-tinh-lai-suat-thuc")</f>
        <v>https://techcombank.com/thong-tin/blog/cong-thuc-tinh-lai-suat-thuc</v>
      </c>
      <c r="AE62" s="30" t="str">
        <f>IFERROR(__xludf.DUMMYFUNCTION("""COMPUTED_VALUE"""),"tính lãi suất ngân hàng")</f>
        <v>tính lãi suất ngân hàng</v>
      </c>
      <c r="AF62" s="34" t="str">
        <f>IFERROR(__xludf.DUMMYFUNCTION("""COMPUTED_VALUE"""),"https://techcombank.com/thong-tin/blog/quy-trinh-gui-tien-tiet-kiem")</f>
        <v>https://techcombank.com/thong-tin/blog/quy-trinh-gui-tien-tiet-kiem</v>
      </c>
      <c r="AG62" s="30" t="str">
        <f>IFERROR(__xludf.DUMMYFUNCTION("""COMPUTED_VALUE"""),"tính lãi suất ngân hàng")</f>
        <v>tính lãi suất ngân hàng</v>
      </c>
      <c r="AH62" s="34" t="str">
        <f>IFERROR(__xludf.DUMMYFUNCTION("""COMPUTED_VALUE"""),"https://techcombank.com/thong-tin/blog/gui-tiet-kiem-theo-ngay")</f>
        <v>https://techcombank.com/thong-tin/blog/gui-tiet-kiem-theo-ngay</v>
      </c>
      <c r="AI62" s="30" t="str">
        <f>IFERROR(__xludf.DUMMYFUNCTION("""COMPUTED_VALUE"""),"tính lãi suất ngân hàng")</f>
        <v>tính lãi suất ngân hàng</v>
      </c>
      <c r="AJ62" s="34" t="str">
        <f>IFERROR(__xludf.DUMMYFUNCTION("""COMPUTED_VALUE"""),"https://techcombank.com/thong-tin/blog/gui-tiet-kiem-vang")</f>
        <v>https://techcombank.com/thong-tin/blog/gui-tiet-kiem-vang</v>
      </c>
      <c r="AK62" s="30" t="str">
        <f>IFERROR(__xludf.DUMMYFUNCTION("""COMPUTED_VALUE"""),"tính lãi suất tiết kiệm")</f>
        <v>tính lãi suất tiết kiệm</v>
      </c>
      <c r="AL62" s="34" t="str">
        <f>IFERROR(__xludf.DUMMYFUNCTION("""COMPUTED_VALUE"""),"https://techcombank.com/thong-tin/blog/nen-gui-tiet-kiem-thong-thuong-hay-tich-luy")</f>
        <v>https://techcombank.com/thong-tin/blog/nen-gui-tiet-kiem-thong-thuong-hay-tich-luy</v>
      </c>
      <c r="AM62" s="30" t="str">
        <f>IFERROR(__xludf.DUMMYFUNCTION("""COMPUTED_VALUE"""),"tính lãi suất ngân hàng")</f>
        <v>tính lãi suất ngân hàng</v>
      </c>
      <c r="AN62" s="34" t="str">
        <f>IFERROR(__xludf.DUMMYFUNCTION("""COMPUTED_VALUE"""),"https://techcombank.com/thong-tin/blog/tai-sao-gui-tiet-kiem-online-lai-suat-cao-hon")</f>
        <v>https://techcombank.com/thong-tin/blog/tai-sao-gui-tiet-kiem-online-lai-suat-cao-hon</v>
      </c>
      <c r="AO62" s="30" t="str">
        <f>IFERROR(__xludf.DUMMYFUNCTION("""COMPUTED_VALUE"""),"cách tính lãi suất ngân hàng")</f>
        <v>cách tính lãi suất ngân hàng</v>
      </c>
      <c r="AP62" s="34" t="str">
        <f>IFERROR(__xludf.DUMMYFUNCTION("""COMPUTED_VALUE"""),"https://techcombank.com/thong-tin/blog/rui-ro-khi-vay-the-chap-ngan-hang")</f>
        <v>https://techcombank.com/thong-tin/blog/rui-ro-khi-vay-the-chap-ngan-hang</v>
      </c>
      <c r="AQ62" s="30" t="str">
        <f>IFERROR(__xludf.DUMMYFUNCTION("""COMPUTED_VALUE"""),"tính lãi suất ngân hàng")</f>
        <v>tính lãi suất ngân hàng</v>
      </c>
      <c r="AR62" s="34" t="str">
        <f>IFERROR(__xludf.DUMMYFUNCTION("""COMPUTED_VALUE"""),"https://techcombank.com/thong-tin/blog/nen-de-tien-trong-the-hay-gui-tiet-kiem")</f>
        <v>https://techcombank.com/thong-tin/blog/nen-de-tien-trong-the-hay-gui-tiet-kiem</v>
      </c>
      <c r="AS62" s="30" t="str">
        <f>IFERROR(__xludf.DUMMYFUNCTION("""COMPUTED_VALUE"""),"tính lãi suất ngân hàng")</f>
        <v>tính lãi suất ngân hàng</v>
      </c>
      <c r="AT62" s="34" t="str">
        <f>IFERROR(__xludf.DUMMYFUNCTION("""COMPUTED_VALUE"""),"https://techcombank.com/thong-tin/blog/lai-suat-vay-thau-chi")</f>
        <v>https://techcombank.com/thong-tin/blog/lai-suat-vay-thau-chi</v>
      </c>
      <c r="AU62" s="30" t="str">
        <f>IFERROR(__xludf.DUMMYFUNCTION("""COMPUTED_VALUE"""),"tính lãi suất tiết kiệm")</f>
        <v>tính lãi suất tiết kiệm</v>
      </c>
      <c r="AV62" s="34" t="str">
        <f>IFERROR(__xludf.DUMMYFUNCTION("""COMPUTED_VALUE"""),"https://techcombank.com/thong-tin/blog/qua-han-thanh-toan-the-tin-dung-1-ngay")</f>
        <v>https://techcombank.com/thong-tin/blog/qua-han-thanh-toan-the-tin-dung-1-ngay</v>
      </c>
      <c r="AW62" s="30" t="str">
        <f>IFERROR(__xludf.DUMMYFUNCTION("""COMPUTED_VALUE"""),"tính lãi suất ngân hàng")</f>
        <v>tính lãi suất ngân hàng</v>
      </c>
      <c r="AX62" s="34" t="str">
        <f>IFERROR(__xludf.DUMMYFUNCTION("""COMPUTED_VALUE"""),"https://techcombank.com/thong-tin/blog/co-nen-gui-tiet-kiem-ngan-hang")</f>
        <v>https://techcombank.com/thong-tin/blog/co-nen-gui-tiet-kiem-ngan-hang</v>
      </c>
      <c r="AY62" s="30" t="str">
        <f>IFERROR(__xludf.DUMMYFUNCTION("""COMPUTED_VALUE"""),"tính lãi suất tiết kiệm")</f>
        <v>tính lãi suất tiết kiệm</v>
      </c>
      <c r="AZ62" s="34" t="str">
        <f>IFERROR(__xludf.DUMMYFUNCTION("""COMPUTED_VALUE"""),"https://techcombank.com/thong-tin/blog/lai-suat-tiet-kiem")</f>
        <v>https://techcombank.com/thong-tin/blog/lai-suat-tiet-kiem</v>
      </c>
      <c r="BA62" s="30" t="str">
        <f>IFERROR(__xludf.DUMMYFUNCTION("""COMPUTED_VALUE"""),"tính lãi suất ngân hàng")</f>
        <v>tính lãi suất ngân hàng</v>
      </c>
      <c r="BB62" s="34" t="str">
        <f>IFERROR(__xludf.DUMMYFUNCTION("""COMPUTED_VALUE"""),"https://techcombank.com/thong-tin/blog/co-nen-gui-tiet-kiem-online")</f>
        <v>https://techcombank.com/thong-tin/blog/co-nen-gui-tiet-kiem-online</v>
      </c>
      <c r="BC62" s="30" t="str">
        <f>IFERROR(__xludf.DUMMYFUNCTION("""COMPUTED_VALUE"""),"tính lãi suất ngân hàng")</f>
        <v>tính lãi suất ngân hàng</v>
      </c>
      <c r="BD62" s="34" t="str">
        <f>IFERROR(__xludf.DUMMYFUNCTION("""COMPUTED_VALUE"""),"https://techcombank.com/thong-tin/blog/gui-tiet-kiem-ngan-hang-van-la-lua-chon-an-toan-trong-thoi-ky-kinh-te-con-nhieu-bien-dong")</f>
        <v>https://techcombank.com/thong-tin/blog/gui-tiet-kiem-ngan-hang-van-la-lua-chon-an-toan-trong-thoi-ky-kinh-te-con-nhieu-bien-dong</v>
      </c>
      <c r="BE62" s="30" t="str">
        <f>IFERROR(__xludf.DUMMYFUNCTION("""COMPUTED_VALUE"""),"tính lãi suất ngân hàng")</f>
        <v>tính lãi suất ngân hàng</v>
      </c>
      <c r="BF62" s="34" t="str">
        <f>IFERROR(__xludf.DUMMYFUNCTION("""COMPUTED_VALUE"""),"https://techcombank.com/thong-tin/blog/cach-gui-tiet-kiem-online")</f>
        <v>https://techcombank.com/thong-tin/blog/cach-gui-tiet-kiem-online</v>
      </c>
      <c r="BG62" s="30" t="str">
        <f>IFERROR(__xludf.DUMMYFUNCTION("""COMPUTED_VALUE"""),"tính lãi suất tiết kiệm")</f>
        <v>tính lãi suất tiết kiệm</v>
      </c>
      <c r="BH62" s="34" t="str">
        <f>IFERROR(__xludf.DUMMYFUNCTION("""COMPUTED_VALUE"""),"https://techcombank.com/thong-tin/blog/gui-tien-ngan-hang-co-an-toan-khong")</f>
        <v>https://techcombank.com/thong-tin/blog/gui-tien-ngan-hang-co-an-toan-khong</v>
      </c>
      <c r="BI62" s="30" t="str">
        <f>IFERROR(__xludf.DUMMYFUNCTION("""COMPUTED_VALUE"""),"tính lãi suất tiết kiệm")</f>
        <v>tính lãi suất tiết kiệm</v>
      </c>
      <c r="BJ62" s="34" t="str">
        <f>IFERROR(__xludf.DUMMYFUNCTION("""COMPUTED_VALUE"""),"https://techcombank.com/thong-tin/blog/dau-tu-trai-phieu-doanh-nghiep-dung-ham-lai-suat-cao")</f>
        <v>https://techcombank.com/thong-tin/blog/dau-tu-trai-phieu-doanh-nghiep-dung-ham-lai-suat-cao</v>
      </c>
      <c r="BK62" s="30" t="str">
        <f>IFERROR(__xludf.DUMMYFUNCTION("""COMPUTED_VALUE"""),"cách tính lãi suất tiết kiệm ngân hàng")</f>
        <v>cách tính lãi suất tiết kiệm ngân hàng</v>
      </c>
      <c r="BL62" s="34" t="str">
        <f>IFERROR(__xludf.DUMMYFUNCTION("""COMPUTED_VALUE"""),"https://techcombank.com/thong-tin/blog/nen-gui-tiet-kiem-6-thang-hay-1-nam")</f>
        <v>https://techcombank.com/thong-tin/blog/nen-gui-tiet-kiem-6-thang-hay-1-nam</v>
      </c>
      <c r="BM62" s="30" t="str">
        <f>IFERROR(__xludf.DUMMYFUNCTION("""COMPUTED_VALUE"""),"cách tính lãi suất ngân hàng")</f>
        <v>cách tính lãi suất ngân hàng</v>
      </c>
      <c r="BN62" s="34" t="str">
        <f>IFERROR(__xludf.DUMMYFUNCTION("""COMPUTED_VALUE"""),"https://techcombank.com/thong-tin/blog/lai-suat-the-tin-dung")</f>
        <v>https://techcombank.com/thong-tin/blog/lai-suat-the-tin-dung</v>
      </c>
      <c r="BO62" s="30" t="str">
        <f>IFERROR(__xludf.DUMMYFUNCTION("""COMPUTED_VALUE"""),"tính lãi suất ngân hàng")</f>
        <v>tính lãi suất ngân hàng</v>
      </c>
      <c r="BP62" s="34" t="str">
        <f>IFERROR(__xludf.DUMMYFUNCTION("""COMPUTED_VALUE"""),"https://techcombank.com/thong-tin/blog/gui-tiet-kiem-tich-luy-la-gi")</f>
        <v>https://techcombank.com/thong-tin/blog/gui-tiet-kiem-tich-luy-la-gi</v>
      </c>
      <c r="BQ62" s="30" t="str">
        <f>IFERROR(__xludf.DUMMYFUNCTION("""COMPUTED_VALUE"""),"cách tính lãi suất ngân hàng")</f>
        <v>cách tính lãi suất ngân hàng</v>
      </c>
      <c r="BR62" s="34" t="str">
        <f>IFERROR(__xludf.DUMMYFUNCTION("""COMPUTED_VALUE"""),"https://techcombank.com/thong-tin/blog/lai-suat-vay-the-chap-so-do")</f>
        <v>https://techcombank.com/thong-tin/blog/lai-suat-vay-the-chap-so-do</v>
      </c>
      <c r="BS62" s="30" t="str">
        <f>IFERROR(__xludf.DUMMYFUNCTION("""COMPUTED_VALUE"""),"tính lãi suất tiết kiệm")</f>
        <v>tính lãi suất tiết kiệm</v>
      </c>
      <c r="BT62" s="34" t="str">
        <f>IFERROR(__xludf.DUMMYFUNCTION("""COMPUTED_VALUE"""),"https://techcombank.com/thong-tin/blog/rui-ro-khi-gui-tiet-kiem-online")</f>
        <v>https://techcombank.com/thong-tin/blog/rui-ro-khi-gui-tiet-kiem-online</v>
      </c>
      <c r="BU62" s="30" t="str">
        <f>IFERROR(__xludf.DUMMYFUNCTION("""COMPUTED_VALUE"""),"cách tính lãi suất ngân hàng")</f>
        <v>cách tính lãi suất ngân hàng</v>
      </c>
      <c r="BV62" s="34" t="str">
        <f>IFERROR(__xludf.DUMMYFUNCTION("""COMPUTED_VALUE"""),"https://techcombank.com/thong-tin/blog/lai-suat-tha-noi")</f>
        <v>https://techcombank.com/thong-tin/blog/lai-suat-tha-noi</v>
      </c>
      <c r="BW62" s="30" t="str">
        <f>IFERROR(__xludf.DUMMYFUNCTION("""COMPUTED_VALUE"""),"cách tính lãi suất ngân hàng")</f>
        <v>cách tính lãi suất ngân hàng</v>
      </c>
      <c r="BX62" s="34" t="str">
        <f>IFERROR(__xludf.DUMMYFUNCTION("""COMPUTED_VALUE"""),"https://techcombank.com/thong-tin/blog/lai-suat-vay-tieu-dung")</f>
        <v>https://techcombank.com/thong-tin/blog/lai-suat-vay-tieu-dung</v>
      </c>
      <c r="BY62" s="30" t="str">
        <f>IFERROR(__xludf.DUMMYFUNCTION("""COMPUTED_VALUE"""),"tính lãi suất tiết kiệm")</f>
        <v>tính lãi suất tiết kiệm</v>
      </c>
      <c r="BZ62" s="34" t="str">
        <f>IFERROR(__xludf.DUMMYFUNCTION("""COMPUTED_VALUE"""),"https://techcombank.com/thong-tin/blog/chon-kenh-dau-tu-an-toan-trong-boi-canh-thi-truong-bien-dong")</f>
        <v>https://techcombank.com/thong-tin/blog/chon-kenh-dau-tu-an-toan-trong-boi-canh-thi-truong-bien-dong</v>
      </c>
      <c r="CA62" s="30" t="str">
        <f>IFERROR(__xludf.DUMMYFUNCTION("""COMPUTED_VALUE"""),"tính lãi suất tiết kiệm")</f>
        <v>tính lãi suất tiết kiệm</v>
      </c>
      <c r="CB62" s="34" t="str">
        <f>IFERROR(__xludf.DUMMYFUNCTION("""COMPUTED_VALUE"""),"https://techcombank.com/thong-tin/blog/gui-tiet-kiem-ngoai-te")</f>
        <v>https://techcombank.com/thong-tin/blog/gui-tiet-kiem-ngoai-te</v>
      </c>
      <c r="CC62" s="30" t="str">
        <f>IFERROR(__xludf.DUMMYFUNCTION("""COMPUTED_VALUE"""),"tính lãi suất ngân hàng")</f>
        <v>tính lãi suất ngân hàng</v>
      </c>
      <c r="CD62" s="34" t="str">
        <f>IFERROR(__xludf.DUMMYFUNCTION("""COMPUTED_VALUE"""),"https://techcombank.com/thong-tin/blog/lai-suat-ngan-hang-cho-vay-xay-nha")</f>
        <v>https://techcombank.com/thong-tin/blog/lai-suat-ngan-hang-cho-vay-xay-nha</v>
      </c>
      <c r="CE62" s="30" t="str">
        <f>IFERROR(__xludf.DUMMYFUNCTION("""COMPUTED_VALUE"""),"tính lãi suất tiết kiệm")</f>
        <v>tính lãi suất tiết kiệm</v>
      </c>
      <c r="CF62" s="34" t="str">
        <f>IFERROR(__xludf.DUMMYFUNCTION("""COMPUTED_VALUE"""),"https://techcombank.com/thong-tin/blog/rui-ro-khi-gui-tiet-kiem-ngan-hang")</f>
        <v>https://techcombank.com/thong-tin/blog/rui-ro-khi-gui-tiet-kiem-ngan-hang</v>
      </c>
      <c r="CG62" s="30" t="str">
        <f>IFERROR(__xludf.DUMMYFUNCTION("""COMPUTED_VALUE"""),"cách tính lãi suất ngân hàng")</f>
        <v>cách tính lãi suất ngân hàng</v>
      </c>
      <c r="CH62" s="34" t="str">
        <f>IFERROR(__xludf.DUMMYFUNCTION("""COMPUTED_VALUE"""),"https://techcombank.com/thong-tin/blog/cach-tinh-lai-vay-ngan-hang")</f>
        <v>https://techcombank.com/thong-tin/blog/cach-tinh-lai-vay-ngan-hang</v>
      </c>
      <c r="CI62" s="30" t="str">
        <f>IFERROR(__xludf.DUMMYFUNCTION("""COMPUTED_VALUE"""),"tính lãi suất tiết kiệm")</f>
        <v>tính lãi suất tiết kiệm</v>
      </c>
      <c r="CJ62" s="34" t="str">
        <f>IFERROR(__xludf.DUMMYFUNCTION("""COMPUTED_VALUE"""),"https://techcombank.com/thong-tin/blog/gui-tiet-kiem-online-bi-mat-tien")</f>
        <v>https://techcombank.com/thong-tin/blog/gui-tiet-kiem-online-bi-mat-tien</v>
      </c>
      <c r="CK62" s="30" t="str">
        <f>IFERROR(__xludf.DUMMYFUNCTION("""COMPUTED_VALUE"""),"tính lãi suất ngân hàng")</f>
        <v>tính lãi suất ngân hàng</v>
      </c>
      <c r="CL62" s="34" t="str">
        <f>IFERROR(__xludf.DUMMYFUNCTION("""COMPUTED_VALUE"""),"https://techcombank.com/thong-tin/blog/kinh-nghiem-gui-tiet-kiem-online")</f>
        <v>https://techcombank.com/thong-tin/blog/kinh-nghiem-gui-tiet-kiem-online</v>
      </c>
      <c r="CM62" s="30" t="str">
        <f>IFERROR(__xludf.DUMMYFUNCTION("""COMPUTED_VALUE"""),"tính lãi suất tiết kiệm")</f>
        <v>tính lãi suất tiết kiệm</v>
      </c>
      <c r="CN62" s="34" t="str">
        <f>IFERROR(__xludf.DUMMYFUNCTION("""COMPUTED_VALUE"""),"https://techcombank.com/thong-tin/blog/vay-thau-chi-bang-so-tiet-kiem")</f>
        <v>https://techcombank.com/thong-tin/blog/vay-thau-chi-bang-so-tiet-kiem</v>
      </c>
      <c r="CO62" s="30" t="str">
        <f>IFERROR(__xludf.DUMMYFUNCTION("""COMPUTED_VALUE"""),"cách tính lãi suất ngân hàng")</f>
        <v>cách tính lãi suất ngân hàng</v>
      </c>
      <c r="CP62" s="34" t="str">
        <f>IFERROR(__xludf.DUMMYFUNCTION("""COMPUTED_VALUE"""),"https://techcombank.com/thong-tin/blog/lai-suat-vay-ngan-hang")</f>
        <v>https://techcombank.com/thong-tin/blog/lai-suat-vay-ngan-hang</v>
      </c>
      <c r="CQ62" s="30" t="str">
        <f>IFERROR(__xludf.DUMMYFUNCTION("""COMPUTED_VALUE"""),"tính lãi suất ngân hàng")</f>
        <v>tính lãi suất ngân hàng</v>
      </c>
      <c r="CR62" s="34" t="str">
        <f>IFERROR(__xludf.DUMMYFUNCTION("""COMPUTED_VALUE"""),"https://techcombank.com/thong-tin/blog/gui-tiet-kiem-online-co-rut-truoc-han-duoc-khong")</f>
        <v>https://techcombank.com/thong-tin/blog/gui-tiet-kiem-online-co-rut-truoc-han-duoc-khong</v>
      </c>
      <c r="CS62" s="30" t="str">
        <f>IFERROR(__xludf.DUMMYFUNCTION("""COMPUTED_VALUE"""),"tính lãi suất tiết kiệm")</f>
        <v>tính lãi suất tiết kiệm</v>
      </c>
      <c r="CT62" s="34" t="str">
        <f>IFERROR(__xludf.DUMMYFUNCTION("""COMPUTED_VALUE"""),"https://techcombank.com/thong-tin/blog/chung-chi-tien-gui-khac-gi-so-tiet-kiem")</f>
        <v>https://techcombank.com/thong-tin/blog/chung-chi-tien-gui-khac-gi-so-tiet-kiem</v>
      </c>
      <c r="CU62" s="30" t="str">
        <f>IFERROR(__xludf.DUMMYFUNCTION("""COMPUTED_VALUE"""),"tính lãi suất ngân hàng")</f>
        <v>tính lãi suất ngân hàng</v>
      </c>
      <c r="CV62" s="34" t="str">
        <f>IFERROR(__xludf.DUMMYFUNCTION("""COMPUTED_VALUE"""),"https://techcombank.com/thong-tin/blog/rut-tien-mat-tu-the-tin-dung")</f>
        <v>https://techcombank.com/thong-tin/blog/rut-tien-mat-tu-the-tin-dung</v>
      </c>
      <c r="CW62" s="30" t="str">
        <f>IFERROR(__xludf.DUMMYFUNCTION("""COMPUTED_VALUE"""),"tính lãi suất ngân hàng")</f>
        <v>tính lãi suất ngân hàng</v>
      </c>
      <c r="CX62" s="34" t="str">
        <f>IFERROR(__xludf.DUMMYFUNCTION("""COMPUTED_VALUE"""),"https://techcombank.com/thong-tin/blog/so-sanh-gui-tiet-kiem-online-va-tai-quay")</f>
        <v>https://techcombank.com/thong-tin/blog/so-sanh-gui-tiet-kiem-online-va-tai-quay</v>
      </c>
      <c r="CY62" s="30" t="str">
        <f>IFERROR(__xludf.DUMMYFUNCTION("""COMPUTED_VALUE"""),"tính lãi suất ngân hàng")</f>
        <v>tính lãi suất ngân hàng</v>
      </c>
      <c r="CZ62" s="34" t="str">
        <f>IFERROR(__xludf.DUMMYFUNCTION("""COMPUTED_VALUE"""),"https://techcombank.com/thong-tin/blog/lai-suat-vay-tin-chap")</f>
        <v>https://techcombank.com/thong-tin/blog/lai-suat-vay-tin-chap</v>
      </c>
      <c r="DA62" s="30" t="str">
        <f>IFERROR(__xludf.DUMMYFUNCTION("""COMPUTED_VALUE"""),"tính lãi suất ngân hàng")</f>
        <v>tính lãi suất ngân hàng</v>
      </c>
      <c r="DB62" s="34" t="str">
        <f>IFERROR(__xludf.DUMMYFUNCTION("""COMPUTED_VALUE"""),"https://techcombank.com/thong-tin/blog/cach-tiet-kiem-tien-sinh-loi")</f>
        <v>https://techcombank.com/thong-tin/blog/cach-tiet-kiem-tien-sinh-loi</v>
      </c>
      <c r="DC62" s="30" t="str">
        <f>IFERROR(__xludf.DUMMYFUNCTION("""COMPUTED_VALUE"""),"tính lãi suất ngân hàng")</f>
        <v>tính lãi suất ngân hàng</v>
      </c>
      <c r="DD62" s="34" t="str">
        <f>IFERROR(__xludf.DUMMYFUNCTION("""COMPUTED_VALUE"""),"https://techcombank.com/thong-tin/blog/co-50-trieu-nen-mua-vang-hay-gui-tiet-kiem")</f>
        <v>https://techcombank.com/thong-tin/blog/co-50-trieu-nen-mua-vang-hay-gui-tiet-kiem</v>
      </c>
      <c r="DE62" s="30" t="str">
        <f>IFERROR(__xludf.DUMMYFUNCTION("""COMPUTED_VALUE"""),"tính lãi suất tiết kiệm")</f>
        <v>tính lãi suất tiết kiệm</v>
      </c>
      <c r="DF62" s="34" t="str">
        <f>IFERROR(__xludf.DUMMYFUNCTION("""COMPUTED_VALUE"""),"https://techcombank.com/thong-tin/blog/vay-20-trieu")</f>
        <v>https://techcombank.com/thong-tin/blog/vay-20-trieu</v>
      </c>
      <c r="DG62" s="30" t="str">
        <f>IFERROR(__xludf.DUMMYFUNCTION("""COMPUTED_VALUE"""),"tính lãi suất ngân hàng")</f>
        <v>tính lãi suất ngân hàng</v>
      </c>
      <c r="DH62" s="34" t="str">
        <f>IFERROR(__xludf.DUMMYFUNCTION("""COMPUTED_VALUE"""),"https://techcombank.com/thong-tin/blog/vay-tin-chap-la-gi")</f>
        <v>https://techcombank.com/thong-tin/blog/vay-tin-chap-la-gi</v>
      </c>
      <c r="DI62" s="30" t="str">
        <f>IFERROR(__xludf.DUMMYFUNCTION("""COMPUTED_VALUE"""),"tính lãi suất ngân hàng")</f>
        <v>tính lãi suất ngân hàng</v>
      </c>
      <c r="DJ62" s="34" t="str">
        <f>IFERROR(__xludf.DUMMYFUNCTION("""COMPUTED_VALUE"""),"https://techcombank.com/thong-tin/blog/tien-gui-co-ky-han")</f>
        <v>https://techcombank.com/thong-tin/blog/tien-gui-co-ky-han</v>
      </c>
      <c r="DK62" s="30" t="str">
        <f>IFERROR(__xludf.DUMMYFUNCTION("""COMPUTED_VALUE"""),"tính lãi suất tiết kiệm")</f>
        <v>tính lãi suất tiết kiệm</v>
      </c>
      <c r="DL62" s="34" t="str">
        <f>IFERROR(__xludf.DUMMYFUNCTION("""COMPUTED_VALUE"""),"https://techcombank.com/thong-tin/blog/lai-suat-gui-tiet-kiem-usd")</f>
        <v>https://techcombank.com/thong-tin/blog/lai-suat-gui-tiet-kiem-usd</v>
      </c>
      <c r="DM62" s="30" t="str">
        <f>IFERROR(__xludf.DUMMYFUNCTION("""COMPUTED_VALUE"""),"tính lãi suất tiết kiệm")</f>
        <v>tính lãi suất tiết kiệm</v>
      </c>
      <c r="DN62" s="34" t="str">
        <f>IFERROR(__xludf.DUMMYFUNCTION("""COMPUTED_VALUE"""),"https://techcombank.com/thong-tin/blog/gui-tiet-kiem-usd")</f>
        <v>https://techcombank.com/thong-tin/blog/gui-tiet-kiem-usd</v>
      </c>
      <c r="DO62" s="30" t="str">
        <f>IFERROR(__xludf.DUMMYFUNCTION("""COMPUTED_VALUE"""),"tính lãi suất ngân hàng")</f>
        <v>tính lãi suất ngân hàng</v>
      </c>
      <c r="DP62" s="34" t="str">
        <f>IFERROR(__xludf.DUMMYFUNCTION("""COMPUTED_VALUE"""),"https://techcombank.com/thong-tin/blog/lai-suat-chung-chi-tien-gui-cac-ngan-hang")</f>
        <v>https://techcombank.com/thong-tin/blog/lai-suat-chung-chi-tien-gui-cac-ngan-hang</v>
      </c>
      <c r="DQ62" s="30" t="str">
        <f>IFERROR(__xludf.DUMMYFUNCTION("""COMPUTED_VALUE"""),"tính lãi suất tiết kiệm")</f>
        <v>tính lãi suất tiết kiệm</v>
      </c>
      <c r="DR62" s="34" t="str">
        <f>IFERROR(__xludf.DUMMYFUNCTION("""COMPUTED_VALUE"""),"https://techcombank.com/thong-tin/blog/so-tiet-kiem-ngan-hang")</f>
        <v>https://techcombank.com/thong-tin/blog/so-tiet-kiem-ngan-hang</v>
      </c>
      <c r="DS62" s="30" t="str">
        <f>IFERROR(__xludf.DUMMYFUNCTION("""COMPUTED_VALUE"""),"tính lãi suất tiết kiệm")</f>
        <v>tính lãi suất tiết kiệm</v>
      </c>
      <c r="DT62" s="34" t="str">
        <f>IFERROR(__xludf.DUMMYFUNCTION("""COMPUTED_VALUE"""),"https://techcombank.com/thong-tin/blog/app-gui-tien-tiet-kiem")</f>
        <v>https://techcombank.com/thong-tin/blog/app-gui-tien-tiet-kiem</v>
      </c>
      <c r="DU62" s="30" t="str">
        <f>IFERROR(__xludf.DUMMYFUNCTION("""COMPUTED_VALUE"""),"tính lãi suất ngân hàng")</f>
        <v>tính lãi suất ngân hàng</v>
      </c>
      <c r="DV62" s="34" t="str">
        <f>IFERROR(__xludf.DUMMYFUNCTION("""COMPUTED_VALUE"""),"https://techcombank.com/thong-tin/blog/bi-quyet-tiet-kiem-tien-mua-nha")</f>
        <v>https://techcombank.com/thong-tin/blog/bi-quyet-tiet-kiem-tien-mua-nha</v>
      </c>
      <c r="DW62" s="30" t="str">
        <f>IFERROR(__xludf.DUMMYFUNCTION("""COMPUTED_VALUE"""),"tính lãi suất tiết kiệm")</f>
        <v>tính lãi suất tiết kiệm</v>
      </c>
      <c r="DX62" s="34" t="str">
        <f>IFERROR(__xludf.DUMMYFUNCTION("""COMPUTED_VALUE"""),"https://techcombank.com/thong-tin/blog/tat-toan-so-tiet-kiem")</f>
        <v>https://techcombank.com/thong-tin/blog/tat-toan-so-tiet-kiem</v>
      </c>
      <c r="DY62" s="30" t="str">
        <f>IFERROR(__xludf.DUMMYFUNCTION("""COMPUTED_VALUE"""),"tính lãi suất ngân hàng")</f>
        <v>tính lãi suất ngân hàng</v>
      </c>
      <c r="DZ62" s="34" t="str">
        <f>IFERROR(__xludf.DUMMYFUNCTION("""COMPUTED_VALUE"""),"https://techcombank.com/thong-tin/blog/tra-gop-shopee")</f>
        <v>https://techcombank.com/thong-tin/blog/tra-gop-shopee</v>
      </c>
      <c r="EA62" s="30" t="str">
        <f>IFERROR(__xludf.DUMMYFUNCTION("""COMPUTED_VALUE"""),"tính lãi suất ngân hàng")</f>
        <v>tính lãi suất ngân hàng</v>
      </c>
      <c r="EB62" s="34" t="str">
        <f>IFERROR(__xludf.DUMMYFUNCTION("""COMPUTED_VALUE"""),"https://techcombank.com/thong-tin/blog/chung-chi-tien-gui-la-gi")</f>
        <v>https://techcombank.com/thong-tin/blog/chung-chi-tien-gui-la-gi</v>
      </c>
      <c r="EC62" s="30" t="str">
        <f>IFERROR(__xludf.DUMMYFUNCTION("""COMPUTED_VALUE"""),"tính lãi suất ngân hàng")</f>
        <v>tính lãi suất ngân hàng</v>
      </c>
      <c r="ED62" s="34" t="str">
        <f>IFERROR(__xludf.DUMMYFUNCTION("""COMPUTED_VALUE"""),"https://techcombank.com/thong-tin/blog/ngan-hang-so")</f>
        <v>https://techcombank.com/thong-tin/blog/ngan-hang-so</v>
      </c>
      <c r="EE62" s="30" t="str">
        <f>IFERROR(__xludf.DUMMYFUNCTION("""COMPUTED_VALUE"""),"tính lãi suất ngân hàng")</f>
        <v>tính lãi suất ngân hàng</v>
      </c>
      <c r="EF62" s="34" t="str">
        <f>IFERROR(__xludf.DUMMYFUNCTION("""COMPUTED_VALUE"""),"https://techcombank.com/thong-tin/blog/giai-ngan-la-gi")</f>
        <v>https://techcombank.com/thong-tin/blog/giai-ngan-la-gi</v>
      </c>
      <c r="EG62" s="30" t="str">
        <f>IFERROR(__xludf.DUMMYFUNCTION("""COMPUTED_VALUE"""),"tính lãi suất tiết kiệm")</f>
        <v>tính lãi suất tiết kiệm</v>
      </c>
      <c r="EH62" s="34" t="str">
        <f>IFERROR(__xludf.DUMMYFUNCTION("""COMPUTED_VALUE"""),"https://techcombank.com/thong-tin/blog/ke-hoach-tai-chinh")</f>
        <v>https://techcombank.com/thong-tin/blog/ke-hoach-tai-chinh</v>
      </c>
      <c r="EI62" s="30" t="str">
        <f>IFERROR(__xludf.DUMMYFUNCTION("""COMPUTED_VALUE"""),"tính lãi suất ngân hàng")</f>
        <v>tính lãi suất ngân hàng</v>
      </c>
      <c r="EJ62" s="34" t="str">
        <f>IFERROR(__xludf.DUMMYFUNCTION("""COMPUTED_VALUE"""),"https://techcombank.com/thong-tin/blog/the-visa-co-may-loai")</f>
        <v>https://techcombank.com/thong-tin/blog/the-visa-co-may-loai</v>
      </c>
      <c r="EK62" s="30" t="str">
        <f>IFERROR(__xludf.DUMMYFUNCTION("""COMPUTED_VALUE"""),"tính lãi suất tiết kiệm")</f>
        <v>tính lãi suất tiết kiệm</v>
      </c>
      <c r="EL62" s="34" t="str">
        <f>IFERROR(__xludf.DUMMYFUNCTION("""COMPUTED_VALUE"""),"https://techcombank.com/thong-tin/blog/nghich-ly-nha-dau-tu-che-trai-phieu-lai-suat-cao-ua-ma-an-toan-du-lai-suat-thap-hon-05-1")</f>
        <v>https://techcombank.com/thong-tin/blog/nghich-ly-nha-dau-tu-che-trai-phieu-lai-suat-cao-ua-ma-an-toan-du-lai-suat-thap-hon-05-1</v>
      </c>
      <c r="EM62" s="30" t="str">
        <f>IFERROR(__xludf.DUMMYFUNCTION("""COMPUTED_VALUE"""),"tính lãi suất tiết kiệm")</f>
        <v>tính lãi suất tiết kiệm</v>
      </c>
      <c r="EN62" s="34" t="str">
        <f>IFERROR(__xludf.DUMMYFUNCTION("""COMPUTED_VALUE"""),"https://techcombank.com/thong-tin/blog/thi-truong-trai-phieu-co-hoi-dau-tu-trai-phieu-vang-du-lai-suat-thap")</f>
        <v>https://techcombank.com/thong-tin/blog/thi-truong-trai-phieu-co-hoi-dau-tu-trai-phieu-vang-du-lai-suat-thap</v>
      </c>
      <c r="EO62" s="30" t="str">
        <f>IFERROR(__xludf.DUMMYFUNCTION("""COMPUTED_VALUE"""),"tính lãi suất ngân hàng")</f>
        <v>tính lãi suất ngân hàng</v>
      </c>
      <c r="EP62" s="34" t="str">
        <f>IFERROR(__xludf.DUMMYFUNCTION("""COMPUTED_VALUE"""),"https://techcombank.com/thong-tin/blog/techcombank-sinh-loi-tu-dong")</f>
        <v>https://techcombank.com/thong-tin/blog/techcombank-sinh-loi-tu-dong</v>
      </c>
      <c r="EQ62" s="30" t="str">
        <f>IFERROR(__xludf.DUMMYFUNCTION("""COMPUTED_VALUE"""),"tính lãi suất ngân hàng")</f>
        <v>tính lãi suất ngân hàng</v>
      </c>
      <c r="ER62" s="34" t="str">
        <f>IFERROR(__xludf.DUMMYFUNCTION("""COMPUTED_VALUE"""),"https://techcombank.com/thong-tin/blog/mo-so-tiet-kiem-can-bao-nhieu-tien")</f>
        <v>https://techcombank.com/thong-tin/blog/mo-so-tiet-kiem-can-bao-nhieu-tien</v>
      </c>
      <c r="ES62" s="30" t="str">
        <f>IFERROR(__xludf.DUMMYFUNCTION("""COMPUTED_VALUE"""),"tính lãi suất tiết kiệm")</f>
        <v>tính lãi suất tiết kiệm</v>
      </c>
      <c r="ET62" s="34" t="str">
        <f>IFERROR(__xludf.DUMMYFUNCTION("""COMPUTED_VALUE"""),"https://techcombank.com/thong-tin/blog/lai-suat-chung-chi-quy")</f>
        <v>https://techcombank.com/thong-tin/blog/lai-suat-chung-chi-quy</v>
      </c>
      <c r="EU62" s="30" t="str">
        <f>IFERROR(__xludf.DUMMYFUNCTION("""COMPUTED_VALUE"""),"tính lãi suất tiết kiệm")</f>
        <v>tính lãi suất tiết kiệm</v>
      </c>
      <c r="EV62" s="34" t="str">
        <f>IFERROR(__xludf.DUMMYFUNCTION("""COMPUTED_VALUE"""),"https://techcombank.com/thong-tin/blog/lai-suat-cho-vay-doanh-nghiep")</f>
        <v>https://techcombank.com/thong-tin/blog/lai-suat-cho-vay-doanh-nghiep</v>
      </c>
      <c r="EW62" s="30" t="str">
        <f>IFERROR(__xludf.DUMMYFUNCTION("""COMPUTED_VALUE"""),"tính lãi suất tiết kiệm")</f>
        <v>tính lãi suất tiết kiệm</v>
      </c>
      <c r="EX62" s="34" t="str">
        <f>IFERROR(__xludf.DUMMYFUNCTION("""COMPUTED_VALUE"""),"https://techcombank.com/thong-tin/blog/mo-tai-khoan-tiet-kiem-cho-con")</f>
        <v>https://techcombank.com/thong-tin/blog/mo-tai-khoan-tiet-kiem-cho-con</v>
      </c>
      <c r="EY62" s="30" t="str">
        <f>IFERROR(__xludf.DUMMYFUNCTION("""COMPUTED_VALUE"""),"tính lãi suất ngân hàng")</f>
        <v>tính lãi suất ngân hàng</v>
      </c>
      <c r="EZ62" s="34" t="str">
        <f>IFERROR(__xludf.DUMMYFUNCTION("""COMPUTED_VALUE"""),"https://techcombank.com/thong-tin/blog/vay-100-trieu")</f>
        <v>https://techcombank.com/thong-tin/blog/vay-100-trieu</v>
      </c>
      <c r="FA62" s="30" t="str">
        <f>IFERROR(__xludf.DUMMYFUNCTION("""COMPUTED_VALUE"""),"cách tính lãi suất ngân hàng")</f>
        <v>cách tính lãi suất ngân hàng</v>
      </c>
      <c r="FB62" s="34" t="str">
        <f>IFERROR(__xludf.DUMMYFUNCTION("""COMPUTED_VALUE"""),"https://techcombank.com/thong-tin/blog/quy-du-phong-tai-chinh-la-gi")</f>
        <v>https://techcombank.com/thong-tin/blog/quy-du-phong-tai-chinh-la-gi</v>
      </c>
      <c r="FC62" s="30" t="str">
        <f>IFERROR(__xludf.DUMMYFUNCTION("""COMPUTED_VALUE"""),"cách tính lãi suất ngân hàng")</f>
        <v>cách tính lãi suất ngân hàng</v>
      </c>
      <c r="FD62" s="34" t="str">
        <f>IFERROR(__xludf.DUMMYFUNCTION("""COMPUTED_VALUE"""),"https://techcombank.com/thong-tin/blog/loi-ich-cua-ngan-hang-so-voi-sme")</f>
        <v>https://techcombank.com/thong-tin/blog/loi-ich-cua-ngan-hang-so-voi-sme</v>
      </c>
      <c r="FE62" s="30" t="str">
        <f>IFERROR(__xludf.DUMMYFUNCTION("""COMPUTED_VALUE"""),"tính lãi suất tiết kiệm")</f>
        <v>tính lãi suất tiết kiệm</v>
      </c>
      <c r="FF62" s="34" t="str">
        <f>IFERROR(__xludf.DUMMYFUNCTION("""COMPUTED_VALUE"""),"https://techcombank.com/thong-tin/blog/rut-tien-tiet-kiem-truoc-thoi-han")</f>
        <v>https://techcombank.com/thong-tin/blog/rut-tien-tiet-kiem-truoc-thoi-han</v>
      </c>
      <c r="FG62" s="30" t="str">
        <f>IFERROR(__xludf.DUMMYFUNCTION("""COMPUTED_VALUE"""),"tính lãi suất ngân hàng")</f>
        <v>tính lãi suất ngân hàng</v>
      </c>
      <c r="FH62" s="34" t="str">
        <f>IFERROR(__xludf.DUMMYFUNCTION("""COMPUTED_VALUE"""),"https://techcombank.com/thong-tin/blog/lai-suat-la-gi")</f>
        <v>https://techcombank.com/thong-tin/blog/lai-suat-la-gi</v>
      </c>
      <c r="FI62" s="30" t="str">
        <f>IFERROR(__xludf.DUMMYFUNCTION("""COMPUTED_VALUE"""),"tính lãi suất tiết kiệm")</f>
        <v>tính lãi suất tiết kiệm</v>
      </c>
      <c r="FJ62" s="34" t="str">
        <f>IFERROR(__xludf.DUMMYFUNCTION("""COMPUTED_VALUE"""),"https://techcombank.com/thong-tin/blog/vi-sao-lai-suat-trai-phieu-tai-tcbs-lai-thap-hon-so-voi-cac-to-chuc-phat-hanh-khac")</f>
        <v>https://techcombank.com/thong-tin/blog/vi-sao-lai-suat-trai-phieu-tai-tcbs-lai-thap-hon-so-voi-cac-to-chuc-phat-hanh-khac</v>
      </c>
      <c r="FK62" s="30" t="str">
        <f>IFERROR(__xludf.DUMMYFUNCTION("""COMPUTED_VALUE"""),"tính lãi suất tiết kiệm")</f>
        <v>tính lãi suất tiết kiệm</v>
      </c>
      <c r="FL62" s="34" t="str">
        <f>IFERROR(__xludf.DUMMYFUNCTION("""COMPUTED_VALUE"""),"https://techcombank.com/thong-tin/blog/cach-dau-tu")</f>
        <v>https://techcombank.com/thong-tin/blog/cach-dau-tu</v>
      </c>
      <c r="FM62" s="30" t="str">
        <f>IFERROR(__xludf.DUMMYFUNCTION("""COMPUTED_VALUE"""),"tính lãi suất tiết kiệm")</f>
        <v>tính lãi suất tiết kiệm</v>
      </c>
      <c r="FN62" s="34" t="str">
        <f>IFERROR(__xludf.DUMMYFUNCTION("""COMPUTED_VALUE"""),"https://techcombank.com/thong-tin/blog/vay-bo-sung-von-luu-dong")</f>
        <v>https://techcombank.com/thong-tin/blog/vay-bo-sung-von-luu-dong</v>
      </c>
      <c r="FO62" s="30" t="str">
        <f>IFERROR(__xludf.DUMMYFUNCTION("""COMPUTED_VALUE"""),"tính lãi suất ngân hàng")</f>
        <v>tính lãi suất ngân hàng</v>
      </c>
      <c r="FP62" s="34" t="str">
        <f>IFERROR(__xludf.DUMMYFUNCTION("""COMPUTED_VALUE"""),"https://techcombank.com/thong-tin/blog/vay-ngan-han")</f>
        <v>https://techcombank.com/thong-tin/blog/vay-ngan-han</v>
      </c>
      <c r="FQ62" s="30" t="str">
        <f>IFERROR(__xludf.DUMMYFUNCTION("""COMPUTED_VALUE"""),"tính lãi suất ngân hàng")</f>
        <v>tính lãi suất ngân hàng</v>
      </c>
      <c r="FR62" s="34" t="str">
        <f>IFERROR(__xludf.DUMMYFUNCTION("""COMPUTED_VALUE"""),"https://techcombank.com/thong-tin/blog/cho-vay-kinh-doanh-ho-gia-dinh")</f>
        <v>https://techcombank.com/thong-tin/blog/cho-vay-kinh-doanh-ho-gia-dinh</v>
      </c>
      <c r="FS62" s="30" t="str">
        <f>IFERROR(__xludf.DUMMYFUNCTION("""COMPUTED_VALUE"""),"tính lãi suất ngân hàng")</f>
        <v>tính lãi suất ngân hàng</v>
      </c>
      <c r="FT62" s="34" t="str">
        <f>IFERROR(__xludf.DUMMYFUNCTION("""COMPUTED_VALUE"""),"https://techcombank.com/thong-tin/blog/vay-von-doanh-nghiep-nho")</f>
        <v>https://techcombank.com/thong-tin/blog/vay-von-doanh-nghiep-nho</v>
      </c>
      <c r="FU62" s="30" t="str">
        <f>IFERROR(__xludf.DUMMYFUNCTION("""COMPUTED_VALUE"""),"cách tính lãi suất ngân hàng")</f>
        <v>cách tính lãi suất ngân hàng</v>
      </c>
      <c r="FV62" s="34" t="str">
        <f>IFERROR(__xludf.DUMMYFUNCTION("""COMPUTED_VALUE"""),"https://techcombank.com/thong-tin/blog/vay-mua-chung-cu")</f>
        <v>https://techcombank.com/thong-tin/blog/vay-mua-chung-cu</v>
      </c>
      <c r="FW62" s="30" t="str">
        <f>IFERROR(__xludf.DUMMYFUNCTION("""COMPUTED_VALUE"""),"tính lãi suất tiết kiệm")</f>
        <v>tính lãi suất tiết kiệm</v>
      </c>
      <c r="FX62" s="34" t="str">
        <f>IFERROR(__xludf.DUMMYFUNCTION("""COMPUTED_VALUE"""),"https://techcombank.com/thong-tin/blog/tra-gop-hoc-phi")</f>
        <v>https://techcombank.com/thong-tin/blog/tra-gop-hoc-phi</v>
      </c>
      <c r="FY62" s="30" t="str">
        <f>IFERROR(__xludf.DUMMYFUNCTION("""COMPUTED_VALUE"""),"tính lãi suất ngân hàng")</f>
        <v>tính lãi suất ngân hàng</v>
      </c>
      <c r="FZ62" s="34" t="str">
        <f>IFERROR(__xludf.DUMMYFUNCTION("""COMPUTED_VALUE"""),"https://techcombank.com/thong-tin/blog/vay-50-trieu")</f>
        <v>https://techcombank.com/thong-tin/blog/vay-50-trieu</v>
      </c>
      <c r="GA62" s="30" t="str">
        <f>IFERROR(__xludf.DUMMYFUNCTION("""COMPUTED_VALUE"""),"tính lãi suất tiết kiệm")</f>
        <v>tính lãi suất tiết kiệm</v>
      </c>
      <c r="GB62" s="34" t="str">
        <f>IFERROR(__xludf.DUMMYFUNCTION("""COMPUTED_VALUE"""),"https://techcombank.com/thong-tin/blog/chung-chi-tien-gui-co-an-toan-khong")</f>
        <v>https://techcombank.com/thong-tin/blog/chung-chi-tien-gui-co-an-toan-khong</v>
      </c>
      <c r="GC62" s="30" t="str">
        <f>IFERROR(__xludf.DUMMYFUNCTION("""COMPUTED_VALUE"""),"tính lãi suất ngân hàng")</f>
        <v>tính lãi suất ngân hàng</v>
      </c>
      <c r="GD62" s="34" t="str">
        <f>IFERROR(__xludf.DUMMYFUNCTION("""COMPUTED_VALUE"""),"https://techcombank.com/thong-tin/blog/vay-mua-dien-thoai")</f>
        <v>https://techcombank.com/thong-tin/blog/vay-mua-dien-thoai</v>
      </c>
      <c r="GE62" s="30" t="str">
        <f>IFERROR(__xludf.DUMMYFUNCTION("""COMPUTED_VALUE"""),"tính lãi suất ngân hàng")</f>
        <v>tính lãi suất ngân hàng</v>
      </c>
      <c r="GF62" s="34" t="str">
        <f>IFERROR(__xludf.DUMMYFUNCTION("""COMPUTED_VALUE"""),"https://techcombank.com/thong-tin/blog/tien-nhan-roi-nen-lam-gi")</f>
        <v>https://techcombank.com/thong-tin/blog/tien-nhan-roi-nen-lam-gi</v>
      </c>
      <c r="GG62" s="30" t="str">
        <f>IFERROR(__xludf.DUMMYFUNCTION("""COMPUTED_VALUE"""),"tính lãi suất ngân hàng")</f>
        <v>tính lãi suất ngân hàng</v>
      </c>
      <c r="GH62" s="34" t="str">
        <f>IFERROR(__xludf.DUMMYFUNCTION("""COMPUTED_VALUE"""),"https://techcombank.com/thong-tin/blog/nen-vay-tin-chap-o-dau")</f>
        <v>https://techcombank.com/thong-tin/blog/nen-vay-tin-chap-o-dau</v>
      </c>
      <c r="GI62" s="30" t="str">
        <f>IFERROR(__xludf.DUMMYFUNCTION("""COMPUTED_VALUE"""),"tính lãi suất tiết kiệm")</f>
        <v>tính lãi suất tiết kiệm</v>
      </c>
      <c r="GJ62" s="34" t="str">
        <f>IFERROR(__xludf.DUMMYFUNCTION("""COMPUTED_VALUE"""),"https://techcombank.com/thong-tin/blog/diem-tin-dung")</f>
        <v>https://techcombank.com/thong-tin/blog/diem-tin-dung</v>
      </c>
      <c r="GK62" s="30" t="str">
        <f>IFERROR(__xludf.DUMMYFUNCTION("""COMPUTED_VALUE"""),"cách tính lãi suất ngân hàng")</f>
        <v>cách tính lãi suất ngân hàng</v>
      </c>
      <c r="GL62" s="34" t="str">
        <f>IFERROR(__xludf.DUMMYFUNCTION("""COMPUTED_VALUE"""),"https://techcombank.com/thong-tin/blog/kinh-nghiem-vay-the-chap-ngan-hang")</f>
        <v>https://techcombank.com/thong-tin/blog/kinh-nghiem-vay-the-chap-ngan-hang</v>
      </c>
      <c r="GM62" s="30" t="str">
        <f>IFERROR(__xludf.DUMMYFUNCTION("""COMPUTED_VALUE"""),"tính lãi suất ngân hàng")</f>
        <v>tính lãi suất ngân hàng</v>
      </c>
      <c r="GN62" s="34" t="str">
        <f>IFERROR(__xludf.DUMMYFUNCTION("""COMPUTED_VALUE"""),"https://techcombank.com/thong-tin/blog/cho-vay-tieu-dung-la-gi")</f>
        <v>https://techcombank.com/thong-tin/blog/cho-vay-tieu-dung-la-gi</v>
      </c>
      <c r="GO62" s="30" t="str">
        <f>IFERROR(__xludf.DUMMYFUNCTION("""COMPUTED_VALUE"""),"cách tính lãi suất ngân hàng")</f>
        <v>cách tính lãi suất ngân hàng</v>
      </c>
      <c r="GP62" s="34" t="str">
        <f>IFERROR(__xludf.DUMMYFUNCTION("""COMPUTED_VALUE"""),"https://techcombank.com/thong-tin/blog/vay-15-trieu")</f>
        <v>https://techcombank.com/thong-tin/blog/vay-15-trieu</v>
      </c>
      <c r="GQ62" s="30" t="str">
        <f>IFERROR(__xludf.DUMMYFUNCTION("""COMPUTED_VALUE"""),"tính lãi suất ngân hàng")</f>
        <v>tính lãi suất ngân hàng</v>
      </c>
      <c r="GR62" s="34" t="str">
        <f>IFERROR(__xludf.DUMMYFUNCTION("""COMPUTED_VALUE"""),"https://techcombank.com/thong-tin/blog/vay-tien-mat")</f>
        <v>https://techcombank.com/thong-tin/blog/vay-tien-mat</v>
      </c>
      <c r="GS62" s="30" t="str">
        <f>IFERROR(__xludf.DUMMYFUNCTION("""COMPUTED_VALUE"""),"tính lãi suất ngân hàng")</f>
        <v>tính lãi suất ngân hàng</v>
      </c>
      <c r="GT62" s="34" t="str">
        <f>IFERROR(__xludf.DUMMYFUNCTION("""COMPUTED_VALUE"""),"https://techcombank.com/thong-tin/blog/cach-tiet-kiem-tien")</f>
        <v>https://techcombank.com/thong-tin/blog/cach-tiet-kiem-tien</v>
      </c>
      <c r="GU62" s="30" t="str">
        <f>IFERROR(__xludf.DUMMYFUNCTION("""COMPUTED_VALUE"""),"cách tính lãi suất ngân hàng")</f>
        <v>cách tính lãi suất ngân hàng</v>
      </c>
      <c r="GV62" s="34" t="str">
        <f>IFERROR(__xludf.DUMMYFUNCTION("""COMPUTED_VALUE"""),"https://techcombank.com/thong-tin/blog/lai-suat-qua-han")</f>
        <v>https://techcombank.com/thong-tin/blog/lai-suat-qua-han</v>
      </c>
      <c r="GW62" s="30" t="str">
        <f>IFERROR(__xludf.DUMMYFUNCTION("""COMPUTED_VALUE"""),"tính lãi suất tiết kiệm")</f>
        <v>tính lãi suất tiết kiệm</v>
      </c>
      <c r="GX62" s="34" t="str">
        <f>IFERROR(__xludf.DUMMYFUNCTION("""COMPUTED_VALUE"""),"https://techcombank.com/thong-tin/blog/app-vay-tien-nhanh")</f>
        <v>https://techcombank.com/thong-tin/blog/app-vay-tien-nhanh</v>
      </c>
      <c r="GY62" s="30" t="str">
        <f>IFERROR(__xludf.DUMMYFUNCTION("""COMPUTED_VALUE"""),"tính lãi suất ngân hàng")</f>
        <v>tính lãi suất ngân hàng</v>
      </c>
      <c r="GZ62" s="34" t="str">
        <f>IFERROR(__xludf.DUMMYFUNCTION("""COMPUTED_VALUE"""),"https://techcombank.com/thong-tin/blog/tin-chap-doanh-nghiep")</f>
        <v>https://techcombank.com/thong-tin/blog/tin-chap-doanh-nghiep</v>
      </c>
      <c r="HA62" s="30" t="str">
        <f>IFERROR(__xludf.DUMMYFUNCTION("""COMPUTED_VALUE"""),"tính lãi suất tiết kiệm")</f>
        <v>tính lãi suất tiết kiệm</v>
      </c>
      <c r="HB62" s="34" t="str">
        <f>IFERROR(__xludf.DUMMYFUNCTION("""COMPUTED_VALUE"""),"https://techcombank.com/thong-tin/blog/vay-sinh-vien")</f>
        <v>https://techcombank.com/thong-tin/blog/vay-sinh-vien</v>
      </c>
      <c r="HC62" s="30" t="str">
        <f>IFERROR(__xludf.DUMMYFUNCTION("""COMPUTED_VALUE"""),"tính lãi suất ngân hàng")</f>
        <v>tính lãi suất ngân hàng</v>
      </c>
      <c r="HD62" s="34" t="str">
        <f>IFERROR(__xludf.DUMMYFUNCTION("""COMPUTED_VALUE"""),"https://techcombank.com/thong-tin/blog/vay-the-chap-so-hong")</f>
        <v>https://techcombank.com/thong-tin/blog/vay-the-chap-so-hong</v>
      </c>
      <c r="HE62" s="30" t="str">
        <f>IFERROR(__xludf.DUMMYFUNCTION("""COMPUTED_VALUE"""),"tính lãi suất ngân hàng")</f>
        <v>tính lãi suất ngân hàng</v>
      </c>
      <c r="HF62" s="34" t="str">
        <f>IFERROR(__xludf.DUMMYFUNCTION("""COMPUTED_VALUE"""),"https://techcombank.com/thong-tin/blog/lai-suat-vay-mua-o-to")</f>
        <v>https://techcombank.com/thong-tin/blog/lai-suat-vay-mua-o-to</v>
      </c>
      <c r="HG62" s="30" t="str">
        <f>IFERROR(__xludf.DUMMYFUNCTION("""COMPUTED_VALUE"""),"tính lãi suất ngân hàng")</f>
        <v>tính lãi suất ngân hàng</v>
      </c>
      <c r="HH62" s="34" t="str">
        <f>IFERROR(__xludf.DUMMYFUNCTION("""COMPUTED_VALUE"""),"https://techcombank.com/thong-tin/blog/nen-lam-the-visa-hay-noi-dia")</f>
        <v>https://techcombank.com/thong-tin/blog/nen-lam-the-visa-hay-noi-dia</v>
      </c>
      <c r="HI62" s="30" t="str">
        <f>IFERROR(__xludf.DUMMYFUNCTION("""COMPUTED_VALUE"""),"tính lãi suất ngân hàng")</f>
        <v>tính lãi suất ngân hàng</v>
      </c>
      <c r="HJ62" s="34" t="str">
        <f>IFERROR(__xludf.DUMMYFUNCTION("""COMPUTED_VALUE"""),"https://techcombank.com/thong-tin/blog/vay-300-trieu")</f>
        <v>https://techcombank.com/thong-tin/blog/vay-300-trieu</v>
      </c>
      <c r="HK62" s="30" t="str">
        <f>IFERROR(__xludf.DUMMYFUNCTION("""COMPUTED_VALUE"""),"tính lãi suất ngân hàng")</f>
        <v>tính lãi suất ngân hàng</v>
      </c>
      <c r="HL62" s="34" t="str">
        <f>IFERROR(__xludf.DUMMYFUNCTION("""COMPUTED_VALUE"""),"https://techcombank.com/thong-tin/blog/vay-the-chap-xe-o-to-cu")</f>
        <v>https://techcombank.com/thong-tin/blog/vay-the-chap-xe-o-to-cu</v>
      </c>
      <c r="HM62" s="30" t="str">
        <f>IFERROR(__xludf.DUMMYFUNCTION("""COMPUTED_VALUE"""),"tính lãi suất tiết kiệm")</f>
        <v>tính lãi suất tiết kiệm</v>
      </c>
      <c r="HN62" s="34" t="str">
        <f>IFERROR(__xludf.DUMMYFUNCTION("""COMPUTED_VALUE"""),"https://techcombank.com/thong-tin/blog/thu-tuc-mua-xe-tra-gop")</f>
        <v>https://techcombank.com/thong-tin/blog/thu-tuc-mua-xe-tra-gop</v>
      </c>
      <c r="HO62" s="30" t="str">
        <f>IFERROR(__xludf.DUMMYFUNCTION("""COMPUTED_VALUE"""),"tính lãi suất ngân hàng")</f>
        <v>tính lãi suất ngân hàng</v>
      </c>
      <c r="HP62" s="34" t="str">
        <f>IFERROR(__xludf.DUMMYFUNCTION("""COMPUTED_VALUE"""),"https://techcombank.com/thong-tin/blog/tra-gop-lazada")</f>
        <v>https://techcombank.com/thong-tin/blog/tra-gop-lazada</v>
      </c>
      <c r="HQ62" s="30" t="str">
        <f>IFERROR(__xludf.DUMMYFUNCTION("""COMPUTED_VALUE"""),"cách tính lãi suất ngân hàng")</f>
        <v>cách tính lãi suất ngân hàng</v>
      </c>
      <c r="HR62" s="34" t="str">
        <f>IFERROR(__xludf.DUMMYFUNCTION("""COMPUTED_VALUE"""),"https://techcombank.com/thong-tin/blog/lam-ho-so-tra-gop-dien-thoai")</f>
        <v>https://techcombank.com/thong-tin/blog/lam-ho-so-tra-gop-dien-thoai</v>
      </c>
      <c r="HS62" s="30" t="str">
        <f>IFERROR(__xludf.DUMMYFUNCTION("""COMPUTED_VALUE"""),"tính lãi suất ngân hàng")</f>
        <v>tính lãi suất ngân hàng</v>
      </c>
      <c r="HT62" s="34" t="str">
        <f>IFERROR(__xludf.DUMMYFUNCTION("""COMPUTED_VALUE"""),"https://techcombank.com/thong-tin/blog/vay-30-trieu")</f>
        <v>https://techcombank.com/thong-tin/blog/vay-30-trieu</v>
      </c>
      <c r="HU62" s="30" t="str">
        <f>IFERROR(__xludf.DUMMYFUNCTION("""COMPUTED_VALUE"""),"tính lãi suất ngân hàng")</f>
        <v>tính lãi suất ngân hàng</v>
      </c>
      <c r="HV62" s="34" t="str">
        <f>IFERROR(__xludf.DUMMYFUNCTION("""COMPUTED_VALUE"""),"https://techcombank.com/thong-tin/blog/cach-su-dung-the-tin-dung")</f>
        <v>https://techcombank.com/thong-tin/blog/cach-su-dung-the-tin-dung</v>
      </c>
      <c r="HW62" s="30" t="str">
        <f>IFERROR(__xludf.DUMMYFUNCTION("""COMPUTED_VALUE"""),"cách tính lãi suất ngân hàng")</f>
        <v>cách tính lãi suất ngân hàng</v>
      </c>
      <c r="HX62" s="34" t="str">
        <f>IFERROR(__xludf.DUMMYFUNCTION("""COMPUTED_VALUE"""),"https://techcombank.com/thong-tin/blog/vay-mua-nha-o-xa-hoi")</f>
        <v>https://techcombank.com/thong-tin/blog/vay-mua-nha-o-xa-hoi</v>
      </c>
      <c r="HY62" s="30" t="str">
        <f>IFERROR(__xludf.DUMMYFUNCTION("""COMPUTED_VALUE"""),"tính lãi suất ngân hàng")</f>
        <v>tính lãi suất ngân hàng</v>
      </c>
      <c r="HZ62" s="34" t="str">
        <f>IFERROR(__xludf.DUMMYFUNCTION("""COMPUTED_VALUE"""),"https://techcombank.com/thong-tin/blog/vay-mua-xe-tra-gop-ngan-hang-nao-tot-nhat")</f>
        <v>https://techcombank.com/thong-tin/blog/vay-mua-xe-tra-gop-ngan-hang-nao-tot-nhat</v>
      </c>
      <c r="IA62" s="30" t="str">
        <f>IFERROR(__xludf.DUMMYFUNCTION("""COMPUTED_VALUE"""),"tính lãi suất ngân hàng")</f>
        <v>tính lãi suất ngân hàng</v>
      </c>
      <c r="IB62" s="34" t="str">
        <f>IFERROR(__xludf.DUMMYFUNCTION("""COMPUTED_VALUE"""),"https://techcombank.com/thong-tin/blog/nen-mua-xe-tra-gop-hay-tra-thang")</f>
        <v>https://techcombank.com/thong-tin/blog/nen-mua-xe-tra-gop-hay-tra-thang</v>
      </c>
      <c r="IC62" s="30" t="str">
        <f>IFERROR(__xludf.DUMMYFUNCTION("""COMPUTED_VALUE"""),"tính lãi suất ngân hàng")</f>
        <v>tính lãi suất ngân hàng</v>
      </c>
      <c r="ID62" s="34" t="str">
        <f>IFERROR(__xludf.DUMMYFUNCTION("""COMPUTED_VALUE"""),"https://techcombank.com/thong-tin/blog/vay-the-chap-kinh-doanh")</f>
        <v>https://techcombank.com/thong-tin/blog/vay-the-chap-kinh-doanh</v>
      </c>
      <c r="IE62" s="30" t="str">
        <f>IFERROR(__xludf.DUMMYFUNCTION("""COMPUTED_VALUE"""),"tính lãi suất ngân hàng")</f>
        <v>tính lãi suất ngân hàng</v>
      </c>
      <c r="IF62" s="34" t="str">
        <f>IFERROR(__xludf.DUMMYFUNCTION("""COMPUTED_VALUE"""),"https://techcombank.com/thong-tin/blog/the-ghi-no-va-the-tin-dung")</f>
        <v>https://techcombank.com/thong-tin/blog/the-ghi-no-va-the-tin-dung</v>
      </c>
      <c r="IG62" s="30" t="str">
        <f>IFERROR(__xludf.DUMMYFUNCTION("""COMPUTED_VALUE"""),"cách tính lãi suất ngân hàng")</f>
        <v>cách tính lãi suất ngân hàng</v>
      </c>
      <c r="IH62" s="34" t="str">
        <f>IFERROR(__xludf.DUMMYFUNCTION("""COMPUTED_VALUE"""),"https://techcombank.com/thong-tin/blog/lai-suat-vay-the-chap")</f>
        <v>https://techcombank.com/thong-tin/blog/lai-suat-vay-the-chap</v>
      </c>
      <c r="II62" s="30" t="str">
        <f>IFERROR(__xludf.DUMMYFUNCTION("""COMPUTED_VALUE"""),"cách tính lãi suất ngân hàng")</f>
        <v>cách tính lãi suất ngân hàng</v>
      </c>
      <c r="IJ62" s="34" t="str">
        <f>IFERROR(__xludf.DUMMYFUNCTION("""COMPUTED_VALUE"""),"https://techcombank.com/thong-tin/blog/uu-dai-the-tin-dung-techcombank-signature")</f>
        <v>https://techcombank.com/thong-tin/blog/uu-dai-the-tin-dung-techcombank-signature</v>
      </c>
      <c r="IK62" s="30" t="str">
        <f>IFERROR(__xludf.DUMMYFUNCTION("""COMPUTED_VALUE"""),"tính lãi suất ngân hàng")</f>
        <v>tính lãi suất ngân hàng</v>
      </c>
      <c r="IL62" s="34" t="str">
        <f>IFERROR(__xludf.DUMMYFUNCTION("""COMPUTED_VALUE"""),"https://techcombank.com/thong-tin/blog/vay-tin-chap-va-vay-the-chap")</f>
        <v>https://techcombank.com/thong-tin/blog/vay-tin-chap-va-vay-the-chap</v>
      </c>
      <c r="IM62" s="30" t="str">
        <f>IFERROR(__xludf.DUMMYFUNCTION("""COMPUTED_VALUE"""),"cách tính lãi suất ngân hàng")</f>
        <v>cách tính lãi suất ngân hàng</v>
      </c>
      <c r="IN62" s="34" t="str">
        <f>IFERROR(__xludf.DUMMYFUNCTION("""COMPUTED_VALUE"""),"https://techcombank.com/thong-tin/blog/the-tin-dung-phu-la-gi")</f>
        <v>https://techcombank.com/thong-tin/blog/the-tin-dung-phu-la-gi</v>
      </c>
      <c r="IO62" s="30" t="str">
        <f>IFERROR(__xludf.DUMMYFUNCTION("""COMPUTED_VALUE"""),"cách tính lãi suất ngân hàng")</f>
        <v>cách tính lãi suất ngân hàng</v>
      </c>
      <c r="IP62" s="34" t="str">
        <f>IFERROR(__xludf.DUMMYFUNCTION("""COMPUTED_VALUE"""),"https://techcombank.com/thong-tin/blog/ngan-hang-dien-tu")</f>
        <v>https://techcombank.com/thong-tin/blog/ngan-hang-dien-tu</v>
      </c>
      <c r="IQ62" s="30" t="str">
        <f>IFERROR(__xludf.DUMMYFUNCTION("""COMPUTED_VALUE"""),"tính lãi suất tiết kiệm")</f>
        <v>tính lãi suất tiết kiệm</v>
      </c>
      <c r="IR62" s="34" t="str">
        <f>IFERROR(__xludf.DUMMYFUNCTION("""COMPUTED_VALUE"""),"https://techcombank.com/thong-tin/blog/nhung-kho-khan-khi-tiet-kiem-tien")</f>
        <v>https://techcombank.com/thong-tin/blog/nhung-kho-khan-khi-tiet-kiem-tien</v>
      </c>
      <c r="IS62" s="30" t="str">
        <f>IFERROR(__xludf.DUMMYFUNCTION("""COMPUTED_VALUE"""),"tính lãi suất ngân hàng")</f>
        <v>tính lãi suất ngân hàng</v>
      </c>
      <c r="IT62" s="34" t="str">
        <f>IFERROR(__xludf.DUMMYFUNCTION("""COMPUTED_VALUE"""),"https://techcombank.com/thong-tin/blog/cach-thanh-toan-the-tin-dung")</f>
        <v>https://techcombank.com/thong-tin/blog/cach-thanh-toan-the-tin-dung</v>
      </c>
      <c r="IU62" s="30" t="str">
        <f>IFERROR(__xludf.DUMMYFUNCTION("""COMPUTED_VALUE"""),"tính lãi suất tiết kiệm")</f>
        <v>tính lãi suất tiết kiệm</v>
      </c>
      <c r="IV62" s="34" t="str">
        <f>IFERROR(__xludf.DUMMYFUNCTION("""COMPUTED_VALUE"""),"https://techcombank.com/thong-tin/blog/xu-huong-dau-tu-trai-phieu-ky-han-duoi-mot-nam-lua-chon-an-toan-khi-thi-truong-bien-dong")</f>
        <v>https://techcombank.com/thong-tin/blog/xu-huong-dau-tu-trai-phieu-ky-han-duoi-mot-nam-lua-chon-an-toan-khi-thi-truong-bien-dong</v>
      </c>
      <c r="IW62" s="30" t="str">
        <f>IFERROR(__xludf.DUMMYFUNCTION("""COMPUTED_VALUE"""),"tính lãi suất ngân hàng")</f>
        <v>tính lãi suất ngân hàng</v>
      </c>
      <c r="IX62" s="34" t="str">
        <f>IFERROR(__xludf.DUMMYFUNCTION("""COMPUTED_VALUE"""),"https://techcombank.com/thong-tin/blog/nap-tien-vao-tai-khoan-ngan-hang")</f>
        <v>https://techcombank.com/thong-tin/blog/nap-tien-vao-tai-khoan-ngan-hang</v>
      </c>
      <c r="IY62" s="30" t="str">
        <f>IFERROR(__xludf.DUMMYFUNCTION("""COMPUTED_VALUE"""),"tính lãi suất tiết kiệm")</f>
        <v>tính lãi suất tiết kiệm</v>
      </c>
      <c r="IZ62" s="34" t="str">
        <f>IFERROR(__xludf.DUMMYFUNCTION("""COMPUTED_VALUE"""),"https://techcombank.com/thong-tin/blog/dau-tu-tai-chinh-ca-nhan")</f>
        <v>https://techcombank.com/thong-tin/blog/dau-tu-tai-chinh-ca-nhan</v>
      </c>
      <c r="JA62" s="30" t="str">
        <f>IFERROR(__xludf.DUMMYFUNCTION("""COMPUTED_VALUE"""),"cách tính lãi suất ngân hàng")</f>
        <v>cách tính lãi suất ngân hàng</v>
      </c>
      <c r="JB62" s="34" t="str">
        <f>IFERROR(__xludf.DUMMYFUNCTION("""COMPUTED_VALUE"""),"https://techcombank.com/thong-tin/blog/vay-ngan-hang-1-ty-moi-thang-tra-bao-nhieu")</f>
        <v>https://techcombank.com/thong-tin/blog/vay-ngan-hang-1-ty-moi-thang-tra-bao-nhieu</v>
      </c>
      <c r="JC62" s="30" t="str">
        <f>IFERROR(__xludf.DUMMYFUNCTION("""COMPUTED_VALUE"""),"tính lãi suất tiết kiệm")</f>
        <v>tính lãi suất tiết kiệm</v>
      </c>
      <c r="JD62" s="34" t="str">
        <f>IFERROR(__xludf.DUMMYFUNCTION("""COMPUTED_VALUE"""),"https://techcombank.com/thong-tin/blog/quan-ly-chuoi-cua-hang")</f>
        <v>https://techcombank.com/thong-tin/blog/quan-ly-chuoi-cua-hang</v>
      </c>
      <c r="JE62" s="30" t="str">
        <f>IFERROR(__xludf.DUMMYFUNCTION("""COMPUTED_VALUE"""),"tính lãi suất ngân hàng")</f>
        <v>tính lãi suất ngân hàng</v>
      </c>
      <c r="JF62" s="34" t="str">
        <f>IFERROR(__xludf.DUMMYFUNCTION("""COMPUTED_VALUE"""),"https://techcombank.com/thong-tin/blog/mobile-banking-la-gi")</f>
        <v>https://techcombank.com/thong-tin/blog/mobile-banking-la-gi</v>
      </c>
      <c r="JG62" s="30" t="str">
        <f>IFERROR(__xludf.DUMMYFUNCTION("""COMPUTED_VALUE"""),"tính lãi suất ngân hàng")</f>
        <v>tính lãi suất ngân hàng</v>
      </c>
      <c r="JH62" s="34" t="str">
        <f>IFERROR(__xludf.DUMMYFUNCTION("""COMPUTED_VALUE"""),"https://techcombank.com/thong-tin/blog/nap-xu-tiktok")</f>
        <v>https://techcombank.com/thong-tin/blog/nap-xu-tiktok</v>
      </c>
      <c r="JI62" s="30" t="str">
        <f>IFERROR(__xludf.DUMMYFUNCTION("""COMPUTED_VALUE"""),"tính lãi suất tiết kiệm")</f>
        <v>tính lãi suất tiết kiệm</v>
      </c>
      <c r="JJ62" s="34" t="str">
        <f>IFERROR(__xludf.DUMMYFUNCTION("""COMPUTED_VALUE"""),"https://techcombank.com/thong-tin/blog/cach-tiet-kiem-tien-theo-tuan")</f>
        <v>https://techcombank.com/thong-tin/blog/cach-tiet-kiem-tien-theo-tuan</v>
      </c>
      <c r="JK62" s="30" t="str">
        <f>IFERROR(__xludf.DUMMYFUNCTION("""COMPUTED_VALUE"""),"tính lãi suất tiết kiệm")</f>
        <v>tính lãi suất tiết kiệm</v>
      </c>
      <c r="JL62" s="34" t="str">
        <f>IFERROR(__xludf.DUMMYFUNCTION("""COMPUTED_VALUE"""),"https://techcombank.com/thong-tin/blog/quan-ly-tai-chinh-cho-dan-van-phong")</f>
        <v>https://techcombank.com/thong-tin/blog/quan-ly-tai-chinh-cho-dan-van-phong</v>
      </c>
      <c r="JM62" s="30" t="str">
        <f>IFERROR(__xludf.DUMMYFUNCTION("""COMPUTED_VALUE"""),"tính lãi suất tiết kiệm")</f>
        <v>tính lãi suất tiết kiệm</v>
      </c>
      <c r="JN62" s="34" t="str">
        <f>IFERROR(__xludf.DUMMYFUNCTION("""COMPUTED_VALUE"""),"https://techcombank.com/thong-tin/blog/dau-tu-ngan-han")</f>
        <v>https://techcombank.com/thong-tin/blog/dau-tu-ngan-han</v>
      </c>
      <c r="JO62" s="30" t="str">
        <f>IFERROR(__xludf.DUMMYFUNCTION("""COMPUTED_VALUE"""),"tính lãi suất tiết kiệm")</f>
        <v>tính lãi suất tiết kiệm</v>
      </c>
      <c r="JP62" s="34" t="str">
        <f>IFERROR(__xludf.DUMMYFUNCTION("""COMPUTED_VALUE"""),"https://techcombank.com/thong-tin/blog/tiet-kiem-tien-moi-ngay")</f>
        <v>https://techcombank.com/thong-tin/blog/tiet-kiem-tien-moi-ngay</v>
      </c>
      <c r="JQ62" s="30" t="str">
        <f>IFERROR(__xludf.DUMMYFUNCTION("""COMPUTED_VALUE"""),"tính lãi suất tiết kiệm")</f>
        <v>tính lãi suất tiết kiệm</v>
      </c>
      <c r="JR62" s="34" t="str">
        <f>IFERROR(__xludf.DUMMYFUNCTION("""COMPUTED_VALUE"""),"https://techcombank.com/thong-tin/blog/cach-tiet-kiem-100-trieu-1-nam")</f>
        <v>https://techcombank.com/thong-tin/blog/cach-tiet-kiem-100-trieu-1-nam</v>
      </c>
      <c r="JS62" s="30" t="str">
        <f>IFERROR(__xludf.DUMMYFUNCTION("""COMPUTED_VALUE"""),"tính lãi suất tiết kiệm")</f>
        <v>tính lãi suất tiết kiệm</v>
      </c>
      <c r="JT62" s="34" t="str">
        <f>IFERROR(__xludf.DUMMYFUNCTION("""COMPUTED_VALUE"""),"https://techcombank.com/thong-tin/blog/tai-khoan-tiet-kiem")</f>
        <v>https://techcombank.com/thong-tin/blog/tai-khoan-tiet-kiem</v>
      </c>
      <c r="JU62" s="30" t="str">
        <f>IFERROR(__xludf.DUMMYFUNCTION("""COMPUTED_VALUE"""),"tính lãi suất tiết kiệm")</f>
        <v>tính lãi suất tiết kiệm</v>
      </c>
      <c r="JV62" s="34" t="str">
        <f>IFERROR(__xludf.DUMMYFUNCTION("""COMPUTED_VALUE"""),"https://techcombank.com/thong-tin/blog/the-nao-la-tiet-kiem")</f>
        <v>https://techcombank.com/thong-tin/blog/the-nao-la-tiet-kiem</v>
      </c>
      <c r="JW62" s="30" t="str">
        <f>IFERROR(__xludf.DUMMYFUNCTION("""COMPUTED_VALUE"""),"tính lãi suất ngân hàng")</f>
        <v>tính lãi suất ngân hàng</v>
      </c>
      <c r="JX62" s="34" t="str">
        <f>IFERROR(__xludf.DUMMYFUNCTION("""COMPUTED_VALUE"""),"https://techcombank.com/thong-tin/blog/so-du-kha-dung")</f>
        <v>https://techcombank.com/thong-tin/blog/so-du-kha-dung</v>
      </c>
      <c r="JY62" s="30" t="str">
        <f>IFERROR(__xludf.DUMMYFUNCTION("""COMPUTED_VALUE"""),"tính lãi suất ngân hàng")</f>
        <v>tính lãi suất ngân hàng</v>
      </c>
      <c r="JZ62" s="34" t="str">
        <f>IFERROR(__xludf.DUMMYFUNCTION("""COMPUTED_VALUE"""),"https://techcombank.com/thong-tin/blog/vay-kinh-doanh-online")</f>
        <v>https://techcombank.com/thong-tin/blog/vay-kinh-doanh-online</v>
      </c>
      <c r="KA62" s="30" t="str">
        <f>IFERROR(__xludf.DUMMYFUNCTION("""COMPUTED_VALUE"""),"cách tính lãi suất ngân hàng")</f>
        <v>cách tính lãi suất ngân hàng</v>
      </c>
      <c r="KB62" s="34" t="str">
        <f>IFERROR(__xludf.DUMMYFUNCTION("""COMPUTED_VALUE"""),"https://techcombank.com/thong-tin/blog/the-tin-dung-hoan-tien")</f>
        <v>https://techcombank.com/thong-tin/blog/the-tin-dung-hoan-tien</v>
      </c>
      <c r="KC62" s="30" t="str">
        <f>IFERROR(__xludf.DUMMYFUNCTION("""COMPUTED_VALUE"""),"cách tính lãi suất tiết kiệm ngân hàng")</f>
        <v>cách tính lãi suất tiết kiệm ngân hàng</v>
      </c>
      <c r="KD62" s="34" t="str">
        <f>IFERROR(__xludf.DUMMYFUNCTION("""COMPUTED_VALUE"""),"https://techcombank.com/thong-tin/blog/cach-tiet-kiem-tien-cua-nguoi-nhat")</f>
        <v>https://techcombank.com/thong-tin/blog/cach-tiet-kiem-tien-cua-nguoi-nhat</v>
      </c>
      <c r="KE62" s="30" t="str">
        <f>IFERROR(__xludf.DUMMYFUNCTION("""COMPUTED_VALUE"""),"tính lãi suất tiết kiệm")</f>
        <v>tính lãi suất tiết kiệm</v>
      </c>
      <c r="KF62" s="34" t="str">
        <f>IFERROR(__xludf.DUMMYFUNCTION("""COMPUTED_VALUE"""),"https://techcombank.com/thong-tin/blog/tai-khoan-thanh-toan-la-gi")</f>
        <v>https://techcombank.com/thong-tin/blog/tai-khoan-thanh-toan-la-gi</v>
      </c>
      <c r="KG62" s="30" t="str">
        <f>IFERROR(__xludf.DUMMYFUNCTION("""COMPUTED_VALUE"""),"tính lãi suất tiết kiệm")</f>
        <v>tính lãi suất tiết kiệm</v>
      </c>
      <c r="KH62" s="34" t="str">
        <f>IFERROR(__xludf.DUMMYFUNCTION("""COMPUTED_VALUE"""),"https://techcombank.com/thong-tin/blog/gui-them-tien-vao-so-tiet-kiem")</f>
        <v>https://techcombank.com/thong-tin/blog/gui-them-tien-vao-so-tiet-kiem</v>
      </c>
      <c r="KI62" s="30" t="str">
        <f>IFERROR(__xludf.DUMMYFUNCTION("""COMPUTED_VALUE"""),"tính lãi suất tiết kiệm")</f>
        <v>tính lãi suất tiết kiệm</v>
      </c>
      <c r="KJ62" s="34" t="str">
        <f>IFERROR(__xludf.DUMMYFUNCTION("""COMPUTED_VALUE"""),"https://techcombank.com/thong-tin/blog/loi-ich-cua-viec-tiet-kiem-tien")</f>
        <v>https://techcombank.com/thong-tin/blog/loi-ich-cua-viec-tiet-kiem-tien</v>
      </c>
      <c r="KK62" s="30" t="str">
        <f>IFERROR(__xludf.DUMMYFUNCTION("""COMPUTED_VALUE"""),"tính lãi suất ngân hàng")</f>
        <v>tính lãi suất ngân hàng</v>
      </c>
      <c r="KL62" s="34" t="str">
        <f>IFERROR(__xludf.DUMMYFUNCTION("""COMPUTED_VALUE"""),"https://techcombank.com/thong-tin/blog/dieu-kien-vay-the-chap")</f>
        <v>https://techcombank.com/thong-tin/blog/dieu-kien-vay-the-chap</v>
      </c>
      <c r="KM62" s="30" t="str">
        <f>IFERROR(__xludf.DUMMYFUNCTION("""COMPUTED_VALUE"""),"cách tính lãi suất tiết kiệm ngân hàng")</f>
        <v>cách tính lãi suất tiết kiệm ngân hàng</v>
      </c>
      <c r="KN62" s="34" t="str">
        <f>IFERROR(__xludf.DUMMYFUNCTION("""COMPUTED_VALUE"""),"https://techcombank.com/thong-tin/blog/phan-mem-lap-ke-hoach-tai-chinh-ca-nhan")</f>
        <v>https://techcombank.com/thong-tin/blog/phan-mem-lap-ke-hoach-tai-chinh-ca-nhan</v>
      </c>
      <c r="KO62" s="30" t="str">
        <f>IFERROR(__xludf.DUMMYFUNCTION("""COMPUTED_VALUE"""),"tính lãi suất ngân hàng")</f>
        <v>tính lãi suất ngân hàng</v>
      </c>
      <c r="KP62" s="34" t="str">
        <f>IFERROR(__xludf.DUMMYFUNCTION("""COMPUTED_VALUE"""),"https://techcombank.com/thong-tin/blog/so-du-tai-khoan-thanh-toan")</f>
        <v>https://techcombank.com/thong-tin/blog/so-du-tai-khoan-thanh-toan</v>
      </c>
      <c r="KQ62" s="30" t="str">
        <f>IFERROR(__xludf.DUMMYFUNCTION("""COMPUTED_VALUE"""),"tính lãi suất tiết kiệm")</f>
        <v>tính lãi suất tiết kiệm</v>
      </c>
      <c r="KR62" s="34" t="str">
        <f>IFERROR(__xludf.DUMMYFUNCTION("""COMPUTED_VALUE"""),"https://techcombank.com/thong-tin/blog/mat-so-tiet-kiem")</f>
        <v>https://techcombank.com/thong-tin/blog/mat-so-tiet-kiem</v>
      </c>
      <c r="KS62" s="30" t="str">
        <f>IFERROR(__xludf.DUMMYFUNCTION("""COMPUTED_VALUE"""),"tính lãi suất ngân hàng")</f>
        <v>tính lãi suất ngân hàng</v>
      </c>
      <c r="KT62" s="34" t="str">
        <f>IFERROR(__xludf.DUMMYFUNCTION("""COMPUTED_VALUE"""),"https://techcombank.com/thong-tin/blog/tin-dung-doanh-nghiep")</f>
        <v>https://techcombank.com/thong-tin/blog/tin-dung-doanh-nghiep</v>
      </c>
      <c r="KU62" s="30" t="str">
        <f>IFERROR(__xludf.DUMMYFUNCTION("""COMPUTED_VALUE"""),"tính lãi suất ngân hàng")</f>
        <v>tính lãi suất ngân hàng</v>
      </c>
      <c r="KV62" s="34" t="str">
        <f>IFERROR(__xludf.DUMMYFUNCTION("""COMPUTED_VALUE"""),"https://techcombank.com/thong-tin/blog/chung-chi-tien-gui-co-duoc-rut-truoc-han")</f>
        <v>https://techcombank.com/thong-tin/blog/chung-chi-tien-gui-co-duoc-rut-truoc-han</v>
      </c>
      <c r="KW62" s="30" t="str">
        <f>IFERROR(__xludf.DUMMYFUNCTION("""COMPUTED_VALUE"""),"tính lãi suất tiết kiệm")</f>
        <v>tính lãi suất tiết kiệm</v>
      </c>
      <c r="KX62" s="34" t="str">
        <f>IFERROR(__xludf.DUMMYFUNCTION("""COMPUTED_VALUE"""),"https://techcombank.com/thong-tin/blog/cac-chung-chi-quy-o-viet-nam")</f>
        <v>https://techcombank.com/thong-tin/blog/cac-chung-chi-quy-o-viet-nam</v>
      </c>
      <c r="KY62" s="30" t="str">
        <f>IFERROR(__xludf.DUMMYFUNCTION("""COMPUTED_VALUE"""),"tính lãi suất ngân hàng")</f>
        <v>tính lãi suất ngân hàng</v>
      </c>
      <c r="KZ62" s="34" t="str">
        <f>IFERROR(__xludf.DUMMYFUNCTION("""COMPUTED_VALUE"""),"https://techcombank.com/thong-tin/blog/thanh-toan-khi-du-lich-han-quoc")</f>
        <v>https://techcombank.com/thong-tin/blog/thanh-toan-khi-du-lich-han-quoc</v>
      </c>
      <c r="LA62" s="30"/>
      <c r="LB62" s="30"/>
      <c r="LC62" s="30"/>
      <c r="LD62" s="30"/>
      <c r="LE62" s="30"/>
      <c r="LF62" s="30"/>
      <c r="LG62" s="30"/>
      <c r="LH62" s="30"/>
      <c r="LI62" s="30"/>
      <c r="LJ62" s="30"/>
      <c r="LK62" s="30"/>
      <c r="LL62" s="30"/>
      <c r="LM62" s="30"/>
      <c r="LN62" s="30"/>
      <c r="LO62" s="30"/>
      <c r="LP62" s="30"/>
      <c r="LQ62" s="30"/>
      <c r="LR62" s="30"/>
      <c r="LS62" s="30"/>
      <c r="LT62" s="30"/>
      <c r="LU62" s="30"/>
      <c r="LV62" s="30"/>
      <c r="LW62" s="30"/>
      <c r="LX62" s="30"/>
      <c r="LY62" s="30"/>
      <c r="LZ62" s="30"/>
      <c r="MA62" s="30"/>
      <c r="MB62" s="30"/>
      <c r="MC62" s="30"/>
      <c r="MD62" s="30"/>
      <c r="ME62" s="30"/>
      <c r="MF62" s="30"/>
      <c r="MG62" s="30"/>
      <c r="MH62" s="30"/>
      <c r="MI62" s="30"/>
      <c r="MJ62" s="30"/>
      <c r="MK62" s="30"/>
      <c r="ML62" s="30"/>
      <c r="MM62" s="30"/>
      <c r="MN62" s="30"/>
      <c r="MO62" s="30"/>
      <c r="MP62" s="30"/>
      <c r="MQ62" s="30"/>
      <c r="MR62" s="30"/>
      <c r="MS62" s="30"/>
      <c r="MT62" s="30"/>
      <c r="MU62" s="30"/>
      <c r="MV62" s="30"/>
      <c r="MW62" s="30"/>
      <c r="MX62" s="30"/>
      <c r="MY62" s="30"/>
      <c r="MZ62" s="30"/>
      <c r="NA62" s="30"/>
      <c r="NB62" s="30"/>
      <c r="NC62" s="30"/>
      <c r="ND62" s="30"/>
      <c r="NE62" s="30"/>
      <c r="NF62" s="30"/>
      <c r="NG62" s="30"/>
      <c r="NH62" s="30"/>
      <c r="NI62" s="30"/>
      <c r="NJ62" s="30"/>
      <c r="NK62" s="30"/>
      <c r="NL62" s="30"/>
      <c r="NM62" s="30"/>
      <c r="NN62" s="30"/>
      <c r="NO62" s="30"/>
      <c r="NP62" s="30"/>
      <c r="NQ62" s="30"/>
      <c r="NR62" s="30"/>
      <c r="NS62" s="30"/>
      <c r="NT62" s="30"/>
      <c r="NU62" s="30"/>
      <c r="NV62" s="30"/>
      <c r="NW62" s="30"/>
      <c r="NX62" s="30"/>
      <c r="NY62" s="30"/>
      <c r="NZ62" s="30"/>
      <c r="OA62" s="30"/>
      <c r="OB62" s="30"/>
      <c r="OC62" s="30"/>
      <c r="OD62" s="30"/>
      <c r="OE62" s="30"/>
      <c r="OF62" s="30"/>
      <c r="OG62" s="30"/>
      <c r="OH62" s="30"/>
      <c r="OI62" s="30"/>
      <c r="OJ62" s="30"/>
      <c r="OK62" s="30"/>
      <c r="OL62" s="30"/>
      <c r="OM62" s="30"/>
      <c r="ON62" s="30"/>
      <c r="OO62" s="30"/>
      <c r="OP62" s="30"/>
      <c r="OQ62" s="30"/>
      <c r="OR62" s="30"/>
      <c r="OS62" s="30"/>
      <c r="OT62" s="30"/>
      <c r="OU62" s="30"/>
      <c r="OV62" s="30"/>
    </row>
    <row r="63" ht="18.0" customHeight="1">
      <c r="A63" s="29">
        <v>62.0</v>
      </c>
      <c r="B63" s="30" t="s">
        <v>5270</v>
      </c>
      <c r="C63" s="31" t="s">
        <v>5136</v>
      </c>
      <c r="D63" s="30" t="s">
        <v>2424</v>
      </c>
      <c r="E63" s="29">
        <v>30.0</v>
      </c>
      <c r="F63" s="29">
        <f>COUNTIF('Tổng hợp 75 trang đích'!$B$2:$B$3400,$D63)</f>
        <v>30</v>
      </c>
      <c r="G63" s="29">
        <f>COUNTIFS('Tổng hợp 75 trang đích'!$B$2:$B$3400,$D63,'Tổng hợp 75 trang đích'!$K$2:$K$3400,"PHÙ HỢP CAO")</f>
        <v>1</v>
      </c>
      <c r="H63" s="29">
        <f>COUNTIFS('Tổng hợp 75 trang đích'!$B$2:$B$3400,$D63,'Tổng hợp 75 trang đích'!$K$2:$K$3400,"CÓ THỂ ĐI")</f>
        <v>3</v>
      </c>
      <c r="I63" s="29">
        <f>COUNTIFS('Tổng hợp 75 trang đích'!$B$2:$B$3400,$D63,'Tổng hợp 75 trang đích'!$K$2:$K$3400,"CẦN SOÁT")</f>
        <v>26</v>
      </c>
      <c r="J63" s="32" t="s">
        <v>714</v>
      </c>
      <c r="K63" s="32" t="b">
        <v>0</v>
      </c>
      <c r="L63" s="33" t="s">
        <v>52</v>
      </c>
      <c r="M63" s="30" t="str">
        <f>IFERROR(__xludf.DUMMYFUNCTION("IFERROR(TOROW(CHOOSECOLS(SORT(FILTER({'Tổng hợp 75 trang đích'!$J$2:$J$3400,'Tổng hợp 75 trang đích'!$I$2:$I$3400,MATCH('Tổng hợp 75 trang đích'!$K$2:$K$3400,{""PHÙ HỢP CAO"",""CÓ THỂ ĐI"",""CẦN SOÁT""},0)},'Tổng hợp 75 trang đích'!$B$2:$B$3400=$D63),3,TR"&amp;"UE),1,2)),"""")"),"rút tiết kiệm trước hạn")</f>
        <v>rút tiết kiệm trước hạn</v>
      </c>
      <c r="N63" s="34" t="str">
        <f>IFERROR(__xludf.DUMMYFUNCTION("""COMPUTED_VALUE"""),"https://techcombank.com/thong-tin/blog/vay-thau-chi-bang-so-tiet-kiem")</f>
        <v>https://techcombank.com/thong-tin/blog/vay-thau-chi-bang-so-tiet-kiem</v>
      </c>
      <c r="O63" s="30" t="str">
        <f>IFERROR(__xludf.DUMMYFUNCTION("""COMPUTED_VALUE"""),"rút tiết kiệm trước hạn")</f>
        <v>rút tiết kiệm trước hạn</v>
      </c>
      <c r="P63" s="34" t="str">
        <f>IFERROR(__xludf.DUMMYFUNCTION("""COMPUTED_VALUE"""),"https://techcombank.com/thong-tin/blog/lai-kep-ngan-hang")</f>
        <v>https://techcombank.com/thong-tin/blog/lai-kep-ngan-hang</v>
      </c>
      <c r="Q63" s="30" t="str">
        <f>IFERROR(__xludf.DUMMYFUNCTION("""COMPUTED_VALUE"""),"rút tiết kiệm trước hạn")</f>
        <v>rút tiết kiệm trước hạn</v>
      </c>
      <c r="R63" s="34" t="str">
        <f>IFERROR(__xludf.DUMMYFUNCTION("""COMPUTED_VALUE"""),"https://techcombank.com/thong-tin/blog/mat-so-tiet-kiem")</f>
        <v>https://techcombank.com/thong-tin/blog/mat-so-tiet-kiem</v>
      </c>
      <c r="S63" s="30" t="str">
        <f>IFERROR(__xludf.DUMMYFUNCTION("""COMPUTED_VALUE"""),"rút tiết kiệm trước hạn")</f>
        <v>rút tiết kiệm trước hạn</v>
      </c>
      <c r="T63" s="34" t="str">
        <f>IFERROR(__xludf.DUMMYFUNCTION("""COMPUTED_VALUE"""),"https://techcombank.com/thong-tin/blog/gui-them-tien-vao-so-tiet-kiem")</f>
        <v>https://techcombank.com/thong-tin/blog/gui-them-tien-vao-so-tiet-kiem</v>
      </c>
      <c r="U63" s="30" t="str">
        <f>IFERROR(__xludf.DUMMYFUNCTION("""COMPUTED_VALUE"""),"rút tiết kiệm trước hạn")</f>
        <v>rút tiết kiệm trước hạn</v>
      </c>
      <c r="V63" s="34" t="str">
        <f>IFERROR(__xludf.DUMMYFUNCTION("""COMPUTED_VALUE"""),"https://techcombank.com/thong-tin/blog/thanh-khoan-la-gi")</f>
        <v>https://techcombank.com/thong-tin/blog/thanh-khoan-la-gi</v>
      </c>
      <c r="W63" s="30" t="str">
        <f>IFERROR(__xludf.DUMMYFUNCTION("""COMPUTED_VALUE"""),"rút tiết kiệm trước hạn")</f>
        <v>rút tiết kiệm trước hạn</v>
      </c>
      <c r="X63" s="34" t="str">
        <f>IFERROR(__xludf.DUMMYFUNCTION("""COMPUTED_VALUE"""),"https://techcombank.com/thong-tin/blog/so-tiet-kiem-ngan-hang")</f>
        <v>https://techcombank.com/thong-tin/blog/so-tiet-kiem-ngan-hang</v>
      </c>
      <c r="Y63" s="30" t="str">
        <f>IFERROR(__xludf.DUMMYFUNCTION("""COMPUTED_VALUE"""),"rút tiết kiệm trước hạn")</f>
        <v>rút tiết kiệm trước hạn</v>
      </c>
      <c r="Z63" s="34" t="str">
        <f>IFERROR(__xludf.DUMMYFUNCTION("""COMPUTED_VALUE"""),"https://techcombank.com/thong-tin/blog/tat-toan")</f>
        <v>https://techcombank.com/thong-tin/blog/tat-toan</v>
      </c>
      <c r="AA63" s="30" t="str">
        <f>IFERROR(__xludf.DUMMYFUNCTION("""COMPUTED_VALUE"""),"rút tiết kiệm trước hạn")</f>
        <v>rút tiết kiệm trước hạn</v>
      </c>
      <c r="AB63" s="34" t="str">
        <f>IFERROR(__xludf.DUMMYFUNCTION("""COMPUTED_VALUE"""),"https://techcombank.com/thong-tin/blog/dao-han-la-gi")</f>
        <v>https://techcombank.com/thong-tin/blog/dao-han-la-gi</v>
      </c>
      <c r="AC63" s="30" t="str">
        <f>IFERROR(__xludf.DUMMYFUNCTION("""COMPUTED_VALUE"""),"rút tiền tiết kiệm trước thời hạn")</f>
        <v>rút tiền tiết kiệm trước thời hạn</v>
      </c>
      <c r="AD63" s="34" t="str">
        <f>IFERROR(__xludf.DUMMYFUNCTION("""COMPUTED_VALUE"""),"https://techcombank.com/thong-tin/blog/quy-trinh-tat-toan-khoan-vay-the-chap")</f>
        <v>https://techcombank.com/thong-tin/blog/quy-trinh-tat-toan-khoan-vay-the-chap</v>
      </c>
      <c r="AE63" s="30" t="str">
        <f>IFERROR(__xludf.DUMMYFUNCTION("""COMPUTED_VALUE"""),"rút tiết kiệm trước hạn")</f>
        <v>rút tiết kiệm trước hạn</v>
      </c>
      <c r="AF63" s="34" t="str">
        <f>IFERROR(__xludf.DUMMYFUNCTION("""COMPUTED_VALUE"""),"https://techcombank.com/thong-tin/blog/tai-sao-gui-tiet-kiem-online-lai-suat-cao-hon")</f>
        <v>https://techcombank.com/thong-tin/blog/tai-sao-gui-tiet-kiem-online-lai-suat-cao-hon</v>
      </c>
      <c r="AG63" s="30" t="str">
        <f>IFERROR(__xludf.DUMMYFUNCTION("""COMPUTED_VALUE"""),"rút tiết kiệm trước hạn")</f>
        <v>rút tiết kiệm trước hạn</v>
      </c>
      <c r="AH63" s="34" t="str">
        <f>IFERROR(__xludf.DUMMYFUNCTION("""COMPUTED_VALUE"""),"https://techcombank.com/thong-tin/blog/mo-so-tiet-kiem-can-bao-nhieu-tien")</f>
        <v>https://techcombank.com/thong-tin/blog/mo-so-tiet-kiem-can-bao-nhieu-tien</v>
      </c>
      <c r="AI63" s="30" t="str">
        <f>IFERROR(__xludf.DUMMYFUNCTION("""COMPUTED_VALUE"""),"rút tiết kiệm trước hạn")</f>
        <v>rút tiết kiệm trước hạn</v>
      </c>
      <c r="AJ63" s="34" t="str">
        <f>IFERROR(__xludf.DUMMYFUNCTION("""COMPUTED_VALUE"""),"https://techcombank.com/thong-tin/blog/dau-tu-ngan-han")</f>
        <v>https://techcombank.com/thong-tin/blog/dau-tu-ngan-han</v>
      </c>
      <c r="AK63" s="30" t="str">
        <f>IFERROR(__xludf.DUMMYFUNCTION("""COMPUTED_VALUE"""),"rút tiết kiệm trước hạn")</f>
        <v>rút tiết kiệm trước hạn</v>
      </c>
      <c r="AL63" s="34" t="str">
        <f>IFERROR(__xludf.DUMMYFUNCTION("""COMPUTED_VALUE"""),"https://techcombank.com/thong-tin/blog/no-xau-mo-the-tin-dung-duoc-khong")</f>
        <v>https://techcombank.com/thong-tin/blog/no-xau-mo-the-tin-dung-duoc-khong</v>
      </c>
      <c r="AM63" s="30" t="str">
        <f>IFERROR(__xludf.DUMMYFUNCTION("""COMPUTED_VALUE"""),"rút tiết kiệm trước hạn")</f>
        <v>rút tiết kiệm trước hạn</v>
      </c>
      <c r="AN63" s="34" t="str">
        <f>IFERROR(__xludf.DUMMYFUNCTION("""COMPUTED_VALUE"""),"https://techcombank.com/thong-tin/blog/rut-tien-bao-hiem-nhan-tho-khi-het-han")</f>
        <v>https://techcombank.com/thong-tin/blog/rut-tien-bao-hiem-nhan-tho-khi-het-han</v>
      </c>
      <c r="AO63" s="30" t="str">
        <f>IFERROR(__xludf.DUMMYFUNCTION("""COMPUTED_VALUE"""),"rút tiết kiệm trước hạn")</f>
        <v>rút tiết kiệm trước hạn</v>
      </c>
      <c r="AP63" s="34" t="str">
        <f>IFERROR(__xludf.DUMMYFUNCTION("""COMPUTED_VALUE"""),"https://techcombank.com/thong-tin/blog/mo-the-tin-dung-khong-can-chung-minh-thu-nhap")</f>
        <v>https://techcombank.com/thong-tin/blog/mo-the-tin-dung-khong-can-chung-minh-thu-nhap</v>
      </c>
      <c r="AQ63" s="30" t="str">
        <f>IFERROR(__xludf.DUMMYFUNCTION("""COMPUTED_VALUE"""),"rút tiết kiệm trước hạn")</f>
        <v>rút tiết kiệm trước hạn</v>
      </c>
      <c r="AR63" s="34" t="str">
        <f>IFERROR(__xludf.DUMMYFUNCTION("""COMPUTED_VALUE"""),"https://techcombank.com/thong-tin/blog/chung-chi-tien-gui-khac-gi-so-tiet-kiem")</f>
        <v>https://techcombank.com/thong-tin/blog/chung-chi-tien-gui-khac-gi-so-tiet-kiem</v>
      </c>
      <c r="AS63" s="30" t="str">
        <f>IFERROR(__xludf.DUMMYFUNCTION("""COMPUTED_VALUE"""),"rút tiết kiệm trước hạn")</f>
        <v>rút tiết kiệm trước hạn</v>
      </c>
      <c r="AT63" s="34" t="str">
        <f>IFERROR(__xludf.DUMMYFUNCTION("""COMPUTED_VALUE"""),"https://techcombank.com/thong-tin/blog/chung-chi-tien-gui-co-duoc-rut-truoc-han")</f>
        <v>https://techcombank.com/thong-tin/blog/chung-chi-tien-gui-co-duoc-rut-truoc-han</v>
      </c>
      <c r="AU63" s="30" t="str">
        <f>IFERROR(__xludf.DUMMYFUNCTION("""COMPUTED_VALUE"""),"rút tiền tiết kiệm trước thời hạn")</f>
        <v>rút tiền tiết kiệm trước thời hạn</v>
      </c>
      <c r="AV63" s="34" t="str">
        <f>IFERROR(__xludf.DUMMYFUNCTION("""COMPUTED_VALUE"""),"https://techcombank.com/thong-tin/blog/app-gui-tien-tiet-kiem")</f>
        <v>https://techcombank.com/thong-tin/blog/app-gui-tien-tiet-kiem</v>
      </c>
      <c r="AW63" s="30" t="str">
        <f>IFERROR(__xludf.DUMMYFUNCTION("""COMPUTED_VALUE"""),"rút tiền tiết kiệm trước thời hạn")</f>
        <v>rút tiền tiết kiệm trước thời hạn</v>
      </c>
      <c r="AX63" s="34" t="str">
        <f>IFERROR(__xludf.DUMMYFUNCTION("""COMPUTED_VALUE"""),"https://techcombank.com/thong-tin/blog/tien-gui-co-ky-han")</f>
        <v>https://techcombank.com/thong-tin/blog/tien-gui-co-ky-han</v>
      </c>
      <c r="AY63" s="30" t="str">
        <f>IFERROR(__xludf.DUMMYFUNCTION("""COMPUTED_VALUE"""),"rút tiết kiệm trước hạn")</f>
        <v>rút tiết kiệm trước hạn</v>
      </c>
      <c r="AZ63" s="34" t="str">
        <f>IFERROR(__xludf.DUMMYFUNCTION("""COMPUTED_VALUE"""),"https://techcombank.com/thong-tin/blog/lai-suat-chung-chi-tien-gui-cac-ngan-hang")</f>
        <v>https://techcombank.com/thong-tin/blog/lai-suat-chung-chi-tien-gui-cac-ngan-hang</v>
      </c>
      <c r="BA63" s="30" t="str">
        <f>IFERROR(__xludf.DUMMYFUNCTION("""COMPUTED_VALUE"""),"rút tiền tiết kiệm trước thời hạn")</f>
        <v>rút tiền tiết kiệm trước thời hạn</v>
      </c>
      <c r="BB63" s="34" t="str">
        <f>IFERROR(__xludf.DUMMYFUNCTION("""COMPUTED_VALUE"""),"https://techcombank.com/thong-tin/blog/gui-tiet-kiem-theo-ngay")</f>
        <v>https://techcombank.com/thong-tin/blog/gui-tiet-kiem-theo-ngay</v>
      </c>
      <c r="BC63" s="30" t="str">
        <f>IFERROR(__xludf.DUMMYFUNCTION("""COMPUTED_VALUE"""),"rút tiết kiệm trước hạn")</f>
        <v>rút tiết kiệm trước hạn</v>
      </c>
      <c r="BD63" s="34" t="str">
        <f>IFERROR(__xludf.DUMMYFUNCTION("""COMPUTED_VALUE"""),"https://techcombank.com/thong-tin/blog/nen-gui-tiet-kiem-6-thang-hay-1-nam")</f>
        <v>https://techcombank.com/thong-tin/blog/nen-gui-tiet-kiem-6-thang-hay-1-nam</v>
      </c>
      <c r="BE63" s="30" t="str">
        <f>IFERROR(__xludf.DUMMYFUNCTION("""COMPUTED_VALUE"""),"rút tiết kiệm trước hạn")</f>
        <v>rút tiết kiệm trước hạn</v>
      </c>
      <c r="BF63" s="34" t="str">
        <f>IFERROR(__xludf.DUMMYFUNCTION("""COMPUTED_VALUE"""),"https://techcombank.com/thong-tin/blog/gui-tiet-kiem-online-quay-vong-ca-goc-va-lai")</f>
        <v>https://techcombank.com/thong-tin/blog/gui-tiet-kiem-online-quay-vong-ca-goc-va-lai</v>
      </c>
      <c r="BG63" s="30" t="str">
        <f>IFERROR(__xludf.DUMMYFUNCTION("""COMPUTED_VALUE"""),"rút tiết kiệm trước hạn")</f>
        <v>rút tiết kiệm trước hạn</v>
      </c>
      <c r="BH63" s="34" t="str">
        <f>IFERROR(__xludf.DUMMYFUNCTION("""COMPUTED_VALUE"""),"https://techcombank.com/thong-tin/blog/the-napas-la-gi")</f>
        <v>https://techcombank.com/thong-tin/blog/the-napas-la-gi</v>
      </c>
      <c r="BI63" s="30" t="str">
        <f>IFERROR(__xludf.DUMMYFUNCTION("""COMPUTED_VALUE"""),"rút tiết kiệm trước hạn")</f>
        <v>rút tiết kiệm trước hạn</v>
      </c>
      <c r="BJ63" s="34" t="str">
        <f>IFERROR(__xludf.DUMMYFUNCTION("""COMPUTED_VALUE"""),"https://techcombank.com/thong-tin/blog/kinh-nghiem-gui-tiet-kiem-online")</f>
        <v>https://techcombank.com/thong-tin/blog/kinh-nghiem-gui-tiet-kiem-online</v>
      </c>
      <c r="BK63" s="30" t="str">
        <f>IFERROR(__xludf.DUMMYFUNCTION("""COMPUTED_VALUE"""),"rút tiết kiệm trước hạn")</f>
        <v>rút tiết kiệm trước hạn</v>
      </c>
      <c r="BL63" s="34" t="str">
        <f>IFERROR(__xludf.DUMMYFUNCTION("""COMPUTED_VALUE"""),"https://techcombank.com/thong-tin/blog/so-sanh-gui-tiet-kiem-online-va-tai-quay")</f>
        <v>https://techcombank.com/thong-tin/blog/so-sanh-gui-tiet-kiem-online-va-tai-quay</v>
      </c>
      <c r="BM63" s="30" t="str">
        <f>IFERROR(__xludf.DUMMYFUNCTION("""COMPUTED_VALUE"""),"rút tiết kiệm trước hạn")</f>
        <v>rút tiết kiệm trước hạn</v>
      </c>
      <c r="BN63" s="34" t="str">
        <f>IFERROR(__xludf.DUMMYFUNCTION("""COMPUTED_VALUE"""),"https://techcombank.com/thong-tin/blog/cach-tiet-kiem-tien-sinh-loi")</f>
        <v>https://techcombank.com/thong-tin/blog/cach-tiet-kiem-tien-sinh-loi</v>
      </c>
      <c r="BO63" s="30" t="str">
        <f>IFERROR(__xludf.DUMMYFUNCTION("""COMPUTED_VALUE"""),"rút tiền tiết kiệm trước thời hạn")</f>
        <v>rút tiền tiết kiệm trước thời hạn</v>
      </c>
      <c r="BP63" s="34" t="str">
        <f>IFERROR(__xludf.DUMMYFUNCTION("""COMPUTED_VALUE"""),"https://techcombank.com/thong-tin/blog/gui-tiet-kiem-hang-thang")</f>
        <v>https://techcombank.com/thong-tin/blog/gui-tiet-kiem-hang-thang</v>
      </c>
      <c r="BQ63" s="30" t="str">
        <f>IFERROR(__xludf.DUMMYFUNCTION("""COMPUTED_VALUE"""),"rút tiết kiệm trước hạn")</f>
        <v>rút tiết kiệm trước hạn</v>
      </c>
      <c r="BR63" s="34" t="str">
        <f>IFERROR(__xludf.DUMMYFUNCTION("""COMPUTED_VALUE"""),"https://techcombank.com/thong-tin/blog/gui-tiet-kiem-vang")</f>
        <v>https://techcombank.com/thong-tin/blog/gui-tiet-kiem-vang</v>
      </c>
      <c r="BS63" s="30" t="str">
        <f>IFERROR(__xludf.DUMMYFUNCTION("""COMPUTED_VALUE"""),"rút tiền tiết kiệm trước thời hạn")</f>
        <v>rút tiền tiết kiệm trước thời hạn</v>
      </c>
      <c r="BT63" s="34" t="str">
        <f>IFERROR(__xludf.DUMMYFUNCTION("""COMPUTED_VALUE"""),"https://techcombank.com/thong-tin/blog/cach-gui-tiet-kiem-online")</f>
        <v>https://techcombank.com/thong-tin/blog/cach-gui-tiet-kiem-online</v>
      </c>
      <c r="BU63" s="30"/>
      <c r="BV63" s="30"/>
      <c r="BW63" s="30"/>
      <c r="BX63" s="30"/>
      <c r="BY63" s="30"/>
      <c r="BZ63" s="30"/>
      <c r="CA63" s="30"/>
      <c r="CB63" s="30"/>
      <c r="CC63" s="30"/>
      <c r="CD63" s="30"/>
      <c r="CE63" s="30"/>
      <c r="CF63" s="30"/>
      <c r="CG63" s="30"/>
      <c r="CH63" s="30"/>
      <c r="CI63" s="30"/>
      <c r="CJ63" s="30"/>
      <c r="CK63" s="30"/>
      <c r="CL63" s="30"/>
      <c r="CM63" s="30"/>
      <c r="CN63" s="30"/>
      <c r="CO63" s="30"/>
      <c r="CP63" s="30"/>
      <c r="CQ63" s="30"/>
      <c r="CR63" s="30"/>
      <c r="CS63" s="30"/>
      <c r="CT63" s="30"/>
      <c r="CU63" s="30"/>
      <c r="CV63" s="30"/>
      <c r="CW63" s="30"/>
      <c r="CX63" s="30"/>
      <c r="CY63" s="30"/>
      <c r="CZ63" s="30"/>
      <c r="DA63" s="30"/>
      <c r="DB63" s="30"/>
      <c r="DC63" s="30"/>
      <c r="DD63" s="30"/>
      <c r="DE63" s="30"/>
      <c r="DF63" s="30"/>
      <c r="DG63" s="30"/>
      <c r="DH63" s="30"/>
      <c r="DI63" s="30"/>
      <c r="DJ63" s="30"/>
      <c r="DK63" s="30"/>
      <c r="DL63" s="30"/>
      <c r="DM63" s="30"/>
      <c r="DN63" s="30"/>
      <c r="DO63" s="30"/>
      <c r="DP63" s="30"/>
      <c r="DQ63" s="30"/>
      <c r="DR63" s="30"/>
      <c r="DS63" s="30"/>
      <c r="DT63" s="30"/>
      <c r="DU63" s="30"/>
      <c r="DV63" s="30"/>
      <c r="DW63" s="30"/>
      <c r="DX63" s="30"/>
      <c r="DY63" s="30"/>
      <c r="DZ63" s="30"/>
      <c r="EA63" s="30"/>
      <c r="EB63" s="30"/>
      <c r="EC63" s="30"/>
      <c r="ED63" s="30"/>
      <c r="EE63" s="30"/>
      <c r="EF63" s="30"/>
      <c r="EG63" s="30"/>
      <c r="EH63" s="30"/>
      <c r="EI63" s="30"/>
      <c r="EJ63" s="30"/>
      <c r="EK63" s="30"/>
      <c r="EL63" s="30"/>
      <c r="EM63" s="30"/>
      <c r="EN63" s="30"/>
      <c r="EO63" s="30"/>
      <c r="EP63" s="30"/>
      <c r="EQ63" s="30"/>
      <c r="ER63" s="30"/>
      <c r="ES63" s="30"/>
      <c r="ET63" s="30"/>
      <c r="EU63" s="30"/>
      <c r="EV63" s="30"/>
      <c r="EW63" s="30"/>
      <c r="EX63" s="30"/>
      <c r="EY63" s="30"/>
      <c r="EZ63" s="30"/>
      <c r="FA63" s="30"/>
      <c r="FB63" s="30"/>
      <c r="FC63" s="30"/>
      <c r="FD63" s="30"/>
      <c r="FE63" s="30"/>
      <c r="FF63" s="30"/>
      <c r="FG63" s="30"/>
      <c r="FH63" s="30"/>
      <c r="FI63" s="30"/>
      <c r="FJ63" s="30"/>
      <c r="FK63" s="30"/>
      <c r="FL63" s="30"/>
      <c r="FM63" s="30"/>
      <c r="FN63" s="30"/>
      <c r="FO63" s="30"/>
      <c r="FP63" s="30"/>
      <c r="FQ63" s="30"/>
      <c r="FR63" s="30"/>
      <c r="FS63" s="30"/>
      <c r="FT63" s="30"/>
      <c r="FU63" s="30"/>
      <c r="FV63" s="30"/>
      <c r="FW63" s="30"/>
      <c r="FX63" s="30"/>
      <c r="FY63" s="30"/>
      <c r="FZ63" s="30"/>
      <c r="GA63" s="30"/>
      <c r="GB63" s="30"/>
      <c r="GC63" s="30"/>
      <c r="GD63" s="30"/>
      <c r="GE63" s="30"/>
      <c r="GF63" s="30"/>
      <c r="GG63" s="30"/>
      <c r="GH63" s="30"/>
      <c r="GI63" s="30"/>
      <c r="GJ63" s="30"/>
      <c r="GK63" s="30"/>
      <c r="GL63" s="30"/>
      <c r="GM63" s="30"/>
      <c r="GN63" s="30"/>
      <c r="GO63" s="30"/>
      <c r="GP63" s="30"/>
      <c r="GQ63" s="30"/>
      <c r="GR63" s="30"/>
      <c r="GS63" s="30"/>
      <c r="GT63" s="30"/>
      <c r="GU63" s="30"/>
      <c r="GV63" s="30"/>
      <c r="GW63" s="30"/>
      <c r="GX63" s="30"/>
      <c r="GY63" s="30"/>
      <c r="GZ63" s="30"/>
      <c r="HA63" s="30"/>
      <c r="HB63" s="30"/>
      <c r="HC63" s="30"/>
      <c r="HD63" s="30"/>
      <c r="HE63" s="30"/>
      <c r="HF63" s="30"/>
      <c r="HG63" s="30"/>
      <c r="HH63" s="30"/>
      <c r="HI63" s="30"/>
      <c r="HJ63" s="30"/>
      <c r="HK63" s="30"/>
      <c r="HL63" s="30"/>
      <c r="HM63" s="30"/>
      <c r="HN63" s="30"/>
      <c r="HO63" s="30"/>
      <c r="HP63" s="30"/>
      <c r="HQ63" s="30"/>
      <c r="HR63" s="30"/>
      <c r="HS63" s="30"/>
      <c r="HT63" s="30"/>
      <c r="HU63" s="30"/>
      <c r="HV63" s="30"/>
      <c r="HW63" s="30"/>
      <c r="HX63" s="30"/>
      <c r="HY63" s="30"/>
      <c r="HZ63" s="30"/>
      <c r="IA63" s="30"/>
      <c r="IB63" s="30"/>
      <c r="IC63" s="30"/>
      <c r="ID63" s="30"/>
      <c r="IE63" s="30"/>
      <c r="IF63" s="30"/>
      <c r="IG63" s="30"/>
      <c r="IH63" s="30"/>
      <c r="II63" s="30"/>
      <c r="IJ63" s="30"/>
      <c r="IK63" s="30"/>
      <c r="IL63" s="30"/>
      <c r="IM63" s="30"/>
      <c r="IN63" s="30"/>
      <c r="IO63" s="30"/>
      <c r="IP63" s="30"/>
      <c r="IQ63" s="30"/>
      <c r="IR63" s="30"/>
      <c r="IS63" s="30"/>
      <c r="IT63" s="30"/>
      <c r="IU63" s="30"/>
      <c r="IV63" s="30"/>
      <c r="IW63" s="30"/>
      <c r="IX63" s="30"/>
      <c r="IY63" s="30"/>
      <c r="IZ63" s="30"/>
      <c r="JA63" s="30"/>
      <c r="JB63" s="30"/>
      <c r="JC63" s="30"/>
      <c r="JD63" s="30"/>
      <c r="JE63" s="30"/>
      <c r="JF63" s="30"/>
      <c r="JG63" s="30"/>
      <c r="JH63" s="30"/>
      <c r="JI63" s="30"/>
      <c r="JJ63" s="30"/>
      <c r="JK63" s="30"/>
      <c r="JL63" s="30"/>
      <c r="JM63" s="30"/>
      <c r="JN63" s="30"/>
      <c r="JO63" s="30"/>
      <c r="JP63" s="30"/>
      <c r="JQ63" s="30"/>
      <c r="JR63" s="30"/>
      <c r="JS63" s="30"/>
      <c r="JT63" s="30"/>
      <c r="JU63" s="30"/>
      <c r="JV63" s="30"/>
      <c r="JW63" s="30"/>
      <c r="JX63" s="30"/>
      <c r="JY63" s="30"/>
      <c r="JZ63" s="30"/>
      <c r="KA63" s="30"/>
      <c r="KB63" s="30"/>
      <c r="KC63" s="30"/>
      <c r="KD63" s="30"/>
      <c r="KE63" s="30"/>
      <c r="KF63" s="30"/>
      <c r="KG63" s="30"/>
      <c r="KH63" s="30"/>
      <c r="KI63" s="30"/>
      <c r="KJ63" s="30"/>
      <c r="KK63" s="30"/>
      <c r="KL63" s="30"/>
      <c r="KM63" s="30"/>
      <c r="KN63" s="30"/>
      <c r="KO63" s="30"/>
      <c r="KP63" s="30"/>
      <c r="KQ63" s="30"/>
      <c r="KR63" s="30"/>
      <c r="KS63" s="30"/>
      <c r="KT63" s="30"/>
      <c r="KU63" s="30"/>
      <c r="KV63" s="30"/>
      <c r="KW63" s="30"/>
      <c r="KX63" s="30"/>
      <c r="KY63" s="30"/>
      <c r="KZ63" s="30"/>
      <c r="LA63" s="30"/>
      <c r="LB63" s="30"/>
      <c r="LC63" s="30"/>
      <c r="LD63" s="30"/>
      <c r="LE63" s="30"/>
      <c r="LF63" s="30"/>
      <c r="LG63" s="30"/>
      <c r="LH63" s="30"/>
      <c r="LI63" s="30"/>
      <c r="LJ63" s="30"/>
      <c r="LK63" s="30"/>
      <c r="LL63" s="30"/>
      <c r="LM63" s="30"/>
      <c r="LN63" s="30"/>
      <c r="LO63" s="30"/>
      <c r="LP63" s="30"/>
      <c r="LQ63" s="30"/>
      <c r="LR63" s="30"/>
      <c r="LS63" s="30"/>
      <c r="LT63" s="30"/>
      <c r="LU63" s="30"/>
      <c r="LV63" s="30"/>
      <c r="LW63" s="30"/>
      <c r="LX63" s="30"/>
      <c r="LY63" s="30"/>
      <c r="LZ63" s="30"/>
      <c r="MA63" s="30"/>
      <c r="MB63" s="30"/>
      <c r="MC63" s="30"/>
      <c r="MD63" s="30"/>
      <c r="ME63" s="30"/>
      <c r="MF63" s="30"/>
      <c r="MG63" s="30"/>
      <c r="MH63" s="30"/>
      <c r="MI63" s="30"/>
      <c r="MJ63" s="30"/>
      <c r="MK63" s="30"/>
      <c r="ML63" s="30"/>
      <c r="MM63" s="30"/>
      <c r="MN63" s="30"/>
      <c r="MO63" s="30"/>
      <c r="MP63" s="30"/>
      <c r="MQ63" s="30"/>
      <c r="MR63" s="30"/>
      <c r="MS63" s="30"/>
      <c r="MT63" s="30"/>
      <c r="MU63" s="30"/>
      <c r="MV63" s="30"/>
      <c r="MW63" s="30"/>
      <c r="MX63" s="30"/>
      <c r="MY63" s="30"/>
      <c r="MZ63" s="30"/>
      <c r="NA63" s="30"/>
      <c r="NB63" s="30"/>
      <c r="NC63" s="30"/>
      <c r="ND63" s="30"/>
      <c r="NE63" s="30"/>
      <c r="NF63" s="30"/>
      <c r="NG63" s="30"/>
      <c r="NH63" s="30"/>
      <c r="NI63" s="30"/>
      <c r="NJ63" s="30"/>
      <c r="NK63" s="30"/>
      <c r="NL63" s="30"/>
      <c r="NM63" s="30"/>
      <c r="NN63" s="30"/>
      <c r="NO63" s="30"/>
      <c r="NP63" s="30"/>
      <c r="NQ63" s="30"/>
      <c r="NR63" s="30"/>
      <c r="NS63" s="30"/>
      <c r="NT63" s="30"/>
      <c r="NU63" s="30"/>
      <c r="NV63" s="30"/>
      <c r="NW63" s="30"/>
      <c r="NX63" s="30"/>
      <c r="NY63" s="30"/>
      <c r="NZ63" s="30"/>
      <c r="OA63" s="30"/>
      <c r="OB63" s="30"/>
      <c r="OC63" s="30"/>
      <c r="OD63" s="30"/>
      <c r="OE63" s="30"/>
      <c r="OF63" s="30"/>
      <c r="OG63" s="30"/>
      <c r="OH63" s="30"/>
      <c r="OI63" s="30"/>
      <c r="OJ63" s="30"/>
      <c r="OK63" s="30"/>
      <c r="OL63" s="30"/>
      <c r="OM63" s="30"/>
      <c r="ON63" s="30"/>
      <c r="OO63" s="30"/>
      <c r="OP63" s="30"/>
      <c r="OQ63" s="30"/>
      <c r="OR63" s="30"/>
      <c r="OS63" s="30"/>
      <c r="OT63" s="30"/>
      <c r="OU63" s="30"/>
      <c r="OV63" s="30"/>
    </row>
    <row r="64" ht="18.0" customHeight="1">
      <c r="A64" s="29">
        <v>63.0</v>
      </c>
      <c r="B64" s="30" t="s">
        <v>5270</v>
      </c>
      <c r="C64" s="31" t="s">
        <v>5212</v>
      </c>
      <c r="D64" s="30" t="s">
        <v>3498</v>
      </c>
      <c r="E64" s="29">
        <v>30.0</v>
      </c>
      <c r="F64" s="29">
        <f>COUNTIF('Tổng hợp 75 trang đích'!$B$2:$B$3400,$D64)</f>
        <v>30</v>
      </c>
      <c r="G64" s="29">
        <f>COUNTIFS('Tổng hợp 75 trang đích'!$B$2:$B$3400,$D64,'Tổng hợp 75 trang đích'!$K$2:$K$3400,"PHÙ HỢP CAO")</f>
        <v>3</v>
      </c>
      <c r="H64" s="29">
        <f>COUNTIFS('Tổng hợp 75 trang đích'!$B$2:$B$3400,$D64,'Tổng hợp 75 trang đích'!$K$2:$K$3400,"CÓ THỂ ĐI")</f>
        <v>5</v>
      </c>
      <c r="I64" s="29">
        <f>COUNTIFS('Tổng hợp 75 trang đích'!$B$2:$B$3400,$D64,'Tổng hợp 75 trang đích'!$K$2:$K$3400,"CẦN SOÁT")</f>
        <v>22</v>
      </c>
      <c r="J64" s="32" t="s">
        <v>714</v>
      </c>
      <c r="K64" s="32" t="b">
        <v>0</v>
      </c>
      <c r="L64" s="33" t="s">
        <v>52</v>
      </c>
      <c r="M64" s="30" t="str">
        <f>IFERROR(__xludf.DUMMYFUNCTION("IFERROR(TOROW(CHOOSECOLS(SORT(FILTER({'Tổng hợp 75 trang đích'!$J$2:$J$3400,'Tổng hợp 75 trang đích'!$I$2:$I$3400,MATCH('Tổng hợp 75 trang đích'!$K$2:$K$3400,{""PHÙ HỢP CAO"",""CÓ THỂ ĐI"",""CẦN SOÁT""},0)},'Tổng hợp 75 trang đích'!$B$2:$B$3400=$D64),3,TR"&amp;"UE),1,2)),"""")"),"sổ tiết kiệm")</f>
        <v>sổ tiết kiệm</v>
      </c>
      <c r="N64" s="34" t="str">
        <f>IFERROR(__xludf.DUMMYFUNCTION("""COMPUTED_VALUE"""),"https://techcombank.com/thong-tin/blog/mo-so-tiet-kiem-can-bao-nhieu-tien")</f>
        <v>https://techcombank.com/thong-tin/blog/mo-so-tiet-kiem-can-bao-nhieu-tien</v>
      </c>
      <c r="O64" s="30" t="str">
        <f>IFERROR(__xludf.DUMMYFUNCTION("""COMPUTED_VALUE"""),"sổ tiết kiệm")</f>
        <v>sổ tiết kiệm</v>
      </c>
      <c r="P64" s="34" t="str">
        <f>IFERROR(__xludf.DUMMYFUNCTION("""COMPUTED_VALUE"""),"https://techcombank.com/thong-tin/blog/mat-so-tiet-kiem")</f>
        <v>https://techcombank.com/thong-tin/blog/mat-so-tiet-kiem</v>
      </c>
      <c r="Q64" s="30" t="str">
        <f>IFERROR(__xludf.DUMMYFUNCTION("""COMPUTED_VALUE"""),"sổ tiết kiệm")</f>
        <v>sổ tiết kiệm</v>
      </c>
      <c r="R64" s="34" t="str">
        <f>IFERROR(__xludf.DUMMYFUNCTION("""COMPUTED_VALUE"""),"https://techcombank.com/thong-tin/blog/gui-them-tien-vao-so-tiet-kiem")</f>
        <v>https://techcombank.com/thong-tin/blog/gui-them-tien-vao-so-tiet-kiem</v>
      </c>
      <c r="S64" s="30" t="str">
        <f>IFERROR(__xludf.DUMMYFUNCTION("""COMPUTED_VALUE"""),"sổ tiết kiệm")</f>
        <v>sổ tiết kiệm</v>
      </c>
      <c r="T64" s="34" t="str">
        <f>IFERROR(__xludf.DUMMYFUNCTION("""COMPUTED_VALUE"""),"https://techcombank.com/thong-tin/blog/vay-thau-chi-bang-so-tiet-kiem")</f>
        <v>https://techcombank.com/thong-tin/blog/vay-thau-chi-bang-so-tiet-kiem</v>
      </c>
      <c r="U64" s="30" t="str">
        <f>IFERROR(__xludf.DUMMYFUNCTION("""COMPUTED_VALUE"""),"sổ tiết kiệm")</f>
        <v>sổ tiết kiệm</v>
      </c>
      <c r="V64" s="34" t="str">
        <f>IFERROR(__xludf.DUMMYFUNCTION("""COMPUTED_VALUE"""),"https://techcombank.com/thong-tin/blog/quy-trinh-gui-tien-tiet-kiem")</f>
        <v>https://techcombank.com/thong-tin/blog/quy-trinh-gui-tien-tiet-kiem</v>
      </c>
      <c r="W64" s="30" t="str">
        <f>IFERROR(__xludf.DUMMYFUNCTION("""COMPUTED_VALUE"""),"sổ tiết kiệm")</f>
        <v>sổ tiết kiệm</v>
      </c>
      <c r="X64" s="34" t="str">
        <f>IFERROR(__xludf.DUMMYFUNCTION("""COMPUTED_VALUE"""),"https://techcombank.com/thong-tin/blog/mo-the-tin-dung-khong-can-chung-minh-thu-nhap")</f>
        <v>https://techcombank.com/thong-tin/blog/mo-the-tin-dung-khong-can-chung-minh-thu-nhap</v>
      </c>
      <c r="Y64" s="30" t="str">
        <f>IFERROR(__xludf.DUMMYFUNCTION("""COMPUTED_VALUE"""),"sổ tiết kiệm")</f>
        <v>sổ tiết kiệm</v>
      </c>
      <c r="Z64" s="34" t="str">
        <f>IFERROR(__xludf.DUMMYFUNCTION("""COMPUTED_VALUE"""),"https://techcombank.com/thong-tin/blog/rut-tien-tiet-kiem-truoc-thoi-han")</f>
        <v>https://techcombank.com/thong-tin/blog/rut-tien-tiet-kiem-truoc-thoi-han</v>
      </c>
      <c r="AA64" s="30" t="str">
        <f>IFERROR(__xludf.DUMMYFUNCTION("""COMPUTED_VALUE"""),"sổ tiết kiệm")</f>
        <v>sổ tiết kiệm</v>
      </c>
      <c r="AB64" s="34" t="str">
        <f>IFERROR(__xludf.DUMMYFUNCTION("""COMPUTED_VALUE"""),"https://techcombank.com/thong-tin/blog/vay-thau-chi-la-gi")</f>
        <v>https://techcombank.com/thong-tin/blog/vay-thau-chi-la-gi</v>
      </c>
      <c r="AC64" s="30" t="str">
        <f>IFERROR(__xludf.DUMMYFUNCTION("""COMPUTED_VALUE"""),"sổ tiết kiệm ngân hàng")</f>
        <v>sổ tiết kiệm ngân hàng</v>
      </c>
      <c r="AD64" s="34" t="str">
        <f>IFERROR(__xludf.DUMMYFUNCTION("""COMPUTED_VALUE"""),"https://techcombank.com/thong-tin/blog/tai-khoan-thanh-toan-la-gi")</f>
        <v>https://techcombank.com/thong-tin/blog/tai-khoan-thanh-toan-la-gi</v>
      </c>
      <c r="AE64" s="30" t="str">
        <f>IFERROR(__xludf.DUMMYFUNCTION("""COMPUTED_VALUE"""),"sổ tiết kiệm")</f>
        <v>sổ tiết kiệm</v>
      </c>
      <c r="AF64" s="34" t="str">
        <f>IFERROR(__xludf.DUMMYFUNCTION("""COMPUTED_VALUE"""),"https://techcombank.com/thong-tin/blog/nen-gui-tiet-kiem-thong-thuong-hay-tich-luy")</f>
        <v>https://techcombank.com/thong-tin/blog/nen-gui-tiet-kiem-thong-thuong-hay-tich-luy</v>
      </c>
      <c r="AG64" s="30" t="str">
        <f>IFERROR(__xludf.DUMMYFUNCTION("""COMPUTED_VALUE"""),"sổ tiết kiệm ngân hàng")</f>
        <v>sổ tiết kiệm ngân hàng</v>
      </c>
      <c r="AH64" s="34" t="str">
        <f>IFERROR(__xludf.DUMMYFUNCTION("""COMPUTED_VALUE"""),"https://techcombank.com/thong-tin/blog/tai-sao-gui-tiet-kiem-online-lai-suat-cao-hon")</f>
        <v>https://techcombank.com/thong-tin/blog/tai-sao-gui-tiet-kiem-online-lai-suat-cao-hon</v>
      </c>
      <c r="AI64" s="30" t="str">
        <f>IFERROR(__xludf.DUMMYFUNCTION("""COMPUTED_VALUE"""),"sổ tiết kiệm")</f>
        <v>sổ tiết kiệm</v>
      </c>
      <c r="AJ64" s="34" t="str">
        <f>IFERROR(__xludf.DUMMYFUNCTION("""COMPUTED_VALUE"""),"https://techcombank.com/thong-tin/blog/tat-toan-so-tiet-kiem")</f>
        <v>https://techcombank.com/thong-tin/blog/tat-toan-so-tiet-kiem</v>
      </c>
      <c r="AK64" s="30" t="str">
        <f>IFERROR(__xludf.DUMMYFUNCTION("""COMPUTED_VALUE"""),"sổ tiết kiệm")</f>
        <v>sổ tiết kiệm</v>
      </c>
      <c r="AL64" s="34" t="str">
        <f>IFERROR(__xludf.DUMMYFUNCTION("""COMPUTED_VALUE"""),"https://techcombank.com/thong-tin/blog/tat-toan")</f>
        <v>https://techcombank.com/thong-tin/blog/tat-toan</v>
      </c>
      <c r="AM64" s="30" t="str">
        <f>IFERROR(__xludf.DUMMYFUNCTION("""COMPUTED_VALUE"""),"sổ tiết kiệm")</f>
        <v>sổ tiết kiệm</v>
      </c>
      <c r="AN64" s="34" t="str">
        <f>IFERROR(__xludf.DUMMYFUNCTION("""COMPUTED_VALUE"""),"https://techcombank.com/thong-tin/blog/dao-han-la-gi")</f>
        <v>https://techcombank.com/thong-tin/blog/dao-han-la-gi</v>
      </c>
      <c r="AO64" s="30" t="str">
        <f>IFERROR(__xludf.DUMMYFUNCTION("""COMPUTED_VALUE"""),"sổ tiết kiệm ngân hàng")</f>
        <v>sổ tiết kiệm ngân hàng</v>
      </c>
      <c r="AP64" s="34" t="str">
        <f>IFERROR(__xludf.DUMMYFUNCTION("""COMPUTED_VALUE"""),"https://techcombank.com/thong-tin/blog/nen-de-tien-trong-the-hay-gui-tiet-kiem")</f>
        <v>https://techcombank.com/thong-tin/blog/nen-de-tien-trong-the-hay-gui-tiet-kiem</v>
      </c>
      <c r="AQ64" s="30" t="str">
        <f>IFERROR(__xludf.DUMMYFUNCTION("""COMPUTED_VALUE"""),"sổ tiết kiệm")</f>
        <v>sổ tiết kiệm</v>
      </c>
      <c r="AR64" s="34" t="str">
        <f>IFERROR(__xludf.DUMMYFUNCTION("""COMPUTED_VALUE"""),"https://techcombank.com/thong-tin/blog/co-nen-gui-tiet-kiem-ngan-hang")</f>
        <v>https://techcombank.com/thong-tin/blog/co-nen-gui-tiet-kiem-ngan-hang</v>
      </c>
      <c r="AS64" s="30" t="str">
        <f>IFERROR(__xludf.DUMMYFUNCTION("""COMPUTED_VALUE"""),"sổ tiết kiệm ngân hàng")</f>
        <v>sổ tiết kiệm ngân hàng</v>
      </c>
      <c r="AT64" s="34" t="str">
        <f>IFERROR(__xludf.DUMMYFUNCTION("""COMPUTED_VALUE"""),"https://techcombank.com/thong-tin/blog/lai-suat-tiet-kiem")</f>
        <v>https://techcombank.com/thong-tin/blog/lai-suat-tiet-kiem</v>
      </c>
      <c r="AU64" s="30" t="str">
        <f>IFERROR(__xludf.DUMMYFUNCTION("""COMPUTED_VALUE"""),"sổ tiết kiệm")</f>
        <v>sổ tiết kiệm</v>
      </c>
      <c r="AV64" s="34" t="str">
        <f>IFERROR(__xludf.DUMMYFUNCTION("""COMPUTED_VALUE"""),"https://techcombank.com/thong-tin/blog/co-nen-gui-tiet-kiem-online")</f>
        <v>https://techcombank.com/thong-tin/blog/co-nen-gui-tiet-kiem-online</v>
      </c>
      <c r="AW64" s="30" t="str">
        <f>IFERROR(__xludf.DUMMYFUNCTION("""COMPUTED_VALUE"""),"sổ tiết kiệm ngân hàng")</f>
        <v>sổ tiết kiệm ngân hàng</v>
      </c>
      <c r="AX64" s="34" t="str">
        <f>IFERROR(__xludf.DUMMYFUNCTION("""COMPUTED_VALUE"""),"https://techcombank.com/thong-tin/blog/cach-gui-tiet-kiem-online")</f>
        <v>https://techcombank.com/thong-tin/blog/cach-gui-tiet-kiem-online</v>
      </c>
      <c r="AY64" s="30" t="str">
        <f>IFERROR(__xludf.DUMMYFUNCTION("""COMPUTED_VALUE"""),"sổ tiết kiệm ngân hàng")</f>
        <v>sổ tiết kiệm ngân hàng</v>
      </c>
      <c r="AZ64" s="34" t="str">
        <f>IFERROR(__xludf.DUMMYFUNCTION("""COMPUTED_VALUE"""),"https://techcombank.com/thong-tin/blog/gui-tien-ngan-hang-co-an-toan-khong")</f>
        <v>https://techcombank.com/thong-tin/blog/gui-tien-ngan-hang-co-an-toan-khong</v>
      </c>
      <c r="BA64" s="30" t="str">
        <f>IFERROR(__xludf.DUMMYFUNCTION("""COMPUTED_VALUE"""),"sổ tiết kiệm")</f>
        <v>sổ tiết kiệm</v>
      </c>
      <c r="BB64" s="34" t="str">
        <f>IFERROR(__xludf.DUMMYFUNCTION("""COMPUTED_VALUE"""),"https://techcombank.com/thong-tin/blog/nen-gui-tiet-kiem-6-thang-hay-1-nam")</f>
        <v>https://techcombank.com/thong-tin/blog/nen-gui-tiet-kiem-6-thang-hay-1-nam</v>
      </c>
      <c r="BC64" s="30" t="str">
        <f>IFERROR(__xludf.DUMMYFUNCTION("""COMPUTED_VALUE"""),"sổ tiết kiệm")</f>
        <v>sổ tiết kiệm</v>
      </c>
      <c r="BD64" s="34" t="str">
        <f>IFERROR(__xludf.DUMMYFUNCTION("""COMPUTED_VALUE"""),"https://techcombank.com/thong-tin/blog/mo-tai-khoan-tiet-kiem-cho-con")</f>
        <v>https://techcombank.com/thong-tin/blog/mo-tai-khoan-tiet-kiem-cho-con</v>
      </c>
      <c r="BE64" s="30" t="str">
        <f>IFERROR(__xludf.DUMMYFUNCTION("""COMPUTED_VALUE"""),"sổ tiết kiệm ngân hàng")</f>
        <v>sổ tiết kiệm ngân hàng</v>
      </c>
      <c r="BF64" s="34" t="str">
        <f>IFERROR(__xludf.DUMMYFUNCTION("""COMPUTED_VALUE"""),"https://techcombank.com/thong-tin/blog/gui-tiet-kiem-tich-luy-la-gi")</f>
        <v>https://techcombank.com/thong-tin/blog/gui-tiet-kiem-tich-luy-la-gi</v>
      </c>
      <c r="BG64" s="30" t="str">
        <f>IFERROR(__xludf.DUMMYFUNCTION("""COMPUTED_VALUE"""),"sổ tiết kiệm ngân hàng")</f>
        <v>sổ tiết kiệm ngân hàng</v>
      </c>
      <c r="BH64" s="34" t="str">
        <f>IFERROR(__xludf.DUMMYFUNCTION("""COMPUTED_VALUE"""),"https://techcombank.com/thong-tin/blog/gui-tiet-kiem-lay-lai-hang-thang")</f>
        <v>https://techcombank.com/thong-tin/blog/gui-tiet-kiem-lay-lai-hang-thang</v>
      </c>
      <c r="BI64" s="30" t="str">
        <f>IFERROR(__xludf.DUMMYFUNCTION("""COMPUTED_VALUE"""),"sổ tiết kiệm")</f>
        <v>sổ tiết kiệm</v>
      </c>
      <c r="BJ64" s="34" t="str">
        <f>IFERROR(__xludf.DUMMYFUNCTION("""COMPUTED_VALUE"""),"https://techcombank.com/thong-tin/blog/rui-ro-khi-gui-tiet-kiem-online")</f>
        <v>https://techcombank.com/thong-tin/blog/rui-ro-khi-gui-tiet-kiem-online</v>
      </c>
      <c r="BK64" s="30" t="str">
        <f>IFERROR(__xludf.DUMMYFUNCTION("""COMPUTED_VALUE"""),"sổ tiết kiệm ngân hàng")</f>
        <v>sổ tiết kiệm ngân hàng</v>
      </c>
      <c r="BL64" s="34" t="str">
        <f>IFERROR(__xludf.DUMMYFUNCTION("""COMPUTED_VALUE"""),"https://techcombank.com/thong-tin/blog/cach-tinh-lai-suat-tien-gui-tiet-kiem")</f>
        <v>https://techcombank.com/thong-tin/blog/cach-tinh-lai-suat-tien-gui-tiet-kiem</v>
      </c>
      <c r="BM64" s="30" t="str">
        <f>IFERROR(__xludf.DUMMYFUNCTION("""COMPUTED_VALUE"""),"sổ tiết kiệm")</f>
        <v>sổ tiết kiệm</v>
      </c>
      <c r="BN64" s="34" t="str">
        <f>IFERROR(__xludf.DUMMYFUNCTION("""COMPUTED_VALUE"""),"https://techcombank.com/thong-tin/blog/gui-tiet-kiem-ngoai-te")</f>
        <v>https://techcombank.com/thong-tin/blog/gui-tiet-kiem-ngoai-te</v>
      </c>
      <c r="BO64" s="30" t="str">
        <f>IFERROR(__xludf.DUMMYFUNCTION("""COMPUTED_VALUE"""),"sổ tiết kiệm ngân hàng")</f>
        <v>sổ tiết kiệm ngân hàng</v>
      </c>
      <c r="BP64" s="34" t="str">
        <f>IFERROR(__xludf.DUMMYFUNCTION("""COMPUTED_VALUE"""),"https://techcombank.com/thong-tin/blog/rui-ro-khi-gui-tiet-kiem-ngan-hang")</f>
        <v>https://techcombank.com/thong-tin/blog/rui-ro-khi-gui-tiet-kiem-ngan-hang</v>
      </c>
      <c r="BQ64" s="30" t="str">
        <f>IFERROR(__xludf.DUMMYFUNCTION("""COMPUTED_VALUE"""),"sổ tiết kiệm ngân hàng")</f>
        <v>sổ tiết kiệm ngân hàng</v>
      </c>
      <c r="BR64" s="34" t="str">
        <f>IFERROR(__xludf.DUMMYFUNCTION("""COMPUTED_VALUE"""),"https://techcombank.com/thong-tin/blog/gui-tiet-kiem-hang-thang")</f>
        <v>https://techcombank.com/thong-tin/blog/gui-tiet-kiem-hang-thang</v>
      </c>
      <c r="BS64" s="30" t="str">
        <f>IFERROR(__xludf.DUMMYFUNCTION("""COMPUTED_VALUE"""),"sổ tiết kiệm ngân hàng")</f>
        <v>sổ tiết kiệm ngân hàng</v>
      </c>
      <c r="BT64" s="34" t="str">
        <f>IFERROR(__xludf.DUMMYFUNCTION("""COMPUTED_VALUE"""),"https://techcombank.com/thong-tin/blog/gui-tiet-kiem-online-bi-mat-tien")</f>
        <v>https://techcombank.com/thong-tin/blog/gui-tiet-kiem-online-bi-mat-tien</v>
      </c>
      <c r="BU64" s="30"/>
      <c r="BV64" s="30"/>
      <c r="BW64" s="30"/>
      <c r="BX64" s="30"/>
      <c r="BY64" s="30"/>
      <c r="BZ64" s="30"/>
      <c r="CA64" s="30"/>
      <c r="CB64" s="30"/>
      <c r="CC64" s="30"/>
      <c r="CD64" s="30"/>
      <c r="CE64" s="30"/>
      <c r="CF64" s="30"/>
      <c r="CG64" s="30"/>
      <c r="CH64" s="30"/>
      <c r="CI64" s="30"/>
      <c r="CJ64" s="30"/>
      <c r="CK64" s="30"/>
      <c r="CL64" s="30"/>
      <c r="CM64" s="30"/>
      <c r="CN64" s="30"/>
      <c r="CO64" s="30"/>
      <c r="CP64" s="30"/>
      <c r="CQ64" s="30"/>
      <c r="CR64" s="30"/>
      <c r="CS64" s="30"/>
      <c r="CT64" s="30"/>
      <c r="CU64" s="30"/>
      <c r="CV64" s="30"/>
      <c r="CW64" s="30"/>
      <c r="CX64" s="30"/>
      <c r="CY64" s="30"/>
      <c r="CZ64" s="30"/>
      <c r="DA64" s="30"/>
      <c r="DB64" s="30"/>
      <c r="DC64" s="30"/>
      <c r="DD64" s="30"/>
      <c r="DE64" s="30"/>
      <c r="DF64" s="30"/>
      <c r="DG64" s="30"/>
      <c r="DH64" s="30"/>
      <c r="DI64" s="30"/>
      <c r="DJ64" s="30"/>
      <c r="DK64" s="30"/>
      <c r="DL64" s="30"/>
      <c r="DM64" s="30"/>
      <c r="DN64" s="30"/>
      <c r="DO64" s="30"/>
      <c r="DP64" s="30"/>
      <c r="DQ64" s="30"/>
      <c r="DR64" s="30"/>
      <c r="DS64" s="30"/>
      <c r="DT64" s="30"/>
      <c r="DU64" s="30"/>
      <c r="DV64" s="30"/>
      <c r="DW64" s="30"/>
      <c r="DX64" s="30"/>
      <c r="DY64" s="30"/>
      <c r="DZ64" s="30"/>
      <c r="EA64" s="30"/>
      <c r="EB64" s="30"/>
      <c r="EC64" s="30"/>
      <c r="ED64" s="30"/>
      <c r="EE64" s="30"/>
      <c r="EF64" s="30"/>
      <c r="EG64" s="30"/>
      <c r="EH64" s="30"/>
      <c r="EI64" s="30"/>
      <c r="EJ64" s="30"/>
      <c r="EK64" s="30"/>
      <c r="EL64" s="30"/>
      <c r="EM64" s="30"/>
      <c r="EN64" s="30"/>
      <c r="EO64" s="30"/>
      <c r="EP64" s="30"/>
      <c r="EQ64" s="30"/>
      <c r="ER64" s="30"/>
      <c r="ES64" s="30"/>
      <c r="ET64" s="30"/>
      <c r="EU64" s="30"/>
      <c r="EV64" s="30"/>
      <c r="EW64" s="30"/>
      <c r="EX64" s="30"/>
      <c r="EY64" s="30"/>
      <c r="EZ64" s="30"/>
      <c r="FA64" s="30"/>
      <c r="FB64" s="30"/>
      <c r="FC64" s="30"/>
      <c r="FD64" s="30"/>
      <c r="FE64" s="30"/>
      <c r="FF64" s="30"/>
      <c r="FG64" s="30"/>
      <c r="FH64" s="30"/>
      <c r="FI64" s="30"/>
      <c r="FJ64" s="30"/>
      <c r="FK64" s="30"/>
      <c r="FL64" s="30"/>
      <c r="FM64" s="30"/>
      <c r="FN64" s="30"/>
      <c r="FO64" s="30"/>
      <c r="FP64" s="30"/>
      <c r="FQ64" s="30"/>
      <c r="FR64" s="30"/>
      <c r="FS64" s="30"/>
      <c r="FT64" s="30"/>
      <c r="FU64" s="30"/>
      <c r="FV64" s="30"/>
      <c r="FW64" s="30"/>
      <c r="FX64" s="30"/>
      <c r="FY64" s="30"/>
      <c r="FZ64" s="30"/>
      <c r="GA64" s="30"/>
      <c r="GB64" s="30"/>
      <c r="GC64" s="30"/>
      <c r="GD64" s="30"/>
      <c r="GE64" s="30"/>
      <c r="GF64" s="30"/>
      <c r="GG64" s="30"/>
      <c r="GH64" s="30"/>
      <c r="GI64" s="30"/>
      <c r="GJ64" s="30"/>
      <c r="GK64" s="30"/>
      <c r="GL64" s="30"/>
      <c r="GM64" s="30"/>
      <c r="GN64" s="30"/>
      <c r="GO64" s="30"/>
      <c r="GP64" s="30"/>
      <c r="GQ64" s="30"/>
      <c r="GR64" s="30"/>
      <c r="GS64" s="30"/>
      <c r="GT64" s="30"/>
      <c r="GU64" s="30"/>
      <c r="GV64" s="30"/>
      <c r="GW64" s="30"/>
      <c r="GX64" s="30"/>
      <c r="GY64" s="30"/>
      <c r="GZ64" s="30"/>
      <c r="HA64" s="30"/>
      <c r="HB64" s="30"/>
      <c r="HC64" s="30"/>
      <c r="HD64" s="30"/>
      <c r="HE64" s="30"/>
      <c r="HF64" s="30"/>
      <c r="HG64" s="30"/>
      <c r="HH64" s="30"/>
      <c r="HI64" s="30"/>
      <c r="HJ64" s="30"/>
      <c r="HK64" s="30"/>
      <c r="HL64" s="30"/>
      <c r="HM64" s="30"/>
      <c r="HN64" s="30"/>
      <c r="HO64" s="30"/>
      <c r="HP64" s="30"/>
      <c r="HQ64" s="30"/>
      <c r="HR64" s="30"/>
      <c r="HS64" s="30"/>
      <c r="HT64" s="30"/>
      <c r="HU64" s="30"/>
      <c r="HV64" s="30"/>
      <c r="HW64" s="30"/>
      <c r="HX64" s="30"/>
      <c r="HY64" s="30"/>
      <c r="HZ64" s="30"/>
      <c r="IA64" s="30"/>
      <c r="IB64" s="30"/>
      <c r="IC64" s="30"/>
      <c r="ID64" s="30"/>
      <c r="IE64" s="30"/>
      <c r="IF64" s="30"/>
      <c r="IG64" s="30"/>
      <c r="IH64" s="30"/>
      <c r="II64" s="30"/>
      <c r="IJ64" s="30"/>
      <c r="IK64" s="30"/>
      <c r="IL64" s="30"/>
      <c r="IM64" s="30"/>
      <c r="IN64" s="30"/>
      <c r="IO64" s="30"/>
      <c r="IP64" s="30"/>
      <c r="IQ64" s="30"/>
      <c r="IR64" s="30"/>
      <c r="IS64" s="30"/>
      <c r="IT64" s="30"/>
      <c r="IU64" s="30"/>
      <c r="IV64" s="30"/>
      <c r="IW64" s="30"/>
      <c r="IX64" s="30"/>
      <c r="IY64" s="30"/>
      <c r="IZ64" s="30"/>
      <c r="JA64" s="30"/>
      <c r="JB64" s="30"/>
      <c r="JC64" s="30"/>
      <c r="JD64" s="30"/>
      <c r="JE64" s="30"/>
      <c r="JF64" s="30"/>
      <c r="JG64" s="30"/>
      <c r="JH64" s="30"/>
      <c r="JI64" s="30"/>
      <c r="JJ64" s="30"/>
      <c r="JK64" s="30"/>
      <c r="JL64" s="30"/>
      <c r="JM64" s="30"/>
      <c r="JN64" s="30"/>
      <c r="JO64" s="30"/>
      <c r="JP64" s="30"/>
      <c r="JQ64" s="30"/>
      <c r="JR64" s="30"/>
      <c r="JS64" s="30"/>
      <c r="JT64" s="30"/>
      <c r="JU64" s="30"/>
      <c r="JV64" s="30"/>
      <c r="JW64" s="30"/>
      <c r="JX64" s="30"/>
      <c r="JY64" s="30"/>
      <c r="JZ64" s="30"/>
      <c r="KA64" s="30"/>
      <c r="KB64" s="30"/>
      <c r="KC64" s="30"/>
      <c r="KD64" s="30"/>
      <c r="KE64" s="30"/>
      <c r="KF64" s="30"/>
      <c r="KG64" s="30"/>
      <c r="KH64" s="30"/>
      <c r="KI64" s="30"/>
      <c r="KJ64" s="30"/>
      <c r="KK64" s="30"/>
      <c r="KL64" s="30"/>
      <c r="KM64" s="30"/>
      <c r="KN64" s="30"/>
      <c r="KO64" s="30"/>
      <c r="KP64" s="30"/>
      <c r="KQ64" s="30"/>
      <c r="KR64" s="30"/>
      <c r="KS64" s="30"/>
      <c r="KT64" s="30"/>
      <c r="KU64" s="30"/>
      <c r="KV64" s="30"/>
      <c r="KW64" s="30"/>
      <c r="KX64" s="30"/>
      <c r="KY64" s="30"/>
      <c r="KZ64" s="30"/>
      <c r="LA64" s="30"/>
      <c r="LB64" s="30"/>
      <c r="LC64" s="30"/>
      <c r="LD64" s="30"/>
      <c r="LE64" s="30"/>
      <c r="LF64" s="30"/>
      <c r="LG64" s="30"/>
      <c r="LH64" s="30"/>
      <c r="LI64" s="30"/>
      <c r="LJ64" s="30"/>
      <c r="LK64" s="30"/>
      <c r="LL64" s="30"/>
      <c r="LM64" s="30"/>
      <c r="LN64" s="30"/>
      <c r="LO64" s="30"/>
      <c r="LP64" s="30"/>
      <c r="LQ64" s="30"/>
      <c r="LR64" s="30"/>
      <c r="LS64" s="30"/>
      <c r="LT64" s="30"/>
      <c r="LU64" s="30"/>
      <c r="LV64" s="30"/>
      <c r="LW64" s="30"/>
      <c r="LX64" s="30"/>
      <c r="LY64" s="30"/>
      <c r="LZ64" s="30"/>
      <c r="MA64" s="30"/>
      <c r="MB64" s="30"/>
      <c r="MC64" s="30"/>
      <c r="MD64" s="30"/>
      <c r="ME64" s="30"/>
      <c r="MF64" s="30"/>
      <c r="MG64" s="30"/>
      <c r="MH64" s="30"/>
      <c r="MI64" s="30"/>
      <c r="MJ64" s="30"/>
      <c r="MK64" s="30"/>
      <c r="ML64" s="30"/>
      <c r="MM64" s="30"/>
      <c r="MN64" s="30"/>
      <c r="MO64" s="30"/>
      <c r="MP64" s="30"/>
      <c r="MQ64" s="30"/>
      <c r="MR64" s="30"/>
      <c r="MS64" s="30"/>
      <c r="MT64" s="30"/>
      <c r="MU64" s="30"/>
      <c r="MV64" s="30"/>
      <c r="MW64" s="30"/>
      <c r="MX64" s="30"/>
      <c r="MY64" s="30"/>
      <c r="MZ64" s="30"/>
      <c r="NA64" s="30"/>
      <c r="NB64" s="30"/>
      <c r="NC64" s="30"/>
      <c r="ND64" s="30"/>
      <c r="NE64" s="30"/>
      <c r="NF64" s="30"/>
      <c r="NG64" s="30"/>
      <c r="NH64" s="30"/>
      <c r="NI64" s="30"/>
      <c r="NJ64" s="30"/>
      <c r="NK64" s="30"/>
      <c r="NL64" s="30"/>
      <c r="NM64" s="30"/>
      <c r="NN64" s="30"/>
      <c r="NO64" s="30"/>
      <c r="NP64" s="30"/>
      <c r="NQ64" s="30"/>
      <c r="NR64" s="30"/>
      <c r="NS64" s="30"/>
      <c r="NT64" s="30"/>
      <c r="NU64" s="30"/>
      <c r="NV64" s="30"/>
      <c r="NW64" s="30"/>
      <c r="NX64" s="30"/>
      <c r="NY64" s="30"/>
      <c r="NZ64" s="30"/>
      <c r="OA64" s="30"/>
      <c r="OB64" s="30"/>
      <c r="OC64" s="30"/>
      <c r="OD64" s="30"/>
      <c r="OE64" s="30"/>
      <c r="OF64" s="30"/>
      <c r="OG64" s="30"/>
      <c r="OH64" s="30"/>
      <c r="OI64" s="30"/>
      <c r="OJ64" s="30"/>
      <c r="OK64" s="30"/>
      <c r="OL64" s="30"/>
      <c r="OM64" s="30"/>
      <c r="ON64" s="30"/>
      <c r="OO64" s="30"/>
      <c r="OP64" s="30"/>
      <c r="OQ64" s="30"/>
      <c r="OR64" s="30"/>
      <c r="OS64" s="30"/>
      <c r="OT64" s="30"/>
      <c r="OU64" s="30"/>
      <c r="OV64" s="30"/>
    </row>
    <row r="65" ht="18.0" customHeight="1">
      <c r="A65" s="29">
        <v>64.0</v>
      </c>
      <c r="B65" s="30" t="s">
        <v>5270</v>
      </c>
      <c r="C65" s="31" t="s">
        <v>5229</v>
      </c>
      <c r="D65" s="30" t="s">
        <v>2072</v>
      </c>
      <c r="E65" s="29">
        <v>30.0</v>
      </c>
      <c r="F65" s="29">
        <f>COUNTIF('Tổng hợp 75 trang đích'!$B$2:$B$3400,$D65)</f>
        <v>30</v>
      </c>
      <c r="G65" s="29">
        <f>COUNTIFS('Tổng hợp 75 trang đích'!$B$2:$B$3400,$D65,'Tổng hợp 75 trang đích'!$K$2:$K$3400,"PHÙ HỢP CAO")</f>
        <v>5</v>
      </c>
      <c r="H65" s="29">
        <f>COUNTIFS('Tổng hợp 75 trang đích'!$B$2:$B$3400,$D65,'Tổng hợp 75 trang đích'!$K$2:$K$3400,"CÓ THỂ ĐI")</f>
        <v>4</v>
      </c>
      <c r="I65" s="29">
        <f>COUNTIFS('Tổng hợp 75 trang đích'!$B$2:$B$3400,$D65,'Tổng hợp 75 trang đích'!$K$2:$K$3400,"CẦN SOÁT")</f>
        <v>21</v>
      </c>
      <c r="J65" s="32" t="s">
        <v>714</v>
      </c>
      <c r="K65" s="32" t="b">
        <v>0</v>
      </c>
      <c r="L65" s="33" t="s">
        <v>52</v>
      </c>
      <c r="M65" s="30" t="str">
        <f>IFERROR(__xludf.DUMMYFUNCTION("IFERROR(TOROW(CHOOSECOLS(SORT(FILTER({'Tổng hợp 75 trang đích'!$J$2:$J$3400,'Tổng hợp 75 trang đích'!$I$2:$I$3400,MATCH('Tổng hợp 75 trang đích'!$K$2:$K$3400,{""PHÙ HỢP CAO"",""CÓ THỂ ĐI"",""CẦN SOÁT""},0)},'Tổng hợp 75 trang đích'!$B$2:$B$3400=$D65),3,TR"&amp;"UE),1,2)),"""")"),"cách tiết kiệm tiền hiệu quả")</f>
        <v>cách tiết kiệm tiền hiệu quả</v>
      </c>
      <c r="N65" s="34" t="str">
        <f>IFERROR(__xludf.DUMMYFUNCTION("""COMPUTED_VALUE"""),"https://techcombank.com/thong-tin/blog/cach-tiet-kiem-tien-theo-tuan")</f>
        <v>https://techcombank.com/thong-tin/blog/cach-tiet-kiem-tien-theo-tuan</v>
      </c>
      <c r="O65" s="30" t="str">
        <f>IFERROR(__xludf.DUMMYFUNCTION("""COMPUTED_VALUE"""),"cách tiết kiệm tiền")</f>
        <v>cách tiết kiệm tiền</v>
      </c>
      <c r="P65" s="34" t="str">
        <f>IFERROR(__xludf.DUMMYFUNCTION("""COMPUTED_VALUE"""),"https://techcombank.com/thong-tin/blog/tiet-kiem-tien-moi-ngay")</f>
        <v>https://techcombank.com/thong-tin/blog/tiet-kiem-tien-moi-ngay</v>
      </c>
      <c r="Q65" s="30" t="str">
        <f>IFERROR(__xludf.DUMMYFUNCTION("""COMPUTED_VALUE"""),"cách tiết kiệm tiền")</f>
        <v>cách tiết kiệm tiền</v>
      </c>
      <c r="R65" s="34" t="str">
        <f>IFERROR(__xludf.DUMMYFUNCTION("""COMPUTED_VALUE"""),"https://techcombank.com/thong-tin/blog/hoc-cach-tiet-kiem-tien-luong")</f>
        <v>https://techcombank.com/thong-tin/blog/hoc-cach-tiet-kiem-tien-luong</v>
      </c>
      <c r="S65" s="30" t="str">
        <f>IFERROR(__xludf.DUMMYFUNCTION("""COMPUTED_VALUE"""),"cách tiết kiệm tiền")</f>
        <v>cách tiết kiệm tiền</v>
      </c>
      <c r="T65" s="34" t="str">
        <f>IFERROR(__xludf.DUMMYFUNCTION("""COMPUTED_VALUE"""),"https://techcombank.com/thong-tin/blog/loi-ich-cua-viec-tiet-kiem-tien")</f>
        <v>https://techcombank.com/thong-tin/blog/loi-ich-cua-viec-tiet-kiem-tien</v>
      </c>
      <c r="U65" s="30" t="str">
        <f>IFERROR(__xludf.DUMMYFUNCTION("""COMPUTED_VALUE"""),"cách tiết kiệm tiền")</f>
        <v>cách tiết kiệm tiền</v>
      </c>
      <c r="V65" s="34" t="str">
        <f>IFERROR(__xludf.DUMMYFUNCTION("""COMPUTED_VALUE"""),"https://techcombank.com/thong-tin/blog/the-nao-la-tiet-kiem")</f>
        <v>https://techcombank.com/thong-tin/blog/the-nao-la-tiet-kiem</v>
      </c>
      <c r="W65" s="30" t="str">
        <f>IFERROR(__xludf.DUMMYFUNCTION("""COMPUTED_VALUE"""),"cách tiết kiệm tiền")</f>
        <v>cách tiết kiệm tiền</v>
      </c>
      <c r="X65" s="34" t="str">
        <f>IFERROR(__xludf.DUMMYFUNCTION("""COMPUTED_VALUE"""),"https://techcombank.com/thong-tin/blog/phi-rut-tien-mat-the-tin-dung")</f>
        <v>https://techcombank.com/thong-tin/blog/phi-rut-tien-mat-the-tin-dung</v>
      </c>
      <c r="Y65" s="30" t="str">
        <f>IFERROR(__xludf.DUMMYFUNCTION("""COMPUTED_VALUE"""),"cách tiết kiệm tiền")</f>
        <v>cách tiết kiệm tiền</v>
      </c>
      <c r="Z65" s="34" t="str">
        <f>IFERROR(__xludf.DUMMYFUNCTION("""COMPUTED_VALUE"""),"https://techcombank.com/thong-tin/blog/cach-tiet-kiem-tien-sinh-loi")</f>
        <v>https://techcombank.com/thong-tin/blog/cach-tiet-kiem-tien-sinh-loi</v>
      </c>
      <c r="AA65" s="30" t="str">
        <f>IFERROR(__xludf.DUMMYFUNCTION("""COMPUTED_VALUE"""),"cách tiết kiệm tiền")</f>
        <v>cách tiết kiệm tiền</v>
      </c>
      <c r="AB65" s="34" t="str">
        <f>IFERROR(__xludf.DUMMYFUNCTION("""COMPUTED_VALUE"""),"https://techcombank.com/thong-tin/blog/so-tai-khoan-dep")</f>
        <v>https://techcombank.com/thong-tin/blog/so-tai-khoan-dep</v>
      </c>
      <c r="AC65" s="30" t="str">
        <f>IFERROR(__xludf.DUMMYFUNCTION("""COMPUTED_VALUE"""),"cách tiết kiệm tiền")</f>
        <v>cách tiết kiệm tiền</v>
      </c>
      <c r="AD65" s="34" t="str">
        <f>IFERROR(__xludf.DUMMYFUNCTION("""COMPUTED_VALUE"""),"https://techcombank.com/thong-tin/blog/the-ghi-no-visa-la-gi")</f>
        <v>https://techcombank.com/thong-tin/blog/the-ghi-no-visa-la-gi</v>
      </c>
      <c r="AE65" s="30" t="str">
        <f>IFERROR(__xludf.DUMMYFUNCTION("""COMPUTED_VALUE"""),"cách tiết kiệm tiền")</f>
        <v>cách tiết kiệm tiền</v>
      </c>
      <c r="AF65" s="34" t="str">
        <f>IFERROR(__xludf.DUMMYFUNCTION("""COMPUTED_VALUE"""),"https://techcombank.com/thong-tin/blog/vi-dien-tu")</f>
        <v>https://techcombank.com/thong-tin/blog/vi-dien-tu</v>
      </c>
      <c r="AG65" s="30" t="str">
        <f>IFERROR(__xludf.DUMMYFUNCTION("""COMPUTED_VALUE"""),"cách tiết kiệm tiền")</f>
        <v>cách tiết kiệm tiền</v>
      </c>
      <c r="AH65" s="34" t="str">
        <f>IFERROR(__xludf.DUMMYFUNCTION("""COMPUTED_VALUE"""),"https://techcombank.com/thong-tin/blog/ke-hoach-tai-chinh")</f>
        <v>https://techcombank.com/thong-tin/blog/ke-hoach-tai-chinh</v>
      </c>
      <c r="AI65" s="30" t="str">
        <f>IFERROR(__xludf.DUMMYFUNCTION("""COMPUTED_VALUE"""),"cách tiết kiệm tiền")</f>
        <v>cách tiết kiệm tiền</v>
      </c>
      <c r="AJ65" s="34" t="str">
        <f>IFERROR(__xludf.DUMMYFUNCTION("""COMPUTED_VALUE"""),"https://techcombank.com/thong-tin/blog/ghi-chep-chi-tieu")</f>
        <v>https://techcombank.com/thong-tin/blog/ghi-chep-chi-tieu</v>
      </c>
      <c r="AK65" s="30" t="str">
        <f>IFERROR(__xludf.DUMMYFUNCTION("""COMPUTED_VALUE"""),"cách tiết kiệm tiền hiệu quả")</f>
        <v>cách tiết kiệm tiền hiệu quả</v>
      </c>
      <c r="AL65" s="34" t="str">
        <f>IFERROR(__xludf.DUMMYFUNCTION("""COMPUTED_VALUE"""),"https://techcombank.com/thong-tin/blog/thue-phi-co-dinh-khi-chuyen-doi-tu-ho-kinh-doanh-len-doanh-nghiep")</f>
        <v>https://techcombank.com/thong-tin/blog/thue-phi-co-dinh-khi-chuyen-doi-tu-ho-kinh-doanh-len-doanh-nghiep</v>
      </c>
      <c r="AM65" s="30" t="str">
        <f>IFERROR(__xludf.DUMMYFUNCTION("""COMPUTED_VALUE"""),"cách tiết kiệm tiền")</f>
        <v>cách tiết kiệm tiền</v>
      </c>
      <c r="AN65" s="34" t="str">
        <f>IFERROR(__xludf.DUMMYFUNCTION("""COMPUTED_VALUE"""),"https://techcombank.com/thong-tin/blog/qua-han-thanh-toan-the-tin-dung-1-ngay")</f>
        <v>https://techcombank.com/thong-tin/blog/qua-han-thanh-toan-the-tin-dung-1-ngay</v>
      </c>
      <c r="AO65" s="30" t="str">
        <f>IFERROR(__xludf.DUMMYFUNCTION("""COMPUTED_VALUE"""),"cách tiết kiệm tiền")</f>
        <v>cách tiết kiệm tiền</v>
      </c>
      <c r="AP65" s="34" t="str">
        <f>IFERROR(__xludf.DUMMYFUNCTION("""COMPUTED_VALUE"""),"https://techcombank.com/thong-tin/blog/chinh-sach-tang-luong-huu")</f>
        <v>https://techcombank.com/thong-tin/blog/chinh-sach-tang-luong-huu</v>
      </c>
      <c r="AQ65" s="30" t="str">
        <f>IFERROR(__xludf.DUMMYFUNCTION("""COMPUTED_VALUE"""),"cách tiết kiệm tiền")</f>
        <v>cách tiết kiệm tiền</v>
      </c>
      <c r="AR65" s="34" t="str">
        <f>IFERROR(__xludf.DUMMYFUNCTION("""COMPUTED_VALUE"""),"https://techcombank.com/thong-tin/blog/tinh-thanh-khoan-la-gi")</f>
        <v>https://techcombank.com/thong-tin/blog/tinh-thanh-khoan-la-gi</v>
      </c>
      <c r="AS65" s="30" t="str">
        <f>IFERROR(__xludf.DUMMYFUNCTION("""COMPUTED_VALUE"""),"cách tiết kiệm tiền hiệu quả")</f>
        <v>cách tiết kiệm tiền hiệu quả</v>
      </c>
      <c r="AT65" s="34" t="str">
        <f>IFERROR(__xludf.DUMMYFUNCTION("""COMPUTED_VALUE"""),"https://techcombank.com/thong-tin/blog/loi-ich-cua-ngan-hang-so-voi-sme")</f>
        <v>https://techcombank.com/thong-tin/blog/loi-ich-cua-ngan-hang-so-voi-sme</v>
      </c>
      <c r="AU65" s="30" t="str">
        <f>IFERROR(__xludf.DUMMYFUNCTION("""COMPUTED_VALUE"""),"cách tiết kiệm tiền hiệu quả")</f>
        <v>cách tiết kiệm tiền hiệu quả</v>
      </c>
      <c r="AV65" s="34" t="str">
        <f>IFERROR(__xludf.DUMMYFUNCTION("""COMPUTED_VALUE"""),"https://techcombank.com/thong-tin/blog/kinh-nghiem-gui-tiet-kiem-online")</f>
        <v>https://techcombank.com/thong-tin/blog/kinh-nghiem-gui-tiet-kiem-online</v>
      </c>
      <c r="AW65" s="30" t="str">
        <f>IFERROR(__xludf.DUMMYFUNCTION("""COMPUTED_VALUE"""),"cách tiết kiệm tiền")</f>
        <v>cách tiết kiệm tiền</v>
      </c>
      <c r="AX65" s="34" t="str">
        <f>IFERROR(__xludf.DUMMYFUNCTION("""COMPUTED_VALUE"""),"https://techcombank.com/thong-tin/blog/quan-ly-tai-chinh-doanh-nghiep-la-gi")</f>
        <v>https://techcombank.com/thong-tin/blog/quan-ly-tai-chinh-doanh-nghiep-la-gi</v>
      </c>
      <c r="AY65" s="30" t="str">
        <f>IFERROR(__xludf.DUMMYFUNCTION("""COMPUTED_VALUE"""),"cách tiết kiệm tiền")</f>
        <v>cách tiết kiệm tiền</v>
      </c>
      <c r="AZ65" s="34" t="str">
        <f>IFERROR(__xludf.DUMMYFUNCTION("""COMPUTED_VALUE"""),"https://techcombank.com/thong-tin/blog/cach-tinh-lai-suat-tien-gui-tiet-kiem")</f>
        <v>https://techcombank.com/thong-tin/blog/cach-tinh-lai-suat-tien-gui-tiet-kiem</v>
      </c>
      <c r="BA65" s="30" t="str">
        <f>IFERROR(__xludf.DUMMYFUNCTION("""COMPUTED_VALUE"""),"cách tiết kiệm tiền")</f>
        <v>cách tiết kiệm tiền</v>
      </c>
      <c r="BB65" s="34" t="str">
        <f>IFERROR(__xludf.DUMMYFUNCTION("""COMPUTED_VALUE"""),"https://techcombank.com/thong-tin/blog/uu-dai-the-tin-dung-techcombank-signature")</f>
        <v>https://techcombank.com/thong-tin/blog/uu-dai-the-tin-dung-techcombank-signature</v>
      </c>
      <c r="BC65" s="30" t="str">
        <f>IFERROR(__xludf.DUMMYFUNCTION("""COMPUTED_VALUE"""),"cách tiết kiệm tiền")</f>
        <v>cách tiết kiệm tiền</v>
      </c>
      <c r="BD65" s="34" t="str">
        <f>IFERROR(__xludf.DUMMYFUNCTION("""COMPUTED_VALUE"""),"https://techcombank.com/thong-tin/blog/tai-san-va-tieu-san-la-gi")</f>
        <v>https://techcombank.com/thong-tin/blog/tai-san-va-tieu-san-la-gi</v>
      </c>
      <c r="BE65" s="30" t="str">
        <f>IFERROR(__xludf.DUMMYFUNCTION("""COMPUTED_VALUE"""),"cách tiết kiệm tiền")</f>
        <v>cách tiết kiệm tiền</v>
      </c>
      <c r="BF65" s="34" t="str">
        <f>IFERROR(__xludf.DUMMYFUNCTION("""COMPUTED_VALUE"""),"https://techcombank.com/thong-tin/blog/cach-tiet-kiem-tien-cua-nguoi-nhat")</f>
        <v>https://techcombank.com/thong-tin/blog/cach-tiet-kiem-tien-cua-nguoi-nhat</v>
      </c>
      <c r="BG65" s="30" t="str">
        <f>IFERROR(__xludf.DUMMYFUNCTION("""COMPUTED_VALUE"""),"cách tiết kiệm tiền hiệu quả")</f>
        <v>cách tiết kiệm tiền hiệu quả</v>
      </c>
      <c r="BH65" s="34" t="str">
        <f>IFERROR(__xludf.DUMMYFUNCTION("""COMPUTED_VALUE"""),"https://techcombank.com/thong-tin/blog/quan-ly-tai-chinh-cho-dan-van-phong")</f>
        <v>https://techcombank.com/thong-tin/blog/quan-ly-tai-chinh-cho-dan-van-phong</v>
      </c>
      <c r="BI65" s="30" t="str">
        <f>IFERROR(__xludf.DUMMYFUNCTION("""COMPUTED_VALUE"""),"cách tiết kiệm tiền")</f>
        <v>cách tiết kiệm tiền</v>
      </c>
      <c r="BJ65" s="34" t="str">
        <f>IFERROR(__xludf.DUMMYFUNCTION("""COMPUTED_VALUE"""),"https://techcombank.com/thong-tin/blog/lam-phat-la-gi")</f>
        <v>https://techcombank.com/thong-tin/blog/lam-phat-la-gi</v>
      </c>
      <c r="BK65" s="30" t="str">
        <f>IFERROR(__xludf.DUMMYFUNCTION("""COMPUTED_VALUE"""),"cách tiết kiệm tiền hiệu quả")</f>
        <v>cách tiết kiệm tiền hiệu quả</v>
      </c>
      <c r="BL65" s="34" t="str">
        <f>IFERROR(__xludf.DUMMYFUNCTION("""COMPUTED_VALUE"""),"https://techcombank.com/thong-tin/blog/cach-tiet-kiem-tien-hieu-qua-cho-gia-dinh")</f>
        <v>https://techcombank.com/thong-tin/blog/cach-tiet-kiem-tien-hieu-qua-cho-gia-dinh</v>
      </c>
      <c r="BM65" s="30" t="str">
        <f>IFERROR(__xludf.DUMMYFUNCTION("""COMPUTED_VALUE"""),"cách tiết kiệm tiền")</f>
        <v>cách tiết kiệm tiền</v>
      </c>
      <c r="BN65" s="34" t="str">
        <f>IFERROR(__xludf.DUMMYFUNCTION("""COMPUTED_VALUE"""),"https://techcombank.com/thong-tin/blog/gui-tiet-kiem-lay-lai-hang-thang")</f>
        <v>https://techcombank.com/thong-tin/blog/gui-tiet-kiem-lay-lai-hang-thang</v>
      </c>
      <c r="BO65" s="30" t="str">
        <f>IFERROR(__xludf.DUMMYFUNCTION("""COMPUTED_VALUE"""),"cách tiết kiệm tiền")</f>
        <v>cách tiết kiệm tiền</v>
      </c>
      <c r="BP65" s="34" t="str">
        <f>IFERROR(__xludf.DUMMYFUNCTION("""COMPUTED_VALUE"""),"https://techcombank.com/thong-tin/blog/1-cmnd-dang-ky-duoc-may-tai-khoan-ngan-hang")</f>
        <v>https://techcombank.com/thong-tin/blog/1-cmnd-dang-ky-duoc-may-tai-khoan-ngan-hang</v>
      </c>
      <c r="BQ65" s="30" t="str">
        <f>IFERROR(__xludf.DUMMYFUNCTION("""COMPUTED_VALUE"""),"cách tiết kiệm tiền")</f>
        <v>cách tiết kiệm tiền</v>
      </c>
      <c r="BR65" s="34" t="str">
        <f>IFERROR(__xludf.DUMMYFUNCTION("""COMPUTED_VALUE"""),"https://techcombank.com/thong-tin/blog/dang-ky-nhieu-tai-khoan-ngan-hang-co-sao-khong")</f>
        <v>https://techcombank.com/thong-tin/blog/dang-ky-nhieu-tai-khoan-ngan-hang-co-sao-khong</v>
      </c>
      <c r="BS65" s="30" t="str">
        <f>IFERROR(__xludf.DUMMYFUNCTION("""COMPUTED_VALUE"""),"cách tiết kiệm tiền hiệu quả")</f>
        <v>cách tiết kiệm tiền hiệu quả</v>
      </c>
      <c r="BT65" s="34" t="str">
        <f>IFERROR(__xludf.DUMMYFUNCTION("""COMPUTED_VALUE"""),"https://techcombank.com/thong-tin/blog/phan-mem-quan-ly-tai-chinh-doanh-nghiep")</f>
        <v>https://techcombank.com/thong-tin/blog/phan-mem-quan-ly-tai-chinh-doanh-nghiep</v>
      </c>
      <c r="BU65" s="30"/>
      <c r="BV65" s="30"/>
      <c r="BW65" s="30"/>
      <c r="BX65" s="30"/>
      <c r="BY65" s="30"/>
      <c r="BZ65" s="30"/>
      <c r="CA65" s="30"/>
      <c r="CB65" s="30"/>
      <c r="CC65" s="30"/>
      <c r="CD65" s="30"/>
      <c r="CE65" s="30"/>
      <c r="CF65" s="30"/>
      <c r="CG65" s="30"/>
      <c r="CH65" s="30"/>
      <c r="CI65" s="30"/>
      <c r="CJ65" s="30"/>
      <c r="CK65" s="30"/>
      <c r="CL65" s="30"/>
      <c r="CM65" s="30"/>
      <c r="CN65" s="30"/>
      <c r="CO65" s="30"/>
      <c r="CP65" s="30"/>
      <c r="CQ65" s="30"/>
      <c r="CR65" s="30"/>
      <c r="CS65" s="30"/>
      <c r="CT65" s="30"/>
      <c r="CU65" s="30"/>
      <c r="CV65" s="30"/>
      <c r="CW65" s="30"/>
      <c r="CX65" s="30"/>
      <c r="CY65" s="30"/>
      <c r="CZ65" s="30"/>
      <c r="DA65" s="30"/>
      <c r="DB65" s="30"/>
      <c r="DC65" s="30"/>
      <c r="DD65" s="30"/>
      <c r="DE65" s="30"/>
      <c r="DF65" s="30"/>
      <c r="DG65" s="30"/>
      <c r="DH65" s="30"/>
      <c r="DI65" s="30"/>
      <c r="DJ65" s="30"/>
      <c r="DK65" s="30"/>
      <c r="DL65" s="30"/>
      <c r="DM65" s="30"/>
      <c r="DN65" s="30"/>
      <c r="DO65" s="30"/>
      <c r="DP65" s="30"/>
      <c r="DQ65" s="30"/>
      <c r="DR65" s="30"/>
      <c r="DS65" s="30"/>
      <c r="DT65" s="30"/>
      <c r="DU65" s="30"/>
      <c r="DV65" s="30"/>
      <c r="DW65" s="30"/>
      <c r="DX65" s="30"/>
      <c r="DY65" s="30"/>
      <c r="DZ65" s="30"/>
      <c r="EA65" s="30"/>
      <c r="EB65" s="30"/>
      <c r="EC65" s="30"/>
      <c r="ED65" s="30"/>
      <c r="EE65" s="30"/>
      <c r="EF65" s="30"/>
      <c r="EG65" s="30"/>
      <c r="EH65" s="30"/>
      <c r="EI65" s="30"/>
      <c r="EJ65" s="30"/>
      <c r="EK65" s="30"/>
      <c r="EL65" s="30"/>
      <c r="EM65" s="30"/>
      <c r="EN65" s="30"/>
      <c r="EO65" s="30"/>
      <c r="EP65" s="30"/>
      <c r="EQ65" s="30"/>
      <c r="ER65" s="30"/>
      <c r="ES65" s="30"/>
      <c r="ET65" s="30"/>
      <c r="EU65" s="30"/>
      <c r="EV65" s="30"/>
      <c r="EW65" s="30"/>
      <c r="EX65" s="30"/>
      <c r="EY65" s="30"/>
      <c r="EZ65" s="30"/>
      <c r="FA65" s="30"/>
      <c r="FB65" s="30"/>
      <c r="FC65" s="30"/>
      <c r="FD65" s="30"/>
      <c r="FE65" s="30"/>
      <c r="FF65" s="30"/>
      <c r="FG65" s="30"/>
      <c r="FH65" s="30"/>
      <c r="FI65" s="30"/>
      <c r="FJ65" s="30"/>
      <c r="FK65" s="30"/>
      <c r="FL65" s="30"/>
      <c r="FM65" s="30"/>
      <c r="FN65" s="30"/>
      <c r="FO65" s="30"/>
      <c r="FP65" s="30"/>
      <c r="FQ65" s="30"/>
      <c r="FR65" s="30"/>
      <c r="FS65" s="30"/>
      <c r="FT65" s="30"/>
      <c r="FU65" s="30"/>
      <c r="FV65" s="30"/>
      <c r="FW65" s="30"/>
      <c r="FX65" s="30"/>
      <c r="FY65" s="30"/>
      <c r="FZ65" s="30"/>
      <c r="GA65" s="30"/>
      <c r="GB65" s="30"/>
      <c r="GC65" s="30"/>
      <c r="GD65" s="30"/>
      <c r="GE65" s="30"/>
      <c r="GF65" s="30"/>
      <c r="GG65" s="30"/>
      <c r="GH65" s="30"/>
      <c r="GI65" s="30"/>
      <c r="GJ65" s="30"/>
      <c r="GK65" s="30"/>
      <c r="GL65" s="30"/>
      <c r="GM65" s="30"/>
      <c r="GN65" s="30"/>
      <c r="GO65" s="30"/>
      <c r="GP65" s="30"/>
      <c r="GQ65" s="30"/>
      <c r="GR65" s="30"/>
      <c r="GS65" s="30"/>
      <c r="GT65" s="30"/>
      <c r="GU65" s="30"/>
      <c r="GV65" s="30"/>
      <c r="GW65" s="30"/>
      <c r="GX65" s="30"/>
      <c r="GY65" s="30"/>
      <c r="GZ65" s="30"/>
      <c r="HA65" s="30"/>
      <c r="HB65" s="30"/>
      <c r="HC65" s="30"/>
      <c r="HD65" s="30"/>
      <c r="HE65" s="30"/>
      <c r="HF65" s="30"/>
      <c r="HG65" s="30"/>
      <c r="HH65" s="30"/>
      <c r="HI65" s="30"/>
      <c r="HJ65" s="30"/>
      <c r="HK65" s="30"/>
      <c r="HL65" s="30"/>
      <c r="HM65" s="30"/>
      <c r="HN65" s="30"/>
      <c r="HO65" s="30"/>
      <c r="HP65" s="30"/>
      <c r="HQ65" s="30"/>
      <c r="HR65" s="30"/>
      <c r="HS65" s="30"/>
      <c r="HT65" s="30"/>
      <c r="HU65" s="30"/>
      <c r="HV65" s="30"/>
      <c r="HW65" s="30"/>
      <c r="HX65" s="30"/>
      <c r="HY65" s="30"/>
      <c r="HZ65" s="30"/>
      <c r="IA65" s="30"/>
      <c r="IB65" s="30"/>
      <c r="IC65" s="30"/>
      <c r="ID65" s="30"/>
      <c r="IE65" s="30"/>
      <c r="IF65" s="30"/>
      <c r="IG65" s="30"/>
      <c r="IH65" s="30"/>
      <c r="II65" s="30"/>
      <c r="IJ65" s="30"/>
      <c r="IK65" s="30"/>
      <c r="IL65" s="30"/>
      <c r="IM65" s="30"/>
      <c r="IN65" s="30"/>
      <c r="IO65" s="30"/>
      <c r="IP65" s="30"/>
      <c r="IQ65" s="30"/>
      <c r="IR65" s="30"/>
      <c r="IS65" s="30"/>
      <c r="IT65" s="30"/>
      <c r="IU65" s="30"/>
      <c r="IV65" s="30"/>
      <c r="IW65" s="30"/>
      <c r="IX65" s="30"/>
      <c r="IY65" s="30"/>
      <c r="IZ65" s="30"/>
      <c r="JA65" s="30"/>
      <c r="JB65" s="30"/>
      <c r="JC65" s="30"/>
      <c r="JD65" s="30"/>
      <c r="JE65" s="30"/>
      <c r="JF65" s="30"/>
      <c r="JG65" s="30"/>
      <c r="JH65" s="30"/>
      <c r="JI65" s="30"/>
      <c r="JJ65" s="30"/>
      <c r="JK65" s="30"/>
      <c r="JL65" s="30"/>
      <c r="JM65" s="30"/>
      <c r="JN65" s="30"/>
      <c r="JO65" s="30"/>
      <c r="JP65" s="30"/>
      <c r="JQ65" s="30"/>
      <c r="JR65" s="30"/>
      <c r="JS65" s="30"/>
      <c r="JT65" s="30"/>
      <c r="JU65" s="30"/>
      <c r="JV65" s="30"/>
      <c r="JW65" s="30"/>
      <c r="JX65" s="30"/>
      <c r="JY65" s="30"/>
      <c r="JZ65" s="30"/>
      <c r="KA65" s="30"/>
      <c r="KB65" s="30"/>
      <c r="KC65" s="30"/>
      <c r="KD65" s="30"/>
      <c r="KE65" s="30"/>
      <c r="KF65" s="30"/>
      <c r="KG65" s="30"/>
      <c r="KH65" s="30"/>
      <c r="KI65" s="30"/>
      <c r="KJ65" s="30"/>
      <c r="KK65" s="30"/>
      <c r="KL65" s="30"/>
      <c r="KM65" s="30"/>
      <c r="KN65" s="30"/>
      <c r="KO65" s="30"/>
      <c r="KP65" s="30"/>
      <c r="KQ65" s="30"/>
      <c r="KR65" s="30"/>
      <c r="KS65" s="30"/>
      <c r="KT65" s="30"/>
      <c r="KU65" s="30"/>
      <c r="KV65" s="30"/>
      <c r="KW65" s="30"/>
      <c r="KX65" s="30"/>
      <c r="KY65" s="30"/>
      <c r="KZ65" s="30"/>
      <c r="LA65" s="30"/>
      <c r="LB65" s="30"/>
      <c r="LC65" s="30"/>
      <c r="LD65" s="30"/>
      <c r="LE65" s="30"/>
      <c r="LF65" s="30"/>
      <c r="LG65" s="30"/>
      <c r="LH65" s="30"/>
      <c r="LI65" s="30"/>
      <c r="LJ65" s="30"/>
      <c r="LK65" s="30"/>
      <c r="LL65" s="30"/>
      <c r="LM65" s="30"/>
      <c r="LN65" s="30"/>
      <c r="LO65" s="30"/>
      <c r="LP65" s="30"/>
      <c r="LQ65" s="30"/>
      <c r="LR65" s="30"/>
      <c r="LS65" s="30"/>
      <c r="LT65" s="30"/>
      <c r="LU65" s="30"/>
      <c r="LV65" s="30"/>
      <c r="LW65" s="30"/>
      <c r="LX65" s="30"/>
      <c r="LY65" s="30"/>
      <c r="LZ65" s="30"/>
      <c r="MA65" s="30"/>
      <c r="MB65" s="30"/>
      <c r="MC65" s="30"/>
      <c r="MD65" s="30"/>
      <c r="ME65" s="30"/>
      <c r="MF65" s="30"/>
      <c r="MG65" s="30"/>
      <c r="MH65" s="30"/>
      <c r="MI65" s="30"/>
      <c r="MJ65" s="30"/>
      <c r="MK65" s="30"/>
      <c r="ML65" s="30"/>
      <c r="MM65" s="30"/>
      <c r="MN65" s="30"/>
      <c r="MO65" s="30"/>
      <c r="MP65" s="30"/>
      <c r="MQ65" s="30"/>
      <c r="MR65" s="30"/>
      <c r="MS65" s="30"/>
      <c r="MT65" s="30"/>
      <c r="MU65" s="30"/>
      <c r="MV65" s="30"/>
      <c r="MW65" s="30"/>
      <c r="MX65" s="30"/>
      <c r="MY65" s="30"/>
      <c r="MZ65" s="30"/>
      <c r="NA65" s="30"/>
      <c r="NB65" s="30"/>
      <c r="NC65" s="30"/>
      <c r="ND65" s="30"/>
      <c r="NE65" s="30"/>
      <c r="NF65" s="30"/>
      <c r="NG65" s="30"/>
      <c r="NH65" s="30"/>
      <c r="NI65" s="30"/>
      <c r="NJ65" s="30"/>
      <c r="NK65" s="30"/>
      <c r="NL65" s="30"/>
      <c r="NM65" s="30"/>
      <c r="NN65" s="30"/>
      <c r="NO65" s="30"/>
      <c r="NP65" s="30"/>
      <c r="NQ65" s="30"/>
      <c r="NR65" s="30"/>
      <c r="NS65" s="30"/>
      <c r="NT65" s="30"/>
      <c r="NU65" s="30"/>
      <c r="NV65" s="30"/>
      <c r="NW65" s="30"/>
      <c r="NX65" s="30"/>
      <c r="NY65" s="30"/>
      <c r="NZ65" s="30"/>
      <c r="OA65" s="30"/>
      <c r="OB65" s="30"/>
      <c r="OC65" s="30"/>
      <c r="OD65" s="30"/>
      <c r="OE65" s="30"/>
      <c r="OF65" s="30"/>
      <c r="OG65" s="30"/>
      <c r="OH65" s="30"/>
      <c r="OI65" s="30"/>
      <c r="OJ65" s="30"/>
      <c r="OK65" s="30"/>
      <c r="OL65" s="30"/>
      <c r="OM65" s="30"/>
      <c r="ON65" s="30"/>
      <c r="OO65" s="30"/>
      <c r="OP65" s="30"/>
      <c r="OQ65" s="30"/>
      <c r="OR65" s="30"/>
      <c r="OS65" s="30"/>
      <c r="OT65" s="30"/>
      <c r="OU65" s="30"/>
      <c r="OV65" s="30"/>
    </row>
    <row r="66" ht="18.0" customHeight="1">
      <c r="A66" s="29">
        <v>65.0</v>
      </c>
      <c r="B66" s="30" t="s">
        <v>5270</v>
      </c>
      <c r="C66" s="31" t="s">
        <v>5278</v>
      </c>
      <c r="D66" s="30" t="s">
        <v>4911</v>
      </c>
      <c r="E66" s="29">
        <v>30.0</v>
      </c>
      <c r="F66" s="29">
        <f>COUNTIF('Tổng hợp 75 trang đích'!$B$2:$B$3400,$D66)</f>
        <v>30</v>
      </c>
      <c r="G66" s="29">
        <f>COUNTIFS('Tổng hợp 75 trang đích'!$B$2:$B$3400,$D66,'Tổng hợp 75 trang đích'!$K$2:$K$3400,"PHÙ HỢP CAO")</f>
        <v>4</v>
      </c>
      <c r="H66" s="29">
        <f>COUNTIFS('Tổng hợp 75 trang đích'!$B$2:$B$3400,$D66,'Tổng hợp 75 trang đích'!$K$2:$K$3400,"CÓ THỂ ĐI")</f>
        <v>1</v>
      </c>
      <c r="I66" s="29">
        <f>COUNTIFS('Tổng hợp 75 trang đích'!$B$2:$B$3400,$D66,'Tổng hợp 75 trang đích'!$K$2:$K$3400,"CẦN SOÁT")</f>
        <v>25</v>
      </c>
      <c r="J66" s="32" t="s">
        <v>714</v>
      </c>
      <c r="K66" s="32" t="b">
        <v>0</v>
      </c>
      <c r="L66" s="33" t="s">
        <v>52</v>
      </c>
      <c r="M66" s="30" t="str">
        <f>IFERROR(__xludf.DUMMYFUNCTION("IFERROR(TOROW(CHOOSECOLS(SORT(FILTER({'Tổng hợp 75 trang đích'!$J$2:$J$3400,'Tổng hợp 75 trang đích'!$I$2:$I$3400,MATCH('Tổng hợp 75 trang đích'!$K$2:$K$3400,{""PHÙ HỢP CAO"",""CÓ THỂ ĐI"",""CẦN SOÁT""},0)},'Tổng hợp 75 trang đích'!$B$2:$B$3400=$D66),3,TR"&amp;"UE),1,2)),"""")"),"gửi tiết kiệm online có an toàn không")</f>
        <v>gửi tiết kiệm online có an toàn không</v>
      </c>
      <c r="N66" s="34" t="str">
        <f>IFERROR(__xludf.DUMMYFUNCTION("""COMPUTED_VALUE"""),"https://techcombank.com/thong-tin/blog/co-nen-gui-tiet-kiem-online")</f>
        <v>https://techcombank.com/thong-tin/blog/co-nen-gui-tiet-kiem-online</v>
      </c>
      <c r="O66" s="30" t="str">
        <f>IFERROR(__xludf.DUMMYFUNCTION("""COMPUTED_VALUE"""),"gửi tiết kiệm online có an toàn không")</f>
        <v>gửi tiết kiệm online có an toàn không</v>
      </c>
      <c r="P66" s="34" t="str">
        <f>IFERROR(__xludf.DUMMYFUNCTION("""COMPUTED_VALUE"""),"https://techcombank.com/thong-tin/blog/kinh-nghiem-gui-tiet-kiem-online")</f>
        <v>https://techcombank.com/thong-tin/blog/kinh-nghiem-gui-tiet-kiem-online</v>
      </c>
      <c r="Q66" s="30" t="str">
        <f>IFERROR(__xludf.DUMMYFUNCTION("""COMPUTED_VALUE"""),"gửi tiết kiệm online có an toàn không")</f>
        <v>gửi tiết kiệm online có an toàn không</v>
      </c>
      <c r="R66" s="34" t="str">
        <f>IFERROR(__xludf.DUMMYFUNCTION("""COMPUTED_VALUE"""),"https://techcombank.com/thong-tin/blog/cach-gui-tiet-kiem-online")</f>
        <v>https://techcombank.com/thong-tin/blog/cach-gui-tiet-kiem-online</v>
      </c>
      <c r="S66" s="30" t="str">
        <f>IFERROR(__xludf.DUMMYFUNCTION("""COMPUTED_VALUE"""),"rủi ro khi gửi tiết kiệm online")</f>
        <v>rủi ro khi gửi tiết kiệm online</v>
      </c>
      <c r="T66" s="34" t="str">
        <f>IFERROR(__xludf.DUMMYFUNCTION("""COMPUTED_VALUE"""),"https://techcombank.com/thong-tin/blog/rui-ro-khi-gui-tiet-kiem-ngan-hang")</f>
        <v>https://techcombank.com/thong-tin/blog/rui-ro-khi-gui-tiet-kiem-ngan-hang</v>
      </c>
      <c r="U66" s="30" t="str">
        <f>IFERROR(__xludf.DUMMYFUNCTION("""COMPUTED_VALUE"""),"rủi ro khi gửi tiết kiệm online")</f>
        <v>rủi ro khi gửi tiết kiệm online</v>
      </c>
      <c r="V66" s="34" t="str">
        <f>IFERROR(__xludf.DUMMYFUNCTION("""COMPUTED_VALUE"""),"https://techcombank.com/thong-tin/blog/so-sanh-gui-tiet-kiem-online-va-tai-quay")</f>
        <v>https://techcombank.com/thong-tin/blog/so-sanh-gui-tiet-kiem-online-va-tai-quay</v>
      </c>
      <c r="W66" s="30" t="str">
        <f>IFERROR(__xludf.DUMMYFUNCTION("""COMPUTED_VALUE"""),"rủi ro khi gửi tiết kiệm online")</f>
        <v>rủi ro khi gửi tiết kiệm online</v>
      </c>
      <c r="X66" s="34" t="str">
        <f>IFERROR(__xludf.DUMMYFUNCTION("""COMPUTED_VALUE"""),"https://techcombank.com/thong-tin/blog/tra-luong-tien-mat")</f>
        <v>https://techcombank.com/thong-tin/blog/tra-luong-tien-mat</v>
      </c>
      <c r="Y66" s="30" t="str">
        <f>IFERROR(__xludf.DUMMYFUNCTION("""COMPUTED_VALUE"""),"gửi tiết kiệm online có an toàn không")</f>
        <v>gửi tiết kiệm online có an toàn không</v>
      </c>
      <c r="Z66" s="34" t="str">
        <f>IFERROR(__xludf.DUMMYFUNCTION("""COMPUTED_VALUE"""),"https://techcombank.com/thong-tin/blog/gui-tiet-kiem-lay-lai-hang-thang")</f>
        <v>https://techcombank.com/thong-tin/blog/gui-tiet-kiem-lay-lai-hang-thang</v>
      </c>
      <c r="AA66" s="30" t="str">
        <f>IFERROR(__xludf.DUMMYFUNCTION("""COMPUTED_VALUE"""),"rủi ro khi gửi tiết kiệm online")</f>
        <v>rủi ro khi gửi tiết kiệm online</v>
      </c>
      <c r="AB66" s="34" t="str">
        <f>IFERROR(__xludf.DUMMYFUNCTION("""COMPUTED_VALUE"""),"https://techcombank.com/thong-tin/blog/quy-trinh-tat-toan-khoan-vay-the-chap")</f>
        <v>https://techcombank.com/thong-tin/blog/quy-trinh-tat-toan-khoan-vay-the-chap</v>
      </c>
      <c r="AC66" s="30" t="str">
        <f>IFERROR(__xludf.DUMMYFUNCTION("""COMPUTED_VALUE"""),"gửi tiết kiệm online có an toàn không")</f>
        <v>gửi tiết kiệm online có an toàn không</v>
      </c>
      <c r="AD66" s="34" t="str">
        <f>IFERROR(__xludf.DUMMYFUNCTION("""COMPUTED_VALUE"""),"https://techcombank.com/thong-tin/blog/gui-tiet-kiem-hang-thang")</f>
        <v>https://techcombank.com/thong-tin/blog/gui-tiet-kiem-hang-thang</v>
      </c>
      <c r="AE66" s="30" t="str">
        <f>IFERROR(__xludf.DUMMYFUNCTION("""COMPUTED_VALUE"""),"gửi tiết kiệm online có an toàn không")</f>
        <v>gửi tiết kiệm online có an toàn không</v>
      </c>
      <c r="AF66" s="34" t="str">
        <f>IFERROR(__xludf.DUMMYFUNCTION("""COMPUTED_VALUE"""),"https://techcombank.com/thong-tin/blog/cach-tiet-kiem-tien-sinh-loi")</f>
        <v>https://techcombank.com/thong-tin/blog/cach-tiet-kiem-tien-sinh-loi</v>
      </c>
      <c r="AG66" s="30" t="str">
        <f>IFERROR(__xludf.DUMMYFUNCTION("""COMPUTED_VALUE"""),"gửi tiết kiệm online có an toàn không")</f>
        <v>gửi tiết kiệm online có an toàn không</v>
      </c>
      <c r="AH66" s="34" t="str">
        <f>IFERROR(__xludf.DUMMYFUNCTION("""COMPUTED_VALUE"""),"https://techcombank.com/thong-tin/blog/gui-tiet-kiem-ngan-hang-van-la-lua-chon-an-toan-trong-thoi-ky-kinh-te-con-nhieu-bien-dong")</f>
        <v>https://techcombank.com/thong-tin/blog/gui-tiet-kiem-ngan-hang-van-la-lua-chon-an-toan-trong-thoi-ky-kinh-te-con-nhieu-bien-dong</v>
      </c>
      <c r="AI66" s="30" t="str">
        <f>IFERROR(__xludf.DUMMYFUNCTION("""COMPUTED_VALUE"""),"gửi tiết kiệm online có an toàn không")</f>
        <v>gửi tiết kiệm online có an toàn không</v>
      </c>
      <c r="AJ66" s="34" t="str">
        <f>IFERROR(__xludf.DUMMYFUNCTION("""COMPUTED_VALUE"""),"https://techcombank.com/thong-tin/blog/quy-trinh-gui-tien-tiet-kiem")</f>
        <v>https://techcombank.com/thong-tin/blog/quy-trinh-gui-tien-tiet-kiem</v>
      </c>
      <c r="AK66" s="30" t="str">
        <f>IFERROR(__xludf.DUMMYFUNCTION("""COMPUTED_VALUE"""),"gửi tiết kiệm online có an toàn không")</f>
        <v>gửi tiết kiệm online có an toàn không</v>
      </c>
      <c r="AL66" s="34" t="str">
        <f>IFERROR(__xludf.DUMMYFUNCTION("""COMPUTED_VALUE"""),"https://techcombank.com/thong-tin/blog/lai-suat-tiet-kiem")</f>
        <v>https://techcombank.com/thong-tin/blog/lai-suat-tiet-kiem</v>
      </c>
      <c r="AM66" s="30" t="str">
        <f>IFERROR(__xludf.DUMMYFUNCTION("""COMPUTED_VALUE"""),"gửi tiết kiệm online có an toàn không")</f>
        <v>gửi tiết kiệm online có an toàn không</v>
      </c>
      <c r="AN66" s="34" t="str">
        <f>IFERROR(__xludf.DUMMYFUNCTION("""COMPUTED_VALUE"""),"https://techcombank.com/thong-tin/blog/mat-so-tiet-kiem")</f>
        <v>https://techcombank.com/thong-tin/blog/mat-so-tiet-kiem</v>
      </c>
      <c r="AO66" s="30" t="str">
        <f>IFERROR(__xludf.DUMMYFUNCTION("""COMPUTED_VALUE"""),"gửi tiết kiệm online có an toàn không")</f>
        <v>gửi tiết kiệm online có an toàn không</v>
      </c>
      <c r="AP66" s="34" t="str">
        <f>IFERROR(__xludf.DUMMYFUNCTION("""COMPUTED_VALUE"""),"https://techcombank.com/thong-tin/blog/quy-du-phong-tai-chinh-la-gi")</f>
        <v>https://techcombank.com/thong-tin/blog/quy-du-phong-tai-chinh-la-gi</v>
      </c>
      <c r="AQ66" s="30" t="str">
        <f>IFERROR(__xludf.DUMMYFUNCTION("""COMPUTED_VALUE"""),"gửi tiết kiệm online có an toàn không")</f>
        <v>gửi tiết kiệm online có an toàn không</v>
      </c>
      <c r="AR66" s="34" t="str">
        <f>IFERROR(__xludf.DUMMYFUNCTION("""COMPUTED_VALUE"""),"https://techcombank.com/thong-tin/blog/5-trieu-mua-duoc-bao-nhieu-vang")</f>
        <v>https://techcombank.com/thong-tin/blog/5-trieu-mua-duoc-bao-nhieu-vang</v>
      </c>
      <c r="AS66" s="30" t="str">
        <f>IFERROR(__xludf.DUMMYFUNCTION("""COMPUTED_VALUE"""),"gửi tiết kiệm online có an toàn không")</f>
        <v>gửi tiết kiệm online có an toàn không</v>
      </c>
      <c r="AT66" s="34" t="str">
        <f>IFERROR(__xludf.DUMMYFUNCTION("""COMPUTED_VALUE"""),"https://techcombank.com/thong-tin/blog/tao-ma-qr-thanh-toan-cho-cua-hang")</f>
        <v>https://techcombank.com/thong-tin/blog/tao-ma-qr-thanh-toan-cho-cua-hang</v>
      </c>
      <c r="AU66" s="30" t="str">
        <f>IFERROR(__xludf.DUMMYFUNCTION("""COMPUTED_VALUE"""),"gửi tiết kiệm online có an toàn không")</f>
        <v>gửi tiết kiệm online có an toàn không</v>
      </c>
      <c r="AV66" s="34" t="str">
        <f>IFERROR(__xludf.DUMMYFUNCTION("""COMPUTED_VALUE"""),"https://techcombank.com/thong-tin/blog/gui-tiet-kiem-vang")</f>
        <v>https://techcombank.com/thong-tin/blog/gui-tiet-kiem-vang</v>
      </c>
      <c r="AW66" s="30" t="str">
        <f>IFERROR(__xludf.DUMMYFUNCTION("""COMPUTED_VALUE"""),"gửi tiết kiệm online có an toàn không")</f>
        <v>gửi tiết kiệm online có an toàn không</v>
      </c>
      <c r="AX66" s="34" t="str">
        <f>IFERROR(__xludf.DUMMYFUNCTION("""COMPUTED_VALUE"""),"https://techcombank.com/thong-tin/blog/smart-otp-la-gi")</f>
        <v>https://techcombank.com/thong-tin/blog/smart-otp-la-gi</v>
      </c>
      <c r="AY66" s="30" t="str">
        <f>IFERROR(__xludf.DUMMYFUNCTION("""COMPUTED_VALUE"""),"rủi ro khi gửi tiết kiệm online")</f>
        <v>rủi ro khi gửi tiết kiệm online</v>
      </c>
      <c r="AZ66" s="34" t="str">
        <f>IFERROR(__xludf.DUMMYFUNCTION("""COMPUTED_VALUE"""),"https://techcombank.com/thong-tin/blog/tai-sao-gui-tiet-kiem-online-lai-suat-cao-hon")</f>
        <v>https://techcombank.com/thong-tin/blog/tai-sao-gui-tiet-kiem-online-lai-suat-cao-hon</v>
      </c>
      <c r="BA66" s="30" t="str">
        <f>IFERROR(__xludf.DUMMYFUNCTION("""COMPUTED_VALUE"""),"gửi tiết kiệm online có an toàn không")</f>
        <v>gửi tiết kiệm online có an toàn không</v>
      </c>
      <c r="BB66" s="34" t="str">
        <f>IFERROR(__xludf.DUMMYFUNCTION("""COMPUTED_VALUE"""),"https://techcombank.com/thong-tin/blog/rui-ro-khi-vay-the-chap-ngan-hang")</f>
        <v>https://techcombank.com/thong-tin/blog/rui-ro-khi-vay-the-chap-ngan-hang</v>
      </c>
      <c r="BC66" s="30" t="str">
        <f>IFERROR(__xludf.DUMMYFUNCTION("""COMPUTED_VALUE"""),"rủi ro khi gửi tiết kiệm online")</f>
        <v>rủi ro khi gửi tiết kiệm online</v>
      </c>
      <c r="BD66" s="34" t="str">
        <f>IFERROR(__xludf.DUMMYFUNCTION("""COMPUTED_VALUE"""),"https://techcombank.com/thong-tin/blog/hom-nay-co-nen-mua-vang-khong")</f>
        <v>https://techcombank.com/thong-tin/blog/hom-nay-co-nen-mua-vang-khong</v>
      </c>
      <c r="BE66" s="30" t="str">
        <f>IFERROR(__xludf.DUMMYFUNCTION("""COMPUTED_VALUE"""),"rủi ro khi gửi tiết kiệm online")</f>
        <v>rủi ro khi gửi tiết kiệm online</v>
      </c>
      <c r="BF66" s="34" t="str">
        <f>IFERROR(__xludf.DUMMYFUNCTION("""COMPUTED_VALUE"""),"https://techcombank.com/thong-tin/blog/phuong-phap-dau-tu-chung-chi-quy")</f>
        <v>https://techcombank.com/thong-tin/blog/phuong-phap-dau-tu-chung-chi-quy</v>
      </c>
      <c r="BG66" s="30" t="str">
        <f>IFERROR(__xludf.DUMMYFUNCTION("""COMPUTED_VALUE"""),"gửi tiết kiệm online có an toàn không")</f>
        <v>gửi tiết kiệm online có an toàn không</v>
      </c>
      <c r="BH66" s="34" t="str">
        <f>IFERROR(__xludf.DUMMYFUNCTION("""COMPUTED_VALUE"""),"https://techcombank.com/thong-tin/blog/chung-chi-tien-gui-co-duoc-bao-hiem-khong")</f>
        <v>https://techcombank.com/thong-tin/blog/chung-chi-tien-gui-co-duoc-bao-hiem-khong</v>
      </c>
      <c r="BI66" s="30" t="str">
        <f>IFERROR(__xludf.DUMMYFUNCTION("""COMPUTED_VALUE"""),"gửi tiết kiệm online có an toàn không")</f>
        <v>gửi tiết kiệm online có an toàn không</v>
      </c>
      <c r="BJ66" s="34" t="str">
        <f>IFERROR(__xludf.DUMMYFUNCTION("""COMPUTED_VALUE"""),"https://techcombank.com/thong-tin/blog/chung-chi-tien-gui-co-phai-la-trai-phieu-khong")</f>
        <v>https://techcombank.com/thong-tin/blog/chung-chi-tien-gui-co-phai-la-trai-phieu-khong</v>
      </c>
      <c r="BK66" s="30" t="str">
        <f>IFERROR(__xludf.DUMMYFUNCTION("""COMPUTED_VALUE"""),"gửi tiết kiệm online có an toàn không")</f>
        <v>gửi tiết kiệm online có an toàn không</v>
      </c>
      <c r="BL66" s="34" t="str">
        <f>IFERROR(__xludf.DUMMYFUNCTION("""COMPUTED_VALUE"""),"https://techcombank.com/thong-tin/blog/the-visa-khong-thanh-toan-duoc")</f>
        <v>https://techcombank.com/thong-tin/blog/the-visa-khong-thanh-toan-duoc</v>
      </c>
      <c r="BM66" s="30" t="str">
        <f>IFERROR(__xludf.DUMMYFUNCTION("""COMPUTED_VALUE"""),"gửi tiết kiệm online có an toàn không")</f>
        <v>gửi tiết kiệm online có an toàn không</v>
      </c>
      <c r="BN66" s="34" t="str">
        <f>IFERROR(__xludf.DUMMYFUNCTION("""COMPUTED_VALUE"""),"https://techcombank.com/thong-tin/blog/chuyen-tien-tu-han-sang-viet-nam")</f>
        <v>https://techcombank.com/thong-tin/blog/chuyen-tien-tu-han-sang-viet-nam</v>
      </c>
      <c r="BO66" s="30" t="str">
        <f>IFERROR(__xludf.DUMMYFUNCTION("""COMPUTED_VALUE"""),"rủi ro khi gửi tiết kiệm online")</f>
        <v>rủi ro khi gửi tiết kiệm online</v>
      </c>
      <c r="BP66" s="34" t="str">
        <f>IFERROR(__xludf.DUMMYFUNCTION("""COMPUTED_VALUE"""),"https://techcombank.com/thong-tin/blog/cac-chung-chi-quy-o-viet-nam")</f>
        <v>https://techcombank.com/thong-tin/blog/cac-chung-chi-quy-o-viet-nam</v>
      </c>
      <c r="BQ66" s="30" t="str">
        <f>IFERROR(__xludf.DUMMYFUNCTION("""COMPUTED_VALUE"""),"rủi ro khi gửi tiết kiệm online")</f>
        <v>rủi ro khi gửi tiết kiệm online</v>
      </c>
      <c r="BR66" s="34" t="str">
        <f>IFERROR(__xludf.DUMMYFUNCTION("""COMPUTED_VALUE"""),"https://techcombank.com/thong-tin/blog/tien-nhan-roi-nen-lam-gi")</f>
        <v>https://techcombank.com/thong-tin/blog/tien-nhan-roi-nen-lam-gi</v>
      </c>
      <c r="BS66" s="30" t="str">
        <f>IFERROR(__xludf.DUMMYFUNCTION("""COMPUTED_VALUE"""),"gửi tiết kiệm online có an toàn không")</f>
        <v>gửi tiết kiệm online có an toàn không</v>
      </c>
      <c r="BT66" s="34" t="str">
        <f>IFERROR(__xludf.DUMMYFUNCTION("""COMPUTED_VALUE"""),"https://techcombank.com/thong-tin/blog/nen-de-tien-trong-the-hay-gui-tiet-kiem")</f>
        <v>https://techcombank.com/thong-tin/blog/nen-de-tien-trong-the-hay-gui-tiet-kiem</v>
      </c>
      <c r="BU66" s="30"/>
      <c r="BV66" s="30"/>
      <c r="BW66" s="30"/>
      <c r="BX66" s="30"/>
      <c r="BY66" s="30"/>
      <c r="BZ66" s="30"/>
      <c r="CA66" s="30"/>
      <c r="CB66" s="30"/>
      <c r="CC66" s="30"/>
      <c r="CD66" s="30"/>
      <c r="CE66" s="30"/>
      <c r="CF66" s="30"/>
      <c r="CG66" s="30"/>
      <c r="CH66" s="30"/>
      <c r="CI66" s="30"/>
      <c r="CJ66" s="30"/>
      <c r="CK66" s="30"/>
      <c r="CL66" s="30"/>
      <c r="CM66" s="30"/>
      <c r="CN66" s="30"/>
      <c r="CO66" s="30"/>
      <c r="CP66" s="30"/>
      <c r="CQ66" s="30"/>
      <c r="CR66" s="30"/>
      <c r="CS66" s="30"/>
      <c r="CT66" s="30"/>
      <c r="CU66" s="30"/>
      <c r="CV66" s="30"/>
      <c r="CW66" s="30"/>
      <c r="CX66" s="30"/>
      <c r="CY66" s="30"/>
      <c r="CZ66" s="30"/>
      <c r="DA66" s="30"/>
      <c r="DB66" s="30"/>
      <c r="DC66" s="30"/>
      <c r="DD66" s="30"/>
      <c r="DE66" s="30"/>
      <c r="DF66" s="30"/>
      <c r="DG66" s="30"/>
      <c r="DH66" s="30"/>
      <c r="DI66" s="30"/>
      <c r="DJ66" s="30"/>
      <c r="DK66" s="30"/>
      <c r="DL66" s="30"/>
      <c r="DM66" s="30"/>
      <c r="DN66" s="30"/>
      <c r="DO66" s="30"/>
      <c r="DP66" s="30"/>
      <c r="DQ66" s="30"/>
      <c r="DR66" s="30"/>
      <c r="DS66" s="30"/>
      <c r="DT66" s="30"/>
      <c r="DU66" s="30"/>
      <c r="DV66" s="30"/>
      <c r="DW66" s="30"/>
      <c r="DX66" s="30"/>
      <c r="DY66" s="30"/>
      <c r="DZ66" s="30"/>
      <c r="EA66" s="30"/>
      <c r="EB66" s="30"/>
      <c r="EC66" s="30"/>
      <c r="ED66" s="30"/>
      <c r="EE66" s="30"/>
      <c r="EF66" s="30"/>
      <c r="EG66" s="30"/>
      <c r="EH66" s="30"/>
      <c r="EI66" s="30"/>
      <c r="EJ66" s="30"/>
      <c r="EK66" s="30"/>
      <c r="EL66" s="30"/>
      <c r="EM66" s="30"/>
      <c r="EN66" s="30"/>
      <c r="EO66" s="30"/>
      <c r="EP66" s="30"/>
      <c r="EQ66" s="30"/>
      <c r="ER66" s="30"/>
      <c r="ES66" s="30"/>
      <c r="ET66" s="30"/>
      <c r="EU66" s="30"/>
      <c r="EV66" s="30"/>
      <c r="EW66" s="30"/>
      <c r="EX66" s="30"/>
      <c r="EY66" s="30"/>
      <c r="EZ66" s="30"/>
      <c r="FA66" s="30"/>
      <c r="FB66" s="30"/>
      <c r="FC66" s="30"/>
      <c r="FD66" s="30"/>
      <c r="FE66" s="30"/>
      <c r="FF66" s="30"/>
      <c r="FG66" s="30"/>
      <c r="FH66" s="30"/>
      <c r="FI66" s="30"/>
      <c r="FJ66" s="30"/>
      <c r="FK66" s="30"/>
      <c r="FL66" s="30"/>
      <c r="FM66" s="30"/>
      <c r="FN66" s="30"/>
      <c r="FO66" s="30"/>
      <c r="FP66" s="30"/>
      <c r="FQ66" s="30"/>
      <c r="FR66" s="30"/>
      <c r="FS66" s="30"/>
      <c r="FT66" s="30"/>
      <c r="FU66" s="30"/>
      <c r="FV66" s="30"/>
      <c r="FW66" s="30"/>
      <c r="FX66" s="30"/>
      <c r="FY66" s="30"/>
      <c r="FZ66" s="30"/>
      <c r="GA66" s="30"/>
      <c r="GB66" s="30"/>
      <c r="GC66" s="30"/>
      <c r="GD66" s="30"/>
      <c r="GE66" s="30"/>
      <c r="GF66" s="30"/>
      <c r="GG66" s="30"/>
      <c r="GH66" s="30"/>
      <c r="GI66" s="30"/>
      <c r="GJ66" s="30"/>
      <c r="GK66" s="30"/>
      <c r="GL66" s="30"/>
      <c r="GM66" s="30"/>
      <c r="GN66" s="30"/>
      <c r="GO66" s="30"/>
      <c r="GP66" s="30"/>
      <c r="GQ66" s="30"/>
      <c r="GR66" s="30"/>
      <c r="GS66" s="30"/>
      <c r="GT66" s="30"/>
      <c r="GU66" s="30"/>
      <c r="GV66" s="30"/>
      <c r="GW66" s="30"/>
      <c r="GX66" s="30"/>
      <c r="GY66" s="30"/>
      <c r="GZ66" s="30"/>
      <c r="HA66" s="30"/>
      <c r="HB66" s="30"/>
      <c r="HC66" s="30"/>
      <c r="HD66" s="30"/>
      <c r="HE66" s="30"/>
      <c r="HF66" s="30"/>
      <c r="HG66" s="30"/>
      <c r="HH66" s="30"/>
      <c r="HI66" s="30"/>
      <c r="HJ66" s="30"/>
      <c r="HK66" s="30"/>
      <c r="HL66" s="30"/>
      <c r="HM66" s="30"/>
      <c r="HN66" s="30"/>
      <c r="HO66" s="30"/>
      <c r="HP66" s="30"/>
      <c r="HQ66" s="30"/>
      <c r="HR66" s="30"/>
      <c r="HS66" s="30"/>
      <c r="HT66" s="30"/>
      <c r="HU66" s="30"/>
      <c r="HV66" s="30"/>
      <c r="HW66" s="30"/>
      <c r="HX66" s="30"/>
      <c r="HY66" s="30"/>
      <c r="HZ66" s="30"/>
      <c r="IA66" s="30"/>
      <c r="IB66" s="30"/>
      <c r="IC66" s="30"/>
      <c r="ID66" s="30"/>
      <c r="IE66" s="30"/>
      <c r="IF66" s="30"/>
      <c r="IG66" s="30"/>
      <c r="IH66" s="30"/>
      <c r="II66" s="30"/>
      <c r="IJ66" s="30"/>
      <c r="IK66" s="30"/>
      <c r="IL66" s="30"/>
      <c r="IM66" s="30"/>
      <c r="IN66" s="30"/>
      <c r="IO66" s="30"/>
      <c r="IP66" s="30"/>
      <c r="IQ66" s="30"/>
      <c r="IR66" s="30"/>
      <c r="IS66" s="30"/>
      <c r="IT66" s="30"/>
      <c r="IU66" s="30"/>
      <c r="IV66" s="30"/>
      <c r="IW66" s="30"/>
      <c r="IX66" s="30"/>
      <c r="IY66" s="30"/>
      <c r="IZ66" s="30"/>
      <c r="JA66" s="30"/>
      <c r="JB66" s="30"/>
      <c r="JC66" s="30"/>
      <c r="JD66" s="30"/>
      <c r="JE66" s="30"/>
      <c r="JF66" s="30"/>
      <c r="JG66" s="30"/>
      <c r="JH66" s="30"/>
      <c r="JI66" s="30"/>
      <c r="JJ66" s="30"/>
      <c r="JK66" s="30"/>
      <c r="JL66" s="30"/>
      <c r="JM66" s="30"/>
      <c r="JN66" s="30"/>
      <c r="JO66" s="30"/>
      <c r="JP66" s="30"/>
      <c r="JQ66" s="30"/>
      <c r="JR66" s="30"/>
      <c r="JS66" s="30"/>
      <c r="JT66" s="30"/>
      <c r="JU66" s="30"/>
      <c r="JV66" s="30"/>
      <c r="JW66" s="30"/>
      <c r="JX66" s="30"/>
      <c r="JY66" s="30"/>
      <c r="JZ66" s="30"/>
      <c r="KA66" s="30"/>
      <c r="KB66" s="30"/>
      <c r="KC66" s="30"/>
      <c r="KD66" s="30"/>
      <c r="KE66" s="30"/>
      <c r="KF66" s="30"/>
      <c r="KG66" s="30"/>
      <c r="KH66" s="30"/>
      <c r="KI66" s="30"/>
      <c r="KJ66" s="30"/>
      <c r="KK66" s="30"/>
      <c r="KL66" s="30"/>
      <c r="KM66" s="30"/>
      <c r="KN66" s="30"/>
      <c r="KO66" s="30"/>
      <c r="KP66" s="30"/>
      <c r="KQ66" s="30"/>
      <c r="KR66" s="30"/>
      <c r="KS66" s="30"/>
      <c r="KT66" s="30"/>
      <c r="KU66" s="30"/>
      <c r="KV66" s="30"/>
      <c r="KW66" s="30"/>
      <c r="KX66" s="30"/>
      <c r="KY66" s="30"/>
      <c r="KZ66" s="30"/>
      <c r="LA66" s="30"/>
      <c r="LB66" s="30"/>
      <c r="LC66" s="30"/>
      <c r="LD66" s="30"/>
      <c r="LE66" s="30"/>
      <c r="LF66" s="30"/>
      <c r="LG66" s="30"/>
      <c r="LH66" s="30"/>
      <c r="LI66" s="30"/>
      <c r="LJ66" s="30"/>
      <c r="LK66" s="30"/>
      <c r="LL66" s="30"/>
      <c r="LM66" s="30"/>
      <c r="LN66" s="30"/>
      <c r="LO66" s="30"/>
      <c r="LP66" s="30"/>
      <c r="LQ66" s="30"/>
      <c r="LR66" s="30"/>
      <c r="LS66" s="30"/>
      <c r="LT66" s="30"/>
      <c r="LU66" s="30"/>
      <c r="LV66" s="30"/>
      <c r="LW66" s="30"/>
      <c r="LX66" s="30"/>
      <c r="LY66" s="30"/>
      <c r="LZ66" s="30"/>
      <c r="MA66" s="30"/>
      <c r="MB66" s="30"/>
      <c r="MC66" s="30"/>
      <c r="MD66" s="30"/>
      <c r="ME66" s="30"/>
      <c r="MF66" s="30"/>
      <c r="MG66" s="30"/>
      <c r="MH66" s="30"/>
      <c r="MI66" s="30"/>
      <c r="MJ66" s="30"/>
      <c r="MK66" s="30"/>
      <c r="ML66" s="30"/>
      <c r="MM66" s="30"/>
      <c r="MN66" s="30"/>
      <c r="MO66" s="30"/>
      <c r="MP66" s="30"/>
      <c r="MQ66" s="30"/>
      <c r="MR66" s="30"/>
      <c r="MS66" s="30"/>
      <c r="MT66" s="30"/>
      <c r="MU66" s="30"/>
      <c r="MV66" s="30"/>
      <c r="MW66" s="30"/>
      <c r="MX66" s="30"/>
      <c r="MY66" s="30"/>
      <c r="MZ66" s="30"/>
      <c r="NA66" s="30"/>
      <c r="NB66" s="30"/>
      <c r="NC66" s="30"/>
      <c r="ND66" s="30"/>
      <c r="NE66" s="30"/>
      <c r="NF66" s="30"/>
      <c r="NG66" s="30"/>
      <c r="NH66" s="30"/>
      <c r="NI66" s="30"/>
      <c r="NJ66" s="30"/>
      <c r="NK66" s="30"/>
      <c r="NL66" s="30"/>
      <c r="NM66" s="30"/>
      <c r="NN66" s="30"/>
      <c r="NO66" s="30"/>
      <c r="NP66" s="30"/>
      <c r="NQ66" s="30"/>
      <c r="NR66" s="30"/>
      <c r="NS66" s="30"/>
      <c r="NT66" s="30"/>
      <c r="NU66" s="30"/>
      <c r="NV66" s="30"/>
      <c r="NW66" s="30"/>
      <c r="NX66" s="30"/>
      <c r="NY66" s="30"/>
      <c r="NZ66" s="30"/>
      <c r="OA66" s="30"/>
      <c r="OB66" s="30"/>
      <c r="OC66" s="30"/>
      <c r="OD66" s="30"/>
      <c r="OE66" s="30"/>
      <c r="OF66" s="30"/>
      <c r="OG66" s="30"/>
      <c r="OH66" s="30"/>
      <c r="OI66" s="30"/>
      <c r="OJ66" s="30"/>
      <c r="OK66" s="30"/>
      <c r="OL66" s="30"/>
      <c r="OM66" s="30"/>
      <c r="ON66" s="30"/>
      <c r="OO66" s="30"/>
      <c r="OP66" s="30"/>
      <c r="OQ66" s="30"/>
      <c r="OR66" s="30"/>
      <c r="OS66" s="30"/>
      <c r="OT66" s="30"/>
      <c r="OU66" s="30"/>
      <c r="OV66" s="30"/>
    </row>
    <row r="67" ht="18.0" customHeight="1">
      <c r="A67" s="29">
        <v>66.0</v>
      </c>
      <c r="B67" s="30" t="s">
        <v>5854</v>
      </c>
      <c r="C67" s="31" t="s">
        <v>6597</v>
      </c>
      <c r="D67" s="30" t="s">
        <v>5322</v>
      </c>
      <c r="E67" s="29">
        <v>150.0</v>
      </c>
      <c r="F67" s="29">
        <f>COUNTIF('Tổng hợp 75 trang đích'!$B$2:$B$3400,$D67)</f>
        <v>150</v>
      </c>
      <c r="G67" s="29">
        <f>COUNTIFS('Tổng hợp 75 trang đích'!$B$2:$B$3400,$D67,'Tổng hợp 75 trang đích'!$K$2:$K$3400,"PHÙ HỢP CAO")</f>
        <v>1</v>
      </c>
      <c r="H67" s="29">
        <f>COUNTIFS('Tổng hợp 75 trang đích'!$B$2:$B$3400,$D67,'Tổng hợp 75 trang đích'!$K$2:$K$3400,"CÓ THỂ ĐI")</f>
        <v>2</v>
      </c>
      <c r="I67" s="29">
        <f>COUNTIFS('Tổng hợp 75 trang đích'!$B$2:$B$3400,$D67,'Tổng hợp 75 trang đích'!$K$2:$K$3400,"CẦN SOÁT")</f>
        <v>147</v>
      </c>
      <c r="J67" s="32" t="s">
        <v>714</v>
      </c>
      <c r="K67" s="32" t="b">
        <v>0</v>
      </c>
      <c r="L67" s="33" t="s">
        <v>52</v>
      </c>
      <c r="M67" s="30" t="str">
        <f>IFERROR(__xludf.DUMMYFUNCTION("IFERROR(TOROW(CHOOSECOLS(SORT(FILTER({'Tổng hợp 75 trang đích'!$J$2:$J$3400,'Tổng hợp 75 trang đích'!$I$2:$I$3400,MATCH('Tổng hợp 75 trang đích'!$K$2:$K$3400,{""PHÙ HỢP CAO"",""CÓ THỂ ĐI"",""CẦN SOÁT""},0)},'Tổng hợp 75 trang đích'!$B$2:$B$3400=$D67),3,TR"&amp;"UE),1,2)),"""")"),"tính lãi suất vay ngân hàng")</f>
        <v>tính lãi suất vay ngân hàng</v>
      </c>
      <c r="N67" s="34" t="str">
        <f>IFERROR(__xludf.DUMMYFUNCTION("""COMPUTED_VALUE"""),"https://techcombank.com/thong-tin/blog/vay-100-trieu")</f>
        <v>https://techcombank.com/thong-tin/blog/vay-100-trieu</v>
      </c>
      <c r="O67" s="30" t="str">
        <f>IFERROR(__xludf.DUMMYFUNCTION("""COMPUTED_VALUE"""),"tính lãi suất vay ngân hàng")</f>
        <v>tính lãi suất vay ngân hàng</v>
      </c>
      <c r="P67" s="34" t="str">
        <f>IFERROR(__xludf.DUMMYFUNCTION("""COMPUTED_VALUE"""),"https://techcombank.com/thong-tin/blog/vay-tra-gop")</f>
        <v>https://techcombank.com/thong-tin/blog/vay-tra-gop</v>
      </c>
      <c r="Q67" s="30" t="str">
        <f>IFERROR(__xludf.DUMMYFUNCTION("""COMPUTED_VALUE"""),"tính lãi vay ngân hàng")</f>
        <v>tính lãi vay ngân hàng</v>
      </c>
      <c r="R67" s="34" t="str">
        <f>IFERROR(__xludf.DUMMYFUNCTION("""COMPUTED_VALUE"""),"https://techcombank.com/thong-tin/blog/dang-vay-tra-gop-co-vay-them-duoc-khong")</f>
        <v>https://techcombank.com/thong-tin/blog/dang-vay-tra-gop-co-vay-them-duoc-khong</v>
      </c>
      <c r="S67" s="30" t="str">
        <f>IFERROR(__xludf.DUMMYFUNCTION("""COMPUTED_VALUE"""),"tính lãi vay ngân hàng")</f>
        <v>tính lãi vay ngân hàng</v>
      </c>
      <c r="T67" s="34" t="str">
        <f>IFERROR(__xludf.DUMMYFUNCTION("""COMPUTED_VALUE"""),"https://techcombank.com/thong-tin/blog/the-visa-co-may-loai")</f>
        <v>https://techcombank.com/thong-tin/blog/the-visa-co-may-loai</v>
      </c>
      <c r="U67" s="30" t="str">
        <f>IFERROR(__xludf.DUMMYFUNCTION("""COMPUTED_VALUE"""),"tính lãi suất vay ngân hàng")</f>
        <v>tính lãi suất vay ngân hàng</v>
      </c>
      <c r="V67" s="34" t="str">
        <f>IFERROR(__xludf.DUMMYFUNCTION("""COMPUTED_VALUE"""),"https://techcombank.com/thong-tin/blog/lai-suat-qua-han")</f>
        <v>https://techcombank.com/thong-tin/blog/lai-suat-qua-han</v>
      </c>
      <c r="W67" s="30" t="str">
        <f>IFERROR(__xludf.DUMMYFUNCTION("""COMPUTED_VALUE"""),"tính lãi suất vay ngân hàng")</f>
        <v>tính lãi suất vay ngân hàng</v>
      </c>
      <c r="X67" s="34" t="str">
        <f>IFERROR(__xludf.DUMMYFUNCTION("""COMPUTED_VALUE"""),"https://techcombank.com/thong-tin/blog/lai-suat-vay-kinh-doanh")</f>
        <v>https://techcombank.com/thong-tin/blog/lai-suat-vay-kinh-doanh</v>
      </c>
      <c r="Y67" s="30" t="str">
        <f>IFERROR(__xludf.DUMMYFUNCTION("""COMPUTED_VALUE"""),"tính lãi vay ngân hàng")</f>
        <v>tính lãi vay ngân hàng</v>
      </c>
      <c r="Z67" s="34" t="str">
        <f>IFERROR(__xludf.DUMMYFUNCTION("""COMPUTED_VALUE"""),"https://techcombank.com/thong-tin/blog/cac-hinh-thuc-vay-von-ngan-hang")</f>
        <v>https://techcombank.com/thong-tin/blog/cac-hinh-thuc-vay-von-ngan-hang</v>
      </c>
      <c r="AA67" s="30" t="str">
        <f>IFERROR(__xludf.DUMMYFUNCTION("""COMPUTED_VALUE"""),"tính lãi vay ngân hàng")</f>
        <v>tính lãi vay ngân hàng</v>
      </c>
      <c r="AB67" s="34" t="str">
        <f>IFERROR(__xludf.DUMMYFUNCTION("""COMPUTED_VALUE"""),"https://techcombank.com/thong-tin/blog/loi-nhuan")</f>
        <v>https://techcombank.com/thong-tin/blog/loi-nhuan</v>
      </c>
      <c r="AC67" s="30" t="str">
        <f>IFERROR(__xludf.DUMMYFUNCTION("""COMPUTED_VALUE"""),"tính lãi suất vay ngân hàng")</f>
        <v>tính lãi suất vay ngân hàng</v>
      </c>
      <c r="AD67" s="34" t="str">
        <f>IFERROR(__xludf.DUMMYFUNCTION("""COMPUTED_VALUE"""),"https://techcombank.com/thong-tin/blog/co-nen-mua-o-to-tra-gop")</f>
        <v>https://techcombank.com/thong-tin/blog/co-nen-mua-o-to-tra-gop</v>
      </c>
      <c r="AE67" s="30" t="str">
        <f>IFERROR(__xludf.DUMMYFUNCTION("""COMPUTED_VALUE"""),"tính lãi vay ngân hàng")</f>
        <v>tính lãi vay ngân hàng</v>
      </c>
      <c r="AF67" s="34" t="str">
        <f>IFERROR(__xludf.DUMMYFUNCTION("""COMPUTED_VALUE"""),"https://techcombank.com/thong-tin/blog/thanh-toan-khoan-vay")</f>
        <v>https://techcombank.com/thong-tin/blog/thanh-toan-khoan-vay</v>
      </c>
      <c r="AG67" s="30" t="str">
        <f>IFERROR(__xludf.DUMMYFUNCTION("""COMPUTED_VALUE"""),"tính lãi vay ngân hàng")</f>
        <v>tính lãi vay ngân hàng</v>
      </c>
      <c r="AH67" s="34" t="str">
        <f>IFERROR(__xludf.DUMMYFUNCTION("""COMPUTED_VALUE"""),"https://techcombank.com/thong-tin/blog/kiem-tra-no-xau")</f>
        <v>https://techcombank.com/thong-tin/blog/kiem-tra-no-xau</v>
      </c>
      <c r="AI67" s="30" t="str">
        <f>IFERROR(__xludf.DUMMYFUNCTION("""COMPUTED_VALUE"""),"tính lãi suất vay ngân hàng")</f>
        <v>tính lãi suất vay ngân hàng</v>
      </c>
      <c r="AJ67" s="34" t="str">
        <f>IFERROR(__xludf.DUMMYFUNCTION("""COMPUTED_VALUE"""),"https://techcombank.com/thong-tin/blog/mua-truoc-tra-sau")</f>
        <v>https://techcombank.com/thong-tin/blog/mua-truoc-tra-sau</v>
      </c>
      <c r="AK67" s="30" t="str">
        <f>IFERROR(__xludf.DUMMYFUNCTION("""COMPUTED_VALUE"""),"tính lãi suất vay ngân hàng")</f>
        <v>tính lãi suất vay ngân hàng</v>
      </c>
      <c r="AL67" s="34" t="str">
        <f>IFERROR(__xludf.DUMMYFUNCTION("""COMPUTED_VALUE"""),"https://techcombank.com/thong-tin/blog/an-han-no-goc-la-gi")</f>
        <v>https://techcombank.com/thong-tin/blog/an-han-no-goc-la-gi</v>
      </c>
      <c r="AM67" s="30" t="str">
        <f>IFERROR(__xludf.DUMMYFUNCTION("""COMPUTED_VALUE"""),"tính lãi vay ngân hàng")</f>
        <v>tính lãi vay ngân hàng</v>
      </c>
      <c r="AN67" s="34" t="str">
        <f>IFERROR(__xludf.DUMMYFUNCTION("""COMPUTED_VALUE"""),"https://techcombank.com/thong-tin/blog/tai-khoan-ngan-hang-la-gi")</f>
        <v>https://techcombank.com/thong-tin/blog/tai-khoan-ngan-hang-la-gi</v>
      </c>
      <c r="AO67" s="30" t="str">
        <f>IFERROR(__xludf.DUMMYFUNCTION("""COMPUTED_VALUE"""),"tính lãi suất vay ngân hàng")</f>
        <v>tính lãi suất vay ngân hàng</v>
      </c>
      <c r="AP67" s="34" t="str">
        <f>IFERROR(__xludf.DUMMYFUNCTION("""COMPUTED_VALUE"""),"https://techcombank.com/thong-tin/blog/vay-tin-chap-va-vay-the-chap")</f>
        <v>https://techcombank.com/thong-tin/blog/vay-tin-chap-va-vay-the-chap</v>
      </c>
      <c r="AQ67" s="30" t="str">
        <f>IFERROR(__xludf.DUMMYFUNCTION("""COMPUTED_VALUE"""),"bảng tính lãi suất vay ngân hàng")</f>
        <v>bảng tính lãi suất vay ngân hàng</v>
      </c>
      <c r="AR67" s="34" t="str">
        <f>IFERROR(__xludf.DUMMYFUNCTION("""COMPUTED_VALUE"""),"https://techcombank.com/thong-tin/blog/cach-tiet-kiem-tien-sinh-loi")</f>
        <v>https://techcombank.com/thong-tin/blog/cach-tiet-kiem-tien-sinh-loi</v>
      </c>
      <c r="AS67" s="30" t="str">
        <f>IFERROR(__xludf.DUMMYFUNCTION("""COMPUTED_VALUE"""),"tính lãi suất vay ngân hàng")</f>
        <v>tính lãi suất vay ngân hàng</v>
      </c>
      <c r="AT67" s="34" t="str">
        <f>IFERROR(__xludf.DUMMYFUNCTION("""COMPUTED_VALUE"""),"https://techcombank.com/thong-tin/blog/tat-toan")</f>
        <v>https://techcombank.com/thong-tin/blog/tat-toan</v>
      </c>
      <c r="AU67" s="30" t="str">
        <f>IFERROR(__xludf.DUMMYFUNCTION("""COMPUTED_VALUE"""),"tính lãi vay ngân hàng")</f>
        <v>tính lãi vay ngân hàng</v>
      </c>
      <c r="AV67" s="34" t="str">
        <f>IFERROR(__xludf.DUMMYFUNCTION("""COMPUTED_VALUE"""),"https://techcombank.com/thong-tin/blog/dao-han-la-gi")</f>
        <v>https://techcombank.com/thong-tin/blog/dao-han-la-gi</v>
      </c>
      <c r="AW67" s="30" t="str">
        <f>IFERROR(__xludf.DUMMYFUNCTION("""COMPUTED_VALUE"""),"tính lãi suất vay ngân hàng")</f>
        <v>tính lãi suất vay ngân hàng</v>
      </c>
      <c r="AX67" s="34" t="str">
        <f>IFERROR(__xludf.DUMMYFUNCTION("""COMPUTED_VALUE"""),"https://techcombank.com/thong-tin/blog/vay-mua-xe-tra-gop-ngan-hang-nao-tot-nhat")</f>
        <v>https://techcombank.com/thong-tin/blog/vay-mua-xe-tra-gop-ngan-hang-nao-tot-nhat</v>
      </c>
      <c r="AY67" s="30" t="str">
        <f>IFERROR(__xludf.DUMMYFUNCTION("""COMPUTED_VALUE"""),"tính lãi suất vay ngân hàng")</f>
        <v>tính lãi suất vay ngân hàng</v>
      </c>
      <c r="AZ67" s="34" t="str">
        <f>IFERROR(__xludf.DUMMYFUNCTION("""COMPUTED_VALUE"""),"https://techcombank.com/thong-tin/blog/lai-suat-vay-thau-chi")</f>
        <v>https://techcombank.com/thong-tin/blog/lai-suat-vay-thau-chi</v>
      </c>
      <c r="BA67" s="30" t="str">
        <f>IFERROR(__xludf.DUMMYFUNCTION("""COMPUTED_VALUE"""),"tính lãi vay ngân hàng")</f>
        <v>tính lãi vay ngân hàng</v>
      </c>
      <c r="BB67" s="34" t="str">
        <f>IFERROR(__xludf.DUMMYFUNCTION("""COMPUTED_VALUE"""),"https://techcombank.com/thong-tin/blog/vay-mua-nha-tra-gop")</f>
        <v>https://techcombank.com/thong-tin/blog/vay-mua-nha-tra-gop</v>
      </c>
      <c r="BC67" s="30" t="str">
        <f>IFERROR(__xludf.DUMMYFUNCTION("""COMPUTED_VALUE"""),"tính lãi suất vay ngân hàng")</f>
        <v>tính lãi suất vay ngân hàng</v>
      </c>
      <c r="BD67" s="34" t="str">
        <f>IFERROR(__xludf.DUMMYFUNCTION("""COMPUTED_VALUE"""),"https://techcombank.com/thong-tin/blog/quy-trinh-tat-toan-khoan-vay-the-chap")</f>
        <v>https://techcombank.com/thong-tin/blog/quy-trinh-tat-toan-khoan-vay-the-chap</v>
      </c>
      <c r="BE67" s="30" t="str">
        <f>IFERROR(__xludf.DUMMYFUNCTION("""COMPUTED_VALUE"""),"tính lãi suất vay ngân hàng")</f>
        <v>tính lãi suất vay ngân hàng</v>
      </c>
      <c r="BF67" s="34" t="str">
        <f>IFERROR(__xludf.DUMMYFUNCTION("""COMPUTED_VALUE"""),"https://techcombank.com/thong-tin/blog/vay-40-trieu")</f>
        <v>https://techcombank.com/thong-tin/blog/vay-40-trieu</v>
      </c>
      <c r="BG67" s="30" t="str">
        <f>IFERROR(__xludf.DUMMYFUNCTION("""COMPUTED_VALUE"""),"tính lãi vay ngân hàng")</f>
        <v>tính lãi vay ngân hàng</v>
      </c>
      <c r="BH67" s="34" t="str">
        <f>IFERROR(__xludf.DUMMYFUNCTION("""COMPUTED_VALUE"""),"https://techcombank.com/thong-tin/blog/thu-tuc-mua-xe-tra-gop")</f>
        <v>https://techcombank.com/thong-tin/blog/thu-tuc-mua-xe-tra-gop</v>
      </c>
      <c r="BI67" s="30" t="str">
        <f>IFERROR(__xludf.DUMMYFUNCTION("""COMPUTED_VALUE"""),"tính lãi vay ngân hàng")</f>
        <v>tính lãi vay ngân hàng</v>
      </c>
      <c r="BJ67" s="34" t="str">
        <f>IFERROR(__xludf.DUMMYFUNCTION("""COMPUTED_VALUE"""),"https://techcombank.com/thong-tin/blog/vay-ngan-hang-chi-can-cccd")</f>
        <v>https://techcombank.com/thong-tin/blog/vay-ngan-hang-chi-can-cccd</v>
      </c>
      <c r="BK67" s="30" t="str">
        <f>IFERROR(__xludf.DUMMYFUNCTION("""COMPUTED_VALUE"""),"tính lãi suất vay ngân hàng")</f>
        <v>tính lãi suất vay ngân hàng</v>
      </c>
      <c r="BL67" s="34" t="str">
        <f>IFERROR(__xludf.DUMMYFUNCTION("""COMPUTED_VALUE"""),"https://techcombank.com/thong-tin/blog/tra-gop-shopee")</f>
        <v>https://techcombank.com/thong-tin/blog/tra-gop-shopee</v>
      </c>
      <c r="BM67" s="30" t="str">
        <f>IFERROR(__xludf.DUMMYFUNCTION("""COMPUTED_VALUE"""),"tính lãi suất vay ngân hàng")</f>
        <v>tính lãi suất vay ngân hàng</v>
      </c>
      <c r="BN67" s="34" t="str">
        <f>IFERROR(__xludf.DUMMYFUNCTION("""COMPUTED_VALUE"""),"https://techcombank.com/thong-tin/blog/kinh-nghiem-gui-tiet-kiem-online")</f>
        <v>https://techcombank.com/thong-tin/blog/kinh-nghiem-gui-tiet-kiem-online</v>
      </c>
      <c r="BO67" s="30" t="str">
        <f>IFERROR(__xludf.DUMMYFUNCTION("""COMPUTED_VALUE"""),"tính lãi vay ngân hàng")</f>
        <v>tính lãi vay ngân hàng</v>
      </c>
      <c r="BP67" s="34" t="str">
        <f>IFERROR(__xludf.DUMMYFUNCTION("""COMPUTED_VALUE"""),"https://techcombank.com/thong-tin/blog/thanh-toan-tra-gop-qua-the-tin-dung")</f>
        <v>https://techcombank.com/thong-tin/blog/thanh-toan-tra-gop-qua-the-tin-dung</v>
      </c>
      <c r="BQ67" s="30" t="str">
        <f>IFERROR(__xludf.DUMMYFUNCTION("""COMPUTED_VALUE"""),"tính lãi suất vay ngân hàng")</f>
        <v>tính lãi suất vay ngân hàng</v>
      </c>
      <c r="BR67" s="34" t="str">
        <f>IFERROR(__xludf.DUMMYFUNCTION("""COMPUTED_VALUE"""),"https://techcombank.com/thong-tin/blog/tra-gop-lazada")</f>
        <v>https://techcombank.com/thong-tin/blog/tra-gop-lazada</v>
      </c>
      <c r="BS67" s="30" t="str">
        <f>IFERROR(__xludf.DUMMYFUNCTION("""COMPUTED_VALUE"""),"tính lãi suất vay ngân hàng")</f>
        <v>tính lãi suất vay ngân hàng</v>
      </c>
      <c r="BT67" s="34" t="str">
        <f>IFERROR(__xludf.DUMMYFUNCTION("""COMPUTED_VALUE"""),"https://techcombank.com/thong-tin/blog/lai-suat-la-gi")</f>
        <v>https://techcombank.com/thong-tin/blog/lai-suat-la-gi</v>
      </c>
      <c r="BU67" s="30" t="str">
        <f>IFERROR(__xludf.DUMMYFUNCTION("""COMPUTED_VALUE"""),"tính lãi suất vay ngân hàng")</f>
        <v>tính lãi suất vay ngân hàng</v>
      </c>
      <c r="BV67" s="34" t="str">
        <f>IFERROR(__xludf.DUMMYFUNCTION("""COMPUTED_VALUE"""),"https://techcombank.com/thong-tin/blog/nen-mua-xe-tra-gop-hay-tra-thang")</f>
        <v>https://techcombank.com/thong-tin/blog/nen-mua-xe-tra-gop-hay-tra-thang</v>
      </c>
      <c r="BW67" s="30" t="str">
        <f>IFERROR(__xludf.DUMMYFUNCTION("""COMPUTED_VALUE"""),"tính lãi suất vay ngân hàng")</f>
        <v>tính lãi suất vay ngân hàng</v>
      </c>
      <c r="BX67" s="34" t="str">
        <f>IFERROR(__xludf.DUMMYFUNCTION("""COMPUTED_VALUE"""),"https://techcombank.com/thong-tin/blog/vay-15-trieu")</f>
        <v>https://techcombank.com/thong-tin/blog/vay-15-trieu</v>
      </c>
      <c r="BY67" s="30" t="str">
        <f>IFERROR(__xludf.DUMMYFUNCTION("""COMPUTED_VALUE"""),"tính lãi vay ngân hàng")</f>
        <v>tính lãi vay ngân hàng</v>
      </c>
      <c r="BZ67" s="34" t="str">
        <f>IFERROR(__xludf.DUMMYFUNCTION("""COMPUTED_VALUE"""),"https://techcombank.com/thong-tin/blog/lai-suat-vay-tieu-dung")</f>
        <v>https://techcombank.com/thong-tin/blog/lai-suat-vay-tieu-dung</v>
      </c>
      <c r="CA67" s="30" t="str">
        <f>IFERROR(__xludf.DUMMYFUNCTION("""COMPUTED_VALUE"""),"tính lãi suất vay ngân hàng")</f>
        <v>tính lãi suất vay ngân hàng</v>
      </c>
      <c r="CB67" s="34" t="str">
        <f>IFERROR(__xludf.DUMMYFUNCTION("""COMPUTED_VALUE"""),"https://techcombank.com/thong-tin/blog/cong-ty-su-dung-tai-khoan-ca-nhan")</f>
        <v>https://techcombank.com/thong-tin/blog/cong-ty-su-dung-tai-khoan-ca-nhan</v>
      </c>
      <c r="CC67" s="30" t="str">
        <f>IFERROR(__xludf.DUMMYFUNCTION("""COMPUTED_VALUE"""),"tính lãi vay ngân hàng")</f>
        <v>tính lãi vay ngân hàng</v>
      </c>
      <c r="CD67" s="34" t="str">
        <f>IFERROR(__xludf.DUMMYFUNCTION("""COMPUTED_VALUE"""),"https://techcombank.com/thong-tin/blog/vay-30-trieu")</f>
        <v>https://techcombank.com/thong-tin/blog/vay-30-trieu</v>
      </c>
      <c r="CE67" s="30" t="str">
        <f>IFERROR(__xludf.DUMMYFUNCTION("""COMPUTED_VALUE"""),"tính lãi suất vay ngân hàng")</f>
        <v>tính lãi suất vay ngân hàng</v>
      </c>
      <c r="CF67" s="34" t="str">
        <f>IFERROR(__xludf.DUMMYFUNCTION("""COMPUTED_VALUE"""),"https://techcombank.com/thong-tin/blog/thu-tuc-vay-von-ngan-hang-de-xay-nha")</f>
        <v>https://techcombank.com/thong-tin/blog/thu-tuc-vay-von-ngan-hang-de-xay-nha</v>
      </c>
      <c r="CG67" s="30" t="str">
        <f>IFERROR(__xludf.DUMMYFUNCTION("""COMPUTED_VALUE"""),"tính lãi vay ngân hàng")</f>
        <v>tính lãi vay ngân hàng</v>
      </c>
      <c r="CH67" s="34" t="str">
        <f>IFERROR(__xludf.DUMMYFUNCTION("""COMPUTED_VALUE"""),"https://techcombank.com/thong-tin/blog/cach-su-dung-the-tin-dung")</f>
        <v>https://techcombank.com/thong-tin/blog/cach-su-dung-the-tin-dung</v>
      </c>
      <c r="CI67" s="30" t="str">
        <f>IFERROR(__xludf.DUMMYFUNCTION("""COMPUTED_VALUE"""),"tính lãi suất vay ngân hàng")</f>
        <v>tính lãi suất vay ngân hàng</v>
      </c>
      <c r="CJ67" s="34" t="str">
        <f>IFERROR(__xludf.DUMMYFUNCTION("""COMPUTED_VALUE"""),"https://techcombank.com/thong-tin/blog/khach-hang-vip-bat-dong-san")</f>
        <v>https://techcombank.com/thong-tin/blog/khach-hang-vip-bat-dong-san</v>
      </c>
      <c r="CK67" s="30" t="str">
        <f>IFERROR(__xludf.DUMMYFUNCTION("""COMPUTED_VALUE"""),"tính lãi vay ngân hàng")</f>
        <v>tính lãi vay ngân hàng</v>
      </c>
      <c r="CL67" s="34" t="str">
        <f>IFERROR(__xludf.DUMMYFUNCTION("""COMPUTED_VALUE"""),"https://techcombank.com/thong-tin/blog/kinh-nghiem-vay-tien-ngan-hang-xay-nha")</f>
        <v>https://techcombank.com/thong-tin/blog/kinh-nghiem-vay-tien-ngan-hang-xay-nha</v>
      </c>
      <c r="CM67" s="30" t="str">
        <f>IFERROR(__xludf.DUMMYFUNCTION("""COMPUTED_VALUE"""),"tính lãi vay ngân hàng")</f>
        <v>tính lãi vay ngân hàng</v>
      </c>
      <c r="CN67" s="34" t="str">
        <f>IFERROR(__xludf.DUMMYFUNCTION("""COMPUTED_VALUE"""),"https://techcombank.com/thong-tin/blog/vay-tin-chap-theo-luong")</f>
        <v>https://techcombank.com/thong-tin/blog/vay-tin-chap-theo-luong</v>
      </c>
      <c r="CO67" s="30" t="str">
        <f>IFERROR(__xludf.DUMMYFUNCTION("""COMPUTED_VALUE"""),"tính lãi suất vay ngân hàng")</f>
        <v>tính lãi suất vay ngân hàng</v>
      </c>
      <c r="CP67" s="34" t="str">
        <f>IFERROR(__xludf.DUMMYFUNCTION("""COMPUTED_VALUE"""),"https://techcombank.com/thong-tin/blog/tra-gop-qua-the-tin-dung")</f>
        <v>https://techcombank.com/thong-tin/blog/tra-gop-qua-the-tin-dung</v>
      </c>
      <c r="CQ67" s="30" t="str">
        <f>IFERROR(__xludf.DUMMYFUNCTION("""COMPUTED_VALUE"""),"tính lãi suất vay ngân hàng")</f>
        <v>tính lãi suất vay ngân hàng</v>
      </c>
      <c r="CR67" s="34" t="str">
        <f>IFERROR(__xludf.DUMMYFUNCTION("""COMPUTED_VALUE"""),"https://techcombank.com/thong-tin/blog/tien-nhan-roi-nen-lam-gi")</f>
        <v>https://techcombank.com/thong-tin/blog/tien-nhan-roi-nen-lam-gi</v>
      </c>
      <c r="CS67" s="30" t="str">
        <f>IFERROR(__xludf.DUMMYFUNCTION("""COMPUTED_VALUE"""),"tính lãi vay ngân hàng")</f>
        <v>tính lãi vay ngân hàng</v>
      </c>
      <c r="CT67" s="34" t="str">
        <f>IFERROR(__xludf.DUMMYFUNCTION("""COMPUTED_VALUE"""),"https://techcombank.com/thong-tin/blog/cach-su-dung-the-visa-techcombank")</f>
        <v>https://techcombank.com/thong-tin/blog/cach-su-dung-the-visa-techcombank</v>
      </c>
      <c r="CU67" s="30" t="str">
        <f>IFERROR(__xludf.DUMMYFUNCTION("""COMPUTED_VALUE"""),"tính lãi vay ngân hàng")</f>
        <v>tính lãi vay ngân hàng</v>
      </c>
      <c r="CV67" s="34" t="str">
        <f>IFERROR(__xludf.DUMMYFUNCTION("""COMPUTED_VALUE"""),"https://techcombank.com/thong-tin/blog/lai-suat-vay-ngan-hang")</f>
        <v>https://techcombank.com/thong-tin/blog/lai-suat-vay-ngan-hang</v>
      </c>
      <c r="CW67" s="30" t="str">
        <f>IFERROR(__xludf.DUMMYFUNCTION("""COMPUTED_VALUE"""),"tính lãi vay ngân hàng")</f>
        <v>tính lãi vay ngân hàng</v>
      </c>
      <c r="CX67" s="34" t="str">
        <f>IFERROR(__xludf.DUMMYFUNCTION("""COMPUTED_VALUE"""),"https://techcombank.com/thong-tin/blog/du-no-tin-dung-la-gi")</f>
        <v>https://techcombank.com/thong-tin/blog/du-no-tin-dung-la-gi</v>
      </c>
      <c r="CY67" s="30" t="str">
        <f>IFERROR(__xludf.DUMMYFUNCTION("""COMPUTED_VALUE"""),"tính lãi suất vay ngân hàng")</f>
        <v>tính lãi suất vay ngân hàng</v>
      </c>
      <c r="CZ67" s="34" t="str">
        <f>IFERROR(__xludf.DUMMYFUNCTION("""COMPUTED_VALUE"""),"https://techcombank.com/thong-tin/blog/mua-nha-tra-gop-dua-truoc-100-trieu")</f>
        <v>https://techcombank.com/thong-tin/blog/mua-nha-tra-gop-dua-truoc-100-trieu</v>
      </c>
      <c r="DA67" s="30" t="str">
        <f>IFERROR(__xludf.DUMMYFUNCTION("""COMPUTED_VALUE"""),"tính lãi vay ngân hàng")</f>
        <v>tính lãi vay ngân hàng</v>
      </c>
      <c r="DB67" s="34" t="str">
        <f>IFERROR(__xludf.DUMMYFUNCTION("""COMPUTED_VALUE"""),"https://techcombank.com/thong-tin/blog/vay-han-muc-la-gi")</f>
        <v>https://techcombank.com/thong-tin/blog/vay-han-muc-la-gi</v>
      </c>
      <c r="DC67" s="30" t="str">
        <f>IFERROR(__xludf.DUMMYFUNCTION("""COMPUTED_VALUE"""),"tính lãi vay ngân hàng")</f>
        <v>tính lãi vay ngân hàng</v>
      </c>
      <c r="DD67" s="34" t="str">
        <f>IFERROR(__xludf.DUMMYFUNCTION("""COMPUTED_VALUE"""),"https://techcombank.com/thong-tin/blog/lai-suat-vay-mua-o-to")</f>
        <v>https://techcombank.com/thong-tin/blog/lai-suat-vay-mua-o-to</v>
      </c>
      <c r="DE67" s="30" t="str">
        <f>IFERROR(__xludf.DUMMYFUNCTION("""COMPUTED_VALUE"""),"tính lãi vay ngân hàng")</f>
        <v>tính lãi vay ngân hàng</v>
      </c>
      <c r="DF67" s="34" t="str">
        <f>IFERROR(__xludf.DUMMYFUNCTION("""COMPUTED_VALUE"""),"https://techcombank.com/thong-tin/blog/no-xau-nhom-2")</f>
        <v>https://techcombank.com/thong-tin/blog/no-xau-nhom-2</v>
      </c>
      <c r="DG67" s="30" t="str">
        <f>IFERROR(__xludf.DUMMYFUNCTION("""COMPUTED_VALUE"""),"tính lãi suất vay ngân hàng")</f>
        <v>tính lãi suất vay ngân hàng</v>
      </c>
      <c r="DH67" s="34" t="str">
        <f>IFERROR(__xludf.DUMMYFUNCTION("""COMPUTED_VALUE"""),"https://techcombank.com/thong-tin/blog/lai-suat-vay-tin-chap")</f>
        <v>https://techcombank.com/thong-tin/blog/lai-suat-vay-tin-chap</v>
      </c>
      <c r="DI67" s="30" t="str">
        <f>IFERROR(__xludf.DUMMYFUNCTION("""COMPUTED_VALUE"""),"tính lãi suất vay ngân hàng")</f>
        <v>tính lãi suất vay ngân hàng</v>
      </c>
      <c r="DJ67" s="34" t="str">
        <f>IFERROR(__xludf.DUMMYFUNCTION("""COMPUTED_VALUE"""),"https://techcombank.com/thong-tin/blog/co-100-trieu-co-mua-nen-mua-tra-gop")</f>
        <v>https://techcombank.com/thong-tin/blog/co-100-trieu-co-mua-nen-mua-tra-gop</v>
      </c>
      <c r="DK67" s="30" t="str">
        <f>IFERROR(__xludf.DUMMYFUNCTION("""COMPUTED_VALUE"""),"tính lãi suất vay ngân hàng")</f>
        <v>tính lãi suất vay ngân hàng</v>
      </c>
      <c r="DL67" s="34" t="str">
        <f>IFERROR(__xludf.DUMMYFUNCTION("""COMPUTED_VALUE"""),"https://techcombank.com/thong-tin/blog/nen-de-tien-trong-the-hay-gui-tiet-kiem")</f>
        <v>https://techcombank.com/thong-tin/blog/nen-de-tien-trong-the-hay-gui-tiet-kiem</v>
      </c>
      <c r="DM67" s="30" t="str">
        <f>IFERROR(__xludf.DUMMYFUNCTION("""COMPUTED_VALUE"""),"tính lãi suất vay ngân hàng")</f>
        <v>tính lãi suất vay ngân hàng</v>
      </c>
      <c r="DN67" s="34" t="str">
        <f>IFERROR(__xludf.DUMMYFUNCTION("""COMPUTED_VALUE"""),"https://techcombank.com/thong-tin/blog/mo-so-tiet-kiem-can-bao-nhieu-tien")</f>
        <v>https://techcombank.com/thong-tin/blog/mo-so-tiet-kiem-can-bao-nhieu-tien</v>
      </c>
      <c r="DO67" s="30" t="str">
        <f>IFERROR(__xludf.DUMMYFUNCTION("""COMPUTED_VALUE"""),"tính lãi suất vay ngân hàng")</f>
        <v>tính lãi suất vay ngân hàng</v>
      </c>
      <c r="DP67" s="34" t="str">
        <f>IFERROR(__xludf.DUMMYFUNCTION("""COMPUTED_VALUE"""),"https://techcombank.com/thong-tin/blog/quy-trinh-cho-vay-tieu-dung")</f>
        <v>https://techcombank.com/thong-tin/blog/quy-trinh-cho-vay-tieu-dung</v>
      </c>
      <c r="DQ67" s="30" t="str">
        <f>IFERROR(__xludf.DUMMYFUNCTION("""COMPUTED_VALUE"""),"tính lãi vay ngân hàng")</f>
        <v>tính lãi vay ngân hàng</v>
      </c>
      <c r="DR67" s="34" t="str">
        <f>IFERROR(__xludf.DUMMYFUNCTION("""COMPUTED_VALUE"""),"https://techcombank.com/thong-tin/blog/vay-20-trieu")</f>
        <v>https://techcombank.com/thong-tin/blog/vay-20-trieu</v>
      </c>
      <c r="DS67" s="30" t="str">
        <f>IFERROR(__xludf.DUMMYFUNCTION("""COMPUTED_VALUE"""),"tính lãi suất vay ngân hàng")</f>
        <v>tính lãi suất vay ngân hàng</v>
      </c>
      <c r="DT67" s="34" t="str">
        <f>IFERROR(__xludf.DUMMYFUNCTION("""COMPUTED_VALUE"""),"https://techcombank.com/thong-tin/blog/co-nen-gui-tiet-kiem-online")</f>
        <v>https://techcombank.com/thong-tin/blog/co-nen-gui-tiet-kiem-online</v>
      </c>
      <c r="DU67" s="30" t="str">
        <f>IFERROR(__xludf.DUMMYFUNCTION("""COMPUTED_VALUE"""),"tính lãi suất vay ngân hàng")</f>
        <v>tính lãi suất vay ngân hàng</v>
      </c>
      <c r="DV67" s="34" t="str">
        <f>IFERROR(__xludf.DUMMYFUNCTION("""COMPUTED_VALUE"""),"https://techcombank.com/thong-tin/blog/vay-tin-chap-la-gi")</f>
        <v>https://techcombank.com/thong-tin/blog/vay-tin-chap-la-gi</v>
      </c>
      <c r="DW67" s="30" t="str">
        <f>IFERROR(__xludf.DUMMYFUNCTION("""COMPUTED_VALUE"""),"tính lãi suất vay ngân hàng")</f>
        <v>tính lãi suất vay ngân hàng</v>
      </c>
      <c r="DX67" s="34" t="str">
        <f>IFERROR(__xludf.DUMMYFUNCTION("""COMPUTED_VALUE"""),"https://techcombank.com/thong-tin/blog/vay-mua-dien-thoai")</f>
        <v>https://techcombank.com/thong-tin/blog/vay-mua-dien-thoai</v>
      </c>
      <c r="DY67" s="30" t="str">
        <f>IFERROR(__xludf.DUMMYFUNCTION("""COMPUTED_VALUE"""),"tính lãi suất vay ngân hàng")</f>
        <v>tính lãi suất vay ngân hàng</v>
      </c>
      <c r="DZ67" s="34" t="str">
        <f>IFERROR(__xludf.DUMMYFUNCTION("""COMPUTED_VALUE"""),"https://techcombank.com/thong-tin/blog/vay-the-chap-hop-dong-mua-ban-can-ho")</f>
        <v>https://techcombank.com/thong-tin/blog/vay-the-chap-hop-dong-mua-ban-can-ho</v>
      </c>
      <c r="EA67" s="30" t="str">
        <f>IFERROR(__xludf.DUMMYFUNCTION("""COMPUTED_VALUE"""),"tính lãi suất vay ngân hàng")</f>
        <v>tính lãi suất vay ngân hàng</v>
      </c>
      <c r="EB67" s="34" t="str">
        <f>IFERROR(__xludf.DUMMYFUNCTION("""COMPUTED_VALUE"""),"https://techcombank.com/thong-tin/blog/lai-suat-cho-vay-doanh-nghiep")</f>
        <v>https://techcombank.com/thong-tin/blog/lai-suat-cho-vay-doanh-nghiep</v>
      </c>
      <c r="EC67" s="30" t="str">
        <f>IFERROR(__xludf.DUMMYFUNCTION("""COMPUTED_VALUE"""),"tính lãi vay ngân hàng")</f>
        <v>tính lãi vay ngân hàng</v>
      </c>
      <c r="ED67" s="34" t="str">
        <f>IFERROR(__xludf.DUMMYFUNCTION("""COMPUTED_VALUE"""),"https://techcombank.com/thong-tin/blog/vay-thau-chi-bang-so-tiet-kiem")</f>
        <v>https://techcombank.com/thong-tin/blog/vay-thau-chi-bang-so-tiet-kiem</v>
      </c>
      <c r="EE67" s="30" t="str">
        <f>IFERROR(__xludf.DUMMYFUNCTION("""COMPUTED_VALUE"""),"tính lãi vay ngân hàng")</f>
        <v>tính lãi vay ngân hàng</v>
      </c>
      <c r="EF67" s="34" t="str">
        <f>IFERROR(__xludf.DUMMYFUNCTION("""COMPUTED_VALUE"""),"https://techcombank.com/thong-tin/blog/lai-suat-ngan-hang-cho-vay-xay-nha")</f>
        <v>https://techcombank.com/thong-tin/blog/lai-suat-ngan-hang-cho-vay-xay-nha</v>
      </c>
      <c r="EG67" s="30" t="str">
        <f>IFERROR(__xludf.DUMMYFUNCTION("""COMPUTED_VALUE"""),"tính lãi vay ngân hàng")</f>
        <v>tính lãi vay ngân hàng</v>
      </c>
      <c r="EH67" s="34" t="str">
        <f>IFERROR(__xludf.DUMMYFUNCTION("""COMPUTED_VALUE"""),"https://techcombank.com/thong-tin/blog/lai-suat-tha-noi")</f>
        <v>https://techcombank.com/thong-tin/blog/lai-suat-tha-noi</v>
      </c>
      <c r="EI67" s="30" t="str">
        <f>IFERROR(__xludf.DUMMYFUNCTION("""COMPUTED_VALUE"""),"tính lãi vay ngân hàng")</f>
        <v>tính lãi vay ngân hàng</v>
      </c>
      <c r="EJ67" s="34" t="str">
        <f>IFERROR(__xludf.DUMMYFUNCTION("""COMPUTED_VALUE"""),"https://techcombank.com/thong-tin/blog/tra-no-vay-thau-chi-nhu-the-nao")</f>
        <v>https://techcombank.com/thong-tin/blog/tra-no-vay-thau-chi-nhu-the-nao</v>
      </c>
      <c r="EK67" s="30" t="str">
        <f>IFERROR(__xludf.DUMMYFUNCTION("""COMPUTED_VALUE"""),"tính lãi suất vay ngân hàng")</f>
        <v>tính lãi suất vay ngân hàng</v>
      </c>
      <c r="EL67" s="34" t="str">
        <f>IFERROR(__xludf.DUMMYFUNCTION("""COMPUTED_VALUE"""),"https://techcombank.com/thong-tin/blog/tin-chap-doanh-nghiep")</f>
        <v>https://techcombank.com/thong-tin/blog/tin-chap-doanh-nghiep</v>
      </c>
      <c r="EM67" s="30" t="str">
        <f>IFERROR(__xludf.DUMMYFUNCTION("""COMPUTED_VALUE"""),"tính lãi suất vay ngân hàng")</f>
        <v>tính lãi suất vay ngân hàng</v>
      </c>
      <c r="EN67" s="34" t="str">
        <f>IFERROR(__xludf.DUMMYFUNCTION("""COMPUTED_VALUE"""),"https://techcombank.com/thong-tin/blog/vay-the-chap-xe-o-to-cu")</f>
        <v>https://techcombank.com/thong-tin/blog/vay-the-chap-xe-o-to-cu</v>
      </c>
      <c r="EO67" s="30" t="str">
        <f>IFERROR(__xludf.DUMMYFUNCTION("""COMPUTED_VALUE"""),"tính lãi suất vay ngân hàng")</f>
        <v>tính lãi suất vay ngân hàng</v>
      </c>
      <c r="EP67" s="34" t="str">
        <f>IFERROR(__xludf.DUMMYFUNCTION("""COMPUTED_VALUE"""),"https://techcombank.com/thong-tin/blog/vay-san-xuat-kinh-doanh")</f>
        <v>https://techcombank.com/thong-tin/blog/vay-san-xuat-kinh-doanh</v>
      </c>
      <c r="EQ67" s="30" t="str">
        <f>IFERROR(__xludf.DUMMYFUNCTION("""COMPUTED_VALUE"""),"tính lãi suất vay ngân hàng")</f>
        <v>tính lãi suất vay ngân hàng</v>
      </c>
      <c r="ER67" s="34" t="str">
        <f>IFERROR(__xludf.DUMMYFUNCTION("""COMPUTED_VALUE"""),"https://techcombank.com/thong-tin/blog/nen-vay-tin-chap-o-dau")</f>
        <v>https://techcombank.com/thong-tin/blog/nen-vay-tin-chap-o-dau</v>
      </c>
      <c r="ES67" s="30" t="str">
        <f>IFERROR(__xludf.DUMMYFUNCTION("""COMPUTED_VALUE"""),"tính lãi suất vay ngân hàng")</f>
        <v>tính lãi suất vay ngân hàng</v>
      </c>
      <c r="ET67" s="34" t="str">
        <f>IFERROR(__xludf.DUMMYFUNCTION("""COMPUTED_VALUE"""),"https://techcombank.com/thong-tin/blog/cach-tiet-kiem-tien")</f>
        <v>https://techcombank.com/thong-tin/blog/cach-tiet-kiem-tien</v>
      </c>
      <c r="EU67" s="30" t="str">
        <f>IFERROR(__xludf.DUMMYFUNCTION("""COMPUTED_VALUE"""),"tính lãi suất vay ngân hàng")</f>
        <v>tính lãi suất vay ngân hàng</v>
      </c>
      <c r="EV67" s="34" t="str">
        <f>IFERROR(__xludf.DUMMYFUNCTION("""COMPUTED_VALUE"""),"https://techcombank.com/thong-tin/blog/vay-the-chap-kinh-doanh")</f>
        <v>https://techcombank.com/thong-tin/blog/vay-the-chap-kinh-doanh</v>
      </c>
      <c r="EW67" s="30" t="str">
        <f>IFERROR(__xludf.DUMMYFUNCTION("""COMPUTED_VALUE"""),"tính lãi vay ngân hàng")</f>
        <v>tính lãi vay ngân hàng</v>
      </c>
      <c r="EX67" s="34" t="str">
        <f>IFERROR(__xludf.DUMMYFUNCTION("""COMPUTED_VALUE"""),"https://techcombank.com/thong-tin/blog/giai-ngan-vay-the-chap")</f>
        <v>https://techcombank.com/thong-tin/blog/giai-ngan-vay-the-chap</v>
      </c>
      <c r="EY67" s="30" t="str">
        <f>IFERROR(__xludf.DUMMYFUNCTION("""COMPUTED_VALUE"""),"tính lãi vay ngân hàng")</f>
        <v>tính lãi vay ngân hàng</v>
      </c>
      <c r="EZ67" s="34" t="str">
        <f>IFERROR(__xludf.DUMMYFUNCTION("""COMPUTED_VALUE"""),"https://techcombank.com/thong-tin/blog/vay-the-chap-toi-da-duoc-bao-nhieu")</f>
        <v>https://techcombank.com/thong-tin/blog/vay-the-chap-toi-da-duoc-bao-nhieu</v>
      </c>
      <c r="FA67" s="30" t="str">
        <f>IFERROR(__xludf.DUMMYFUNCTION("""COMPUTED_VALUE"""),"tính lãi vay ngân hàng")</f>
        <v>tính lãi vay ngân hàng</v>
      </c>
      <c r="FB67" s="34" t="str">
        <f>IFERROR(__xludf.DUMMYFUNCTION("""COMPUTED_VALUE"""),"https://techcombank.com/thong-tin/blog/cac-hinh-thuc-cho-vay-tieu-dung")</f>
        <v>https://techcombank.com/thong-tin/blog/cac-hinh-thuc-cho-vay-tieu-dung</v>
      </c>
      <c r="FC67" s="30" t="str">
        <f>IFERROR(__xludf.DUMMYFUNCTION("""COMPUTED_VALUE"""),"tính lãi suất vay ngân hàng")</f>
        <v>tính lãi suất vay ngân hàng</v>
      </c>
      <c r="FD67" s="34" t="str">
        <f>IFERROR(__xludf.DUMMYFUNCTION("""COMPUTED_VALUE"""),"https://techcombank.com/thong-tin/blog/vay-ngan-han")</f>
        <v>https://techcombank.com/thong-tin/blog/vay-ngan-han</v>
      </c>
      <c r="FE67" s="30" t="str">
        <f>IFERROR(__xludf.DUMMYFUNCTION("""COMPUTED_VALUE"""),"tính lãi suất vay ngân hàng")</f>
        <v>tính lãi suất vay ngân hàng</v>
      </c>
      <c r="FF67" s="34" t="str">
        <f>IFERROR(__xludf.DUMMYFUNCTION("""COMPUTED_VALUE"""),"https://techcombank.com/thong-tin/blog/cho-vay-kinh-doanh-ho-gia-dinh")</f>
        <v>https://techcombank.com/thong-tin/blog/cho-vay-kinh-doanh-ho-gia-dinh</v>
      </c>
      <c r="FG67" s="30" t="str">
        <f>IFERROR(__xludf.DUMMYFUNCTION("""COMPUTED_VALUE"""),"tính lãi suất vay ngân hàng")</f>
        <v>tính lãi suất vay ngân hàng</v>
      </c>
      <c r="FH67" s="34" t="str">
        <f>IFERROR(__xludf.DUMMYFUNCTION("""COMPUTED_VALUE"""),"https://techcombank.com/thong-tin/blog/vay-von-doanh-nghiep-nho")</f>
        <v>https://techcombank.com/thong-tin/blog/vay-von-doanh-nghiep-nho</v>
      </c>
      <c r="FI67" s="30" t="str">
        <f>IFERROR(__xludf.DUMMYFUNCTION("""COMPUTED_VALUE"""),"tính lãi suất vay ngân hàng")</f>
        <v>tính lãi suất vay ngân hàng</v>
      </c>
      <c r="FJ67" s="34" t="str">
        <f>IFERROR(__xludf.DUMMYFUNCTION("""COMPUTED_VALUE"""),"https://techcombank.com/thong-tin/blog/han-muc-thau-chi-la-gi")</f>
        <v>https://techcombank.com/thong-tin/blog/han-muc-thau-chi-la-gi</v>
      </c>
      <c r="FK67" s="30" t="str">
        <f>IFERROR(__xludf.DUMMYFUNCTION("""COMPUTED_VALUE"""),"tính lãi suất vay ngân hàng")</f>
        <v>tính lãi suất vay ngân hàng</v>
      </c>
      <c r="FL67" s="34" t="str">
        <f>IFERROR(__xludf.DUMMYFUNCTION("""COMPUTED_VALUE"""),"https://techcombank.com/thong-tin/blog/vay-tin-chap-toi-da-duoc-bao-nhieu")</f>
        <v>https://techcombank.com/thong-tin/blog/vay-tin-chap-toi-da-duoc-bao-nhieu</v>
      </c>
      <c r="FM67" s="30" t="str">
        <f>IFERROR(__xludf.DUMMYFUNCTION("""COMPUTED_VALUE"""),"tính lãi suất vay ngân hàng")</f>
        <v>tính lãi suất vay ngân hàng</v>
      </c>
      <c r="FN67" s="34" t="str">
        <f>IFERROR(__xludf.DUMMYFUNCTION("""COMPUTED_VALUE"""),"https://techcombank.com/thong-tin/blog/diem-tin-dung")</f>
        <v>https://techcombank.com/thong-tin/blog/diem-tin-dung</v>
      </c>
      <c r="FO67" s="30" t="str">
        <f>IFERROR(__xludf.DUMMYFUNCTION("""COMPUTED_VALUE"""),"tính lãi vay ngân hàng")</f>
        <v>tính lãi vay ngân hàng</v>
      </c>
      <c r="FP67" s="34" t="str">
        <f>IFERROR(__xludf.DUMMYFUNCTION("""COMPUTED_VALUE"""),"https://techcombank.com/thong-tin/blog/kinh-nghiem-vay-the-chap-ngan-hang")</f>
        <v>https://techcombank.com/thong-tin/blog/kinh-nghiem-vay-the-chap-ngan-hang</v>
      </c>
      <c r="FQ67" s="30" t="str">
        <f>IFERROR(__xludf.DUMMYFUNCTION("""COMPUTED_VALUE"""),"tính lãi suất vay ngân hàng")</f>
        <v>tính lãi suất vay ngân hàng</v>
      </c>
      <c r="FR67" s="34" t="str">
        <f>IFERROR(__xludf.DUMMYFUNCTION("""COMPUTED_VALUE"""),"https://techcombank.com/thong-tin/blog/cach-thanh-toan-the-tin-dung")</f>
        <v>https://techcombank.com/thong-tin/blog/cach-thanh-toan-the-tin-dung</v>
      </c>
      <c r="FS67" s="30" t="str">
        <f>IFERROR(__xludf.DUMMYFUNCTION("""COMPUTED_VALUE"""),"tính lãi vay ngân hàng")</f>
        <v>tính lãi vay ngân hàng</v>
      </c>
      <c r="FT67" s="34" t="str">
        <f>IFERROR(__xludf.DUMMYFUNCTION("""COMPUTED_VALUE"""),"https://techcombank.com/thong-tin/blog/no-nhom-3")</f>
        <v>https://techcombank.com/thong-tin/blog/no-nhom-3</v>
      </c>
      <c r="FU67" s="30" t="str">
        <f>IFERROR(__xludf.DUMMYFUNCTION("""COMPUTED_VALUE"""),"tính lãi suất vay ngân hàng")</f>
        <v>tính lãi suất vay ngân hàng</v>
      </c>
      <c r="FV67" s="34" t="str">
        <f>IFERROR(__xludf.DUMMYFUNCTION("""COMPUTED_VALUE"""),"https://techcombank.com/thong-tin/blog/vay-tien-mat")</f>
        <v>https://techcombank.com/thong-tin/blog/vay-tien-mat</v>
      </c>
      <c r="FW67" s="30" t="str">
        <f>IFERROR(__xludf.DUMMYFUNCTION("""COMPUTED_VALUE"""),"tính lãi vay ngân hàng")</f>
        <v>tính lãi vay ngân hàng</v>
      </c>
      <c r="FX67" s="34" t="str">
        <f>IFERROR(__xludf.DUMMYFUNCTION("""COMPUTED_VALUE"""),"https://techcombank.com/thong-tin/blog/han-muc-vay-the-chap-so-do")</f>
        <v>https://techcombank.com/thong-tin/blog/han-muc-vay-the-chap-so-do</v>
      </c>
      <c r="FY67" s="30" t="str">
        <f>IFERROR(__xludf.DUMMYFUNCTION("""COMPUTED_VALUE"""),"tính lãi vay ngân hàng")</f>
        <v>tính lãi vay ngân hàng</v>
      </c>
      <c r="FZ67" s="34" t="str">
        <f>IFERROR(__xludf.DUMMYFUNCTION("""COMPUTED_VALUE"""),"https://techcombank.com/thong-tin/blog/vay-sinh-vien")</f>
        <v>https://techcombank.com/thong-tin/blog/vay-sinh-vien</v>
      </c>
      <c r="GA67" s="30" t="str">
        <f>IFERROR(__xludf.DUMMYFUNCTION("""COMPUTED_VALUE"""),"tính lãi vay ngân hàng")</f>
        <v>tính lãi vay ngân hàng</v>
      </c>
      <c r="GB67" s="34" t="str">
        <f>IFERROR(__xludf.DUMMYFUNCTION("""COMPUTED_VALUE"""),"https://techcombank.com/thong-tin/blog/vay-tin-chap-no-xau")</f>
        <v>https://techcombank.com/thong-tin/blog/vay-tin-chap-no-xau</v>
      </c>
      <c r="GC67" s="30" t="str">
        <f>IFERROR(__xludf.DUMMYFUNCTION("""COMPUTED_VALUE"""),"tính lãi vay ngân hàng")</f>
        <v>tính lãi vay ngân hàng</v>
      </c>
      <c r="GD67" s="34" t="str">
        <f>IFERROR(__xludf.DUMMYFUNCTION("""COMPUTED_VALUE"""),"https://techcombank.com/thong-tin/blog/no-xau-co-vay-the-chap-duoc-khong")</f>
        <v>https://techcombank.com/thong-tin/blog/no-xau-co-vay-the-chap-duoc-khong</v>
      </c>
      <c r="GE67" s="30" t="str">
        <f>IFERROR(__xludf.DUMMYFUNCTION("""COMPUTED_VALUE"""),"tính lãi suất vay ngân hàng")</f>
        <v>tính lãi suất vay ngân hàng</v>
      </c>
      <c r="GF67" s="34" t="str">
        <f>IFERROR(__xludf.DUMMYFUNCTION("""COMPUTED_VALUE"""),"https://techcombank.com/thong-tin/blog/thu-tuc-vay-von-kinh-doanh-nho")</f>
        <v>https://techcombank.com/thong-tin/blog/thu-tuc-vay-von-kinh-doanh-nho</v>
      </c>
      <c r="GG67" s="30" t="str">
        <f>IFERROR(__xludf.DUMMYFUNCTION("""COMPUTED_VALUE"""),"tính lãi vay ngân hàng")</f>
        <v>tính lãi vay ngân hàng</v>
      </c>
      <c r="GH67" s="34" t="str">
        <f>IFERROR(__xludf.DUMMYFUNCTION("""COMPUTED_VALUE"""),"https://techcombank.com/thong-tin/blog/vay-thau-chi-la-gi")</f>
        <v>https://techcombank.com/thong-tin/blog/vay-thau-chi-la-gi</v>
      </c>
      <c r="GI67" s="30" t="str">
        <f>IFERROR(__xludf.DUMMYFUNCTION("""COMPUTED_VALUE"""),"tính lãi vay ngân hàng")</f>
        <v>tính lãi vay ngân hàng</v>
      </c>
      <c r="GJ67" s="34" t="str">
        <f>IFERROR(__xludf.DUMMYFUNCTION("""COMPUTED_VALUE"""),"https://techcombank.com/thong-tin/blog/vay-tin-chap-khong-tra-duoc-co-sao-khong")</f>
        <v>https://techcombank.com/thong-tin/blog/vay-tin-chap-khong-tra-duoc-co-sao-khong</v>
      </c>
      <c r="GK67" s="30" t="str">
        <f>IFERROR(__xludf.DUMMYFUNCTION("""COMPUTED_VALUE"""),"tính lãi suất vay ngân hàng")</f>
        <v>tính lãi suất vay ngân hàng</v>
      </c>
      <c r="GL67" s="34" t="str">
        <f>IFERROR(__xludf.DUMMYFUNCTION("""COMPUTED_VALUE"""),"https://techcombank.com/thong-tin/blog/vay-von-doanh-nghiep-khong-the-chap")</f>
        <v>https://techcombank.com/thong-tin/blog/vay-von-doanh-nghiep-khong-the-chap</v>
      </c>
      <c r="GM67" s="30" t="str">
        <f>IFERROR(__xludf.DUMMYFUNCTION("""COMPUTED_VALUE"""),"tính lãi suất vay ngân hàng")</f>
        <v>tính lãi suất vay ngân hàng</v>
      </c>
      <c r="GN67" s="34" t="str">
        <f>IFERROR(__xludf.DUMMYFUNCTION("""COMPUTED_VALUE"""),"https://techcombank.com/thong-tin/blog/vay-tin-chap-cho-doanh-nghiep-moi-thanh-lap")</f>
        <v>https://techcombank.com/thong-tin/blog/vay-tin-chap-cho-doanh-nghiep-moi-thanh-lap</v>
      </c>
      <c r="GO67" s="30" t="str">
        <f>IFERROR(__xludf.DUMMYFUNCTION("""COMPUTED_VALUE"""),"tính lãi suất vay ngân hàng")</f>
        <v>tính lãi suất vay ngân hàng</v>
      </c>
      <c r="GP67" s="34" t="str">
        <f>IFERROR(__xludf.DUMMYFUNCTION("""COMPUTED_VALUE"""),"https://techcombank.com/thong-tin/blog/vay-kinh-doanh-online")</f>
        <v>https://techcombank.com/thong-tin/blog/vay-kinh-doanh-online</v>
      </c>
      <c r="GQ67" s="30" t="str">
        <f>IFERROR(__xludf.DUMMYFUNCTION("""COMPUTED_VALUE"""),"tính lãi suất vay ngân hàng")</f>
        <v>tính lãi suất vay ngân hàng</v>
      </c>
      <c r="GR67" s="34" t="str">
        <f>IFERROR(__xludf.DUMMYFUNCTION("""COMPUTED_VALUE"""),"https://techcombank.com/thong-tin/blog/co-nen-vay-ngan-hang-mua-nha")</f>
        <v>https://techcombank.com/thong-tin/blog/co-nen-vay-ngan-hang-mua-nha</v>
      </c>
      <c r="GS67" s="30" t="str">
        <f>IFERROR(__xludf.DUMMYFUNCTION("""COMPUTED_VALUE"""),"tính lãi suất vay ngân hàng")</f>
        <v>tính lãi suất vay ngân hàng</v>
      </c>
      <c r="GT67" s="34" t="str">
        <f>IFERROR(__xludf.DUMMYFUNCTION("""COMPUTED_VALUE"""),"https://techcombank.com/thong-tin/blog/ho-so-vay-tin-chap")</f>
        <v>https://techcombank.com/thong-tin/blog/ho-so-vay-tin-chap</v>
      </c>
      <c r="GU67" s="30" t="str">
        <f>IFERROR(__xludf.DUMMYFUNCTION("""COMPUTED_VALUE"""),"tính lãi vay ngân hàng")</f>
        <v>tính lãi vay ngân hàng</v>
      </c>
      <c r="GV67" s="34" t="str">
        <f>IFERROR(__xludf.DUMMYFUNCTION("""COMPUTED_VALUE"""),"https://techcombank.com/thong-tin/blog/thu-tuc-vay-ngan-hang-mua-nha")</f>
        <v>https://techcombank.com/thong-tin/blog/thu-tuc-vay-ngan-hang-mua-nha</v>
      </c>
      <c r="GW67" s="30" t="str">
        <f>IFERROR(__xludf.DUMMYFUNCTION("""COMPUTED_VALUE"""),"tính lãi vay ngân hàng")</f>
        <v>tính lãi vay ngân hàng</v>
      </c>
      <c r="GX67" s="34" t="str">
        <f>IFERROR(__xludf.DUMMYFUNCTION("""COMPUTED_VALUE"""),"https://techcombank.com/thong-tin/blog/thoi-han-vay-thau-chi")</f>
        <v>https://techcombank.com/thong-tin/blog/thoi-han-vay-thau-chi</v>
      </c>
      <c r="GY67" s="30" t="str">
        <f>IFERROR(__xludf.DUMMYFUNCTION("""COMPUTED_VALUE"""),"tính lãi suất vay ngân hàng")</f>
        <v>tính lãi suất vay ngân hàng</v>
      </c>
      <c r="GZ67" s="34" t="str">
        <f>IFERROR(__xludf.DUMMYFUNCTION("""COMPUTED_VALUE"""),"https://techcombank.com/thong-tin/blog/phi-vay-the-chap")</f>
        <v>https://techcombank.com/thong-tin/blog/phi-vay-the-chap</v>
      </c>
      <c r="HA67" s="30" t="str">
        <f>IFERROR(__xludf.DUMMYFUNCTION("""COMPUTED_VALUE"""),"tính lãi suất vay ngân hàng")</f>
        <v>tính lãi suất vay ngân hàng</v>
      </c>
      <c r="HB67" s="34" t="str">
        <f>IFERROR(__xludf.DUMMYFUNCTION("""COMPUTED_VALUE"""),"https://techcombank.com/thong-tin/blog/the-chap-la-gi")</f>
        <v>https://techcombank.com/thong-tin/blog/the-chap-la-gi</v>
      </c>
      <c r="HC67" s="30" t="str">
        <f>IFERROR(__xludf.DUMMYFUNCTION("""COMPUTED_VALUE"""),"tính lãi vay ngân hàng")</f>
        <v>tính lãi vay ngân hàng</v>
      </c>
      <c r="HD67" s="34" t="str">
        <f>IFERROR(__xludf.DUMMYFUNCTION("""COMPUTED_VALUE"""),"https://techcombank.com/thong-tin/blog/vay-the-chap-khong-chung-minh-thu-nhap")</f>
        <v>https://techcombank.com/thong-tin/blog/vay-the-chap-khong-chung-minh-thu-nhap</v>
      </c>
      <c r="HE67" s="30" t="str">
        <f>IFERROR(__xludf.DUMMYFUNCTION("""COMPUTED_VALUE"""),"tính lãi suất vay ngân hàng")</f>
        <v>tính lãi suất vay ngân hàng</v>
      </c>
      <c r="HF67" s="34" t="str">
        <f>IFERROR(__xludf.DUMMYFUNCTION("""COMPUTED_VALUE"""),"https://techcombank.com/thong-tin/blog/vay-the-chap-la-gi")</f>
        <v>https://techcombank.com/thong-tin/blog/vay-the-chap-la-gi</v>
      </c>
      <c r="HG67" s="30" t="str">
        <f>IFERROR(__xludf.DUMMYFUNCTION("""COMPUTED_VALUE"""),"tính lãi suất vay ngân hàng")</f>
        <v>tính lãi suất vay ngân hàng</v>
      </c>
      <c r="HH67" s="34" t="str">
        <f>IFERROR(__xludf.DUMMYFUNCTION("""COMPUTED_VALUE"""),"https://techcombank.com/thong-tin/blog/vay-bo-sung-von-luu-dong")</f>
        <v>https://techcombank.com/thong-tin/blog/vay-bo-sung-von-luu-dong</v>
      </c>
      <c r="HI67" s="30" t="str">
        <f>IFERROR(__xludf.DUMMYFUNCTION("""COMPUTED_VALUE"""),"bảng tính lãi suất vay ngân hàng")</f>
        <v>bảng tính lãi suất vay ngân hàng</v>
      </c>
      <c r="HJ67" s="34" t="str">
        <f>IFERROR(__xludf.DUMMYFUNCTION("""COMPUTED_VALUE"""),"https://techcombank.com/thong-tin/blog/cong-thuc-tinh-lai-suat-thuc")</f>
        <v>https://techcombank.com/thong-tin/blog/cong-thuc-tinh-lai-suat-thuc</v>
      </c>
      <c r="HK67" s="30" t="str">
        <f>IFERROR(__xludf.DUMMYFUNCTION("""COMPUTED_VALUE"""),"tính lãi vay ngân hàng")</f>
        <v>tính lãi vay ngân hàng</v>
      </c>
      <c r="HL67" s="34" t="str">
        <f>IFERROR(__xludf.DUMMYFUNCTION("""COMPUTED_VALUE"""),"https://techcombank.com/thong-tin/blog/vay-the-chap-so-bao-hiem-xa-hoi")</f>
        <v>https://techcombank.com/thong-tin/blog/vay-the-chap-so-bao-hiem-xa-hoi</v>
      </c>
      <c r="HM67" s="30" t="str">
        <f>IFERROR(__xludf.DUMMYFUNCTION("""COMPUTED_VALUE"""),"tính lãi suất vay ngân hàng")</f>
        <v>tính lãi suất vay ngân hàng</v>
      </c>
      <c r="HN67" s="34" t="str">
        <f>IFERROR(__xludf.DUMMYFUNCTION("""COMPUTED_VALUE"""),"https://techcombank.com/thong-tin/blog/nen-vay-the-chap-ngan-hang-nao")</f>
        <v>https://techcombank.com/thong-tin/blog/nen-vay-the-chap-ngan-hang-nao</v>
      </c>
      <c r="HO67" s="30" t="str">
        <f>IFERROR(__xludf.DUMMYFUNCTION("""COMPUTED_VALUE"""),"tính lãi suất vay ngân hàng")</f>
        <v>tính lãi suất vay ngân hàng</v>
      </c>
      <c r="HP67" s="34" t="str">
        <f>IFERROR(__xludf.DUMMYFUNCTION("""COMPUTED_VALUE"""),"https://techcombank.com/thong-tin/blog/tin-dung-la-gi")</f>
        <v>https://techcombank.com/thong-tin/blog/tin-dung-la-gi</v>
      </c>
      <c r="HQ67" s="30" t="str">
        <f>IFERROR(__xludf.DUMMYFUNCTION("""COMPUTED_VALUE"""),"tính lãi suất vay ngân hàng")</f>
        <v>tính lãi suất vay ngân hàng</v>
      </c>
      <c r="HR67" s="34" t="str">
        <f>IFERROR(__xludf.DUMMYFUNCTION("""COMPUTED_VALUE"""),"https://techcombank.com/thong-tin/blog/tien-gui-khong-ky-han")</f>
        <v>https://techcombank.com/thong-tin/blog/tien-gui-khong-ky-han</v>
      </c>
      <c r="HS67" s="30" t="str">
        <f>IFERROR(__xludf.DUMMYFUNCTION("""COMPUTED_VALUE"""),"tính lãi vay ngân hàng")</f>
        <v>tính lãi vay ngân hàng</v>
      </c>
      <c r="HT67" s="34" t="str">
        <f>IFERROR(__xludf.DUMMYFUNCTION("""COMPUTED_VALUE"""),"https://techcombank.com/thong-tin/blog/vay-mua-chung-cu")</f>
        <v>https://techcombank.com/thong-tin/blog/vay-mua-chung-cu</v>
      </c>
      <c r="HU67" s="30" t="str">
        <f>IFERROR(__xludf.DUMMYFUNCTION("""COMPUTED_VALUE"""),"tính lãi suất vay ngân hàng")</f>
        <v>tính lãi suất vay ngân hàng</v>
      </c>
      <c r="HV67" s="34" t="str">
        <f>IFERROR(__xludf.DUMMYFUNCTION("""COMPUTED_VALUE"""),"https://techcombank.com/thong-tin/blog/vay-50-trieu")</f>
        <v>https://techcombank.com/thong-tin/blog/vay-50-trieu</v>
      </c>
      <c r="HW67" s="30" t="str">
        <f>IFERROR(__xludf.DUMMYFUNCTION("""COMPUTED_VALUE"""),"tính lãi suất vay ngân hàng")</f>
        <v>tính lãi suất vay ngân hàng</v>
      </c>
      <c r="HX67" s="34" t="str">
        <f>IFERROR(__xludf.DUMMYFUNCTION("""COMPUTED_VALUE"""),"https://techcombank.com/thong-tin/blog/vay-tin-chap-ho-kinh-doanh")</f>
        <v>https://techcombank.com/thong-tin/blog/vay-tin-chap-ho-kinh-doanh</v>
      </c>
      <c r="HY67" s="30" t="str">
        <f>IFERROR(__xludf.DUMMYFUNCTION("""COMPUTED_VALUE"""),"tính lãi vay ngân hàng")</f>
        <v>tính lãi vay ngân hàng</v>
      </c>
      <c r="HZ67" s="34" t="str">
        <f>IFERROR(__xludf.DUMMYFUNCTION("""COMPUTED_VALUE"""),"https://techcombank.com/thong-tin/blog/no-chu-y-la-gi")</f>
        <v>https://techcombank.com/thong-tin/blog/no-chu-y-la-gi</v>
      </c>
      <c r="IA67" s="30" t="str">
        <f>IFERROR(__xludf.DUMMYFUNCTION("""COMPUTED_VALUE"""),"tính lãi vay ngân hàng")</f>
        <v>tính lãi vay ngân hàng</v>
      </c>
      <c r="IB67" s="34" t="str">
        <f>IFERROR(__xludf.DUMMYFUNCTION("""COMPUTED_VALUE"""),"https://techcombank.com/thong-tin/blog/no-xau-la-gi")</f>
        <v>https://techcombank.com/thong-tin/blog/no-xau-la-gi</v>
      </c>
      <c r="IC67" s="30" t="str">
        <f>IFERROR(__xludf.DUMMYFUNCTION("""COMPUTED_VALUE"""),"tính lãi suất vay ngân hàng")</f>
        <v>tính lãi suất vay ngân hàng</v>
      </c>
      <c r="ID67" s="34" t="str">
        <f>IFERROR(__xludf.DUMMYFUNCTION("""COMPUTED_VALUE"""),"https://techcombank.com/thong-tin/blog/cho-vay-tieu-dung-la-gi")</f>
        <v>https://techcombank.com/thong-tin/blog/cho-vay-tieu-dung-la-gi</v>
      </c>
      <c r="IE67" s="30" t="str">
        <f>IFERROR(__xludf.DUMMYFUNCTION("""COMPUTED_VALUE"""),"tính lãi vay ngân hàng")</f>
        <v>tính lãi vay ngân hàng</v>
      </c>
      <c r="IF67" s="34" t="str">
        <f>IFERROR(__xludf.DUMMYFUNCTION("""COMPUTED_VALUE"""),"https://techcombank.com/thong-tin/blog/cic-la-gi")</f>
        <v>https://techcombank.com/thong-tin/blog/cic-la-gi</v>
      </c>
      <c r="IG67" s="30" t="str">
        <f>IFERROR(__xludf.DUMMYFUNCTION("""COMPUTED_VALUE"""),"tính lãi suất vay ngân hàng")</f>
        <v>tính lãi suất vay ngân hàng</v>
      </c>
      <c r="IH67" s="34" t="str">
        <f>IFERROR(__xludf.DUMMYFUNCTION("""COMPUTED_VALUE"""),"https://techcombank.com/thong-tin/blog/tieu-dung-ben-vung")</f>
        <v>https://techcombank.com/thong-tin/blog/tieu-dung-ben-vung</v>
      </c>
      <c r="II67" s="30" t="str">
        <f>IFERROR(__xludf.DUMMYFUNCTION("""COMPUTED_VALUE"""),"tính lãi vay ngân hàng")</f>
        <v>tính lãi vay ngân hàng</v>
      </c>
      <c r="IJ67" s="34" t="str">
        <f>IFERROR(__xludf.DUMMYFUNCTION("""COMPUTED_VALUE"""),"https://techcombank.com/thong-tin/blog/app-vay-tien-nhanh")</f>
        <v>https://techcombank.com/thong-tin/blog/app-vay-tien-nhanh</v>
      </c>
      <c r="IK67" s="30" t="str">
        <f>IFERROR(__xludf.DUMMYFUNCTION("""COMPUTED_VALUE"""),"tính lãi suất vay ngân hàng")</f>
        <v>tính lãi suất vay ngân hàng</v>
      </c>
      <c r="IL67" s="34" t="str">
        <f>IFERROR(__xludf.DUMMYFUNCTION("""COMPUTED_VALUE"""),"https://techcombank.com/thong-tin/blog/lai-suat-the-tin-dung")</f>
        <v>https://techcombank.com/thong-tin/blog/lai-suat-the-tin-dung</v>
      </c>
      <c r="IM67" s="30" t="str">
        <f>IFERROR(__xludf.DUMMYFUNCTION("""COMPUTED_VALUE"""),"bảng tính lãi suất vay ngân hàng")</f>
        <v>bảng tính lãi suất vay ngân hàng</v>
      </c>
      <c r="IN67" s="34" t="str">
        <f>IFERROR(__xludf.DUMMYFUNCTION("""COMPUTED_VALUE"""),"https://techcombank.com/thong-tin/blog/cach-tinh-lai-suat-tien-gui-tiet-kiem")</f>
        <v>https://techcombank.com/thong-tin/blog/cach-tinh-lai-suat-tien-gui-tiet-kiem</v>
      </c>
      <c r="IO67" s="30" t="str">
        <f>IFERROR(__xludf.DUMMYFUNCTION("""COMPUTED_VALUE"""),"tính lãi suất vay ngân hàng")</f>
        <v>tính lãi suất vay ngân hàng</v>
      </c>
      <c r="IP67" s="34" t="str">
        <f>IFERROR(__xludf.DUMMYFUNCTION("""COMPUTED_VALUE"""),"https://techcombank.com/thong-tin/blog/gui-tiet-kiem-hang-thang")</f>
        <v>https://techcombank.com/thong-tin/blog/gui-tiet-kiem-hang-thang</v>
      </c>
      <c r="IQ67" s="30" t="str">
        <f>IFERROR(__xludf.DUMMYFUNCTION("""COMPUTED_VALUE"""),"bảng tính lãi suất vay ngân hàng")</f>
        <v>bảng tính lãi suất vay ngân hàng</v>
      </c>
      <c r="IR67" s="34" t="str">
        <f>IFERROR(__xludf.DUMMYFUNCTION("""COMPUTED_VALUE"""),"https://techcombank.com/thong-tin/blog/tien-gui-co-ky-han")</f>
        <v>https://techcombank.com/thong-tin/blog/tien-gui-co-ky-han</v>
      </c>
      <c r="IS67" s="30" t="str">
        <f>IFERROR(__xludf.DUMMYFUNCTION("""COMPUTED_VALUE"""),"tính lãi vay ngân hàng")</f>
        <v>tính lãi vay ngân hàng</v>
      </c>
      <c r="IT67" s="34" t="str">
        <f>IFERROR(__xludf.DUMMYFUNCTION("""COMPUTED_VALUE"""),"https://techcombank.com/thong-tin/blog/vay-the-chap-khong-tra-duoc")</f>
        <v>https://techcombank.com/thong-tin/blog/vay-the-chap-khong-tra-duoc</v>
      </c>
      <c r="IU67" s="30" t="str">
        <f>IFERROR(__xludf.DUMMYFUNCTION("""COMPUTED_VALUE"""),"tính lãi vay ngân hàng")</f>
        <v>tính lãi vay ngân hàng</v>
      </c>
      <c r="IV67" s="34" t="str">
        <f>IFERROR(__xludf.DUMMYFUNCTION("""COMPUTED_VALUE"""),"https://techcombank.com/thong-tin/blog/vay-the-chap-qua-luong")</f>
        <v>https://techcombank.com/thong-tin/blog/vay-the-chap-qua-luong</v>
      </c>
      <c r="IW67" s="30" t="str">
        <f>IFERROR(__xludf.DUMMYFUNCTION("""COMPUTED_VALUE"""),"tính lãi vay ngân hàng")</f>
        <v>tính lãi vay ngân hàng</v>
      </c>
      <c r="IX67" s="34" t="str">
        <f>IFERROR(__xludf.DUMMYFUNCTION("""COMPUTED_VALUE"""),"https://techcombank.com/thong-tin/blog/bao-lanh-vay-von")</f>
        <v>https://techcombank.com/thong-tin/blog/bao-lanh-vay-von</v>
      </c>
      <c r="IY67" s="30" t="str">
        <f>IFERROR(__xludf.DUMMYFUNCTION("""COMPUTED_VALUE"""),"tính lãi suất vay ngân hàng")</f>
        <v>tính lãi suất vay ngân hàng</v>
      </c>
      <c r="IZ67" s="34" t="str">
        <f>IFERROR(__xludf.DUMMYFUNCTION("""COMPUTED_VALUE"""),"https://techcombank.com/thong-tin/blog/thu-tuc-vay-von-doanh-nghiep")</f>
        <v>https://techcombank.com/thong-tin/blog/thu-tuc-vay-von-doanh-nghiep</v>
      </c>
      <c r="JA67" s="30" t="str">
        <f>IFERROR(__xludf.DUMMYFUNCTION("""COMPUTED_VALUE"""),"tính lãi vay ngân hàng")</f>
        <v>tính lãi vay ngân hàng</v>
      </c>
      <c r="JB67" s="34" t="str">
        <f>IFERROR(__xludf.DUMMYFUNCTION("""COMPUTED_VALUE"""),"https://techcombank.com/thong-tin/blog/ho-so-vay-von-cua-doanh-nghiep-gom-nhung-gi")</f>
        <v>https://techcombank.com/thong-tin/blog/ho-so-vay-von-cua-doanh-nghiep-gom-nhung-gi</v>
      </c>
      <c r="JC67" s="30" t="str">
        <f>IFERROR(__xludf.DUMMYFUNCTION("""COMPUTED_VALUE"""),"tính lãi suất vay ngân hàng")</f>
        <v>tính lãi suất vay ngân hàng</v>
      </c>
      <c r="JD67" s="34" t="str">
        <f>IFERROR(__xludf.DUMMYFUNCTION("""COMPUTED_VALUE"""),"https://techcombank.com/thong-tin/blog/cho-vay-tung-lan")</f>
        <v>https://techcombank.com/thong-tin/blog/cho-vay-tung-lan</v>
      </c>
      <c r="JE67" s="30" t="str">
        <f>IFERROR(__xludf.DUMMYFUNCTION("""COMPUTED_VALUE"""),"tính lãi suất vay ngân hàng")</f>
        <v>tính lãi suất vay ngân hàng</v>
      </c>
      <c r="JF67" s="34" t="str">
        <f>IFERROR(__xludf.DUMMYFUNCTION("""COMPUTED_VALUE"""),"https://techcombank.com/thong-tin/blog/tin-dung-tieu-dung")</f>
        <v>https://techcombank.com/thong-tin/blog/tin-dung-tieu-dung</v>
      </c>
      <c r="JG67" s="30" t="str">
        <f>IFERROR(__xludf.DUMMYFUNCTION("""COMPUTED_VALUE"""),"tính lãi vay ngân hàng")</f>
        <v>tính lãi vay ngân hàng</v>
      </c>
      <c r="JH67" s="34" t="str">
        <f>IFERROR(__xludf.DUMMYFUNCTION("""COMPUTED_VALUE"""),"https://techcombank.com/thong-tin/blog/tin-dung-doanh-nghiep")</f>
        <v>https://techcombank.com/thong-tin/blog/tin-dung-doanh-nghiep</v>
      </c>
      <c r="JI67" s="30" t="str">
        <f>IFERROR(__xludf.DUMMYFUNCTION("""COMPUTED_VALUE"""),"tính lãi vay ngân hàng")</f>
        <v>tính lãi vay ngân hàng</v>
      </c>
      <c r="JJ67" s="34" t="str">
        <f>IFERROR(__xludf.DUMMYFUNCTION("""COMPUTED_VALUE"""),"https://techcombank.com/thong-tin/blog/cho-vay-hop-von-la-gi")</f>
        <v>https://techcombank.com/thong-tin/blog/cho-vay-hop-von-la-gi</v>
      </c>
      <c r="JK67" s="30" t="str">
        <f>IFERROR(__xludf.DUMMYFUNCTION("""COMPUTED_VALUE"""),"tính lãi vay ngân hàng")</f>
        <v>tính lãi vay ngân hàng</v>
      </c>
      <c r="JL67" s="34" t="str">
        <f>IFERROR(__xludf.DUMMYFUNCTION("""COMPUTED_VALUE"""),"https://techcombank.com/thong-tin/blog/von-luu-dong-la-gi")</f>
        <v>https://techcombank.com/thong-tin/blog/von-luu-dong-la-gi</v>
      </c>
      <c r="JM67" s="30" t="str">
        <f>IFERROR(__xludf.DUMMYFUNCTION("""COMPUTED_VALUE"""),"tính lãi suất vay ngân hàng")</f>
        <v>tính lãi suất vay ngân hàng</v>
      </c>
      <c r="JN67" s="34" t="str">
        <f>IFERROR(__xludf.DUMMYFUNCTION("""COMPUTED_VALUE"""),"https://techcombank.com/thong-tin/blog/nhu-cau-vay-tieu-dung-cua-nguoi-viet-du-kien-tang-manh-trong-thoi-gian-toi")</f>
        <v>https://techcombank.com/thong-tin/blog/nhu-cau-vay-tieu-dung-cua-nguoi-viet-du-kien-tang-manh-trong-thoi-gian-toi</v>
      </c>
      <c r="JO67" s="30" t="str">
        <f>IFERROR(__xludf.DUMMYFUNCTION("""COMPUTED_VALUE"""),"tính lãi vay ngân hàng")</f>
        <v>tính lãi vay ngân hàng</v>
      </c>
      <c r="JP67" s="34" t="str">
        <f>IFERROR(__xludf.DUMMYFUNCTION("""COMPUTED_VALUE"""),"https://techcombank.com/thong-tin/blog/vay-sieu-toc")</f>
        <v>https://techcombank.com/thong-tin/blog/vay-sieu-toc</v>
      </c>
      <c r="JQ67" s="30" t="str">
        <f>IFERROR(__xludf.DUMMYFUNCTION("""COMPUTED_VALUE"""),"tính lãi vay ngân hàng")</f>
        <v>tính lãi vay ngân hàng</v>
      </c>
      <c r="JR67" s="34" t="str">
        <f>IFERROR(__xludf.DUMMYFUNCTION("""COMPUTED_VALUE"""),"https://techcombank.com/thong-tin/blog/tap-doan-thanh-quang-khoi-sac-kinh-doanh-nho-nguon-von-vay-tin-dung-techcombank-tren-nen-tang-misa-lending")</f>
        <v>https://techcombank.com/thong-tin/blog/tap-doan-thanh-quang-khoi-sac-kinh-doanh-nho-nguon-von-vay-tin-dung-techcombank-tren-nen-tang-misa-lending</v>
      </c>
      <c r="JS67" s="30" t="str">
        <f>IFERROR(__xludf.DUMMYFUNCTION("""COMPUTED_VALUE"""),"tính lãi suất vay ngân hàng")</f>
        <v>tính lãi suất vay ngân hàng</v>
      </c>
      <c r="JT67" s="34" t="str">
        <f>IFERROR(__xludf.DUMMYFUNCTION("""COMPUTED_VALUE"""),"https://techcombank.com/thong-tin/blog/dieu-kien-vay-von-ngan-hang")</f>
        <v>https://techcombank.com/thong-tin/blog/dieu-kien-vay-von-ngan-hang</v>
      </c>
      <c r="JU67" s="30" t="str">
        <f>IFERROR(__xludf.DUMMYFUNCTION("""COMPUTED_VALUE"""),"tính lãi vay ngân hàng")</f>
        <v>tính lãi vay ngân hàng</v>
      </c>
      <c r="JV67" s="34" t="str">
        <f>IFERROR(__xludf.DUMMYFUNCTION("""COMPUTED_VALUE"""),"https://techcombank.com/thong-tin/blog/vay-tien-online")</f>
        <v>https://techcombank.com/thong-tin/blog/vay-tien-online</v>
      </c>
      <c r="JW67" s="30" t="str">
        <f>IFERROR(__xludf.DUMMYFUNCTION("""COMPUTED_VALUE"""),"tính lãi suất vay ngân hàng")</f>
        <v>tính lãi suất vay ngân hàng</v>
      </c>
      <c r="JX67" s="34" t="str">
        <f>IFERROR(__xludf.DUMMYFUNCTION("""COMPUTED_VALUE"""),"https://techcombank.com/thong-tin/blog/vay-du-hoc")</f>
        <v>https://techcombank.com/thong-tin/blog/vay-du-hoc</v>
      </c>
      <c r="JY67" s="30" t="str">
        <f>IFERROR(__xludf.DUMMYFUNCTION("""COMPUTED_VALUE"""),"tính lãi suất vay ngân hàng")</f>
        <v>tính lãi suất vay ngân hàng</v>
      </c>
      <c r="JZ67" s="34" t="str">
        <f>IFERROR(__xludf.DUMMYFUNCTION("""COMPUTED_VALUE"""),"https://techcombank.com/thong-tin/blog/casa-la-gi")</f>
        <v>https://techcombank.com/thong-tin/blog/casa-la-gi</v>
      </c>
      <c r="KA67" s="30" t="str">
        <f>IFERROR(__xludf.DUMMYFUNCTION("""COMPUTED_VALUE"""),"tính lãi suất vay ngân hàng")</f>
        <v>tính lãi suất vay ngân hàng</v>
      </c>
      <c r="KB67" s="34" t="str">
        <f>IFERROR(__xludf.DUMMYFUNCTION("""COMPUTED_VALUE"""),"https://techcombank.com/thong-tin/blog/no-xau-mo-the-tin-dung-duoc-khong")</f>
        <v>https://techcombank.com/thong-tin/blog/no-xau-mo-the-tin-dung-duoc-khong</v>
      </c>
      <c r="KC67" s="30" t="str">
        <f>IFERROR(__xludf.DUMMYFUNCTION("""COMPUTED_VALUE"""),"tính lãi vay ngân hàng")</f>
        <v>tính lãi vay ngân hàng</v>
      </c>
      <c r="KD67" s="34" t="str">
        <f>IFERROR(__xludf.DUMMYFUNCTION("""COMPUTED_VALUE"""),"https://techcombank.com/thong-tin/blog/qua-han-thanh-toan-the-tin-dung-1-ngay")</f>
        <v>https://techcombank.com/thong-tin/blog/qua-han-thanh-toan-the-tin-dung-1-ngay</v>
      </c>
      <c r="KE67" s="30" t="str">
        <f>IFERROR(__xludf.DUMMYFUNCTION("""COMPUTED_VALUE"""),"tính lãi suất vay ngân hàng")</f>
        <v>tính lãi suất vay ngân hàng</v>
      </c>
      <c r="KF67" s="34" t="str">
        <f>IFERROR(__xludf.DUMMYFUNCTION("""COMPUTED_VALUE"""),"https://techcombank.com/thong-tin/blog/gui-tiet-kiem-online-co-rut-truoc-han-duoc-khong")</f>
        <v>https://techcombank.com/thong-tin/blog/gui-tiet-kiem-online-co-rut-truoc-han-duoc-khong</v>
      </c>
      <c r="KG67" s="30" t="str">
        <f>IFERROR(__xludf.DUMMYFUNCTION("""COMPUTED_VALUE"""),"tính lãi suất vay ngân hàng")</f>
        <v>tính lãi suất vay ngân hàng</v>
      </c>
      <c r="KH67" s="34" t="str">
        <f>IFERROR(__xludf.DUMMYFUNCTION("""COMPUTED_VALUE"""),"https://techcombank.com/thong-tin/blog/tat-toan-so-tiet-kiem")</f>
        <v>https://techcombank.com/thong-tin/blog/tat-toan-so-tiet-kiem</v>
      </c>
      <c r="KI67" s="30" t="str">
        <f>IFERROR(__xludf.DUMMYFUNCTION("""COMPUTED_VALUE"""),"tính lãi vay ngân hàng")</f>
        <v>tính lãi vay ngân hàng</v>
      </c>
      <c r="KJ67" s="34" t="str">
        <f>IFERROR(__xludf.DUMMYFUNCTION("""COMPUTED_VALUE"""),"https://techcombank.com/thong-tin/blog/the-ghi-no-va-the-tin-dung")</f>
        <v>https://techcombank.com/thong-tin/blog/the-ghi-no-va-the-tin-dung</v>
      </c>
      <c r="KK67" s="30" t="str">
        <f>IFERROR(__xludf.DUMMYFUNCTION("""COMPUTED_VALUE"""),"tính lãi vay ngân hàng")</f>
        <v>tính lãi vay ngân hàng</v>
      </c>
      <c r="KL67" s="34" t="str">
        <f>IFERROR(__xludf.DUMMYFUNCTION("""COMPUTED_VALUE"""),"https://techcombank.com/thong-tin/blog/giai-ngan-la-gi")</f>
        <v>https://techcombank.com/thong-tin/blog/giai-ngan-la-gi</v>
      </c>
      <c r="KM67" s="30" t="str">
        <f>IFERROR(__xludf.DUMMYFUNCTION("""COMPUTED_VALUE"""),"tính lãi vay ngân hàng")</f>
        <v>tính lãi vay ngân hàng</v>
      </c>
      <c r="KN67" s="34" t="str">
        <f>IFERROR(__xludf.DUMMYFUNCTION("""COMPUTED_VALUE"""),"https://techcombank.com/thong-tin/blog/nen-mua-xe-o-to-dien-hay-xe-xang")</f>
        <v>https://techcombank.com/thong-tin/blog/nen-mua-xe-o-to-dien-hay-xe-xang</v>
      </c>
      <c r="KO67" s="30" t="str">
        <f>IFERROR(__xludf.DUMMYFUNCTION("""COMPUTED_VALUE"""),"tính lãi suất vay ngân hàng")</f>
        <v>tính lãi suất vay ngân hàng</v>
      </c>
      <c r="KP67" s="34" t="str">
        <f>IFERROR(__xludf.DUMMYFUNCTION("""COMPUTED_VALUE"""),"https://techcombank.com/thong-tin/blog/rut-tien-mat-tu-the-tin-dung")</f>
        <v>https://techcombank.com/thong-tin/blog/rut-tien-mat-tu-the-tin-dung</v>
      </c>
      <c r="KQ67" s="30" t="str">
        <f>IFERROR(__xludf.DUMMYFUNCTION("""COMPUTED_VALUE"""),"tính lãi suất vay ngân hàng")</f>
        <v>tính lãi suất vay ngân hàng</v>
      </c>
      <c r="KR67" s="34" t="str">
        <f>IFERROR(__xludf.DUMMYFUNCTION("""COMPUTED_VALUE"""),"https://techcombank.com/thong-tin/blog/gui-tiet-kiem-ngan-hang-van-la-lua-chon-an-toan-trong-thoi-ky-kinh-te-con-nhieu-bien-dong")</f>
        <v>https://techcombank.com/thong-tin/blog/gui-tiet-kiem-ngan-hang-van-la-lua-chon-an-toan-trong-thoi-ky-kinh-te-con-nhieu-bien-dong</v>
      </c>
      <c r="KS67" s="30" t="str">
        <f>IFERROR(__xludf.DUMMYFUNCTION("""COMPUTED_VALUE"""),"tính lãi vay ngân hàng")</f>
        <v>tính lãi vay ngân hàng</v>
      </c>
      <c r="KT67" s="34" t="str">
        <f>IFERROR(__xludf.DUMMYFUNCTION("""COMPUTED_VALUE"""),"https://techcombank.com/thong-tin/blog/tai-khoan-ngan-hang-chua-toi-da-bao-nhieu-tien")</f>
        <v>https://techcombank.com/thong-tin/blog/tai-khoan-ngan-hang-chua-toi-da-bao-nhieu-tien</v>
      </c>
      <c r="KU67" s="30" t="str">
        <f>IFERROR(__xludf.DUMMYFUNCTION("""COMPUTED_VALUE"""),"tính lãi suất vay ngân hàng")</f>
        <v>tính lãi suất vay ngân hàng</v>
      </c>
      <c r="KV67" s="34" t="str">
        <f>IFERROR(__xludf.DUMMYFUNCTION("""COMPUTED_VALUE"""),"https://techcombank.com/thong-tin/blog/chuyen-doi-xanh")</f>
        <v>https://techcombank.com/thong-tin/blog/chuyen-doi-xanh</v>
      </c>
      <c r="KW67" s="30" t="str">
        <f>IFERROR(__xludf.DUMMYFUNCTION("""COMPUTED_VALUE"""),"tính lãi vay ngân hàng")</f>
        <v>tính lãi vay ngân hàng</v>
      </c>
      <c r="KX67" s="34" t="str">
        <f>IFERROR(__xludf.DUMMYFUNCTION("""COMPUTED_VALUE"""),"https://techcombank.com/thong-tin/blog/chuyen-gia-du-doan-gia-bat-dong-san-2025-va-cac-no-luc-tu-ngan-hang")</f>
        <v>https://techcombank.com/thong-tin/blog/chuyen-gia-du-doan-gia-bat-dong-san-2025-va-cac-no-luc-tu-ngan-hang</v>
      </c>
      <c r="KY67" s="30" t="str">
        <f>IFERROR(__xludf.DUMMYFUNCTION("""COMPUTED_VALUE"""),"tính lãi suất vay ngân hàng")</f>
        <v>tính lãi suất vay ngân hàng</v>
      </c>
      <c r="KZ67" s="34" t="str">
        <f>IFERROR(__xludf.DUMMYFUNCTION("""COMPUTED_VALUE"""),"https://techcombank.com/thong-tin/blog/nap-tien-vao-tai-khoan-ngan-hang")</f>
        <v>https://techcombank.com/thong-tin/blog/nap-tien-vao-tai-khoan-ngan-hang</v>
      </c>
      <c r="LA67" s="30"/>
      <c r="LB67" s="30"/>
      <c r="LC67" s="30"/>
      <c r="LD67" s="30"/>
      <c r="LE67" s="30"/>
      <c r="LF67" s="30"/>
      <c r="LG67" s="30"/>
      <c r="LH67" s="30"/>
      <c r="LI67" s="30"/>
      <c r="LJ67" s="30"/>
      <c r="LK67" s="30"/>
      <c r="LL67" s="30"/>
      <c r="LM67" s="30"/>
      <c r="LN67" s="30"/>
      <c r="LO67" s="30"/>
      <c r="LP67" s="30"/>
      <c r="LQ67" s="30"/>
      <c r="LR67" s="30"/>
      <c r="LS67" s="30"/>
      <c r="LT67" s="30"/>
      <c r="LU67" s="30"/>
      <c r="LV67" s="30"/>
      <c r="LW67" s="30"/>
      <c r="LX67" s="30"/>
      <c r="LY67" s="30"/>
      <c r="LZ67" s="30"/>
      <c r="MA67" s="30"/>
      <c r="MB67" s="30"/>
      <c r="MC67" s="30"/>
      <c r="MD67" s="30"/>
      <c r="ME67" s="30"/>
      <c r="MF67" s="30"/>
      <c r="MG67" s="30"/>
      <c r="MH67" s="30"/>
      <c r="MI67" s="30"/>
      <c r="MJ67" s="30"/>
      <c r="MK67" s="30"/>
      <c r="ML67" s="30"/>
      <c r="MM67" s="30"/>
      <c r="MN67" s="30"/>
      <c r="MO67" s="30"/>
      <c r="MP67" s="30"/>
      <c r="MQ67" s="30"/>
      <c r="MR67" s="30"/>
      <c r="MS67" s="30"/>
      <c r="MT67" s="30"/>
      <c r="MU67" s="30"/>
      <c r="MV67" s="30"/>
      <c r="MW67" s="30"/>
      <c r="MX67" s="30"/>
      <c r="MY67" s="30"/>
      <c r="MZ67" s="30"/>
      <c r="NA67" s="30"/>
      <c r="NB67" s="30"/>
      <c r="NC67" s="30"/>
      <c r="ND67" s="30"/>
      <c r="NE67" s="30"/>
      <c r="NF67" s="30"/>
      <c r="NG67" s="30"/>
      <c r="NH67" s="30"/>
      <c r="NI67" s="30"/>
      <c r="NJ67" s="30"/>
      <c r="NK67" s="30"/>
      <c r="NL67" s="30"/>
      <c r="NM67" s="30"/>
      <c r="NN67" s="30"/>
      <c r="NO67" s="30"/>
      <c r="NP67" s="30"/>
      <c r="NQ67" s="30"/>
      <c r="NR67" s="30"/>
      <c r="NS67" s="30"/>
      <c r="NT67" s="30"/>
      <c r="NU67" s="30"/>
      <c r="NV67" s="30"/>
      <c r="NW67" s="30"/>
      <c r="NX67" s="30"/>
      <c r="NY67" s="30"/>
      <c r="NZ67" s="30"/>
      <c r="OA67" s="30"/>
      <c r="OB67" s="30"/>
      <c r="OC67" s="30"/>
      <c r="OD67" s="30"/>
      <c r="OE67" s="30"/>
      <c r="OF67" s="30"/>
      <c r="OG67" s="30"/>
      <c r="OH67" s="30"/>
      <c r="OI67" s="30"/>
      <c r="OJ67" s="30"/>
      <c r="OK67" s="30"/>
      <c r="OL67" s="30"/>
      <c r="OM67" s="30"/>
      <c r="ON67" s="30"/>
      <c r="OO67" s="30"/>
      <c r="OP67" s="30"/>
      <c r="OQ67" s="30"/>
      <c r="OR67" s="30"/>
      <c r="OS67" s="30"/>
      <c r="OT67" s="30"/>
      <c r="OU67" s="30"/>
      <c r="OV67" s="30"/>
    </row>
    <row r="68" ht="18.0" customHeight="1">
      <c r="A68" s="29">
        <v>67.0</v>
      </c>
      <c r="B68" s="30" t="s">
        <v>5854</v>
      </c>
      <c r="C68" s="31" t="s">
        <v>5450</v>
      </c>
      <c r="D68" s="30" t="s">
        <v>5448</v>
      </c>
      <c r="E68" s="29">
        <v>100.0</v>
      </c>
      <c r="F68" s="29">
        <f>COUNTIF('Tổng hợp 75 trang đích'!$B$2:$B$3400,$D68)</f>
        <v>100</v>
      </c>
      <c r="G68" s="29">
        <f>COUNTIFS('Tổng hợp 75 trang đích'!$B$2:$B$3400,$D68,'Tổng hợp 75 trang đích'!$K$2:$K$3400,"PHÙ HỢP CAO")</f>
        <v>2</v>
      </c>
      <c r="H68" s="29">
        <f>COUNTIFS('Tổng hợp 75 trang đích'!$B$2:$B$3400,$D68,'Tổng hợp 75 trang đích'!$K$2:$K$3400,"CÓ THỂ ĐI")</f>
        <v>3</v>
      </c>
      <c r="I68" s="29">
        <f>COUNTIFS('Tổng hợp 75 trang đích'!$B$2:$B$3400,$D68,'Tổng hợp 75 trang đích'!$K$2:$K$3400,"CẦN SOÁT")</f>
        <v>95</v>
      </c>
      <c r="J68" s="32" t="s">
        <v>714</v>
      </c>
      <c r="K68" s="32" t="b">
        <v>0</v>
      </c>
      <c r="L68" s="33" t="s">
        <v>52</v>
      </c>
      <c r="M68" s="30" t="str">
        <f>IFERROR(__xludf.DUMMYFUNCTION("IFERROR(TOROW(CHOOSECOLS(SORT(FILTER({'Tổng hợp 75 trang đích'!$J$2:$J$3400,'Tổng hợp 75 trang đích'!$I$2:$I$3400,MATCH('Tổng hợp 75 trang đích'!$K$2:$K$3400,{""PHÙ HỢP CAO"",""CÓ THỂ ĐI"",""CẦN SOÁT""},0)},'Tổng hợp 75 trang đích'!$B$2:$B$3400=$D68),3,TR"&amp;"UE),1,2)),"""")"),"bảng tính lãi suất tiết kiệm")</f>
        <v>bảng tính lãi suất tiết kiệm</v>
      </c>
      <c r="N68" s="34" t="str">
        <f>IFERROR(__xludf.DUMMYFUNCTION("""COMPUTED_VALUE"""),"https://techcombank.com/thong-tin/blog/cach-tiet-kiem-100-trieu-1-nam")</f>
        <v>https://techcombank.com/thong-tin/blog/cach-tiet-kiem-100-trieu-1-nam</v>
      </c>
      <c r="O68" s="30" t="str">
        <f>IFERROR(__xludf.DUMMYFUNCTION("""COMPUTED_VALUE"""),"công cụ tính lãi tiết kiệm")</f>
        <v>công cụ tính lãi tiết kiệm</v>
      </c>
      <c r="P68" s="34" t="str">
        <f>IFERROR(__xludf.DUMMYFUNCTION("""COMPUTED_VALUE"""),"https://techcombank.com/thong-tin/blog/co-50-trieu-nen-mua-vang-hay-gui-tiet-kiem")</f>
        <v>https://techcombank.com/thong-tin/blog/co-50-trieu-nen-mua-vang-hay-gui-tiet-kiem</v>
      </c>
      <c r="Q68" s="30" t="str">
        <f>IFERROR(__xludf.DUMMYFUNCTION("""COMPUTED_VALUE"""),"bảng tính lãi suất tiết kiệm")</f>
        <v>bảng tính lãi suất tiết kiệm</v>
      </c>
      <c r="R68" s="34" t="str">
        <f>IFERROR(__xludf.DUMMYFUNCTION("""COMPUTED_VALUE"""),"https://techcombank.com/thong-tin/blog/gui-tiet-kiem-tich-luy-la-gi")</f>
        <v>https://techcombank.com/thong-tin/blog/gui-tiet-kiem-tich-luy-la-gi</v>
      </c>
      <c r="S68" s="30" t="str">
        <f>IFERROR(__xludf.DUMMYFUNCTION("""COMPUTED_VALUE"""),"bảng tính lãi suất tiết kiệm")</f>
        <v>bảng tính lãi suất tiết kiệm</v>
      </c>
      <c r="T68" s="34" t="str">
        <f>IFERROR(__xludf.DUMMYFUNCTION("""COMPUTED_VALUE"""),"https://techcombank.com/thong-tin/blog/quy-trinh-gui-tien-tiet-kiem")</f>
        <v>https://techcombank.com/thong-tin/blog/quy-trinh-gui-tien-tiet-kiem</v>
      </c>
      <c r="U68" s="30" t="str">
        <f>IFERROR(__xludf.DUMMYFUNCTION("""COMPUTED_VALUE"""),"bảng tính lãi suất tiết kiệm")</f>
        <v>bảng tính lãi suất tiết kiệm</v>
      </c>
      <c r="V68" s="34" t="str">
        <f>IFERROR(__xludf.DUMMYFUNCTION("""COMPUTED_VALUE"""),"https://techcombank.com/thong-tin/blog/nen-de-tien-trong-the-hay-gui-tiet-kiem")</f>
        <v>https://techcombank.com/thong-tin/blog/nen-de-tien-trong-the-hay-gui-tiet-kiem</v>
      </c>
      <c r="W68" s="30" t="str">
        <f>IFERROR(__xludf.DUMMYFUNCTION("""COMPUTED_VALUE"""),"công cụ tính lãi tiết kiệm")</f>
        <v>công cụ tính lãi tiết kiệm</v>
      </c>
      <c r="X68" s="34" t="str">
        <f>IFERROR(__xludf.DUMMYFUNCTION("""COMPUTED_VALUE"""),"https://techcombank.com/thong-tin/blog/lai-suat-vay-the-chap")</f>
        <v>https://techcombank.com/thong-tin/blog/lai-suat-vay-the-chap</v>
      </c>
      <c r="Y68" s="30" t="str">
        <f>IFERROR(__xludf.DUMMYFUNCTION("""COMPUTED_VALUE"""),"công cụ tính lãi tiết kiệm")</f>
        <v>công cụ tính lãi tiết kiệm</v>
      </c>
      <c r="Z68" s="34" t="str">
        <f>IFERROR(__xludf.DUMMYFUNCTION("""COMPUTED_VALUE"""),"https://techcombank.com/thong-tin/blog/cong-thuc-tinh-lai-suat-thuc")</f>
        <v>https://techcombank.com/thong-tin/blog/cong-thuc-tinh-lai-suat-thuc</v>
      </c>
      <c r="AA68" s="30" t="str">
        <f>IFERROR(__xludf.DUMMYFUNCTION("""COMPUTED_VALUE"""),"bảng tính lãi suất tiết kiệm")</f>
        <v>bảng tính lãi suất tiết kiệm</v>
      </c>
      <c r="AB68" s="34" t="str">
        <f>IFERROR(__xludf.DUMMYFUNCTION("""COMPUTED_VALUE"""),"https://techcombank.com/thong-tin/blog/tai-khoan-thanh-toan-la-gi")</f>
        <v>https://techcombank.com/thong-tin/blog/tai-khoan-thanh-toan-la-gi</v>
      </c>
      <c r="AC68" s="30" t="str">
        <f>IFERROR(__xludf.DUMMYFUNCTION("""COMPUTED_VALUE"""),"bảng tính lãi suất tiết kiệm")</f>
        <v>bảng tính lãi suất tiết kiệm</v>
      </c>
      <c r="AD68" s="34" t="str">
        <f>IFERROR(__xludf.DUMMYFUNCTION("""COMPUTED_VALUE"""),"https://techcombank.com/thong-tin/blog/xu-huong-dau-tu-trai-phieu-ky-han-duoi-mot-nam-lua-chon-an-toan-khi-thi-truong-bien-dong")</f>
        <v>https://techcombank.com/thong-tin/blog/xu-huong-dau-tu-trai-phieu-ky-han-duoi-mot-nam-lua-chon-an-toan-khi-thi-truong-bien-dong</v>
      </c>
      <c r="AE68" s="30" t="str">
        <f>IFERROR(__xludf.DUMMYFUNCTION("""COMPUTED_VALUE"""),"công cụ tính lãi tiết kiệm")</f>
        <v>công cụ tính lãi tiết kiệm</v>
      </c>
      <c r="AF68" s="34" t="str">
        <f>IFERROR(__xludf.DUMMYFUNCTION("""COMPUTED_VALUE"""),"https://techcombank.com/thong-tin/blog/gui-tiet-kiem-theo-ngay")</f>
        <v>https://techcombank.com/thong-tin/blog/gui-tiet-kiem-theo-ngay</v>
      </c>
      <c r="AG68" s="30" t="str">
        <f>IFERROR(__xludf.DUMMYFUNCTION("""COMPUTED_VALUE"""),"công cụ tính lãi tiết kiệm")</f>
        <v>công cụ tính lãi tiết kiệm</v>
      </c>
      <c r="AH68" s="34" t="str">
        <f>IFERROR(__xludf.DUMMYFUNCTION("""COMPUTED_VALUE"""),"https://techcombank.com/thong-tin/blog/gui-tiet-kiem-vang")</f>
        <v>https://techcombank.com/thong-tin/blog/gui-tiet-kiem-vang</v>
      </c>
      <c r="AI68" s="30" t="str">
        <f>IFERROR(__xludf.DUMMYFUNCTION("""COMPUTED_VALUE"""),"công cụ tính lãi tiết kiệm")</f>
        <v>công cụ tính lãi tiết kiệm</v>
      </c>
      <c r="AJ68" s="34" t="str">
        <f>IFERROR(__xludf.DUMMYFUNCTION("""COMPUTED_VALUE"""),"https://techcombank.com/thong-tin/blog/nen-gui-tiet-kiem-thong-thuong-hay-tich-luy")</f>
        <v>https://techcombank.com/thong-tin/blog/nen-gui-tiet-kiem-thong-thuong-hay-tich-luy</v>
      </c>
      <c r="AK68" s="30" t="str">
        <f>IFERROR(__xludf.DUMMYFUNCTION("""COMPUTED_VALUE"""),"bảng tính lãi suất tiết kiệm")</f>
        <v>bảng tính lãi suất tiết kiệm</v>
      </c>
      <c r="AL68" s="34" t="str">
        <f>IFERROR(__xludf.DUMMYFUNCTION("""COMPUTED_VALUE"""),"https://techcombank.com/thong-tin/blog/tai-sao-gui-tiet-kiem-online-lai-suat-cao-hon")</f>
        <v>https://techcombank.com/thong-tin/blog/tai-sao-gui-tiet-kiem-online-lai-suat-cao-hon</v>
      </c>
      <c r="AM68" s="30" t="str">
        <f>IFERROR(__xludf.DUMMYFUNCTION("""COMPUTED_VALUE"""),"công cụ tính lãi tiết kiệm")</f>
        <v>công cụ tính lãi tiết kiệm</v>
      </c>
      <c r="AN68" s="34" t="str">
        <f>IFERROR(__xludf.DUMMYFUNCTION("""COMPUTED_VALUE"""),"https://techcombank.com/thong-tin/blog/rui-ro-khi-vay-the-chap-ngan-hang")</f>
        <v>https://techcombank.com/thong-tin/blog/rui-ro-khi-vay-the-chap-ngan-hang</v>
      </c>
      <c r="AO68" s="30" t="str">
        <f>IFERROR(__xludf.DUMMYFUNCTION("""COMPUTED_VALUE"""),"công cụ tính lãi tiết kiệm")</f>
        <v>công cụ tính lãi tiết kiệm</v>
      </c>
      <c r="AP68" s="34" t="str">
        <f>IFERROR(__xludf.DUMMYFUNCTION("""COMPUTED_VALUE"""),"https://techcombank.com/thong-tin/blog/lai-kep-ngan-hang")</f>
        <v>https://techcombank.com/thong-tin/blog/lai-kep-ngan-hang</v>
      </c>
      <c r="AQ68" s="30" t="str">
        <f>IFERROR(__xludf.DUMMYFUNCTION("""COMPUTED_VALUE"""),"bảng tính lãi suất tiết kiệm")</f>
        <v>bảng tính lãi suất tiết kiệm</v>
      </c>
      <c r="AR68" s="34" t="str">
        <f>IFERROR(__xludf.DUMMYFUNCTION("""COMPUTED_VALUE"""),"https://techcombank.com/thong-tin/blog/lai-suat-vay-thau-chi")</f>
        <v>https://techcombank.com/thong-tin/blog/lai-suat-vay-thau-chi</v>
      </c>
      <c r="AS68" s="30" t="str">
        <f>IFERROR(__xludf.DUMMYFUNCTION("""COMPUTED_VALUE"""),"bảng tính lãi suất tiết kiệm")</f>
        <v>bảng tính lãi suất tiết kiệm</v>
      </c>
      <c r="AT68" s="34" t="str">
        <f>IFERROR(__xludf.DUMMYFUNCTION("""COMPUTED_VALUE"""),"https://techcombank.com/thong-tin/blog/tien-gui-khong-ky-han")</f>
        <v>https://techcombank.com/thong-tin/blog/tien-gui-khong-ky-han</v>
      </c>
      <c r="AU68" s="30" t="str">
        <f>IFERROR(__xludf.DUMMYFUNCTION("""COMPUTED_VALUE"""),"bảng tính lãi suất tiết kiệm")</f>
        <v>bảng tính lãi suất tiết kiệm</v>
      </c>
      <c r="AV68" s="34" t="str">
        <f>IFERROR(__xludf.DUMMYFUNCTION("""COMPUTED_VALUE"""),"https://techcombank.com/thong-tin/blog/dau-tu-ngan-han")</f>
        <v>https://techcombank.com/thong-tin/blog/dau-tu-ngan-han</v>
      </c>
      <c r="AW68" s="30" t="str">
        <f>IFERROR(__xludf.DUMMYFUNCTION("""COMPUTED_VALUE"""),"bảng tính lãi suất tiết kiệm")</f>
        <v>bảng tính lãi suất tiết kiệm</v>
      </c>
      <c r="AX68" s="34" t="str">
        <f>IFERROR(__xludf.DUMMYFUNCTION("""COMPUTED_VALUE"""),"https://techcombank.com/thong-tin/blog/co-nen-gui-tiet-kiem-ngan-hang")</f>
        <v>https://techcombank.com/thong-tin/blog/co-nen-gui-tiet-kiem-ngan-hang</v>
      </c>
      <c r="AY68" s="30" t="str">
        <f>IFERROR(__xludf.DUMMYFUNCTION("""COMPUTED_VALUE"""),"công cụ tính lãi tiết kiệm")</f>
        <v>công cụ tính lãi tiết kiệm</v>
      </c>
      <c r="AZ68" s="34" t="str">
        <f>IFERROR(__xludf.DUMMYFUNCTION("""COMPUTED_VALUE"""),"https://techcombank.com/thong-tin/blog/lai-suat-tiet-kiem")</f>
        <v>https://techcombank.com/thong-tin/blog/lai-suat-tiet-kiem</v>
      </c>
      <c r="BA68" s="30" t="str">
        <f>IFERROR(__xludf.DUMMYFUNCTION("""COMPUTED_VALUE"""),"công cụ tính lãi tiết kiệm")</f>
        <v>công cụ tính lãi tiết kiệm</v>
      </c>
      <c r="BB68" s="34" t="str">
        <f>IFERROR(__xludf.DUMMYFUNCTION("""COMPUTED_VALUE"""),"https://techcombank.com/thong-tin/blog/co-nen-gui-tiet-kiem-online")</f>
        <v>https://techcombank.com/thong-tin/blog/co-nen-gui-tiet-kiem-online</v>
      </c>
      <c r="BC68" s="30" t="str">
        <f>IFERROR(__xludf.DUMMYFUNCTION("""COMPUTED_VALUE"""),"bảng tính lãi suất tiết kiệm")</f>
        <v>bảng tính lãi suất tiết kiệm</v>
      </c>
      <c r="BD68" s="34" t="str">
        <f>IFERROR(__xludf.DUMMYFUNCTION("""COMPUTED_VALUE"""),"https://techcombank.com/thong-tin/blog/cac-chung-chi-quy-o-viet-nam")</f>
        <v>https://techcombank.com/thong-tin/blog/cac-chung-chi-quy-o-viet-nam</v>
      </c>
      <c r="BE68" s="30" t="str">
        <f>IFERROR(__xludf.DUMMYFUNCTION("""COMPUTED_VALUE"""),"bảng tính lãi suất tiết kiệm")</f>
        <v>bảng tính lãi suất tiết kiệm</v>
      </c>
      <c r="BF68" s="34" t="str">
        <f>IFERROR(__xludf.DUMMYFUNCTION("""COMPUTED_VALUE"""),"https://techcombank.com/thong-tin/blog/cach-gui-tiet-kiem-online")</f>
        <v>https://techcombank.com/thong-tin/blog/cach-gui-tiet-kiem-online</v>
      </c>
      <c r="BG68" s="30" t="str">
        <f>IFERROR(__xludf.DUMMYFUNCTION("""COMPUTED_VALUE"""),"bảng tính lãi suất tiết kiệm")</f>
        <v>bảng tính lãi suất tiết kiệm</v>
      </c>
      <c r="BH68" s="34" t="str">
        <f>IFERROR(__xludf.DUMMYFUNCTION("""COMPUTED_VALUE"""),"https://techcombank.com/thong-tin/blog/gui-tien-ngan-hang-co-an-toan-khong")</f>
        <v>https://techcombank.com/thong-tin/blog/gui-tien-ngan-hang-co-an-toan-khong</v>
      </c>
      <c r="BI68" s="30" t="str">
        <f>IFERROR(__xludf.DUMMYFUNCTION("""COMPUTED_VALUE"""),"bảng tính lãi suất tiết kiệm")</f>
        <v>bảng tính lãi suất tiết kiệm</v>
      </c>
      <c r="BJ68" s="34" t="str">
        <f>IFERROR(__xludf.DUMMYFUNCTION("""COMPUTED_VALUE"""),"https://techcombank.com/thong-tin/blog/dau-tu-trai-phieu-doanh-nghiep-dung-ham-lai-suat-cao")</f>
        <v>https://techcombank.com/thong-tin/blog/dau-tu-trai-phieu-doanh-nghiep-dung-ham-lai-suat-cao</v>
      </c>
      <c r="BK68" s="30" t="str">
        <f>IFERROR(__xludf.DUMMYFUNCTION("""COMPUTED_VALUE"""),"bảng tính lãi suất tiết kiệm")</f>
        <v>bảng tính lãi suất tiết kiệm</v>
      </c>
      <c r="BL68" s="34" t="str">
        <f>IFERROR(__xludf.DUMMYFUNCTION("""COMPUTED_VALUE"""),"https://techcombank.com/thong-tin/blog/nen-gui-tiet-kiem-6-thang-hay-1-nam")</f>
        <v>https://techcombank.com/thong-tin/blog/nen-gui-tiet-kiem-6-thang-hay-1-nam</v>
      </c>
      <c r="BM68" s="30" t="str">
        <f>IFERROR(__xludf.DUMMYFUNCTION("""COMPUTED_VALUE"""),"bảng tính lãi suất tiết kiệm")</f>
        <v>bảng tính lãi suất tiết kiệm</v>
      </c>
      <c r="BN68" s="34" t="str">
        <f>IFERROR(__xludf.DUMMYFUNCTION("""COMPUTED_VALUE"""),"https://techcombank.com/thong-tin/blog/mo-tai-khoan-tiet-kiem-cho-con")</f>
        <v>https://techcombank.com/thong-tin/blog/mo-tai-khoan-tiet-kiem-cho-con</v>
      </c>
      <c r="BO68" s="30" t="str">
        <f>IFERROR(__xludf.DUMMYFUNCTION("""COMPUTED_VALUE"""),"bảng tính lãi suất tiết kiệm")</f>
        <v>bảng tính lãi suất tiết kiệm</v>
      </c>
      <c r="BP68" s="34" t="str">
        <f>IFERROR(__xludf.DUMMYFUNCTION("""COMPUTED_VALUE"""),"https://techcombank.com/thong-tin/blog/so-du-tien-gui-la-gi")</f>
        <v>https://techcombank.com/thong-tin/blog/so-du-tien-gui-la-gi</v>
      </c>
      <c r="BQ68" s="30" t="str">
        <f>IFERROR(__xludf.DUMMYFUNCTION("""COMPUTED_VALUE"""),"bảng tính lãi suất tiết kiệm")</f>
        <v>bảng tính lãi suất tiết kiệm</v>
      </c>
      <c r="BR68" s="34" t="str">
        <f>IFERROR(__xludf.DUMMYFUNCTION("""COMPUTED_VALUE"""),"https://techcombank.com/thong-tin/blog/quy-gia-dinh")</f>
        <v>https://techcombank.com/thong-tin/blog/quy-gia-dinh</v>
      </c>
      <c r="BS68" s="30" t="str">
        <f>IFERROR(__xludf.DUMMYFUNCTION("""COMPUTED_VALUE"""),"công cụ tính lãi tiết kiệm")</f>
        <v>công cụ tính lãi tiết kiệm</v>
      </c>
      <c r="BT68" s="34" t="str">
        <f>IFERROR(__xludf.DUMMYFUNCTION("""COMPUTED_VALUE"""),"https://techcombank.com/thong-tin/blog/lai-suat-vay-the-chap-so-do")</f>
        <v>https://techcombank.com/thong-tin/blog/lai-suat-vay-the-chap-so-do</v>
      </c>
      <c r="BU68" s="30" t="str">
        <f>IFERROR(__xludf.DUMMYFUNCTION("""COMPUTED_VALUE"""),"công cụ tính lãi tiết kiệm")</f>
        <v>công cụ tính lãi tiết kiệm</v>
      </c>
      <c r="BV68" s="34" t="str">
        <f>IFERROR(__xludf.DUMMYFUNCTION("""COMPUTED_VALUE"""),"https://techcombank.com/thong-tin/blog/gui-tiet-kiem-lay-lai-hang-thang")</f>
        <v>https://techcombank.com/thong-tin/blog/gui-tiet-kiem-lay-lai-hang-thang</v>
      </c>
      <c r="BW68" s="30" t="str">
        <f>IFERROR(__xludf.DUMMYFUNCTION("""COMPUTED_VALUE"""),"bảng tính lãi suất tiết kiệm")</f>
        <v>bảng tính lãi suất tiết kiệm</v>
      </c>
      <c r="BX68" s="34" t="str">
        <f>IFERROR(__xludf.DUMMYFUNCTION("""COMPUTED_VALUE"""),"https://techcombank.com/thong-tin/blog/rui-ro-khi-gui-tiet-kiem-online")</f>
        <v>https://techcombank.com/thong-tin/blog/rui-ro-khi-gui-tiet-kiem-online</v>
      </c>
      <c r="BY68" s="30" t="str">
        <f>IFERROR(__xludf.DUMMYFUNCTION("""COMPUTED_VALUE"""),"bảng tính lãi suất tiết kiệm")</f>
        <v>bảng tính lãi suất tiết kiệm</v>
      </c>
      <c r="BZ68" s="34" t="str">
        <f>IFERROR(__xludf.DUMMYFUNCTION("""COMPUTED_VALUE"""),"https://techcombank.com/thong-tin/blog/the-ghi-no-visa-la-gi")</f>
        <v>https://techcombank.com/thong-tin/blog/the-ghi-no-visa-la-gi</v>
      </c>
      <c r="CA68" s="30" t="str">
        <f>IFERROR(__xludf.DUMMYFUNCTION("""COMPUTED_VALUE"""),"công cụ tính lãi tiết kiệm")</f>
        <v>công cụ tính lãi tiết kiệm</v>
      </c>
      <c r="CB68" s="34" t="str">
        <f>IFERROR(__xludf.DUMMYFUNCTION("""COMPUTED_VALUE"""),"https://techcombank.com/thong-tin/blog/cach-tinh-lai-suat-tien-gui-tiet-kiem")</f>
        <v>https://techcombank.com/thong-tin/blog/cach-tinh-lai-suat-tien-gui-tiet-kiem</v>
      </c>
      <c r="CC68" s="30" t="str">
        <f>IFERROR(__xludf.DUMMYFUNCTION("""COMPUTED_VALUE"""),"bảng tính lãi suất tiết kiệm")</f>
        <v>bảng tính lãi suất tiết kiệm</v>
      </c>
      <c r="CD68" s="34" t="str">
        <f>IFERROR(__xludf.DUMMYFUNCTION("""COMPUTED_VALUE"""),"https://techcombank.com/thong-tin/blog/lai-suat-tha-noi")</f>
        <v>https://techcombank.com/thong-tin/blog/lai-suat-tha-noi</v>
      </c>
      <c r="CE68" s="30" t="str">
        <f>IFERROR(__xludf.DUMMYFUNCTION("""COMPUTED_VALUE"""),"bảng tính lãi suất tiết kiệm")</f>
        <v>bảng tính lãi suất tiết kiệm</v>
      </c>
      <c r="CF68" s="34" t="str">
        <f>IFERROR(__xludf.DUMMYFUNCTION("""COMPUTED_VALUE"""),"https://techcombank.com/thong-tin/blog/loyalty-la-gi")</f>
        <v>https://techcombank.com/thong-tin/blog/loyalty-la-gi</v>
      </c>
      <c r="CG68" s="30" t="str">
        <f>IFERROR(__xludf.DUMMYFUNCTION("""COMPUTED_VALUE"""),"bảng tính lãi suất tiết kiệm")</f>
        <v>bảng tính lãi suất tiết kiệm</v>
      </c>
      <c r="CH68" s="34" t="str">
        <f>IFERROR(__xludf.DUMMYFUNCTION("""COMPUTED_VALUE"""),"https://techcombank.com/thong-tin/blog/chon-kenh-dau-tu-an-toan-trong-boi-canh-thi-truong-bien-dong")</f>
        <v>https://techcombank.com/thong-tin/blog/chon-kenh-dau-tu-an-toan-trong-boi-canh-thi-truong-bien-dong</v>
      </c>
      <c r="CI68" s="30" t="str">
        <f>IFERROR(__xludf.DUMMYFUNCTION("""COMPUTED_VALUE"""),"bảng tính lãi suất tiết kiệm")</f>
        <v>bảng tính lãi suất tiết kiệm</v>
      </c>
      <c r="CJ68" s="34" t="str">
        <f>IFERROR(__xludf.DUMMYFUNCTION("""COMPUTED_VALUE"""),"https://techcombank.com/thong-tin/blog/gui-tiet-kiem-ngoai-te")</f>
        <v>https://techcombank.com/thong-tin/blog/gui-tiet-kiem-ngoai-te</v>
      </c>
      <c r="CK68" s="30" t="str">
        <f>IFERROR(__xludf.DUMMYFUNCTION("""COMPUTED_VALUE"""),"công cụ tính lãi tiết kiệm")</f>
        <v>công cụ tính lãi tiết kiệm</v>
      </c>
      <c r="CL68" s="34" t="str">
        <f>IFERROR(__xludf.DUMMYFUNCTION("""COMPUTED_VALUE"""),"https://techcombank.com/thong-tin/blog/ngan-hang-so-cho-doanh-nghiep")</f>
        <v>https://techcombank.com/thong-tin/blog/ngan-hang-so-cho-doanh-nghiep</v>
      </c>
      <c r="CM68" s="30" t="str">
        <f>IFERROR(__xludf.DUMMYFUNCTION("""COMPUTED_VALUE"""),"bảng tính lãi suất tiết kiệm")</f>
        <v>bảng tính lãi suất tiết kiệm</v>
      </c>
      <c r="CN68" s="34" t="str">
        <f>IFERROR(__xludf.DUMMYFUNCTION("""COMPUTED_VALUE"""),"https://techcombank.com/thong-tin/blog/rui-ro-khi-gui-tiet-kiem-ngan-hang")</f>
        <v>https://techcombank.com/thong-tin/blog/rui-ro-khi-gui-tiet-kiem-ngan-hang</v>
      </c>
      <c r="CO68" s="30" t="str">
        <f>IFERROR(__xludf.DUMMYFUNCTION("""COMPUTED_VALUE"""),"bảng tính lãi suất tiết kiệm")</f>
        <v>bảng tính lãi suất tiết kiệm</v>
      </c>
      <c r="CP68" s="34" t="str">
        <f>IFERROR(__xludf.DUMMYFUNCTION("""COMPUTED_VALUE"""),"https://techcombank.com/thong-tin/blog/gui-tiet-kiem-hang-thang")</f>
        <v>https://techcombank.com/thong-tin/blog/gui-tiet-kiem-hang-thang</v>
      </c>
      <c r="CQ68" s="30" t="str">
        <f>IFERROR(__xludf.DUMMYFUNCTION("""COMPUTED_VALUE"""),"bảng tính lãi suất tiết kiệm")</f>
        <v>bảng tính lãi suất tiết kiệm</v>
      </c>
      <c r="CR68" s="34" t="str">
        <f>IFERROR(__xludf.DUMMYFUNCTION("""COMPUTED_VALUE"""),"https://techcombank.com/thong-tin/blog/cach-tiet-kiem-tien")</f>
        <v>https://techcombank.com/thong-tin/blog/cach-tiet-kiem-tien</v>
      </c>
      <c r="CS68" s="30" t="str">
        <f>IFERROR(__xludf.DUMMYFUNCTION("""COMPUTED_VALUE"""),"bảng tính lãi suất tiết kiệm")</f>
        <v>bảng tính lãi suất tiết kiệm</v>
      </c>
      <c r="CT68" s="34" t="str">
        <f>IFERROR(__xludf.DUMMYFUNCTION("""COMPUTED_VALUE"""),"https://techcombank.com/thong-tin/blog/giai-ngan-la-gi")</f>
        <v>https://techcombank.com/thong-tin/blog/giai-ngan-la-gi</v>
      </c>
      <c r="CU68" s="30" t="str">
        <f>IFERROR(__xludf.DUMMYFUNCTION("""COMPUTED_VALUE"""),"công cụ tính lãi tiết kiệm")</f>
        <v>công cụ tính lãi tiết kiệm</v>
      </c>
      <c r="CV68" s="34" t="str">
        <f>IFERROR(__xludf.DUMMYFUNCTION("""COMPUTED_VALUE"""),"https://techcombank.com/thong-tin/blog/vay-the-chap-so-hong")</f>
        <v>https://techcombank.com/thong-tin/blog/vay-the-chap-so-hong</v>
      </c>
      <c r="CW68" s="30" t="str">
        <f>IFERROR(__xludf.DUMMYFUNCTION("""COMPUTED_VALUE"""),"công cụ tính lãi tiết kiệm")</f>
        <v>công cụ tính lãi tiết kiệm</v>
      </c>
      <c r="CX68" s="34" t="str">
        <f>IFERROR(__xludf.DUMMYFUNCTION("""COMPUTED_VALUE"""),"https://techcombank.com/thong-tin/blog/cach-tinh-lai-vay-ngan-hang")</f>
        <v>https://techcombank.com/thong-tin/blog/cach-tinh-lai-vay-ngan-hang</v>
      </c>
      <c r="CY68" s="30" t="str">
        <f>IFERROR(__xludf.DUMMYFUNCTION("""COMPUTED_VALUE"""),"bảng tính lãi suất tiết kiệm")</f>
        <v>bảng tính lãi suất tiết kiệm</v>
      </c>
      <c r="CZ68" s="34" t="str">
        <f>IFERROR(__xludf.DUMMYFUNCTION("""COMPUTED_VALUE"""),"https://techcombank.com/thong-tin/blog/gui-tiet-kiem-online-bi-mat-tien")</f>
        <v>https://techcombank.com/thong-tin/blog/gui-tiet-kiem-online-bi-mat-tien</v>
      </c>
      <c r="DA68" s="30" t="str">
        <f>IFERROR(__xludf.DUMMYFUNCTION("""COMPUTED_VALUE"""),"bảng tính lãi suất tiết kiệm")</f>
        <v>bảng tính lãi suất tiết kiệm</v>
      </c>
      <c r="DB68" s="34" t="str">
        <f>IFERROR(__xludf.DUMMYFUNCTION("""COMPUTED_VALUE"""),"https://techcombank.com/thong-tin/blog/kinh-nghiem-gui-tiet-kiem-online")</f>
        <v>https://techcombank.com/thong-tin/blog/kinh-nghiem-gui-tiet-kiem-online</v>
      </c>
      <c r="DC68" s="30" t="str">
        <f>IFERROR(__xludf.DUMMYFUNCTION("""COMPUTED_VALUE"""),"bảng tính lãi suất tiết kiệm")</f>
        <v>bảng tính lãi suất tiết kiệm</v>
      </c>
      <c r="DD68" s="34" t="str">
        <f>IFERROR(__xludf.DUMMYFUNCTION("""COMPUTED_VALUE"""),"https://techcombank.com/thong-tin/blog/vay-thau-chi-bang-so-tiet-kiem")</f>
        <v>https://techcombank.com/thong-tin/blog/vay-thau-chi-bang-so-tiet-kiem</v>
      </c>
      <c r="DE68" s="30" t="str">
        <f>IFERROR(__xludf.DUMMYFUNCTION("""COMPUTED_VALUE"""),"bảng tính lãi suất tiết kiệm")</f>
        <v>bảng tính lãi suất tiết kiệm</v>
      </c>
      <c r="DF68" s="34" t="str">
        <f>IFERROR(__xludf.DUMMYFUNCTION("""COMPUTED_VALUE"""),"https://techcombank.com/thong-tin/blog/vay-du-hoc")</f>
        <v>https://techcombank.com/thong-tin/blog/vay-du-hoc</v>
      </c>
      <c r="DG68" s="30" t="str">
        <f>IFERROR(__xludf.DUMMYFUNCTION("""COMPUTED_VALUE"""),"bảng tính lãi suất tiết kiệm")</f>
        <v>bảng tính lãi suất tiết kiệm</v>
      </c>
      <c r="DH68" s="34" t="str">
        <f>IFERROR(__xludf.DUMMYFUNCTION("""COMPUTED_VALUE"""),"https://techcombank.com/thong-tin/blog/gui-tiet-kiem-online-co-rut-truoc-han-duoc-khong")</f>
        <v>https://techcombank.com/thong-tin/blog/gui-tiet-kiem-online-co-rut-truoc-han-duoc-khong</v>
      </c>
      <c r="DI68" s="30" t="str">
        <f>IFERROR(__xludf.DUMMYFUNCTION("""COMPUTED_VALUE"""),"công cụ tính lãi tiết kiệm")</f>
        <v>công cụ tính lãi tiết kiệm</v>
      </c>
      <c r="DJ68" s="34" t="str">
        <f>IFERROR(__xludf.DUMMYFUNCTION("""COMPUTED_VALUE"""),"https://techcombank.com/thong-tin/blog/gui-tiet-kiem-online-quay-vong-ca-goc-va-lai")</f>
        <v>https://techcombank.com/thong-tin/blog/gui-tiet-kiem-online-quay-vong-ca-goc-va-lai</v>
      </c>
      <c r="DK68" s="30" t="str">
        <f>IFERROR(__xludf.DUMMYFUNCTION("""COMPUTED_VALUE"""),"bảng tính lãi suất tiết kiệm")</f>
        <v>bảng tính lãi suất tiết kiệm</v>
      </c>
      <c r="DL68" s="34" t="str">
        <f>IFERROR(__xludf.DUMMYFUNCTION("""COMPUTED_VALUE"""),"https://techcombank.com/thong-tin/blog/chung-chi-tien-gui-khac-gi-so-tiet-kiem")</f>
        <v>https://techcombank.com/thong-tin/blog/chung-chi-tien-gui-khac-gi-so-tiet-kiem</v>
      </c>
      <c r="DM68" s="30" t="str">
        <f>IFERROR(__xludf.DUMMYFUNCTION("""COMPUTED_VALUE"""),"bảng tính lãi suất tiết kiệm")</f>
        <v>bảng tính lãi suất tiết kiệm</v>
      </c>
      <c r="DN68" s="34" t="str">
        <f>IFERROR(__xludf.DUMMYFUNCTION("""COMPUTED_VALUE"""),"https://techcombank.com/thong-tin/blog/mo-tai-khoan-ho-kinh-doanh")</f>
        <v>https://techcombank.com/thong-tin/blog/mo-tai-khoan-ho-kinh-doanh</v>
      </c>
      <c r="DO68" s="30" t="str">
        <f>IFERROR(__xludf.DUMMYFUNCTION("""COMPUTED_VALUE"""),"bảng tính lãi suất tiết kiệm")</f>
        <v>bảng tính lãi suất tiết kiệm</v>
      </c>
      <c r="DP68" s="34" t="str">
        <f>IFERROR(__xludf.DUMMYFUNCTION("""COMPUTED_VALUE"""),"https://techcombank.com/thong-tin/blog/so-sanh-gui-tiet-kiem-online-va-tai-quay")</f>
        <v>https://techcombank.com/thong-tin/blog/so-sanh-gui-tiet-kiem-online-va-tai-quay</v>
      </c>
      <c r="DQ68" s="30" t="str">
        <f>IFERROR(__xludf.DUMMYFUNCTION("""COMPUTED_VALUE"""),"bảng tính lãi suất tiết kiệm")</f>
        <v>bảng tính lãi suất tiết kiệm</v>
      </c>
      <c r="DR68" s="34" t="str">
        <f>IFERROR(__xludf.DUMMYFUNCTION("""COMPUTED_VALUE"""),"https://techcombank.com/thong-tin/blog/chung-chi-tien-gui-co-phai-la-trai-phieu-khong")</f>
        <v>https://techcombank.com/thong-tin/blog/chung-chi-tien-gui-co-phai-la-trai-phieu-khong</v>
      </c>
      <c r="DS68" s="30" t="str">
        <f>IFERROR(__xludf.DUMMYFUNCTION("""COMPUTED_VALUE"""),"bảng tính lãi suất tiết kiệm")</f>
        <v>bảng tính lãi suất tiết kiệm</v>
      </c>
      <c r="DT68" s="34" t="str">
        <f>IFERROR(__xludf.DUMMYFUNCTION("""COMPUTED_VALUE"""),"https://techcombank.com/thong-tin/blog/cach-tiet-kiem-tien-sinh-loi")</f>
        <v>https://techcombank.com/thong-tin/blog/cach-tiet-kiem-tien-sinh-loi</v>
      </c>
      <c r="DU68" s="30" t="str">
        <f>IFERROR(__xludf.DUMMYFUNCTION("""COMPUTED_VALUE"""),"công cụ tính lãi tiết kiệm")</f>
        <v>công cụ tính lãi tiết kiệm</v>
      </c>
      <c r="DV68" s="34" t="str">
        <f>IFERROR(__xludf.DUMMYFUNCTION("""COMPUTED_VALUE"""),"https://techcombank.com/thong-tin/blog/thanh-toan-tra-gop-qua-the-tin-dung")</f>
        <v>https://techcombank.com/thong-tin/blog/thanh-toan-tra-gop-qua-the-tin-dung</v>
      </c>
      <c r="DW68" s="30" t="str">
        <f>IFERROR(__xludf.DUMMYFUNCTION("""COMPUTED_VALUE"""),"bảng tính lãi suất tiết kiệm")</f>
        <v>bảng tính lãi suất tiết kiệm</v>
      </c>
      <c r="DX68" s="34" t="str">
        <f>IFERROR(__xludf.DUMMYFUNCTION("""COMPUTED_VALUE"""),"https://techcombank.com/thong-tin/blog/nen-lam-the-visa-hay-noi-dia")</f>
        <v>https://techcombank.com/thong-tin/blog/nen-lam-the-visa-hay-noi-dia</v>
      </c>
      <c r="DY68" s="30" t="str">
        <f>IFERROR(__xludf.DUMMYFUNCTION("""COMPUTED_VALUE"""),"bảng tính lãi suất tiết kiệm")</f>
        <v>bảng tính lãi suất tiết kiệm</v>
      </c>
      <c r="DZ68" s="34" t="str">
        <f>IFERROR(__xludf.DUMMYFUNCTION("""COMPUTED_VALUE"""),"https://techcombank.com/thong-tin/blog/tien-nhan-roi-nen-lam-gi")</f>
        <v>https://techcombank.com/thong-tin/blog/tien-nhan-roi-nen-lam-gi</v>
      </c>
      <c r="EA68" s="30" t="str">
        <f>IFERROR(__xludf.DUMMYFUNCTION("""COMPUTED_VALUE"""),"bảng tính lãi suất tiết kiệm")</f>
        <v>bảng tính lãi suất tiết kiệm</v>
      </c>
      <c r="EB68" s="34" t="str">
        <f>IFERROR(__xludf.DUMMYFUNCTION("""COMPUTED_VALUE"""),"https://techcombank.com/thong-tin/blog/tien-gui-co-ky-han")</f>
        <v>https://techcombank.com/thong-tin/blog/tien-gui-co-ky-han</v>
      </c>
      <c r="EC68" s="30" t="str">
        <f>IFERROR(__xludf.DUMMYFUNCTION("""COMPUTED_VALUE"""),"bảng tính lãi suất tiết kiệm")</f>
        <v>bảng tính lãi suất tiết kiệm</v>
      </c>
      <c r="ED68" s="34" t="str">
        <f>IFERROR(__xludf.DUMMYFUNCTION("""COMPUTED_VALUE"""),"https://techcombank.com/thong-tin/blog/lai-suat-gui-tiet-kiem-usd")</f>
        <v>https://techcombank.com/thong-tin/blog/lai-suat-gui-tiet-kiem-usd</v>
      </c>
      <c r="EE68" s="30" t="str">
        <f>IFERROR(__xludf.DUMMYFUNCTION("""COMPUTED_VALUE"""),"bảng tính lãi suất tiết kiệm")</f>
        <v>bảng tính lãi suất tiết kiệm</v>
      </c>
      <c r="EF68" s="34" t="str">
        <f>IFERROR(__xludf.DUMMYFUNCTION("""COMPUTED_VALUE"""),"https://techcombank.com/thong-tin/blog/gui-tiet-kiem-usd")</f>
        <v>https://techcombank.com/thong-tin/blog/gui-tiet-kiem-usd</v>
      </c>
      <c r="EG68" s="30" t="str">
        <f>IFERROR(__xludf.DUMMYFUNCTION("""COMPUTED_VALUE"""),"bảng tính lãi suất tiết kiệm")</f>
        <v>bảng tính lãi suất tiết kiệm</v>
      </c>
      <c r="EH68" s="34" t="str">
        <f>IFERROR(__xludf.DUMMYFUNCTION("""COMPUTED_VALUE"""),"https://techcombank.com/thong-tin/blog/so-tiet-kiem-ngan-hang")</f>
        <v>https://techcombank.com/thong-tin/blog/so-tiet-kiem-ngan-hang</v>
      </c>
      <c r="EI68" s="30" t="str">
        <f>IFERROR(__xludf.DUMMYFUNCTION("""COMPUTED_VALUE"""),"công cụ tính lãi tiết kiệm")</f>
        <v>công cụ tính lãi tiết kiệm</v>
      </c>
      <c r="EJ68" s="34" t="str">
        <f>IFERROR(__xludf.DUMMYFUNCTION("""COMPUTED_VALUE"""),"https://techcombank.com/thong-tin/blog/quan-ly-tai-chinh-cho-dan-van-phong")</f>
        <v>https://techcombank.com/thong-tin/blog/quan-ly-tai-chinh-cho-dan-van-phong</v>
      </c>
      <c r="EK68" s="30" t="str">
        <f>IFERROR(__xludf.DUMMYFUNCTION("""COMPUTED_VALUE"""),"bảng tính lãi suất tiết kiệm")</f>
        <v>bảng tính lãi suất tiết kiệm</v>
      </c>
      <c r="EL68" s="34" t="str">
        <f>IFERROR(__xludf.DUMMYFUNCTION("""COMPUTED_VALUE"""),"https://techcombank.com/thong-tin/blog/app-gui-tien-tiet-kiem")</f>
        <v>https://techcombank.com/thong-tin/blog/app-gui-tien-tiet-kiem</v>
      </c>
      <c r="EM68" s="30" t="str">
        <f>IFERROR(__xludf.DUMMYFUNCTION("""COMPUTED_VALUE"""),"công cụ tính lãi tiết kiệm")</f>
        <v>công cụ tính lãi tiết kiệm</v>
      </c>
      <c r="EN68" s="34" t="str">
        <f>IFERROR(__xludf.DUMMYFUNCTION("""COMPUTED_VALUE"""),"https://techcombank.com/thong-tin/blog/bi-quyet-tiet-kiem-tien-mua-nha")</f>
        <v>https://techcombank.com/thong-tin/blog/bi-quyet-tiet-kiem-tien-mua-nha</v>
      </c>
      <c r="EO68" s="30" t="str">
        <f>IFERROR(__xludf.DUMMYFUNCTION("""COMPUTED_VALUE"""),"bảng tính lãi suất tiết kiệm")</f>
        <v>bảng tính lãi suất tiết kiệm</v>
      </c>
      <c r="EP68" s="34" t="str">
        <f>IFERROR(__xludf.DUMMYFUNCTION("""COMPUTED_VALUE"""),"https://techcombank.com/thong-tin/blog/tat-toan-so-tiet-kiem")</f>
        <v>https://techcombank.com/thong-tin/blog/tat-toan-so-tiet-kiem</v>
      </c>
      <c r="EQ68" s="30" t="str">
        <f>IFERROR(__xludf.DUMMYFUNCTION("""COMPUTED_VALUE"""),"công cụ tính lãi tiết kiệm")</f>
        <v>công cụ tính lãi tiết kiệm</v>
      </c>
      <c r="ER68" s="34" t="str">
        <f>IFERROR(__xludf.DUMMYFUNCTION("""COMPUTED_VALUE"""),"https://techcombank.com/thong-tin/blog/cach-tinh-thue-thu-nhap-doanh-nghiep")</f>
        <v>https://techcombank.com/thong-tin/blog/cach-tinh-thue-thu-nhap-doanh-nghiep</v>
      </c>
      <c r="ES68" s="30" t="str">
        <f>IFERROR(__xludf.DUMMYFUNCTION("""COMPUTED_VALUE"""),"công cụ tính lãi tiết kiệm")</f>
        <v>công cụ tính lãi tiết kiệm</v>
      </c>
      <c r="ET68" s="34" t="str">
        <f>IFERROR(__xludf.DUMMYFUNCTION("""COMPUTED_VALUE"""),"https://techcombank.com/thong-tin/blog/co-nen-vay-ngan-hang-mua-nha")</f>
        <v>https://techcombank.com/thong-tin/blog/co-nen-vay-ngan-hang-mua-nha</v>
      </c>
      <c r="EU68" s="30" t="str">
        <f>IFERROR(__xludf.DUMMYFUNCTION("""COMPUTED_VALUE"""),"bảng tính lãi suất tiết kiệm")</f>
        <v>bảng tính lãi suất tiết kiệm</v>
      </c>
      <c r="EV68" s="34" t="str">
        <f>IFERROR(__xludf.DUMMYFUNCTION("""COMPUTED_VALUE"""),"https://techcombank.com/thong-tin/blog/dao-han-la-gi")</f>
        <v>https://techcombank.com/thong-tin/blog/dao-han-la-gi</v>
      </c>
      <c r="EW68" s="30" t="str">
        <f>IFERROR(__xludf.DUMMYFUNCTION("""COMPUTED_VALUE"""),"bảng tính lãi suất tiết kiệm")</f>
        <v>bảng tính lãi suất tiết kiệm</v>
      </c>
      <c r="EX68" s="34" t="str">
        <f>IFERROR(__xludf.DUMMYFUNCTION("""COMPUTED_VALUE"""),"https://techcombank.com/thong-tin/blog/khai-bao-tai-khoan-ngan-hang-voi-co-quan-thue")</f>
        <v>https://techcombank.com/thong-tin/blog/khai-bao-tai-khoan-ngan-hang-voi-co-quan-thue</v>
      </c>
      <c r="EY68" s="30" t="str">
        <f>IFERROR(__xludf.DUMMYFUNCTION("""COMPUTED_VALUE"""),"bảng tính lãi suất tiết kiệm")</f>
        <v>bảng tính lãi suất tiết kiệm</v>
      </c>
      <c r="EZ68" s="34" t="str">
        <f>IFERROR(__xludf.DUMMYFUNCTION("""COMPUTED_VALUE"""),"https://techcombank.com/thong-tin/blog/dang-ky-nhieu-tai-khoan-ngan-hang-co-sao-khong")</f>
        <v>https://techcombank.com/thong-tin/blog/dang-ky-nhieu-tai-khoan-ngan-hang-co-sao-khong</v>
      </c>
      <c r="FA68" s="30" t="str">
        <f>IFERROR(__xludf.DUMMYFUNCTION("""COMPUTED_VALUE"""),"bảng tính lãi suất tiết kiệm")</f>
        <v>bảng tính lãi suất tiết kiệm</v>
      </c>
      <c r="FB68" s="34" t="str">
        <f>IFERROR(__xludf.DUMMYFUNCTION("""COMPUTED_VALUE"""),"https://techcombank.com/thong-tin/blog/nghich-ly-nha-dau-tu-che-trai-phieu-lai-suat-cao-ua-ma-an-toan-du-lai-suat-thap-hon-05-1")</f>
        <v>https://techcombank.com/thong-tin/blog/nghich-ly-nha-dau-tu-che-trai-phieu-lai-suat-cao-ua-ma-an-toan-du-lai-suat-thap-hon-05-1</v>
      </c>
      <c r="FC68" s="30" t="str">
        <f>IFERROR(__xludf.DUMMYFUNCTION("""COMPUTED_VALUE"""),"bảng tính lãi suất tiết kiệm")</f>
        <v>bảng tính lãi suất tiết kiệm</v>
      </c>
      <c r="FD68" s="34" t="str">
        <f>IFERROR(__xludf.DUMMYFUNCTION("""COMPUTED_VALUE"""),"https://techcombank.com/thong-tin/blog/thi-truong-trai-phieu-co-hoi-dau-tu-trai-phieu-vang-du-lai-suat-thap")</f>
        <v>https://techcombank.com/thong-tin/blog/thi-truong-trai-phieu-co-hoi-dau-tu-trai-phieu-vang-du-lai-suat-thap</v>
      </c>
      <c r="FE68" s="30" t="str">
        <f>IFERROR(__xludf.DUMMYFUNCTION("""COMPUTED_VALUE"""),"bảng tính lãi suất tiết kiệm")</f>
        <v>bảng tính lãi suất tiết kiệm</v>
      </c>
      <c r="FF68" s="34" t="str">
        <f>IFERROR(__xludf.DUMMYFUNCTION("""COMPUTED_VALUE"""),"https://techcombank.com/thong-tin/blog/app-ngan-hang-uy-tin")</f>
        <v>https://techcombank.com/thong-tin/blog/app-ngan-hang-uy-tin</v>
      </c>
      <c r="FG68" s="30" t="str">
        <f>IFERROR(__xludf.DUMMYFUNCTION("""COMPUTED_VALUE"""),"bảng tính lãi suất tiết kiệm")</f>
        <v>bảng tính lãi suất tiết kiệm</v>
      </c>
      <c r="FH68" s="34" t="str">
        <f>IFERROR(__xludf.DUMMYFUNCTION("""COMPUTED_VALUE"""),"https://techcombank.com/thong-tin/blog/mo-so-tiet-kiem-can-bao-nhieu-tien")</f>
        <v>https://techcombank.com/thong-tin/blog/mo-so-tiet-kiem-can-bao-nhieu-tien</v>
      </c>
      <c r="FI68" s="30" t="str">
        <f>IFERROR(__xludf.DUMMYFUNCTION("""COMPUTED_VALUE"""),"bảng tính lãi suất tiết kiệm")</f>
        <v>bảng tính lãi suất tiết kiệm</v>
      </c>
      <c r="FJ68" s="34" t="str">
        <f>IFERROR(__xludf.DUMMYFUNCTION("""COMPUTED_VALUE"""),"https://techcombank.com/thong-tin/blog/lai-suat-chung-chi-quy")</f>
        <v>https://techcombank.com/thong-tin/blog/lai-suat-chung-chi-quy</v>
      </c>
      <c r="FK68" s="30" t="str">
        <f>IFERROR(__xludf.DUMMYFUNCTION("""COMPUTED_VALUE"""),"bảng tính lãi suất tiết kiệm")</f>
        <v>bảng tính lãi suất tiết kiệm</v>
      </c>
      <c r="FL68" s="34" t="str">
        <f>IFERROR(__xludf.DUMMYFUNCTION("""COMPUTED_VALUE"""),"https://techcombank.com/thong-tin/blog/lai-suat-cho-vay-doanh-nghiep")</f>
        <v>https://techcombank.com/thong-tin/blog/lai-suat-cho-vay-doanh-nghiep</v>
      </c>
      <c r="FM68" s="30" t="str">
        <f>IFERROR(__xludf.DUMMYFUNCTION("""COMPUTED_VALUE"""),"công cụ tính lãi tiết kiệm")</f>
        <v>công cụ tính lãi tiết kiệm</v>
      </c>
      <c r="FN68" s="34" t="str">
        <f>IFERROR(__xludf.DUMMYFUNCTION("""COMPUTED_VALUE"""),"https://techcombank.com/thong-tin/blog/thue-thu-nhap-doanh-nghiep")</f>
        <v>https://techcombank.com/thong-tin/blog/thue-thu-nhap-doanh-nghiep</v>
      </c>
      <c r="FO68" s="30" t="str">
        <f>IFERROR(__xludf.DUMMYFUNCTION("""COMPUTED_VALUE"""),"bảng tính lãi suất tiết kiệm")</f>
        <v>bảng tính lãi suất tiết kiệm</v>
      </c>
      <c r="FP68" s="34" t="str">
        <f>IFERROR(__xludf.DUMMYFUNCTION("""COMPUTED_VALUE"""),"https://techcombank.com/thong-tin/blog/quy-du-phong-tai-chinh-la-gi")</f>
        <v>https://techcombank.com/thong-tin/blog/quy-du-phong-tai-chinh-la-gi</v>
      </c>
      <c r="FQ68" s="30" t="str">
        <f>IFERROR(__xludf.DUMMYFUNCTION("""COMPUTED_VALUE"""),"bảng tính lãi suất tiết kiệm")</f>
        <v>bảng tính lãi suất tiết kiệm</v>
      </c>
      <c r="FR68" s="34" t="str">
        <f>IFERROR(__xludf.DUMMYFUNCTION("""COMPUTED_VALUE"""),"https://techcombank.com/thong-tin/blog/thue-khoan-ho-kinh-doanh-la-gi")</f>
        <v>https://techcombank.com/thong-tin/blog/thue-khoan-ho-kinh-doanh-la-gi</v>
      </c>
      <c r="FS68" s="30" t="str">
        <f>IFERROR(__xludf.DUMMYFUNCTION("""COMPUTED_VALUE"""),"bảng tính lãi suất tiết kiệm")</f>
        <v>bảng tính lãi suất tiết kiệm</v>
      </c>
      <c r="FT68" s="34" t="str">
        <f>IFERROR(__xludf.DUMMYFUNCTION("""COMPUTED_VALUE"""),"https://techcombank.com/thong-tin/blog/rut-tien-tiet-kiem-truoc-thoi-han")</f>
        <v>https://techcombank.com/thong-tin/blog/rut-tien-tiet-kiem-truoc-thoi-han</v>
      </c>
      <c r="FU68" s="30" t="str">
        <f>IFERROR(__xludf.DUMMYFUNCTION("""COMPUTED_VALUE"""),"công cụ tính lãi tiết kiệm")</f>
        <v>công cụ tính lãi tiết kiệm</v>
      </c>
      <c r="FV68" s="34" t="str">
        <f>IFERROR(__xludf.DUMMYFUNCTION("""COMPUTED_VALUE"""),"https://techcombank.com/thong-tin/blog/lai-suat-la-gi")</f>
        <v>https://techcombank.com/thong-tin/blog/lai-suat-la-gi</v>
      </c>
      <c r="FW68" s="30" t="str">
        <f>IFERROR(__xludf.DUMMYFUNCTION("""COMPUTED_VALUE"""),"bảng tính lãi suất tiết kiệm")</f>
        <v>bảng tính lãi suất tiết kiệm</v>
      </c>
      <c r="FX68" s="34" t="str">
        <f>IFERROR(__xludf.DUMMYFUNCTION("""COMPUTED_VALUE"""),"https://techcombank.com/thong-tin/blog/vi-sao-lai-suat-trai-phieu-tai-tcbs-lai-thap-hon-so-voi-cac-to-chuc-phat-hanh-khac")</f>
        <v>https://techcombank.com/thong-tin/blog/vi-sao-lai-suat-trai-phieu-tai-tcbs-lai-thap-hon-so-voi-cac-to-chuc-phat-hanh-khac</v>
      </c>
      <c r="FY68" s="30" t="str">
        <f>IFERROR(__xludf.DUMMYFUNCTION("""COMPUTED_VALUE"""),"bảng tính lãi suất tiết kiệm")</f>
        <v>bảng tính lãi suất tiết kiệm</v>
      </c>
      <c r="FZ68" s="34" t="str">
        <f>IFERROR(__xludf.DUMMYFUNCTION("""COMPUTED_VALUE"""),"https://techcombank.com/thong-tin/blog/cach-dau-tu")</f>
        <v>https://techcombank.com/thong-tin/blog/cach-dau-tu</v>
      </c>
      <c r="GA68" s="30" t="str">
        <f>IFERROR(__xludf.DUMMYFUNCTION("""COMPUTED_VALUE"""),"công cụ tính lãi tiết kiệm")</f>
        <v>công cụ tính lãi tiết kiệm</v>
      </c>
      <c r="GB68" s="34" t="str">
        <f>IFERROR(__xludf.DUMMYFUNCTION("""COMPUTED_VALUE"""),"https://techcombank.com/thong-tin/blog/vi-dien-tu")</f>
        <v>https://techcombank.com/thong-tin/blog/vi-dien-tu</v>
      </c>
      <c r="GC68" s="30" t="str">
        <f>IFERROR(__xludf.DUMMYFUNCTION("""COMPUTED_VALUE"""),"bảng tính lãi suất tiết kiệm")</f>
        <v>bảng tính lãi suất tiết kiệm</v>
      </c>
      <c r="GD68" s="34" t="str">
        <f>IFERROR(__xludf.DUMMYFUNCTION("""COMPUTED_VALUE"""),"https://techcombank.com/thong-tin/blog/chung-chi-tien-gui-co-an-toan-khong")</f>
        <v>https://techcombank.com/thong-tin/blog/chung-chi-tien-gui-co-an-toan-khong</v>
      </c>
      <c r="GE68" s="30" t="str">
        <f>IFERROR(__xludf.DUMMYFUNCTION("""COMPUTED_VALUE"""),"công cụ tính lãi tiết kiệm")</f>
        <v>công cụ tính lãi tiết kiệm</v>
      </c>
      <c r="GF68" s="34" t="str">
        <f>IFERROR(__xludf.DUMMYFUNCTION("""COMPUTED_VALUE"""),"https://techcombank.com/thong-tin/blog/ung-dung-cong-nghe")</f>
        <v>https://techcombank.com/thong-tin/blog/ung-dung-cong-nghe</v>
      </c>
      <c r="GG68" s="30" t="str">
        <f>IFERROR(__xludf.DUMMYFUNCTION("""COMPUTED_VALUE"""),"bảng tính lãi suất tiết kiệm")</f>
        <v>bảng tính lãi suất tiết kiệm</v>
      </c>
      <c r="GH68" s="34" t="str">
        <f>IFERROR(__xludf.DUMMYFUNCTION("""COMPUTED_VALUE"""),"https://techcombank.com/thong-tin/blog/vay-bo-sung-von-luu-dong")</f>
        <v>https://techcombank.com/thong-tin/blog/vay-bo-sung-von-luu-dong</v>
      </c>
      <c r="GI68" s="30" t="str">
        <f>IFERROR(__xludf.DUMMYFUNCTION("""COMPUTED_VALUE"""),"bảng tính lãi suất tiết kiệm")</f>
        <v>bảng tính lãi suất tiết kiệm</v>
      </c>
      <c r="GJ68" s="34" t="str">
        <f>IFERROR(__xludf.DUMMYFUNCTION("""COMPUTED_VALUE"""),"https://techcombank.com/thong-tin/blog/tra-cuu-ma-so-thue-ho-kinh-doanh")</f>
        <v>https://techcombank.com/thong-tin/blog/tra-cuu-ma-so-thue-ho-kinh-doanh</v>
      </c>
      <c r="GK68" s="30" t="str">
        <f>IFERROR(__xludf.DUMMYFUNCTION("""COMPUTED_VALUE"""),"công cụ tính lãi tiết kiệm")</f>
        <v>công cụ tính lãi tiết kiệm</v>
      </c>
      <c r="GL68" s="34" t="str">
        <f>IFERROR(__xludf.DUMMYFUNCTION("""COMPUTED_VALUE"""),"https://techcombank.com/thong-tin/blog/chuan-bi-cho-doanh-nghiep-khoi-nghiep-truoc-nhung-thay-doi-ve-thue")</f>
        <v>https://techcombank.com/thong-tin/blog/chuan-bi-cho-doanh-nghiep-khoi-nghiep-truoc-nhung-thay-doi-ve-thue</v>
      </c>
      <c r="GM68" s="30" t="str">
        <f>IFERROR(__xludf.DUMMYFUNCTION("""COMPUTED_VALUE"""),"công cụ tính lãi tiết kiệm")</f>
        <v>công cụ tính lãi tiết kiệm</v>
      </c>
      <c r="GN68" s="34" t="str">
        <f>IFERROR(__xludf.DUMMYFUNCTION("""COMPUTED_VALUE"""),"https://techcombank.com/thong-tin/blog/thanh-toan-ve-may-bay-online")</f>
        <v>https://techcombank.com/thong-tin/blog/thanh-toan-ve-may-bay-online</v>
      </c>
      <c r="GO68" s="30" t="str">
        <f>IFERROR(__xludf.DUMMYFUNCTION("""COMPUTED_VALUE"""),"công cụ tính lãi tiết kiệm")</f>
        <v>công cụ tính lãi tiết kiệm</v>
      </c>
      <c r="GP68" s="34" t="str">
        <f>IFERROR(__xludf.DUMMYFUNCTION("""COMPUTED_VALUE"""),"https://techcombank.com/thong-tin/blog/vay-mua-chung-cu")</f>
        <v>https://techcombank.com/thong-tin/blog/vay-mua-chung-cu</v>
      </c>
      <c r="GQ68" s="30" t="str">
        <f>IFERROR(__xludf.DUMMYFUNCTION("""COMPUTED_VALUE"""),"bảng tính lãi suất tiết kiệm")</f>
        <v>bảng tính lãi suất tiết kiệm</v>
      </c>
      <c r="GR68" s="34" t="str">
        <f>IFERROR(__xludf.DUMMYFUNCTION("""COMPUTED_VALUE"""),"https://techcombank.com/thong-tin/blog/cach-tiet-kiem-tien-hieu-qua-cho-gia-dinh")</f>
        <v>https://techcombank.com/thong-tin/blog/cach-tiet-kiem-tien-hieu-qua-cho-gia-dinh</v>
      </c>
      <c r="GS68" s="30" t="str">
        <f>IFERROR(__xludf.DUMMYFUNCTION("""COMPUTED_VALUE"""),"bảng tính lãi suất tiết kiệm")</f>
        <v>bảng tính lãi suất tiết kiệm</v>
      </c>
      <c r="GT68" s="34" t="str">
        <f>IFERROR(__xludf.DUMMYFUNCTION("""COMPUTED_VALUE"""),"https://techcombank.com/thong-tin/blog/thay-doi-dia-chi-ho-kinh-doanh")</f>
        <v>https://techcombank.com/thong-tin/blog/thay-doi-dia-chi-ho-kinh-doanh</v>
      </c>
      <c r="GU68" s="30" t="str">
        <f>IFERROR(__xludf.DUMMYFUNCTION("""COMPUTED_VALUE"""),"bảng tính lãi suất tiết kiệm")</f>
        <v>bảng tính lãi suất tiết kiệm</v>
      </c>
      <c r="GV68" s="34" t="str">
        <f>IFERROR(__xludf.DUMMYFUNCTION("""COMPUTED_VALUE"""),"https://techcombank.com/thong-tin/blog/lai-suat-qua-han")</f>
        <v>https://techcombank.com/thong-tin/blog/lai-suat-qua-han</v>
      </c>
      <c r="GW68" s="30" t="str">
        <f>IFERROR(__xludf.DUMMYFUNCTION("""COMPUTED_VALUE"""),"công cụ tính lãi tiết kiệm")</f>
        <v>công cụ tính lãi tiết kiệm</v>
      </c>
      <c r="GX68" s="34" t="str">
        <f>IFERROR(__xludf.DUMMYFUNCTION("""COMPUTED_VALUE"""),"https://techcombank.com/thong-tin/blog/khoi-nghiep-truoc-chinh-sach-thue-moi")</f>
        <v>https://techcombank.com/thong-tin/blog/khoi-nghiep-truoc-chinh-sach-thue-moi</v>
      </c>
      <c r="GY68" s="30" t="str">
        <f>IFERROR(__xludf.DUMMYFUNCTION("""COMPUTED_VALUE"""),"công cụ tính lãi tiết kiệm")</f>
        <v>công cụ tính lãi tiết kiệm</v>
      </c>
      <c r="GZ68" s="34" t="str">
        <f>IFERROR(__xludf.DUMMYFUNCTION("""COMPUTED_VALUE"""),"https://techcombank.com/thong-tin/blog/merchant-la-gi")</f>
        <v>https://techcombank.com/thong-tin/blog/merchant-la-gi</v>
      </c>
      <c r="HA68" s="30" t="str">
        <f>IFERROR(__xludf.DUMMYFUNCTION("""COMPUTED_VALUE"""),"công cụ tính lãi tiết kiệm")</f>
        <v>công cụ tính lãi tiết kiệm</v>
      </c>
      <c r="HB68" s="34" t="str">
        <f>IFERROR(__xludf.DUMMYFUNCTION("""COMPUTED_VALUE"""),"https://techcombank.com/thong-tin/blog/hieu-hiet-ve-tuan-thu-thue-cho-cac-doanh-nghiep-khoi-nghiep")</f>
        <v>https://techcombank.com/thong-tin/blog/hieu-hiet-ve-tuan-thu-thue-cho-cac-doanh-nghiep-khoi-nghiep</v>
      </c>
      <c r="HC68" s="30" t="str">
        <f>IFERROR(__xludf.DUMMYFUNCTION("""COMPUTED_VALUE"""),"bảng tính lãi suất tiết kiệm")</f>
        <v>bảng tính lãi suất tiết kiệm</v>
      </c>
      <c r="HD68" s="34" t="str">
        <f>IFERROR(__xludf.DUMMYFUNCTION("""COMPUTED_VALUE"""),"https://techcombank.com/thong-tin/blog/chung-chi-quy")</f>
        <v>https://techcombank.com/thong-tin/blog/chung-chi-quy</v>
      </c>
      <c r="HE68" s="30"/>
      <c r="HF68" s="30"/>
      <c r="HG68" s="30"/>
      <c r="HH68" s="30"/>
      <c r="HI68" s="30"/>
      <c r="HJ68" s="30"/>
      <c r="HK68" s="30"/>
      <c r="HL68" s="30"/>
      <c r="HM68" s="30"/>
      <c r="HN68" s="30"/>
      <c r="HO68" s="30"/>
      <c r="HP68" s="30"/>
      <c r="HQ68" s="30"/>
      <c r="HR68" s="30"/>
      <c r="HS68" s="30"/>
      <c r="HT68" s="30"/>
      <c r="HU68" s="30"/>
      <c r="HV68" s="30"/>
      <c r="HW68" s="30"/>
      <c r="HX68" s="30"/>
      <c r="HY68" s="30"/>
      <c r="HZ68" s="30"/>
      <c r="IA68" s="30"/>
      <c r="IB68" s="30"/>
      <c r="IC68" s="30"/>
      <c r="ID68" s="30"/>
      <c r="IE68" s="30"/>
      <c r="IF68" s="30"/>
      <c r="IG68" s="30"/>
      <c r="IH68" s="30"/>
      <c r="II68" s="30"/>
      <c r="IJ68" s="30"/>
      <c r="IK68" s="30"/>
      <c r="IL68" s="30"/>
      <c r="IM68" s="30"/>
      <c r="IN68" s="30"/>
      <c r="IO68" s="30"/>
      <c r="IP68" s="30"/>
      <c r="IQ68" s="30"/>
      <c r="IR68" s="30"/>
      <c r="IS68" s="30"/>
      <c r="IT68" s="30"/>
      <c r="IU68" s="30"/>
      <c r="IV68" s="30"/>
      <c r="IW68" s="30"/>
      <c r="IX68" s="30"/>
      <c r="IY68" s="30"/>
      <c r="IZ68" s="30"/>
      <c r="JA68" s="30"/>
      <c r="JB68" s="30"/>
      <c r="JC68" s="30"/>
      <c r="JD68" s="30"/>
      <c r="JE68" s="30"/>
      <c r="JF68" s="30"/>
      <c r="JG68" s="30"/>
      <c r="JH68" s="30"/>
      <c r="JI68" s="30"/>
      <c r="JJ68" s="30"/>
      <c r="JK68" s="30"/>
      <c r="JL68" s="30"/>
      <c r="JM68" s="30"/>
      <c r="JN68" s="30"/>
      <c r="JO68" s="30"/>
      <c r="JP68" s="30"/>
      <c r="JQ68" s="30"/>
      <c r="JR68" s="30"/>
      <c r="JS68" s="30"/>
      <c r="JT68" s="30"/>
      <c r="JU68" s="30"/>
      <c r="JV68" s="30"/>
      <c r="JW68" s="30"/>
      <c r="JX68" s="30"/>
      <c r="JY68" s="30"/>
      <c r="JZ68" s="30"/>
      <c r="KA68" s="30"/>
      <c r="KB68" s="30"/>
      <c r="KC68" s="30"/>
      <c r="KD68" s="30"/>
      <c r="KE68" s="30"/>
      <c r="KF68" s="30"/>
      <c r="KG68" s="30"/>
      <c r="KH68" s="30"/>
      <c r="KI68" s="30"/>
      <c r="KJ68" s="30"/>
      <c r="KK68" s="30"/>
      <c r="KL68" s="30"/>
      <c r="KM68" s="30"/>
      <c r="KN68" s="30"/>
      <c r="KO68" s="30"/>
      <c r="KP68" s="30"/>
      <c r="KQ68" s="30"/>
      <c r="KR68" s="30"/>
      <c r="KS68" s="30"/>
      <c r="KT68" s="30"/>
      <c r="KU68" s="30"/>
      <c r="KV68" s="30"/>
      <c r="KW68" s="30"/>
      <c r="KX68" s="30"/>
      <c r="KY68" s="30"/>
      <c r="KZ68" s="30"/>
      <c r="LA68" s="30"/>
      <c r="LB68" s="30"/>
      <c r="LC68" s="30"/>
      <c r="LD68" s="30"/>
      <c r="LE68" s="30"/>
      <c r="LF68" s="30"/>
      <c r="LG68" s="30"/>
      <c r="LH68" s="30"/>
      <c r="LI68" s="30"/>
      <c r="LJ68" s="30"/>
      <c r="LK68" s="30"/>
      <c r="LL68" s="30"/>
      <c r="LM68" s="30"/>
      <c r="LN68" s="30"/>
      <c r="LO68" s="30"/>
      <c r="LP68" s="30"/>
      <c r="LQ68" s="30"/>
      <c r="LR68" s="30"/>
      <c r="LS68" s="30"/>
      <c r="LT68" s="30"/>
      <c r="LU68" s="30"/>
      <c r="LV68" s="30"/>
      <c r="LW68" s="30"/>
      <c r="LX68" s="30"/>
      <c r="LY68" s="30"/>
      <c r="LZ68" s="30"/>
      <c r="MA68" s="30"/>
      <c r="MB68" s="30"/>
      <c r="MC68" s="30"/>
      <c r="MD68" s="30"/>
      <c r="ME68" s="30"/>
      <c r="MF68" s="30"/>
      <c r="MG68" s="30"/>
      <c r="MH68" s="30"/>
      <c r="MI68" s="30"/>
      <c r="MJ68" s="30"/>
      <c r="MK68" s="30"/>
      <c r="ML68" s="30"/>
      <c r="MM68" s="30"/>
      <c r="MN68" s="30"/>
      <c r="MO68" s="30"/>
      <c r="MP68" s="30"/>
      <c r="MQ68" s="30"/>
      <c r="MR68" s="30"/>
      <c r="MS68" s="30"/>
      <c r="MT68" s="30"/>
      <c r="MU68" s="30"/>
      <c r="MV68" s="30"/>
      <c r="MW68" s="30"/>
      <c r="MX68" s="30"/>
      <c r="MY68" s="30"/>
      <c r="MZ68" s="30"/>
      <c r="NA68" s="30"/>
      <c r="NB68" s="30"/>
      <c r="NC68" s="30"/>
      <c r="ND68" s="30"/>
      <c r="NE68" s="30"/>
      <c r="NF68" s="30"/>
      <c r="NG68" s="30"/>
      <c r="NH68" s="30"/>
      <c r="NI68" s="30"/>
      <c r="NJ68" s="30"/>
      <c r="NK68" s="30"/>
      <c r="NL68" s="30"/>
      <c r="NM68" s="30"/>
      <c r="NN68" s="30"/>
      <c r="NO68" s="30"/>
      <c r="NP68" s="30"/>
      <c r="NQ68" s="30"/>
      <c r="NR68" s="30"/>
      <c r="NS68" s="30"/>
      <c r="NT68" s="30"/>
      <c r="NU68" s="30"/>
      <c r="NV68" s="30"/>
      <c r="NW68" s="30"/>
      <c r="NX68" s="30"/>
      <c r="NY68" s="30"/>
      <c r="NZ68" s="30"/>
      <c r="OA68" s="30"/>
      <c r="OB68" s="30"/>
      <c r="OC68" s="30"/>
      <c r="OD68" s="30"/>
      <c r="OE68" s="30"/>
      <c r="OF68" s="30"/>
      <c r="OG68" s="30"/>
      <c r="OH68" s="30"/>
      <c r="OI68" s="30"/>
      <c r="OJ68" s="30"/>
      <c r="OK68" s="30"/>
      <c r="OL68" s="30"/>
      <c r="OM68" s="30"/>
      <c r="ON68" s="30"/>
      <c r="OO68" s="30"/>
      <c r="OP68" s="30"/>
      <c r="OQ68" s="30"/>
      <c r="OR68" s="30"/>
      <c r="OS68" s="30"/>
      <c r="OT68" s="30"/>
      <c r="OU68" s="30"/>
      <c r="OV68" s="30"/>
    </row>
    <row r="69" ht="18.0" customHeight="1">
      <c r="A69" s="29">
        <v>68.0</v>
      </c>
      <c r="B69" s="30" t="s">
        <v>6164</v>
      </c>
      <c r="C69" s="31" t="s">
        <v>5541</v>
      </c>
      <c r="D69" s="30" t="s">
        <v>1293</v>
      </c>
      <c r="E69" s="29">
        <v>200.0</v>
      </c>
      <c r="F69" s="29">
        <f>COUNTIF('Tổng hợp 75 trang đích'!$B$2:$B$3400,$D69)</f>
        <v>193</v>
      </c>
      <c r="G69" s="29">
        <f>COUNTIFS('Tổng hợp 75 trang đích'!$B$2:$B$3400,$D69,'Tổng hợp 75 trang đích'!$K$2:$K$3400,"PHÙ HỢP CAO")</f>
        <v>4</v>
      </c>
      <c r="H69" s="29">
        <f>COUNTIFS('Tổng hợp 75 trang đích'!$B$2:$B$3400,$D69,'Tổng hợp 75 trang đích'!$K$2:$K$3400,"CÓ THỂ ĐI")</f>
        <v>29</v>
      </c>
      <c r="I69" s="29">
        <f>COUNTIFS('Tổng hợp 75 trang đích'!$B$2:$B$3400,$D69,'Tổng hợp 75 trang đích'!$K$2:$K$3400,"CẦN SOÁT")</f>
        <v>160</v>
      </c>
      <c r="J69" s="32" t="s">
        <v>714</v>
      </c>
      <c r="K69" s="32" t="b">
        <v>0</v>
      </c>
      <c r="L69" s="45"/>
      <c r="M69" s="30" t="str">
        <f>IFERROR(__xludf.DUMMYFUNCTION("IFERROR(TOROW(CHOOSECOLS(SORT(FILTER({'Tổng hợp 75 trang đích'!$J$2:$J$3400,'Tổng hợp 75 trang đích'!$I$2:$I$3400,MATCH('Tổng hợp 75 trang đích'!$K$2:$K$3400,{""PHÙ HỢP CAO"",""CÓ THỂ ĐI"",""CẦN SOÁT""},0)},'Tổng hợp 75 trang đích'!$B$2:$B$3400=$D69),3,TR"&amp;"UE),1,2)),"""")"),"vay tiền app")</f>
        <v>vay tiền app</v>
      </c>
      <c r="N69" s="34" t="str">
        <f>IFERROR(__xludf.DUMMYFUNCTION("""COMPUTED_VALUE"""),"https://techcombank.com/thong-tin/blog/vay-tien-online")</f>
        <v>https://techcombank.com/thong-tin/blog/vay-tien-online</v>
      </c>
      <c r="O69" s="30" t="str">
        <f>IFERROR(__xludf.DUMMYFUNCTION("""COMPUTED_VALUE"""),"app vay tiền")</f>
        <v>app vay tiền</v>
      </c>
      <c r="P69" s="34" t="str">
        <f>IFERROR(__xludf.DUMMYFUNCTION("""COMPUTED_VALUE"""),"https://techcombank.com/thong-tin/blog/vay-ngan-hang-chi-can-cccd")</f>
        <v>https://techcombank.com/thong-tin/blog/vay-ngan-hang-chi-can-cccd</v>
      </c>
      <c r="Q69" s="30" t="str">
        <f>IFERROR(__xludf.DUMMYFUNCTION("""COMPUTED_VALUE"""),"app vay nhanh")</f>
        <v>app vay nhanh</v>
      </c>
      <c r="R69" s="34" t="str">
        <f>IFERROR(__xludf.DUMMYFUNCTION("""COMPUTED_VALUE"""),"https://techcombank.com/thong-tin/blog/vay-30-trieu")</f>
        <v>https://techcombank.com/thong-tin/blog/vay-30-trieu</v>
      </c>
      <c r="S69" s="30" t="str">
        <f>IFERROR(__xludf.DUMMYFUNCTION("""COMPUTED_VALUE"""),"app vay tiền nhanh")</f>
        <v>app vay tiền nhanh</v>
      </c>
      <c r="T69" s="34" t="str">
        <f>IFERROR(__xludf.DUMMYFUNCTION("""COMPUTED_VALUE"""),"https://techcombank.com/thong-tin/blog/vay-50-trieu")</f>
        <v>https://techcombank.com/thong-tin/blog/vay-50-trieu</v>
      </c>
      <c r="U69" s="30" t="str">
        <f>IFERROR(__xludf.DUMMYFUNCTION("""COMPUTED_VALUE"""),"vay nhanh")</f>
        <v>vay nhanh</v>
      </c>
      <c r="V69" s="34" t="str">
        <f>IFERROR(__xludf.DUMMYFUNCTION("""COMPUTED_VALUE"""),"https://techcombank.com/thong-tin/blog/vay-sieu-toc")</f>
        <v>https://techcombank.com/thong-tin/blog/vay-sieu-toc</v>
      </c>
      <c r="W69" s="30" t="str">
        <f>IFERROR(__xludf.DUMMYFUNCTION("""COMPUTED_VALUE"""),"vay")</f>
        <v>vay</v>
      </c>
      <c r="X69" s="34" t="str">
        <f>IFERROR(__xludf.DUMMYFUNCTION("""COMPUTED_VALUE"""),"https://techcombank.com/thong-tin/blog/tin-dung-la-gi")</f>
        <v>https://techcombank.com/thong-tin/blog/tin-dung-la-gi</v>
      </c>
      <c r="Y69" s="30" t="str">
        <f>IFERROR(__xludf.DUMMYFUNCTION("""COMPUTED_VALUE"""),"vay tiền")</f>
        <v>vay tiền</v>
      </c>
      <c r="Z69" s="34" t="str">
        <f>IFERROR(__xludf.DUMMYFUNCTION("""COMPUTED_VALUE"""),"https://techcombank.com/thong-tin/blog/don-bay-tai-chinh")</f>
        <v>https://techcombank.com/thong-tin/blog/don-bay-tai-chinh</v>
      </c>
      <c r="AA69" s="30" t="str">
        <f>IFERROR(__xludf.DUMMYFUNCTION("""COMPUTED_VALUE"""),"vay")</f>
        <v>vay</v>
      </c>
      <c r="AB69" s="34" t="str">
        <f>IFERROR(__xludf.DUMMYFUNCTION("""COMPUTED_VALUE"""),"https://techcombank.com/thong-tin/blog/ebitda-la-gi")</f>
        <v>https://techcombank.com/thong-tin/blog/ebitda-la-gi</v>
      </c>
      <c r="AC69" s="30" t="str">
        <f>IFERROR(__xludf.DUMMYFUNCTION("""COMPUTED_VALUE"""),"vay")</f>
        <v>vay</v>
      </c>
      <c r="AD69" s="34" t="str">
        <f>IFERROR(__xludf.DUMMYFUNCTION("""COMPUTED_VALUE"""),"https://techcombank.com/thong-tin/blog/an-han-no-goc-la-gi")</f>
        <v>https://techcombank.com/thong-tin/blog/an-han-no-goc-la-gi</v>
      </c>
      <c r="AE69" s="30" t="str">
        <f>IFERROR(__xludf.DUMMYFUNCTION("""COMPUTED_VALUE"""),"vay")</f>
        <v>vay</v>
      </c>
      <c r="AF69" s="34" t="str">
        <f>IFERROR(__xludf.DUMMYFUNCTION("""COMPUTED_VALUE"""),"https://techcombank.com/thong-tin/blog/wacc-la-gi")</f>
        <v>https://techcombank.com/thong-tin/blog/wacc-la-gi</v>
      </c>
      <c r="AG69" s="30" t="str">
        <f>IFERROR(__xludf.DUMMYFUNCTION("""COMPUTED_VALUE"""),"vay")</f>
        <v>vay</v>
      </c>
      <c r="AH69" s="34" t="str">
        <f>IFERROR(__xludf.DUMMYFUNCTION("""COMPUTED_VALUE"""),"https://techcombank.com/thong-tin/blog/xep-hang-tin-dung")</f>
        <v>https://techcombank.com/thong-tin/blog/xep-hang-tin-dung</v>
      </c>
      <c r="AI69" s="30" t="str">
        <f>IFERROR(__xludf.DUMMYFUNCTION("""COMPUTED_VALUE"""),"vay")</f>
        <v>vay</v>
      </c>
      <c r="AJ69" s="34" t="str">
        <f>IFERROR(__xludf.DUMMYFUNCTION("""COMPUTED_VALUE"""),"https://techcombank.com/thong-tin/blog/quan-ly-tai-chinh-doanh-nghiep-nho")</f>
        <v>https://techcombank.com/thong-tin/blog/quan-ly-tai-chinh-doanh-nghiep-nho</v>
      </c>
      <c r="AK69" s="30" t="str">
        <f>IFERROR(__xludf.DUMMYFUNCTION("""COMPUTED_VALUE"""),"vay")</f>
        <v>vay</v>
      </c>
      <c r="AL69" s="34" t="str">
        <f>IFERROR(__xludf.DUMMYFUNCTION("""COMPUTED_VALUE"""),"https://techcombank.com/thong-tin/blog/quan-ly-chi-phi-doanh-nghiep")</f>
        <v>https://techcombank.com/thong-tin/blog/quan-ly-chi-phi-doanh-nghiep</v>
      </c>
      <c r="AM69" s="30" t="str">
        <f>IFERROR(__xludf.DUMMYFUNCTION("""COMPUTED_VALUE"""),"vay")</f>
        <v>vay</v>
      </c>
      <c r="AN69" s="34" t="str">
        <f>IFERROR(__xludf.DUMMYFUNCTION("""COMPUTED_VALUE"""),"https://techcombank.com/thong-tin/blog/nhung-chi-phi-khong-duoc-tru-khi-tinh-thue-tndn")</f>
        <v>https://techcombank.com/thong-tin/blog/nhung-chi-phi-khong-duoc-tru-khi-tinh-thue-tndn</v>
      </c>
      <c r="AO69" s="30" t="str">
        <f>IFERROR(__xludf.DUMMYFUNCTION("""COMPUTED_VALUE"""),"vay")</f>
        <v>vay</v>
      </c>
      <c r="AP69" s="34" t="str">
        <f>IFERROR(__xludf.DUMMYFUNCTION("""COMPUTED_VALUE"""),"https://techcombank.com/thong-tin/blog/fintech-la-gi")</f>
        <v>https://techcombank.com/thong-tin/blog/fintech-la-gi</v>
      </c>
      <c r="AQ69" s="30" t="str">
        <f>IFERROR(__xludf.DUMMYFUNCTION("""COMPUTED_VALUE"""),"vay")</f>
        <v>vay</v>
      </c>
      <c r="AR69" s="34" t="str">
        <f>IFERROR(__xludf.DUMMYFUNCTION("""COMPUTED_VALUE"""),"https://techcombank.com/thong-tin/blog/thanh-ly-tai-san")</f>
        <v>https://techcombank.com/thong-tin/blog/thanh-ly-tai-san</v>
      </c>
      <c r="AS69" s="30" t="str">
        <f>IFERROR(__xludf.DUMMYFUNCTION("""COMPUTED_VALUE"""),"vay")</f>
        <v>vay</v>
      </c>
      <c r="AT69" s="34" t="str">
        <f>IFERROR(__xludf.DUMMYFUNCTION("""COMPUTED_VALUE"""),"https://techcombank.com/thong-tin/blog/quan-ly-tai-chinh-doanh-nghiep-la-gi")</f>
        <v>https://techcombank.com/thong-tin/blog/quan-ly-tai-chinh-doanh-nghiep-la-gi</v>
      </c>
      <c r="AU69" s="30" t="str">
        <f>IFERROR(__xludf.DUMMYFUNCTION("""COMPUTED_VALUE"""),"vay")</f>
        <v>vay</v>
      </c>
      <c r="AV69" s="34" t="str">
        <f>IFERROR(__xludf.DUMMYFUNCTION("""COMPUTED_VALUE"""),"https://techcombank.com/thong-tin/blog/doi-xe-xang-lay-xe-dien")</f>
        <v>https://techcombank.com/thong-tin/blog/doi-xe-xang-lay-xe-dien</v>
      </c>
      <c r="AW69" s="30" t="str">
        <f>IFERROR(__xludf.DUMMYFUNCTION("""COMPUTED_VALUE"""),"vay")</f>
        <v>vay</v>
      </c>
      <c r="AX69" s="34" t="str">
        <f>IFERROR(__xludf.DUMMYFUNCTION("""COMPUTED_VALUE"""),"https://techcombank.com/thong-tin/blog/mo-them-tai-khoan-ngan-hang-cho-cong-ty")</f>
        <v>https://techcombank.com/thong-tin/blog/mo-them-tai-khoan-ngan-hang-cho-cong-ty</v>
      </c>
      <c r="AY69" s="30" t="str">
        <f>IFERROR(__xludf.DUMMYFUNCTION("""COMPUTED_VALUE"""),"vay")</f>
        <v>vay</v>
      </c>
      <c r="AZ69" s="34" t="str">
        <f>IFERROR(__xludf.DUMMYFUNCTION("""COMPUTED_VALUE"""),"https://techcombank.com/thong-tin/blog/thue-thu-nhap-doanh-nghiep")</f>
        <v>https://techcombank.com/thong-tin/blog/thue-thu-nhap-doanh-nghiep</v>
      </c>
      <c r="BA69" s="30" t="str">
        <f>IFERROR(__xludf.DUMMYFUNCTION("""COMPUTED_VALUE"""),"vay")</f>
        <v>vay</v>
      </c>
      <c r="BB69" s="34" t="str">
        <f>IFERROR(__xludf.DUMMYFUNCTION("""COMPUTED_VALUE"""),"https://techcombank.com/thong-tin/blog/co-nen-dung-the-tin-dung-khong")</f>
        <v>https://techcombank.com/thong-tin/blog/co-nen-dung-the-tin-dung-khong</v>
      </c>
      <c r="BC69" s="30" t="str">
        <f>IFERROR(__xludf.DUMMYFUNCTION("""COMPUTED_VALUE"""),"vay")</f>
        <v>vay</v>
      </c>
      <c r="BD69" s="34" t="str">
        <f>IFERROR(__xludf.DUMMYFUNCTION("""COMPUTED_VALUE"""),"https://techcombank.com/thong-tin/blog/doanh-nghiep-moi-thanh-lap-duoc-uu-dai-gi")</f>
        <v>https://techcombank.com/thong-tin/blog/doanh-nghiep-moi-thanh-lap-duoc-uu-dai-gi</v>
      </c>
      <c r="BE69" s="30" t="str">
        <f>IFERROR(__xludf.DUMMYFUNCTION("""COMPUTED_VALUE"""),"vay")</f>
        <v>vay</v>
      </c>
      <c r="BF69" s="34" t="str">
        <f>IFERROR(__xludf.DUMMYFUNCTION("""COMPUTED_VALUE"""),"https://techcombank.com/thong-tin/blog/one-stop-shop")</f>
        <v>https://techcombank.com/thong-tin/blog/one-stop-shop</v>
      </c>
      <c r="BG69" s="30" t="str">
        <f>IFERROR(__xludf.DUMMYFUNCTION("""COMPUTED_VALUE"""),"vay")</f>
        <v>vay</v>
      </c>
      <c r="BH69" s="34" t="str">
        <f>IFERROR(__xludf.DUMMYFUNCTION("""COMPUTED_VALUE"""),"https://techcombank.com/thong-tin/blog/hoc-cach-tiet-kiem-tien-luong")</f>
        <v>https://techcombank.com/thong-tin/blog/hoc-cach-tiet-kiem-tien-luong</v>
      </c>
      <c r="BI69" s="30" t="str">
        <f>IFERROR(__xludf.DUMMYFUNCTION("""COMPUTED_VALUE"""),"vay")</f>
        <v>vay</v>
      </c>
      <c r="BJ69" s="34" t="str">
        <f>IFERROR(__xludf.DUMMYFUNCTION("""COMPUTED_VALUE"""),"https://techcombank.com/thong-tin/blog/nim-la-gi")</f>
        <v>https://techcombank.com/thong-tin/blog/nim-la-gi</v>
      </c>
      <c r="BK69" s="30" t="str">
        <f>IFERROR(__xludf.DUMMYFUNCTION("""COMPUTED_VALUE"""),"vay")</f>
        <v>vay</v>
      </c>
      <c r="BL69" s="34" t="str">
        <f>IFERROR(__xludf.DUMMYFUNCTION("""COMPUTED_VALUE"""),"https://techcombank.com/thong-tin/blog/dang-ky-kinh-doanh-la-gi")</f>
        <v>https://techcombank.com/thong-tin/blog/dang-ky-kinh-doanh-la-gi</v>
      </c>
      <c r="BM69" s="30" t="str">
        <f>IFERROR(__xludf.DUMMYFUNCTION("""COMPUTED_VALUE"""),"vay")</f>
        <v>vay</v>
      </c>
      <c r="BN69" s="34" t="str">
        <f>IFERROR(__xludf.DUMMYFUNCTION("""COMPUTED_VALUE"""),"https://techcombank.com/thong-tin/blog/tiem-nang-chuyen-doi-tu-ho-kinh-doanh-len-doanh-nghiep-sme")</f>
        <v>https://techcombank.com/thong-tin/blog/tiem-nang-chuyen-doi-tu-ho-kinh-doanh-len-doanh-nghiep-sme</v>
      </c>
      <c r="BO69" s="30" t="str">
        <f>IFERROR(__xludf.DUMMYFUNCTION("""COMPUTED_VALUE"""),"vay")</f>
        <v>vay</v>
      </c>
      <c r="BP69" s="34" t="str">
        <f>IFERROR(__xludf.DUMMYFUNCTION("""COMPUTED_VALUE"""),"https://techcombank.com/thong-tin/blog/kinh-nghiem-chuyen-doi-tu-ho-kinh-doanh-len-doanh-nghiep")</f>
        <v>https://techcombank.com/thong-tin/blog/kinh-nghiem-chuyen-doi-tu-ho-kinh-doanh-len-doanh-nghiep</v>
      </c>
      <c r="BQ69" s="30" t="str">
        <f>IFERROR(__xludf.DUMMYFUNCTION("""COMPUTED_VALUE"""),"vay")</f>
        <v>vay</v>
      </c>
      <c r="BR69" s="34" t="str">
        <f>IFERROR(__xludf.DUMMYFUNCTION("""COMPUTED_VALUE"""),"https://techcombank.com/thong-tin/blog/khai-bao-tai-khoan-ngan-hang-voi-co-quan-thue")</f>
        <v>https://techcombank.com/thong-tin/blog/khai-bao-tai-khoan-ngan-hang-voi-co-quan-thue</v>
      </c>
      <c r="BS69" s="30" t="str">
        <f>IFERROR(__xludf.DUMMYFUNCTION("""COMPUTED_VALUE"""),"vay")</f>
        <v>vay</v>
      </c>
      <c r="BT69" s="34" t="str">
        <f>IFERROR(__xludf.DUMMYFUNCTION("""COMPUTED_VALUE"""),"https://techcombank.com/thong-tin/blog/thay-doi-dia-chi-ho-kinh-doanh")</f>
        <v>https://techcombank.com/thong-tin/blog/thay-doi-dia-chi-ho-kinh-doanh</v>
      </c>
      <c r="BU69" s="30" t="str">
        <f>IFERROR(__xludf.DUMMYFUNCTION("""COMPUTED_VALUE"""),"vay")</f>
        <v>vay</v>
      </c>
      <c r="BV69" s="34" t="str">
        <f>IFERROR(__xludf.DUMMYFUNCTION("""COMPUTED_VALUE"""),"https://techcombank.com/thong-tin/blog/kiem-tra-thue-ho-kinh-doanh")</f>
        <v>https://techcombank.com/thong-tin/blog/kiem-tra-thue-ho-kinh-doanh</v>
      </c>
      <c r="BW69" s="30" t="str">
        <f>IFERROR(__xludf.DUMMYFUNCTION("""COMPUTED_VALUE"""),"vay")</f>
        <v>vay</v>
      </c>
      <c r="BX69" s="34" t="str">
        <f>IFERROR(__xludf.DUMMYFUNCTION("""COMPUTED_VALUE"""),"https://techcombank.com/thong-tin/blog/dang-ky-thue-ho-kinh-doanh-ca-the-online")</f>
        <v>https://techcombank.com/thong-tin/blog/dang-ky-thue-ho-kinh-doanh-ca-the-online</v>
      </c>
      <c r="BY69" s="30" t="str">
        <f>IFERROR(__xludf.DUMMYFUNCTION("""COMPUTED_VALUE"""),"vay")</f>
        <v>vay</v>
      </c>
      <c r="BZ69" s="34" t="str">
        <f>IFERROR(__xludf.DUMMYFUNCTION("""COMPUTED_VALUE"""),"https://techcombank.com/thong-tin/blog/ngan-hang-xanh")</f>
        <v>https://techcombank.com/thong-tin/blog/ngan-hang-xanh</v>
      </c>
      <c r="CA69" s="30" t="str">
        <f>IFERROR(__xludf.DUMMYFUNCTION("""COMPUTED_VALUE"""),"vay nhanh")</f>
        <v>vay nhanh</v>
      </c>
      <c r="CB69" s="34" t="str">
        <f>IFERROR(__xludf.DUMMYFUNCTION("""COMPUTED_VALUE"""),"https://techcombank.com/thong-tin/blog/vay-kinh-doanh-online")</f>
        <v>https://techcombank.com/thong-tin/blog/vay-kinh-doanh-online</v>
      </c>
      <c r="CC69" s="30" t="str">
        <f>IFERROR(__xludf.DUMMYFUNCTION("""COMPUTED_VALUE"""),"vay")</f>
        <v>vay</v>
      </c>
      <c r="CD69" s="34" t="str">
        <f>IFERROR(__xludf.DUMMYFUNCTION("""COMPUTED_VALUE"""),"https://techcombank.com/thong-tin/blog/vay-the-chap-qua-luong")</f>
        <v>https://techcombank.com/thong-tin/blog/vay-the-chap-qua-luong</v>
      </c>
      <c r="CE69" s="30" t="str">
        <f>IFERROR(__xludf.DUMMYFUNCTION("""COMPUTED_VALUE"""),"vay tiền")</f>
        <v>vay tiền</v>
      </c>
      <c r="CF69" s="34" t="str">
        <f>IFERROR(__xludf.DUMMYFUNCTION("""COMPUTED_VALUE"""),"https://techcombank.com/thong-tin/blog/vay-tien-mat")</f>
        <v>https://techcombank.com/thong-tin/blog/vay-tien-mat</v>
      </c>
      <c r="CG69" s="30" t="str">
        <f>IFERROR(__xludf.DUMMYFUNCTION("""COMPUTED_VALUE"""),"vay tiền")</f>
        <v>vay tiền</v>
      </c>
      <c r="CH69" s="34" t="str">
        <f>IFERROR(__xludf.DUMMYFUNCTION("""COMPUTED_VALUE"""),"https://techcombank.com/thong-tin/blog/vay-tin-chap-toi-da-duoc-bao-nhieu")</f>
        <v>https://techcombank.com/thong-tin/blog/vay-tin-chap-toi-da-duoc-bao-nhieu</v>
      </c>
      <c r="CI69" s="30" t="str">
        <f>IFERROR(__xludf.DUMMYFUNCTION("""COMPUTED_VALUE"""),"vay tiền")</f>
        <v>vay tiền</v>
      </c>
      <c r="CJ69" s="34" t="str">
        <f>IFERROR(__xludf.DUMMYFUNCTION("""COMPUTED_VALUE"""),"https://techcombank.com/thong-tin/blog/kinh-nghiem-vay-tien-ngan-hang-xay-nha")</f>
        <v>https://techcombank.com/thong-tin/blog/kinh-nghiem-vay-tien-ngan-hang-xay-nha</v>
      </c>
      <c r="CK69" s="30" t="str">
        <f>IFERROR(__xludf.DUMMYFUNCTION("""COMPUTED_VALUE"""),"vay tiền")</f>
        <v>vay tiền</v>
      </c>
      <c r="CL69" s="34" t="str">
        <f>IFERROR(__xludf.DUMMYFUNCTION("""COMPUTED_VALUE"""),"https://techcombank.com/thong-tin/blog/lai-suat-vay-ngan-hang")</f>
        <v>https://techcombank.com/thong-tin/blog/lai-suat-vay-ngan-hang</v>
      </c>
      <c r="CM69" s="30" t="str">
        <f>IFERROR(__xludf.DUMMYFUNCTION("""COMPUTED_VALUE"""),"vay tiền")</f>
        <v>vay tiền</v>
      </c>
      <c r="CN69" s="34" t="str">
        <f>IFERROR(__xludf.DUMMYFUNCTION("""COMPUTED_VALUE"""),"https://techcombank.com/thong-tin/blog/dang-vay-tra-gop-co-vay-them-duoc-khong")</f>
        <v>https://techcombank.com/thong-tin/blog/dang-vay-tra-gop-co-vay-them-duoc-khong</v>
      </c>
      <c r="CO69" s="30" t="str">
        <f>IFERROR(__xludf.DUMMYFUNCTION("""COMPUTED_VALUE"""),"vay")</f>
        <v>vay</v>
      </c>
      <c r="CP69" s="34" t="str">
        <f>IFERROR(__xludf.DUMMYFUNCTION("""COMPUTED_VALUE"""),"https://techcombank.com/thong-tin/blog/vay-tra-gop")</f>
        <v>https://techcombank.com/thong-tin/blog/vay-tra-gop</v>
      </c>
      <c r="CQ69" s="30" t="str">
        <f>IFERROR(__xludf.DUMMYFUNCTION("""COMPUTED_VALUE"""),"vay tiền")</f>
        <v>vay tiền</v>
      </c>
      <c r="CR69" s="34" t="str">
        <f>IFERROR(__xludf.DUMMYFUNCTION("""COMPUTED_VALUE"""),"https://techcombank.com/thong-tin/blog/quy-trinh-cho-vay-tieu-dung")</f>
        <v>https://techcombank.com/thong-tin/blog/quy-trinh-cho-vay-tieu-dung</v>
      </c>
      <c r="CS69" s="30" t="str">
        <f>IFERROR(__xludf.DUMMYFUNCTION("""COMPUTED_VALUE"""),"vay tiền")</f>
        <v>vay tiền</v>
      </c>
      <c r="CT69" s="34" t="str">
        <f>IFERROR(__xludf.DUMMYFUNCTION("""COMPUTED_VALUE"""),"https://techcombank.com/thong-tin/blog/kinh-nghiem-vay-tien-mua-nha")</f>
        <v>https://techcombank.com/thong-tin/blog/kinh-nghiem-vay-tien-mua-nha</v>
      </c>
      <c r="CU69" s="30" t="str">
        <f>IFERROR(__xludf.DUMMYFUNCTION("""COMPUTED_VALUE"""),"vay tiền")</f>
        <v>vay tiền</v>
      </c>
      <c r="CV69" s="34" t="str">
        <f>IFERROR(__xludf.DUMMYFUNCTION("""COMPUTED_VALUE"""),"https://techcombank.com/thong-tin/blog/vay-the-chap-hop-dong-mua-ban-can-ho")</f>
        <v>https://techcombank.com/thong-tin/blog/vay-the-chap-hop-dong-mua-ban-can-ho</v>
      </c>
      <c r="CW69" s="30" t="str">
        <f>IFERROR(__xludf.DUMMYFUNCTION("""COMPUTED_VALUE"""),"vay tiền")</f>
        <v>vay tiền</v>
      </c>
      <c r="CX69" s="34" t="str">
        <f>IFERROR(__xludf.DUMMYFUNCTION("""COMPUTED_VALUE"""),"https://techcombank.com/thong-tin/blog/vay-du-hoc")</f>
        <v>https://techcombank.com/thong-tin/blog/vay-du-hoc</v>
      </c>
      <c r="CY69" s="30" t="str">
        <f>IFERROR(__xludf.DUMMYFUNCTION("""COMPUTED_VALUE"""),"vay")</f>
        <v>vay</v>
      </c>
      <c r="CZ69" s="34" t="str">
        <f>IFERROR(__xludf.DUMMYFUNCTION("""COMPUTED_VALUE"""),"https://techcombank.com/thong-tin/blog/nen-mua-xe-tra-gop-hay-tra-thang")</f>
        <v>https://techcombank.com/thong-tin/blog/nen-mua-xe-tra-gop-hay-tra-thang</v>
      </c>
      <c r="DA69" s="30" t="str">
        <f>IFERROR(__xludf.DUMMYFUNCTION("""COMPUTED_VALUE"""),"vay")</f>
        <v>vay</v>
      </c>
      <c r="DB69" s="34" t="str">
        <f>IFERROR(__xludf.DUMMYFUNCTION("""COMPUTED_VALUE"""),"https://techcombank.com/thong-tin/blog/lai-suat-vay-mua-o-to")</f>
        <v>https://techcombank.com/thong-tin/blog/lai-suat-vay-mua-o-to</v>
      </c>
      <c r="DC69" s="30" t="str">
        <f>IFERROR(__xludf.DUMMYFUNCTION("""COMPUTED_VALUE"""),"vay")</f>
        <v>vay</v>
      </c>
      <c r="DD69" s="34" t="str">
        <f>IFERROR(__xludf.DUMMYFUNCTION("""COMPUTED_VALUE"""),"https://techcombank.com/thong-tin/blog/tin-chap-doanh-nghiep")</f>
        <v>https://techcombank.com/thong-tin/blog/tin-chap-doanh-nghiep</v>
      </c>
      <c r="DE69" s="30" t="str">
        <f>IFERROR(__xludf.DUMMYFUNCTION("""COMPUTED_VALUE"""),"vay")</f>
        <v>vay</v>
      </c>
      <c r="DF69" s="34" t="str">
        <f>IFERROR(__xludf.DUMMYFUNCTION("""COMPUTED_VALUE"""),"https://techcombank.com/thong-tin/blog/vay-mua-nha-o-xa-hoi")</f>
        <v>https://techcombank.com/thong-tin/blog/vay-mua-nha-o-xa-hoi</v>
      </c>
      <c r="DG69" s="30" t="str">
        <f>IFERROR(__xludf.DUMMYFUNCTION("""COMPUTED_VALUE"""),"vay")</f>
        <v>vay</v>
      </c>
      <c r="DH69" s="34" t="str">
        <f>IFERROR(__xludf.DUMMYFUNCTION("""COMPUTED_VALUE"""),"https://techcombank.com/thong-tin/blog/vay-the-chap-xe-o-to-cu")</f>
        <v>https://techcombank.com/thong-tin/blog/vay-the-chap-xe-o-to-cu</v>
      </c>
      <c r="DI69" s="30" t="str">
        <f>IFERROR(__xludf.DUMMYFUNCTION("""COMPUTED_VALUE"""),"vay")</f>
        <v>vay</v>
      </c>
      <c r="DJ69" s="34" t="str">
        <f>IFERROR(__xludf.DUMMYFUNCTION("""COMPUTED_VALUE"""),"https://techcombank.com/thong-tin/blog/cach-tinh-lai-vay-ngan-hang")</f>
        <v>https://techcombank.com/thong-tin/blog/cach-tinh-lai-vay-ngan-hang</v>
      </c>
      <c r="DK69" s="30" t="str">
        <f>IFERROR(__xludf.DUMMYFUNCTION("""COMPUTED_VALUE"""),"vay")</f>
        <v>vay</v>
      </c>
      <c r="DL69" s="34" t="str">
        <f>IFERROR(__xludf.DUMMYFUNCTION("""COMPUTED_VALUE"""),"https://techcombank.com/thong-tin/blog/vay-san-xuat-kinh-doanh")</f>
        <v>https://techcombank.com/thong-tin/blog/vay-san-xuat-kinh-doanh</v>
      </c>
      <c r="DM69" s="30" t="str">
        <f>IFERROR(__xludf.DUMMYFUNCTION("""COMPUTED_VALUE"""),"vay")</f>
        <v>vay</v>
      </c>
      <c r="DN69" s="34" t="str">
        <f>IFERROR(__xludf.DUMMYFUNCTION("""COMPUTED_VALUE"""),"https://techcombank.com/thong-tin/blog/lai-suat-vay-tin-chap")</f>
        <v>https://techcombank.com/thong-tin/blog/lai-suat-vay-tin-chap</v>
      </c>
      <c r="DO69" s="30" t="str">
        <f>IFERROR(__xludf.DUMMYFUNCTION("""COMPUTED_VALUE"""),"vay")</f>
        <v>vay</v>
      </c>
      <c r="DP69" s="34" t="str">
        <f>IFERROR(__xludf.DUMMYFUNCTION("""COMPUTED_VALUE"""),"https://techcombank.com/thong-tin/blog/cac-hinh-thuc-vay-von-ngan-hang")</f>
        <v>https://techcombank.com/thong-tin/blog/cac-hinh-thuc-vay-von-ngan-hang</v>
      </c>
      <c r="DQ69" s="30" t="str">
        <f>IFERROR(__xludf.DUMMYFUNCTION("""COMPUTED_VALUE"""),"vay tiền")</f>
        <v>vay tiền</v>
      </c>
      <c r="DR69" s="34" t="str">
        <f>IFERROR(__xludf.DUMMYFUNCTION("""COMPUTED_VALUE"""),"https://techcombank.com/thong-tin/blog/vay-tin-chap-va-vay-the-chap")</f>
        <v>https://techcombank.com/thong-tin/blog/vay-tin-chap-va-vay-the-chap</v>
      </c>
      <c r="DS69" s="30" t="str">
        <f>IFERROR(__xludf.DUMMYFUNCTION("""COMPUTED_VALUE"""),"vay")</f>
        <v>vay</v>
      </c>
      <c r="DT69" s="34" t="str">
        <f>IFERROR(__xludf.DUMMYFUNCTION("""COMPUTED_VALUE"""),"https://techcombank.com/thong-tin/blog/lai-suat-vay-the-chap-so-do")</f>
        <v>https://techcombank.com/thong-tin/blog/lai-suat-vay-the-chap-so-do</v>
      </c>
      <c r="DU69" s="30" t="str">
        <f>IFERROR(__xludf.DUMMYFUNCTION("""COMPUTED_VALUE"""),"vay")</f>
        <v>vay</v>
      </c>
      <c r="DV69" s="34" t="str">
        <f>IFERROR(__xludf.DUMMYFUNCTION("""COMPUTED_VALUE"""),"https://techcombank.com/thong-tin/blog/co-100-trieu-co-mua-nen-mua-tra-gop")</f>
        <v>https://techcombank.com/thong-tin/blog/co-100-trieu-co-mua-nen-mua-tra-gop</v>
      </c>
      <c r="DW69" s="30" t="str">
        <f>IFERROR(__xludf.DUMMYFUNCTION("""COMPUTED_VALUE"""),"vay")</f>
        <v>vay</v>
      </c>
      <c r="DX69" s="34" t="str">
        <f>IFERROR(__xludf.DUMMYFUNCTION("""COMPUTED_VALUE"""),"https://techcombank.com/thong-tin/blog/mua-nha-tra-gop-dua-truoc-100-trieu")</f>
        <v>https://techcombank.com/thong-tin/blog/mua-nha-tra-gop-dua-truoc-100-trieu</v>
      </c>
      <c r="DY69" s="30" t="str">
        <f>IFERROR(__xludf.DUMMYFUNCTION("""COMPUTED_VALUE"""),"vay tiền")</f>
        <v>vay tiền</v>
      </c>
      <c r="DZ69" s="34" t="str">
        <f>IFERROR(__xludf.DUMMYFUNCTION("""COMPUTED_VALUE"""),"https://techcombank.com/thong-tin/blog/vay-200-trieu")</f>
        <v>https://techcombank.com/thong-tin/blog/vay-200-trieu</v>
      </c>
      <c r="EA69" s="30" t="str">
        <f>IFERROR(__xludf.DUMMYFUNCTION("""COMPUTED_VALUE"""),"vay tiền")</f>
        <v>vay tiền</v>
      </c>
      <c r="EB69" s="34" t="str">
        <f>IFERROR(__xludf.DUMMYFUNCTION("""COMPUTED_VALUE"""),"https://techcombank.com/thong-tin/blog/vay-300-trieu")</f>
        <v>https://techcombank.com/thong-tin/blog/vay-300-trieu</v>
      </c>
      <c r="EC69" s="30" t="str">
        <f>IFERROR(__xludf.DUMMYFUNCTION("""COMPUTED_VALUE"""),"vay tiền")</f>
        <v>vay tiền</v>
      </c>
      <c r="ED69" s="34" t="str">
        <f>IFERROR(__xludf.DUMMYFUNCTION("""COMPUTED_VALUE"""),"https://techcombank.com/thong-tin/blog/nen-vay-tin-chap-o-dau")</f>
        <v>https://techcombank.com/thong-tin/blog/nen-vay-tin-chap-o-dau</v>
      </c>
      <c r="EE69" s="30" t="str">
        <f>IFERROR(__xludf.DUMMYFUNCTION("""COMPUTED_VALUE"""),"vay")</f>
        <v>vay</v>
      </c>
      <c r="EF69" s="34" t="str">
        <f>IFERROR(__xludf.DUMMYFUNCTION("""COMPUTED_VALUE"""),"https://techcombank.com/thong-tin/blog/kiem-tra-no-xau")</f>
        <v>https://techcombank.com/thong-tin/blog/kiem-tra-no-xau</v>
      </c>
      <c r="EG69" s="30" t="str">
        <f>IFERROR(__xludf.DUMMYFUNCTION("""COMPUTED_VALUE"""),"vay tiền")</f>
        <v>vay tiền</v>
      </c>
      <c r="EH69" s="34" t="str">
        <f>IFERROR(__xludf.DUMMYFUNCTION("""COMPUTED_VALUE"""),"https://techcombank.com/thong-tin/blog/quy-trinh-tat-toan-khoan-vay-the-chap")</f>
        <v>https://techcombank.com/thong-tin/blog/quy-trinh-tat-toan-khoan-vay-the-chap</v>
      </c>
      <c r="EI69" s="30" t="str">
        <f>IFERROR(__xludf.DUMMYFUNCTION("""COMPUTED_VALUE"""),"vay")</f>
        <v>vay</v>
      </c>
      <c r="EJ69" s="34" t="str">
        <f>IFERROR(__xludf.DUMMYFUNCTION("""COMPUTED_VALUE"""),"https://techcombank.com/thong-tin/blog/thu-tuc-mua-xe-tra-gop")</f>
        <v>https://techcombank.com/thong-tin/blog/thu-tuc-mua-xe-tra-gop</v>
      </c>
      <c r="EK69" s="30" t="str">
        <f>IFERROR(__xludf.DUMMYFUNCTION("""COMPUTED_VALUE"""),"vay tiền")</f>
        <v>vay tiền</v>
      </c>
      <c r="EL69" s="34" t="str">
        <f>IFERROR(__xludf.DUMMYFUNCTION("""COMPUTED_VALUE"""),"https://techcombank.com/thong-tin/blog/vay-the-chap-so-hong")</f>
        <v>https://techcombank.com/thong-tin/blog/vay-the-chap-so-hong</v>
      </c>
      <c r="EM69" s="30" t="str">
        <f>IFERROR(__xludf.DUMMYFUNCTION("""COMPUTED_VALUE"""),"vay")</f>
        <v>vay</v>
      </c>
      <c r="EN69" s="34" t="str">
        <f>IFERROR(__xludf.DUMMYFUNCTION("""COMPUTED_VALUE"""),"https://techcombank.com/thong-tin/blog/vay-mua-xe-tra-gop-ngan-hang-nao-tot-nhat")</f>
        <v>https://techcombank.com/thong-tin/blog/vay-mua-xe-tra-gop-ngan-hang-nao-tot-nhat</v>
      </c>
      <c r="EO69" s="30" t="str">
        <f>IFERROR(__xludf.DUMMYFUNCTION("""COMPUTED_VALUE"""),"vay")</f>
        <v>vay</v>
      </c>
      <c r="EP69" s="34" t="str">
        <f>IFERROR(__xludf.DUMMYFUNCTION("""COMPUTED_VALUE"""),"https://techcombank.com/thong-tin/blog/lai-suat-vay-thau-chi")</f>
        <v>https://techcombank.com/thong-tin/blog/lai-suat-vay-thau-chi</v>
      </c>
      <c r="EQ69" s="30" t="str">
        <f>IFERROR(__xludf.DUMMYFUNCTION("""COMPUTED_VALUE"""),"vay nhanh")</f>
        <v>vay nhanh</v>
      </c>
      <c r="ER69" s="34" t="str">
        <f>IFERROR(__xludf.DUMMYFUNCTION("""COMPUTED_VALUE"""),"https://techcombank.com/thong-tin/blog/vay-100-trieu")</f>
        <v>https://techcombank.com/thong-tin/blog/vay-100-trieu</v>
      </c>
      <c r="ES69" s="30" t="str">
        <f>IFERROR(__xludf.DUMMYFUNCTION("""COMPUTED_VALUE"""),"vay")</f>
        <v>vay</v>
      </c>
      <c r="ET69" s="34" t="str">
        <f>IFERROR(__xludf.DUMMYFUNCTION("""COMPUTED_VALUE"""),"https://techcombank.com/thong-tin/blog/vay-thau-chi-bang-so-tiet-kiem")</f>
        <v>https://techcombank.com/thong-tin/blog/vay-thau-chi-bang-so-tiet-kiem</v>
      </c>
      <c r="EU69" s="30" t="str">
        <f>IFERROR(__xludf.DUMMYFUNCTION("""COMPUTED_VALUE"""),"vay")</f>
        <v>vay</v>
      </c>
      <c r="EV69" s="34" t="str">
        <f>IFERROR(__xludf.DUMMYFUNCTION("""COMPUTED_VALUE"""),"https://techcombank.com/thong-tin/blog/lai-suat-vay-the-chap")</f>
        <v>https://techcombank.com/thong-tin/blog/lai-suat-vay-the-chap</v>
      </c>
      <c r="EW69" s="30" t="str">
        <f>IFERROR(__xludf.DUMMYFUNCTION("""COMPUTED_VALUE"""),"vay")</f>
        <v>vay</v>
      </c>
      <c r="EX69" s="34" t="str">
        <f>IFERROR(__xludf.DUMMYFUNCTION("""COMPUTED_VALUE"""),"https://techcombank.com/thong-tin/blog/vay-the-chap-kinh-doanh")</f>
        <v>https://techcombank.com/thong-tin/blog/vay-the-chap-kinh-doanh</v>
      </c>
      <c r="EY69" s="30" t="str">
        <f>IFERROR(__xludf.DUMMYFUNCTION("""COMPUTED_VALUE"""),"vay")</f>
        <v>vay</v>
      </c>
      <c r="EZ69" s="34" t="str">
        <f>IFERROR(__xludf.DUMMYFUNCTION("""COMPUTED_VALUE"""),"https://techcombank.com/thong-tin/blog/giai-ngan-vay-the-chap")</f>
        <v>https://techcombank.com/thong-tin/blog/giai-ngan-vay-the-chap</v>
      </c>
      <c r="FA69" s="30" t="str">
        <f>IFERROR(__xludf.DUMMYFUNCTION("""COMPUTED_VALUE"""),"vay")</f>
        <v>vay</v>
      </c>
      <c r="FB69" s="34" t="str">
        <f>IFERROR(__xludf.DUMMYFUNCTION("""COMPUTED_VALUE"""),"https://techcombank.com/thong-tin/blog/vay-the-chap-toi-da-duoc-bao-nhieu")</f>
        <v>https://techcombank.com/thong-tin/blog/vay-the-chap-toi-da-duoc-bao-nhieu</v>
      </c>
      <c r="FC69" s="30" t="str">
        <f>IFERROR(__xludf.DUMMYFUNCTION("""COMPUTED_VALUE"""),"vay tiền")</f>
        <v>vay tiền</v>
      </c>
      <c r="FD69" s="34" t="str">
        <f>IFERROR(__xludf.DUMMYFUNCTION("""COMPUTED_VALUE"""),"https://techcombank.com/thong-tin/blog/vay-han-muc-la-gi")</f>
        <v>https://techcombank.com/thong-tin/blog/vay-han-muc-la-gi</v>
      </c>
      <c r="FE69" s="30" t="str">
        <f>IFERROR(__xludf.DUMMYFUNCTION("""COMPUTED_VALUE"""),"vay nhanh")</f>
        <v>vay nhanh</v>
      </c>
      <c r="FF69" s="34" t="str">
        <f>IFERROR(__xludf.DUMMYFUNCTION("""COMPUTED_VALUE"""),"https://techcombank.com/thong-tin/blog/vay-tin-chap-theo-luong")</f>
        <v>https://techcombank.com/thong-tin/blog/vay-tin-chap-theo-luong</v>
      </c>
      <c r="FG69" s="30" t="str">
        <f>IFERROR(__xludf.DUMMYFUNCTION("""COMPUTED_VALUE"""),"vay tiền")</f>
        <v>vay tiền</v>
      </c>
      <c r="FH69" s="34" t="str">
        <f>IFERROR(__xludf.DUMMYFUNCTION("""COMPUTED_VALUE"""),"https://techcombank.com/thong-tin/blog/cac-hinh-thuc-cho-vay-tieu-dung")</f>
        <v>https://techcombank.com/thong-tin/blog/cac-hinh-thuc-cho-vay-tieu-dung</v>
      </c>
      <c r="FI69" s="30" t="str">
        <f>IFERROR(__xludf.DUMMYFUNCTION("""COMPUTED_VALUE"""),"vay")</f>
        <v>vay</v>
      </c>
      <c r="FJ69" s="34" t="str">
        <f>IFERROR(__xludf.DUMMYFUNCTION("""COMPUTED_VALUE"""),"https://techcombank.com/thong-tin/blog/han-muc-thau-chi-la-gi")</f>
        <v>https://techcombank.com/thong-tin/blog/han-muc-thau-chi-la-gi</v>
      </c>
      <c r="FK69" s="30" t="str">
        <f>IFERROR(__xludf.DUMMYFUNCTION("""COMPUTED_VALUE"""),"vay")</f>
        <v>vay</v>
      </c>
      <c r="FL69" s="34" t="str">
        <f>IFERROR(__xludf.DUMMYFUNCTION("""COMPUTED_VALUE"""),"https://techcombank.com/thong-tin/blog/vay-mua-nha-tra-gop")</f>
        <v>https://techcombank.com/thong-tin/blog/vay-mua-nha-tra-gop</v>
      </c>
      <c r="FM69" s="30" t="str">
        <f>IFERROR(__xludf.DUMMYFUNCTION("""COMPUTED_VALUE"""),"vay")</f>
        <v>vay</v>
      </c>
      <c r="FN69" s="34" t="str">
        <f>IFERROR(__xludf.DUMMYFUNCTION("""COMPUTED_VALUE"""),"https://techcombank.com/thong-tin/blog/no-xau-nhom-2")</f>
        <v>https://techcombank.com/thong-tin/blog/no-xau-nhom-2</v>
      </c>
      <c r="FO69" s="30" t="str">
        <f>IFERROR(__xludf.DUMMYFUNCTION("""COMPUTED_VALUE"""),"vay")</f>
        <v>vay</v>
      </c>
      <c r="FP69" s="34" t="str">
        <f>IFERROR(__xludf.DUMMYFUNCTION("""COMPUTED_VALUE"""),"https://techcombank.com/thong-tin/blog/vay-ngan-han")</f>
        <v>https://techcombank.com/thong-tin/blog/vay-ngan-han</v>
      </c>
      <c r="FQ69" s="30" t="str">
        <f>IFERROR(__xludf.DUMMYFUNCTION("""COMPUTED_VALUE"""),"vay nhanh")</f>
        <v>vay nhanh</v>
      </c>
      <c r="FR69" s="34" t="str">
        <f>IFERROR(__xludf.DUMMYFUNCTION("""COMPUTED_VALUE"""),"https://techcombank.com/thong-tin/blog/cho-vay-kinh-doanh-ho-gia-dinh")</f>
        <v>https://techcombank.com/thong-tin/blog/cho-vay-kinh-doanh-ho-gia-dinh</v>
      </c>
      <c r="FS69" s="30" t="str">
        <f>IFERROR(__xludf.DUMMYFUNCTION("""COMPUTED_VALUE"""),"vay")</f>
        <v>vay</v>
      </c>
      <c r="FT69" s="34" t="str">
        <f>IFERROR(__xludf.DUMMYFUNCTION("""COMPUTED_VALUE"""),"https://techcombank.com/thong-tin/blog/vay-von-doanh-nghiep-nho")</f>
        <v>https://techcombank.com/thong-tin/blog/vay-von-doanh-nghiep-nho</v>
      </c>
      <c r="FU69" s="30" t="str">
        <f>IFERROR(__xludf.DUMMYFUNCTION("""COMPUTED_VALUE"""),"vay")</f>
        <v>vay</v>
      </c>
      <c r="FV69" s="34" t="str">
        <f>IFERROR(__xludf.DUMMYFUNCTION("""COMPUTED_VALUE"""),"https://techcombank.com/thong-tin/blog/no-nhom-3")</f>
        <v>https://techcombank.com/thong-tin/blog/no-nhom-3</v>
      </c>
      <c r="FW69" s="30" t="str">
        <f>IFERROR(__xludf.DUMMYFUNCTION("""COMPUTED_VALUE"""),"vay nhanh")</f>
        <v>vay nhanh</v>
      </c>
      <c r="FX69" s="34" t="str">
        <f>IFERROR(__xludf.DUMMYFUNCTION("""COMPUTED_VALUE"""),"https://techcombank.com/thong-tin/blog/vay-15-trieu")</f>
        <v>https://techcombank.com/thong-tin/blog/vay-15-trieu</v>
      </c>
      <c r="FY69" s="30" t="str">
        <f>IFERROR(__xludf.DUMMYFUNCTION("""COMPUTED_VALUE"""),"vay")</f>
        <v>vay</v>
      </c>
      <c r="FZ69" s="34" t="str">
        <f>IFERROR(__xludf.DUMMYFUNCTION("""COMPUTED_VALUE"""),"https://techcombank.com/thong-tin/blog/han-muc-vay-the-chap-so-do")</f>
        <v>https://techcombank.com/thong-tin/blog/han-muc-vay-the-chap-so-do</v>
      </c>
      <c r="GA69" s="30" t="str">
        <f>IFERROR(__xludf.DUMMYFUNCTION("""COMPUTED_VALUE"""),"vay tiền")</f>
        <v>vay tiền</v>
      </c>
      <c r="GB69" s="34" t="str">
        <f>IFERROR(__xludf.DUMMYFUNCTION("""COMPUTED_VALUE"""),"https://techcombank.com/thong-tin/blog/du-no-tin-dung-la-gi")</f>
        <v>https://techcombank.com/thong-tin/blog/du-no-tin-dung-la-gi</v>
      </c>
      <c r="GC69" s="30" t="str">
        <f>IFERROR(__xludf.DUMMYFUNCTION("""COMPUTED_VALUE"""),"vay nhanh")</f>
        <v>vay nhanh</v>
      </c>
      <c r="GD69" s="34" t="str">
        <f>IFERROR(__xludf.DUMMYFUNCTION("""COMPUTED_VALUE"""),"https://techcombank.com/thong-tin/blog/vay-20-trieu")</f>
        <v>https://techcombank.com/thong-tin/blog/vay-20-trieu</v>
      </c>
      <c r="GE69" s="30" t="str">
        <f>IFERROR(__xludf.DUMMYFUNCTION("""COMPUTED_VALUE"""),"vay")</f>
        <v>vay</v>
      </c>
      <c r="GF69" s="34" t="str">
        <f>IFERROR(__xludf.DUMMYFUNCTION("""COMPUTED_VALUE"""),"https://techcombank.com/thong-tin/blog/diem-tin-dung")</f>
        <v>https://techcombank.com/thong-tin/blog/diem-tin-dung</v>
      </c>
      <c r="GG69" s="30" t="str">
        <f>IFERROR(__xludf.DUMMYFUNCTION("""COMPUTED_VALUE"""),"vay")</f>
        <v>vay</v>
      </c>
      <c r="GH69" s="34" t="str">
        <f>IFERROR(__xludf.DUMMYFUNCTION("""COMPUTED_VALUE"""),"https://techcombank.com/thong-tin/blog/kinh-nghiem-vay-the-chap-ngan-hang")</f>
        <v>https://techcombank.com/thong-tin/blog/kinh-nghiem-vay-the-chap-ngan-hang</v>
      </c>
      <c r="GI69" s="30" t="str">
        <f>IFERROR(__xludf.DUMMYFUNCTION("""COMPUTED_VALUE"""),"vay")</f>
        <v>vay</v>
      </c>
      <c r="GJ69" s="34" t="str">
        <f>IFERROR(__xludf.DUMMYFUNCTION("""COMPUTED_VALUE"""),"https://techcombank.com/thong-tin/blog/bi-quyet-tiet-kiem-tien-mua-nha")</f>
        <v>https://techcombank.com/thong-tin/blog/bi-quyet-tiet-kiem-tien-mua-nha</v>
      </c>
      <c r="GK69" s="30" t="str">
        <f>IFERROR(__xludf.DUMMYFUNCTION("""COMPUTED_VALUE"""),"vay tiền")</f>
        <v>vay tiền</v>
      </c>
      <c r="GL69" s="34" t="str">
        <f>IFERROR(__xludf.DUMMYFUNCTION("""COMPUTED_VALUE"""),"https://techcombank.com/thong-tin/blog/vay-sinh-vien")</f>
        <v>https://techcombank.com/thong-tin/blog/vay-sinh-vien</v>
      </c>
      <c r="GM69" s="30" t="str">
        <f>IFERROR(__xludf.DUMMYFUNCTION("""COMPUTED_VALUE"""),"vay")</f>
        <v>vay</v>
      </c>
      <c r="GN69" s="34" t="str">
        <f>IFERROR(__xludf.DUMMYFUNCTION("""COMPUTED_VALUE"""),"https://techcombank.com/thong-tin/blog/lai-suat-ngan-hang-cho-vay-xay-nha")</f>
        <v>https://techcombank.com/thong-tin/blog/lai-suat-ngan-hang-cho-vay-xay-nha</v>
      </c>
      <c r="GO69" s="30" t="str">
        <f>IFERROR(__xludf.DUMMYFUNCTION("""COMPUTED_VALUE"""),"vay tiền")</f>
        <v>vay tiền</v>
      </c>
      <c r="GP69" s="34" t="str">
        <f>IFERROR(__xludf.DUMMYFUNCTION("""COMPUTED_VALUE"""),"https://techcombank.com/thong-tin/blog/vay-tin-chap-no-xau")</f>
        <v>https://techcombank.com/thong-tin/blog/vay-tin-chap-no-xau</v>
      </c>
      <c r="GQ69" s="30" t="str">
        <f>IFERROR(__xludf.DUMMYFUNCTION("""COMPUTED_VALUE"""),"vay tiền")</f>
        <v>vay tiền</v>
      </c>
      <c r="GR69" s="34" t="str">
        <f>IFERROR(__xludf.DUMMYFUNCTION("""COMPUTED_VALUE"""),"https://techcombank.com/thong-tin/blog/vay-tin-chap-la-gi")</f>
        <v>https://techcombank.com/thong-tin/blog/vay-tin-chap-la-gi</v>
      </c>
      <c r="GS69" s="30" t="str">
        <f>IFERROR(__xludf.DUMMYFUNCTION("""COMPUTED_VALUE"""),"vay")</f>
        <v>vay</v>
      </c>
      <c r="GT69" s="34" t="str">
        <f>IFERROR(__xludf.DUMMYFUNCTION("""COMPUTED_VALUE"""),"https://techcombank.com/thong-tin/blog/lai-suat-cho-vay-doanh-nghiep")</f>
        <v>https://techcombank.com/thong-tin/blog/lai-suat-cho-vay-doanh-nghiep</v>
      </c>
      <c r="GU69" s="30" t="str">
        <f>IFERROR(__xludf.DUMMYFUNCTION("""COMPUTED_VALUE"""),"vay")</f>
        <v>vay</v>
      </c>
      <c r="GV69" s="34" t="str">
        <f>IFERROR(__xludf.DUMMYFUNCTION("""COMPUTED_VALUE"""),"https://techcombank.com/thong-tin/blog/tat-toan")</f>
        <v>https://techcombank.com/thong-tin/blog/tat-toan</v>
      </c>
      <c r="GW69" s="30" t="str">
        <f>IFERROR(__xludf.DUMMYFUNCTION("""COMPUTED_VALUE"""),"vay")</f>
        <v>vay</v>
      </c>
      <c r="GX69" s="34" t="str">
        <f>IFERROR(__xludf.DUMMYFUNCTION("""COMPUTED_VALUE"""),"https://techcombank.com/thong-tin/blog/lai-suat-vay-tieu-dung")</f>
        <v>https://techcombank.com/thong-tin/blog/lai-suat-vay-tieu-dung</v>
      </c>
      <c r="GY69" s="30" t="str">
        <f>IFERROR(__xludf.DUMMYFUNCTION("""COMPUTED_VALUE"""),"vay")</f>
        <v>vay</v>
      </c>
      <c r="GZ69" s="34" t="str">
        <f>IFERROR(__xludf.DUMMYFUNCTION("""COMPUTED_VALUE"""),"https://techcombank.com/thong-tin/blog/no-xau-co-vay-the-chap-duoc-khong")</f>
        <v>https://techcombank.com/thong-tin/blog/no-xau-co-vay-the-chap-duoc-khong</v>
      </c>
      <c r="HA69" s="30" t="str">
        <f>IFERROR(__xludf.DUMMYFUNCTION("""COMPUTED_VALUE"""),"vay")</f>
        <v>vay</v>
      </c>
      <c r="HB69" s="34" t="str">
        <f>IFERROR(__xludf.DUMMYFUNCTION("""COMPUTED_VALUE"""),"https://techcombank.com/thong-tin/blog/thu-tuc-vay-von-kinh-doanh-nho")</f>
        <v>https://techcombank.com/thong-tin/blog/thu-tuc-vay-von-kinh-doanh-nho</v>
      </c>
      <c r="HC69" s="30" t="str">
        <f>IFERROR(__xludf.DUMMYFUNCTION("""COMPUTED_VALUE"""),"vay")</f>
        <v>vay</v>
      </c>
      <c r="HD69" s="34" t="str">
        <f>IFERROR(__xludf.DUMMYFUNCTION("""COMPUTED_VALUE"""),"https://techcombank.com/thong-tin/blog/rui-ro-khi-vay-the-chap-ngan-hang")</f>
        <v>https://techcombank.com/thong-tin/blog/rui-ro-khi-vay-the-chap-ngan-hang</v>
      </c>
      <c r="HE69" s="30" t="str">
        <f>IFERROR(__xludf.DUMMYFUNCTION("""COMPUTED_VALUE"""),"vay")</f>
        <v>vay</v>
      </c>
      <c r="HF69" s="34" t="str">
        <f>IFERROR(__xludf.DUMMYFUNCTION("""COMPUTED_VALUE"""),"https://techcombank.com/thong-tin/blog/lai-suat-vay-kinh-doanh")</f>
        <v>https://techcombank.com/thong-tin/blog/lai-suat-vay-kinh-doanh</v>
      </c>
      <c r="HG69" s="30" t="str">
        <f>IFERROR(__xludf.DUMMYFUNCTION("""COMPUTED_VALUE"""),"vay tiền")</f>
        <v>vay tiền</v>
      </c>
      <c r="HH69" s="34" t="str">
        <f>IFERROR(__xludf.DUMMYFUNCTION("""COMPUTED_VALUE"""),"https://techcombank.com/thong-tin/blog/vay-thau-chi-la-gi")</f>
        <v>https://techcombank.com/thong-tin/blog/vay-thau-chi-la-gi</v>
      </c>
      <c r="HI69" s="30" t="str">
        <f>IFERROR(__xludf.DUMMYFUNCTION("""COMPUTED_VALUE"""),"vay")</f>
        <v>vay</v>
      </c>
      <c r="HJ69" s="34" t="str">
        <f>IFERROR(__xludf.DUMMYFUNCTION("""COMPUTED_VALUE"""),"https://techcombank.com/thong-tin/blog/vay-tin-chap-khong-tra-duoc-co-sao-khong")</f>
        <v>https://techcombank.com/thong-tin/blog/vay-tin-chap-khong-tra-duoc-co-sao-khong</v>
      </c>
      <c r="HK69" s="30" t="str">
        <f>IFERROR(__xludf.DUMMYFUNCTION("""COMPUTED_VALUE"""),"vay nhanh")</f>
        <v>vay nhanh</v>
      </c>
      <c r="HL69" s="34" t="str">
        <f>IFERROR(__xludf.DUMMYFUNCTION("""COMPUTED_VALUE"""),"https://techcombank.com/thong-tin/blog/vay-von-doanh-nghiep-khong-the-chap")</f>
        <v>https://techcombank.com/thong-tin/blog/vay-von-doanh-nghiep-khong-the-chap</v>
      </c>
      <c r="HM69" s="30" t="str">
        <f>IFERROR(__xludf.DUMMYFUNCTION("""COMPUTED_VALUE"""),"vay")</f>
        <v>vay</v>
      </c>
      <c r="HN69" s="34" t="str">
        <f>IFERROR(__xludf.DUMMYFUNCTION("""COMPUTED_VALUE"""),"https://techcombank.com/thong-tin/blog/vay-tin-chap-cho-doanh-nghiep-moi-thanh-lap")</f>
        <v>https://techcombank.com/thong-tin/blog/vay-tin-chap-cho-doanh-nghiep-moi-thanh-lap</v>
      </c>
      <c r="HO69" s="30" t="str">
        <f>IFERROR(__xludf.DUMMYFUNCTION("""COMPUTED_VALUE"""),"vay")</f>
        <v>vay</v>
      </c>
      <c r="HP69" s="34" t="str">
        <f>IFERROR(__xludf.DUMMYFUNCTION("""COMPUTED_VALUE"""),"https://techcombank.com/thong-tin/blog/thanh-toan-khoan-vay")</f>
        <v>https://techcombank.com/thong-tin/blog/thanh-toan-khoan-vay</v>
      </c>
      <c r="HQ69" s="30" t="str">
        <f>IFERROR(__xludf.DUMMYFUNCTION("""COMPUTED_VALUE"""),"vay")</f>
        <v>vay</v>
      </c>
      <c r="HR69" s="34" t="str">
        <f>IFERROR(__xludf.DUMMYFUNCTION("""COMPUTED_VALUE"""),"https://techcombank.com/thong-tin/blog/co-nen-vay-ngan-hang-mua-nha")</f>
        <v>https://techcombank.com/thong-tin/blog/co-nen-vay-ngan-hang-mua-nha</v>
      </c>
      <c r="HS69" s="30" t="str">
        <f>IFERROR(__xludf.DUMMYFUNCTION("""COMPUTED_VALUE"""),"vay tiền")</f>
        <v>vay tiền</v>
      </c>
      <c r="HT69" s="34" t="str">
        <f>IFERROR(__xludf.DUMMYFUNCTION("""COMPUTED_VALUE"""),"https://techcombank.com/thong-tin/blog/ho-so-vay-tin-chap")</f>
        <v>https://techcombank.com/thong-tin/blog/ho-so-vay-tin-chap</v>
      </c>
      <c r="HU69" s="30" t="str">
        <f>IFERROR(__xludf.DUMMYFUNCTION("""COMPUTED_VALUE"""),"vay")</f>
        <v>vay</v>
      </c>
      <c r="HV69" s="34" t="str">
        <f>IFERROR(__xludf.DUMMYFUNCTION("""COMPUTED_VALUE"""),"https://techcombank.com/thong-tin/blog/thu-tuc-vay-ngan-hang-mua-nha")</f>
        <v>https://techcombank.com/thong-tin/blog/thu-tuc-vay-ngan-hang-mua-nha</v>
      </c>
      <c r="HW69" s="30" t="str">
        <f>IFERROR(__xludf.DUMMYFUNCTION("""COMPUTED_VALUE"""),"vay")</f>
        <v>vay</v>
      </c>
      <c r="HX69" s="34" t="str">
        <f>IFERROR(__xludf.DUMMYFUNCTION("""COMPUTED_VALUE"""),"https://techcombank.com/thong-tin/blog/thoi-han-vay-thau-chi")</f>
        <v>https://techcombank.com/thong-tin/blog/thoi-han-vay-thau-chi</v>
      </c>
      <c r="HY69" s="30" t="str">
        <f>IFERROR(__xludf.DUMMYFUNCTION("""COMPUTED_VALUE"""),"vay nhanh")</f>
        <v>vay nhanh</v>
      </c>
      <c r="HZ69" s="34" t="str">
        <f>IFERROR(__xludf.DUMMYFUNCTION("""COMPUTED_VALUE"""),"https://techcombank.com/thong-tin/blog/thu-tuc-vay-von-ngan-hang-de-xay-nha")</f>
        <v>https://techcombank.com/thong-tin/blog/thu-tuc-vay-von-ngan-hang-de-xay-nha</v>
      </c>
      <c r="IA69" s="30" t="str">
        <f>IFERROR(__xludf.DUMMYFUNCTION("""COMPUTED_VALUE"""),"vay tiền")</f>
        <v>vay tiền</v>
      </c>
      <c r="IB69" s="34" t="str">
        <f>IFERROR(__xludf.DUMMYFUNCTION("""COMPUTED_VALUE"""),"https://techcombank.com/thong-tin/blog/phi-vay-the-chap")</f>
        <v>https://techcombank.com/thong-tin/blog/phi-vay-the-chap</v>
      </c>
      <c r="IC69" s="30" t="str">
        <f>IFERROR(__xludf.DUMMYFUNCTION("""COMPUTED_VALUE"""),"vay tiền")</f>
        <v>vay tiền</v>
      </c>
      <c r="ID69" s="34" t="str">
        <f>IFERROR(__xludf.DUMMYFUNCTION("""COMPUTED_VALUE"""),"https://techcombank.com/thong-tin/blog/the-chap-la-gi")</f>
        <v>https://techcombank.com/thong-tin/blog/the-chap-la-gi</v>
      </c>
      <c r="IE69" s="30" t="str">
        <f>IFERROR(__xludf.DUMMYFUNCTION("""COMPUTED_VALUE"""),"vay tiền")</f>
        <v>vay tiền</v>
      </c>
      <c r="IF69" s="34" t="str">
        <f>IFERROR(__xludf.DUMMYFUNCTION("""COMPUTED_VALUE"""),"https://techcombank.com/thong-tin/blog/vay-the-chap-khong-chung-minh-thu-nhap")</f>
        <v>https://techcombank.com/thong-tin/blog/vay-the-chap-khong-chung-minh-thu-nhap</v>
      </c>
      <c r="IG69" s="30" t="str">
        <f>IFERROR(__xludf.DUMMYFUNCTION("""COMPUTED_VALUE"""),"vay nhanh")</f>
        <v>vay nhanh</v>
      </c>
      <c r="IH69" s="34" t="str">
        <f>IFERROR(__xludf.DUMMYFUNCTION("""COMPUTED_VALUE"""),"https://techcombank.com/thong-tin/blog/vay-the-chap-la-gi")</f>
        <v>https://techcombank.com/thong-tin/blog/vay-the-chap-la-gi</v>
      </c>
      <c r="II69" s="30" t="str">
        <f>IFERROR(__xludf.DUMMYFUNCTION("""COMPUTED_VALUE"""),"vay nhanh")</f>
        <v>vay nhanh</v>
      </c>
      <c r="IJ69" s="34" t="str">
        <f>IFERROR(__xludf.DUMMYFUNCTION("""COMPUTED_VALUE"""),"https://techcombank.com/thong-tin/blog/vay-40-trieu")</f>
        <v>https://techcombank.com/thong-tin/blog/vay-40-trieu</v>
      </c>
      <c r="IK69" s="30" t="str">
        <f>IFERROR(__xludf.DUMMYFUNCTION("""COMPUTED_VALUE"""),"vay")</f>
        <v>vay</v>
      </c>
      <c r="IL69" s="34" t="str">
        <f>IFERROR(__xludf.DUMMYFUNCTION("""COMPUTED_VALUE"""),"https://techcombank.com/thong-tin/blog/co-nen-mua-o-to-tra-gop")</f>
        <v>https://techcombank.com/thong-tin/blog/co-nen-mua-o-to-tra-gop</v>
      </c>
      <c r="IM69" s="30" t="str">
        <f>IFERROR(__xludf.DUMMYFUNCTION("""COMPUTED_VALUE"""),"vay")</f>
        <v>vay</v>
      </c>
      <c r="IN69" s="34" t="str">
        <f>IFERROR(__xludf.DUMMYFUNCTION("""COMPUTED_VALUE"""),"https://techcombank.com/thong-tin/blog/vay-the-chap-so-bao-hiem-xa-hoi")</f>
        <v>https://techcombank.com/thong-tin/blog/vay-the-chap-so-bao-hiem-xa-hoi</v>
      </c>
      <c r="IO69" s="30" t="str">
        <f>IFERROR(__xludf.DUMMYFUNCTION("""COMPUTED_VALUE"""),"vay nhanh")</f>
        <v>vay nhanh</v>
      </c>
      <c r="IP69" s="34" t="str">
        <f>IFERROR(__xludf.DUMMYFUNCTION("""COMPUTED_VALUE"""),"https://techcombank.com/thong-tin/blog/nen-vay-the-chap-ngan-hang-nao")</f>
        <v>https://techcombank.com/thong-tin/blog/nen-vay-the-chap-ngan-hang-nao</v>
      </c>
      <c r="IQ69" s="30" t="str">
        <f>IFERROR(__xludf.DUMMYFUNCTION("""COMPUTED_VALUE"""),"vay")</f>
        <v>vay</v>
      </c>
      <c r="IR69" s="34" t="str">
        <f>IFERROR(__xludf.DUMMYFUNCTION("""COMPUTED_VALUE"""),"https://techcombank.com/thong-tin/blog/lai-suat-tha-noi")</f>
        <v>https://techcombank.com/thong-tin/blog/lai-suat-tha-noi</v>
      </c>
      <c r="IS69" s="30" t="str">
        <f>IFERROR(__xludf.DUMMYFUNCTION("""COMPUTED_VALUE"""),"vay")</f>
        <v>vay</v>
      </c>
      <c r="IT69" s="34" t="str">
        <f>IFERROR(__xludf.DUMMYFUNCTION("""COMPUTED_VALUE"""),"https://techcombank.com/thong-tin/blog/tra-no-vay-thau-chi-nhu-the-nao")</f>
        <v>https://techcombank.com/thong-tin/blog/tra-no-vay-thau-chi-nhu-the-nao</v>
      </c>
      <c r="IU69" s="30" t="str">
        <f>IFERROR(__xludf.DUMMYFUNCTION("""COMPUTED_VALUE"""),"vay")</f>
        <v>vay</v>
      </c>
      <c r="IV69" s="34" t="str">
        <f>IFERROR(__xludf.DUMMYFUNCTION("""COMPUTED_VALUE"""),"https://techcombank.com/thong-tin/blog/vay-bo-sung-von-luu-dong")</f>
        <v>https://techcombank.com/thong-tin/blog/vay-bo-sung-von-luu-dong</v>
      </c>
      <c r="IW69" s="30" t="str">
        <f>IFERROR(__xludf.DUMMYFUNCTION("""COMPUTED_VALUE"""),"vay")</f>
        <v>vay</v>
      </c>
      <c r="IX69" s="34" t="str">
        <f>IFERROR(__xludf.DUMMYFUNCTION("""COMPUTED_VALUE"""),"https://techcombank.com/thong-tin/blog/vay-tin-chap-ho-kinh-doanh")</f>
        <v>https://techcombank.com/thong-tin/blog/vay-tin-chap-ho-kinh-doanh</v>
      </c>
      <c r="IY69" s="30" t="str">
        <f>IFERROR(__xludf.DUMMYFUNCTION("""COMPUTED_VALUE"""),"vay")</f>
        <v>vay</v>
      </c>
      <c r="IZ69" s="34" t="str">
        <f>IFERROR(__xludf.DUMMYFUNCTION("""COMPUTED_VALUE"""),"https://techcombank.com/thong-tin/blog/no-chu-y-la-gi")</f>
        <v>https://techcombank.com/thong-tin/blog/no-chu-y-la-gi</v>
      </c>
      <c r="JA69" s="30" t="str">
        <f>IFERROR(__xludf.DUMMYFUNCTION("""COMPUTED_VALUE"""),"vay")</f>
        <v>vay</v>
      </c>
      <c r="JB69" s="34" t="str">
        <f>IFERROR(__xludf.DUMMYFUNCTION("""COMPUTED_VALUE"""),"https://techcombank.com/thong-tin/blog/no-xau-la-gi")</f>
        <v>https://techcombank.com/thong-tin/blog/no-xau-la-gi</v>
      </c>
      <c r="JC69" s="30" t="str">
        <f>IFERROR(__xludf.DUMMYFUNCTION("""COMPUTED_VALUE"""),"vay")</f>
        <v>vay</v>
      </c>
      <c r="JD69" s="34" t="str">
        <f>IFERROR(__xludf.DUMMYFUNCTION("""COMPUTED_VALUE"""),"https://techcombank.com/thong-tin/blog/vay-mua-chung-cu")</f>
        <v>https://techcombank.com/thong-tin/blog/vay-mua-chung-cu</v>
      </c>
      <c r="JE69" s="30" t="str">
        <f>IFERROR(__xludf.DUMMYFUNCTION("""COMPUTED_VALUE"""),"vay tiền")</f>
        <v>vay tiền</v>
      </c>
      <c r="JF69" s="34" t="str">
        <f>IFERROR(__xludf.DUMMYFUNCTION("""COMPUTED_VALUE"""),"https://techcombank.com/thong-tin/blog/cic-la-gi")</f>
        <v>https://techcombank.com/thong-tin/blog/cic-la-gi</v>
      </c>
      <c r="JG69" s="30" t="str">
        <f>IFERROR(__xludf.DUMMYFUNCTION("""COMPUTED_VALUE"""),"vay tiền")</f>
        <v>vay tiền</v>
      </c>
      <c r="JH69" s="34" t="str">
        <f>IFERROR(__xludf.DUMMYFUNCTION("""COMPUTED_VALUE"""),"https://techcombank.com/thong-tin/blog/dieu-kien-vay-the-chap")</f>
        <v>https://techcombank.com/thong-tin/blog/dieu-kien-vay-the-chap</v>
      </c>
      <c r="JI69" s="30" t="str">
        <f>IFERROR(__xludf.DUMMYFUNCTION("""COMPUTED_VALUE"""),"vay tiền")</f>
        <v>vay tiền</v>
      </c>
      <c r="JJ69" s="34" t="str">
        <f>IFERROR(__xludf.DUMMYFUNCTION("""COMPUTED_VALUE"""),"https://techcombank.com/thong-tin/blog/dao-han-la-gi")</f>
        <v>https://techcombank.com/thong-tin/blog/dao-han-la-gi</v>
      </c>
      <c r="JK69" s="30" t="str">
        <f>IFERROR(__xludf.DUMMYFUNCTION("""COMPUTED_VALUE"""),"vay tiền")</f>
        <v>vay tiền</v>
      </c>
      <c r="JL69" s="34" t="str">
        <f>IFERROR(__xludf.DUMMYFUNCTION("""COMPUTED_VALUE"""),"https://techcombank.com/thong-tin/blog/cho-vay-tieu-dung-la-gi")</f>
        <v>https://techcombank.com/thong-tin/blog/cho-vay-tieu-dung-la-gi</v>
      </c>
      <c r="JM69" s="30" t="str">
        <f>IFERROR(__xludf.DUMMYFUNCTION("""COMPUTED_VALUE"""),"vay")</f>
        <v>vay</v>
      </c>
      <c r="JN69" s="34" t="str">
        <f>IFERROR(__xludf.DUMMYFUNCTION("""COMPUTED_VALUE"""),"https://techcombank.com/thong-tin/blog/vay-the-chap-khong-tra-duoc")</f>
        <v>https://techcombank.com/thong-tin/blog/vay-the-chap-khong-tra-duoc</v>
      </c>
      <c r="JO69" s="30" t="str">
        <f>IFERROR(__xludf.DUMMYFUNCTION("""COMPUTED_VALUE"""),"vay nhanh")</f>
        <v>vay nhanh</v>
      </c>
      <c r="JP69" s="34" t="str">
        <f>IFERROR(__xludf.DUMMYFUNCTION("""COMPUTED_VALUE"""),"https://techcombank.com/thong-tin/blog/bao-lanh-vay-von")</f>
        <v>https://techcombank.com/thong-tin/blog/bao-lanh-vay-von</v>
      </c>
      <c r="JQ69" s="30" t="str">
        <f>IFERROR(__xludf.DUMMYFUNCTION("""COMPUTED_VALUE"""),"vay")</f>
        <v>vay</v>
      </c>
      <c r="JR69" s="34" t="str">
        <f>IFERROR(__xludf.DUMMYFUNCTION("""COMPUTED_VALUE"""),"https://techcombank.com/thong-tin/blog/thu-tuc-vay-von-doanh-nghiep")</f>
        <v>https://techcombank.com/thong-tin/blog/thu-tuc-vay-von-doanh-nghiep</v>
      </c>
      <c r="JS69" s="30" t="str">
        <f>IFERROR(__xludf.DUMMYFUNCTION("""COMPUTED_VALUE"""),"vay tiền")</f>
        <v>vay tiền</v>
      </c>
      <c r="JT69" s="34" t="str">
        <f>IFERROR(__xludf.DUMMYFUNCTION("""COMPUTED_VALUE"""),"https://techcombank.com/thong-tin/blog/ho-so-vay-von-cua-doanh-nghiep-gom-nhung-gi")</f>
        <v>https://techcombank.com/thong-tin/blog/ho-so-vay-von-cua-doanh-nghiep-gom-nhung-gi</v>
      </c>
      <c r="JU69" s="30" t="str">
        <f>IFERROR(__xludf.DUMMYFUNCTION("""COMPUTED_VALUE"""),"vay")</f>
        <v>vay</v>
      </c>
      <c r="JV69" s="34" t="str">
        <f>IFERROR(__xludf.DUMMYFUNCTION("""COMPUTED_VALUE"""),"https://techcombank.com/thong-tin/blog/cho-vay-tung-lan")</f>
        <v>https://techcombank.com/thong-tin/blog/cho-vay-tung-lan</v>
      </c>
      <c r="JW69" s="30" t="str">
        <f>IFERROR(__xludf.DUMMYFUNCTION("""COMPUTED_VALUE"""),"vay")</f>
        <v>vay</v>
      </c>
      <c r="JX69" s="34" t="str">
        <f>IFERROR(__xludf.DUMMYFUNCTION("""COMPUTED_VALUE"""),"https://techcombank.com/thong-tin/blog/tin-dung-tieu-dung")</f>
        <v>https://techcombank.com/thong-tin/blog/tin-dung-tieu-dung</v>
      </c>
      <c r="JY69" s="30" t="str">
        <f>IFERROR(__xludf.DUMMYFUNCTION("""COMPUTED_VALUE"""),"vay nhanh")</f>
        <v>vay nhanh</v>
      </c>
      <c r="JZ69" s="34" t="str">
        <f>IFERROR(__xludf.DUMMYFUNCTION("""COMPUTED_VALUE"""),"https://techcombank.com/thong-tin/blog/tin-dung-doanh-nghiep")</f>
        <v>https://techcombank.com/thong-tin/blog/tin-dung-doanh-nghiep</v>
      </c>
      <c r="KA69" s="30" t="str">
        <f>IFERROR(__xludf.DUMMYFUNCTION("""COMPUTED_VALUE"""),"vay")</f>
        <v>vay</v>
      </c>
      <c r="KB69" s="34" t="str">
        <f>IFERROR(__xludf.DUMMYFUNCTION("""COMPUTED_VALUE"""),"https://techcombank.com/thong-tin/blog/cho-vay-hop-von-la-gi")</f>
        <v>https://techcombank.com/thong-tin/blog/cho-vay-hop-von-la-gi</v>
      </c>
      <c r="KC69" s="30" t="str">
        <f>IFERROR(__xludf.DUMMYFUNCTION("""COMPUTED_VALUE"""),"vay")</f>
        <v>vay</v>
      </c>
      <c r="KD69" s="34" t="str">
        <f>IFERROR(__xludf.DUMMYFUNCTION("""COMPUTED_VALUE"""),"https://techcombank.com/thong-tin/blog/von-luu-dong-la-gi")</f>
        <v>https://techcombank.com/thong-tin/blog/von-luu-dong-la-gi</v>
      </c>
      <c r="KE69" s="30" t="str">
        <f>IFERROR(__xludf.DUMMYFUNCTION("""COMPUTED_VALUE"""),"vay")</f>
        <v>vay</v>
      </c>
      <c r="KF69" s="34" t="str">
        <f>IFERROR(__xludf.DUMMYFUNCTION("""COMPUTED_VALUE"""),"https://techcombank.com/thong-tin/blog/nhu-cau-vay-tieu-dung-cua-nguoi-viet-du-kien-tang-manh-trong-thoi-gian-toi")</f>
        <v>https://techcombank.com/thong-tin/blog/nhu-cau-vay-tieu-dung-cua-nguoi-viet-du-kien-tang-manh-trong-thoi-gian-toi</v>
      </c>
      <c r="KG69" s="30" t="str">
        <f>IFERROR(__xludf.DUMMYFUNCTION("""COMPUTED_VALUE"""),"vay")</f>
        <v>vay</v>
      </c>
      <c r="KH69" s="34" t="str">
        <f>IFERROR(__xludf.DUMMYFUNCTION("""COMPUTED_VALUE"""),"https://techcombank.com/thong-tin/blog/tap-doan-thanh-quang-khoi-sac-kinh-doanh-nho-nguon-von-vay-tin-dung-techcombank-tren-nen-tang-misa-lending")</f>
        <v>https://techcombank.com/thong-tin/blog/tap-doan-thanh-quang-khoi-sac-kinh-doanh-nho-nguon-von-vay-tin-dung-techcombank-tren-nen-tang-misa-lending</v>
      </c>
      <c r="KI69" s="30" t="str">
        <f>IFERROR(__xludf.DUMMYFUNCTION("""COMPUTED_VALUE"""),"vay")</f>
        <v>vay</v>
      </c>
      <c r="KJ69" s="34" t="str">
        <f>IFERROR(__xludf.DUMMYFUNCTION("""COMPUTED_VALUE"""),"https://techcombank.com/thong-tin/blog/loi-nhuan")</f>
        <v>https://techcombank.com/thong-tin/blog/loi-nhuan</v>
      </c>
      <c r="KK69" s="30" t="str">
        <f>IFERROR(__xludf.DUMMYFUNCTION("""COMPUTED_VALUE"""),"vay")</f>
        <v>vay</v>
      </c>
      <c r="KL69" s="34" t="str">
        <f>IFERROR(__xludf.DUMMYFUNCTION("""COMPUTED_VALUE"""),"https://techcombank.com/thong-tin/blog/dieu-kien-vay-von-ngan-hang")</f>
        <v>https://techcombank.com/thong-tin/blog/dieu-kien-vay-von-ngan-hang</v>
      </c>
      <c r="KM69" s="30" t="str">
        <f>IFERROR(__xludf.DUMMYFUNCTION("""COMPUTED_VALUE"""),"vay tiền")</f>
        <v>vay tiền</v>
      </c>
      <c r="KN69" s="34" t="str">
        <f>IFERROR(__xludf.DUMMYFUNCTION("""COMPUTED_VALUE"""),"https://techcombank.com/thong-tin/blog/tra-gop-hoc-phi")</f>
        <v>https://techcombank.com/thong-tin/blog/tra-gop-hoc-phi</v>
      </c>
      <c r="KO69" s="30" t="str">
        <f>IFERROR(__xludf.DUMMYFUNCTION("""COMPUTED_VALUE"""),"vay")</f>
        <v>vay</v>
      </c>
      <c r="KP69" s="34" t="str">
        <f>IFERROR(__xludf.DUMMYFUNCTION("""COMPUTED_VALUE"""),"https://techcombank.com/thong-tin/blog/vay-ngan-hang-1-ty-moi-thang-tra-bao-nhieu")</f>
        <v>https://techcombank.com/thong-tin/blog/vay-ngan-hang-1-ty-moi-thang-tra-bao-nhieu</v>
      </c>
      <c r="KQ69" s="30" t="str">
        <f>IFERROR(__xludf.DUMMYFUNCTION("""COMPUTED_VALUE"""),"vay")</f>
        <v>vay</v>
      </c>
      <c r="KR69" s="34" t="str">
        <f>IFERROR(__xludf.DUMMYFUNCTION("""COMPUTED_VALUE"""),"https://techcombank.com/thong-tin/blog/no-xau-mo-the-tin-dung-duoc-khong")</f>
        <v>https://techcombank.com/thong-tin/blog/no-xau-mo-the-tin-dung-duoc-khong</v>
      </c>
      <c r="KS69" s="30" t="str">
        <f>IFERROR(__xludf.DUMMYFUNCTION("""COMPUTED_VALUE"""),"vay")</f>
        <v>vay</v>
      </c>
      <c r="KT69" s="34" t="str">
        <f>IFERROR(__xludf.DUMMYFUNCTION("""COMPUTED_VALUE"""),"https://techcombank.com/thong-tin/blog/gui-tiet-kiem-online-co-rut-truoc-han-duoc-khong")</f>
        <v>https://techcombank.com/thong-tin/blog/gui-tiet-kiem-online-co-rut-truoc-han-duoc-khong</v>
      </c>
      <c r="KU69" s="30" t="str">
        <f>IFERROR(__xludf.DUMMYFUNCTION("""COMPUTED_VALUE"""),"vay")</f>
        <v>vay</v>
      </c>
      <c r="KV69" s="34" t="str">
        <f>IFERROR(__xludf.DUMMYFUNCTION("""COMPUTED_VALUE"""),"https://techcombank.com/thong-tin/blog/lam-ho-so-tra-gop-dien-thoai")</f>
        <v>https://techcombank.com/thong-tin/blog/lam-ho-so-tra-gop-dien-thoai</v>
      </c>
      <c r="KW69" s="30" t="str">
        <f>IFERROR(__xludf.DUMMYFUNCTION("""COMPUTED_VALUE"""),"vay tiền")</f>
        <v>vay tiền</v>
      </c>
      <c r="KX69" s="34" t="str">
        <f>IFERROR(__xludf.DUMMYFUNCTION("""COMPUTED_VALUE"""),"https://techcombank.com/thong-tin/blog/tat-toan-so-tiet-kiem")</f>
        <v>https://techcombank.com/thong-tin/blog/tat-toan-so-tiet-kiem</v>
      </c>
      <c r="KY69" s="30" t="str">
        <f>IFERROR(__xludf.DUMMYFUNCTION("""COMPUTED_VALUE"""),"vay")</f>
        <v>vay</v>
      </c>
      <c r="KZ69" s="34" t="str">
        <f>IFERROR(__xludf.DUMMYFUNCTION("""COMPUTED_VALUE"""),"https://techcombank.com/thong-tin/blog/the-ghi-no-va-the-tin-dung")</f>
        <v>https://techcombank.com/thong-tin/blog/the-ghi-no-va-the-tin-dung</v>
      </c>
      <c r="LA69" s="30" t="str">
        <f>IFERROR(__xludf.DUMMYFUNCTION("""COMPUTED_VALUE"""),"vay")</f>
        <v>vay</v>
      </c>
      <c r="LB69" s="34" t="str">
        <f>IFERROR(__xludf.DUMMYFUNCTION("""COMPUTED_VALUE"""),"https://techcombank.com/thong-tin/blog/nen-mua-xe-o-to-dien-hay-xe-xang")</f>
        <v>https://techcombank.com/thong-tin/blog/nen-mua-xe-o-to-dien-hay-xe-xang</v>
      </c>
      <c r="LC69" s="30" t="str">
        <f>IFERROR(__xludf.DUMMYFUNCTION("""COMPUTED_VALUE"""),"vay")</f>
        <v>vay</v>
      </c>
      <c r="LD69" s="34" t="str">
        <f>IFERROR(__xludf.DUMMYFUNCTION("""COMPUTED_VALUE"""),"https://techcombank.com/thong-tin/blog/han-muc-the-tin-dung")</f>
        <v>https://techcombank.com/thong-tin/blog/han-muc-the-tin-dung</v>
      </c>
      <c r="LE69" s="30" t="str">
        <f>IFERROR(__xludf.DUMMYFUNCTION("""COMPUTED_VALUE"""),"vay")</f>
        <v>vay</v>
      </c>
      <c r="LF69" s="34" t="str">
        <f>IFERROR(__xludf.DUMMYFUNCTION("""COMPUTED_VALUE"""),"https://techcombank.com/thong-tin/blog/the-tin-dung-phu-la-gi")</f>
        <v>https://techcombank.com/thong-tin/blog/the-tin-dung-phu-la-gi</v>
      </c>
      <c r="LG69" s="30" t="str">
        <f>IFERROR(__xludf.DUMMYFUNCTION("""COMPUTED_VALUE"""),"vay")</f>
        <v>vay</v>
      </c>
      <c r="LH69" s="34" t="str">
        <f>IFERROR(__xludf.DUMMYFUNCTION("""COMPUTED_VALUE"""),"https://techcombank.com/thong-tin/blog/rut-tien-mat-tu-the-tin-dung")</f>
        <v>https://techcombank.com/thong-tin/blog/rut-tien-mat-tu-the-tin-dung</v>
      </c>
      <c r="LI69" s="30" t="str">
        <f>IFERROR(__xludf.DUMMYFUNCTION("""COMPUTED_VALUE"""),"vay")</f>
        <v>vay</v>
      </c>
      <c r="LJ69" s="34" t="str">
        <f>IFERROR(__xludf.DUMMYFUNCTION("""COMPUTED_VALUE"""),"https://techcombank.com/thong-tin/blog/the-visa-co-rut-tien-duoc-khong")</f>
        <v>https://techcombank.com/thong-tin/blog/the-visa-co-rut-tien-duoc-khong</v>
      </c>
      <c r="LK69" s="30" t="str">
        <f>IFERROR(__xludf.DUMMYFUNCTION("""COMPUTED_VALUE"""),"vay")</f>
        <v>vay</v>
      </c>
      <c r="LL69" s="34" t="str">
        <f>IFERROR(__xludf.DUMMYFUNCTION("""COMPUTED_VALUE"""),"https://techcombank.com/thong-tin/blog/tai-khoan-ngan-hang-chua-toi-da-bao-nhieu-tien")</f>
        <v>https://techcombank.com/thong-tin/blog/tai-khoan-ngan-hang-chua-toi-da-bao-nhieu-tien</v>
      </c>
      <c r="LM69" s="30" t="str">
        <f>IFERROR(__xludf.DUMMYFUNCTION("""COMPUTED_VALUE"""),"vay")</f>
        <v>vay</v>
      </c>
      <c r="LN69" s="34" t="str">
        <f>IFERROR(__xludf.DUMMYFUNCTION("""COMPUTED_VALUE"""),"https://techcombank.com/thong-tin/blog/app-mua-truoc-tra-sau")</f>
        <v>https://techcombank.com/thong-tin/blog/app-mua-truoc-tra-sau</v>
      </c>
      <c r="LO69" s="30" t="str">
        <f>IFERROR(__xludf.DUMMYFUNCTION("""COMPUTED_VALUE"""),"vay")</f>
        <v>vay</v>
      </c>
      <c r="LP69" s="34" t="str">
        <f>IFERROR(__xludf.DUMMYFUNCTION("""COMPUTED_VALUE"""),"https://techcombank.com/thong-tin/blog/chuyen-gia-du-doan-gia-bat-dong-san-2025-va-cac-no-luc-tu-ngan-hang")</f>
        <v>https://techcombank.com/thong-tin/blog/chuyen-gia-du-doan-gia-bat-dong-san-2025-va-cac-no-luc-tu-ngan-hang</v>
      </c>
      <c r="LQ69" s="30" t="str">
        <f>IFERROR(__xludf.DUMMYFUNCTION("""COMPUTED_VALUE"""),"vay")</f>
        <v>vay</v>
      </c>
      <c r="LR69" s="34" t="str">
        <f>IFERROR(__xludf.DUMMYFUNCTION("""COMPUTED_VALUE"""),"https://techcombank.com/thong-tin/blog/ho-so-thu-tuc-xoa-the-chap")</f>
        <v>https://techcombank.com/thong-tin/blog/ho-so-thu-tuc-xoa-the-chap</v>
      </c>
      <c r="LS69" s="30" t="str">
        <f>IFERROR(__xludf.DUMMYFUNCTION("""COMPUTED_VALUE"""),"vay")</f>
        <v>vay</v>
      </c>
      <c r="LT69" s="34" t="str">
        <f>IFERROR(__xludf.DUMMYFUNCTION("""COMPUTED_VALUE"""),"https://techcombank.com/thong-tin/blog/spaylater")</f>
        <v>https://techcombank.com/thong-tin/blog/spaylater</v>
      </c>
      <c r="LU69" s="30" t="str">
        <f>IFERROR(__xludf.DUMMYFUNCTION("""COMPUTED_VALUE"""),"vay")</f>
        <v>vay</v>
      </c>
      <c r="LV69" s="34" t="str">
        <f>IFERROR(__xludf.DUMMYFUNCTION("""COMPUTED_VALUE"""),"https://techcombank.com/thong-tin/blog/nang-han-muc-tin-dung")</f>
        <v>https://techcombank.com/thong-tin/blog/nang-han-muc-tin-dung</v>
      </c>
      <c r="LW69" s="30" t="str">
        <f>IFERROR(__xludf.DUMMYFUNCTION("""COMPUTED_VALUE"""),"vay")</f>
        <v>vay</v>
      </c>
      <c r="LX69" s="34" t="str">
        <f>IFERROR(__xludf.DUMMYFUNCTION("""COMPUTED_VALUE"""),"https://techcombank.com/thong-tin/blog/lich-su-tin-dung")</f>
        <v>https://techcombank.com/thong-tin/blog/lich-su-tin-dung</v>
      </c>
      <c r="LY69" s="30" t="str">
        <f>IFERROR(__xludf.DUMMYFUNCTION("""COMPUTED_VALUE"""),"vay")</f>
        <v>vay</v>
      </c>
      <c r="LZ69" s="34" t="str">
        <f>IFERROR(__xludf.DUMMYFUNCTION("""COMPUTED_VALUE"""),"https://techcombank.com/thong-tin/blog/lai-suat-la-gi")</f>
        <v>https://techcombank.com/thong-tin/blog/lai-suat-la-gi</v>
      </c>
      <c r="MA69" s="30" t="str">
        <f>IFERROR(__xludf.DUMMYFUNCTION("""COMPUTED_VALUE"""),"vay")</f>
        <v>vay</v>
      </c>
      <c r="MB69" s="34" t="str">
        <f>IFERROR(__xludf.DUMMYFUNCTION("""COMPUTED_VALUE"""),"https://techcombank.com/thong-tin/blog/mo-the-tin-dung-han-muc-cao")</f>
        <v>https://techcombank.com/thong-tin/blog/mo-the-tin-dung-han-muc-cao</v>
      </c>
      <c r="MC69" s="30" t="str">
        <f>IFERROR(__xludf.DUMMYFUNCTION("""COMPUTED_VALUE"""),"vay")</f>
        <v>vay</v>
      </c>
      <c r="MD69" s="34" t="str">
        <f>IFERROR(__xludf.DUMMYFUNCTION("""COMPUTED_VALUE"""),"https://techcombank.com/thong-tin/blog/tra-gop-qua-the-tin-dung")</f>
        <v>https://techcombank.com/thong-tin/blog/tra-gop-qua-the-tin-dung</v>
      </c>
      <c r="ME69" s="30" t="str">
        <f>IFERROR(__xludf.DUMMYFUNCTION("""COMPUTED_VALUE"""),"vay tiền")</f>
        <v>vay tiền</v>
      </c>
      <c r="MF69" s="34" t="str">
        <f>IFERROR(__xludf.DUMMYFUNCTION("""COMPUTED_VALUE"""),"https://techcombank.com/thong-tin/blog/du-no-la-gi")</f>
        <v>https://techcombank.com/thong-tin/blog/du-no-la-gi</v>
      </c>
      <c r="MG69" s="30" t="str">
        <f>IFERROR(__xludf.DUMMYFUNCTION("""COMPUTED_VALUE"""),"vay")</f>
        <v>vay</v>
      </c>
      <c r="MH69" s="34" t="str">
        <f>IFERROR(__xludf.DUMMYFUNCTION("""COMPUTED_VALUE"""),"https://techcombank.com/thong-tin/blog/cong-thuc-tinh-lai-suat-thuc")</f>
        <v>https://techcombank.com/thong-tin/blog/cong-thuc-tinh-lai-suat-thuc</v>
      </c>
      <c r="MI69" s="30" t="str">
        <f>IFERROR(__xludf.DUMMYFUNCTION("""COMPUTED_VALUE"""),"vay")</f>
        <v>vay</v>
      </c>
      <c r="MJ69" s="34" t="str">
        <f>IFERROR(__xludf.DUMMYFUNCTION("""COMPUTED_VALUE"""),"https://techcombank.com/thong-tin/blog/so-tiet-kiem-ngan-hang")</f>
        <v>https://techcombank.com/thong-tin/blog/so-tiet-kiem-ngan-hang</v>
      </c>
      <c r="MK69" s="30" t="str">
        <f>IFERROR(__xludf.DUMMYFUNCTION("""COMPUTED_VALUE"""),"vay")</f>
        <v>vay</v>
      </c>
      <c r="ML69" s="34" t="str">
        <f>IFERROR(__xludf.DUMMYFUNCTION("""COMPUTED_VALUE"""),"https://techcombank.com/thong-tin/blog/no-xau")</f>
        <v>https://techcombank.com/thong-tin/blog/no-xau</v>
      </c>
      <c r="MM69" s="30" t="str">
        <f>IFERROR(__xludf.DUMMYFUNCTION("""COMPUTED_VALUE"""),"vay")</f>
        <v>vay</v>
      </c>
      <c r="MN69" s="34" t="str">
        <f>IFERROR(__xludf.DUMMYFUNCTION("""COMPUTED_VALUE"""),"https://techcombank.com/thong-tin/blog/lai-kep-ngan-hang")</f>
        <v>https://techcombank.com/thong-tin/blog/lai-kep-ngan-hang</v>
      </c>
      <c r="MO69" s="30" t="str">
        <f>IFERROR(__xludf.DUMMYFUNCTION("""COMPUTED_VALUE"""),"vay")</f>
        <v>vay</v>
      </c>
      <c r="MP69" s="34" t="str">
        <f>IFERROR(__xludf.DUMMYFUNCTION("""COMPUTED_VALUE"""),"https://techcombank.com/thong-tin/blog/tien-gui-khong-ky-han")</f>
        <v>https://techcombank.com/thong-tin/blog/tien-gui-khong-ky-han</v>
      </c>
      <c r="MQ69" s="30" t="str">
        <f>IFERROR(__xludf.DUMMYFUNCTION("""COMPUTED_VALUE"""),"app vay")</f>
        <v>app vay</v>
      </c>
      <c r="MR69" s="34" t="str">
        <f>IFERROR(__xludf.DUMMYFUNCTION("""COMPUTED_VALUE"""),"https://techcombank.com/thong-tin/blog/app-ngan-hang-uy-tin")</f>
        <v>https://techcombank.com/thong-tin/blog/app-ngan-hang-uy-tin</v>
      </c>
      <c r="MS69" s="30" t="str">
        <f>IFERROR(__xludf.DUMMYFUNCTION("""COMPUTED_VALUE"""),"vay")</f>
        <v>vay</v>
      </c>
      <c r="MT69" s="34" t="str">
        <f>IFERROR(__xludf.DUMMYFUNCTION("""COMPUTED_VALUE"""),"https://techcombank.com/thong-tin/blog/cach-su-dung-the-visa-techcombank")</f>
        <v>https://techcombank.com/thong-tin/blog/cach-su-dung-the-visa-techcombank</v>
      </c>
      <c r="MU69" s="30" t="str">
        <f>IFERROR(__xludf.DUMMYFUNCTION("""COMPUTED_VALUE"""),"vay")</f>
        <v>vay</v>
      </c>
      <c r="MV69" s="34" t="str">
        <f>IFERROR(__xludf.DUMMYFUNCTION("""COMPUTED_VALUE"""),"https://techcombank.com/thong-tin/blog/so-sanh-gui-tiet-kiem-online-va-tai-quay")</f>
        <v>https://techcombank.com/thong-tin/blog/so-sanh-gui-tiet-kiem-online-va-tai-quay</v>
      </c>
      <c r="MW69" s="30" t="str">
        <f>IFERROR(__xludf.DUMMYFUNCTION("""COMPUTED_VALUE"""),"vay tiền")</f>
        <v>vay tiền</v>
      </c>
      <c r="MX69" s="34" t="str">
        <f>IFERROR(__xludf.DUMMYFUNCTION("""COMPUTED_VALUE"""),"https://techcombank.com/thong-tin/blog/cach-tiet-kiem-tien-sinh-loi")</f>
        <v>https://techcombank.com/thong-tin/blog/cach-tiet-kiem-tien-sinh-loi</v>
      </c>
      <c r="MY69" s="30" t="str">
        <f>IFERROR(__xludf.DUMMYFUNCTION("""COMPUTED_VALUE"""),"vay tiền online chuyển khoản ngay")</f>
        <v>vay tiền online chuyển khoản ngay</v>
      </c>
      <c r="MZ69" s="34" t="str">
        <f>IFERROR(__xludf.DUMMYFUNCTION("""COMPUTED_VALUE"""),"https://techcombank.com/thong-tin/blog/co-nen-gui-tiet-kiem-online")</f>
        <v>https://techcombank.com/thong-tin/blog/co-nen-gui-tiet-kiem-online</v>
      </c>
      <c r="NA69" s="30" t="str">
        <f>IFERROR(__xludf.DUMMYFUNCTION("""COMPUTED_VALUE"""),"vay")</f>
        <v>vay</v>
      </c>
      <c r="NB69" s="34" t="str">
        <f>IFERROR(__xludf.DUMMYFUNCTION("""COMPUTED_VALUE"""),"https://techcombank.com/thong-tin/blog/no-xau-co-lam-the-visa-duoc-khong")</f>
        <v>https://techcombank.com/thong-tin/blog/no-xau-co-lam-the-visa-duoc-khong</v>
      </c>
      <c r="NC69" s="30" t="str">
        <f>IFERROR(__xludf.DUMMYFUNCTION("""COMPUTED_VALUE"""),"vay")</f>
        <v>vay</v>
      </c>
      <c r="ND69" s="34" t="str">
        <f>IFERROR(__xludf.DUMMYFUNCTION("""COMPUTED_VALUE"""),"https://techcombank.com/thong-tin/blog/the-tin-dung-bi-khoa")</f>
        <v>https://techcombank.com/thong-tin/blog/the-tin-dung-bi-khoa</v>
      </c>
      <c r="NE69" s="30" t="str">
        <f>IFERROR(__xludf.DUMMYFUNCTION("""COMPUTED_VALUE"""),"vay")</f>
        <v>vay</v>
      </c>
      <c r="NF69" s="34" t="str">
        <f>IFERROR(__xludf.DUMMYFUNCTION("""COMPUTED_VALUE"""),"https://techcombank.com/thong-tin/blog/no-the-tin-dung-qua-han")</f>
        <v>https://techcombank.com/thong-tin/blog/no-the-tin-dung-qua-han</v>
      </c>
      <c r="NG69" s="30" t="str">
        <f>IFERROR(__xludf.DUMMYFUNCTION("""COMPUTED_VALUE"""),"vay")</f>
        <v>vay</v>
      </c>
      <c r="NH69" s="34" t="str">
        <f>IFERROR(__xludf.DUMMYFUNCTION("""COMPUTED_VALUE"""),"https://techcombank.com/thong-tin/blog/lai-suat-qua-han")</f>
        <v>https://techcombank.com/thong-tin/blog/lai-suat-qua-han</v>
      </c>
      <c r="NI69" s="30" t="str">
        <f>IFERROR(__xludf.DUMMYFUNCTION("""COMPUTED_VALUE"""),"vay")</f>
        <v>vay</v>
      </c>
      <c r="NJ69" s="34" t="str">
        <f>IFERROR(__xludf.DUMMYFUNCTION("""COMPUTED_VALUE"""),"https://techcombank.com/thong-tin/blog/chung-chi-tien-gui-khac-gi-so-tiet-kiem")</f>
        <v>https://techcombank.com/thong-tin/blog/chung-chi-tien-gui-khac-gi-so-tiet-kiem</v>
      </c>
      <c r="NK69" s="30" t="str">
        <f>IFERROR(__xludf.DUMMYFUNCTION("""COMPUTED_VALUE"""),"vay")</f>
        <v>vay</v>
      </c>
      <c r="NL69" s="34" t="str">
        <f>IFERROR(__xludf.DUMMYFUNCTION("""COMPUTED_VALUE"""),"https://techcombank.com/thong-tin/blog/lai-suat-gui-tiet-kiem-usd")</f>
        <v>https://techcombank.com/thong-tin/blog/lai-suat-gui-tiet-kiem-usd</v>
      </c>
      <c r="NM69" s="30" t="str">
        <f>IFERROR(__xludf.DUMMYFUNCTION("""COMPUTED_VALUE"""),"vay")</f>
        <v>vay</v>
      </c>
      <c r="NN69" s="34" t="str">
        <f>IFERROR(__xludf.DUMMYFUNCTION("""COMPUTED_VALUE"""),"https://techcombank.com/thong-tin/blog/gui-tiet-kiem-theo-ngay")</f>
        <v>https://techcombank.com/thong-tin/blog/gui-tiet-kiem-theo-ngay</v>
      </c>
      <c r="NO69" s="30" t="str">
        <f>IFERROR(__xludf.DUMMYFUNCTION("""COMPUTED_VALUE"""),"vay")</f>
        <v>vay</v>
      </c>
      <c r="NP69" s="34" t="str">
        <f>IFERROR(__xludf.DUMMYFUNCTION("""COMPUTED_VALUE"""),"https://techcombank.com/thong-tin/blog/nen-gui-tiet-kiem-6-thang-hay-1-nam")</f>
        <v>https://techcombank.com/thong-tin/blog/nen-gui-tiet-kiem-6-thang-hay-1-nam</v>
      </c>
      <c r="NQ69" s="30" t="str">
        <f>IFERROR(__xludf.DUMMYFUNCTION("""COMPUTED_VALUE"""),"vay")</f>
        <v>vay</v>
      </c>
      <c r="NR69" s="34" t="str">
        <f>IFERROR(__xludf.DUMMYFUNCTION("""COMPUTED_VALUE"""),"https://techcombank.com/thong-tin/blog/lai-suat-the-tin-dung")</f>
        <v>https://techcombank.com/thong-tin/blog/lai-suat-the-tin-dung</v>
      </c>
      <c r="NS69" s="30" t="str">
        <f>IFERROR(__xludf.DUMMYFUNCTION("""COMPUTED_VALUE"""),"vay")</f>
        <v>vay</v>
      </c>
      <c r="NT69" s="34" t="str">
        <f>IFERROR(__xludf.DUMMYFUNCTION("""COMPUTED_VALUE"""),"https://techcombank.com/thong-tin/blog/thanh-toan-toi-thieu-the-tin-dung")</f>
        <v>https://techcombank.com/thong-tin/blog/thanh-toan-toi-thieu-the-tin-dung</v>
      </c>
      <c r="NU69" s="30" t="str">
        <f>IFERROR(__xludf.DUMMYFUNCTION("""COMPUTED_VALUE"""),"vay")</f>
        <v>vay</v>
      </c>
      <c r="NV69" s="34" t="str">
        <f>IFERROR(__xludf.DUMMYFUNCTION("""COMPUTED_VALUE"""),"https://techcombank.com/thong-tin/blog/cach-tinh-lai-suat-tien-gui-tiet-kiem")</f>
        <v>https://techcombank.com/thong-tin/blog/cach-tinh-lai-suat-tien-gui-tiet-kiem</v>
      </c>
      <c r="NW69" s="30" t="str">
        <f>IFERROR(__xludf.DUMMYFUNCTION("""COMPUTED_VALUE"""),"vay tiền")</f>
        <v>vay tiền</v>
      </c>
      <c r="NX69" s="34" t="str">
        <f>IFERROR(__xludf.DUMMYFUNCTION("""COMPUTED_VALUE"""),"https://techcombank.com/thong-tin/blog/gui-tiet-kiem-ngoai-te")</f>
        <v>https://techcombank.com/thong-tin/blog/gui-tiet-kiem-ngoai-te</v>
      </c>
      <c r="NY69" s="30" t="str">
        <f>IFERROR(__xludf.DUMMYFUNCTION("""COMPUTED_VALUE"""),"vay")</f>
        <v>vay</v>
      </c>
      <c r="NZ69" s="34" t="str">
        <f>IFERROR(__xludf.DUMMYFUNCTION("""COMPUTED_VALUE"""),"https://techcombank.com/thong-tin/blog/gui-tiet-kiem-hang-thang")</f>
        <v>https://techcombank.com/thong-tin/blog/gui-tiet-kiem-hang-thang</v>
      </c>
      <c r="OA69" s="30" t="str">
        <f>IFERROR(__xludf.DUMMYFUNCTION("""COMPUTED_VALUE"""),"vay")</f>
        <v>vay</v>
      </c>
      <c r="OB69" s="34" t="str">
        <f>IFERROR(__xludf.DUMMYFUNCTION("""COMPUTED_VALUE"""),"https://techcombank.com/thong-tin/blog/tien-gui-co-ky-han")</f>
        <v>https://techcombank.com/thong-tin/blog/tien-gui-co-ky-han</v>
      </c>
      <c r="OC69" s="30" t="str">
        <f>IFERROR(__xludf.DUMMYFUNCTION("""COMPUTED_VALUE"""),"vay")</f>
        <v>vay</v>
      </c>
      <c r="OD69" s="34" t="str">
        <f>IFERROR(__xludf.DUMMYFUNCTION("""COMPUTED_VALUE"""),"https://techcombank.com/thong-tin/blog/lai-suat-tiet-kiem")</f>
        <v>https://techcombank.com/thong-tin/blog/lai-suat-tiet-kiem</v>
      </c>
      <c r="OE69" s="30" t="str">
        <f>IFERROR(__xludf.DUMMYFUNCTION("""COMPUTED_VALUE"""),"vay")</f>
        <v>vay</v>
      </c>
      <c r="OF69" s="34" t="str">
        <f>IFERROR(__xludf.DUMMYFUNCTION("""COMPUTED_VALUE"""),"https://techcombank.com/thong-tin/blog/cach-su-dung-the-tin-dung")</f>
        <v>https://techcombank.com/thong-tin/blog/cach-su-dung-the-tin-dung</v>
      </c>
      <c r="OG69" s="30" t="str">
        <f>IFERROR(__xludf.DUMMYFUNCTION("""COMPUTED_VALUE"""),"vay")</f>
        <v>vay</v>
      </c>
      <c r="OH69" s="34" t="str">
        <f>IFERROR(__xludf.DUMMYFUNCTION("""COMPUTED_VALUE"""),"https://techcombank.com/thong-tin/blog/uu-dai-the-tin-dung-techcombank-signature")</f>
        <v>https://techcombank.com/thong-tin/blog/uu-dai-the-tin-dung-techcombank-signature</v>
      </c>
      <c r="OI69" s="30"/>
      <c r="OJ69" s="30"/>
      <c r="OK69" s="30"/>
      <c r="OL69" s="30"/>
      <c r="OM69" s="30"/>
      <c r="ON69" s="30"/>
      <c r="OO69" s="30"/>
      <c r="OP69" s="30"/>
      <c r="OQ69" s="30"/>
      <c r="OR69" s="30"/>
      <c r="OS69" s="30"/>
      <c r="OT69" s="30"/>
      <c r="OU69" s="30"/>
      <c r="OV69" s="30"/>
    </row>
    <row r="70" ht="18.0" customHeight="1">
      <c r="A70" s="29">
        <v>69.0</v>
      </c>
      <c r="B70" s="30" t="s">
        <v>6164</v>
      </c>
      <c r="C70" s="31" t="s">
        <v>5816</v>
      </c>
      <c r="D70" s="30" t="s">
        <v>1738</v>
      </c>
      <c r="E70" s="29">
        <v>100.0</v>
      </c>
      <c r="F70" s="29">
        <f>COUNTIF('Tổng hợp 75 trang đích'!$B$2:$B$3400,$D70)</f>
        <v>100</v>
      </c>
      <c r="G70" s="29">
        <f>COUNTIFS('Tổng hợp 75 trang đích'!$B$2:$B$3400,$D70,'Tổng hợp 75 trang đích'!$K$2:$K$3400,"PHÙ HỢP CAO")</f>
        <v>3</v>
      </c>
      <c r="H70" s="29">
        <f>COUNTIFS('Tổng hợp 75 trang đích'!$B$2:$B$3400,$D70,'Tổng hợp 75 trang đích'!$K$2:$K$3400,"CÓ THỂ ĐI")</f>
        <v>4</v>
      </c>
      <c r="I70" s="29">
        <f>COUNTIFS('Tổng hợp 75 trang đích'!$B$2:$B$3400,$D70,'Tổng hợp 75 trang đích'!$K$2:$K$3400,"CẦN SOÁT")</f>
        <v>93</v>
      </c>
      <c r="J70" s="32" t="s">
        <v>714</v>
      </c>
      <c r="K70" s="32" t="b">
        <v>0</v>
      </c>
      <c r="L70" s="33" t="s">
        <v>52</v>
      </c>
      <c r="M70" s="30" t="str">
        <f>IFERROR(__xludf.DUMMYFUNCTION("IFERROR(TOROW(CHOOSECOLS(SORT(FILTER({'Tổng hợp 75 trang đích'!$J$2:$J$3400,'Tổng hợp 75 trang đích'!$I$2:$I$3400,MATCH('Tổng hợp 75 trang đích'!$K$2:$K$3400,{""PHÙ HỢP CAO"",""CÓ THỂ ĐI"",""CẦN SOÁT""},0)},'Tổng hợp 75 trang đích'!$B$2:$B$3400=$D70),3,TR"&amp;"UE),1,2)),"""")"),"lãi suất cho vay ngân hàng")</f>
        <v>lãi suất cho vay ngân hàng</v>
      </c>
      <c r="N70" s="34" t="str">
        <f>IFERROR(__xludf.DUMMYFUNCTION("""COMPUTED_VALUE"""),"https://techcombank.com/thong-tin/blog/lai-suat-la-gi")</f>
        <v>https://techcombank.com/thong-tin/blog/lai-suat-la-gi</v>
      </c>
      <c r="O70" s="30" t="str">
        <f>IFERROR(__xludf.DUMMYFUNCTION("""COMPUTED_VALUE"""),"lãi suất vay ngân hàng hôm nay")</f>
        <v>lãi suất vay ngân hàng hôm nay</v>
      </c>
      <c r="P70" s="34" t="str">
        <f>IFERROR(__xludf.DUMMYFUNCTION("""COMPUTED_VALUE"""),"https://techcombank.com/thong-tin/blog/lai-suat-vay-tieu-dung")</f>
        <v>https://techcombank.com/thong-tin/blog/lai-suat-vay-tieu-dung</v>
      </c>
      <c r="Q70" s="30" t="str">
        <f>IFERROR(__xludf.DUMMYFUNCTION("""COMPUTED_VALUE"""),"lãi vay ngân hàng hiện nay")</f>
        <v>lãi vay ngân hàng hiện nay</v>
      </c>
      <c r="R70" s="34" t="str">
        <f>IFERROR(__xludf.DUMMYFUNCTION("""COMPUTED_VALUE"""),"https://techcombank.com/thong-tin/blog/lai-suat-vay-tin-chap")</f>
        <v>https://techcombank.com/thong-tin/blog/lai-suat-vay-tin-chap</v>
      </c>
      <c r="S70" s="30" t="str">
        <f>IFERROR(__xludf.DUMMYFUNCTION("""COMPUTED_VALUE"""),"lãi suất cho vay ngân hàng")</f>
        <v>lãi suất cho vay ngân hàng</v>
      </c>
      <c r="T70" s="34" t="str">
        <f>IFERROR(__xludf.DUMMYFUNCTION("""COMPUTED_VALUE"""),"https://techcombank.com/thong-tin/blog/dieu-kien-vay-von-ngan-hang")</f>
        <v>https://techcombank.com/thong-tin/blog/dieu-kien-vay-von-ngan-hang</v>
      </c>
      <c r="U70" s="30" t="str">
        <f>IFERROR(__xludf.DUMMYFUNCTION("""COMPUTED_VALUE"""),"lãi suất cho vay ngân hàng")</f>
        <v>lãi suất cho vay ngân hàng</v>
      </c>
      <c r="V70" s="34" t="str">
        <f>IFERROR(__xludf.DUMMYFUNCTION("""COMPUTED_VALUE"""),"https://techcombank.com/thong-tin/blog/lai-suat-qua-han")</f>
        <v>https://techcombank.com/thong-tin/blog/lai-suat-qua-han</v>
      </c>
      <c r="W70" s="30" t="str">
        <f>IFERROR(__xludf.DUMMYFUNCTION("""COMPUTED_VALUE"""),"lãi suất vay ngân hàng")</f>
        <v>lãi suất vay ngân hàng</v>
      </c>
      <c r="X70" s="34" t="str">
        <f>IFERROR(__xludf.DUMMYFUNCTION("""COMPUTED_VALUE"""),"https://techcombank.com/thong-tin/blog/the-tin-dung-phu-la-gi")</f>
        <v>https://techcombank.com/thong-tin/blog/the-tin-dung-phu-la-gi</v>
      </c>
      <c r="Y70" s="30" t="str">
        <f>IFERROR(__xludf.DUMMYFUNCTION("""COMPUTED_VALUE"""),"lãi suất vay ngân hàng")</f>
        <v>lãi suất vay ngân hàng</v>
      </c>
      <c r="Z70" s="34" t="str">
        <f>IFERROR(__xludf.DUMMYFUNCTION("""COMPUTED_VALUE"""),"https://techcombank.com/thong-tin/blog/vay-ngan-hang-1-ty-moi-thang-tra-bao-nhieu")</f>
        <v>https://techcombank.com/thong-tin/blog/vay-ngan-hang-1-ty-moi-thang-tra-bao-nhieu</v>
      </c>
      <c r="AA70" s="30" t="str">
        <f>IFERROR(__xludf.DUMMYFUNCTION("""COMPUTED_VALUE"""),"lãi suất vay ngân hàng")</f>
        <v>lãi suất vay ngân hàng</v>
      </c>
      <c r="AB70" s="34" t="str">
        <f>IFERROR(__xludf.DUMMYFUNCTION("""COMPUTED_VALUE"""),"https://techcombank.com/thong-tin/blog/lai-suat-vay-kinh-doanh")</f>
        <v>https://techcombank.com/thong-tin/blog/lai-suat-vay-kinh-doanh</v>
      </c>
      <c r="AC70" s="30" t="str">
        <f>IFERROR(__xludf.DUMMYFUNCTION("""COMPUTED_VALUE"""),"lãi suất cho vay ngân hàng")</f>
        <v>lãi suất cho vay ngân hàng</v>
      </c>
      <c r="AD70" s="34" t="str">
        <f>IFERROR(__xludf.DUMMYFUNCTION("""COMPUTED_VALUE"""),"https://techcombank.com/thong-tin/blog/loi-nhuan")</f>
        <v>https://techcombank.com/thong-tin/blog/loi-nhuan</v>
      </c>
      <c r="AE70" s="30" t="str">
        <f>IFERROR(__xludf.DUMMYFUNCTION("""COMPUTED_VALUE"""),"lãi suất vay ngân hàng hiện nay")</f>
        <v>lãi suất vay ngân hàng hiện nay</v>
      </c>
      <c r="AF70" s="34" t="str">
        <f>IFERROR(__xludf.DUMMYFUNCTION("""COMPUTED_VALUE"""),"https://techcombank.com/thong-tin/blog/vay-tin-chap-va-vay-the-chap")</f>
        <v>https://techcombank.com/thong-tin/blog/vay-tin-chap-va-vay-the-chap</v>
      </c>
      <c r="AG70" s="30" t="str">
        <f>IFERROR(__xludf.DUMMYFUNCTION("""COMPUTED_VALUE"""),"lãi vay ngân hàng hiện nay")</f>
        <v>lãi vay ngân hàng hiện nay</v>
      </c>
      <c r="AH70" s="34" t="str">
        <f>IFERROR(__xludf.DUMMYFUNCTION("""COMPUTED_VALUE"""),"https://techcombank.com/thong-tin/blog/lai-suat-vay-the-chap")</f>
        <v>https://techcombank.com/thong-tin/blog/lai-suat-vay-the-chap</v>
      </c>
      <c r="AI70" s="30" t="str">
        <f>IFERROR(__xludf.DUMMYFUNCTION("""COMPUTED_VALUE"""),"lãi suất vay ngân hàng hiện nay")</f>
        <v>lãi suất vay ngân hàng hiện nay</v>
      </c>
      <c r="AJ70" s="34" t="str">
        <f>IFERROR(__xludf.DUMMYFUNCTION("""COMPUTED_VALUE"""),"https://techcombank.com/thong-tin/blog/lai-suat-vay-thau-chi")</f>
        <v>https://techcombank.com/thong-tin/blog/lai-suat-vay-thau-chi</v>
      </c>
      <c r="AK70" s="30" t="str">
        <f>IFERROR(__xludf.DUMMYFUNCTION("""COMPUTED_VALUE"""),"lãi suất vay ngân hàng")</f>
        <v>lãi suất vay ngân hàng</v>
      </c>
      <c r="AL70" s="34" t="str">
        <f>IFERROR(__xludf.DUMMYFUNCTION("""COMPUTED_VALUE"""),"https://techcombank.com/thong-tin/blog/lai-suat-ngan-hang-cho-vay-xay-nha")</f>
        <v>https://techcombank.com/thong-tin/blog/lai-suat-ngan-hang-cho-vay-xay-nha</v>
      </c>
      <c r="AM70" s="30" t="str">
        <f>IFERROR(__xludf.DUMMYFUNCTION("""COMPUTED_VALUE"""),"lãi suất vay ngân hàng")</f>
        <v>lãi suất vay ngân hàng</v>
      </c>
      <c r="AN70" s="34" t="str">
        <f>IFERROR(__xludf.DUMMYFUNCTION("""COMPUTED_VALUE"""),"https://techcombank.com/thong-tin/blog/cach-tinh-lai-vay-ngan-hang")</f>
        <v>https://techcombank.com/thong-tin/blog/cach-tinh-lai-vay-ngan-hang</v>
      </c>
      <c r="AO70" s="30" t="str">
        <f>IFERROR(__xludf.DUMMYFUNCTION("""COMPUTED_VALUE"""),"lãi vay ngân hàng hiện nay")</f>
        <v>lãi vay ngân hàng hiện nay</v>
      </c>
      <c r="AP70" s="34" t="str">
        <f>IFERROR(__xludf.DUMMYFUNCTION("""COMPUTED_VALUE"""),"https://techcombank.com/thong-tin/blog/lai-suat-vay-mua-o-to")</f>
        <v>https://techcombank.com/thong-tin/blog/lai-suat-vay-mua-o-to</v>
      </c>
      <c r="AQ70" s="30" t="str">
        <f>IFERROR(__xludf.DUMMYFUNCTION("""COMPUTED_VALUE"""),"lãi suất cho vay ngân hàng")</f>
        <v>lãi suất cho vay ngân hàng</v>
      </c>
      <c r="AR70" s="34" t="str">
        <f>IFERROR(__xludf.DUMMYFUNCTION("""COMPUTED_VALUE"""),"https://techcombank.com/thong-tin/blog/vay-tin-chap-la-gi")</f>
        <v>https://techcombank.com/thong-tin/blog/vay-tin-chap-la-gi</v>
      </c>
      <c r="AS70" s="30" t="str">
        <f>IFERROR(__xludf.DUMMYFUNCTION("""COMPUTED_VALUE"""),"lãi suất vay ngân hàng hiện nay")</f>
        <v>lãi suất vay ngân hàng hiện nay</v>
      </c>
      <c r="AT70" s="34" t="str">
        <f>IFERROR(__xludf.DUMMYFUNCTION("""COMPUTED_VALUE"""),"https://techcombank.com/thong-tin/blog/lai-suat-cho-vay-doanh-nghiep")</f>
        <v>https://techcombank.com/thong-tin/blog/lai-suat-cho-vay-doanh-nghiep</v>
      </c>
      <c r="AU70" s="30" t="str">
        <f>IFERROR(__xludf.DUMMYFUNCTION("""COMPUTED_VALUE"""),"lãi suất vay ngân hàng")</f>
        <v>lãi suất vay ngân hàng</v>
      </c>
      <c r="AV70" s="34" t="str">
        <f>IFERROR(__xludf.DUMMYFUNCTION("""COMPUTED_VALUE"""),"https://techcombank.com/thong-tin/blog/nen-mua-xe-tra-gop-hay-tra-thang")</f>
        <v>https://techcombank.com/thong-tin/blog/nen-mua-xe-tra-gop-hay-tra-thang</v>
      </c>
      <c r="AW70" s="30" t="str">
        <f>IFERROR(__xludf.DUMMYFUNCTION("""COMPUTED_VALUE"""),"lãi vay ngân hàng hiện nay")</f>
        <v>lãi vay ngân hàng hiện nay</v>
      </c>
      <c r="AX70" s="34" t="str">
        <f>IFERROR(__xludf.DUMMYFUNCTION("""COMPUTED_VALUE"""),"https://techcombank.com/thong-tin/blog/tin-chap-doanh-nghiep")</f>
        <v>https://techcombank.com/thong-tin/blog/tin-chap-doanh-nghiep</v>
      </c>
      <c r="AY70" s="30" t="str">
        <f>IFERROR(__xludf.DUMMYFUNCTION("""COMPUTED_VALUE"""),"lãi suất vay ngân hàng hiện nay")</f>
        <v>lãi suất vay ngân hàng hiện nay</v>
      </c>
      <c r="AZ70" s="34" t="str">
        <f>IFERROR(__xludf.DUMMYFUNCTION("""COMPUTED_VALUE"""),"https://techcombank.com/thong-tin/blog/vay-mua-nha-o-xa-hoi")</f>
        <v>https://techcombank.com/thong-tin/blog/vay-mua-nha-o-xa-hoi</v>
      </c>
      <c r="BA70" s="30" t="str">
        <f>IFERROR(__xludf.DUMMYFUNCTION("""COMPUTED_VALUE"""),"lãi suất cho vay ngân hàng")</f>
        <v>lãi suất cho vay ngân hàng</v>
      </c>
      <c r="BB70" s="34" t="str">
        <f>IFERROR(__xludf.DUMMYFUNCTION("""COMPUTED_VALUE"""),"https://techcombank.com/thong-tin/blog/vay-the-chap-xe-o-to-cu")</f>
        <v>https://techcombank.com/thong-tin/blog/vay-the-chap-xe-o-to-cu</v>
      </c>
      <c r="BC70" s="30" t="str">
        <f>IFERROR(__xludf.DUMMYFUNCTION("""COMPUTED_VALUE"""),"lãi suất vay ngân hàng")</f>
        <v>lãi suất vay ngân hàng</v>
      </c>
      <c r="BD70" s="34" t="str">
        <f>IFERROR(__xludf.DUMMYFUNCTION("""COMPUTED_VALUE"""),"https://techcombank.com/thong-tin/blog/vay-30-trieu")</f>
        <v>https://techcombank.com/thong-tin/blog/vay-30-trieu</v>
      </c>
      <c r="BE70" s="30" t="str">
        <f>IFERROR(__xludf.DUMMYFUNCTION("""COMPUTED_VALUE"""),"lãi suất cho vay ngân hàng")</f>
        <v>lãi suất cho vay ngân hàng</v>
      </c>
      <c r="BF70" s="34" t="str">
        <f>IFERROR(__xludf.DUMMYFUNCTION("""COMPUTED_VALUE"""),"https://techcombank.com/thong-tin/blog/vay-300-trieu")</f>
        <v>https://techcombank.com/thong-tin/blog/vay-300-trieu</v>
      </c>
      <c r="BG70" s="30" t="str">
        <f>IFERROR(__xludf.DUMMYFUNCTION("""COMPUTED_VALUE"""),"lãi suất vay ngân hàng")</f>
        <v>lãi suất vay ngân hàng</v>
      </c>
      <c r="BH70" s="34" t="str">
        <f>IFERROR(__xludf.DUMMYFUNCTION("""COMPUTED_VALUE"""),"https://techcombank.com/thong-tin/blog/nen-vay-tin-chap-o-dau")</f>
        <v>https://techcombank.com/thong-tin/blog/nen-vay-tin-chap-o-dau</v>
      </c>
      <c r="BI70" s="30" t="str">
        <f>IFERROR(__xludf.DUMMYFUNCTION("""COMPUTED_VALUE"""),"lãi suất cho vay ngân hàng")</f>
        <v>lãi suất cho vay ngân hàng</v>
      </c>
      <c r="BJ70" s="34" t="str">
        <f>IFERROR(__xludf.DUMMYFUNCTION("""COMPUTED_VALUE"""),"https://techcombank.com/thong-tin/blog/thu-tuc-mua-xe-tra-gop")</f>
        <v>https://techcombank.com/thong-tin/blog/thu-tuc-mua-xe-tra-gop</v>
      </c>
      <c r="BK70" s="30" t="str">
        <f>IFERROR(__xludf.DUMMYFUNCTION("""COMPUTED_VALUE"""),"lãi suất vay ngân hàng")</f>
        <v>lãi suất vay ngân hàng</v>
      </c>
      <c r="BL70" s="34" t="str">
        <f>IFERROR(__xludf.DUMMYFUNCTION("""COMPUTED_VALUE"""),"https://techcombank.com/thong-tin/blog/vay-the-chap-so-hong")</f>
        <v>https://techcombank.com/thong-tin/blog/vay-the-chap-so-hong</v>
      </c>
      <c r="BM70" s="30" t="str">
        <f>IFERROR(__xludf.DUMMYFUNCTION("""COMPUTED_VALUE"""),"lãi suất cho vay ngân hàng")</f>
        <v>lãi suất cho vay ngân hàng</v>
      </c>
      <c r="BN70" s="34" t="str">
        <f>IFERROR(__xludf.DUMMYFUNCTION("""COMPUTED_VALUE"""),"https://techcombank.com/thong-tin/blog/vay-mua-xe-tra-gop-ngan-hang-nao-tot-nhat")</f>
        <v>https://techcombank.com/thong-tin/blog/vay-mua-xe-tra-gop-ngan-hang-nao-tot-nhat</v>
      </c>
      <c r="BO70" s="30" t="str">
        <f>IFERROR(__xludf.DUMMYFUNCTION("""COMPUTED_VALUE"""),"lãi suất vay ngân hàng")</f>
        <v>lãi suất vay ngân hàng</v>
      </c>
      <c r="BP70" s="34" t="str">
        <f>IFERROR(__xludf.DUMMYFUNCTION("""COMPUTED_VALUE"""),"https://techcombank.com/thong-tin/blog/vay-100-trieu")</f>
        <v>https://techcombank.com/thong-tin/blog/vay-100-trieu</v>
      </c>
      <c r="BQ70" s="30" t="str">
        <f>IFERROR(__xludf.DUMMYFUNCTION("""COMPUTED_VALUE"""),"lãi vay ngân hàng hiện nay")</f>
        <v>lãi vay ngân hàng hiện nay</v>
      </c>
      <c r="BR70" s="34" t="str">
        <f>IFERROR(__xludf.DUMMYFUNCTION("""COMPUTED_VALUE"""),"https://techcombank.com/thong-tin/blog/vay-thau-chi-bang-so-tiet-kiem")</f>
        <v>https://techcombank.com/thong-tin/blog/vay-thau-chi-bang-so-tiet-kiem</v>
      </c>
      <c r="BS70" s="30" t="str">
        <f>IFERROR(__xludf.DUMMYFUNCTION("""COMPUTED_VALUE"""),"lãi suất cho vay ngân hàng")</f>
        <v>lãi suất cho vay ngân hàng</v>
      </c>
      <c r="BT70" s="34" t="str">
        <f>IFERROR(__xludf.DUMMYFUNCTION("""COMPUTED_VALUE"""),"https://techcombank.com/thong-tin/blog/vay-the-chap-kinh-doanh")</f>
        <v>https://techcombank.com/thong-tin/blog/vay-the-chap-kinh-doanh</v>
      </c>
      <c r="BU70" s="30" t="str">
        <f>IFERROR(__xludf.DUMMYFUNCTION("""COMPUTED_VALUE"""),"lãi suất vay ngân hàng")</f>
        <v>lãi suất vay ngân hàng</v>
      </c>
      <c r="BV70" s="34" t="str">
        <f>IFERROR(__xludf.DUMMYFUNCTION("""COMPUTED_VALUE"""),"https://techcombank.com/thong-tin/blog/vay-tien-mat")</f>
        <v>https://techcombank.com/thong-tin/blog/vay-tien-mat</v>
      </c>
      <c r="BW70" s="30" t="str">
        <f>IFERROR(__xludf.DUMMYFUNCTION("""COMPUTED_VALUE"""),"lãi suất cho vay ngân hàng")</f>
        <v>lãi suất cho vay ngân hàng</v>
      </c>
      <c r="BX70" s="34" t="str">
        <f>IFERROR(__xludf.DUMMYFUNCTION("""COMPUTED_VALUE"""),"https://techcombank.com/thong-tin/blog/vay-mua-dien-thoai")</f>
        <v>https://techcombank.com/thong-tin/blog/vay-mua-dien-thoai</v>
      </c>
      <c r="BY70" s="30" t="str">
        <f>IFERROR(__xludf.DUMMYFUNCTION("""COMPUTED_VALUE"""),"lãi suất vay ngân hàng")</f>
        <v>lãi suất vay ngân hàng</v>
      </c>
      <c r="BZ70" s="34" t="str">
        <f>IFERROR(__xludf.DUMMYFUNCTION("""COMPUTED_VALUE"""),"https://techcombank.com/thong-tin/blog/vay-ngan-han")</f>
        <v>https://techcombank.com/thong-tin/blog/vay-ngan-han</v>
      </c>
      <c r="CA70" s="30" t="str">
        <f>IFERROR(__xludf.DUMMYFUNCTION("""COMPUTED_VALUE"""),"lãi suất cho vay ngân hàng")</f>
        <v>lãi suất cho vay ngân hàng</v>
      </c>
      <c r="CB70" s="34" t="str">
        <f>IFERROR(__xludf.DUMMYFUNCTION("""COMPUTED_VALUE"""),"https://techcombank.com/thong-tin/blog/cho-vay-kinh-doanh-ho-gia-dinh")</f>
        <v>https://techcombank.com/thong-tin/blog/cho-vay-kinh-doanh-ho-gia-dinh</v>
      </c>
      <c r="CC70" s="30" t="str">
        <f>IFERROR(__xludf.DUMMYFUNCTION("""COMPUTED_VALUE"""),"lãi suất vay ngân hàng")</f>
        <v>lãi suất vay ngân hàng</v>
      </c>
      <c r="CD70" s="34" t="str">
        <f>IFERROR(__xludf.DUMMYFUNCTION("""COMPUTED_VALUE"""),"https://techcombank.com/thong-tin/blog/vay-von-doanh-nghiep-nho")</f>
        <v>https://techcombank.com/thong-tin/blog/vay-von-doanh-nghiep-nho</v>
      </c>
      <c r="CE70" s="30" t="str">
        <f>IFERROR(__xludf.DUMMYFUNCTION("""COMPUTED_VALUE"""),"lãi suất cho vay ngân hàng")</f>
        <v>lãi suất cho vay ngân hàng</v>
      </c>
      <c r="CF70" s="34" t="str">
        <f>IFERROR(__xludf.DUMMYFUNCTION("""COMPUTED_VALUE"""),"https://techcombank.com/thong-tin/blog/vay-15-trieu")</f>
        <v>https://techcombank.com/thong-tin/blog/vay-15-trieu</v>
      </c>
      <c r="CG70" s="30" t="str">
        <f>IFERROR(__xludf.DUMMYFUNCTION("""COMPUTED_VALUE"""),"lãi suất vay ngân hàng")</f>
        <v>lãi suất vay ngân hàng</v>
      </c>
      <c r="CH70" s="34" t="str">
        <f>IFERROR(__xludf.DUMMYFUNCTION("""COMPUTED_VALUE"""),"https://techcombank.com/thong-tin/blog/diem-tin-dung")</f>
        <v>https://techcombank.com/thong-tin/blog/diem-tin-dung</v>
      </c>
      <c r="CI70" s="30" t="str">
        <f>IFERROR(__xludf.DUMMYFUNCTION("""COMPUTED_VALUE"""),"lãi suất vay ngân hàng hiện nay")</f>
        <v>lãi suất vay ngân hàng hiện nay</v>
      </c>
      <c r="CJ70" s="34" t="str">
        <f>IFERROR(__xludf.DUMMYFUNCTION("""COMPUTED_VALUE"""),"https://techcombank.com/thong-tin/blog/kinh-nghiem-vay-the-chap-ngan-hang")</f>
        <v>https://techcombank.com/thong-tin/blog/kinh-nghiem-vay-the-chap-ngan-hang</v>
      </c>
      <c r="CK70" s="30" t="str">
        <f>IFERROR(__xludf.DUMMYFUNCTION("""COMPUTED_VALUE"""),"lãi vay ngân hàng hiện nay")</f>
        <v>lãi vay ngân hàng hiện nay</v>
      </c>
      <c r="CL70" s="34" t="str">
        <f>IFERROR(__xludf.DUMMYFUNCTION("""COMPUTED_VALUE"""),"https://techcombank.com/thong-tin/blog/bi-quyet-tiet-kiem-tien-mua-nha")</f>
        <v>https://techcombank.com/thong-tin/blog/bi-quyet-tiet-kiem-tien-mua-nha</v>
      </c>
      <c r="CM70" s="30" t="str">
        <f>IFERROR(__xludf.DUMMYFUNCTION("""COMPUTED_VALUE"""),"lãi suất cho vay ngân hàng")</f>
        <v>lãi suất cho vay ngân hàng</v>
      </c>
      <c r="CN70" s="34" t="str">
        <f>IFERROR(__xludf.DUMMYFUNCTION("""COMPUTED_VALUE"""),"https://techcombank.com/thong-tin/blog/vay-sinh-vien")</f>
        <v>https://techcombank.com/thong-tin/blog/vay-sinh-vien</v>
      </c>
      <c r="CO70" s="30" t="str">
        <f>IFERROR(__xludf.DUMMYFUNCTION("""COMPUTED_VALUE"""),"lãi vay ngân hàng hiện nay")</f>
        <v>lãi vay ngân hàng hiện nay</v>
      </c>
      <c r="CP70" s="34" t="str">
        <f>IFERROR(__xludf.DUMMYFUNCTION("""COMPUTED_VALUE"""),"https://techcombank.com/thong-tin/blog/vay-san-xuat-kinh-doanh")</f>
        <v>https://techcombank.com/thong-tin/blog/vay-san-xuat-kinh-doanh</v>
      </c>
      <c r="CQ70" s="30" t="str">
        <f>IFERROR(__xludf.DUMMYFUNCTION("""COMPUTED_VALUE"""),"lãi suất vay ngân hàng")</f>
        <v>lãi suất vay ngân hàng</v>
      </c>
      <c r="CR70" s="34" t="str">
        <f>IFERROR(__xludf.DUMMYFUNCTION("""COMPUTED_VALUE"""),"https://techcombank.com/thong-tin/blog/cac-hinh-thuc-vay-von-ngan-hang")</f>
        <v>https://techcombank.com/thong-tin/blog/cac-hinh-thuc-vay-von-ngan-hang</v>
      </c>
      <c r="CS70" s="30" t="str">
        <f>IFERROR(__xludf.DUMMYFUNCTION("""COMPUTED_VALUE"""),"lãi suất cho vay ngân hàng")</f>
        <v>lãi suất cho vay ngân hàng</v>
      </c>
      <c r="CT70" s="34" t="str">
        <f>IFERROR(__xludf.DUMMYFUNCTION("""COMPUTED_VALUE"""),"https://techcombank.com/thong-tin/blog/co-100-trieu-co-mua-nen-mua-tra-gop")</f>
        <v>https://techcombank.com/thong-tin/blog/co-100-trieu-co-mua-nen-mua-tra-gop</v>
      </c>
      <c r="CU70" s="30" t="str">
        <f>IFERROR(__xludf.DUMMYFUNCTION("""COMPUTED_VALUE"""),"lãi suất vay ngân hàng")</f>
        <v>lãi suất vay ngân hàng</v>
      </c>
      <c r="CV70" s="34" t="str">
        <f>IFERROR(__xludf.DUMMYFUNCTION("""COMPUTED_VALUE"""),"https://techcombank.com/thong-tin/blog/lai-suat-tha-noi")</f>
        <v>https://techcombank.com/thong-tin/blog/lai-suat-tha-noi</v>
      </c>
      <c r="CW70" s="30" t="str">
        <f>IFERROR(__xludf.DUMMYFUNCTION("""COMPUTED_VALUE"""),"lãi suất vay ngân hàng hiện nay")</f>
        <v>lãi suất vay ngân hàng hiện nay</v>
      </c>
      <c r="CX70" s="34" t="str">
        <f>IFERROR(__xludf.DUMMYFUNCTION("""COMPUTED_VALUE"""),"https://techcombank.com/thong-tin/blog/vay-50-trieu")</f>
        <v>https://techcombank.com/thong-tin/blog/vay-50-trieu</v>
      </c>
      <c r="CY70" s="30" t="str">
        <f>IFERROR(__xludf.DUMMYFUNCTION("""COMPUTED_VALUE"""),"lãi suất cho vay ngân hàng")</f>
        <v>lãi suất cho vay ngân hàng</v>
      </c>
      <c r="CZ70" s="34" t="str">
        <f>IFERROR(__xludf.DUMMYFUNCTION("""COMPUTED_VALUE"""),"https://techcombank.com/thong-tin/blog/mua-nha-tra-gop-dua-truoc-100-trieu")</f>
        <v>https://techcombank.com/thong-tin/blog/mua-nha-tra-gop-dua-truoc-100-trieu</v>
      </c>
      <c r="DA70" s="30" t="str">
        <f>IFERROR(__xludf.DUMMYFUNCTION("""COMPUTED_VALUE"""),"lãi suất vay ngân hàng")</f>
        <v>lãi suất vay ngân hàng</v>
      </c>
      <c r="DB70" s="34" t="str">
        <f>IFERROR(__xludf.DUMMYFUNCTION("""COMPUTED_VALUE"""),"https://techcombank.com/thong-tin/blog/app-vay-tien-nhanh")</f>
        <v>https://techcombank.com/thong-tin/blog/app-vay-tien-nhanh</v>
      </c>
      <c r="DC70" s="30" t="str">
        <f>IFERROR(__xludf.DUMMYFUNCTION("""COMPUTED_VALUE"""),"lãi suất cho vay ngân hàng")</f>
        <v>lãi suất cho vay ngân hàng</v>
      </c>
      <c r="DD70" s="34" t="str">
        <f>IFERROR(__xludf.DUMMYFUNCTION("""COMPUTED_VALUE"""),"https://techcombank.com/thong-tin/blog/vay-tra-gop")</f>
        <v>https://techcombank.com/thong-tin/blog/vay-tra-gop</v>
      </c>
      <c r="DE70" s="30" t="str">
        <f>IFERROR(__xludf.DUMMYFUNCTION("""COMPUTED_VALUE"""),"lãi suất vay ngân hàng hiện nay")</f>
        <v>lãi suất vay ngân hàng hiện nay</v>
      </c>
      <c r="DF70" s="34" t="str">
        <f>IFERROR(__xludf.DUMMYFUNCTION("""COMPUTED_VALUE"""),"https://techcombank.com/thong-tin/blog/vay-bo-sung-von-luu-dong")</f>
        <v>https://techcombank.com/thong-tin/blog/vay-bo-sung-von-luu-dong</v>
      </c>
      <c r="DG70" s="30" t="str">
        <f>IFERROR(__xludf.DUMMYFUNCTION("""COMPUTED_VALUE"""),"lãi vay ngân hàng hiện nay")</f>
        <v>lãi vay ngân hàng hiện nay</v>
      </c>
      <c r="DH70" s="34" t="str">
        <f>IFERROR(__xludf.DUMMYFUNCTION("""COMPUTED_VALUE"""),"https://techcombank.com/thong-tin/blog/vay-mua-chung-cu")</f>
        <v>https://techcombank.com/thong-tin/blog/vay-mua-chung-cu</v>
      </c>
      <c r="DI70" s="30" t="str">
        <f>IFERROR(__xludf.DUMMYFUNCTION("""COMPUTED_VALUE"""),"lãi suất vay ngân hàng")</f>
        <v>lãi suất vay ngân hàng</v>
      </c>
      <c r="DJ70" s="34" t="str">
        <f>IFERROR(__xludf.DUMMYFUNCTION("""COMPUTED_VALUE"""),"https://techcombank.com/thong-tin/blog/vay-200-trieu")</f>
        <v>https://techcombank.com/thong-tin/blog/vay-200-trieu</v>
      </c>
      <c r="DK70" s="30" t="str">
        <f>IFERROR(__xludf.DUMMYFUNCTION("""COMPUTED_VALUE"""),"lãi suất cho vay ngân hàng")</f>
        <v>lãi suất cho vay ngân hàng</v>
      </c>
      <c r="DL70" s="34" t="str">
        <f>IFERROR(__xludf.DUMMYFUNCTION("""COMPUTED_VALUE"""),"https://techcombank.com/thong-tin/blog/kiem-tra-no-xau")</f>
        <v>https://techcombank.com/thong-tin/blog/kiem-tra-no-xau</v>
      </c>
      <c r="DM70" s="30" t="str">
        <f>IFERROR(__xludf.DUMMYFUNCTION("""COMPUTED_VALUE"""),"lãi suất vay ngân hàng")</f>
        <v>lãi suất vay ngân hàng</v>
      </c>
      <c r="DN70" s="34" t="str">
        <f>IFERROR(__xludf.DUMMYFUNCTION("""COMPUTED_VALUE"""),"https://techcombank.com/thong-tin/blog/quy-trinh-tat-toan-khoan-vay-the-chap")</f>
        <v>https://techcombank.com/thong-tin/blog/quy-trinh-tat-toan-khoan-vay-the-chap</v>
      </c>
      <c r="DO70" s="30" t="str">
        <f>IFERROR(__xludf.DUMMYFUNCTION("""COMPUTED_VALUE"""),"lãi suất cho vay ngân hàng")</f>
        <v>lãi suất cho vay ngân hàng</v>
      </c>
      <c r="DP70" s="34" t="str">
        <f>IFERROR(__xludf.DUMMYFUNCTION("""COMPUTED_VALUE"""),"https://techcombank.com/thong-tin/blog/cho-vay-tieu-dung-la-gi")</f>
        <v>https://techcombank.com/thong-tin/blog/cho-vay-tieu-dung-la-gi</v>
      </c>
      <c r="DQ70" s="30" t="str">
        <f>IFERROR(__xludf.DUMMYFUNCTION("""COMPUTED_VALUE"""),"lãi suất vay ngân hàng")</f>
        <v>lãi suất vay ngân hàng</v>
      </c>
      <c r="DR70" s="34" t="str">
        <f>IFERROR(__xludf.DUMMYFUNCTION("""COMPUTED_VALUE"""),"https://techcombank.com/thong-tin/blog/vay-the-chap-hop-dong-mua-ban-can-ho")</f>
        <v>https://techcombank.com/thong-tin/blog/vay-the-chap-hop-dong-mua-ban-can-ho</v>
      </c>
      <c r="DS70" s="30" t="str">
        <f>IFERROR(__xludf.DUMMYFUNCTION("""COMPUTED_VALUE"""),"lãi suất cho vay ngân hàng")</f>
        <v>lãi suất cho vay ngân hàng</v>
      </c>
      <c r="DT70" s="34" t="str">
        <f>IFERROR(__xludf.DUMMYFUNCTION("""COMPUTED_VALUE"""),"https://techcombank.com/thong-tin/blog/giai-ngan-vay-the-chap")</f>
        <v>https://techcombank.com/thong-tin/blog/giai-ngan-vay-the-chap</v>
      </c>
      <c r="DU70" s="30" t="str">
        <f>IFERROR(__xludf.DUMMYFUNCTION("""COMPUTED_VALUE"""),"lãi suất vay ngân hàng")</f>
        <v>lãi suất vay ngân hàng</v>
      </c>
      <c r="DV70" s="34" t="str">
        <f>IFERROR(__xludf.DUMMYFUNCTION("""COMPUTED_VALUE"""),"https://techcombank.com/thong-tin/blog/vay-the-chap-toi-da-duoc-bao-nhieu")</f>
        <v>https://techcombank.com/thong-tin/blog/vay-the-chap-toi-da-duoc-bao-nhieu</v>
      </c>
      <c r="DW70" s="30" t="str">
        <f>IFERROR(__xludf.DUMMYFUNCTION("""COMPUTED_VALUE"""),"lãi suất cho vay ngân hàng")</f>
        <v>lãi suất cho vay ngân hàng</v>
      </c>
      <c r="DX70" s="34" t="str">
        <f>IFERROR(__xludf.DUMMYFUNCTION("""COMPUTED_VALUE"""),"https://techcombank.com/thong-tin/blog/vay-han-muc-la-gi")</f>
        <v>https://techcombank.com/thong-tin/blog/vay-han-muc-la-gi</v>
      </c>
      <c r="DY70" s="30" t="str">
        <f>IFERROR(__xludf.DUMMYFUNCTION("""COMPUTED_VALUE"""),"lãi vay ngân hàng hiện nay")</f>
        <v>lãi vay ngân hàng hiện nay</v>
      </c>
      <c r="DZ70" s="34" t="str">
        <f>IFERROR(__xludf.DUMMYFUNCTION("""COMPUTED_VALUE"""),"https://techcombank.com/thong-tin/blog/vay-tin-chap-toi-da-duoc-bao-nhieu")</f>
        <v>https://techcombank.com/thong-tin/blog/vay-tin-chap-toi-da-duoc-bao-nhieu</v>
      </c>
      <c r="EA70" s="30" t="str">
        <f>IFERROR(__xludf.DUMMYFUNCTION("""COMPUTED_VALUE"""),"lãi suất vay ngân hàng")</f>
        <v>lãi suất vay ngân hàng</v>
      </c>
      <c r="EB70" s="34" t="str">
        <f>IFERROR(__xludf.DUMMYFUNCTION("""COMPUTED_VALUE"""),"https://techcombank.com/thong-tin/blog/kinh-nghiem-vay-tien-ngan-hang-xay-nha")</f>
        <v>https://techcombank.com/thong-tin/blog/kinh-nghiem-vay-tien-ngan-hang-xay-nha</v>
      </c>
      <c r="EC70" s="30" t="str">
        <f>IFERROR(__xludf.DUMMYFUNCTION("""COMPUTED_VALUE"""),"lãi suất vay ngân hàng hiện nay")</f>
        <v>lãi suất vay ngân hàng hiện nay</v>
      </c>
      <c r="ED70" s="34" t="str">
        <f>IFERROR(__xludf.DUMMYFUNCTION("""COMPUTED_VALUE"""),"https://techcombank.com/thong-tin/blog/vay-tin-chap-theo-luong")</f>
        <v>https://techcombank.com/thong-tin/blog/vay-tin-chap-theo-luong</v>
      </c>
      <c r="EE70" s="30" t="str">
        <f>IFERROR(__xludf.DUMMYFUNCTION("""COMPUTED_VALUE"""),"lãi suất vay ngân hàng hiện nay")</f>
        <v>lãi suất vay ngân hàng hiện nay</v>
      </c>
      <c r="EF70" s="34" t="str">
        <f>IFERROR(__xludf.DUMMYFUNCTION("""COMPUTED_VALUE"""),"https://techcombank.com/thong-tin/blog/cac-hinh-thuc-cho-vay-tieu-dung")</f>
        <v>https://techcombank.com/thong-tin/blog/cac-hinh-thuc-cho-vay-tieu-dung</v>
      </c>
      <c r="EG70" s="30" t="str">
        <f>IFERROR(__xludf.DUMMYFUNCTION("""COMPUTED_VALUE"""),"lãi suất cho vay ngân hàng")</f>
        <v>lãi suất cho vay ngân hàng</v>
      </c>
      <c r="EH70" s="34" t="str">
        <f>IFERROR(__xludf.DUMMYFUNCTION("""COMPUTED_VALUE"""),"https://techcombank.com/thong-tin/blog/kinh-nghiem-vay-tien-mua-nha")</f>
        <v>https://techcombank.com/thong-tin/blog/kinh-nghiem-vay-tien-mua-nha</v>
      </c>
      <c r="EI70" s="30" t="str">
        <f>IFERROR(__xludf.DUMMYFUNCTION("""COMPUTED_VALUE"""),"lãi suất vay ngân hàng")</f>
        <v>lãi suất vay ngân hàng</v>
      </c>
      <c r="EJ70" s="34" t="str">
        <f>IFERROR(__xludf.DUMMYFUNCTION("""COMPUTED_VALUE"""),"https://techcombank.com/thong-tin/blog/han-muc-thau-chi-la-gi")</f>
        <v>https://techcombank.com/thong-tin/blog/han-muc-thau-chi-la-gi</v>
      </c>
      <c r="EK70" s="30" t="str">
        <f>IFERROR(__xludf.DUMMYFUNCTION("""COMPUTED_VALUE"""),"lãi vay ngân hàng hiện nay")</f>
        <v>lãi vay ngân hàng hiện nay</v>
      </c>
      <c r="EL70" s="34" t="str">
        <f>IFERROR(__xludf.DUMMYFUNCTION("""COMPUTED_VALUE"""),"https://techcombank.com/thong-tin/blog/vay-mua-nha-tra-gop")</f>
        <v>https://techcombank.com/thong-tin/blog/vay-mua-nha-tra-gop</v>
      </c>
      <c r="EM70" s="30" t="str">
        <f>IFERROR(__xludf.DUMMYFUNCTION("""COMPUTED_VALUE"""),"lãi suất cho vay ngân hàng")</f>
        <v>lãi suất cho vay ngân hàng</v>
      </c>
      <c r="EN70" s="34" t="str">
        <f>IFERROR(__xludf.DUMMYFUNCTION("""COMPUTED_VALUE"""),"https://techcombank.com/thong-tin/blog/tra-gop-hoc-phi")</f>
        <v>https://techcombank.com/thong-tin/blog/tra-gop-hoc-phi</v>
      </c>
      <c r="EO70" s="30" t="str">
        <f>IFERROR(__xludf.DUMMYFUNCTION("""COMPUTED_VALUE"""),"lãi suất vay ngân hàng")</f>
        <v>lãi suất vay ngân hàng</v>
      </c>
      <c r="EP70" s="34" t="str">
        <f>IFERROR(__xludf.DUMMYFUNCTION("""COMPUTED_VALUE"""),"https://techcombank.com/thong-tin/blog/no-xau-nhom-2")</f>
        <v>https://techcombank.com/thong-tin/blog/no-xau-nhom-2</v>
      </c>
      <c r="EQ70" s="30" t="str">
        <f>IFERROR(__xludf.DUMMYFUNCTION("""COMPUTED_VALUE"""),"lãi suất cho vay ngân hàng")</f>
        <v>lãi suất cho vay ngân hàng</v>
      </c>
      <c r="ER70" s="34" t="str">
        <f>IFERROR(__xludf.DUMMYFUNCTION("""COMPUTED_VALUE"""),"https://techcombank.com/thong-tin/blog/no-nhom-3")</f>
        <v>https://techcombank.com/thong-tin/blog/no-nhom-3</v>
      </c>
      <c r="ES70" s="30" t="str">
        <f>IFERROR(__xludf.DUMMYFUNCTION("""COMPUTED_VALUE"""),"lãi vay ngân hàng hiện nay")</f>
        <v>lãi vay ngân hàng hiện nay</v>
      </c>
      <c r="ET70" s="34" t="str">
        <f>IFERROR(__xludf.DUMMYFUNCTION("""COMPUTED_VALUE"""),"https://techcombank.com/thong-tin/blog/han-muc-vay-the-chap-so-do")</f>
        <v>https://techcombank.com/thong-tin/blog/han-muc-vay-the-chap-so-do</v>
      </c>
      <c r="EU70" s="30" t="str">
        <f>IFERROR(__xludf.DUMMYFUNCTION("""COMPUTED_VALUE"""),"lãi suất vay ngân hàng")</f>
        <v>lãi suất vay ngân hàng</v>
      </c>
      <c r="EV70" s="34" t="str">
        <f>IFERROR(__xludf.DUMMYFUNCTION("""COMPUTED_VALUE"""),"https://techcombank.com/thong-tin/blog/du-no-tin-dung-la-gi")</f>
        <v>https://techcombank.com/thong-tin/blog/du-no-tin-dung-la-gi</v>
      </c>
      <c r="EW70" s="30" t="str">
        <f>IFERROR(__xludf.DUMMYFUNCTION("""COMPUTED_VALUE"""),"lãi suất cho vay ngân hàng")</f>
        <v>lãi suất cho vay ngân hàng</v>
      </c>
      <c r="EX70" s="34" t="str">
        <f>IFERROR(__xludf.DUMMYFUNCTION("""COMPUTED_VALUE"""),"https://techcombank.com/thong-tin/blog/vay-20-trieu")</f>
        <v>https://techcombank.com/thong-tin/blog/vay-20-trieu</v>
      </c>
      <c r="EY70" s="30" t="str">
        <f>IFERROR(__xludf.DUMMYFUNCTION("""COMPUTED_VALUE"""),"lãi suất vay ngân hàng")</f>
        <v>lãi suất vay ngân hàng</v>
      </c>
      <c r="EZ70" s="34" t="str">
        <f>IFERROR(__xludf.DUMMYFUNCTION("""COMPUTED_VALUE"""),"https://techcombank.com/thong-tin/blog/vay-tin-chap-no-xau")</f>
        <v>https://techcombank.com/thong-tin/blog/vay-tin-chap-no-xau</v>
      </c>
      <c r="FA70" s="30" t="str">
        <f>IFERROR(__xludf.DUMMYFUNCTION("""COMPUTED_VALUE"""),"lãi vay ngân hàng hiện nay")</f>
        <v>lãi vay ngân hàng hiện nay</v>
      </c>
      <c r="FB70" s="34" t="str">
        <f>IFERROR(__xludf.DUMMYFUNCTION("""COMPUTED_VALUE"""),"https://techcombank.com/thong-tin/blog/tat-toan")</f>
        <v>https://techcombank.com/thong-tin/blog/tat-toan</v>
      </c>
      <c r="FC70" s="30" t="str">
        <f>IFERROR(__xludf.DUMMYFUNCTION("""COMPUTED_VALUE"""),"lãi vay ngân hàng hiện nay")</f>
        <v>lãi vay ngân hàng hiện nay</v>
      </c>
      <c r="FD70" s="34" t="str">
        <f>IFERROR(__xludf.DUMMYFUNCTION("""COMPUTED_VALUE"""),"https://techcombank.com/thong-tin/blog/no-xau-co-vay-the-chap-duoc-khong")</f>
        <v>https://techcombank.com/thong-tin/blog/no-xau-co-vay-the-chap-duoc-khong</v>
      </c>
      <c r="FE70" s="30" t="str">
        <f>IFERROR(__xludf.DUMMYFUNCTION("""COMPUTED_VALUE"""),"lãi suất cho vay ngân hàng")</f>
        <v>lãi suất cho vay ngân hàng</v>
      </c>
      <c r="FF70" s="34" t="str">
        <f>IFERROR(__xludf.DUMMYFUNCTION("""COMPUTED_VALUE"""),"https://techcombank.com/thong-tin/blog/thu-tuc-vay-von-kinh-doanh-nho")</f>
        <v>https://techcombank.com/thong-tin/blog/thu-tuc-vay-von-kinh-doanh-nho</v>
      </c>
      <c r="FG70" s="30" t="str">
        <f>IFERROR(__xludf.DUMMYFUNCTION("""COMPUTED_VALUE"""),"lãi suất vay ngân hàng hiện nay")</f>
        <v>lãi suất vay ngân hàng hiện nay</v>
      </c>
      <c r="FH70" s="34" t="str">
        <f>IFERROR(__xludf.DUMMYFUNCTION("""COMPUTED_VALUE"""),"https://techcombank.com/thong-tin/blog/rui-ro-khi-vay-the-chap-ngan-hang")</f>
        <v>https://techcombank.com/thong-tin/blog/rui-ro-khi-vay-the-chap-ngan-hang</v>
      </c>
      <c r="FI70" s="30" t="str">
        <f>IFERROR(__xludf.DUMMYFUNCTION("""COMPUTED_VALUE"""),"lãi suất vay ngân hàng")</f>
        <v>lãi suất vay ngân hàng</v>
      </c>
      <c r="FJ70" s="34" t="str">
        <f>IFERROR(__xludf.DUMMYFUNCTION("""COMPUTED_VALUE"""),"https://techcombank.com/thong-tin/blog/vay-kinh-doanh-online")</f>
        <v>https://techcombank.com/thong-tin/blog/vay-kinh-doanh-online</v>
      </c>
      <c r="FK70" s="30" t="str">
        <f>IFERROR(__xludf.DUMMYFUNCTION("""COMPUTED_VALUE"""),"lãi suất cho vay ngân hàng")</f>
        <v>lãi suất cho vay ngân hàng</v>
      </c>
      <c r="FL70" s="34" t="str">
        <f>IFERROR(__xludf.DUMMYFUNCTION("""COMPUTED_VALUE"""),"https://techcombank.com/thong-tin/blog/vay-thau-chi-la-gi")</f>
        <v>https://techcombank.com/thong-tin/blog/vay-thau-chi-la-gi</v>
      </c>
      <c r="FM70" s="30" t="str">
        <f>IFERROR(__xludf.DUMMYFUNCTION("""COMPUTED_VALUE"""),"lãi suất vay ngân hàng")</f>
        <v>lãi suất vay ngân hàng</v>
      </c>
      <c r="FN70" s="34" t="str">
        <f>IFERROR(__xludf.DUMMYFUNCTION("""COMPUTED_VALUE"""),"https://techcombank.com/thong-tin/blog/vay-tin-chap-khong-tra-duoc-co-sao-khong")</f>
        <v>https://techcombank.com/thong-tin/blog/vay-tin-chap-khong-tra-duoc-co-sao-khong</v>
      </c>
      <c r="FO70" s="30" t="str">
        <f>IFERROR(__xludf.DUMMYFUNCTION("""COMPUTED_VALUE"""),"lãi suất cho vay ngân hàng")</f>
        <v>lãi suất cho vay ngân hàng</v>
      </c>
      <c r="FP70" s="34" t="str">
        <f>IFERROR(__xludf.DUMMYFUNCTION("""COMPUTED_VALUE"""),"https://techcombank.com/thong-tin/blog/vay-von-doanh-nghiep-khong-the-chap")</f>
        <v>https://techcombank.com/thong-tin/blog/vay-von-doanh-nghiep-khong-the-chap</v>
      </c>
      <c r="FQ70" s="30" t="str">
        <f>IFERROR(__xludf.DUMMYFUNCTION("""COMPUTED_VALUE"""),"lãi suất vay ngân hàng")</f>
        <v>lãi suất vay ngân hàng</v>
      </c>
      <c r="FR70" s="34" t="str">
        <f>IFERROR(__xludf.DUMMYFUNCTION("""COMPUTED_VALUE"""),"https://techcombank.com/thong-tin/blog/vay-tin-chap-cho-doanh-nghiep-moi-thanh-lap")</f>
        <v>https://techcombank.com/thong-tin/blog/vay-tin-chap-cho-doanh-nghiep-moi-thanh-lap</v>
      </c>
      <c r="FS70" s="30" t="str">
        <f>IFERROR(__xludf.DUMMYFUNCTION("""COMPUTED_VALUE"""),"lãi vay ngân hàng hiện nay")</f>
        <v>lãi vay ngân hàng hiện nay</v>
      </c>
      <c r="FT70" s="34" t="str">
        <f>IFERROR(__xludf.DUMMYFUNCTION("""COMPUTED_VALUE"""),"https://techcombank.com/thong-tin/blog/thanh-toan-khoan-vay")</f>
        <v>https://techcombank.com/thong-tin/blog/thanh-toan-khoan-vay</v>
      </c>
      <c r="FU70" s="30" t="str">
        <f>IFERROR(__xludf.DUMMYFUNCTION("""COMPUTED_VALUE"""),"lãi suất cho vay ngân hàng")</f>
        <v>lãi suất cho vay ngân hàng</v>
      </c>
      <c r="FV70" s="34" t="str">
        <f>IFERROR(__xludf.DUMMYFUNCTION("""COMPUTED_VALUE"""),"https://techcombank.com/thong-tin/blog/co-nen-vay-ngan-hang-mua-nha")</f>
        <v>https://techcombank.com/thong-tin/blog/co-nen-vay-ngan-hang-mua-nha</v>
      </c>
      <c r="FW70" s="30" t="str">
        <f>IFERROR(__xludf.DUMMYFUNCTION("""COMPUTED_VALUE"""),"lãi suất vay ngân hàng")</f>
        <v>lãi suất vay ngân hàng</v>
      </c>
      <c r="FX70" s="34" t="str">
        <f>IFERROR(__xludf.DUMMYFUNCTION("""COMPUTED_VALUE"""),"https://techcombank.com/thong-tin/blog/ho-so-vay-tin-chap")</f>
        <v>https://techcombank.com/thong-tin/blog/ho-so-vay-tin-chap</v>
      </c>
      <c r="FY70" s="30" t="str">
        <f>IFERROR(__xludf.DUMMYFUNCTION("""COMPUTED_VALUE"""),"lãi suất cho vay ngân hàng")</f>
        <v>lãi suất cho vay ngân hàng</v>
      </c>
      <c r="FZ70" s="34" t="str">
        <f>IFERROR(__xludf.DUMMYFUNCTION("""COMPUTED_VALUE"""),"https://techcombank.com/thong-tin/blog/thu-tuc-vay-ngan-hang-mua-nha")</f>
        <v>https://techcombank.com/thong-tin/blog/thu-tuc-vay-ngan-hang-mua-nha</v>
      </c>
      <c r="GA70" s="30" t="str">
        <f>IFERROR(__xludf.DUMMYFUNCTION("""COMPUTED_VALUE"""),"lãi suất vay ngân hàng hiện nay")</f>
        <v>lãi suất vay ngân hàng hiện nay</v>
      </c>
      <c r="GB70" s="34" t="str">
        <f>IFERROR(__xludf.DUMMYFUNCTION("""COMPUTED_VALUE"""),"https://techcombank.com/thong-tin/blog/thoi-han-vay-thau-chi")</f>
        <v>https://techcombank.com/thong-tin/blog/thoi-han-vay-thau-chi</v>
      </c>
      <c r="GC70" s="30" t="str">
        <f>IFERROR(__xludf.DUMMYFUNCTION("""COMPUTED_VALUE"""),"lãi suất vay ngân hàng")</f>
        <v>lãi suất vay ngân hàng</v>
      </c>
      <c r="GD70" s="34" t="str">
        <f>IFERROR(__xludf.DUMMYFUNCTION("""COMPUTED_VALUE"""),"https://techcombank.com/thong-tin/blog/thu-tuc-vay-von-ngan-hang-de-xay-nha")</f>
        <v>https://techcombank.com/thong-tin/blog/thu-tuc-vay-von-ngan-hang-de-xay-nha</v>
      </c>
      <c r="GE70" s="30" t="str">
        <f>IFERROR(__xludf.DUMMYFUNCTION("""COMPUTED_VALUE"""),"lãi suất cho vay ngân hàng")</f>
        <v>lãi suất cho vay ngân hàng</v>
      </c>
      <c r="GF70" s="34" t="str">
        <f>IFERROR(__xludf.DUMMYFUNCTION("""COMPUTED_VALUE"""),"https://techcombank.com/thong-tin/blog/phi-vay-the-chap")</f>
        <v>https://techcombank.com/thong-tin/blog/phi-vay-the-chap</v>
      </c>
      <c r="GG70" s="30" t="str">
        <f>IFERROR(__xludf.DUMMYFUNCTION("""COMPUTED_VALUE"""),"lãi suất vay ngân hàng")</f>
        <v>lãi suất vay ngân hàng</v>
      </c>
      <c r="GH70" s="34" t="str">
        <f>IFERROR(__xludf.DUMMYFUNCTION("""COMPUTED_VALUE"""),"https://techcombank.com/thong-tin/blog/the-chap-la-gi")</f>
        <v>https://techcombank.com/thong-tin/blog/the-chap-la-gi</v>
      </c>
      <c r="GI70" s="30" t="str">
        <f>IFERROR(__xludf.DUMMYFUNCTION("""COMPUTED_VALUE"""),"lãi vay ngân hàng hiện nay")</f>
        <v>lãi vay ngân hàng hiện nay</v>
      </c>
      <c r="GJ70" s="34" t="str">
        <f>IFERROR(__xludf.DUMMYFUNCTION("""COMPUTED_VALUE"""),"https://techcombank.com/thong-tin/blog/vay-the-chap-khong-chung-minh-thu-nhap")</f>
        <v>https://techcombank.com/thong-tin/blog/vay-the-chap-khong-chung-minh-thu-nhap</v>
      </c>
      <c r="GK70" s="30" t="str">
        <f>IFERROR(__xludf.DUMMYFUNCTION("""COMPUTED_VALUE"""),"lãi suất cho vay ngân hàng")</f>
        <v>lãi suất cho vay ngân hàng</v>
      </c>
      <c r="GL70" s="34" t="str">
        <f>IFERROR(__xludf.DUMMYFUNCTION("""COMPUTED_VALUE"""),"https://techcombank.com/thong-tin/blog/quy-trinh-cho-vay-tieu-dung")</f>
        <v>https://techcombank.com/thong-tin/blog/quy-trinh-cho-vay-tieu-dung</v>
      </c>
      <c r="GM70" s="30" t="str">
        <f>IFERROR(__xludf.DUMMYFUNCTION("""COMPUTED_VALUE"""),"lãi suất vay ngân hàng")</f>
        <v>lãi suất vay ngân hàng</v>
      </c>
      <c r="GN70" s="34" t="str">
        <f>IFERROR(__xludf.DUMMYFUNCTION("""COMPUTED_VALUE"""),"https://techcombank.com/thong-tin/blog/vay-the-chap-la-gi")</f>
        <v>https://techcombank.com/thong-tin/blog/vay-the-chap-la-gi</v>
      </c>
      <c r="GO70" s="30" t="str">
        <f>IFERROR(__xludf.DUMMYFUNCTION("""COMPUTED_VALUE"""),"lãi suất cho vay ngân hàng")</f>
        <v>lãi suất cho vay ngân hàng</v>
      </c>
      <c r="GP70" s="34" t="str">
        <f>IFERROR(__xludf.DUMMYFUNCTION("""COMPUTED_VALUE"""),"https://techcombank.com/thong-tin/blog/vay-40-trieu")</f>
        <v>https://techcombank.com/thong-tin/blog/vay-40-trieu</v>
      </c>
      <c r="GQ70" s="30" t="str">
        <f>IFERROR(__xludf.DUMMYFUNCTION("""COMPUTED_VALUE"""),"lãi suất vay ngân hàng")</f>
        <v>lãi suất vay ngân hàng</v>
      </c>
      <c r="GR70" s="34" t="str">
        <f>IFERROR(__xludf.DUMMYFUNCTION("""COMPUTED_VALUE"""),"https://techcombank.com/thong-tin/blog/dang-vay-tra-gop-co-vay-them-duoc-khong")</f>
        <v>https://techcombank.com/thong-tin/blog/dang-vay-tra-gop-co-vay-them-duoc-khong</v>
      </c>
      <c r="GS70" s="30" t="str">
        <f>IFERROR(__xludf.DUMMYFUNCTION("""COMPUTED_VALUE"""),"lãi suất vay ngân hàng hiện nay")</f>
        <v>lãi suất vay ngân hàng hiện nay</v>
      </c>
      <c r="GT70" s="34" t="str">
        <f>IFERROR(__xludf.DUMMYFUNCTION("""COMPUTED_VALUE"""),"https://techcombank.com/thong-tin/blog/co-nen-mua-o-to-tra-gop")</f>
        <v>https://techcombank.com/thong-tin/blog/co-nen-mua-o-to-tra-gop</v>
      </c>
      <c r="GU70" s="30" t="str">
        <f>IFERROR(__xludf.DUMMYFUNCTION("""COMPUTED_VALUE"""),"lãi vay ngân hàng hiện nay")</f>
        <v>lãi vay ngân hàng hiện nay</v>
      </c>
      <c r="GV70" s="34" t="str">
        <f>IFERROR(__xludf.DUMMYFUNCTION("""COMPUTED_VALUE"""),"https://techcombank.com/thong-tin/blog/vay-the-chap-so-bao-hiem-xa-hoi")</f>
        <v>https://techcombank.com/thong-tin/blog/vay-the-chap-so-bao-hiem-xa-hoi</v>
      </c>
      <c r="GW70" s="30" t="str">
        <f>IFERROR(__xludf.DUMMYFUNCTION("""COMPUTED_VALUE"""),"lãi suất cho vay ngân hàng")</f>
        <v>lãi suất cho vay ngân hàng</v>
      </c>
      <c r="GX70" s="34" t="str">
        <f>IFERROR(__xludf.DUMMYFUNCTION("""COMPUTED_VALUE"""),"https://techcombank.com/thong-tin/blog/nen-vay-the-chap-ngan-hang-nao")</f>
        <v>https://techcombank.com/thong-tin/blog/nen-vay-the-chap-ngan-hang-nao</v>
      </c>
      <c r="GY70" s="30" t="str">
        <f>IFERROR(__xludf.DUMMYFUNCTION("""COMPUTED_VALUE"""),"lãi suất vay ngân hàng")</f>
        <v>lãi suất vay ngân hàng</v>
      </c>
      <c r="GZ70" s="34" t="str">
        <f>IFERROR(__xludf.DUMMYFUNCTION("""COMPUTED_VALUE"""),"https://techcombank.com/thong-tin/blog/vay-ngan-hang-chi-can-cccd")</f>
        <v>https://techcombank.com/thong-tin/blog/vay-ngan-hang-chi-can-cccd</v>
      </c>
      <c r="HA70" s="30" t="str">
        <f>IFERROR(__xludf.DUMMYFUNCTION("""COMPUTED_VALUE"""),"lãi suất cho vay ngân hàng")</f>
        <v>lãi suất cho vay ngân hàng</v>
      </c>
      <c r="HB70" s="34" t="str">
        <f>IFERROR(__xludf.DUMMYFUNCTION("""COMPUTED_VALUE"""),"https://techcombank.com/thong-tin/blog/tra-no-vay-thau-chi-nhu-the-nao")</f>
        <v>https://techcombank.com/thong-tin/blog/tra-no-vay-thau-chi-nhu-the-nao</v>
      </c>
      <c r="HC70" s="30" t="str">
        <f>IFERROR(__xludf.DUMMYFUNCTION("""COMPUTED_VALUE"""),"lãi suất vay ngân hàng")</f>
        <v>lãi suất vay ngân hàng</v>
      </c>
      <c r="HD70" s="34" t="str">
        <f>IFERROR(__xludf.DUMMYFUNCTION("""COMPUTED_VALUE"""),"https://techcombank.com/thong-tin/blog/vay-tin-chap-ho-kinh-doanh")</f>
        <v>https://techcombank.com/thong-tin/blog/vay-tin-chap-ho-kinh-doanh</v>
      </c>
      <c r="HE70" s="30"/>
      <c r="HF70" s="30"/>
      <c r="HG70" s="30"/>
      <c r="HH70" s="30"/>
      <c r="HI70" s="30"/>
      <c r="HJ70" s="30"/>
      <c r="HK70" s="30"/>
      <c r="HL70" s="30"/>
      <c r="HM70" s="30"/>
      <c r="HN70" s="30"/>
      <c r="HO70" s="30"/>
      <c r="HP70" s="30"/>
      <c r="HQ70" s="30"/>
      <c r="HR70" s="30"/>
      <c r="HS70" s="30"/>
      <c r="HT70" s="30"/>
      <c r="HU70" s="30"/>
      <c r="HV70" s="30"/>
      <c r="HW70" s="30"/>
      <c r="HX70" s="30"/>
      <c r="HY70" s="30"/>
      <c r="HZ70" s="30"/>
      <c r="IA70" s="30"/>
      <c r="IB70" s="30"/>
      <c r="IC70" s="30"/>
      <c r="ID70" s="30"/>
      <c r="IE70" s="30"/>
      <c r="IF70" s="30"/>
      <c r="IG70" s="30"/>
      <c r="IH70" s="30"/>
      <c r="II70" s="30"/>
      <c r="IJ70" s="30"/>
      <c r="IK70" s="30"/>
      <c r="IL70" s="30"/>
      <c r="IM70" s="30"/>
      <c r="IN70" s="30"/>
      <c r="IO70" s="30"/>
      <c r="IP70" s="30"/>
      <c r="IQ70" s="30"/>
      <c r="IR70" s="30"/>
      <c r="IS70" s="30"/>
      <c r="IT70" s="30"/>
      <c r="IU70" s="30"/>
      <c r="IV70" s="30"/>
      <c r="IW70" s="30"/>
      <c r="IX70" s="30"/>
      <c r="IY70" s="30"/>
      <c r="IZ70" s="30"/>
      <c r="JA70" s="30"/>
      <c r="JB70" s="30"/>
      <c r="JC70" s="30"/>
      <c r="JD70" s="30"/>
      <c r="JE70" s="30"/>
      <c r="JF70" s="30"/>
      <c r="JG70" s="30"/>
      <c r="JH70" s="30"/>
      <c r="JI70" s="30"/>
      <c r="JJ70" s="30"/>
      <c r="JK70" s="30"/>
      <c r="JL70" s="30"/>
      <c r="JM70" s="30"/>
      <c r="JN70" s="30"/>
      <c r="JO70" s="30"/>
      <c r="JP70" s="30"/>
      <c r="JQ70" s="30"/>
      <c r="JR70" s="30"/>
      <c r="JS70" s="30"/>
      <c r="JT70" s="30"/>
      <c r="JU70" s="30"/>
      <c r="JV70" s="30"/>
      <c r="JW70" s="30"/>
      <c r="JX70" s="30"/>
      <c r="JY70" s="30"/>
      <c r="JZ70" s="30"/>
      <c r="KA70" s="30"/>
      <c r="KB70" s="30"/>
      <c r="KC70" s="30"/>
      <c r="KD70" s="30"/>
      <c r="KE70" s="30"/>
      <c r="KF70" s="30"/>
      <c r="KG70" s="30"/>
      <c r="KH70" s="30"/>
      <c r="KI70" s="30"/>
      <c r="KJ70" s="30"/>
      <c r="KK70" s="30"/>
      <c r="KL70" s="30"/>
      <c r="KM70" s="30"/>
      <c r="KN70" s="30"/>
      <c r="KO70" s="30"/>
      <c r="KP70" s="30"/>
      <c r="KQ70" s="30"/>
      <c r="KR70" s="30"/>
      <c r="KS70" s="30"/>
      <c r="KT70" s="30"/>
      <c r="KU70" s="30"/>
      <c r="KV70" s="30"/>
      <c r="KW70" s="30"/>
      <c r="KX70" s="30"/>
      <c r="KY70" s="30"/>
      <c r="KZ70" s="30"/>
      <c r="LA70" s="30"/>
      <c r="LB70" s="30"/>
      <c r="LC70" s="30"/>
      <c r="LD70" s="30"/>
      <c r="LE70" s="30"/>
      <c r="LF70" s="30"/>
      <c r="LG70" s="30"/>
      <c r="LH70" s="30"/>
      <c r="LI70" s="30"/>
      <c r="LJ70" s="30"/>
      <c r="LK70" s="30"/>
      <c r="LL70" s="30"/>
      <c r="LM70" s="30"/>
      <c r="LN70" s="30"/>
      <c r="LO70" s="30"/>
      <c r="LP70" s="30"/>
      <c r="LQ70" s="30"/>
      <c r="LR70" s="30"/>
      <c r="LS70" s="30"/>
      <c r="LT70" s="30"/>
      <c r="LU70" s="30"/>
      <c r="LV70" s="30"/>
      <c r="LW70" s="30"/>
      <c r="LX70" s="30"/>
      <c r="LY70" s="30"/>
      <c r="LZ70" s="30"/>
      <c r="MA70" s="30"/>
      <c r="MB70" s="30"/>
      <c r="MC70" s="30"/>
      <c r="MD70" s="30"/>
      <c r="ME70" s="30"/>
      <c r="MF70" s="30"/>
      <c r="MG70" s="30"/>
      <c r="MH70" s="30"/>
      <c r="MI70" s="30"/>
      <c r="MJ70" s="30"/>
      <c r="MK70" s="30"/>
      <c r="ML70" s="30"/>
      <c r="MM70" s="30"/>
      <c r="MN70" s="30"/>
      <c r="MO70" s="30"/>
      <c r="MP70" s="30"/>
      <c r="MQ70" s="30"/>
      <c r="MR70" s="30"/>
      <c r="MS70" s="30"/>
      <c r="MT70" s="30"/>
      <c r="MU70" s="30"/>
      <c r="MV70" s="30"/>
      <c r="MW70" s="30"/>
      <c r="MX70" s="30"/>
      <c r="MY70" s="30"/>
      <c r="MZ70" s="30"/>
      <c r="NA70" s="30"/>
      <c r="NB70" s="30"/>
      <c r="NC70" s="30"/>
      <c r="ND70" s="30"/>
      <c r="NE70" s="30"/>
      <c r="NF70" s="30"/>
      <c r="NG70" s="30"/>
      <c r="NH70" s="30"/>
      <c r="NI70" s="30"/>
      <c r="NJ70" s="30"/>
      <c r="NK70" s="30"/>
      <c r="NL70" s="30"/>
      <c r="NM70" s="30"/>
      <c r="NN70" s="30"/>
      <c r="NO70" s="30"/>
      <c r="NP70" s="30"/>
      <c r="NQ70" s="30"/>
      <c r="NR70" s="30"/>
      <c r="NS70" s="30"/>
      <c r="NT70" s="30"/>
      <c r="NU70" s="30"/>
      <c r="NV70" s="30"/>
      <c r="NW70" s="30"/>
      <c r="NX70" s="30"/>
      <c r="NY70" s="30"/>
      <c r="NZ70" s="30"/>
      <c r="OA70" s="30"/>
      <c r="OB70" s="30"/>
      <c r="OC70" s="30"/>
      <c r="OD70" s="30"/>
      <c r="OE70" s="30"/>
      <c r="OF70" s="30"/>
      <c r="OG70" s="30"/>
      <c r="OH70" s="30"/>
      <c r="OI70" s="30"/>
      <c r="OJ70" s="30"/>
      <c r="OK70" s="30"/>
      <c r="OL70" s="30"/>
      <c r="OM70" s="30"/>
      <c r="ON70" s="30"/>
      <c r="OO70" s="30"/>
      <c r="OP70" s="30"/>
      <c r="OQ70" s="30"/>
      <c r="OR70" s="30"/>
      <c r="OS70" s="30"/>
      <c r="OT70" s="30"/>
      <c r="OU70" s="30"/>
      <c r="OV70" s="30"/>
    </row>
    <row r="71" ht="18.0" customHeight="1">
      <c r="A71" s="29">
        <v>70.0</v>
      </c>
      <c r="B71" s="30" t="s">
        <v>6164</v>
      </c>
      <c r="C71" s="31" t="s">
        <v>5907</v>
      </c>
      <c r="D71" s="30" t="s">
        <v>5194</v>
      </c>
      <c r="E71" s="29">
        <v>50.0</v>
      </c>
      <c r="F71" s="29">
        <f>COUNTIF('Tổng hợp 75 trang đích'!$B$2:$B$3400,$D71)</f>
        <v>50</v>
      </c>
      <c r="G71" s="29">
        <f>COUNTIFS('Tổng hợp 75 trang đích'!$B$2:$B$3400,$D71,'Tổng hợp 75 trang đích'!$K$2:$K$3400,"PHÙ HỢP CAO")</f>
        <v>1</v>
      </c>
      <c r="H71" s="29">
        <f>COUNTIFS('Tổng hợp 75 trang đích'!$B$2:$B$3400,$D71,'Tổng hợp 75 trang đích'!$K$2:$K$3400,"CÓ THỂ ĐI")</f>
        <v>11</v>
      </c>
      <c r="I71" s="29">
        <f>COUNTIFS('Tổng hợp 75 trang đích'!$B$2:$B$3400,$D71,'Tổng hợp 75 trang đích'!$K$2:$K$3400,"CẦN SOÁT")</f>
        <v>38</v>
      </c>
      <c r="J71" s="32" t="s">
        <v>714</v>
      </c>
      <c r="K71" s="32" t="b">
        <v>0</v>
      </c>
      <c r="L71" s="33" t="s">
        <v>52</v>
      </c>
      <c r="M71" s="30" t="str">
        <f>IFERROR(__xludf.DUMMYFUNCTION("IFERROR(TOROW(CHOOSECOLS(SORT(FILTER({'Tổng hợp 75 trang đích'!$J$2:$J$3400,'Tổng hợp 75 trang đích'!$I$2:$I$3400,MATCH('Tổng hợp 75 trang đích'!$K$2:$K$3400,{""PHÙ HỢP CAO"",""CÓ THỂ ĐI"",""CẦN SOÁT""},0)},'Tổng hợp 75 trang đích'!$B$2:$B$3400=$D71),3,TR"&amp;"UE),1,2)),"""")"),"vay thấu chi")</f>
        <v>vay thấu chi</v>
      </c>
      <c r="N71" s="34" t="str">
        <f>IFERROR(__xludf.DUMMYFUNCTION("""COMPUTED_VALUE"""),"https://techcombank.com/thong-tin/blog/tra-no-vay-thau-chi-nhu-the-nao")</f>
        <v>https://techcombank.com/thong-tin/blog/tra-no-vay-thau-chi-nhu-the-nao</v>
      </c>
      <c r="O71" s="30" t="str">
        <f>IFERROR(__xludf.DUMMYFUNCTION("""COMPUTED_VALUE"""),"vay thấu chi")</f>
        <v>vay thấu chi</v>
      </c>
      <c r="P71" s="34" t="str">
        <f>IFERROR(__xludf.DUMMYFUNCTION("""COMPUTED_VALUE"""),"https://techcombank.com/thong-tin/blog/lai-suat-vay-kinh-doanh")</f>
        <v>https://techcombank.com/thong-tin/blog/lai-suat-vay-kinh-doanh</v>
      </c>
      <c r="Q71" s="30" t="str">
        <f>IFERROR(__xludf.DUMMYFUNCTION("""COMPUTED_VALUE"""),"vay thấu chi")</f>
        <v>vay thấu chi</v>
      </c>
      <c r="R71" s="34" t="str">
        <f>IFERROR(__xludf.DUMMYFUNCTION("""COMPUTED_VALUE"""),"https://techcombank.com/thong-tin/blog/nhu-cau-vay-tieu-dung-cua-nguoi-viet-du-kien-tang-manh-trong-thoi-gian-toi")</f>
        <v>https://techcombank.com/thong-tin/blog/nhu-cau-vay-tieu-dung-cua-nguoi-viet-du-kien-tang-manh-trong-thoi-gian-toi</v>
      </c>
      <c r="S71" s="30" t="str">
        <f>IFERROR(__xludf.DUMMYFUNCTION("""COMPUTED_VALUE"""),"vay thấu chi")</f>
        <v>vay thấu chi</v>
      </c>
      <c r="T71" s="34" t="str">
        <f>IFERROR(__xludf.DUMMYFUNCTION("""COMPUTED_VALUE"""),"https://techcombank.com/thong-tin/blog/dang-vay-tra-gop-co-vay-them-duoc-khong")</f>
        <v>https://techcombank.com/thong-tin/blog/dang-vay-tra-gop-co-vay-them-duoc-khong</v>
      </c>
      <c r="U71" s="30" t="str">
        <f>IFERROR(__xludf.DUMMYFUNCTION("""COMPUTED_VALUE"""),"vay thấu chi")</f>
        <v>vay thấu chi</v>
      </c>
      <c r="V71" s="34" t="str">
        <f>IFERROR(__xludf.DUMMYFUNCTION("""COMPUTED_VALUE"""),"https://techcombank.com/thong-tin/blog/vay-han-muc-la-gi")</f>
        <v>https://techcombank.com/thong-tin/blog/vay-han-muc-la-gi</v>
      </c>
      <c r="W71" s="30" t="str">
        <f>IFERROR(__xludf.DUMMYFUNCTION("""COMPUTED_VALUE"""),"vay thấu chi")</f>
        <v>vay thấu chi</v>
      </c>
      <c r="X71" s="34" t="str">
        <f>IFERROR(__xludf.DUMMYFUNCTION("""COMPUTED_VALUE"""),"https://techcombank.com/thong-tin/blog/vay-the-chap-qua-luong")</f>
        <v>https://techcombank.com/thong-tin/blog/vay-the-chap-qua-luong</v>
      </c>
      <c r="Y71" s="30" t="str">
        <f>IFERROR(__xludf.DUMMYFUNCTION("""COMPUTED_VALUE"""),"vay thấu chi")</f>
        <v>vay thấu chi</v>
      </c>
      <c r="Z71" s="34" t="str">
        <f>IFERROR(__xludf.DUMMYFUNCTION("""COMPUTED_VALUE"""),"https://techcombank.com/thong-tin/blog/gui-tiet-kiem-online-co-rut-truoc-han-duoc-khong")</f>
        <v>https://techcombank.com/thong-tin/blog/gui-tiet-kiem-online-co-rut-truoc-han-duoc-khong</v>
      </c>
      <c r="AA71" s="30" t="str">
        <f>IFERROR(__xludf.DUMMYFUNCTION("""COMPUTED_VALUE"""),"vay thấu chi")</f>
        <v>vay thấu chi</v>
      </c>
      <c r="AB71" s="34" t="str">
        <f>IFERROR(__xludf.DUMMYFUNCTION("""COMPUTED_VALUE"""),"https://techcombank.com/thong-tin/blog/no-chu-y-la-gi")</f>
        <v>https://techcombank.com/thong-tin/blog/no-chu-y-la-gi</v>
      </c>
      <c r="AC71" s="30" t="str">
        <f>IFERROR(__xludf.DUMMYFUNCTION("""COMPUTED_VALUE"""),"vay thấu chi")</f>
        <v>vay thấu chi</v>
      </c>
      <c r="AD71" s="34" t="str">
        <f>IFERROR(__xludf.DUMMYFUNCTION("""COMPUTED_VALUE"""),"https://techcombank.com/thong-tin/blog/thanh-toan-bang-ma-qr")</f>
        <v>https://techcombank.com/thong-tin/blog/thanh-toan-bang-ma-qr</v>
      </c>
      <c r="AE71" s="30" t="str">
        <f>IFERROR(__xludf.DUMMYFUNCTION("""COMPUTED_VALUE"""),"vay thấu chi")</f>
        <v>vay thấu chi</v>
      </c>
      <c r="AF71" s="34" t="str">
        <f>IFERROR(__xludf.DUMMYFUNCTION("""COMPUTED_VALUE"""),"https://techcombank.com/thong-tin/blog/tap-doan-thanh-quang-khoi-sac-kinh-doanh-nho-nguon-von-vay-tin-dung-techcombank-tren-nen-tang-misa-lending")</f>
        <v>https://techcombank.com/thong-tin/blog/tap-doan-thanh-quang-khoi-sac-kinh-doanh-nho-nguon-von-vay-tin-dung-techcombank-tren-nen-tang-misa-lending</v>
      </c>
      <c r="AG71" s="30" t="str">
        <f>IFERROR(__xludf.DUMMYFUNCTION("""COMPUTED_VALUE"""),"vay thấu chi")</f>
        <v>vay thấu chi</v>
      </c>
      <c r="AH71" s="34" t="str">
        <f>IFERROR(__xludf.DUMMYFUNCTION("""COMPUTED_VALUE"""),"https://techcombank.com/thong-tin/blog/phi-thuong-nien-la-gi")</f>
        <v>https://techcombank.com/thong-tin/blog/phi-thuong-nien-la-gi</v>
      </c>
      <c r="AI71" s="30" t="str">
        <f>IFERROR(__xludf.DUMMYFUNCTION("""COMPUTED_VALUE"""),"vay thấu chi")</f>
        <v>vay thấu chi</v>
      </c>
      <c r="AJ71" s="34" t="str">
        <f>IFERROR(__xludf.DUMMYFUNCTION("""COMPUTED_VALUE"""),"https://techcombank.com/thong-tin/blog/cach-gui-tiet-kiem-online")</f>
        <v>https://techcombank.com/thong-tin/blog/cach-gui-tiet-kiem-online</v>
      </c>
      <c r="AK71" s="30" t="str">
        <f>IFERROR(__xludf.DUMMYFUNCTION("""COMPUTED_VALUE"""),"vay thấu chi")</f>
        <v>vay thấu chi</v>
      </c>
      <c r="AL71" s="34" t="str">
        <f>IFERROR(__xludf.DUMMYFUNCTION("""COMPUTED_VALUE"""),"https://techcombank.com/thong-tin/blog/cac-hinh-thuc-vay-von-ngan-hang")</f>
        <v>https://techcombank.com/thong-tin/blog/cac-hinh-thuc-vay-von-ngan-hang</v>
      </c>
      <c r="AM71" s="30" t="str">
        <f>IFERROR(__xludf.DUMMYFUNCTION("""COMPUTED_VALUE"""),"vay thấu chi")</f>
        <v>vay thấu chi</v>
      </c>
      <c r="AN71" s="34" t="str">
        <f>IFERROR(__xludf.DUMMYFUNCTION("""COMPUTED_VALUE"""),"https://techcombank.com/thong-tin/blog/vay-san-xuat-kinh-doanh")</f>
        <v>https://techcombank.com/thong-tin/blog/vay-san-xuat-kinh-doanh</v>
      </c>
      <c r="AO71" s="30" t="str">
        <f>IFERROR(__xludf.DUMMYFUNCTION("""COMPUTED_VALUE"""),"vay thấu chi là gì")</f>
        <v>vay thấu chi là gì</v>
      </c>
      <c r="AP71" s="34" t="str">
        <f>IFERROR(__xludf.DUMMYFUNCTION("""COMPUTED_VALUE"""),"https://techcombank.com/thong-tin/blog/nen-mua-xe-tra-gop-hay-tra-thang")</f>
        <v>https://techcombank.com/thong-tin/blog/nen-mua-xe-tra-gop-hay-tra-thang</v>
      </c>
      <c r="AQ71" s="30" t="str">
        <f>IFERROR(__xludf.DUMMYFUNCTION("""COMPUTED_VALUE"""),"vay thấu chi")</f>
        <v>vay thấu chi</v>
      </c>
      <c r="AR71" s="34" t="str">
        <f>IFERROR(__xludf.DUMMYFUNCTION("""COMPUTED_VALUE"""),"https://techcombank.com/thong-tin/blog/tin-chap-doanh-nghiep")</f>
        <v>https://techcombank.com/thong-tin/blog/tin-chap-doanh-nghiep</v>
      </c>
      <c r="AS71" s="30" t="str">
        <f>IFERROR(__xludf.DUMMYFUNCTION("""COMPUTED_VALUE"""),"vay thấu chi là như nào")</f>
        <v>vay thấu chi là như nào</v>
      </c>
      <c r="AT71" s="34" t="str">
        <f>IFERROR(__xludf.DUMMYFUNCTION("""COMPUTED_VALUE"""),"https://techcombank.com/thong-tin/blog/vay-mua-nha-o-xa-hoi")</f>
        <v>https://techcombank.com/thong-tin/blog/vay-mua-nha-o-xa-hoi</v>
      </c>
      <c r="AU71" s="30" t="str">
        <f>IFERROR(__xludf.DUMMYFUNCTION("""COMPUTED_VALUE"""),"vay thấu chi")</f>
        <v>vay thấu chi</v>
      </c>
      <c r="AV71" s="34" t="str">
        <f>IFERROR(__xludf.DUMMYFUNCTION("""COMPUTED_VALUE"""),"https://techcombank.com/thong-tin/blog/lai-suat-vay-the-chap-so-do")</f>
        <v>https://techcombank.com/thong-tin/blog/lai-suat-vay-the-chap-so-do</v>
      </c>
      <c r="AW71" s="30" t="str">
        <f>IFERROR(__xludf.DUMMYFUNCTION("""COMPUTED_VALUE"""),"vay thấu chi là gì")</f>
        <v>vay thấu chi là gì</v>
      </c>
      <c r="AX71" s="34" t="str">
        <f>IFERROR(__xludf.DUMMYFUNCTION("""COMPUTED_VALUE"""),"https://techcombank.com/thong-tin/blog/vay-the-chap-so-hong")</f>
        <v>https://techcombank.com/thong-tin/blog/vay-the-chap-so-hong</v>
      </c>
      <c r="AY71" s="30" t="str">
        <f>IFERROR(__xludf.DUMMYFUNCTION("""COMPUTED_VALUE"""),"vay thấu chi là như nào")</f>
        <v>vay thấu chi là như nào</v>
      </c>
      <c r="AZ71" s="34" t="str">
        <f>IFERROR(__xludf.DUMMYFUNCTION("""COMPUTED_VALUE"""),"https://techcombank.com/thong-tin/blog/vay-the-chap-kinh-doanh")</f>
        <v>https://techcombank.com/thong-tin/blog/vay-the-chap-kinh-doanh</v>
      </c>
      <c r="BA71" s="30" t="str">
        <f>IFERROR(__xludf.DUMMYFUNCTION("""COMPUTED_VALUE"""),"thấu chi là gì")</f>
        <v>thấu chi là gì</v>
      </c>
      <c r="BB71" s="34" t="str">
        <f>IFERROR(__xludf.DUMMYFUNCTION("""COMPUTED_VALUE"""),"https://techcombank.com/thong-tin/blog/vay-the-chap-toi-da-duoc-bao-nhieu")</f>
        <v>https://techcombank.com/thong-tin/blog/vay-the-chap-toi-da-duoc-bao-nhieu</v>
      </c>
      <c r="BC71" s="30" t="str">
        <f>IFERROR(__xludf.DUMMYFUNCTION("""COMPUTED_VALUE"""),"vay thấu chi")</f>
        <v>vay thấu chi</v>
      </c>
      <c r="BD71" s="34" t="str">
        <f>IFERROR(__xludf.DUMMYFUNCTION("""COMPUTED_VALUE"""),"https://techcombank.com/thong-tin/blog/vay-tin-chap-toi-da-duoc-bao-nhieu")</f>
        <v>https://techcombank.com/thong-tin/blog/vay-tin-chap-toi-da-duoc-bao-nhieu</v>
      </c>
      <c r="BE71" s="30" t="str">
        <f>IFERROR(__xludf.DUMMYFUNCTION("""COMPUTED_VALUE"""),"vay thấu chi là gì")</f>
        <v>vay thấu chi là gì</v>
      </c>
      <c r="BF71" s="34" t="str">
        <f>IFERROR(__xludf.DUMMYFUNCTION("""COMPUTED_VALUE"""),"https://techcombank.com/thong-tin/blog/cho-vay-kinh-doanh-ho-gia-dinh")</f>
        <v>https://techcombank.com/thong-tin/blog/cho-vay-kinh-doanh-ho-gia-dinh</v>
      </c>
      <c r="BG71" s="30" t="str">
        <f>IFERROR(__xludf.DUMMYFUNCTION("""COMPUTED_VALUE"""),"vay thấu chi là như nào")</f>
        <v>vay thấu chi là như nào</v>
      </c>
      <c r="BH71" s="34" t="str">
        <f>IFERROR(__xludf.DUMMYFUNCTION("""COMPUTED_VALUE"""),"https://techcombank.com/thong-tin/blog/vay-von-doanh-nghiep-nho")</f>
        <v>https://techcombank.com/thong-tin/blog/vay-von-doanh-nghiep-nho</v>
      </c>
      <c r="BI71" s="30" t="str">
        <f>IFERROR(__xludf.DUMMYFUNCTION("""COMPUTED_VALUE"""),"vay thấu chi là gì")</f>
        <v>vay thấu chi là gì</v>
      </c>
      <c r="BJ71" s="34" t="str">
        <f>IFERROR(__xludf.DUMMYFUNCTION("""COMPUTED_VALUE"""),"https://techcombank.com/thong-tin/blog/han-muc-vay-the-chap-so-do")</f>
        <v>https://techcombank.com/thong-tin/blog/han-muc-vay-the-chap-so-do</v>
      </c>
      <c r="BK71" s="30" t="str">
        <f>IFERROR(__xludf.DUMMYFUNCTION("""COMPUTED_VALUE"""),"vay thấu chi là như nào")</f>
        <v>vay thấu chi là như nào</v>
      </c>
      <c r="BL71" s="34" t="str">
        <f>IFERROR(__xludf.DUMMYFUNCTION("""COMPUTED_VALUE"""),"https://techcombank.com/thong-tin/blog/lai-suat-vay-tin-chap")</f>
        <v>https://techcombank.com/thong-tin/blog/lai-suat-vay-tin-chap</v>
      </c>
      <c r="BM71" s="30" t="str">
        <f>IFERROR(__xludf.DUMMYFUNCTION("""COMPUTED_VALUE"""),"vay thấu chi")</f>
        <v>vay thấu chi</v>
      </c>
      <c r="BN71" s="34" t="str">
        <f>IFERROR(__xludf.DUMMYFUNCTION("""COMPUTED_VALUE"""),"https://techcombank.com/thong-tin/blog/vay-tin-chap-va-vay-the-chap")</f>
        <v>https://techcombank.com/thong-tin/blog/vay-tin-chap-va-vay-the-chap</v>
      </c>
      <c r="BO71" s="30" t="str">
        <f>IFERROR(__xludf.DUMMYFUNCTION("""COMPUTED_VALUE"""),"vay thấu chi là gì")</f>
        <v>vay thấu chi là gì</v>
      </c>
      <c r="BP71" s="34" t="str">
        <f>IFERROR(__xludf.DUMMYFUNCTION("""COMPUTED_VALUE"""),"https://techcombank.com/thong-tin/blog/co-100-trieu-co-mua-nen-mua-tra-gop")</f>
        <v>https://techcombank.com/thong-tin/blog/co-100-trieu-co-mua-nen-mua-tra-gop</v>
      </c>
      <c r="BQ71" s="30" t="str">
        <f>IFERROR(__xludf.DUMMYFUNCTION("""COMPUTED_VALUE"""),"vay thấu chi là như nào")</f>
        <v>vay thấu chi là như nào</v>
      </c>
      <c r="BR71" s="34" t="str">
        <f>IFERROR(__xludf.DUMMYFUNCTION("""COMPUTED_VALUE"""),"https://techcombank.com/thong-tin/blog/mua-nha-tra-gop-dua-truoc-100-trieu")</f>
        <v>https://techcombank.com/thong-tin/blog/mua-nha-tra-gop-dua-truoc-100-trieu</v>
      </c>
      <c r="BS71" s="30" t="str">
        <f>IFERROR(__xludf.DUMMYFUNCTION("""COMPUTED_VALUE"""),"thấu chi là gì")</f>
        <v>thấu chi là gì</v>
      </c>
      <c r="BT71" s="34" t="str">
        <f>IFERROR(__xludf.DUMMYFUNCTION("""COMPUTED_VALUE"""),"https://techcombank.com/thong-tin/blog/vay-tra-gop")</f>
        <v>https://techcombank.com/thong-tin/blog/vay-tra-gop</v>
      </c>
      <c r="BU71" s="30" t="str">
        <f>IFERROR(__xludf.DUMMYFUNCTION("""COMPUTED_VALUE"""),"thấu chi là gì")</f>
        <v>thấu chi là gì</v>
      </c>
      <c r="BV71" s="34" t="str">
        <f>IFERROR(__xludf.DUMMYFUNCTION("""COMPUTED_VALUE"""),"https://techcombank.com/thong-tin/blog/vay-30-trieu")</f>
        <v>https://techcombank.com/thong-tin/blog/vay-30-trieu</v>
      </c>
      <c r="BW71" s="30" t="str">
        <f>IFERROR(__xludf.DUMMYFUNCTION("""COMPUTED_VALUE"""),"vay thấu chi là gì")</f>
        <v>vay thấu chi là gì</v>
      </c>
      <c r="BX71" s="34" t="str">
        <f>IFERROR(__xludf.DUMMYFUNCTION("""COMPUTED_VALUE"""),"https://techcombank.com/thong-tin/blog/vay-200-trieu")</f>
        <v>https://techcombank.com/thong-tin/blog/vay-200-trieu</v>
      </c>
      <c r="BY71" s="30" t="str">
        <f>IFERROR(__xludf.DUMMYFUNCTION("""COMPUTED_VALUE"""),"vay thấu chi là như nào")</f>
        <v>vay thấu chi là như nào</v>
      </c>
      <c r="BZ71" s="34" t="str">
        <f>IFERROR(__xludf.DUMMYFUNCTION("""COMPUTED_VALUE"""),"https://techcombank.com/thong-tin/blog/vay-300-trieu")</f>
        <v>https://techcombank.com/thong-tin/blog/vay-300-trieu</v>
      </c>
      <c r="CA71" s="30" t="str">
        <f>IFERROR(__xludf.DUMMYFUNCTION("""COMPUTED_VALUE"""),"vay thấu chi")</f>
        <v>vay thấu chi</v>
      </c>
      <c r="CB71" s="34" t="str">
        <f>IFERROR(__xludf.DUMMYFUNCTION("""COMPUTED_VALUE"""),"https://techcombank.com/thong-tin/blog/nen-vay-tin-chap-o-dau")</f>
        <v>https://techcombank.com/thong-tin/blog/nen-vay-tin-chap-o-dau</v>
      </c>
      <c r="CC71" s="30" t="str">
        <f>IFERROR(__xludf.DUMMYFUNCTION("""COMPUTED_VALUE"""),"thấu chi là gì")</f>
        <v>thấu chi là gì</v>
      </c>
      <c r="CD71" s="34" t="str">
        <f>IFERROR(__xludf.DUMMYFUNCTION("""COMPUTED_VALUE"""),"https://techcombank.com/thong-tin/blog/kiem-tra-no-xau")</f>
        <v>https://techcombank.com/thong-tin/blog/kiem-tra-no-xau</v>
      </c>
      <c r="CE71" s="30" t="str">
        <f>IFERROR(__xludf.DUMMYFUNCTION("""COMPUTED_VALUE"""),"vay thấu chi là gì")</f>
        <v>vay thấu chi là gì</v>
      </c>
      <c r="CF71" s="34" t="str">
        <f>IFERROR(__xludf.DUMMYFUNCTION("""COMPUTED_VALUE"""),"https://techcombank.com/thong-tin/blog/thu-tuc-mua-xe-tra-gop")</f>
        <v>https://techcombank.com/thong-tin/blog/thu-tuc-mua-xe-tra-gop</v>
      </c>
      <c r="CG71" s="30" t="str">
        <f>IFERROR(__xludf.DUMMYFUNCTION("""COMPUTED_VALUE"""),"vay thấu chi là như nào")</f>
        <v>vay thấu chi là như nào</v>
      </c>
      <c r="CH71" s="34" t="str">
        <f>IFERROR(__xludf.DUMMYFUNCTION("""COMPUTED_VALUE"""),"https://techcombank.com/thong-tin/blog/lai-suat-vay-the-chap")</f>
        <v>https://techcombank.com/thong-tin/blog/lai-suat-vay-the-chap</v>
      </c>
      <c r="CI71" s="30" t="str">
        <f>IFERROR(__xludf.DUMMYFUNCTION("""COMPUTED_VALUE"""),"vay thấu chi là gì")</f>
        <v>vay thấu chi là gì</v>
      </c>
      <c r="CJ71" s="34" t="str">
        <f>IFERROR(__xludf.DUMMYFUNCTION("""COMPUTED_VALUE"""),"https://techcombank.com/thong-tin/blog/vay-mua-xe-tra-gop-ngan-hang-nao-tot-nhat")</f>
        <v>https://techcombank.com/thong-tin/blog/vay-mua-xe-tra-gop-ngan-hang-nao-tot-nhat</v>
      </c>
      <c r="CK71" s="30" t="str">
        <f>IFERROR(__xludf.DUMMYFUNCTION("""COMPUTED_VALUE"""),"vay thấu chi là như nào")</f>
        <v>vay thấu chi là như nào</v>
      </c>
      <c r="CL71" s="34" t="str">
        <f>IFERROR(__xludf.DUMMYFUNCTION("""COMPUTED_VALUE"""),"https://techcombank.com/thong-tin/blog/vay-100-trieu")</f>
        <v>https://techcombank.com/thong-tin/blog/vay-100-trieu</v>
      </c>
      <c r="CM71" s="30" t="str">
        <f>IFERROR(__xludf.DUMMYFUNCTION("""COMPUTED_VALUE"""),"vay thấu chi")</f>
        <v>vay thấu chi</v>
      </c>
      <c r="CN71" s="34" t="str">
        <f>IFERROR(__xludf.DUMMYFUNCTION("""COMPUTED_VALUE"""),"https://techcombank.com/thong-tin/blog/vay-the-chap-hop-dong-mua-ban-can-ho")</f>
        <v>https://techcombank.com/thong-tin/blog/vay-the-chap-hop-dong-mua-ban-can-ho</v>
      </c>
      <c r="CO71" s="30" t="str">
        <f>IFERROR(__xludf.DUMMYFUNCTION("""COMPUTED_VALUE"""),"vay thấu chi là gì")</f>
        <v>vay thấu chi là gì</v>
      </c>
      <c r="CP71" s="34" t="str">
        <f>IFERROR(__xludf.DUMMYFUNCTION("""COMPUTED_VALUE"""),"https://techcombank.com/thong-tin/blog/giai-ngan-vay-the-chap")</f>
        <v>https://techcombank.com/thong-tin/blog/giai-ngan-vay-the-chap</v>
      </c>
      <c r="CQ71" s="30" t="str">
        <f>IFERROR(__xludf.DUMMYFUNCTION("""COMPUTED_VALUE"""),"vay thấu chi là như nào")</f>
        <v>vay thấu chi là như nào</v>
      </c>
      <c r="CR71" s="34" t="str">
        <f>IFERROR(__xludf.DUMMYFUNCTION("""COMPUTED_VALUE"""),"https://techcombank.com/thong-tin/blog/kinh-nghiem-vay-tien-ngan-hang-xay-nha")</f>
        <v>https://techcombank.com/thong-tin/blog/kinh-nghiem-vay-tien-ngan-hang-xay-nha</v>
      </c>
      <c r="CS71" s="30" t="str">
        <f>IFERROR(__xludf.DUMMYFUNCTION("""COMPUTED_VALUE"""),"vay thấu chi")</f>
        <v>vay thấu chi</v>
      </c>
      <c r="CT71" s="34" t="str">
        <f>IFERROR(__xludf.DUMMYFUNCTION("""COMPUTED_VALUE"""),"https://techcombank.com/thong-tin/blog/vay-tin-chap-theo-luong")</f>
        <v>https://techcombank.com/thong-tin/blog/vay-tin-chap-theo-luong</v>
      </c>
      <c r="CU71" s="30" t="str">
        <f>IFERROR(__xludf.DUMMYFUNCTION("""COMPUTED_VALUE"""),"thấu chi là gì")</f>
        <v>thấu chi là gì</v>
      </c>
      <c r="CV71" s="34" t="str">
        <f>IFERROR(__xludf.DUMMYFUNCTION("""COMPUTED_VALUE"""),"https://techcombank.com/thong-tin/blog/cac-hinh-thuc-cho-vay-tieu-dung")</f>
        <v>https://techcombank.com/thong-tin/blog/cac-hinh-thuc-cho-vay-tieu-dung</v>
      </c>
      <c r="CW71" s="30" t="str">
        <f>IFERROR(__xludf.DUMMYFUNCTION("""COMPUTED_VALUE"""),"vay thấu chi là gì")</f>
        <v>vay thấu chi là gì</v>
      </c>
      <c r="CX71" s="34" t="str">
        <f>IFERROR(__xludf.DUMMYFUNCTION("""COMPUTED_VALUE"""),"https://techcombank.com/thong-tin/blog/kinh-nghiem-vay-tien-mua-nha")</f>
        <v>https://techcombank.com/thong-tin/blog/kinh-nghiem-vay-tien-mua-nha</v>
      </c>
      <c r="CY71" s="30" t="str">
        <f>IFERROR(__xludf.DUMMYFUNCTION("""COMPUTED_VALUE"""),"vay thấu chi là như nào")</f>
        <v>vay thấu chi là như nào</v>
      </c>
      <c r="CZ71" s="34" t="str">
        <f>IFERROR(__xludf.DUMMYFUNCTION("""COMPUTED_VALUE"""),"https://techcombank.com/thong-tin/blog/vay-mua-nha-tra-gop")</f>
        <v>https://techcombank.com/thong-tin/blog/vay-mua-nha-tra-gop</v>
      </c>
      <c r="DA71" s="30" t="str">
        <f>IFERROR(__xludf.DUMMYFUNCTION("""COMPUTED_VALUE"""),"vay thấu chi là gì")</f>
        <v>vay thấu chi là gì</v>
      </c>
      <c r="DB71" s="34" t="str">
        <f>IFERROR(__xludf.DUMMYFUNCTION("""COMPUTED_VALUE"""),"https://techcombank.com/thong-tin/blog/vay-tien-mat")</f>
        <v>https://techcombank.com/thong-tin/blog/vay-tien-mat</v>
      </c>
      <c r="DC71" s="30" t="str">
        <f>IFERROR(__xludf.DUMMYFUNCTION("""COMPUTED_VALUE"""),"thấu chi là gì")</f>
        <v>thấu chi là gì</v>
      </c>
      <c r="DD71" s="34" t="str">
        <f>IFERROR(__xludf.DUMMYFUNCTION("""COMPUTED_VALUE"""),"https://techcombank.com/thong-tin/blog/no-xau-nhom-2")</f>
        <v>https://techcombank.com/thong-tin/blog/no-xau-nhom-2</v>
      </c>
      <c r="DE71" s="30" t="str">
        <f>IFERROR(__xludf.DUMMYFUNCTION("""COMPUTED_VALUE"""),"vay thấu chi")</f>
        <v>vay thấu chi</v>
      </c>
      <c r="DF71" s="34" t="str">
        <f>IFERROR(__xludf.DUMMYFUNCTION("""COMPUTED_VALUE"""),"https://techcombank.com/thong-tin/blog/vay-mua-dien-thoai")</f>
        <v>https://techcombank.com/thong-tin/blog/vay-mua-dien-thoai</v>
      </c>
      <c r="DG71" s="30" t="str">
        <f>IFERROR(__xludf.DUMMYFUNCTION("""COMPUTED_VALUE"""),"thấu chi là gì")</f>
        <v>thấu chi là gì</v>
      </c>
      <c r="DH71" s="34" t="str">
        <f>IFERROR(__xludf.DUMMYFUNCTION("""COMPUTED_VALUE"""),"https://techcombank.com/thong-tin/blog/vay-ngan-han")</f>
        <v>https://techcombank.com/thong-tin/blog/vay-ngan-han</v>
      </c>
      <c r="DI71" s="30"/>
      <c r="DJ71" s="30"/>
      <c r="DK71" s="30"/>
      <c r="DL71" s="30"/>
      <c r="DM71" s="30"/>
      <c r="DN71" s="30"/>
      <c r="DO71" s="30"/>
      <c r="DP71" s="30"/>
      <c r="DQ71" s="30"/>
      <c r="DR71" s="30"/>
      <c r="DS71" s="30"/>
      <c r="DT71" s="30"/>
      <c r="DU71" s="30"/>
      <c r="DV71" s="30"/>
      <c r="DW71" s="30"/>
      <c r="DX71" s="30"/>
      <c r="DY71" s="30"/>
      <c r="DZ71" s="30"/>
      <c r="EA71" s="30"/>
      <c r="EB71" s="30"/>
      <c r="EC71" s="30"/>
      <c r="ED71" s="30"/>
      <c r="EE71" s="30"/>
      <c r="EF71" s="30"/>
      <c r="EG71" s="30"/>
      <c r="EH71" s="30"/>
      <c r="EI71" s="30"/>
      <c r="EJ71" s="30"/>
      <c r="EK71" s="30"/>
      <c r="EL71" s="30"/>
      <c r="EM71" s="30"/>
      <c r="EN71" s="30"/>
      <c r="EO71" s="30"/>
      <c r="EP71" s="30"/>
      <c r="EQ71" s="30"/>
      <c r="ER71" s="30"/>
      <c r="ES71" s="30"/>
      <c r="ET71" s="30"/>
      <c r="EU71" s="30"/>
      <c r="EV71" s="30"/>
      <c r="EW71" s="30"/>
      <c r="EX71" s="30"/>
      <c r="EY71" s="30"/>
      <c r="EZ71" s="30"/>
      <c r="FA71" s="30"/>
      <c r="FB71" s="30"/>
      <c r="FC71" s="30"/>
      <c r="FD71" s="30"/>
      <c r="FE71" s="30"/>
      <c r="FF71" s="30"/>
      <c r="FG71" s="30"/>
      <c r="FH71" s="30"/>
      <c r="FI71" s="30"/>
      <c r="FJ71" s="30"/>
      <c r="FK71" s="30"/>
      <c r="FL71" s="30"/>
      <c r="FM71" s="30"/>
      <c r="FN71" s="30"/>
      <c r="FO71" s="30"/>
      <c r="FP71" s="30"/>
      <c r="FQ71" s="30"/>
      <c r="FR71" s="30"/>
      <c r="FS71" s="30"/>
      <c r="FT71" s="30"/>
      <c r="FU71" s="30"/>
      <c r="FV71" s="30"/>
      <c r="FW71" s="30"/>
      <c r="FX71" s="30"/>
      <c r="FY71" s="30"/>
      <c r="FZ71" s="30"/>
      <c r="GA71" s="30"/>
      <c r="GB71" s="30"/>
      <c r="GC71" s="30"/>
      <c r="GD71" s="30"/>
      <c r="GE71" s="30"/>
      <c r="GF71" s="30"/>
      <c r="GG71" s="30"/>
      <c r="GH71" s="30"/>
      <c r="GI71" s="30"/>
      <c r="GJ71" s="30"/>
      <c r="GK71" s="30"/>
      <c r="GL71" s="30"/>
      <c r="GM71" s="30"/>
      <c r="GN71" s="30"/>
      <c r="GO71" s="30"/>
      <c r="GP71" s="30"/>
      <c r="GQ71" s="30"/>
      <c r="GR71" s="30"/>
      <c r="GS71" s="30"/>
      <c r="GT71" s="30"/>
      <c r="GU71" s="30"/>
      <c r="GV71" s="30"/>
      <c r="GW71" s="30"/>
      <c r="GX71" s="30"/>
      <c r="GY71" s="30"/>
      <c r="GZ71" s="30"/>
      <c r="HA71" s="30"/>
      <c r="HB71" s="30"/>
      <c r="HC71" s="30"/>
      <c r="HD71" s="30"/>
      <c r="HE71" s="30"/>
      <c r="HF71" s="30"/>
      <c r="HG71" s="30"/>
      <c r="HH71" s="30"/>
      <c r="HI71" s="30"/>
      <c r="HJ71" s="30"/>
      <c r="HK71" s="30"/>
      <c r="HL71" s="30"/>
      <c r="HM71" s="30"/>
      <c r="HN71" s="30"/>
      <c r="HO71" s="30"/>
      <c r="HP71" s="30"/>
      <c r="HQ71" s="30"/>
      <c r="HR71" s="30"/>
      <c r="HS71" s="30"/>
      <c r="HT71" s="30"/>
      <c r="HU71" s="30"/>
      <c r="HV71" s="30"/>
      <c r="HW71" s="30"/>
      <c r="HX71" s="30"/>
      <c r="HY71" s="30"/>
      <c r="HZ71" s="30"/>
      <c r="IA71" s="30"/>
      <c r="IB71" s="30"/>
      <c r="IC71" s="30"/>
      <c r="ID71" s="30"/>
      <c r="IE71" s="30"/>
      <c r="IF71" s="30"/>
      <c r="IG71" s="30"/>
      <c r="IH71" s="30"/>
      <c r="II71" s="30"/>
      <c r="IJ71" s="30"/>
      <c r="IK71" s="30"/>
      <c r="IL71" s="30"/>
      <c r="IM71" s="30"/>
      <c r="IN71" s="30"/>
      <c r="IO71" s="30"/>
      <c r="IP71" s="30"/>
      <c r="IQ71" s="30"/>
      <c r="IR71" s="30"/>
      <c r="IS71" s="30"/>
      <c r="IT71" s="30"/>
      <c r="IU71" s="30"/>
      <c r="IV71" s="30"/>
      <c r="IW71" s="30"/>
      <c r="IX71" s="30"/>
      <c r="IY71" s="30"/>
      <c r="IZ71" s="30"/>
      <c r="JA71" s="30"/>
      <c r="JB71" s="30"/>
      <c r="JC71" s="30"/>
      <c r="JD71" s="30"/>
      <c r="JE71" s="30"/>
      <c r="JF71" s="30"/>
      <c r="JG71" s="30"/>
      <c r="JH71" s="30"/>
      <c r="JI71" s="30"/>
      <c r="JJ71" s="30"/>
      <c r="JK71" s="30"/>
      <c r="JL71" s="30"/>
      <c r="JM71" s="30"/>
      <c r="JN71" s="30"/>
      <c r="JO71" s="30"/>
      <c r="JP71" s="30"/>
      <c r="JQ71" s="30"/>
      <c r="JR71" s="30"/>
      <c r="JS71" s="30"/>
      <c r="JT71" s="30"/>
      <c r="JU71" s="30"/>
      <c r="JV71" s="30"/>
      <c r="JW71" s="30"/>
      <c r="JX71" s="30"/>
      <c r="JY71" s="30"/>
      <c r="JZ71" s="30"/>
      <c r="KA71" s="30"/>
      <c r="KB71" s="30"/>
      <c r="KC71" s="30"/>
      <c r="KD71" s="30"/>
      <c r="KE71" s="30"/>
      <c r="KF71" s="30"/>
      <c r="KG71" s="30"/>
      <c r="KH71" s="30"/>
      <c r="KI71" s="30"/>
      <c r="KJ71" s="30"/>
      <c r="KK71" s="30"/>
      <c r="KL71" s="30"/>
      <c r="KM71" s="30"/>
      <c r="KN71" s="30"/>
      <c r="KO71" s="30"/>
      <c r="KP71" s="30"/>
      <c r="KQ71" s="30"/>
      <c r="KR71" s="30"/>
      <c r="KS71" s="30"/>
      <c r="KT71" s="30"/>
      <c r="KU71" s="30"/>
      <c r="KV71" s="30"/>
      <c r="KW71" s="30"/>
      <c r="KX71" s="30"/>
      <c r="KY71" s="30"/>
      <c r="KZ71" s="30"/>
      <c r="LA71" s="30"/>
      <c r="LB71" s="30"/>
      <c r="LC71" s="30"/>
      <c r="LD71" s="30"/>
      <c r="LE71" s="30"/>
      <c r="LF71" s="30"/>
      <c r="LG71" s="30"/>
      <c r="LH71" s="30"/>
      <c r="LI71" s="30"/>
      <c r="LJ71" s="30"/>
      <c r="LK71" s="30"/>
      <c r="LL71" s="30"/>
      <c r="LM71" s="30"/>
      <c r="LN71" s="30"/>
      <c r="LO71" s="30"/>
      <c r="LP71" s="30"/>
      <c r="LQ71" s="30"/>
      <c r="LR71" s="30"/>
      <c r="LS71" s="30"/>
      <c r="LT71" s="30"/>
      <c r="LU71" s="30"/>
      <c r="LV71" s="30"/>
      <c r="LW71" s="30"/>
      <c r="LX71" s="30"/>
      <c r="LY71" s="30"/>
      <c r="LZ71" s="30"/>
      <c r="MA71" s="30"/>
      <c r="MB71" s="30"/>
      <c r="MC71" s="30"/>
      <c r="MD71" s="30"/>
      <c r="ME71" s="30"/>
      <c r="MF71" s="30"/>
      <c r="MG71" s="30"/>
      <c r="MH71" s="30"/>
      <c r="MI71" s="30"/>
      <c r="MJ71" s="30"/>
      <c r="MK71" s="30"/>
      <c r="ML71" s="30"/>
      <c r="MM71" s="30"/>
      <c r="MN71" s="30"/>
      <c r="MO71" s="30"/>
      <c r="MP71" s="30"/>
      <c r="MQ71" s="30"/>
      <c r="MR71" s="30"/>
      <c r="MS71" s="30"/>
      <c r="MT71" s="30"/>
      <c r="MU71" s="30"/>
      <c r="MV71" s="30"/>
      <c r="MW71" s="30"/>
      <c r="MX71" s="30"/>
      <c r="MY71" s="30"/>
      <c r="MZ71" s="30"/>
      <c r="NA71" s="30"/>
      <c r="NB71" s="30"/>
      <c r="NC71" s="30"/>
      <c r="ND71" s="30"/>
      <c r="NE71" s="30"/>
      <c r="NF71" s="30"/>
      <c r="NG71" s="30"/>
      <c r="NH71" s="30"/>
      <c r="NI71" s="30"/>
      <c r="NJ71" s="30"/>
      <c r="NK71" s="30"/>
      <c r="NL71" s="30"/>
      <c r="NM71" s="30"/>
      <c r="NN71" s="30"/>
      <c r="NO71" s="30"/>
      <c r="NP71" s="30"/>
      <c r="NQ71" s="30"/>
      <c r="NR71" s="30"/>
      <c r="NS71" s="30"/>
      <c r="NT71" s="30"/>
      <c r="NU71" s="30"/>
      <c r="NV71" s="30"/>
      <c r="NW71" s="30"/>
      <c r="NX71" s="30"/>
      <c r="NY71" s="30"/>
      <c r="NZ71" s="30"/>
      <c r="OA71" s="30"/>
      <c r="OB71" s="30"/>
      <c r="OC71" s="30"/>
      <c r="OD71" s="30"/>
      <c r="OE71" s="30"/>
      <c r="OF71" s="30"/>
      <c r="OG71" s="30"/>
      <c r="OH71" s="30"/>
      <c r="OI71" s="30"/>
      <c r="OJ71" s="30"/>
      <c r="OK71" s="30"/>
      <c r="OL71" s="30"/>
      <c r="OM71" s="30"/>
      <c r="ON71" s="30"/>
      <c r="OO71" s="30"/>
      <c r="OP71" s="30"/>
      <c r="OQ71" s="30"/>
      <c r="OR71" s="30"/>
      <c r="OS71" s="30"/>
      <c r="OT71" s="30"/>
      <c r="OU71" s="30"/>
      <c r="OV71" s="30"/>
    </row>
    <row r="72" ht="18.0" customHeight="1">
      <c r="A72" s="29">
        <v>71.0</v>
      </c>
      <c r="B72" s="30" t="s">
        <v>6164</v>
      </c>
      <c r="C72" s="31" t="s">
        <v>5934</v>
      </c>
      <c r="D72" s="30" t="s">
        <v>2508</v>
      </c>
      <c r="E72" s="29">
        <v>30.0</v>
      </c>
      <c r="F72" s="29">
        <f>COUNTIF('Tổng hợp 75 trang đích'!$B$2:$B$3400,$D72)</f>
        <v>30</v>
      </c>
      <c r="G72" s="29">
        <f>COUNTIFS('Tổng hợp 75 trang đích'!$B$2:$B$3400,$D72,'Tổng hợp 75 trang đích'!$K$2:$K$3400,"PHÙ HỢP CAO")</f>
        <v>2</v>
      </c>
      <c r="H72" s="29">
        <f>COUNTIFS('Tổng hợp 75 trang đích'!$B$2:$B$3400,$D72,'Tổng hợp 75 trang đích'!$K$2:$K$3400,"CÓ THỂ ĐI")</f>
        <v>1</v>
      </c>
      <c r="I72" s="29">
        <f>COUNTIFS('Tổng hợp 75 trang đích'!$B$2:$B$3400,$D72,'Tổng hợp 75 trang đích'!$K$2:$K$3400,"CẦN SOÁT")</f>
        <v>27</v>
      </c>
      <c r="J72" s="32" t="s">
        <v>714</v>
      </c>
      <c r="K72" s="32" t="b">
        <v>0</v>
      </c>
      <c r="L72" s="33" t="s">
        <v>52</v>
      </c>
      <c r="M72" s="30" t="str">
        <f>IFERROR(__xludf.DUMMYFUNCTION("IFERROR(TOROW(CHOOSECOLS(SORT(FILTER({'Tổng hợp 75 trang đích'!$J$2:$J$3400,'Tổng hợp 75 trang đích'!$I$2:$I$3400,MATCH('Tổng hợp 75 trang đích'!$K$2:$K$3400,{""PHÙ HỢP CAO"",""CÓ THỂ ĐI"",""CẦN SOÁT""},0)},'Tổng hợp 75 trang đích'!$B$2:$B$3400=$D72),3,TR"&amp;"UE),1,2)),"""")"),"kiểm tra nợ xấu")</f>
        <v>kiểm tra nợ xấu</v>
      </c>
      <c r="N72" s="34" t="str">
        <f>IFERROR(__xludf.DUMMYFUNCTION("""COMPUTED_VALUE"""),"https://techcombank.com/thong-tin/blog/no-xau-mo-the-tin-dung-duoc-khong")</f>
        <v>https://techcombank.com/thong-tin/blog/no-xau-mo-the-tin-dung-duoc-khong</v>
      </c>
      <c r="O72" s="30" t="str">
        <f>IFERROR(__xludf.DUMMYFUNCTION("""COMPUTED_VALUE"""),"tra cứu nợ xấu")</f>
        <v>tra cứu nợ xấu</v>
      </c>
      <c r="P72" s="34" t="str">
        <f>IFERROR(__xludf.DUMMYFUNCTION("""COMPUTED_VALUE"""),"https://techcombank.com/thong-tin/blog/vay-tin-chap-no-xau")</f>
        <v>https://techcombank.com/thong-tin/blog/vay-tin-chap-no-xau</v>
      </c>
      <c r="Q72" s="30" t="str">
        <f>IFERROR(__xludf.DUMMYFUNCTION("""COMPUTED_VALUE"""),"tra cứu nợ xấu")</f>
        <v>tra cứu nợ xấu</v>
      </c>
      <c r="R72" s="34" t="str">
        <f>IFERROR(__xludf.DUMMYFUNCTION("""COMPUTED_VALUE"""),"https://techcombank.com/thong-tin/blog/no-xau-nhom-2")</f>
        <v>https://techcombank.com/thong-tin/blog/no-xau-nhom-2</v>
      </c>
      <c r="S72" s="30" t="str">
        <f>IFERROR(__xludf.DUMMYFUNCTION("""COMPUTED_VALUE"""),"kiểm tra nợ xấu")</f>
        <v>kiểm tra nợ xấu</v>
      </c>
      <c r="T72" s="34" t="str">
        <f>IFERROR(__xludf.DUMMYFUNCTION("""COMPUTED_VALUE"""),"https://techcombank.com/thong-tin/blog/cam-ket-tin-dung")</f>
        <v>https://techcombank.com/thong-tin/blog/cam-ket-tin-dung</v>
      </c>
      <c r="U72" s="30" t="str">
        <f>IFERROR(__xludf.DUMMYFUNCTION("""COMPUTED_VALUE"""),"kiểm tra nợ xấu")</f>
        <v>kiểm tra nợ xấu</v>
      </c>
      <c r="V72" s="34" t="str">
        <f>IFERROR(__xludf.DUMMYFUNCTION("""COMPUTED_VALUE"""),"https://techcombank.com/thong-tin/blog/thanh-toan-tra-gop-qua-the-tin-dung")</f>
        <v>https://techcombank.com/thong-tin/blog/thanh-toan-tra-gop-qua-the-tin-dung</v>
      </c>
      <c r="W72" s="30" t="str">
        <f>IFERROR(__xludf.DUMMYFUNCTION("""COMPUTED_VALUE"""),"kiểm tra nợ xấu")</f>
        <v>kiểm tra nợ xấu</v>
      </c>
      <c r="X72" s="34" t="str">
        <f>IFERROR(__xludf.DUMMYFUNCTION("""COMPUTED_VALUE"""),"https://techcombank.com/thong-tin/blog/no-chu-y-la-gi")</f>
        <v>https://techcombank.com/thong-tin/blog/no-chu-y-la-gi</v>
      </c>
      <c r="Y72" s="30" t="str">
        <f>IFERROR(__xludf.DUMMYFUNCTION("""COMPUTED_VALUE"""),"tra cứu nợ xấu")</f>
        <v>tra cứu nợ xấu</v>
      </c>
      <c r="Z72" s="34" t="str">
        <f>IFERROR(__xludf.DUMMYFUNCTION("""COMPUTED_VALUE"""),"https://techcombank.com/thong-tin/blog/kiem-tra-thue-thu-nhap-ca-nhan")</f>
        <v>https://techcombank.com/thong-tin/blog/kiem-tra-thue-thu-nhap-ca-nhan</v>
      </c>
      <c r="AA72" s="30" t="str">
        <f>IFERROR(__xludf.DUMMYFUNCTION("""COMPUTED_VALUE"""),"kiểm tra nợ xấu")</f>
        <v>kiểm tra nợ xấu</v>
      </c>
      <c r="AB72" s="34" t="str">
        <f>IFERROR(__xludf.DUMMYFUNCTION("""COMPUTED_VALUE"""),"https://techcombank.com/thong-tin/blog/no-xau")</f>
        <v>https://techcombank.com/thong-tin/blog/no-xau</v>
      </c>
      <c r="AC72" s="30" t="str">
        <f>IFERROR(__xludf.DUMMYFUNCTION("""COMPUTED_VALUE"""),"kiểm tra nợ xấu")</f>
        <v>kiểm tra nợ xấu</v>
      </c>
      <c r="AD72" s="34" t="str">
        <f>IFERROR(__xludf.DUMMYFUNCTION("""COMPUTED_VALUE"""),"https://techcombank.com/thong-tin/blog/no-xau-la-gi")</f>
        <v>https://techcombank.com/thong-tin/blog/no-xau-la-gi</v>
      </c>
      <c r="AE72" s="30" t="str">
        <f>IFERROR(__xludf.DUMMYFUNCTION("""COMPUTED_VALUE"""),"kiểm tra nợ xấu")</f>
        <v>kiểm tra nợ xấu</v>
      </c>
      <c r="AF72" s="34" t="str">
        <f>IFERROR(__xludf.DUMMYFUNCTION("""COMPUTED_VALUE"""),"https://techcombank.com/thong-tin/blog/thanh-toan-toi-thieu-the-tin-dung")</f>
        <v>https://techcombank.com/thong-tin/blog/thanh-toan-toi-thieu-the-tin-dung</v>
      </c>
      <c r="AG72" s="30" t="str">
        <f>IFERROR(__xludf.DUMMYFUNCTION("""COMPUTED_VALUE"""),"kiểm tra nợ xấu")</f>
        <v>kiểm tra nợ xấu</v>
      </c>
      <c r="AH72" s="34" t="str">
        <f>IFERROR(__xludf.DUMMYFUNCTION("""COMPUTED_VALUE"""),"https://techcombank.com/thong-tin/blog/cach-huy-the-tin-dung")</f>
        <v>https://techcombank.com/thong-tin/blog/cach-huy-the-tin-dung</v>
      </c>
      <c r="AI72" s="30" t="str">
        <f>IFERROR(__xludf.DUMMYFUNCTION("""COMPUTED_VALUE"""),"tra cứu nợ xấu")</f>
        <v>tra cứu nợ xấu</v>
      </c>
      <c r="AJ72" s="34" t="str">
        <f>IFERROR(__xludf.DUMMYFUNCTION("""COMPUTED_VALUE"""),"https://techcombank.com/thong-tin/blog/no-nhom-3")</f>
        <v>https://techcombank.com/thong-tin/blog/no-nhom-3</v>
      </c>
      <c r="AK72" s="30" t="str">
        <f>IFERROR(__xludf.DUMMYFUNCTION("""COMPUTED_VALUE"""),"tra cứu nợ xấu")</f>
        <v>tra cứu nợ xấu</v>
      </c>
      <c r="AL72" s="34" t="str">
        <f>IFERROR(__xludf.DUMMYFUNCTION("""COMPUTED_VALUE"""),"https://techcombank.com/thong-tin/blog/cic-la-gi")</f>
        <v>https://techcombank.com/thong-tin/blog/cic-la-gi</v>
      </c>
      <c r="AM72" s="30" t="str">
        <f>IFERROR(__xludf.DUMMYFUNCTION("""COMPUTED_VALUE"""),"kiểm tra nợ xấu")</f>
        <v>kiểm tra nợ xấu</v>
      </c>
      <c r="AN72" s="34" t="str">
        <f>IFERROR(__xludf.DUMMYFUNCTION("""COMPUTED_VALUE"""),"https://techcombank.com/thong-tin/blog/the-tin-dung-phu-la-gi")</f>
        <v>https://techcombank.com/thong-tin/blog/the-tin-dung-phu-la-gi</v>
      </c>
      <c r="AO72" s="30" t="str">
        <f>IFERROR(__xludf.DUMMYFUNCTION("""COMPUTED_VALUE"""),"kiểm tra nợ xấu")</f>
        <v>kiểm tra nợ xấu</v>
      </c>
      <c r="AP72" s="34" t="str">
        <f>IFERROR(__xludf.DUMMYFUNCTION("""COMPUTED_VALUE"""),"https://techcombank.com/thong-tin/blog/nen-de-tien-trong-the-hay-gui-tiet-kiem")</f>
        <v>https://techcombank.com/thong-tin/blog/nen-de-tien-trong-the-hay-gui-tiet-kiem</v>
      </c>
      <c r="AQ72" s="30" t="str">
        <f>IFERROR(__xludf.DUMMYFUNCTION("""COMPUTED_VALUE"""),"kiểm tra nợ xấu")</f>
        <v>kiểm tra nợ xấu</v>
      </c>
      <c r="AR72" s="34" t="str">
        <f>IFERROR(__xludf.DUMMYFUNCTION("""COMPUTED_VALUE"""),"https://techcombank.com/thong-tin/blog/cach-thanh-toan-the-tin-dung")</f>
        <v>https://techcombank.com/thong-tin/blog/cach-thanh-toan-the-tin-dung</v>
      </c>
      <c r="AS72" s="30" t="str">
        <f>IFERROR(__xludf.DUMMYFUNCTION("""COMPUTED_VALUE"""),"tra cứu nợ xấu")</f>
        <v>tra cứu nợ xấu</v>
      </c>
      <c r="AT72" s="34" t="str">
        <f>IFERROR(__xludf.DUMMYFUNCTION("""COMPUTED_VALUE"""),"https://techcombank.com/thong-tin/blog/the-ghi-no-co-rut-tien-duoc-khong")</f>
        <v>https://techcombank.com/thong-tin/blog/the-ghi-no-co-rut-tien-duoc-khong</v>
      </c>
      <c r="AU72" s="30" t="str">
        <f>IFERROR(__xludf.DUMMYFUNCTION("""COMPUTED_VALUE"""),"kiểm tra nợ xấu")</f>
        <v>kiểm tra nợ xấu</v>
      </c>
      <c r="AV72" s="34" t="str">
        <f>IFERROR(__xludf.DUMMYFUNCTION("""COMPUTED_VALUE"""),"https://techcombank.com/thong-tin/blog/co-nen-dung-the-tin-dung-khong")</f>
        <v>https://techcombank.com/thong-tin/blog/co-nen-dung-the-tin-dung-khong</v>
      </c>
      <c r="AW72" s="30" t="str">
        <f>IFERROR(__xludf.DUMMYFUNCTION("""COMPUTED_VALUE"""),"kiểm tra nợ xấu")</f>
        <v>kiểm tra nợ xấu</v>
      </c>
      <c r="AX72" s="34" t="str">
        <f>IFERROR(__xludf.DUMMYFUNCTION("""COMPUTED_VALUE"""),"https://techcombank.com/thong-tin/blog/du-no-tin-dung-la-gi")</f>
        <v>https://techcombank.com/thong-tin/blog/du-no-tin-dung-la-gi</v>
      </c>
      <c r="AY72" s="30" t="str">
        <f>IFERROR(__xludf.DUMMYFUNCTION("""COMPUTED_VALUE"""),"tra cứu nợ xấu")</f>
        <v>tra cứu nợ xấu</v>
      </c>
      <c r="AZ72" s="34" t="str">
        <f>IFERROR(__xludf.DUMMYFUNCTION("""COMPUTED_VALUE"""),"https://techcombank.com/thong-tin/blog/thue-thuong-mai-dien-tu")</f>
        <v>https://techcombank.com/thong-tin/blog/thue-thuong-mai-dien-tu</v>
      </c>
      <c r="BA72" s="30" t="str">
        <f>IFERROR(__xludf.DUMMYFUNCTION("""COMPUTED_VALUE"""),"tra cứu nợ xấu")</f>
        <v>tra cứu nợ xấu</v>
      </c>
      <c r="BB72" s="34" t="str">
        <f>IFERROR(__xludf.DUMMYFUNCTION("""COMPUTED_VALUE"""),"https://techcombank.com/thong-tin/blog/vay-ngan-hang-1-ty-moi-thang-tra-bao-nhieu")</f>
        <v>https://techcombank.com/thong-tin/blog/vay-ngan-hang-1-ty-moi-thang-tra-bao-nhieu</v>
      </c>
      <c r="BC72" s="30" t="str">
        <f>IFERROR(__xludf.DUMMYFUNCTION("""COMPUTED_VALUE"""),"tra cứu nợ xấu")</f>
        <v>tra cứu nợ xấu</v>
      </c>
      <c r="BD72" s="34" t="str">
        <f>IFERROR(__xludf.DUMMYFUNCTION("""COMPUTED_VALUE"""),"https://techcombank.com/thong-tin/blog/nhung-ho-kinh-doanh-duoc-mien-thue")</f>
        <v>https://techcombank.com/thong-tin/blog/nhung-ho-kinh-doanh-duoc-mien-thue</v>
      </c>
      <c r="BE72" s="30" t="str">
        <f>IFERROR(__xludf.DUMMYFUNCTION("""COMPUTED_VALUE"""),"tra cứu nợ xấu")</f>
        <v>tra cứu nợ xấu</v>
      </c>
      <c r="BF72" s="34" t="str">
        <f>IFERROR(__xludf.DUMMYFUNCTION("""COMPUTED_VALUE"""),"https://techcombank.com/thong-tin/blog/cach-tinh-thue-ho-kinh-doanh-nho-le")</f>
        <v>https://techcombank.com/thong-tin/blog/cach-tinh-thue-ho-kinh-doanh-nho-le</v>
      </c>
      <c r="BG72" s="30" t="str">
        <f>IFERROR(__xludf.DUMMYFUNCTION("""COMPUTED_VALUE"""),"tra cứu nợ xấu")</f>
        <v>tra cứu nợ xấu</v>
      </c>
      <c r="BH72" s="34" t="str">
        <f>IFERROR(__xludf.DUMMYFUNCTION("""COMPUTED_VALUE"""),"https://techcombank.com/thong-tin/blog/thue-ho-kinh-doanh-2025")</f>
        <v>https://techcombank.com/thong-tin/blog/thue-ho-kinh-doanh-2025</v>
      </c>
      <c r="BI72" s="30" t="str">
        <f>IFERROR(__xludf.DUMMYFUNCTION("""COMPUTED_VALUE"""),"tra cứu nợ xấu")</f>
        <v>tra cứu nợ xấu</v>
      </c>
      <c r="BJ72" s="34" t="str">
        <f>IFERROR(__xludf.DUMMYFUNCTION("""COMPUTED_VALUE"""),"https://techcombank.com/thong-tin/blog/ho-kinh-doanh-ca-the")</f>
        <v>https://techcombank.com/thong-tin/blog/ho-kinh-doanh-ca-the</v>
      </c>
      <c r="BK72" s="30" t="str">
        <f>IFERROR(__xludf.DUMMYFUNCTION("""COMPUTED_VALUE"""),"kiểm tra nợ xấu")</f>
        <v>kiểm tra nợ xấu</v>
      </c>
      <c r="BL72" s="34" t="str">
        <f>IFERROR(__xludf.DUMMYFUNCTION("""COMPUTED_VALUE"""),"https://techcombank.com/thong-tin/blog/tra-gop-hoc-phi")</f>
        <v>https://techcombank.com/thong-tin/blog/tra-gop-hoc-phi</v>
      </c>
      <c r="BM72" s="30" t="str">
        <f>IFERROR(__xludf.DUMMYFUNCTION("""COMPUTED_VALUE"""),"kiểm tra nợ xấu")</f>
        <v>kiểm tra nợ xấu</v>
      </c>
      <c r="BN72" s="34" t="str">
        <f>IFERROR(__xludf.DUMMYFUNCTION("""COMPUTED_VALUE"""),"https://techcombank.com/thong-tin/blog/lap-ke-hoach-chi-tieu-ca-nhan")</f>
        <v>https://techcombank.com/thong-tin/blog/lap-ke-hoach-chi-tieu-ca-nhan</v>
      </c>
      <c r="BO72" s="30" t="str">
        <f>IFERROR(__xludf.DUMMYFUNCTION("""COMPUTED_VALUE"""),"tra cứu nợ xấu")</f>
        <v>tra cứu nợ xấu</v>
      </c>
      <c r="BP72" s="34" t="str">
        <f>IFERROR(__xludf.DUMMYFUNCTION("""COMPUTED_VALUE"""),"https://techcombank.com/thong-tin/blog/tra-cuu-no-thue-ca-nhan")</f>
        <v>https://techcombank.com/thong-tin/blog/tra-cuu-no-thue-ca-nhan</v>
      </c>
      <c r="BQ72" s="30" t="str">
        <f>IFERROR(__xludf.DUMMYFUNCTION("""COMPUTED_VALUE"""),"kiểm tra nợ xấu")</f>
        <v>kiểm tra nợ xấu</v>
      </c>
      <c r="BR72" s="34" t="str">
        <f>IFERROR(__xludf.DUMMYFUNCTION("""COMPUTED_VALUE"""),"https://techcombank.com/thong-tin/blog/kiem-tra-thue-ho-kinh-doanh")</f>
        <v>https://techcombank.com/thong-tin/blog/kiem-tra-thue-ho-kinh-doanh</v>
      </c>
      <c r="BS72" s="30" t="str">
        <f>IFERROR(__xludf.DUMMYFUNCTION("""COMPUTED_VALUE"""),"tra cứu nợ xấu")</f>
        <v>tra cứu nợ xấu</v>
      </c>
      <c r="BT72" s="34" t="str">
        <f>IFERROR(__xludf.DUMMYFUNCTION("""COMPUTED_VALUE"""),"https://techcombank.com/thong-tin/blog/cach-su-dung-the-ghi-no")</f>
        <v>https://techcombank.com/thong-tin/blog/cach-su-dung-the-ghi-no</v>
      </c>
      <c r="BU72" s="30"/>
      <c r="BV72" s="30"/>
      <c r="BW72" s="30"/>
      <c r="BX72" s="30"/>
      <c r="BY72" s="30"/>
      <c r="BZ72" s="30"/>
      <c r="CA72" s="30"/>
      <c r="CB72" s="30"/>
      <c r="CC72" s="30"/>
      <c r="CD72" s="30"/>
      <c r="CE72" s="30"/>
      <c r="CF72" s="30"/>
      <c r="CG72" s="30"/>
      <c r="CH72" s="30"/>
      <c r="CI72" s="30"/>
      <c r="CJ72" s="30"/>
      <c r="CK72" s="30"/>
      <c r="CL72" s="30"/>
      <c r="CM72" s="30"/>
      <c r="CN72" s="30"/>
      <c r="CO72" s="30"/>
      <c r="CP72" s="30"/>
      <c r="CQ72" s="30"/>
      <c r="CR72" s="30"/>
      <c r="CS72" s="30"/>
      <c r="CT72" s="30"/>
      <c r="CU72" s="30"/>
      <c r="CV72" s="30"/>
      <c r="CW72" s="30"/>
      <c r="CX72" s="30"/>
      <c r="CY72" s="30"/>
      <c r="CZ72" s="30"/>
      <c r="DA72" s="30"/>
      <c r="DB72" s="30"/>
      <c r="DC72" s="30"/>
      <c r="DD72" s="30"/>
      <c r="DE72" s="30"/>
      <c r="DF72" s="30"/>
      <c r="DG72" s="30"/>
      <c r="DH72" s="30"/>
      <c r="DI72" s="30"/>
      <c r="DJ72" s="30"/>
      <c r="DK72" s="30"/>
      <c r="DL72" s="30"/>
      <c r="DM72" s="30"/>
      <c r="DN72" s="30"/>
      <c r="DO72" s="30"/>
      <c r="DP72" s="30"/>
      <c r="DQ72" s="30"/>
      <c r="DR72" s="30"/>
      <c r="DS72" s="30"/>
      <c r="DT72" s="30"/>
      <c r="DU72" s="30"/>
      <c r="DV72" s="30"/>
      <c r="DW72" s="30"/>
      <c r="DX72" s="30"/>
      <c r="DY72" s="30"/>
      <c r="DZ72" s="30"/>
      <c r="EA72" s="30"/>
      <c r="EB72" s="30"/>
      <c r="EC72" s="30"/>
      <c r="ED72" s="30"/>
      <c r="EE72" s="30"/>
      <c r="EF72" s="30"/>
      <c r="EG72" s="30"/>
      <c r="EH72" s="30"/>
      <c r="EI72" s="30"/>
      <c r="EJ72" s="30"/>
      <c r="EK72" s="30"/>
      <c r="EL72" s="30"/>
      <c r="EM72" s="30"/>
      <c r="EN72" s="30"/>
      <c r="EO72" s="30"/>
      <c r="EP72" s="30"/>
      <c r="EQ72" s="30"/>
      <c r="ER72" s="30"/>
      <c r="ES72" s="30"/>
      <c r="ET72" s="30"/>
      <c r="EU72" s="30"/>
      <c r="EV72" s="30"/>
      <c r="EW72" s="30"/>
      <c r="EX72" s="30"/>
      <c r="EY72" s="30"/>
      <c r="EZ72" s="30"/>
      <c r="FA72" s="30"/>
      <c r="FB72" s="30"/>
      <c r="FC72" s="30"/>
      <c r="FD72" s="30"/>
      <c r="FE72" s="30"/>
      <c r="FF72" s="30"/>
      <c r="FG72" s="30"/>
      <c r="FH72" s="30"/>
      <c r="FI72" s="30"/>
      <c r="FJ72" s="30"/>
      <c r="FK72" s="30"/>
      <c r="FL72" s="30"/>
      <c r="FM72" s="30"/>
      <c r="FN72" s="30"/>
      <c r="FO72" s="30"/>
      <c r="FP72" s="30"/>
      <c r="FQ72" s="30"/>
      <c r="FR72" s="30"/>
      <c r="FS72" s="30"/>
      <c r="FT72" s="30"/>
      <c r="FU72" s="30"/>
      <c r="FV72" s="30"/>
      <c r="FW72" s="30"/>
      <c r="FX72" s="30"/>
      <c r="FY72" s="30"/>
      <c r="FZ72" s="30"/>
      <c r="GA72" s="30"/>
      <c r="GB72" s="30"/>
      <c r="GC72" s="30"/>
      <c r="GD72" s="30"/>
      <c r="GE72" s="30"/>
      <c r="GF72" s="30"/>
      <c r="GG72" s="30"/>
      <c r="GH72" s="30"/>
      <c r="GI72" s="30"/>
      <c r="GJ72" s="30"/>
      <c r="GK72" s="30"/>
      <c r="GL72" s="30"/>
      <c r="GM72" s="30"/>
      <c r="GN72" s="30"/>
      <c r="GO72" s="30"/>
      <c r="GP72" s="30"/>
      <c r="GQ72" s="30"/>
      <c r="GR72" s="30"/>
      <c r="GS72" s="30"/>
      <c r="GT72" s="30"/>
      <c r="GU72" s="30"/>
      <c r="GV72" s="30"/>
      <c r="GW72" s="30"/>
      <c r="GX72" s="30"/>
      <c r="GY72" s="30"/>
      <c r="GZ72" s="30"/>
      <c r="HA72" s="30"/>
      <c r="HB72" s="30"/>
      <c r="HC72" s="30"/>
      <c r="HD72" s="30"/>
      <c r="HE72" s="30"/>
      <c r="HF72" s="30"/>
      <c r="HG72" s="30"/>
      <c r="HH72" s="30"/>
      <c r="HI72" s="30"/>
      <c r="HJ72" s="30"/>
      <c r="HK72" s="30"/>
      <c r="HL72" s="30"/>
      <c r="HM72" s="30"/>
      <c r="HN72" s="30"/>
      <c r="HO72" s="30"/>
      <c r="HP72" s="30"/>
      <c r="HQ72" s="30"/>
      <c r="HR72" s="30"/>
      <c r="HS72" s="30"/>
      <c r="HT72" s="30"/>
      <c r="HU72" s="30"/>
      <c r="HV72" s="30"/>
      <c r="HW72" s="30"/>
      <c r="HX72" s="30"/>
      <c r="HY72" s="30"/>
      <c r="HZ72" s="30"/>
      <c r="IA72" s="30"/>
      <c r="IB72" s="30"/>
      <c r="IC72" s="30"/>
      <c r="ID72" s="30"/>
      <c r="IE72" s="30"/>
      <c r="IF72" s="30"/>
      <c r="IG72" s="30"/>
      <c r="IH72" s="30"/>
      <c r="II72" s="30"/>
      <c r="IJ72" s="30"/>
      <c r="IK72" s="30"/>
      <c r="IL72" s="30"/>
      <c r="IM72" s="30"/>
      <c r="IN72" s="30"/>
      <c r="IO72" s="30"/>
      <c r="IP72" s="30"/>
      <c r="IQ72" s="30"/>
      <c r="IR72" s="30"/>
      <c r="IS72" s="30"/>
      <c r="IT72" s="30"/>
      <c r="IU72" s="30"/>
      <c r="IV72" s="30"/>
      <c r="IW72" s="30"/>
      <c r="IX72" s="30"/>
      <c r="IY72" s="30"/>
      <c r="IZ72" s="30"/>
      <c r="JA72" s="30"/>
      <c r="JB72" s="30"/>
      <c r="JC72" s="30"/>
      <c r="JD72" s="30"/>
      <c r="JE72" s="30"/>
      <c r="JF72" s="30"/>
      <c r="JG72" s="30"/>
      <c r="JH72" s="30"/>
      <c r="JI72" s="30"/>
      <c r="JJ72" s="30"/>
      <c r="JK72" s="30"/>
      <c r="JL72" s="30"/>
      <c r="JM72" s="30"/>
      <c r="JN72" s="30"/>
      <c r="JO72" s="30"/>
      <c r="JP72" s="30"/>
      <c r="JQ72" s="30"/>
      <c r="JR72" s="30"/>
      <c r="JS72" s="30"/>
      <c r="JT72" s="30"/>
      <c r="JU72" s="30"/>
      <c r="JV72" s="30"/>
      <c r="JW72" s="30"/>
      <c r="JX72" s="30"/>
      <c r="JY72" s="30"/>
      <c r="JZ72" s="30"/>
      <c r="KA72" s="30"/>
      <c r="KB72" s="30"/>
      <c r="KC72" s="30"/>
      <c r="KD72" s="30"/>
      <c r="KE72" s="30"/>
      <c r="KF72" s="30"/>
      <c r="KG72" s="30"/>
      <c r="KH72" s="30"/>
      <c r="KI72" s="30"/>
      <c r="KJ72" s="30"/>
      <c r="KK72" s="30"/>
      <c r="KL72" s="30"/>
      <c r="KM72" s="30"/>
      <c r="KN72" s="30"/>
      <c r="KO72" s="30"/>
      <c r="KP72" s="30"/>
      <c r="KQ72" s="30"/>
      <c r="KR72" s="30"/>
      <c r="KS72" s="30"/>
      <c r="KT72" s="30"/>
      <c r="KU72" s="30"/>
      <c r="KV72" s="30"/>
      <c r="KW72" s="30"/>
      <c r="KX72" s="30"/>
      <c r="KY72" s="30"/>
      <c r="KZ72" s="30"/>
      <c r="LA72" s="30"/>
      <c r="LB72" s="30"/>
      <c r="LC72" s="30"/>
      <c r="LD72" s="30"/>
      <c r="LE72" s="30"/>
      <c r="LF72" s="30"/>
      <c r="LG72" s="30"/>
      <c r="LH72" s="30"/>
      <c r="LI72" s="30"/>
      <c r="LJ72" s="30"/>
      <c r="LK72" s="30"/>
      <c r="LL72" s="30"/>
      <c r="LM72" s="30"/>
      <c r="LN72" s="30"/>
      <c r="LO72" s="30"/>
      <c r="LP72" s="30"/>
      <c r="LQ72" s="30"/>
      <c r="LR72" s="30"/>
      <c r="LS72" s="30"/>
      <c r="LT72" s="30"/>
      <c r="LU72" s="30"/>
      <c r="LV72" s="30"/>
      <c r="LW72" s="30"/>
      <c r="LX72" s="30"/>
      <c r="LY72" s="30"/>
      <c r="LZ72" s="30"/>
      <c r="MA72" s="30"/>
      <c r="MB72" s="30"/>
      <c r="MC72" s="30"/>
      <c r="MD72" s="30"/>
      <c r="ME72" s="30"/>
      <c r="MF72" s="30"/>
      <c r="MG72" s="30"/>
      <c r="MH72" s="30"/>
      <c r="MI72" s="30"/>
      <c r="MJ72" s="30"/>
      <c r="MK72" s="30"/>
      <c r="ML72" s="30"/>
      <c r="MM72" s="30"/>
      <c r="MN72" s="30"/>
      <c r="MO72" s="30"/>
      <c r="MP72" s="30"/>
      <c r="MQ72" s="30"/>
      <c r="MR72" s="30"/>
      <c r="MS72" s="30"/>
      <c r="MT72" s="30"/>
      <c r="MU72" s="30"/>
      <c r="MV72" s="30"/>
      <c r="MW72" s="30"/>
      <c r="MX72" s="30"/>
      <c r="MY72" s="30"/>
      <c r="MZ72" s="30"/>
      <c r="NA72" s="30"/>
      <c r="NB72" s="30"/>
      <c r="NC72" s="30"/>
      <c r="ND72" s="30"/>
      <c r="NE72" s="30"/>
      <c r="NF72" s="30"/>
      <c r="NG72" s="30"/>
      <c r="NH72" s="30"/>
      <c r="NI72" s="30"/>
      <c r="NJ72" s="30"/>
      <c r="NK72" s="30"/>
      <c r="NL72" s="30"/>
      <c r="NM72" s="30"/>
      <c r="NN72" s="30"/>
      <c r="NO72" s="30"/>
      <c r="NP72" s="30"/>
      <c r="NQ72" s="30"/>
      <c r="NR72" s="30"/>
      <c r="NS72" s="30"/>
      <c r="NT72" s="30"/>
      <c r="NU72" s="30"/>
      <c r="NV72" s="30"/>
      <c r="NW72" s="30"/>
      <c r="NX72" s="30"/>
      <c r="NY72" s="30"/>
      <c r="NZ72" s="30"/>
      <c r="OA72" s="30"/>
      <c r="OB72" s="30"/>
      <c r="OC72" s="30"/>
      <c r="OD72" s="30"/>
      <c r="OE72" s="30"/>
      <c r="OF72" s="30"/>
      <c r="OG72" s="30"/>
      <c r="OH72" s="30"/>
      <c r="OI72" s="30"/>
      <c r="OJ72" s="30"/>
      <c r="OK72" s="30"/>
      <c r="OL72" s="30"/>
      <c r="OM72" s="30"/>
      <c r="ON72" s="30"/>
      <c r="OO72" s="30"/>
      <c r="OP72" s="30"/>
      <c r="OQ72" s="30"/>
      <c r="OR72" s="30"/>
      <c r="OS72" s="30"/>
      <c r="OT72" s="30"/>
      <c r="OU72" s="30"/>
      <c r="OV72" s="30"/>
    </row>
    <row r="73" ht="18.0" customHeight="1">
      <c r="A73" s="29">
        <v>72.0</v>
      </c>
      <c r="B73" s="30" t="s">
        <v>6164</v>
      </c>
      <c r="C73" s="31" t="s">
        <v>5975</v>
      </c>
      <c r="D73" s="30" t="s">
        <v>160</v>
      </c>
      <c r="E73" s="29">
        <v>30.0</v>
      </c>
      <c r="F73" s="29">
        <f>COUNTIF('Tổng hợp 75 trang đích'!$B$2:$B$3400,$D73)</f>
        <v>30</v>
      </c>
      <c r="G73" s="29">
        <f>COUNTIFS('Tổng hợp 75 trang đích'!$B$2:$B$3400,$D73,'Tổng hợp 75 trang đích'!$K$2:$K$3400,"PHÙ HỢP CAO")</f>
        <v>2</v>
      </c>
      <c r="H73" s="29">
        <f>COUNTIFS('Tổng hợp 75 trang đích'!$B$2:$B$3400,$D73,'Tổng hợp 75 trang đích'!$K$2:$K$3400,"CÓ THỂ ĐI")</f>
        <v>0</v>
      </c>
      <c r="I73" s="29">
        <f>COUNTIFS('Tổng hợp 75 trang đích'!$B$2:$B$3400,$D73,'Tổng hợp 75 trang đích'!$K$2:$K$3400,"CẦN SOÁT")</f>
        <v>23</v>
      </c>
      <c r="J73" s="32" t="s">
        <v>714</v>
      </c>
      <c r="K73" s="32" t="b">
        <v>0</v>
      </c>
      <c r="L73" s="33" t="s">
        <v>52</v>
      </c>
      <c r="M73" s="30" t="str">
        <f>IFERROR(__xludf.DUMMYFUNCTION("IFERROR(TOROW(CHOOSECOLS(SORT(FILTER({'Tổng hợp 75 trang đích'!$J$2:$J$3400,'Tổng hợp 75 trang đích'!$I$2:$I$3400,MATCH('Tổng hợp 75 trang đích'!$K$2:$K$3400,{""PHÙ HỢP CAO"",""CÓ THỂ ĐI"",""CẦN SOÁT""},0)},'Tổng hợp 75 trang đích'!$B$2:$B$3400=$D73),3,TR"&amp;"UE),1,2)),"""")"),"nên vay tín chấp ở đâu")</f>
        <v>nên vay tín chấp ở đâu</v>
      </c>
      <c r="N73" s="34" t="str">
        <f>IFERROR(__xludf.DUMMYFUNCTION("""COMPUTED_VALUE"""),"https://techcombank.com/thong-tin/blog/vay-tin-chap-toi-da-duoc-bao-nhieu")</f>
        <v>https://techcombank.com/thong-tin/blog/vay-tin-chap-toi-da-duoc-bao-nhieu</v>
      </c>
      <c r="O73" s="30" t="str">
        <f>IFERROR(__xludf.DUMMYFUNCTION("""COMPUTED_VALUE"""),"nên vay tín chấp ở đâu")</f>
        <v>nên vay tín chấp ở đâu</v>
      </c>
      <c r="P73" s="34" t="str">
        <f>IFERROR(__xludf.DUMMYFUNCTION("""COMPUTED_VALUE"""),"https://techcombank.com/thong-tin/blog/lai-suat-vay-tin-chap")</f>
        <v>https://techcombank.com/thong-tin/blog/lai-suat-vay-tin-chap</v>
      </c>
      <c r="Q73" s="30" t="str">
        <f>IFERROR(__xludf.DUMMYFUNCTION("""COMPUTED_VALUE"""),"nên vay tín chấp ở đâu")</f>
        <v>nên vay tín chấp ở đâu</v>
      </c>
      <c r="R73" s="34" t="str">
        <f>IFERROR(__xludf.DUMMYFUNCTION("""COMPUTED_VALUE"""),"https://techcombank.com/thong-tin/blog/vay-the-chap-so-hong")</f>
        <v>https://techcombank.com/thong-tin/blog/vay-the-chap-so-hong</v>
      </c>
      <c r="S73" s="30" t="str">
        <f>IFERROR(__xludf.DUMMYFUNCTION("""COMPUTED_VALUE"""),"nên vay tín chấp ở đâu")</f>
        <v>nên vay tín chấp ở đâu</v>
      </c>
      <c r="T73" s="34" t="str">
        <f>IFERROR(__xludf.DUMMYFUNCTION("""COMPUTED_VALUE"""),"https://techcombank.com/thong-tin/blog/dao-han-la-gi")</f>
        <v>https://techcombank.com/thong-tin/blog/dao-han-la-gi</v>
      </c>
      <c r="U73" s="30" t="str">
        <f>IFERROR(__xludf.DUMMYFUNCTION("""COMPUTED_VALUE"""),"nên vay tín chấp ở đâu")</f>
        <v>nên vay tín chấp ở đâu</v>
      </c>
      <c r="V73" s="34" t="str">
        <f>IFERROR(__xludf.DUMMYFUNCTION("""COMPUTED_VALUE"""),"https://techcombank.com/thong-tin/blog/han-muc-vay-the-chap-so-do")</f>
        <v>https://techcombank.com/thong-tin/blog/han-muc-vay-the-chap-so-do</v>
      </c>
      <c r="W73" s="30" t="str">
        <f>IFERROR(__xludf.DUMMYFUNCTION("""COMPUTED_VALUE"""),"nên vay tín chấp ở đâu")</f>
        <v>nên vay tín chấp ở đâu</v>
      </c>
      <c r="X73" s="34" t="str">
        <f>IFERROR(__xludf.DUMMYFUNCTION("""COMPUTED_VALUE"""),"https://techcombank.com/thong-tin/blog/vay-tin-chap-ho-kinh-doanh")</f>
        <v>https://techcombank.com/thong-tin/blog/vay-tin-chap-ho-kinh-doanh</v>
      </c>
      <c r="Y73" s="30" t="str">
        <f>IFERROR(__xludf.DUMMYFUNCTION("""COMPUTED_VALUE"""),"nên vay tín chấp ở đâu")</f>
        <v>nên vay tín chấp ở đâu</v>
      </c>
      <c r="Z73" s="34" t="str">
        <f>IFERROR(__xludf.DUMMYFUNCTION("""COMPUTED_VALUE"""),"https://techcombank.com/thong-tin/blog/bao-hiem-suc-khoe-la-gi")</f>
        <v>https://techcombank.com/thong-tin/blog/bao-hiem-suc-khoe-la-gi</v>
      </c>
      <c r="AA73" s="30" t="str">
        <f>IFERROR(__xludf.DUMMYFUNCTION("""COMPUTED_VALUE"""),"nên vay tín chấp ở đâu")</f>
        <v>nên vay tín chấp ở đâu</v>
      </c>
      <c r="AB73" s="34" t="str">
        <f>IFERROR(__xludf.DUMMYFUNCTION("""COMPUTED_VALUE"""),"https://techcombank.com/thong-tin/blog/uu-dai-the-tin-dung-techcombank-signature")</f>
        <v>https://techcombank.com/thong-tin/blog/uu-dai-the-tin-dung-techcombank-signature</v>
      </c>
      <c r="AC73" s="30" t="str">
        <f>IFERROR(__xludf.DUMMYFUNCTION("""COMPUTED_VALUE"""),"nên vay tín chấp ở đâu")</f>
        <v>nên vay tín chấp ở đâu</v>
      </c>
      <c r="AD73" s="34" t="str">
        <f>IFERROR(__xludf.DUMMYFUNCTION("""COMPUTED_VALUE"""),"https://techcombank.com/thong-tin/blog/mua-chung-chi-quy")</f>
        <v>https://techcombank.com/thong-tin/blog/mua-chung-chi-quy</v>
      </c>
      <c r="AE73" s="30" t="str">
        <f>IFERROR(__xludf.DUMMYFUNCTION("""COMPUTED_VALUE"""),"nên vay tín chấp ở đâu")</f>
        <v>nên vay tín chấp ở đâu</v>
      </c>
      <c r="AF73" s="34" t="str">
        <f>IFERROR(__xludf.DUMMYFUNCTION("""COMPUTED_VALUE"""),"https://techcombank.com/thong-tin/blog/lam-the-tin-dung")</f>
        <v>https://techcombank.com/thong-tin/blog/lam-the-tin-dung</v>
      </c>
      <c r="AG73" s="30" t="str">
        <f>IFERROR(__xludf.DUMMYFUNCTION("""COMPUTED_VALUE"""),"nên vay tín chấp ở đâu")</f>
        <v>nên vay tín chấp ở đâu</v>
      </c>
      <c r="AH73" s="34" t="str">
        <f>IFERROR(__xludf.DUMMYFUNCTION("""COMPUTED_VALUE"""),"https://techcombank.com/thong-tin/blog/tin-chap-doanh-nghiep")</f>
        <v>https://techcombank.com/thong-tin/blog/tin-chap-doanh-nghiep</v>
      </c>
      <c r="AI73" s="30" t="str">
        <f>IFERROR(__xludf.DUMMYFUNCTION("""COMPUTED_VALUE"""),"nên vay tín chấp ở đâu")</f>
        <v>nên vay tín chấp ở đâu</v>
      </c>
      <c r="AJ73" s="34" t="str">
        <f>IFERROR(__xludf.DUMMYFUNCTION("""COMPUTED_VALUE"""),"https://techcombank.com/thong-tin/blog/vay-von-doanh-nghiep-khong-the-chap")</f>
        <v>https://techcombank.com/thong-tin/blog/vay-von-doanh-nghiep-khong-the-chap</v>
      </c>
      <c r="AK73" s="30" t="str">
        <f>IFERROR(__xludf.DUMMYFUNCTION("""COMPUTED_VALUE"""),"nên vay tín chấp ở đâu")</f>
        <v>nên vay tín chấp ở đâu</v>
      </c>
      <c r="AL73" s="34" t="str">
        <f>IFERROR(__xludf.DUMMYFUNCTION("""COMPUTED_VALUE"""),"https://techcombank.com/thong-tin/blog/vay-the-chap-qua-luong")</f>
        <v>https://techcombank.com/thong-tin/blog/vay-the-chap-qua-luong</v>
      </c>
      <c r="AM73" s="30" t="str">
        <f>IFERROR(__xludf.DUMMYFUNCTION("""COMPUTED_VALUE"""),"nên vay tín chấp ở đâu")</f>
        <v>nên vay tín chấp ở đâu</v>
      </c>
      <c r="AN73" s="34" t="str">
        <f>IFERROR(__xludf.DUMMYFUNCTION("""COMPUTED_VALUE"""),"https://techcombank.com/thong-tin/blog/vay-ngan-hang-chi-can-cccd")</f>
        <v>https://techcombank.com/thong-tin/blog/vay-ngan-hang-chi-can-cccd</v>
      </c>
      <c r="AO73" s="30" t="str">
        <f>IFERROR(__xludf.DUMMYFUNCTION("""COMPUTED_VALUE"""),"nên vay tín chấp ở đâu")</f>
        <v>nên vay tín chấp ở đâu</v>
      </c>
      <c r="AP73" s="34" t="str">
        <f>IFERROR(__xludf.DUMMYFUNCTION("""COMPUTED_VALUE"""),"https://techcombank.com/thong-tin/blog/lam-the-visa-o-dau")</f>
        <v>https://techcombank.com/thong-tin/blog/lam-the-visa-o-dau</v>
      </c>
      <c r="AQ73" s="30" t="str">
        <f>IFERROR(__xludf.DUMMYFUNCTION("""COMPUTED_VALUE"""),"nên vay tín chấp ở đâu")</f>
        <v>nên vay tín chấp ở đâu</v>
      </c>
      <c r="AR73" s="34" t="str">
        <f>IFERROR(__xludf.DUMMYFUNCTION("""COMPUTED_VALUE"""),"https://techcombank.com/thong-tin/blog/vay-the-chap-la-gi")</f>
        <v>https://techcombank.com/thong-tin/blog/vay-the-chap-la-gi</v>
      </c>
      <c r="AS73" s="30" t="str">
        <f>IFERROR(__xludf.DUMMYFUNCTION("""COMPUTED_VALUE"""),"nên vay tín chấp ở đâu")</f>
        <v>nên vay tín chấp ở đâu</v>
      </c>
      <c r="AT73" s="34" t="str">
        <f>IFERROR(__xludf.DUMMYFUNCTION("""COMPUTED_VALUE"""),"https://techcombank.com/thong-tin/blog/vay-sinh-vien")</f>
        <v>https://techcombank.com/thong-tin/blog/vay-sinh-vien</v>
      </c>
      <c r="AU73" s="30" t="str">
        <f>IFERROR(__xludf.DUMMYFUNCTION("""COMPUTED_VALUE"""),"nên vay tín chấp ở đâu")</f>
        <v>nên vay tín chấp ở đâu</v>
      </c>
      <c r="AV73" s="34" t="str">
        <f>IFERROR(__xludf.DUMMYFUNCTION("""COMPUTED_VALUE"""),"https://techcombank.com/thong-tin/blog/kinh-nghiem-vay-the-chap-ngan-hang")</f>
        <v>https://techcombank.com/thong-tin/blog/kinh-nghiem-vay-the-chap-ngan-hang</v>
      </c>
      <c r="AW73" s="30" t="str">
        <f>IFERROR(__xludf.DUMMYFUNCTION("""COMPUTED_VALUE"""),"nên vay tín chấp ở đâu")</f>
        <v>nên vay tín chấp ở đâu</v>
      </c>
      <c r="AX73" s="34" t="str">
        <f>IFERROR(__xludf.DUMMYFUNCTION("""COMPUTED_VALUE"""),"https://techcombank.com/thong-tin/blog/vay-von-doanh-nghiep-nho")</f>
        <v>https://techcombank.com/thong-tin/blog/vay-von-doanh-nghiep-nho</v>
      </c>
      <c r="AY73" s="30" t="str">
        <f>IFERROR(__xludf.DUMMYFUNCTION("""COMPUTED_VALUE"""),"nên vay tín chấp ở đâu")</f>
        <v>nên vay tín chấp ở đâu</v>
      </c>
      <c r="AZ73" s="34" t="str">
        <f>IFERROR(__xludf.DUMMYFUNCTION("""COMPUTED_VALUE"""),"https://techcombank.com/thong-tin/blog/vay-the-chap-khong-chung-minh-thu-nhap")</f>
        <v>https://techcombank.com/thong-tin/blog/vay-the-chap-khong-chung-minh-thu-nhap</v>
      </c>
      <c r="BA73" s="30" t="str">
        <f>IFERROR(__xludf.DUMMYFUNCTION("""COMPUTED_VALUE"""),"nên vay tín chấp ở đâu")</f>
        <v>nên vay tín chấp ở đâu</v>
      </c>
      <c r="BB73" s="34" t="str">
        <f>IFERROR(__xludf.DUMMYFUNCTION("""COMPUTED_VALUE"""),"https://techcombank.com/thong-tin/blog/the-tin-dung-la-gi")</f>
        <v>https://techcombank.com/thong-tin/blog/the-tin-dung-la-gi</v>
      </c>
      <c r="BC73" s="30" t="str">
        <f>IFERROR(__xludf.DUMMYFUNCTION("""COMPUTED_VALUE"""),"nên vay tín chấp ở đâu")</f>
        <v>nên vay tín chấp ở đâu</v>
      </c>
      <c r="BD73" s="34" t="str">
        <f>IFERROR(__xludf.DUMMYFUNCTION("""COMPUTED_VALUE"""),"https://techcombank.com/thong-tin/blog/mo-them-tai-khoan-ngan-hang-cho-cong-ty")</f>
        <v>https://techcombank.com/thong-tin/blog/mo-them-tai-khoan-ngan-hang-cho-cong-ty</v>
      </c>
      <c r="BE73" s="30" t="str">
        <f>IFERROR(__xludf.DUMMYFUNCTION("""COMPUTED_VALUE"""),"nên vay tín chấp ở đâu")</f>
        <v>nên vay tín chấp ở đâu</v>
      </c>
      <c r="BF73" s="34" t="str">
        <f>IFERROR(__xludf.DUMMYFUNCTION("""COMPUTED_VALUE"""),"https://techcombank.com/thong-tin/blog/dang-vay-tra-gop-co-vay-them-duoc-khong")</f>
        <v>https://techcombank.com/thong-tin/blog/dang-vay-tra-gop-co-vay-them-duoc-khong</v>
      </c>
      <c r="BG73" s="30" t="str">
        <f>IFERROR(__xludf.DUMMYFUNCTION("""COMPUTED_VALUE"""),"nên vay tín chấp ở đâu")</f>
        <v>nên vay tín chấp ở đâu</v>
      </c>
      <c r="BH73" s="34" t="str">
        <f>IFERROR(__xludf.DUMMYFUNCTION("""COMPUTED_VALUE"""),"https://techcombank.com/thong-tin/blog/quy-trinh-cho-vay-tieu-dung")</f>
        <v>https://techcombank.com/thong-tin/blog/quy-trinh-cho-vay-tieu-dung</v>
      </c>
      <c r="BI73" s="30" t="str">
        <f>IFERROR(__xludf.DUMMYFUNCTION("""COMPUTED_VALUE"""),"nên vay tín chấp ở đâu")</f>
        <v>nên vay tín chấp ở đâu</v>
      </c>
      <c r="BJ73" s="34" t="str">
        <f>IFERROR(__xludf.DUMMYFUNCTION("""COMPUTED_VALUE"""),"https://techcombank.com/thong-tin/blog/vay-tin-chap-khong-tra-duoc-co-sao-khong")</f>
        <v>https://techcombank.com/thong-tin/blog/vay-tin-chap-khong-tra-duoc-co-sao-khong</v>
      </c>
      <c r="BK73" s="30" t="str">
        <f>IFERROR(__xludf.DUMMYFUNCTION("""COMPUTED_VALUE"""),"nên vay tín chấp ở đâu")</f>
        <v>nên vay tín chấp ở đâu</v>
      </c>
      <c r="BL73" s="34" t="str">
        <f>IFERROR(__xludf.DUMMYFUNCTION("""COMPUTED_VALUE"""),"https://techcombank.com/thong-tin/blog/cac-hinh-thuc-cho-vay-tieu-dung")</f>
        <v>https://techcombank.com/thong-tin/blog/cac-hinh-thuc-cho-vay-tieu-dung</v>
      </c>
      <c r="BM73" s="30" t="str">
        <f>IFERROR(__xludf.DUMMYFUNCTION("""COMPUTED_VALUE"""),"nên vay tín chấp ở đâu")</f>
        <v>nên vay tín chấp ở đâu</v>
      </c>
      <c r="BN73" s="34" t="str">
        <f>IFERROR(__xludf.DUMMYFUNCTION("""COMPUTED_VALUE"""),"https://techcombank.com/thong-tin/blog/app-vay-tien-nhanh")</f>
        <v>https://techcombank.com/thong-tin/blog/app-vay-tien-nhanh</v>
      </c>
      <c r="BO73" s="30" t="str">
        <f>IFERROR(__xludf.DUMMYFUNCTION("""COMPUTED_VALUE"""),"nên vay tín chấp ở đâu")</f>
        <v>nên vay tín chấp ở đâu</v>
      </c>
      <c r="BP73" s="34" t="str">
        <f>IFERROR(__xludf.DUMMYFUNCTION("""COMPUTED_VALUE"""),"https://techcombank.com/thong-tin/blog/vay-tra-gop")</f>
        <v>https://techcombank.com/thong-tin/blog/vay-tra-gop</v>
      </c>
      <c r="BQ73" s="30" t="str">
        <f>IFERROR(__xludf.DUMMYFUNCTION("""COMPUTED_VALUE"""),"nên vay tín chấp ở đâu")</f>
        <v>nên vay tín chấp ở đâu</v>
      </c>
      <c r="BR73" s="34" t="str">
        <f>IFERROR(__xludf.DUMMYFUNCTION("""COMPUTED_VALUE"""),"https://techcombank.com/thong-tin/blog/vay-20-trieu")</f>
        <v>https://techcombank.com/thong-tin/blog/vay-20-trieu</v>
      </c>
      <c r="BS73" s="30" t="str">
        <f>IFERROR(__xludf.DUMMYFUNCTION("""COMPUTED_VALUE"""),"nên vay tín chấp ở đâu")</f>
        <v>nên vay tín chấp ở đâu</v>
      </c>
      <c r="BT73" s="34" t="str">
        <f>IFERROR(__xludf.DUMMYFUNCTION("""COMPUTED_VALUE"""),"https://techcombank.com/thong-tin/blog/kinh-nghiem-vay-tien-mua-nha")</f>
        <v>https://techcombank.com/thong-tin/blog/kinh-nghiem-vay-tien-mua-nha</v>
      </c>
      <c r="BU73" s="30"/>
      <c r="BV73" s="30"/>
      <c r="BW73" s="30"/>
      <c r="BX73" s="30"/>
      <c r="BY73" s="30"/>
      <c r="BZ73" s="30"/>
      <c r="CA73" s="30"/>
      <c r="CB73" s="30"/>
      <c r="CC73" s="30"/>
      <c r="CD73" s="30"/>
      <c r="CE73" s="30"/>
      <c r="CF73" s="30"/>
      <c r="CG73" s="30"/>
      <c r="CH73" s="30"/>
      <c r="CI73" s="30"/>
      <c r="CJ73" s="30"/>
      <c r="CK73" s="30"/>
      <c r="CL73" s="30"/>
      <c r="CM73" s="30"/>
      <c r="CN73" s="30"/>
      <c r="CO73" s="30"/>
      <c r="CP73" s="30"/>
      <c r="CQ73" s="30"/>
      <c r="CR73" s="30"/>
      <c r="CS73" s="30"/>
      <c r="CT73" s="30"/>
      <c r="CU73" s="30"/>
      <c r="CV73" s="30"/>
      <c r="CW73" s="30"/>
      <c r="CX73" s="30"/>
      <c r="CY73" s="30"/>
      <c r="CZ73" s="30"/>
      <c r="DA73" s="30"/>
      <c r="DB73" s="30"/>
      <c r="DC73" s="30"/>
      <c r="DD73" s="30"/>
      <c r="DE73" s="30"/>
      <c r="DF73" s="30"/>
      <c r="DG73" s="30"/>
      <c r="DH73" s="30"/>
      <c r="DI73" s="30"/>
      <c r="DJ73" s="30"/>
      <c r="DK73" s="30"/>
      <c r="DL73" s="30"/>
      <c r="DM73" s="30"/>
      <c r="DN73" s="30"/>
      <c r="DO73" s="30"/>
      <c r="DP73" s="30"/>
      <c r="DQ73" s="30"/>
      <c r="DR73" s="30"/>
      <c r="DS73" s="30"/>
      <c r="DT73" s="30"/>
      <c r="DU73" s="30"/>
      <c r="DV73" s="30"/>
      <c r="DW73" s="30"/>
      <c r="DX73" s="30"/>
      <c r="DY73" s="30"/>
      <c r="DZ73" s="30"/>
      <c r="EA73" s="30"/>
      <c r="EB73" s="30"/>
      <c r="EC73" s="30"/>
      <c r="ED73" s="30"/>
      <c r="EE73" s="30"/>
      <c r="EF73" s="30"/>
      <c r="EG73" s="30"/>
      <c r="EH73" s="30"/>
      <c r="EI73" s="30"/>
      <c r="EJ73" s="30"/>
      <c r="EK73" s="30"/>
      <c r="EL73" s="30"/>
      <c r="EM73" s="30"/>
      <c r="EN73" s="30"/>
      <c r="EO73" s="30"/>
      <c r="EP73" s="30"/>
      <c r="EQ73" s="30"/>
      <c r="ER73" s="30"/>
      <c r="ES73" s="30"/>
      <c r="ET73" s="30"/>
      <c r="EU73" s="30"/>
      <c r="EV73" s="30"/>
      <c r="EW73" s="30"/>
      <c r="EX73" s="30"/>
      <c r="EY73" s="30"/>
      <c r="EZ73" s="30"/>
      <c r="FA73" s="30"/>
      <c r="FB73" s="30"/>
      <c r="FC73" s="30"/>
      <c r="FD73" s="30"/>
      <c r="FE73" s="30"/>
      <c r="FF73" s="30"/>
      <c r="FG73" s="30"/>
      <c r="FH73" s="30"/>
      <c r="FI73" s="30"/>
      <c r="FJ73" s="30"/>
      <c r="FK73" s="30"/>
      <c r="FL73" s="30"/>
      <c r="FM73" s="30"/>
      <c r="FN73" s="30"/>
      <c r="FO73" s="30"/>
      <c r="FP73" s="30"/>
      <c r="FQ73" s="30"/>
      <c r="FR73" s="30"/>
      <c r="FS73" s="30"/>
      <c r="FT73" s="30"/>
      <c r="FU73" s="30"/>
      <c r="FV73" s="30"/>
      <c r="FW73" s="30"/>
      <c r="FX73" s="30"/>
      <c r="FY73" s="30"/>
      <c r="FZ73" s="30"/>
      <c r="GA73" s="30"/>
      <c r="GB73" s="30"/>
      <c r="GC73" s="30"/>
      <c r="GD73" s="30"/>
      <c r="GE73" s="30"/>
      <c r="GF73" s="30"/>
      <c r="GG73" s="30"/>
      <c r="GH73" s="30"/>
      <c r="GI73" s="30"/>
      <c r="GJ73" s="30"/>
      <c r="GK73" s="30"/>
      <c r="GL73" s="30"/>
      <c r="GM73" s="30"/>
      <c r="GN73" s="30"/>
      <c r="GO73" s="30"/>
      <c r="GP73" s="30"/>
      <c r="GQ73" s="30"/>
      <c r="GR73" s="30"/>
      <c r="GS73" s="30"/>
      <c r="GT73" s="30"/>
      <c r="GU73" s="30"/>
      <c r="GV73" s="30"/>
      <c r="GW73" s="30"/>
      <c r="GX73" s="30"/>
      <c r="GY73" s="30"/>
      <c r="GZ73" s="30"/>
      <c r="HA73" s="30"/>
      <c r="HB73" s="30"/>
      <c r="HC73" s="30"/>
      <c r="HD73" s="30"/>
      <c r="HE73" s="30"/>
      <c r="HF73" s="30"/>
      <c r="HG73" s="30"/>
      <c r="HH73" s="30"/>
      <c r="HI73" s="30"/>
      <c r="HJ73" s="30"/>
      <c r="HK73" s="30"/>
      <c r="HL73" s="30"/>
      <c r="HM73" s="30"/>
      <c r="HN73" s="30"/>
      <c r="HO73" s="30"/>
      <c r="HP73" s="30"/>
      <c r="HQ73" s="30"/>
      <c r="HR73" s="30"/>
      <c r="HS73" s="30"/>
      <c r="HT73" s="30"/>
      <c r="HU73" s="30"/>
      <c r="HV73" s="30"/>
      <c r="HW73" s="30"/>
      <c r="HX73" s="30"/>
      <c r="HY73" s="30"/>
      <c r="HZ73" s="30"/>
      <c r="IA73" s="30"/>
      <c r="IB73" s="30"/>
      <c r="IC73" s="30"/>
      <c r="ID73" s="30"/>
      <c r="IE73" s="30"/>
      <c r="IF73" s="30"/>
      <c r="IG73" s="30"/>
      <c r="IH73" s="30"/>
      <c r="II73" s="30"/>
      <c r="IJ73" s="30"/>
      <c r="IK73" s="30"/>
      <c r="IL73" s="30"/>
      <c r="IM73" s="30"/>
      <c r="IN73" s="30"/>
      <c r="IO73" s="30"/>
      <c r="IP73" s="30"/>
      <c r="IQ73" s="30"/>
      <c r="IR73" s="30"/>
      <c r="IS73" s="30"/>
      <c r="IT73" s="30"/>
      <c r="IU73" s="30"/>
      <c r="IV73" s="30"/>
      <c r="IW73" s="30"/>
      <c r="IX73" s="30"/>
      <c r="IY73" s="30"/>
      <c r="IZ73" s="30"/>
      <c r="JA73" s="30"/>
      <c r="JB73" s="30"/>
      <c r="JC73" s="30"/>
      <c r="JD73" s="30"/>
      <c r="JE73" s="30"/>
      <c r="JF73" s="30"/>
      <c r="JG73" s="30"/>
      <c r="JH73" s="30"/>
      <c r="JI73" s="30"/>
      <c r="JJ73" s="30"/>
      <c r="JK73" s="30"/>
      <c r="JL73" s="30"/>
      <c r="JM73" s="30"/>
      <c r="JN73" s="30"/>
      <c r="JO73" s="30"/>
      <c r="JP73" s="30"/>
      <c r="JQ73" s="30"/>
      <c r="JR73" s="30"/>
      <c r="JS73" s="30"/>
      <c r="JT73" s="30"/>
      <c r="JU73" s="30"/>
      <c r="JV73" s="30"/>
      <c r="JW73" s="30"/>
      <c r="JX73" s="30"/>
      <c r="JY73" s="30"/>
      <c r="JZ73" s="30"/>
      <c r="KA73" s="30"/>
      <c r="KB73" s="30"/>
      <c r="KC73" s="30"/>
      <c r="KD73" s="30"/>
      <c r="KE73" s="30"/>
      <c r="KF73" s="30"/>
      <c r="KG73" s="30"/>
      <c r="KH73" s="30"/>
      <c r="KI73" s="30"/>
      <c r="KJ73" s="30"/>
      <c r="KK73" s="30"/>
      <c r="KL73" s="30"/>
      <c r="KM73" s="30"/>
      <c r="KN73" s="30"/>
      <c r="KO73" s="30"/>
      <c r="KP73" s="30"/>
      <c r="KQ73" s="30"/>
      <c r="KR73" s="30"/>
      <c r="KS73" s="30"/>
      <c r="KT73" s="30"/>
      <c r="KU73" s="30"/>
      <c r="KV73" s="30"/>
      <c r="KW73" s="30"/>
      <c r="KX73" s="30"/>
      <c r="KY73" s="30"/>
      <c r="KZ73" s="30"/>
      <c r="LA73" s="30"/>
      <c r="LB73" s="30"/>
      <c r="LC73" s="30"/>
      <c r="LD73" s="30"/>
      <c r="LE73" s="30"/>
      <c r="LF73" s="30"/>
      <c r="LG73" s="30"/>
      <c r="LH73" s="30"/>
      <c r="LI73" s="30"/>
      <c r="LJ73" s="30"/>
      <c r="LK73" s="30"/>
      <c r="LL73" s="30"/>
      <c r="LM73" s="30"/>
      <c r="LN73" s="30"/>
      <c r="LO73" s="30"/>
      <c r="LP73" s="30"/>
      <c r="LQ73" s="30"/>
      <c r="LR73" s="30"/>
      <c r="LS73" s="30"/>
      <c r="LT73" s="30"/>
      <c r="LU73" s="30"/>
      <c r="LV73" s="30"/>
      <c r="LW73" s="30"/>
      <c r="LX73" s="30"/>
      <c r="LY73" s="30"/>
      <c r="LZ73" s="30"/>
      <c r="MA73" s="30"/>
      <c r="MB73" s="30"/>
      <c r="MC73" s="30"/>
      <c r="MD73" s="30"/>
      <c r="ME73" s="30"/>
      <c r="MF73" s="30"/>
      <c r="MG73" s="30"/>
      <c r="MH73" s="30"/>
      <c r="MI73" s="30"/>
      <c r="MJ73" s="30"/>
      <c r="MK73" s="30"/>
      <c r="ML73" s="30"/>
      <c r="MM73" s="30"/>
      <c r="MN73" s="30"/>
      <c r="MO73" s="30"/>
      <c r="MP73" s="30"/>
      <c r="MQ73" s="30"/>
      <c r="MR73" s="30"/>
      <c r="MS73" s="30"/>
      <c r="MT73" s="30"/>
      <c r="MU73" s="30"/>
      <c r="MV73" s="30"/>
      <c r="MW73" s="30"/>
      <c r="MX73" s="30"/>
      <c r="MY73" s="30"/>
      <c r="MZ73" s="30"/>
      <c r="NA73" s="30"/>
      <c r="NB73" s="30"/>
      <c r="NC73" s="30"/>
      <c r="ND73" s="30"/>
      <c r="NE73" s="30"/>
      <c r="NF73" s="30"/>
      <c r="NG73" s="30"/>
      <c r="NH73" s="30"/>
      <c r="NI73" s="30"/>
      <c r="NJ73" s="30"/>
      <c r="NK73" s="30"/>
      <c r="NL73" s="30"/>
      <c r="NM73" s="30"/>
      <c r="NN73" s="30"/>
      <c r="NO73" s="30"/>
      <c r="NP73" s="30"/>
      <c r="NQ73" s="30"/>
      <c r="NR73" s="30"/>
      <c r="NS73" s="30"/>
      <c r="NT73" s="30"/>
      <c r="NU73" s="30"/>
      <c r="NV73" s="30"/>
      <c r="NW73" s="30"/>
      <c r="NX73" s="30"/>
      <c r="NY73" s="30"/>
      <c r="NZ73" s="30"/>
      <c r="OA73" s="30"/>
      <c r="OB73" s="30"/>
      <c r="OC73" s="30"/>
      <c r="OD73" s="30"/>
      <c r="OE73" s="30"/>
      <c r="OF73" s="30"/>
      <c r="OG73" s="30"/>
      <c r="OH73" s="30"/>
      <c r="OI73" s="30"/>
      <c r="OJ73" s="30"/>
      <c r="OK73" s="30"/>
      <c r="OL73" s="30"/>
      <c r="OM73" s="30"/>
      <c r="ON73" s="30"/>
      <c r="OO73" s="30"/>
      <c r="OP73" s="30"/>
      <c r="OQ73" s="30"/>
      <c r="OR73" s="30"/>
      <c r="OS73" s="30"/>
      <c r="OT73" s="30"/>
      <c r="OU73" s="30"/>
      <c r="OV73" s="30"/>
    </row>
    <row r="74" ht="18.0" customHeight="1">
      <c r="A74" s="29">
        <v>73.0</v>
      </c>
      <c r="B74" s="30" t="s">
        <v>6164</v>
      </c>
      <c r="C74" s="31" t="s">
        <v>6055</v>
      </c>
      <c r="D74" s="30" t="s">
        <v>2513</v>
      </c>
      <c r="E74" s="29">
        <v>30.0</v>
      </c>
      <c r="F74" s="29">
        <f>COUNTIF('Tổng hợp 75 trang đích'!$B$2:$B$3400,$D74)</f>
        <v>30</v>
      </c>
      <c r="G74" s="29">
        <f>COUNTIFS('Tổng hợp 75 trang đích'!$B$2:$B$3400,$D74,'Tổng hợp 75 trang đích'!$K$2:$K$3400,"PHÙ HỢP CAO")</f>
        <v>1</v>
      </c>
      <c r="H74" s="29">
        <f>COUNTIFS('Tổng hợp 75 trang đích'!$B$2:$B$3400,$D74,'Tổng hợp 75 trang đích'!$K$2:$K$3400,"CÓ THỂ ĐI")</f>
        <v>15</v>
      </c>
      <c r="I74" s="29">
        <f>COUNTIFS('Tổng hợp 75 trang đích'!$B$2:$B$3400,$D74,'Tổng hợp 75 trang đích'!$K$2:$K$3400,"CẦN SOÁT")</f>
        <v>14</v>
      </c>
      <c r="J74" s="32" t="s">
        <v>714</v>
      </c>
      <c r="K74" s="32" t="b">
        <v>0</v>
      </c>
      <c r="L74" s="33" t="s">
        <v>52</v>
      </c>
      <c r="M74" s="30" t="str">
        <f>IFERROR(__xludf.DUMMYFUNCTION("IFERROR(TOROW(CHOOSECOLS(SORT(FILTER({'Tổng hợp 75 trang đích'!$J$2:$J$3400,'Tổng hợp 75 trang đích'!$I$2:$I$3400,MATCH('Tổng hợp 75 trang đích'!$K$2:$K$3400,{""PHÙ HỢP CAO"",""CÓ THỂ ĐI"",""CẦN SOÁT""},0)},'Tổng hợp 75 trang đích'!$B$2:$B$3400=$D74),3,TR"&amp;"UE),1,2)),"""")"),"nợ xấu")</f>
        <v>nợ xấu</v>
      </c>
      <c r="N74" s="34" t="str">
        <f>IFERROR(__xludf.DUMMYFUNCTION("""COMPUTED_VALUE"""),"https://techcombank.com/thong-tin/blog/no-nhom-3")</f>
        <v>https://techcombank.com/thong-tin/blog/no-nhom-3</v>
      </c>
      <c r="O74" s="30" t="str">
        <f>IFERROR(__xludf.DUMMYFUNCTION("""COMPUTED_VALUE"""),"nợ xấu")</f>
        <v>nợ xấu</v>
      </c>
      <c r="P74" s="34" t="str">
        <f>IFERROR(__xludf.DUMMYFUNCTION("""COMPUTED_VALUE"""),"https://techcombank.com/thong-tin/blog/co-nen-dung-the-tin-dung-khong")</f>
        <v>https://techcombank.com/thong-tin/blog/co-nen-dung-the-tin-dung-khong</v>
      </c>
      <c r="Q74" s="30" t="str">
        <f>IFERROR(__xludf.DUMMYFUNCTION("""COMPUTED_VALUE"""),"nợ xấu")</f>
        <v>nợ xấu</v>
      </c>
      <c r="R74" s="34" t="str">
        <f>IFERROR(__xludf.DUMMYFUNCTION("""COMPUTED_VALUE"""),"https://techcombank.com/thong-tin/blog/du-no-tin-dung-la-gi")</f>
        <v>https://techcombank.com/thong-tin/blog/du-no-tin-dung-la-gi</v>
      </c>
      <c r="S74" s="30" t="str">
        <f>IFERROR(__xludf.DUMMYFUNCTION("""COMPUTED_VALUE"""),"nợ xấu")</f>
        <v>nợ xấu</v>
      </c>
      <c r="T74" s="34" t="str">
        <f>IFERROR(__xludf.DUMMYFUNCTION("""COMPUTED_VALUE"""),"https://techcombank.com/thong-tin/blog/no-the-tin-dung-qua-han")</f>
        <v>https://techcombank.com/thong-tin/blog/no-the-tin-dung-qua-han</v>
      </c>
      <c r="U74" s="30" t="str">
        <f>IFERROR(__xludf.DUMMYFUNCTION("""COMPUTED_VALUE"""),"nợ xấu")</f>
        <v>nợ xấu</v>
      </c>
      <c r="V74" s="34" t="str">
        <f>IFERROR(__xludf.DUMMYFUNCTION("""COMPUTED_VALUE"""),"https://techcombank.com/thong-tin/blog/no-xau")</f>
        <v>https://techcombank.com/thong-tin/blog/no-xau</v>
      </c>
      <c r="W74" s="30" t="str">
        <f>IFERROR(__xludf.DUMMYFUNCTION("""COMPUTED_VALUE"""),"nợ xấu")</f>
        <v>nợ xấu</v>
      </c>
      <c r="X74" s="34" t="str">
        <f>IFERROR(__xludf.DUMMYFUNCTION("""COMPUTED_VALUE"""),"https://techcombank.com/thong-tin/blog/lam-the-tin-dung")</f>
        <v>https://techcombank.com/thong-tin/blog/lam-the-tin-dung</v>
      </c>
      <c r="Y74" s="30" t="str">
        <f>IFERROR(__xludf.DUMMYFUNCTION("""COMPUTED_VALUE"""),"nợ xấu")</f>
        <v>nợ xấu</v>
      </c>
      <c r="Z74" s="34" t="str">
        <f>IFERROR(__xludf.DUMMYFUNCTION("""COMPUTED_VALUE"""),"https://techcombank.com/thong-tin/blog/nim-la-gi")</f>
        <v>https://techcombank.com/thong-tin/blog/nim-la-gi</v>
      </c>
      <c r="AA74" s="30" t="str">
        <f>IFERROR(__xludf.DUMMYFUNCTION("""COMPUTED_VALUE"""),"nợ xấu")</f>
        <v>nợ xấu</v>
      </c>
      <c r="AB74" s="34" t="str">
        <f>IFERROR(__xludf.DUMMYFUNCTION("""COMPUTED_VALUE"""),"https://techcombank.com/thong-tin/blog/cach-dang-ky-the-visa")</f>
        <v>https://techcombank.com/thong-tin/blog/cach-dang-ky-the-visa</v>
      </c>
      <c r="AC74" s="30" t="str">
        <f>IFERROR(__xludf.DUMMYFUNCTION("""COMPUTED_VALUE"""),"nợ xấu")</f>
        <v>nợ xấu</v>
      </c>
      <c r="AD74" s="34" t="str">
        <f>IFERROR(__xludf.DUMMYFUNCTION("""COMPUTED_VALUE"""),"https://techcombank.com/thong-tin/blog/the-tin-dung-phu-la-gi")</f>
        <v>https://techcombank.com/thong-tin/blog/the-tin-dung-phu-la-gi</v>
      </c>
      <c r="AE74" s="30" t="str">
        <f>IFERROR(__xludf.DUMMYFUNCTION("""COMPUTED_VALUE"""),"nợ xấu")</f>
        <v>nợ xấu</v>
      </c>
      <c r="AF74" s="34" t="str">
        <f>IFERROR(__xludf.DUMMYFUNCTION("""COMPUTED_VALUE"""),"https://techcombank.com/thong-tin/blog/vay-tien-mat")</f>
        <v>https://techcombank.com/thong-tin/blog/vay-tien-mat</v>
      </c>
      <c r="AG74" s="30" t="str">
        <f>IFERROR(__xludf.DUMMYFUNCTION("""COMPUTED_VALUE"""),"nợ xấu")</f>
        <v>nợ xấu</v>
      </c>
      <c r="AH74" s="34" t="str">
        <f>IFERROR(__xludf.DUMMYFUNCTION("""COMPUTED_VALUE"""),"https://techcombank.com/thong-tin/blog/lai-suat-vay-tin-chap")</f>
        <v>https://techcombank.com/thong-tin/blog/lai-suat-vay-tin-chap</v>
      </c>
      <c r="AI74" s="30" t="str">
        <f>IFERROR(__xludf.DUMMYFUNCTION("""COMPUTED_VALUE"""),"nợ xấu")</f>
        <v>nợ xấu</v>
      </c>
      <c r="AJ74" s="34" t="str">
        <f>IFERROR(__xludf.DUMMYFUNCTION("""COMPUTED_VALUE"""),"https://techcombank.com/thong-tin/blog/vay-tin-chap-la-gi")</f>
        <v>https://techcombank.com/thong-tin/blog/vay-tin-chap-la-gi</v>
      </c>
      <c r="AK74" s="30" t="str">
        <f>IFERROR(__xludf.DUMMYFUNCTION("""COMPUTED_VALUE"""),"nợ xấu")</f>
        <v>nợ xấu</v>
      </c>
      <c r="AL74" s="34" t="str">
        <f>IFERROR(__xludf.DUMMYFUNCTION("""COMPUTED_VALUE"""),"https://techcombank.com/thong-tin/blog/nang-han-muc-tin-dung")</f>
        <v>https://techcombank.com/thong-tin/blog/nang-han-muc-tin-dung</v>
      </c>
      <c r="AM74" s="30" t="str">
        <f>IFERROR(__xludf.DUMMYFUNCTION("""COMPUTED_VALUE"""),"nợ xấu")</f>
        <v>nợ xấu</v>
      </c>
      <c r="AN74" s="34" t="str">
        <f>IFERROR(__xludf.DUMMYFUNCTION("""COMPUTED_VALUE"""),"https://techcombank.com/thong-tin/blog/vay-thau-chi-la-gi")</f>
        <v>https://techcombank.com/thong-tin/blog/vay-thau-chi-la-gi</v>
      </c>
      <c r="AO74" s="30" t="str">
        <f>IFERROR(__xludf.DUMMYFUNCTION("""COMPUTED_VALUE"""),"nợ xấu")</f>
        <v>nợ xấu</v>
      </c>
      <c r="AP74" s="34" t="str">
        <f>IFERROR(__xludf.DUMMYFUNCTION("""COMPUTED_VALUE"""),"https://techcombank.com/thong-tin/blog/ho-so-vay-tin-chap")</f>
        <v>https://techcombank.com/thong-tin/blog/ho-so-vay-tin-chap</v>
      </c>
      <c r="AQ74" s="30" t="str">
        <f>IFERROR(__xludf.DUMMYFUNCTION("""COMPUTED_VALUE"""),"nợ xấu")</f>
        <v>nợ xấu</v>
      </c>
      <c r="AR74" s="34" t="str">
        <f>IFERROR(__xludf.DUMMYFUNCTION("""COMPUTED_VALUE"""),"https://techcombank.com/thong-tin/blog/phi-rut-tien-mat-the-tin-dung")</f>
        <v>https://techcombank.com/thong-tin/blog/phi-rut-tien-mat-the-tin-dung</v>
      </c>
      <c r="AS74" s="30" t="str">
        <f>IFERROR(__xludf.DUMMYFUNCTION("""COMPUTED_VALUE"""),"nợ xấu")</f>
        <v>nợ xấu</v>
      </c>
      <c r="AT74" s="34" t="str">
        <f>IFERROR(__xludf.DUMMYFUNCTION("""COMPUTED_VALUE"""),"https://techcombank.com/thong-tin/blog/du-no-la-gi")</f>
        <v>https://techcombank.com/thong-tin/blog/du-no-la-gi</v>
      </c>
      <c r="AU74" s="30" t="str">
        <f>IFERROR(__xludf.DUMMYFUNCTION("""COMPUTED_VALUE"""),"nợ xấu")</f>
        <v>nợ xấu</v>
      </c>
      <c r="AV74" s="34" t="str">
        <f>IFERROR(__xludf.DUMMYFUNCTION("""COMPUTED_VALUE"""),"https://techcombank.com/thong-tin/blog/kiem-tra-no-xau")</f>
        <v>https://techcombank.com/thong-tin/blog/kiem-tra-no-xau</v>
      </c>
      <c r="AW74" s="30" t="str">
        <f>IFERROR(__xludf.DUMMYFUNCTION("""COMPUTED_VALUE"""),"nợ xấu")</f>
        <v>nợ xấu</v>
      </c>
      <c r="AX74" s="34" t="str">
        <f>IFERROR(__xludf.DUMMYFUNCTION("""COMPUTED_VALUE"""),"https://techcombank.com/thong-tin/blog/qua-han-thanh-toan-the-tin-dung-1-ngay")</f>
        <v>https://techcombank.com/thong-tin/blog/qua-han-thanh-toan-the-tin-dung-1-ngay</v>
      </c>
      <c r="AY74" s="30" t="str">
        <f>IFERROR(__xludf.DUMMYFUNCTION("""COMPUTED_VALUE"""),"nợ xấu")</f>
        <v>nợ xấu</v>
      </c>
      <c r="AZ74" s="34" t="str">
        <f>IFERROR(__xludf.DUMMYFUNCTION("""COMPUTED_VALUE"""),"https://techcombank.com/thong-tin/blog/no-xau-co-lam-the-visa-duoc-khong")</f>
        <v>https://techcombank.com/thong-tin/blog/no-xau-co-lam-the-visa-duoc-khong</v>
      </c>
      <c r="BA74" s="30" t="str">
        <f>IFERROR(__xludf.DUMMYFUNCTION("""COMPUTED_VALUE"""),"nợ xấu")</f>
        <v>nợ xấu</v>
      </c>
      <c r="BB74" s="34" t="str">
        <f>IFERROR(__xludf.DUMMYFUNCTION("""COMPUTED_VALUE"""),"https://techcombank.com/thong-tin/blog/thanh-toan-toi-thieu-the-tin-dung")</f>
        <v>https://techcombank.com/thong-tin/blog/thanh-toan-toi-thieu-the-tin-dung</v>
      </c>
      <c r="BC74" s="30" t="str">
        <f>IFERROR(__xludf.DUMMYFUNCTION("""COMPUTED_VALUE"""),"nợ xấu")</f>
        <v>nợ xấu</v>
      </c>
      <c r="BD74" s="34" t="str">
        <f>IFERROR(__xludf.DUMMYFUNCTION("""COMPUTED_VALUE"""),"https://techcombank.com/thong-tin/blog/the-tin-dung-bi-khoa")</f>
        <v>https://techcombank.com/thong-tin/blog/the-tin-dung-bi-khoa</v>
      </c>
      <c r="BE74" s="30" t="str">
        <f>IFERROR(__xludf.DUMMYFUNCTION("""COMPUTED_VALUE"""),"nợ xấu")</f>
        <v>nợ xấu</v>
      </c>
      <c r="BF74" s="34" t="str">
        <f>IFERROR(__xludf.DUMMYFUNCTION("""COMPUTED_VALUE"""),"https://techcombank.com/thong-tin/blog/no-xau-mo-the-tin-dung-duoc-khong")</f>
        <v>https://techcombank.com/thong-tin/blog/no-xau-mo-the-tin-dung-duoc-khong</v>
      </c>
      <c r="BG74" s="30" t="str">
        <f>IFERROR(__xludf.DUMMYFUNCTION("""COMPUTED_VALUE"""),"nợ xấu")</f>
        <v>nợ xấu</v>
      </c>
      <c r="BH74" s="34" t="str">
        <f>IFERROR(__xludf.DUMMYFUNCTION("""COMPUTED_VALUE"""),"https://techcombank.com/thong-tin/blog/no-xau-co-vay-the-chap-duoc-khong")</f>
        <v>https://techcombank.com/thong-tin/blog/no-xau-co-vay-the-chap-duoc-khong</v>
      </c>
      <c r="BI74" s="30" t="str">
        <f>IFERROR(__xludf.DUMMYFUNCTION("""COMPUTED_VALUE"""),"nợ xấu")</f>
        <v>nợ xấu</v>
      </c>
      <c r="BJ74" s="34" t="str">
        <f>IFERROR(__xludf.DUMMYFUNCTION("""COMPUTED_VALUE"""),"https://techcombank.com/thong-tin/blog/vay-tin-chap-no-xau")</f>
        <v>https://techcombank.com/thong-tin/blog/vay-tin-chap-no-xau</v>
      </c>
      <c r="BK74" s="30" t="str">
        <f>IFERROR(__xludf.DUMMYFUNCTION("""COMPUTED_VALUE"""),"nợ xấu")</f>
        <v>nợ xấu</v>
      </c>
      <c r="BL74" s="34" t="str">
        <f>IFERROR(__xludf.DUMMYFUNCTION("""COMPUTED_VALUE"""),"https://techcombank.com/thong-tin/blog/lai-suat-qua-han")</f>
        <v>https://techcombank.com/thong-tin/blog/lai-suat-qua-han</v>
      </c>
      <c r="BM74" s="30" t="str">
        <f>IFERROR(__xludf.DUMMYFUNCTION("""COMPUTED_VALUE"""),"nợ xấu")</f>
        <v>nợ xấu</v>
      </c>
      <c r="BN74" s="34" t="str">
        <f>IFERROR(__xludf.DUMMYFUNCTION("""COMPUTED_VALUE"""),"https://techcombank.com/thong-tin/blog/cic-la-gi")</f>
        <v>https://techcombank.com/thong-tin/blog/cic-la-gi</v>
      </c>
      <c r="BO74" s="30" t="str">
        <f>IFERROR(__xludf.DUMMYFUNCTION("""COMPUTED_VALUE"""),"nợ xấu")</f>
        <v>nợ xấu</v>
      </c>
      <c r="BP74" s="34" t="str">
        <f>IFERROR(__xludf.DUMMYFUNCTION("""COMPUTED_VALUE"""),"https://techcombank.com/thong-tin/blog/vay-tin-chap-theo-luong")</f>
        <v>https://techcombank.com/thong-tin/blog/vay-tin-chap-theo-luong</v>
      </c>
      <c r="BQ74" s="30" t="str">
        <f>IFERROR(__xludf.DUMMYFUNCTION("""COMPUTED_VALUE"""),"nợ xấu")</f>
        <v>nợ xấu</v>
      </c>
      <c r="BR74" s="34" t="str">
        <f>IFERROR(__xludf.DUMMYFUNCTION("""COMPUTED_VALUE"""),"https://techcombank.com/thong-tin/blog/dieu-kien-vay-the-chap")</f>
        <v>https://techcombank.com/thong-tin/blog/dieu-kien-vay-the-chap</v>
      </c>
      <c r="BS74" s="30" t="str">
        <f>IFERROR(__xludf.DUMMYFUNCTION("""COMPUTED_VALUE"""),"nợ xấu là gì")</f>
        <v>nợ xấu là gì</v>
      </c>
      <c r="BT74" s="34" t="str">
        <f>IFERROR(__xludf.DUMMYFUNCTION("""COMPUTED_VALUE"""),"https://techcombank.com/thong-tin/blog/vay-the-chap-khong-tra-duoc")</f>
        <v>https://techcombank.com/thong-tin/blog/vay-the-chap-khong-tra-duoc</v>
      </c>
      <c r="BU74" s="30"/>
      <c r="BV74" s="30"/>
      <c r="BW74" s="30"/>
      <c r="BX74" s="30"/>
      <c r="BY74" s="30"/>
      <c r="BZ74" s="30"/>
      <c r="CA74" s="30"/>
      <c r="CB74" s="30"/>
      <c r="CC74" s="30"/>
      <c r="CD74" s="30"/>
      <c r="CE74" s="30"/>
      <c r="CF74" s="30"/>
      <c r="CG74" s="30"/>
      <c r="CH74" s="30"/>
      <c r="CI74" s="30"/>
      <c r="CJ74" s="30"/>
      <c r="CK74" s="30"/>
      <c r="CL74" s="30"/>
      <c r="CM74" s="30"/>
      <c r="CN74" s="30"/>
      <c r="CO74" s="30"/>
      <c r="CP74" s="30"/>
      <c r="CQ74" s="30"/>
      <c r="CR74" s="30"/>
      <c r="CS74" s="30"/>
      <c r="CT74" s="30"/>
      <c r="CU74" s="30"/>
      <c r="CV74" s="30"/>
      <c r="CW74" s="30"/>
      <c r="CX74" s="30"/>
      <c r="CY74" s="30"/>
      <c r="CZ74" s="30"/>
      <c r="DA74" s="30"/>
      <c r="DB74" s="30"/>
      <c r="DC74" s="30"/>
      <c r="DD74" s="30"/>
      <c r="DE74" s="30"/>
      <c r="DF74" s="30"/>
      <c r="DG74" s="30"/>
      <c r="DH74" s="30"/>
      <c r="DI74" s="30"/>
      <c r="DJ74" s="30"/>
      <c r="DK74" s="30"/>
      <c r="DL74" s="30"/>
      <c r="DM74" s="30"/>
      <c r="DN74" s="30"/>
      <c r="DO74" s="30"/>
      <c r="DP74" s="30"/>
      <c r="DQ74" s="30"/>
      <c r="DR74" s="30"/>
      <c r="DS74" s="30"/>
      <c r="DT74" s="30"/>
      <c r="DU74" s="30"/>
      <c r="DV74" s="30"/>
      <c r="DW74" s="30"/>
      <c r="DX74" s="30"/>
      <c r="DY74" s="30"/>
      <c r="DZ74" s="30"/>
      <c r="EA74" s="30"/>
      <c r="EB74" s="30"/>
      <c r="EC74" s="30"/>
      <c r="ED74" s="30"/>
      <c r="EE74" s="30"/>
      <c r="EF74" s="30"/>
      <c r="EG74" s="30"/>
      <c r="EH74" s="30"/>
      <c r="EI74" s="30"/>
      <c r="EJ74" s="30"/>
      <c r="EK74" s="30"/>
      <c r="EL74" s="30"/>
      <c r="EM74" s="30"/>
      <c r="EN74" s="30"/>
      <c r="EO74" s="30"/>
      <c r="EP74" s="30"/>
      <c r="EQ74" s="30"/>
      <c r="ER74" s="30"/>
      <c r="ES74" s="30"/>
      <c r="ET74" s="30"/>
      <c r="EU74" s="30"/>
      <c r="EV74" s="30"/>
      <c r="EW74" s="30"/>
      <c r="EX74" s="30"/>
      <c r="EY74" s="30"/>
      <c r="EZ74" s="30"/>
      <c r="FA74" s="30"/>
      <c r="FB74" s="30"/>
      <c r="FC74" s="30"/>
      <c r="FD74" s="30"/>
      <c r="FE74" s="30"/>
      <c r="FF74" s="30"/>
      <c r="FG74" s="30"/>
      <c r="FH74" s="30"/>
      <c r="FI74" s="30"/>
      <c r="FJ74" s="30"/>
      <c r="FK74" s="30"/>
      <c r="FL74" s="30"/>
      <c r="FM74" s="30"/>
      <c r="FN74" s="30"/>
      <c r="FO74" s="30"/>
      <c r="FP74" s="30"/>
      <c r="FQ74" s="30"/>
      <c r="FR74" s="30"/>
      <c r="FS74" s="30"/>
      <c r="FT74" s="30"/>
      <c r="FU74" s="30"/>
      <c r="FV74" s="30"/>
      <c r="FW74" s="30"/>
      <c r="FX74" s="30"/>
      <c r="FY74" s="30"/>
      <c r="FZ74" s="30"/>
      <c r="GA74" s="30"/>
      <c r="GB74" s="30"/>
      <c r="GC74" s="30"/>
      <c r="GD74" s="30"/>
      <c r="GE74" s="30"/>
      <c r="GF74" s="30"/>
      <c r="GG74" s="30"/>
      <c r="GH74" s="30"/>
      <c r="GI74" s="30"/>
      <c r="GJ74" s="30"/>
      <c r="GK74" s="30"/>
      <c r="GL74" s="30"/>
      <c r="GM74" s="30"/>
      <c r="GN74" s="30"/>
      <c r="GO74" s="30"/>
      <c r="GP74" s="30"/>
      <c r="GQ74" s="30"/>
      <c r="GR74" s="30"/>
      <c r="GS74" s="30"/>
      <c r="GT74" s="30"/>
      <c r="GU74" s="30"/>
      <c r="GV74" s="30"/>
      <c r="GW74" s="30"/>
      <c r="GX74" s="30"/>
      <c r="GY74" s="30"/>
      <c r="GZ74" s="30"/>
      <c r="HA74" s="30"/>
      <c r="HB74" s="30"/>
      <c r="HC74" s="30"/>
      <c r="HD74" s="30"/>
      <c r="HE74" s="30"/>
      <c r="HF74" s="30"/>
      <c r="HG74" s="30"/>
      <c r="HH74" s="30"/>
      <c r="HI74" s="30"/>
      <c r="HJ74" s="30"/>
      <c r="HK74" s="30"/>
      <c r="HL74" s="30"/>
      <c r="HM74" s="30"/>
      <c r="HN74" s="30"/>
      <c r="HO74" s="30"/>
      <c r="HP74" s="30"/>
      <c r="HQ74" s="30"/>
      <c r="HR74" s="30"/>
      <c r="HS74" s="30"/>
      <c r="HT74" s="30"/>
      <c r="HU74" s="30"/>
      <c r="HV74" s="30"/>
      <c r="HW74" s="30"/>
      <c r="HX74" s="30"/>
      <c r="HY74" s="30"/>
      <c r="HZ74" s="30"/>
      <c r="IA74" s="30"/>
      <c r="IB74" s="30"/>
      <c r="IC74" s="30"/>
      <c r="ID74" s="30"/>
      <c r="IE74" s="30"/>
      <c r="IF74" s="30"/>
      <c r="IG74" s="30"/>
      <c r="IH74" s="30"/>
      <c r="II74" s="30"/>
      <c r="IJ74" s="30"/>
      <c r="IK74" s="30"/>
      <c r="IL74" s="30"/>
      <c r="IM74" s="30"/>
      <c r="IN74" s="30"/>
      <c r="IO74" s="30"/>
      <c r="IP74" s="30"/>
      <c r="IQ74" s="30"/>
      <c r="IR74" s="30"/>
      <c r="IS74" s="30"/>
      <c r="IT74" s="30"/>
      <c r="IU74" s="30"/>
      <c r="IV74" s="30"/>
      <c r="IW74" s="30"/>
      <c r="IX74" s="30"/>
      <c r="IY74" s="30"/>
      <c r="IZ74" s="30"/>
      <c r="JA74" s="30"/>
      <c r="JB74" s="30"/>
      <c r="JC74" s="30"/>
      <c r="JD74" s="30"/>
      <c r="JE74" s="30"/>
      <c r="JF74" s="30"/>
      <c r="JG74" s="30"/>
      <c r="JH74" s="30"/>
      <c r="JI74" s="30"/>
      <c r="JJ74" s="30"/>
      <c r="JK74" s="30"/>
      <c r="JL74" s="30"/>
      <c r="JM74" s="30"/>
      <c r="JN74" s="30"/>
      <c r="JO74" s="30"/>
      <c r="JP74" s="30"/>
      <c r="JQ74" s="30"/>
      <c r="JR74" s="30"/>
      <c r="JS74" s="30"/>
      <c r="JT74" s="30"/>
      <c r="JU74" s="30"/>
      <c r="JV74" s="30"/>
      <c r="JW74" s="30"/>
      <c r="JX74" s="30"/>
      <c r="JY74" s="30"/>
      <c r="JZ74" s="30"/>
      <c r="KA74" s="30"/>
      <c r="KB74" s="30"/>
      <c r="KC74" s="30"/>
      <c r="KD74" s="30"/>
      <c r="KE74" s="30"/>
      <c r="KF74" s="30"/>
      <c r="KG74" s="30"/>
      <c r="KH74" s="30"/>
      <c r="KI74" s="30"/>
      <c r="KJ74" s="30"/>
      <c r="KK74" s="30"/>
      <c r="KL74" s="30"/>
      <c r="KM74" s="30"/>
      <c r="KN74" s="30"/>
      <c r="KO74" s="30"/>
      <c r="KP74" s="30"/>
      <c r="KQ74" s="30"/>
      <c r="KR74" s="30"/>
      <c r="KS74" s="30"/>
      <c r="KT74" s="30"/>
      <c r="KU74" s="30"/>
      <c r="KV74" s="30"/>
      <c r="KW74" s="30"/>
      <c r="KX74" s="30"/>
      <c r="KY74" s="30"/>
      <c r="KZ74" s="30"/>
      <c r="LA74" s="30"/>
      <c r="LB74" s="30"/>
      <c r="LC74" s="30"/>
      <c r="LD74" s="30"/>
      <c r="LE74" s="30"/>
      <c r="LF74" s="30"/>
      <c r="LG74" s="30"/>
      <c r="LH74" s="30"/>
      <c r="LI74" s="30"/>
      <c r="LJ74" s="30"/>
      <c r="LK74" s="30"/>
      <c r="LL74" s="30"/>
      <c r="LM74" s="30"/>
      <c r="LN74" s="30"/>
      <c r="LO74" s="30"/>
      <c r="LP74" s="30"/>
      <c r="LQ74" s="30"/>
      <c r="LR74" s="30"/>
      <c r="LS74" s="30"/>
      <c r="LT74" s="30"/>
      <c r="LU74" s="30"/>
      <c r="LV74" s="30"/>
      <c r="LW74" s="30"/>
      <c r="LX74" s="30"/>
      <c r="LY74" s="30"/>
      <c r="LZ74" s="30"/>
      <c r="MA74" s="30"/>
      <c r="MB74" s="30"/>
      <c r="MC74" s="30"/>
      <c r="MD74" s="30"/>
      <c r="ME74" s="30"/>
      <c r="MF74" s="30"/>
      <c r="MG74" s="30"/>
      <c r="MH74" s="30"/>
      <c r="MI74" s="30"/>
      <c r="MJ74" s="30"/>
      <c r="MK74" s="30"/>
      <c r="ML74" s="30"/>
      <c r="MM74" s="30"/>
      <c r="MN74" s="30"/>
      <c r="MO74" s="30"/>
      <c r="MP74" s="30"/>
      <c r="MQ74" s="30"/>
      <c r="MR74" s="30"/>
      <c r="MS74" s="30"/>
      <c r="MT74" s="30"/>
      <c r="MU74" s="30"/>
      <c r="MV74" s="30"/>
      <c r="MW74" s="30"/>
      <c r="MX74" s="30"/>
      <c r="MY74" s="30"/>
      <c r="MZ74" s="30"/>
      <c r="NA74" s="30"/>
      <c r="NB74" s="30"/>
      <c r="NC74" s="30"/>
      <c r="ND74" s="30"/>
      <c r="NE74" s="30"/>
      <c r="NF74" s="30"/>
      <c r="NG74" s="30"/>
      <c r="NH74" s="30"/>
      <c r="NI74" s="30"/>
      <c r="NJ74" s="30"/>
      <c r="NK74" s="30"/>
      <c r="NL74" s="30"/>
      <c r="NM74" s="30"/>
      <c r="NN74" s="30"/>
      <c r="NO74" s="30"/>
      <c r="NP74" s="30"/>
      <c r="NQ74" s="30"/>
      <c r="NR74" s="30"/>
      <c r="NS74" s="30"/>
      <c r="NT74" s="30"/>
      <c r="NU74" s="30"/>
      <c r="NV74" s="30"/>
      <c r="NW74" s="30"/>
      <c r="NX74" s="30"/>
      <c r="NY74" s="30"/>
      <c r="NZ74" s="30"/>
      <c r="OA74" s="30"/>
      <c r="OB74" s="30"/>
      <c r="OC74" s="30"/>
      <c r="OD74" s="30"/>
      <c r="OE74" s="30"/>
      <c r="OF74" s="30"/>
      <c r="OG74" s="30"/>
      <c r="OH74" s="30"/>
      <c r="OI74" s="30"/>
      <c r="OJ74" s="30"/>
      <c r="OK74" s="30"/>
      <c r="OL74" s="30"/>
      <c r="OM74" s="30"/>
      <c r="ON74" s="30"/>
      <c r="OO74" s="30"/>
      <c r="OP74" s="30"/>
      <c r="OQ74" s="30"/>
      <c r="OR74" s="30"/>
      <c r="OS74" s="30"/>
      <c r="OT74" s="30"/>
      <c r="OU74" s="30"/>
      <c r="OV74" s="30"/>
    </row>
    <row r="75" ht="18.0" customHeight="1">
      <c r="A75" s="29">
        <v>74.0</v>
      </c>
      <c r="B75" s="30" t="s">
        <v>6164</v>
      </c>
      <c r="C75" s="31" t="s">
        <v>6057</v>
      </c>
      <c r="D75" s="30" t="s">
        <v>2539</v>
      </c>
      <c r="E75" s="29">
        <v>30.0</v>
      </c>
      <c r="F75" s="29">
        <f>COUNTIF('Tổng hợp 75 trang đích'!$B$2:$B$3400,$D75)</f>
        <v>30</v>
      </c>
      <c r="G75" s="29">
        <f>COUNTIFS('Tổng hợp 75 trang đích'!$B$2:$B$3400,$D75,'Tổng hợp 75 trang đích'!$K$2:$K$3400,"PHÙ HỢP CAO")</f>
        <v>2</v>
      </c>
      <c r="H75" s="29">
        <f>COUNTIFS('Tổng hợp 75 trang đích'!$B$2:$B$3400,$D75,'Tổng hợp 75 trang đích'!$K$2:$K$3400,"CÓ THỂ ĐI")</f>
        <v>2</v>
      </c>
      <c r="I75" s="29">
        <f>COUNTIFS('Tổng hợp 75 trang đích'!$B$2:$B$3400,$D75,'Tổng hợp 75 trang đích'!$K$2:$K$3400,"CẦN SOÁT")</f>
        <v>26</v>
      </c>
      <c r="J75" s="32" t="s">
        <v>714</v>
      </c>
      <c r="K75" s="32" t="b">
        <v>0</v>
      </c>
      <c r="L75" s="33" t="s">
        <v>52</v>
      </c>
      <c r="M75" s="30" t="str">
        <f>IFERROR(__xludf.DUMMYFUNCTION("IFERROR(TOROW(CHOOSECOLS(SORT(FILTER({'Tổng hợp 75 trang đích'!$J$2:$J$3400,'Tổng hợp 75 trang đích'!$I$2:$I$3400,MATCH('Tổng hợp 75 trang đích'!$K$2:$K$3400,{""PHÙ HỢP CAO"",""CÓ THỂ ĐI"",""CẦN SOÁT""},0)},'Tổng hợp 75 trang đích'!$B$2:$B$3400=$D75),3,TR"&amp;"UE),1,2)),"""")"),"vay tín chấp không trả được có sao không")</f>
        <v>vay tín chấp không trả được có sao không</v>
      </c>
      <c r="N75" s="34" t="str">
        <f>IFERROR(__xludf.DUMMYFUNCTION("""COMPUTED_VALUE"""),"https://techcombank.com/thong-tin/blog/vay-the-chap-khong-tra-duoc")</f>
        <v>https://techcombank.com/thong-tin/blog/vay-the-chap-khong-tra-duoc</v>
      </c>
      <c r="O75" s="30" t="str">
        <f>IFERROR(__xludf.DUMMYFUNCTION("""COMPUTED_VALUE"""),"vay tín chấp không trả được có sao không")</f>
        <v>vay tín chấp không trả được có sao không</v>
      </c>
      <c r="P75" s="34" t="str">
        <f>IFERROR(__xludf.DUMMYFUNCTION("""COMPUTED_VALUE"""),"https://techcombank.com/thong-tin/blog/lai-suat-qua-han")</f>
        <v>https://techcombank.com/thong-tin/blog/lai-suat-qua-han</v>
      </c>
      <c r="Q75" s="30" t="str">
        <f>IFERROR(__xludf.DUMMYFUNCTION("""COMPUTED_VALUE"""),"vay tín chấp không trả được có sao không")</f>
        <v>vay tín chấp không trả được có sao không</v>
      </c>
      <c r="R75" s="34" t="str">
        <f>IFERROR(__xludf.DUMMYFUNCTION("""COMPUTED_VALUE"""),"https://techcombank.com/thong-tin/blog/no-the-tin-dung-qua-han")</f>
        <v>https://techcombank.com/thong-tin/blog/no-the-tin-dung-qua-han</v>
      </c>
      <c r="S75" s="30" t="str">
        <f>IFERROR(__xludf.DUMMYFUNCTION("""COMPUTED_VALUE"""),"vay tín chấp không trả được có sao không")</f>
        <v>vay tín chấp không trả được có sao không</v>
      </c>
      <c r="T75" s="34" t="str">
        <f>IFERROR(__xludf.DUMMYFUNCTION("""COMPUTED_VALUE"""),"https://techcombank.com/thong-tin/blog/vay-tin-chap-la-gi")</f>
        <v>https://techcombank.com/thong-tin/blog/vay-tin-chap-la-gi</v>
      </c>
      <c r="U75" s="30" t="str">
        <f>IFERROR(__xludf.DUMMYFUNCTION("""COMPUTED_VALUE"""),"vay tín chấp không trả được có sao không")</f>
        <v>vay tín chấp không trả được có sao không</v>
      </c>
      <c r="V75" s="34" t="str">
        <f>IFERROR(__xludf.DUMMYFUNCTION("""COMPUTED_VALUE"""),"https://techcombank.com/thong-tin/blog/lam-ho-so-tra-gop-dien-thoai")</f>
        <v>https://techcombank.com/thong-tin/blog/lam-ho-so-tra-gop-dien-thoai</v>
      </c>
      <c r="W75" s="30" t="str">
        <f>IFERROR(__xludf.DUMMYFUNCTION("""COMPUTED_VALUE"""),"vay tín chấp không trả được có sao không")</f>
        <v>vay tín chấp không trả được có sao không</v>
      </c>
      <c r="X75" s="34" t="str">
        <f>IFERROR(__xludf.DUMMYFUNCTION("""COMPUTED_VALUE"""),"https://techcombank.com/thong-tin/blog/du-no-la-gi")</f>
        <v>https://techcombank.com/thong-tin/blog/du-no-la-gi</v>
      </c>
      <c r="Y75" s="30" t="str">
        <f>IFERROR(__xludf.DUMMYFUNCTION("""COMPUTED_VALUE"""),"vay tín chấp không trả được có sao không")</f>
        <v>vay tín chấp không trả được có sao không</v>
      </c>
      <c r="Z75" s="34" t="str">
        <f>IFERROR(__xludf.DUMMYFUNCTION("""COMPUTED_VALUE"""),"https://techcombank.com/thong-tin/blog/vay-tin-chap-ho-kinh-doanh")</f>
        <v>https://techcombank.com/thong-tin/blog/vay-tin-chap-ho-kinh-doanh</v>
      </c>
      <c r="AA75" s="30" t="str">
        <f>IFERROR(__xludf.DUMMYFUNCTION("""COMPUTED_VALUE"""),"vay tín chấp không trả được có sao không")</f>
        <v>vay tín chấp không trả được có sao không</v>
      </c>
      <c r="AB75" s="34" t="str">
        <f>IFERROR(__xludf.DUMMYFUNCTION("""COMPUTED_VALUE"""),"https://techcombank.com/thong-tin/blog/vay-tin-chap-cho-doanh-nghiep-moi-thanh-lap")</f>
        <v>https://techcombank.com/thong-tin/blog/vay-tin-chap-cho-doanh-nghiep-moi-thanh-lap</v>
      </c>
      <c r="AC75" s="30" t="str">
        <f>IFERROR(__xludf.DUMMYFUNCTION("""COMPUTED_VALUE"""),"vay tín chấp không trả được có sao không")</f>
        <v>vay tín chấp không trả được có sao không</v>
      </c>
      <c r="AD75" s="34" t="str">
        <f>IFERROR(__xludf.DUMMYFUNCTION("""COMPUTED_VALUE"""),"https://techcombank.com/thong-tin/blog/thu-tuc-vay-von-kinh-doanh-nho")</f>
        <v>https://techcombank.com/thong-tin/blog/thu-tuc-vay-von-kinh-doanh-nho</v>
      </c>
      <c r="AE75" s="30" t="str">
        <f>IFERROR(__xludf.DUMMYFUNCTION("""COMPUTED_VALUE"""),"vay tín chấp không trả được có sao không")</f>
        <v>vay tín chấp không trả được có sao không</v>
      </c>
      <c r="AF75" s="34" t="str">
        <f>IFERROR(__xludf.DUMMYFUNCTION("""COMPUTED_VALUE"""),"https://techcombank.com/thong-tin/blog/cac-hinh-thuc-vay-von-ngan-hang")</f>
        <v>https://techcombank.com/thong-tin/blog/cac-hinh-thuc-vay-von-ngan-hang</v>
      </c>
      <c r="AG75" s="30" t="str">
        <f>IFERROR(__xludf.DUMMYFUNCTION("""COMPUTED_VALUE"""),"vay tín chấp không trả được có sao không")</f>
        <v>vay tín chấp không trả được có sao không</v>
      </c>
      <c r="AH75" s="34" t="str">
        <f>IFERROR(__xludf.DUMMYFUNCTION("""COMPUTED_VALUE"""),"https://techcombank.com/thong-tin/blog/vay-san-xuat-kinh-doanh")</f>
        <v>https://techcombank.com/thong-tin/blog/vay-san-xuat-kinh-doanh</v>
      </c>
      <c r="AI75" s="30" t="str">
        <f>IFERROR(__xludf.DUMMYFUNCTION("""COMPUTED_VALUE"""),"vay tín chấp không trả được có sao không")</f>
        <v>vay tín chấp không trả được có sao không</v>
      </c>
      <c r="AJ75" s="34" t="str">
        <f>IFERROR(__xludf.DUMMYFUNCTION("""COMPUTED_VALUE"""),"https://techcombank.com/thong-tin/blog/tin-chap-doanh-nghiep")</f>
        <v>https://techcombank.com/thong-tin/blog/tin-chap-doanh-nghiep</v>
      </c>
      <c r="AK75" s="30" t="str">
        <f>IFERROR(__xludf.DUMMYFUNCTION("""COMPUTED_VALUE"""),"vay tín chấp không trả được có sao không")</f>
        <v>vay tín chấp không trả được có sao không</v>
      </c>
      <c r="AL75" s="34" t="str">
        <f>IFERROR(__xludf.DUMMYFUNCTION("""COMPUTED_VALUE"""),"https://techcombank.com/thong-tin/blog/nen-vay-tin-chap-o-dau")</f>
        <v>https://techcombank.com/thong-tin/blog/nen-vay-tin-chap-o-dau</v>
      </c>
      <c r="AM75" s="30" t="str">
        <f>IFERROR(__xludf.DUMMYFUNCTION("""COMPUTED_VALUE"""),"vay tín chấp không trả được có sao không")</f>
        <v>vay tín chấp không trả được có sao không</v>
      </c>
      <c r="AN75" s="34" t="str">
        <f>IFERROR(__xludf.DUMMYFUNCTION("""COMPUTED_VALUE"""),"https://techcombank.com/thong-tin/blog/no-chu-y-la-gi")</f>
        <v>https://techcombank.com/thong-tin/blog/no-chu-y-la-gi</v>
      </c>
      <c r="AO75" s="30" t="str">
        <f>IFERROR(__xludf.DUMMYFUNCTION("""COMPUTED_VALUE"""),"vay tín chấp không trả được có sao không")</f>
        <v>vay tín chấp không trả được có sao không</v>
      </c>
      <c r="AP75" s="34" t="str">
        <f>IFERROR(__xludf.DUMMYFUNCTION("""COMPUTED_VALUE"""),"https://techcombank.com/thong-tin/blog/kiem-tra-no-xau")</f>
        <v>https://techcombank.com/thong-tin/blog/kiem-tra-no-xau</v>
      </c>
      <c r="AQ75" s="30" t="str">
        <f>IFERROR(__xludf.DUMMYFUNCTION("""COMPUTED_VALUE"""),"vay tín chấp không trả được có sao không")</f>
        <v>vay tín chấp không trả được có sao không</v>
      </c>
      <c r="AR75" s="34" t="str">
        <f>IFERROR(__xludf.DUMMYFUNCTION("""COMPUTED_VALUE"""),"https://techcombank.com/thong-tin/blog/no-xau")</f>
        <v>https://techcombank.com/thong-tin/blog/no-xau</v>
      </c>
      <c r="AS75" s="30" t="str">
        <f>IFERROR(__xludf.DUMMYFUNCTION("""COMPUTED_VALUE"""),"vay tín chấp không trả được có sao không")</f>
        <v>vay tín chấp không trả được có sao không</v>
      </c>
      <c r="AT75" s="34" t="str">
        <f>IFERROR(__xludf.DUMMYFUNCTION("""COMPUTED_VALUE"""),"https://techcombank.com/thong-tin/blog/vay-tin-chap-va-vay-the-chap")</f>
        <v>https://techcombank.com/thong-tin/blog/vay-tin-chap-va-vay-the-chap</v>
      </c>
      <c r="AU75" s="30" t="str">
        <f>IFERROR(__xludf.DUMMYFUNCTION("""COMPUTED_VALUE"""),"vay tín chấp không trả được có sao không")</f>
        <v>vay tín chấp không trả được có sao không</v>
      </c>
      <c r="AV75" s="34" t="str">
        <f>IFERROR(__xludf.DUMMYFUNCTION("""COMPUTED_VALUE"""),"https://techcombank.com/thong-tin/blog/no-xau-la-gi")</f>
        <v>https://techcombank.com/thong-tin/blog/no-xau-la-gi</v>
      </c>
      <c r="AW75" s="30" t="str">
        <f>IFERROR(__xludf.DUMMYFUNCTION("""COMPUTED_VALUE"""),"vay tín chấp không trả được có sao không")</f>
        <v>vay tín chấp không trả được có sao không</v>
      </c>
      <c r="AX75" s="34" t="str">
        <f>IFERROR(__xludf.DUMMYFUNCTION("""COMPUTED_VALUE"""),"https://techcombank.com/thong-tin/blog/qua-han-thanh-toan-the-tin-dung-1-ngay")</f>
        <v>https://techcombank.com/thong-tin/blog/qua-han-thanh-toan-the-tin-dung-1-ngay</v>
      </c>
      <c r="AY75" s="30" t="str">
        <f>IFERROR(__xludf.DUMMYFUNCTION("""COMPUTED_VALUE"""),"vay tín chấp không trả được có sao không")</f>
        <v>vay tín chấp không trả được có sao không</v>
      </c>
      <c r="AZ75" s="34" t="str">
        <f>IFERROR(__xludf.DUMMYFUNCTION("""COMPUTED_VALUE"""),"https://techcombank.com/thong-tin/blog/no-xau-co-lam-the-visa-duoc-khong")</f>
        <v>https://techcombank.com/thong-tin/blog/no-xau-co-lam-the-visa-duoc-khong</v>
      </c>
      <c r="BA75" s="30" t="str">
        <f>IFERROR(__xludf.DUMMYFUNCTION("""COMPUTED_VALUE"""),"vay tín chấp không trả được có sao không")</f>
        <v>vay tín chấp không trả được có sao không</v>
      </c>
      <c r="BB75" s="34" t="str">
        <f>IFERROR(__xludf.DUMMYFUNCTION("""COMPUTED_VALUE"""),"https://techcombank.com/thong-tin/blog/ho-so-vay-tin-chap")</f>
        <v>https://techcombank.com/thong-tin/blog/ho-so-vay-tin-chap</v>
      </c>
      <c r="BC75" s="30" t="str">
        <f>IFERROR(__xludf.DUMMYFUNCTION("""COMPUTED_VALUE"""),"vay tín chấp không trả được có sao không")</f>
        <v>vay tín chấp không trả được có sao không</v>
      </c>
      <c r="BD75" s="34" t="str">
        <f>IFERROR(__xludf.DUMMYFUNCTION("""COMPUTED_VALUE"""),"https://techcombank.com/thong-tin/blog/thanh-toan-toi-thieu-the-tin-dung")</f>
        <v>https://techcombank.com/thong-tin/blog/thanh-toan-toi-thieu-the-tin-dung</v>
      </c>
      <c r="BE75" s="30" t="str">
        <f>IFERROR(__xludf.DUMMYFUNCTION("""COMPUTED_VALUE"""),"vay tín chấp không trả được có sao không")</f>
        <v>vay tín chấp không trả được có sao không</v>
      </c>
      <c r="BF75" s="34" t="str">
        <f>IFERROR(__xludf.DUMMYFUNCTION("""COMPUTED_VALUE"""),"https://techcombank.com/thong-tin/blog/no-nhom-3")</f>
        <v>https://techcombank.com/thong-tin/blog/no-nhom-3</v>
      </c>
      <c r="BG75" s="30" t="str">
        <f>IFERROR(__xludf.DUMMYFUNCTION("""COMPUTED_VALUE"""),"vay tín chấp không trả được có sao không")</f>
        <v>vay tín chấp không trả được có sao không</v>
      </c>
      <c r="BH75" s="34" t="str">
        <f>IFERROR(__xludf.DUMMYFUNCTION("""COMPUTED_VALUE"""),"https://techcombank.com/thong-tin/blog/vay-tin-chap-toi-da-duoc-bao-nhieu")</f>
        <v>https://techcombank.com/thong-tin/blog/vay-tin-chap-toi-da-duoc-bao-nhieu</v>
      </c>
      <c r="BI75" s="30" t="str">
        <f>IFERROR(__xludf.DUMMYFUNCTION("""COMPUTED_VALUE"""),"vay tín chấp không trả được có sao không")</f>
        <v>vay tín chấp không trả được có sao không</v>
      </c>
      <c r="BJ75" s="34" t="str">
        <f>IFERROR(__xludf.DUMMYFUNCTION("""COMPUTED_VALUE"""),"https://techcombank.com/thong-tin/blog/vay-200-trieu")</f>
        <v>https://techcombank.com/thong-tin/blog/vay-200-trieu</v>
      </c>
      <c r="BK75" s="30" t="str">
        <f>IFERROR(__xludf.DUMMYFUNCTION("""COMPUTED_VALUE"""),"vay tín chấp không trả được có sao không")</f>
        <v>vay tín chấp không trả được có sao không</v>
      </c>
      <c r="BL75" s="34" t="str">
        <f>IFERROR(__xludf.DUMMYFUNCTION("""COMPUTED_VALUE"""),"https://techcombank.com/thong-tin/blog/vay-20-trieu")</f>
        <v>https://techcombank.com/thong-tin/blog/vay-20-trieu</v>
      </c>
      <c r="BM75" s="30" t="str">
        <f>IFERROR(__xludf.DUMMYFUNCTION("""COMPUTED_VALUE"""),"vay tín chấp không trả được có sao không")</f>
        <v>vay tín chấp không trả được có sao không</v>
      </c>
      <c r="BN75" s="34" t="str">
        <f>IFERROR(__xludf.DUMMYFUNCTION("""COMPUTED_VALUE"""),"https://techcombank.com/thong-tin/blog/no-xau-mo-the-tin-dung-duoc-khong")</f>
        <v>https://techcombank.com/thong-tin/blog/no-xau-mo-the-tin-dung-duoc-khong</v>
      </c>
      <c r="BO75" s="30" t="str">
        <f>IFERROR(__xludf.DUMMYFUNCTION("""COMPUTED_VALUE"""),"vay tín chấp không trả được có sao không")</f>
        <v>vay tín chấp không trả được có sao không</v>
      </c>
      <c r="BP75" s="34" t="str">
        <f>IFERROR(__xludf.DUMMYFUNCTION("""COMPUTED_VALUE"""),"https://techcombank.com/thong-tin/blog/no-xau-co-vay-the-chap-duoc-khong")</f>
        <v>https://techcombank.com/thong-tin/blog/no-xau-co-vay-the-chap-duoc-khong</v>
      </c>
      <c r="BQ75" s="30" t="str">
        <f>IFERROR(__xludf.DUMMYFUNCTION("""COMPUTED_VALUE"""),"vay tín chấp không trả được có sao không")</f>
        <v>vay tín chấp không trả được có sao không</v>
      </c>
      <c r="BR75" s="34" t="str">
        <f>IFERROR(__xludf.DUMMYFUNCTION("""COMPUTED_VALUE"""),"https://techcombank.com/thong-tin/blog/vay-tin-chap-no-xau")</f>
        <v>https://techcombank.com/thong-tin/blog/vay-tin-chap-no-xau</v>
      </c>
      <c r="BS75" s="30" t="str">
        <f>IFERROR(__xludf.DUMMYFUNCTION("""COMPUTED_VALUE"""),"vay tín chấp không trả được có sao không")</f>
        <v>vay tín chấp không trả được có sao không</v>
      </c>
      <c r="BT75" s="34" t="str">
        <f>IFERROR(__xludf.DUMMYFUNCTION("""COMPUTED_VALUE"""),"https://techcombank.com/thong-tin/blog/cac-hinh-thuc-cho-vay-tieu-dung")</f>
        <v>https://techcombank.com/thong-tin/blog/cac-hinh-thuc-cho-vay-tieu-dung</v>
      </c>
      <c r="BU75" s="30"/>
      <c r="BV75" s="30"/>
      <c r="BW75" s="30"/>
      <c r="BX75" s="30"/>
      <c r="BY75" s="30"/>
      <c r="BZ75" s="30"/>
      <c r="CA75" s="30"/>
      <c r="CB75" s="30"/>
      <c r="CC75" s="30"/>
      <c r="CD75" s="30"/>
      <c r="CE75" s="30"/>
      <c r="CF75" s="30"/>
      <c r="CG75" s="30"/>
      <c r="CH75" s="30"/>
      <c r="CI75" s="30"/>
      <c r="CJ75" s="30"/>
      <c r="CK75" s="30"/>
      <c r="CL75" s="30"/>
      <c r="CM75" s="30"/>
      <c r="CN75" s="30"/>
      <c r="CO75" s="30"/>
      <c r="CP75" s="30"/>
      <c r="CQ75" s="30"/>
      <c r="CR75" s="30"/>
      <c r="CS75" s="30"/>
      <c r="CT75" s="30"/>
      <c r="CU75" s="30"/>
      <c r="CV75" s="30"/>
      <c r="CW75" s="30"/>
      <c r="CX75" s="30"/>
      <c r="CY75" s="30"/>
      <c r="CZ75" s="30"/>
      <c r="DA75" s="30"/>
      <c r="DB75" s="30"/>
      <c r="DC75" s="30"/>
      <c r="DD75" s="30"/>
      <c r="DE75" s="30"/>
      <c r="DF75" s="30"/>
      <c r="DG75" s="30"/>
      <c r="DH75" s="30"/>
      <c r="DI75" s="30"/>
      <c r="DJ75" s="30"/>
      <c r="DK75" s="30"/>
      <c r="DL75" s="30"/>
      <c r="DM75" s="30"/>
      <c r="DN75" s="30"/>
      <c r="DO75" s="30"/>
      <c r="DP75" s="30"/>
      <c r="DQ75" s="30"/>
      <c r="DR75" s="30"/>
      <c r="DS75" s="30"/>
      <c r="DT75" s="30"/>
      <c r="DU75" s="30"/>
      <c r="DV75" s="30"/>
      <c r="DW75" s="30"/>
      <c r="DX75" s="30"/>
      <c r="DY75" s="30"/>
      <c r="DZ75" s="30"/>
      <c r="EA75" s="30"/>
      <c r="EB75" s="30"/>
      <c r="EC75" s="30"/>
      <c r="ED75" s="30"/>
      <c r="EE75" s="30"/>
      <c r="EF75" s="30"/>
      <c r="EG75" s="30"/>
      <c r="EH75" s="30"/>
      <c r="EI75" s="30"/>
      <c r="EJ75" s="30"/>
      <c r="EK75" s="30"/>
      <c r="EL75" s="30"/>
      <c r="EM75" s="30"/>
      <c r="EN75" s="30"/>
      <c r="EO75" s="30"/>
      <c r="EP75" s="30"/>
      <c r="EQ75" s="30"/>
      <c r="ER75" s="30"/>
      <c r="ES75" s="30"/>
      <c r="ET75" s="30"/>
      <c r="EU75" s="30"/>
      <c r="EV75" s="30"/>
      <c r="EW75" s="30"/>
      <c r="EX75" s="30"/>
      <c r="EY75" s="30"/>
      <c r="EZ75" s="30"/>
      <c r="FA75" s="30"/>
      <c r="FB75" s="30"/>
      <c r="FC75" s="30"/>
      <c r="FD75" s="30"/>
      <c r="FE75" s="30"/>
      <c r="FF75" s="30"/>
      <c r="FG75" s="30"/>
      <c r="FH75" s="30"/>
      <c r="FI75" s="30"/>
      <c r="FJ75" s="30"/>
      <c r="FK75" s="30"/>
      <c r="FL75" s="30"/>
      <c r="FM75" s="30"/>
      <c r="FN75" s="30"/>
      <c r="FO75" s="30"/>
      <c r="FP75" s="30"/>
      <c r="FQ75" s="30"/>
      <c r="FR75" s="30"/>
      <c r="FS75" s="30"/>
      <c r="FT75" s="30"/>
      <c r="FU75" s="30"/>
      <c r="FV75" s="30"/>
      <c r="FW75" s="30"/>
      <c r="FX75" s="30"/>
      <c r="FY75" s="30"/>
      <c r="FZ75" s="30"/>
      <c r="GA75" s="30"/>
      <c r="GB75" s="30"/>
      <c r="GC75" s="30"/>
      <c r="GD75" s="30"/>
      <c r="GE75" s="30"/>
      <c r="GF75" s="30"/>
      <c r="GG75" s="30"/>
      <c r="GH75" s="30"/>
      <c r="GI75" s="30"/>
      <c r="GJ75" s="30"/>
      <c r="GK75" s="30"/>
      <c r="GL75" s="30"/>
      <c r="GM75" s="30"/>
      <c r="GN75" s="30"/>
      <c r="GO75" s="30"/>
      <c r="GP75" s="30"/>
      <c r="GQ75" s="30"/>
      <c r="GR75" s="30"/>
      <c r="GS75" s="30"/>
      <c r="GT75" s="30"/>
      <c r="GU75" s="30"/>
      <c r="GV75" s="30"/>
      <c r="GW75" s="30"/>
      <c r="GX75" s="30"/>
      <c r="GY75" s="30"/>
      <c r="GZ75" s="30"/>
      <c r="HA75" s="30"/>
      <c r="HB75" s="30"/>
      <c r="HC75" s="30"/>
      <c r="HD75" s="30"/>
      <c r="HE75" s="30"/>
      <c r="HF75" s="30"/>
      <c r="HG75" s="30"/>
      <c r="HH75" s="30"/>
      <c r="HI75" s="30"/>
      <c r="HJ75" s="30"/>
      <c r="HK75" s="30"/>
      <c r="HL75" s="30"/>
      <c r="HM75" s="30"/>
      <c r="HN75" s="30"/>
      <c r="HO75" s="30"/>
      <c r="HP75" s="30"/>
      <c r="HQ75" s="30"/>
      <c r="HR75" s="30"/>
      <c r="HS75" s="30"/>
      <c r="HT75" s="30"/>
      <c r="HU75" s="30"/>
      <c r="HV75" s="30"/>
      <c r="HW75" s="30"/>
      <c r="HX75" s="30"/>
      <c r="HY75" s="30"/>
      <c r="HZ75" s="30"/>
      <c r="IA75" s="30"/>
      <c r="IB75" s="30"/>
      <c r="IC75" s="30"/>
      <c r="ID75" s="30"/>
      <c r="IE75" s="30"/>
      <c r="IF75" s="30"/>
      <c r="IG75" s="30"/>
      <c r="IH75" s="30"/>
      <c r="II75" s="30"/>
      <c r="IJ75" s="30"/>
      <c r="IK75" s="30"/>
      <c r="IL75" s="30"/>
      <c r="IM75" s="30"/>
      <c r="IN75" s="30"/>
      <c r="IO75" s="30"/>
      <c r="IP75" s="30"/>
      <c r="IQ75" s="30"/>
      <c r="IR75" s="30"/>
      <c r="IS75" s="30"/>
      <c r="IT75" s="30"/>
      <c r="IU75" s="30"/>
      <c r="IV75" s="30"/>
      <c r="IW75" s="30"/>
      <c r="IX75" s="30"/>
      <c r="IY75" s="30"/>
      <c r="IZ75" s="30"/>
      <c r="JA75" s="30"/>
      <c r="JB75" s="30"/>
      <c r="JC75" s="30"/>
      <c r="JD75" s="30"/>
      <c r="JE75" s="30"/>
      <c r="JF75" s="30"/>
      <c r="JG75" s="30"/>
      <c r="JH75" s="30"/>
      <c r="JI75" s="30"/>
      <c r="JJ75" s="30"/>
      <c r="JK75" s="30"/>
      <c r="JL75" s="30"/>
      <c r="JM75" s="30"/>
      <c r="JN75" s="30"/>
      <c r="JO75" s="30"/>
      <c r="JP75" s="30"/>
      <c r="JQ75" s="30"/>
      <c r="JR75" s="30"/>
      <c r="JS75" s="30"/>
      <c r="JT75" s="30"/>
      <c r="JU75" s="30"/>
      <c r="JV75" s="30"/>
      <c r="JW75" s="30"/>
      <c r="JX75" s="30"/>
      <c r="JY75" s="30"/>
      <c r="JZ75" s="30"/>
      <c r="KA75" s="30"/>
      <c r="KB75" s="30"/>
      <c r="KC75" s="30"/>
      <c r="KD75" s="30"/>
      <c r="KE75" s="30"/>
      <c r="KF75" s="30"/>
      <c r="KG75" s="30"/>
      <c r="KH75" s="30"/>
      <c r="KI75" s="30"/>
      <c r="KJ75" s="30"/>
      <c r="KK75" s="30"/>
      <c r="KL75" s="30"/>
      <c r="KM75" s="30"/>
      <c r="KN75" s="30"/>
      <c r="KO75" s="30"/>
      <c r="KP75" s="30"/>
      <c r="KQ75" s="30"/>
      <c r="KR75" s="30"/>
      <c r="KS75" s="30"/>
      <c r="KT75" s="30"/>
      <c r="KU75" s="30"/>
      <c r="KV75" s="30"/>
      <c r="KW75" s="30"/>
      <c r="KX75" s="30"/>
      <c r="KY75" s="30"/>
      <c r="KZ75" s="30"/>
      <c r="LA75" s="30"/>
      <c r="LB75" s="30"/>
      <c r="LC75" s="30"/>
      <c r="LD75" s="30"/>
      <c r="LE75" s="30"/>
      <c r="LF75" s="30"/>
      <c r="LG75" s="30"/>
      <c r="LH75" s="30"/>
      <c r="LI75" s="30"/>
      <c r="LJ75" s="30"/>
      <c r="LK75" s="30"/>
      <c r="LL75" s="30"/>
      <c r="LM75" s="30"/>
      <c r="LN75" s="30"/>
      <c r="LO75" s="30"/>
      <c r="LP75" s="30"/>
      <c r="LQ75" s="30"/>
      <c r="LR75" s="30"/>
      <c r="LS75" s="30"/>
      <c r="LT75" s="30"/>
      <c r="LU75" s="30"/>
      <c r="LV75" s="30"/>
      <c r="LW75" s="30"/>
      <c r="LX75" s="30"/>
      <c r="LY75" s="30"/>
      <c r="LZ75" s="30"/>
      <c r="MA75" s="30"/>
      <c r="MB75" s="30"/>
      <c r="MC75" s="30"/>
      <c r="MD75" s="30"/>
      <c r="ME75" s="30"/>
      <c r="MF75" s="30"/>
      <c r="MG75" s="30"/>
      <c r="MH75" s="30"/>
      <c r="MI75" s="30"/>
      <c r="MJ75" s="30"/>
      <c r="MK75" s="30"/>
      <c r="ML75" s="30"/>
      <c r="MM75" s="30"/>
      <c r="MN75" s="30"/>
      <c r="MO75" s="30"/>
      <c r="MP75" s="30"/>
      <c r="MQ75" s="30"/>
      <c r="MR75" s="30"/>
      <c r="MS75" s="30"/>
      <c r="MT75" s="30"/>
      <c r="MU75" s="30"/>
      <c r="MV75" s="30"/>
      <c r="MW75" s="30"/>
      <c r="MX75" s="30"/>
      <c r="MY75" s="30"/>
      <c r="MZ75" s="30"/>
      <c r="NA75" s="30"/>
      <c r="NB75" s="30"/>
      <c r="NC75" s="30"/>
      <c r="ND75" s="30"/>
      <c r="NE75" s="30"/>
      <c r="NF75" s="30"/>
      <c r="NG75" s="30"/>
      <c r="NH75" s="30"/>
      <c r="NI75" s="30"/>
      <c r="NJ75" s="30"/>
      <c r="NK75" s="30"/>
      <c r="NL75" s="30"/>
      <c r="NM75" s="30"/>
      <c r="NN75" s="30"/>
      <c r="NO75" s="30"/>
      <c r="NP75" s="30"/>
      <c r="NQ75" s="30"/>
      <c r="NR75" s="30"/>
      <c r="NS75" s="30"/>
      <c r="NT75" s="30"/>
      <c r="NU75" s="30"/>
      <c r="NV75" s="30"/>
      <c r="NW75" s="30"/>
      <c r="NX75" s="30"/>
      <c r="NY75" s="30"/>
      <c r="NZ75" s="30"/>
      <c r="OA75" s="30"/>
      <c r="OB75" s="30"/>
      <c r="OC75" s="30"/>
      <c r="OD75" s="30"/>
      <c r="OE75" s="30"/>
      <c r="OF75" s="30"/>
      <c r="OG75" s="30"/>
      <c r="OH75" s="30"/>
      <c r="OI75" s="30"/>
      <c r="OJ75" s="30"/>
      <c r="OK75" s="30"/>
      <c r="OL75" s="30"/>
      <c r="OM75" s="30"/>
      <c r="ON75" s="30"/>
      <c r="OO75" s="30"/>
      <c r="OP75" s="30"/>
      <c r="OQ75" s="30"/>
      <c r="OR75" s="30"/>
      <c r="OS75" s="30"/>
      <c r="OT75" s="30"/>
      <c r="OU75" s="30"/>
      <c r="OV75" s="30"/>
    </row>
    <row r="76" ht="18.0" customHeight="1">
      <c r="A76" s="29">
        <v>75.0</v>
      </c>
      <c r="B76" s="30" t="s">
        <v>6296</v>
      </c>
      <c r="C76" s="31" t="s">
        <v>6140</v>
      </c>
      <c r="D76" s="30" t="s">
        <v>5315</v>
      </c>
      <c r="E76" s="29">
        <v>30.0</v>
      </c>
      <c r="F76" s="29">
        <f>COUNTIF('Tổng hợp 75 trang đích'!$B$2:$B$3400,$D76)</f>
        <v>30</v>
      </c>
      <c r="G76" s="29">
        <f>COUNTIFS('Tổng hợp 75 trang đích'!$B$2:$B$3400,$D76,'Tổng hợp 75 trang đích'!$K$2:$K$3400,"PHÙ HỢP CAO")</f>
        <v>4</v>
      </c>
      <c r="H76" s="29">
        <f>COUNTIFS('Tổng hợp 75 trang đích'!$B$2:$B$3400,$D76,'Tổng hợp 75 trang đích'!$K$2:$K$3400,"CÓ THỂ ĐI")</f>
        <v>0</v>
      </c>
      <c r="I76" s="29">
        <f>COUNTIFS('Tổng hợp 75 trang đích'!$B$2:$B$3400,$D76,'Tổng hợp 75 trang đích'!$K$2:$K$3400,"CẦN SOÁT")</f>
        <v>26</v>
      </c>
      <c r="J76" s="32" t="s">
        <v>714</v>
      </c>
      <c r="K76" s="32" t="b">
        <v>0</v>
      </c>
      <c r="L76" s="33" t="s">
        <v>52</v>
      </c>
      <c r="M76" s="30" t="str">
        <f>IFERROR(__xludf.DUMMYFUNCTION("IFERROR(TOROW(CHOOSECOLS(SORT(FILTER({'Tổng hợp 75 trang đích'!$J$2:$J$3400,'Tổng hợp 75 trang đích'!$I$2:$I$3400,MATCH('Tổng hợp 75 trang đích'!$K$2:$K$3400,{""PHÙ HỢP CAO"",""CÓ THỂ ĐI"",""CẦN SOÁT""},0)},'Tổng hợp 75 trang đích'!$B$2:$B$3400=$D76),3,TR"&amp;"UE),1,2)),"""")"),"cách đầu tư chứng chỉ quỹ")</f>
        <v>cách đầu tư chứng chỉ quỹ</v>
      </c>
      <c r="N76" s="34" t="str">
        <f>IFERROR(__xludf.DUMMYFUNCTION("""COMPUTED_VALUE"""),"https://techcombank.com/thong-tin/blog/chung-chi-quy")</f>
        <v>https://techcombank.com/thong-tin/blog/chung-chi-quy</v>
      </c>
      <c r="O76" s="30" t="str">
        <f>IFERROR(__xludf.DUMMYFUNCTION("""COMPUTED_VALUE"""),"cách đầu tư chứng chỉ quỹ")</f>
        <v>cách đầu tư chứng chỉ quỹ</v>
      </c>
      <c r="P76" s="34" t="str">
        <f>IFERROR(__xludf.DUMMYFUNCTION("""COMPUTED_VALUE"""),"https://techcombank.com/thong-tin/blog/mua-chung-chi-quy")</f>
        <v>https://techcombank.com/thong-tin/blog/mua-chung-chi-quy</v>
      </c>
      <c r="Q76" s="30" t="str">
        <f>IFERROR(__xludf.DUMMYFUNCTION("""COMPUTED_VALUE"""),"cách đầu tư chứng chỉ quỹ")</f>
        <v>cách đầu tư chứng chỉ quỹ</v>
      </c>
      <c r="R76" s="34" t="str">
        <f>IFERROR(__xludf.DUMMYFUNCTION("""COMPUTED_VALUE"""),"https://techcombank.com/thong-tin/blog/app-theo-doi-chung-chi-quy")</f>
        <v>https://techcombank.com/thong-tin/blog/app-theo-doi-chung-chi-quy</v>
      </c>
      <c r="S76" s="30" t="str">
        <f>IFERROR(__xludf.DUMMYFUNCTION("""COMPUTED_VALUE"""),"đầu tư chứng chỉ quỹ cho người mới")</f>
        <v>đầu tư chứng chỉ quỹ cho người mới</v>
      </c>
      <c r="T76" s="34" t="str">
        <f>IFERROR(__xludf.DUMMYFUNCTION("""COMPUTED_VALUE"""),"https://techcombank.com/thong-tin/blog/chung-chi-quy-va-co-phieu")</f>
        <v>https://techcombank.com/thong-tin/blog/chung-chi-quy-va-co-phieu</v>
      </c>
      <c r="U76" s="30" t="str">
        <f>IFERROR(__xludf.DUMMYFUNCTION("""COMPUTED_VALUE"""),"đầu tư chứng chỉ quỹ cho người mới")</f>
        <v>đầu tư chứng chỉ quỹ cho người mới</v>
      </c>
      <c r="V76" s="34" t="str">
        <f>IFERROR(__xludf.DUMMYFUNCTION("""COMPUTED_VALUE"""),"https://techcombank.com/thong-tin/blog/danh-muc-dau-tu")</f>
        <v>https://techcombank.com/thong-tin/blog/danh-muc-dau-tu</v>
      </c>
      <c r="W76" s="30" t="str">
        <f>IFERROR(__xludf.DUMMYFUNCTION("""COMPUTED_VALUE"""),"đầu tư chứng chỉ quỹ cho người mới")</f>
        <v>đầu tư chứng chỉ quỹ cho người mới</v>
      </c>
      <c r="X76" s="34" t="str">
        <f>IFERROR(__xludf.DUMMYFUNCTION("""COMPUTED_VALUE"""),"https://techcombank.com/thong-tin/blog/dau-co-va-dau-tu")</f>
        <v>https://techcombank.com/thong-tin/blog/dau-co-va-dau-tu</v>
      </c>
      <c r="Y76" s="30" t="str">
        <f>IFERROR(__xludf.DUMMYFUNCTION("""COMPUTED_VALUE"""),"cách đầu tư chứng chỉ quỹ")</f>
        <v>cách đầu tư chứng chỉ quỹ</v>
      </c>
      <c r="Z76" s="34" t="str">
        <f>IFERROR(__xludf.DUMMYFUNCTION("""COMPUTED_VALUE"""),"https://techcombank.com/thong-tin/blog/thi-truong-trai-phieu-co-hoi-dau-tu-trai-phieu-vang-du-lai-suat-thap")</f>
        <v>https://techcombank.com/thong-tin/blog/thi-truong-trai-phieu-co-hoi-dau-tu-trai-phieu-vang-du-lai-suat-thap</v>
      </c>
      <c r="AA76" s="30" t="str">
        <f>IFERROR(__xludf.DUMMYFUNCTION("""COMPUTED_VALUE"""),"cách đầu tư chứng chỉ quỹ")</f>
        <v>cách đầu tư chứng chỉ quỹ</v>
      </c>
      <c r="AB76" s="34" t="str">
        <f>IFERROR(__xludf.DUMMYFUNCTION("""COMPUTED_VALUE"""),"https://techcombank.com/thong-tin/blog/gui-tiet-kiem-vang")</f>
        <v>https://techcombank.com/thong-tin/blog/gui-tiet-kiem-vang</v>
      </c>
      <c r="AC76" s="30" t="str">
        <f>IFERROR(__xludf.DUMMYFUNCTION("""COMPUTED_VALUE"""),"cách đầu tư chứng chỉ quỹ")</f>
        <v>cách đầu tư chứng chỉ quỹ</v>
      </c>
      <c r="AD76" s="34" t="str">
        <f>IFERROR(__xludf.DUMMYFUNCTION("""COMPUTED_VALUE"""),"https://techcombank.com/thong-tin/blog/bang-gia-chung-chi-quy")</f>
        <v>https://techcombank.com/thong-tin/blog/bang-gia-chung-chi-quy</v>
      </c>
      <c r="AE76" s="30" t="str">
        <f>IFERROR(__xludf.DUMMYFUNCTION("""COMPUTED_VALUE"""),"cách đầu tư chứng chỉ quỹ")</f>
        <v>cách đầu tư chứng chỉ quỹ</v>
      </c>
      <c r="AF76" s="34" t="str">
        <f>IFERROR(__xludf.DUMMYFUNCTION("""COMPUTED_VALUE"""),"https://techcombank.com/thong-tin/blog/cach-dau-tu")</f>
        <v>https://techcombank.com/thong-tin/blog/cach-dau-tu</v>
      </c>
      <c r="AG76" s="30" t="str">
        <f>IFERROR(__xludf.DUMMYFUNCTION("""COMPUTED_VALUE"""),"đầu tư chứng chỉ quỹ cho người mới")</f>
        <v>đầu tư chứng chỉ quỹ cho người mới</v>
      </c>
      <c r="AH76" s="34" t="str">
        <f>IFERROR(__xludf.DUMMYFUNCTION("""COMPUTED_VALUE"""),"https://techcombank.com/thong-tin/blog/dau-tu-tai-chinh-ca-nhan")</f>
        <v>https://techcombank.com/thong-tin/blog/dau-tu-tai-chinh-ca-nhan</v>
      </c>
      <c r="AI76" s="30" t="str">
        <f>IFERROR(__xludf.DUMMYFUNCTION("""COMPUTED_VALUE"""),"đầu tư chứng chỉ quỹ cho người mới")</f>
        <v>đầu tư chứng chỉ quỹ cho người mới</v>
      </c>
      <c r="AJ76" s="34" t="str">
        <f>IFERROR(__xludf.DUMMYFUNCTION("""COMPUTED_VALUE"""),"https://techcombank.com/thong-tin/blog/dau-tu-dai-han")</f>
        <v>https://techcombank.com/thong-tin/blog/dau-tu-dai-han</v>
      </c>
      <c r="AK76" s="30" t="str">
        <f>IFERROR(__xludf.DUMMYFUNCTION("""COMPUTED_VALUE"""),"phương pháp đầu tư chứng chỉ quỹ")</f>
        <v>phương pháp đầu tư chứng chỉ quỹ</v>
      </c>
      <c r="AL76" s="34" t="str">
        <f>IFERROR(__xludf.DUMMYFUNCTION("""COMPUTED_VALUE"""),"https://techcombank.com/thong-tin/blog/vi-du-ve-ca-nhan-hoa")</f>
        <v>https://techcombank.com/thong-tin/blog/vi-du-ve-ca-nhan-hoa</v>
      </c>
      <c r="AM76" s="30" t="str">
        <f>IFERROR(__xludf.DUMMYFUNCTION("""COMPUTED_VALUE"""),"phương pháp đầu tư chứng chỉ quỹ")</f>
        <v>phương pháp đầu tư chứng chỉ quỹ</v>
      </c>
      <c r="AN76" s="34" t="str">
        <f>IFERROR(__xludf.DUMMYFUNCTION("""COMPUTED_VALUE"""),"https://techcombank.com/thong-tin/blog/tien-nhan-roi-nen-lam-gi")</f>
        <v>https://techcombank.com/thong-tin/blog/tien-nhan-roi-nen-lam-gi</v>
      </c>
      <c r="AO76" s="30" t="str">
        <f>IFERROR(__xludf.DUMMYFUNCTION("""COMPUTED_VALUE"""),"phương pháp đầu tư chứng chỉ quỹ")</f>
        <v>phương pháp đầu tư chứng chỉ quỹ</v>
      </c>
      <c r="AP76" s="34" t="str">
        <f>IFERROR(__xludf.DUMMYFUNCTION("""COMPUTED_VALUE"""),"https://techcombank.com/thong-tin/blog/dinh-cu-chau-au")</f>
        <v>https://techcombank.com/thong-tin/blog/dinh-cu-chau-au</v>
      </c>
      <c r="AQ76" s="30" t="str">
        <f>IFERROR(__xludf.DUMMYFUNCTION("""COMPUTED_VALUE"""),"đầu tư chứng chỉ quỹ cho người mới")</f>
        <v>đầu tư chứng chỉ quỹ cho người mới</v>
      </c>
      <c r="AR76" s="34" t="str">
        <f>IFERROR(__xludf.DUMMYFUNCTION("""COMPUTED_VALUE"""),"https://techcombank.com/thong-tin/blog/lai-suat-vay-ngan-hang")</f>
        <v>https://techcombank.com/thong-tin/blog/lai-suat-vay-ngan-hang</v>
      </c>
      <c r="AS76" s="30" t="str">
        <f>IFERROR(__xludf.DUMMYFUNCTION("""COMPUTED_VALUE"""),"phương pháp đầu tư chứng chỉ quỹ")</f>
        <v>phương pháp đầu tư chứng chỉ quỹ</v>
      </c>
      <c r="AT76" s="34" t="str">
        <f>IFERROR(__xludf.DUMMYFUNCTION("""COMPUTED_VALUE"""),"https://techcombank.com/thong-tin/blog/dau-tu-ngan-han")</f>
        <v>https://techcombank.com/thong-tin/blog/dau-tu-ngan-han</v>
      </c>
      <c r="AU76" s="30" t="str">
        <f>IFERROR(__xludf.DUMMYFUNCTION("""COMPUTED_VALUE"""),"phương pháp đầu tư chứng chỉ quỹ")</f>
        <v>phương pháp đầu tư chứng chỉ quỹ</v>
      </c>
      <c r="AV76" s="34" t="str">
        <f>IFERROR(__xludf.DUMMYFUNCTION("""COMPUTED_VALUE"""),"https://techcombank.com/thong-tin/blog/chien-luoc-dau-tu")</f>
        <v>https://techcombank.com/thong-tin/blog/chien-luoc-dau-tu</v>
      </c>
      <c r="AW76" s="30" t="str">
        <f>IFERROR(__xludf.DUMMYFUNCTION("""COMPUTED_VALUE"""),"phương pháp đầu tư chứng chỉ quỹ")</f>
        <v>phương pháp đầu tư chứng chỉ quỹ</v>
      </c>
      <c r="AX76" s="34" t="str">
        <f>IFERROR(__xludf.DUMMYFUNCTION("""COMPUTED_VALUE"""),"https://techcombank.com/thong-tin/blog/app-gui-tien-tiet-kiem")</f>
        <v>https://techcombank.com/thong-tin/blog/app-gui-tien-tiet-kiem</v>
      </c>
      <c r="AY76" s="30" t="str">
        <f>IFERROR(__xludf.DUMMYFUNCTION("""COMPUTED_VALUE"""),"cách đầu tư chứng chỉ quỹ")</f>
        <v>cách đầu tư chứng chỉ quỹ</v>
      </c>
      <c r="AZ76" s="34" t="str">
        <f>IFERROR(__xludf.DUMMYFUNCTION("""COMPUTED_VALUE"""),"https://techcombank.com/thong-tin/blog/thoi-gian-khop-lech-chung-chi-quy")</f>
        <v>https://techcombank.com/thong-tin/blog/thoi-gian-khop-lech-chung-chi-quy</v>
      </c>
      <c r="BA76" s="30" t="str">
        <f>IFERROR(__xludf.DUMMYFUNCTION("""COMPUTED_VALUE"""),"phương pháp đầu tư chứng chỉ quỹ")</f>
        <v>phương pháp đầu tư chứng chỉ quỹ</v>
      </c>
      <c r="BB76" s="34" t="str">
        <f>IFERROR(__xludf.DUMMYFUNCTION("""COMPUTED_VALUE"""),"https://techcombank.com/thong-tin/blog/cac-chung-chi-quy-o-viet-nam")</f>
        <v>https://techcombank.com/thong-tin/blog/cac-chung-chi-quy-o-viet-nam</v>
      </c>
      <c r="BC76" s="30" t="str">
        <f>IFERROR(__xludf.DUMMYFUNCTION("""COMPUTED_VALUE"""),"phương pháp đầu tư chứng chỉ quỹ")</f>
        <v>phương pháp đầu tư chứng chỉ quỹ</v>
      </c>
      <c r="BD76" s="34" t="str">
        <f>IFERROR(__xludf.DUMMYFUNCTION("""COMPUTED_VALUE"""),"https://techcombank.com/thong-tin/blog/cam-nang-dinh-cu-my")</f>
        <v>https://techcombank.com/thong-tin/blog/cam-nang-dinh-cu-my</v>
      </c>
      <c r="BE76" s="30" t="str">
        <f>IFERROR(__xludf.DUMMYFUNCTION("""COMPUTED_VALUE"""),"cách đầu tư chứng chỉ quỹ")</f>
        <v>cách đầu tư chứng chỉ quỹ</v>
      </c>
      <c r="BF76" s="34" t="str">
        <f>IFERROR(__xludf.DUMMYFUNCTION("""COMPUTED_VALUE"""),"https://techcombank.com/thong-tin/blog/gia-chung-chi-quy-la-gi")</f>
        <v>https://techcombank.com/thong-tin/blog/gia-chung-chi-quy-la-gi</v>
      </c>
      <c r="BG76" s="30" t="str">
        <f>IFERROR(__xludf.DUMMYFUNCTION("""COMPUTED_VALUE"""),"cách đầu tư chứng chỉ quỹ")</f>
        <v>cách đầu tư chứng chỉ quỹ</v>
      </c>
      <c r="BH76" s="34" t="str">
        <f>IFERROR(__xludf.DUMMYFUNCTION("""COMPUTED_VALUE"""),"https://techcombank.com/thong-tin/blog/lap-ke-hoach-tai-chinh-ca-nhan")</f>
        <v>https://techcombank.com/thong-tin/blog/lap-ke-hoach-tai-chinh-ca-nhan</v>
      </c>
      <c r="BI76" s="30" t="str">
        <f>IFERROR(__xludf.DUMMYFUNCTION("""COMPUTED_VALUE"""),"đầu tư chứng chỉ quỹ cho người mới")</f>
        <v>đầu tư chứng chỉ quỹ cho người mới</v>
      </c>
      <c r="BJ76" s="34" t="str">
        <f>IFERROR(__xludf.DUMMYFUNCTION("""COMPUTED_VALUE"""),"https://techcombank.com/thong-tin/blog/chung-chi-quy-va-chung-khoan")</f>
        <v>https://techcombank.com/thong-tin/blog/chung-chi-quy-va-chung-khoan</v>
      </c>
      <c r="BK76" s="30" t="str">
        <f>IFERROR(__xludf.DUMMYFUNCTION("""COMPUTED_VALUE"""),"cách đầu tư chứng chỉ quỹ")</f>
        <v>cách đầu tư chứng chỉ quỹ</v>
      </c>
      <c r="BL76" s="34" t="str">
        <f>IFERROR(__xludf.DUMMYFUNCTION("""COMPUTED_VALUE"""),"https://techcombank.com/thong-tin/blog/lai-suat-chung-chi-quy")</f>
        <v>https://techcombank.com/thong-tin/blog/lai-suat-chung-chi-quy</v>
      </c>
      <c r="BM76" s="30" t="str">
        <f>IFERROR(__xludf.DUMMYFUNCTION("""COMPUTED_VALUE"""),"cách đầu tư chứng chỉ quỹ")</f>
        <v>cách đầu tư chứng chỉ quỹ</v>
      </c>
      <c r="BN76" s="34" t="str">
        <f>IFERROR(__xludf.DUMMYFUNCTION("""COMPUTED_VALUE"""),"https://techcombank.com/thong-tin/blog/6-chiec-lo-tai-chinh-ca-nhan")</f>
        <v>https://techcombank.com/thong-tin/blog/6-chiec-lo-tai-chinh-ca-nhan</v>
      </c>
      <c r="BO76" s="30" t="str">
        <f>IFERROR(__xludf.DUMMYFUNCTION("""COMPUTED_VALUE"""),"phương pháp đầu tư chứng chỉ quỹ")</f>
        <v>phương pháp đầu tư chứng chỉ quỹ</v>
      </c>
      <c r="BP76" s="34" t="str">
        <f>IFERROR(__xludf.DUMMYFUNCTION("""COMPUTED_VALUE"""),"https://techcombank.com/thong-tin/blog/co-nen-gui-chung-chi-tien-gui")</f>
        <v>https://techcombank.com/thong-tin/blog/co-nen-gui-chung-chi-tien-gui</v>
      </c>
      <c r="BQ76" s="30" t="str">
        <f>IFERROR(__xludf.DUMMYFUNCTION("""COMPUTED_VALUE"""),"cách đầu tư chứng chỉ quỹ")</f>
        <v>cách đầu tư chứng chỉ quỹ</v>
      </c>
      <c r="BR76" s="34" t="str">
        <f>IFERROR(__xludf.DUMMYFUNCTION("""COMPUTED_VALUE"""),"https://techcombank.com/thong-tin/blog/phan-bo-tai-san")</f>
        <v>https://techcombank.com/thong-tin/blog/phan-bo-tai-san</v>
      </c>
      <c r="BS76" s="30" t="str">
        <f>IFERROR(__xludf.DUMMYFUNCTION("""COMPUTED_VALUE"""),"cách đầu tư chứng chỉ quỹ")</f>
        <v>cách đầu tư chứng chỉ quỹ</v>
      </c>
      <c r="BT76" s="34" t="str">
        <f>IFERROR(__xludf.DUMMYFUNCTION("""COMPUTED_VALUE"""),"https://techcombank.com/thong-tin/blog/phan-mem-lap-ke-hoach-tai-chinh-ca-nhan")</f>
        <v>https://techcombank.com/thong-tin/blog/phan-mem-lap-ke-hoach-tai-chinh-ca-nhan</v>
      </c>
      <c r="BU76" s="30"/>
      <c r="BV76" s="30"/>
      <c r="BW76" s="30"/>
      <c r="BX76" s="30"/>
      <c r="BY76" s="30"/>
      <c r="BZ76" s="30"/>
      <c r="CA76" s="30"/>
      <c r="CB76" s="30"/>
      <c r="CC76" s="30"/>
      <c r="CD76" s="30"/>
      <c r="CE76" s="30"/>
      <c r="CF76" s="30"/>
      <c r="CG76" s="30"/>
      <c r="CH76" s="30"/>
      <c r="CI76" s="30"/>
      <c r="CJ76" s="30"/>
      <c r="CK76" s="30"/>
      <c r="CL76" s="30"/>
      <c r="CM76" s="30"/>
      <c r="CN76" s="30"/>
      <c r="CO76" s="30"/>
      <c r="CP76" s="30"/>
      <c r="CQ76" s="30"/>
      <c r="CR76" s="30"/>
      <c r="CS76" s="30"/>
      <c r="CT76" s="30"/>
      <c r="CU76" s="30"/>
      <c r="CV76" s="30"/>
      <c r="CW76" s="30"/>
      <c r="CX76" s="30"/>
      <c r="CY76" s="30"/>
      <c r="CZ76" s="30"/>
      <c r="DA76" s="30"/>
      <c r="DB76" s="30"/>
      <c r="DC76" s="30"/>
      <c r="DD76" s="30"/>
      <c r="DE76" s="30"/>
      <c r="DF76" s="30"/>
      <c r="DG76" s="30"/>
      <c r="DH76" s="30"/>
      <c r="DI76" s="30"/>
      <c r="DJ76" s="30"/>
      <c r="DK76" s="30"/>
      <c r="DL76" s="30"/>
      <c r="DM76" s="30"/>
      <c r="DN76" s="30"/>
      <c r="DO76" s="30"/>
      <c r="DP76" s="30"/>
      <c r="DQ76" s="30"/>
      <c r="DR76" s="30"/>
      <c r="DS76" s="30"/>
      <c r="DT76" s="30"/>
      <c r="DU76" s="30"/>
      <c r="DV76" s="30"/>
      <c r="DW76" s="30"/>
      <c r="DX76" s="30"/>
      <c r="DY76" s="30"/>
      <c r="DZ76" s="30"/>
      <c r="EA76" s="30"/>
      <c r="EB76" s="30"/>
      <c r="EC76" s="30"/>
      <c r="ED76" s="30"/>
      <c r="EE76" s="30"/>
      <c r="EF76" s="30"/>
      <c r="EG76" s="30"/>
      <c r="EH76" s="30"/>
      <c r="EI76" s="30"/>
      <c r="EJ76" s="30"/>
      <c r="EK76" s="30"/>
      <c r="EL76" s="30"/>
      <c r="EM76" s="30"/>
      <c r="EN76" s="30"/>
      <c r="EO76" s="30"/>
      <c r="EP76" s="30"/>
      <c r="EQ76" s="30"/>
      <c r="ER76" s="30"/>
      <c r="ES76" s="30"/>
      <c r="ET76" s="30"/>
      <c r="EU76" s="30"/>
      <c r="EV76" s="30"/>
      <c r="EW76" s="30"/>
      <c r="EX76" s="30"/>
      <c r="EY76" s="30"/>
      <c r="EZ76" s="30"/>
      <c r="FA76" s="30"/>
      <c r="FB76" s="30"/>
      <c r="FC76" s="30"/>
      <c r="FD76" s="30"/>
      <c r="FE76" s="30"/>
      <c r="FF76" s="30"/>
      <c r="FG76" s="30"/>
      <c r="FH76" s="30"/>
      <c r="FI76" s="30"/>
      <c r="FJ76" s="30"/>
      <c r="FK76" s="30"/>
      <c r="FL76" s="30"/>
      <c r="FM76" s="30"/>
      <c r="FN76" s="30"/>
      <c r="FO76" s="30"/>
      <c r="FP76" s="30"/>
      <c r="FQ76" s="30"/>
      <c r="FR76" s="30"/>
      <c r="FS76" s="30"/>
      <c r="FT76" s="30"/>
      <c r="FU76" s="30"/>
      <c r="FV76" s="30"/>
      <c r="FW76" s="30"/>
      <c r="FX76" s="30"/>
      <c r="FY76" s="30"/>
      <c r="FZ76" s="30"/>
      <c r="GA76" s="30"/>
      <c r="GB76" s="30"/>
      <c r="GC76" s="30"/>
      <c r="GD76" s="30"/>
      <c r="GE76" s="30"/>
      <c r="GF76" s="30"/>
      <c r="GG76" s="30"/>
      <c r="GH76" s="30"/>
      <c r="GI76" s="30"/>
      <c r="GJ76" s="30"/>
      <c r="GK76" s="30"/>
      <c r="GL76" s="30"/>
      <c r="GM76" s="30"/>
      <c r="GN76" s="30"/>
      <c r="GO76" s="30"/>
      <c r="GP76" s="30"/>
      <c r="GQ76" s="30"/>
      <c r="GR76" s="30"/>
      <c r="GS76" s="30"/>
      <c r="GT76" s="30"/>
      <c r="GU76" s="30"/>
      <c r="GV76" s="30"/>
      <c r="GW76" s="30"/>
      <c r="GX76" s="30"/>
      <c r="GY76" s="30"/>
      <c r="GZ76" s="30"/>
      <c r="HA76" s="30"/>
      <c r="HB76" s="30"/>
      <c r="HC76" s="30"/>
      <c r="HD76" s="30"/>
      <c r="HE76" s="30"/>
      <c r="HF76" s="30"/>
      <c r="HG76" s="30"/>
      <c r="HH76" s="30"/>
      <c r="HI76" s="30"/>
      <c r="HJ76" s="30"/>
      <c r="HK76" s="30"/>
      <c r="HL76" s="30"/>
      <c r="HM76" s="30"/>
      <c r="HN76" s="30"/>
      <c r="HO76" s="30"/>
      <c r="HP76" s="30"/>
      <c r="HQ76" s="30"/>
      <c r="HR76" s="30"/>
      <c r="HS76" s="30"/>
      <c r="HT76" s="30"/>
      <c r="HU76" s="30"/>
      <c r="HV76" s="30"/>
      <c r="HW76" s="30"/>
      <c r="HX76" s="30"/>
      <c r="HY76" s="30"/>
      <c r="HZ76" s="30"/>
      <c r="IA76" s="30"/>
      <c r="IB76" s="30"/>
      <c r="IC76" s="30"/>
      <c r="ID76" s="30"/>
      <c r="IE76" s="30"/>
      <c r="IF76" s="30"/>
      <c r="IG76" s="30"/>
      <c r="IH76" s="30"/>
      <c r="II76" s="30"/>
      <c r="IJ76" s="30"/>
      <c r="IK76" s="30"/>
      <c r="IL76" s="30"/>
      <c r="IM76" s="30"/>
      <c r="IN76" s="30"/>
      <c r="IO76" s="30"/>
      <c r="IP76" s="30"/>
      <c r="IQ76" s="30"/>
      <c r="IR76" s="30"/>
      <c r="IS76" s="30"/>
      <c r="IT76" s="30"/>
      <c r="IU76" s="30"/>
      <c r="IV76" s="30"/>
      <c r="IW76" s="30"/>
      <c r="IX76" s="30"/>
      <c r="IY76" s="30"/>
      <c r="IZ76" s="30"/>
      <c r="JA76" s="30"/>
      <c r="JB76" s="30"/>
      <c r="JC76" s="30"/>
      <c r="JD76" s="30"/>
      <c r="JE76" s="30"/>
      <c r="JF76" s="30"/>
      <c r="JG76" s="30"/>
      <c r="JH76" s="30"/>
      <c r="JI76" s="30"/>
      <c r="JJ76" s="30"/>
      <c r="JK76" s="30"/>
      <c r="JL76" s="30"/>
      <c r="JM76" s="30"/>
      <c r="JN76" s="30"/>
      <c r="JO76" s="30"/>
      <c r="JP76" s="30"/>
      <c r="JQ76" s="30"/>
      <c r="JR76" s="30"/>
      <c r="JS76" s="30"/>
      <c r="JT76" s="30"/>
      <c r="JU76" s="30"/>
      <c r="JV76" s="30"/>
      <c r="JW76" s="30"/>
      <c r="JX76" s="30"/>
      <c r="JY76" s="30"/>
      <c r="JZ76" s="30"/>
      <c r="KA76" s="30"/>
      <c r="KB76" s="30"/>
      <c r="KC76" s="30"/>
      <c r="KD76" s="30"/>
      <c r="KE76" s="30"/>
      <c r="KF76" s="30"/>
      <c r="KG76" s="30"/>
      <c r="KH76" s="30"/>
      <c r="KI76" s="30"/>
      <c r="KJ76" s="30"/>
      <c r="KK76" s="30"/>
      <c r="KL76" s="30"/>
      <c r="KM76" s="30"/>
      <c r="KN76" s="30"/>
      <c r="KO76" s="30"/>
      <c r="KP76" s="30"/>
      <c r="KQ76" s="30"/>
      <c r="KR76" s="30"/>
      <c r="KS76" s="30"/>
      <c r="KT76" s="30"/>
      <c r="KU76" s="30"/>
      <c r="KV76" s="30"/>
      <c r="KW76" s="30"/>
      <c r="KX76" s="30"/>
      <c r="KY76" s="30"/>
      <c r="KZ76" s="30"/>
      <c r="LA76" s="30"/>
      <c r="LB76" s="30"/>
      <c r="LC76" s="30"/>
      <c r="LD76" s="30"/>
      <c r="LE76" s="30"/>
      <c r="LF76" s="30"/>
      <c r="LG76" s="30"/>
      <c r="LH76" s="30"/>
      <c r="LI76" s="30"/>
      <c r="LJ76" s="30"/>
      <c r="LK76" s="30"/>
      <c r="LL76" s="30"/>
      <c r="LM76" s="30"/>
      <c r="LN76" s="30"/>
      <c r="LO76" s="30"/>
      <c r="LP76" s="30"/>
      <c r="LQ76" s="30"/>
      <c r="LR76" s="30"/>
      <c r="LS76" s="30"/>
      <c r="LT76" s="30"/>
      <c r="LU76" s="30"/>
      <c r="LV76" s="30"/>
      <c r="LW76" s="30"/>
      <c r="LX76" s="30"/>
      <c r="LY76" s="30"/>
      <c r="LZ76" s="30"/>
      <c r="MA76" s="30"/>
      <c r="MB76" s="30"/>
      <c r="MC76" s="30"/>
      <c r="MD76" s="30"/>
      <c r="ME76" s="30"/>
      <c r="MF76" s="30"/>
      <c r="MG76" s="30"/>
      <c r="MH76" s="30"/>
      <c r="MI76" s="30"/>
      <c r="MJ76" s="30"/>
      <c r="MK76" s="30"/>
      <c r="ML76" s="30"/>
      <c r="MM76" s="30"/>
      <c r="MN76" s="30"/>
      <c r="MO76" s="30"/>
      <c r="MP76" s="30"/>
      <c r="MQ76" s="30"/>
      <c r="MR76" s="30"/>
      <c r="MS76" s="30"/>
      <c r="MT76" s="30"/>
      <c r="MU76" s="30"/>
      <c r="MV76" s="30"/>
      <c r="MW76" s="30"/>
      <c r="MX76" s="30"/>
      <c r="MY76" s="30"/>
      <c r="MZ76" s="30"/>
      <c r="NA76" s="30"/>
      <c r="NB76" s="30"/>
      <c r="NC76" s="30"/>
      <c r="ND76" s="30"/>
      <c r="NE76" s="30"/>
      <c r="NF76" s="30"/>
      <c r="NG76" s="30"/>
      <c r="NH76" s="30"/>
      <c r="NI76" s="30"/>
      <c r="NJ76" s="30"/>
      <c r="NK76" s="30"/>
      <c r="NL76" s="30"/>
      <c r="NM76" s="30"/>
      <c r="NN76" s="30"/>
      <c r="NO76" s="30"/>
      <c r="NP76" s="30"/>
      <c r="NQ76" s="30"/>
      <c r="NR76" s="30"/>
      <c r="NS76" s="30"/>
      <c r="NT76" s="30"/>
      <c r="NU76" s="30"/>
      <c r="NV76" s="30"/>
      <c r="NW76" s="30"/>
      <c r="NX76" s="30"/>
      <c r="NY76" s="30"/>
      <c r="NZ76" s="30"/>
      <c r="OA76" s="30"/>
      <c r="OB76" s="30"/>
      <c r="OC76" s="30"/>
      <c r="OD76" s="30"/>
      <c r="OE76" s="30"/>
      <c r="OF76" s="30"/>
      <c r="OG76" s="30"/>
      <c r="OH76" s="30"/>
      <c r="OI76" s="30"/>
      <c r="OJ76" s="30"/>
      <c r="OK76" s="30"/>
      <c r="OL76" s="30"/>
      <c r="OM76" s="30"/>
      <c r="ON76" s="30"/>
      <c r="OO76" s="30"/>
      <c r="OP76" s="30"/>
      <c r="OQ76" s="30"/>
      <c r="OR76" s="30"/>
      <c r="OS76" s="30"/>
      <c r="OT76" s="30"/>
      <c r="OU76" s="30"/>
      <c r="OV76" s="30"/>
    </row>
    <row r="77">
      <c r="E77" s="40"/>
      <c r="L77" s="46"/>
    </row>
    <row r="78">
      <c r="E78" s="40"/>
      <c r="L78" s="46"/>
    </row>
    <row r="79">
      <c r="E79" s="40"/>
      <c r="L79" s="46"/>
    </row>
    <row r="80">
      <c r="E80" s="40"/>
      <c r="L80" s="46"/>
    </row>
  </sheetData>
  <conditionalFormatting sqref="M2:OV76">
    <cfRule type="expression" dxfId="6" priority="1" stopIfTrue="1">
      <formula>COUNTIFS(INDIRECT("'Trang tính3'!A:A"),$D2,INDIRECT("'Trang tính3'!B:B"),M2)&gt;0</formula>
    </cfRule>
  </conditionalFormatting>
  <conditionalFormatting sqref="J2:J76">
    <cfRule type="cellIs" dxfId="10" priority="2" stopIfTrue="1" operator="equal">
      <formula>"Chưa hoàn thành"</formula>
    </cfRule>
  </conditionalFormatting>
  <conditionalFormatting sqref="J2:J76">
    <cfRule type="cellIs" dxfId="11" priority="3" stopIfTrue="1" operator="equal">
      <formula>"Đang làm"</formula>
    </cfRule>
  </conditionalFormatting>
  <conditionalFormatting sqref="J2:J76">
    <cfRule type="cellIs" dxfId="12" priority="4" stopIfTrue="1" operator="equal">
      <formula>"Đã hoàn thành"</formula>
    </cfRule>
  </conditionalFormatting>
  <conditionalFormatting sqref="M2:OV76">
    <cfRule type="expression" dxfId="12" priority="5" stopIfTrue="1">
      <formula>AND(M2&lt;&gt;"",INT((COLUMN()-13)/2)+1&lt;=$G2)</formula>
    </cfRule>
  </conditionalFormatting>
  <conditionalFormatting sqref="M2:OV76">
    <cfRule type="expression" dxfId="13" priority="6" stopIfTrue="1">
      <formula>AND(M2&lt;&gt;"",INT((COLUMN()-13)/2)+1&lt;=$G2+$H2)</formula>
    </cfRule>
  </conditionalFormatting>
  <conditionalFormatting sqref="M2:OV76">
    <cfRule type="expression" dxfId="7" priority="7" stopIfTrue="1">
      <formula>M2&lt;&gt;""</formula>
    </cfRule>
  </conditionalFormatting>
  <dataValidations>
    <dataValidation type="list" allowBlank="1" showErrorMessage="1" sqref="J2:J76">
      <formula1>"Chưa hoàn thành,Đang làm,Đã hoàn thành"</formula1>
    </dataValidation>
  </dataValidations>
  <hyperlinks>
    <hyperlink r:id="rId1" ref="N2"/>
    <hyperlink r:id="rId2" ref="P2"/>
    <hyperlink r:id="rId3" ref="R2"/>
    <hyperlink r:id="rId4" ref="T2"/>
    <hyperlink r:id="rId5" ref="V2"/>
    <hyperlink r:id="rId6" ref="X2"/>
    <hyperlink r:id="rId7" ref="Z2"/>
    <hyperlink r:id="rId8" ref="AB2"/>
    <hyperlink r:id="rId9" ref="AD2"/>
    <hyperlink r:id="rId10" ref="AF2"/>
    <hyperlink r:id="rId11" ref="AH2"/>
    <hyperlink r:id="rId12" ref="AJ2"/>
    <hyperlink r:id="rId13" ref="AL2"/>
    <hyperlink r:id="rId14" ref="AN2"/>
    <hyperlink r:id="rId15" ref="AP2"/>
    <hyperlink r:id="rId16" ref="AR2"/>
    <hyperlink r:id="rId17" ref="AT2"/>
    <hyperlink r:id="rId18" ref="AV2"/>
    <hyperlink r:id="rId19" ref="AX2"/>
    <hyperlink r:id="rId20" ref="AZ2"/>
    <hyperlink r:id="rId21" ref="BB2"/>
    <hyperlink r:id="rId22" ref="BD2"/>
    <hyperlink r:id="rId23" ref="BF2"/>
    <hyperlink r:id="rId24" ref="BH2"/>
    <hyperlink r:id="rId25" ref="BJ2"/>
    <hyperlink r:id="rId26" ref="BL2"/>
    <hyperlink r:id="rId27" ref="BN2"/>
    <hyperlink r:id="rId28" ref="BP2"/>
    <hyperlink r:id="rId29" ref="BR2"/>
    <hyperlink r:id="rId30" ref="BT2"/>
    <hyperlink r:id="rId31" ref="N3"/>
    <hyperlink r:id="rId32" ref="P3"/>
    <hyperlink r:id="rId33" ref="R3"/>
    <hyperlink r:id="rId34" ref="T3"/>
    <hyperlink r:id="rId35" ref="V3"/>
    <hyperlink r:id="rId36" ref="X3"/>
    <hyperlink r:id="rId37" ref="Z3"/>
    <hyperlink r:id="rId38" ref="AB3"/>
    <hyperlink r:id="rId39" ref="AD3"/>
    <hyperlink r:id="rId40" ref="AF3"/>
    <hyperlink r:id="rId41" ref="AH3"/>
    <hyperlink r:id="rId42" ref="AJ3"/>
    <hyperlink r:id="rId43" ref="AL3"/>
    <hyperlink r:id="rId44" ref="AN3"/>
    <hyperlink r:id="rId45" ref="AP3"/>
    <hyperlink r:id="rId46" ref="AR3"/>
    <hyperlink r:id="rId47" ref="AT3"/>
    <hyperlink r:id="rId48" ref="AV3"/>
    <hyperlink r:id="rId49" ref="AX3"/>
    <hyperlink r:id="rId50" ref="AZ3"/>
    <hyperlink r:id="rId51" ref="BB3"/>
    <hyperlink r:id="rId52" ref="BD3"/>
    <hyperlink r:id="rId53" ref="BF3"/>
    <hyperlink r:id="rId54" ref="BH3"/>
    <hyperlink r:id="rId55" ref="BJ3"/>
    <hyperlink r:id="rId56" ref="BL3"/>
    <hyperlink r:id="rId57" ref="BN3"/>
    <hyperlink r:id="rId58" ref="BP3"/>
    <hyperlink r:id="rId59" ref="BR3"/>
    <hyperlink r:id="rId60" ref="BT3"/>
    <hyperlink r:id="rId61" ref="BV3"/>
    <hyperlink r:id="rId62" ref="BX3"/>
    <hyperlink r:id="rId63" ref="BZ3"/>
    <hyperlink r:id="rId64" ref="CB3"/>
    <hyperlink r:id="rId65" ref="CD3"/>
    <hyperlink r:id="rId66" ref="CF3"/>
    <hyperlink r:id="rId67" ref="CH3"/>
    <hyperlink r:id="rId68" ref="CJ3"/>
    <hyperlink r:id="rId69" ref="CL3"/>
    <hyperlink r:id="rId70" ref="CN3"/>
    <hyperlink r:id="rId71" ref="CP3"/>
    <hyperlink r:id="rId72" ref="CR3"/>
    <hyperlink r:id="rId73" ref="CT3"/>
    <hyperlink r:id="rId74" ref="CV3"/>
    <hyperlink r:id="rId75" ref="CX3"/>
    <hyperlink r:id="rId76" ref="CZ3"/>
    <hyperlink r:id="rId77" ref="DB3"/>
    <hyperlink r:id="rId78" ref="DD3"/>
    <hyperlink r:id="rId79" ref="DF3"/>
    <hyperlink r:id="rId80" ref="DH3"/>
    <hyperlink r:id="rId81" ref="DJ3"/>
    <hyperlink r:id="rId82" ref="DL3"/>
    <hyperlink r:id="rId83" ref="DN3"/>
    <hyperlink r:id="rId84" ref="DP3"/>
    <hyperlink r:id="rId85" ref="DR3"/>
    <hyperlink r:id="rId86" ref="DT3"/>
    <hyperlink r:id="rId87" ref="DV3"/>
    <hyperlink r:id="rId88" ref="DX3"/>
    <hyperlink r:id="rId89" ref="DZ3"/>
    <hyperlink r:id="rId90" ref="EB3"/>
    <hyperlink r:id="rId91" ref="ED3"/>
    <hyperlink r:id="rId92" ref="EF3"/>
    <hyperlink r:id="rId93" ref="EH3"/>
    <hyperlink r:id="rId94" ref="EJ3"/>
    <hyperlink r:id="rId95" ref="EL3"/>
    <hyperlink r:id="rId96" ref="EN3"/>
    <hyperlink r:id="rId97" ref="EP3"/>
    <hyperlink r:id="rId98" ref="ER3"/>
    <hyperlink r:id="rId99" ref="ET3"/>
    <hyperlink r:id="rId100" ref="EV3"/>
    <hyperlink r:id="rId101" ref="EX3"/>
    <hyperlink r:id="rId102" ref="EZ3"/>
    <hyperlink r:id="rId103" ref="FB3"/>
    <hyperlink r:id="rId104" ref="FD3"/>
    <hyperlink r:id="rId105" ref="FF3"/>
    <hyperlink r:id="rId106" ref="FH3"/>
    <hyperlink r:id="rId107" ref="FJ3"/>
    <hyperlink r:id="rId108" ref="FL3"/>
    <hyperlink r:id="rId109" ref="FN3"/>
    <hyperlink r:id="rId110" ref="FP3"/>
    <hyperlink r:id="rId111" ref="FR3"/>
    <hyperlink r:id="rId112" ref="FT3"/>
    <hyperlink r:id="rId113" ref="FV3"/>
    <hyperlink r:id="rId114" ref="FX3"/>
    <hyperlink r:id="rId115" ref="FZ3"/>
    <hyperlink r:id="rId116" ref="GB3"/>
    <hyperlink r:id="rId117" ref="GD3"/>
    <hyperlink r:id="rId118" ref="GF3"/>
    <hyperlink r:id="rId119" ref="GH3"/>
    <hyperlink r:id="rId120" ref="GJ3"/>
    <hyperlink r:id="rId121" ref="GL3"/>
    <hyperlink r:id="rId122" ref="GN3"/>
    <hyperlink r:id="rId123" ref="GP3"/>
    <hyperlink r:id="rId124" ref="GR3"/>
    <hyperlink r:id="rId125" ref="GT3"/>
    <hyperlink r:id="rId126" ref="GV3"/>
    <hyperlink r:id="rId127" ref="GX3"/>
    <hyperlink r:id="rId128" ref="GZ3"/>
    <hyperlink r:id="rId129" ref="HB3"/>
    <hyperlink r:id="rId130" ref="HD3"/>
    <hyperlink r:id="rId131" ref="N4"/>
    <hyperlink r:id="rId132" ref="P4"/>
    <hyperlink r:id="rId133" ref="R4"/>
    <hyperlink r:id="rId134" ref="T4"/>
    <hyperlink r:id="rId135" ref="V4"/>
    <hyperlink r:id="rId136" ref="X4"/>
    <hyperlink r:id="rId137" ref="Z4"/>
    <hyperlink r:id="rId138" ref="AB4"/>
    <hyperlink r:id="rId139" ref="AD4"/>
    <hyperlink r:id="rId140" ref="AF4"/>
    <hyperlink r:id="rId141" ref="AH4"/>
    <hyperlink r:id="rId142" ref="AJ4"/>
    <hyperlink r:id="rId143" ref="AL4"/>
    <hyperlink r:id="rId144" ref="AN4"/>
    <hyperlink r:id="rId145" ref="AP4"/>
    <hyperlink r:id="rId146" ref="AR4"/>
    <hyperlink r:id="rId147" ref="AT4"/>
    <hyperlink r:id="rId148" ref="AV4"/>
    <hyperlink r:id="rId149" ref="AX4"/>
    <hyperlink r:id="rId150" ref="AZ4"/>
    <hyperlink r:id="rId151" ref="BB4"/>
    <hyperlink r:id="rId152" ref="BD4"/>
    <hyperlink r:id="rId153" ref="BF4"/>
    <hyperlink r:id="rId154" ref="BH4"/>
    <hyperlink r:id="rId155" ref="BJ4"/>
    <hyperlink r:id="rId156" ref="BL4"/>
    <hyperlink r:id="rId157" ref="BN4"/>
    <hyperlink r:id="rId158" ref="BP4"/>
    <hyperlink r:id="rId159" ref="BR4"/>
    <hyperlink r:id="rId160" ref="BT4"/>
    <hyperlink r:id="rId161" ref="BV4"/>
    <hyperlink r:id="rId162" ref="BX4"/>
    <hyperlink r:id="rId163" ref="BZ4"/>
    <hyperlink r:id="rId164" ref="CB4"/>
    <hyperlink r:id="rId165" ref="CD4"/>
    <hyperlink r:id="rId166" ref="CF4"/>
    <hyperlink r:id="rId167" ref="CH4"/>
    <hyperlink r:id="rId168" ref="CJ4"/>
    <hyperlink r:id="rId169" ref="CL4"/>
    <hyperlink r:id="rId170" ref="CN4"/>
    <hyperlink r:id="rId171" ref="CP4"/>
    <hyperlink r:id="rId172" ref="CR4"/>
    <hyperlink r:id="rId173" ref="CT4"/>
    <hyperlink r:id="rId174" ref="CV4"/>
    <hyperlink r:id="rId175" ref="CX4"/>
    <hyperlink r:id="rId176" ref="CZ4"/>
    <hyperlink r:id="rId177" ref="DB4"/>
    <hyperlink r:id="rId178" ref="DD4"/>
    <hyperlink r:id="rId179" ref="DF4"/>
    <hyperlink r:id="rId180" ref="DH4"/>
    <hyperlink r:id="rId181" ref="N5"/>
    <hyperlink r:id="rId182" ref="P5"/>
    <hyperlink r:id="rId183" ref="R5"/>
    <hyperlink r:id="rId184" ref="T5"/>
    <hyperlink r:id="rId185" ref="V5"/>
    <hyperlink r:id="rId186" ref="X5"/>
    <hyperlink r:id="rId187" ref="Z5"/>
    <hyperlink r:id="rId188" ref="AB5"/>
    <hyperlink r:id="rId189" ref="AD5"/>
    <hyperlink r:id="rId190" ref="AF5"/>
    <hyperlink r:id="rId191" ref="AH5"/>
    <hyperlink r:id="rId192" ref="AJ5"/>
    <hyperlink r:id="rId193" ref="AL5"/>
    <hyperlink r:id="rId194" ref="AN5"/>
    <hyperlink r:id="rId195" ref="AP5"/>
    <hyperlink r:id="rId196" ref="AR5"/>
    <hyperlink r:id="rId197" ref="AT5"/>
    <hyperlink r:id="rId198" ref="AV5"/>
    <hyperlink r:id="rId199" ref="AX5"/>
    <hyperlink r:id="rId200" ref="AZ5"/>
    <hyperlink r:id="rId201" ref="BB5"/>
    <hyperlink r:id="rId202" ref="BD5"/>
    <hyperlink r:id="rId203" ref="BF5"/>
    <hyperlink r:id="rId204" ref="BH5"/>
    <hyperlink r:id="rId205" ref="BJ5"/>
    <hyperlink r:id="rId206" ref="BL5"/>
    <hyperlink r:id="rId207" ref="BN5"/>
    <hyperlink r:id="rId208" ref="BP5"/>
    <hyperlink r:id="rId209" ref="BR5"/>
    <hyperlink r:id="rId210" ref="BT5"/>
    <hyperlink r:id="rId211" ref="BV5"/>
    <hyperlink r:id="rId212" ref="BX5"/>
    <hyperlink r:id="rId213" ref="BZ5"/>
    <hyperlink r:id="rId214" ref="CB5"/>
    <hyperlink r:id="rId215" ref="CD5"/>
    <hyperlink r:id="rId216" ref="CF5"/>
    <hyperlink r:id="rId217" ref="CH5"/>
    <hyperlink r:id="rId218" ref="CJ5"/>
    <hyperlink r:id="rId219" ref="CL5"/>
    <hyperlink r:id="rId220" ref="CN5"/>
    <hyperlink r:id="rId221" ref="CP5"/>
    <hyperlink r:id="rId222" ref="CR5"/>
    <hyperlink r:id="rId223" ref="CT5"/>
    <hyperlink r:id="rId224" ref="CV5"/>
    <hyperlink r:id="rId225" ref="CX5"/>
    <hyperlink r:id="rId226" ref="CZ5"/>
    <hyperlink r:id="rId227" ref="DB5"/>
    <hyperlink r:id="rId228" ref="DD5"/>
    <hyperlink r:id="rId229" ref="DF5"/>
    <hyperlink r:id="rId230" ref="DH5"/>
    <hyperlink r:id="rId231" ref="N6"/>
    <hyperlink r:id="rId232" ref="P6"/>
    <hyperlink r:id="rId233" ref="R6"/>
    <hyperlink r:id="rId234" ref="T6"/>
    <hyperlink r:id="rId235" ref="V6"/>
    <hyperlink r:id="rId236" ref="X6"/>
    <hyperlink r:id="rId237" ref="Z6"/>
    <hyperlink r:id="rId238" ref="AB6"/>
    <hyperlink r:id="rId239" ref="AD6"/>
    <hyperlink r:id="rId240" ref="AF6"/>
    <hyperlink r:id="rId241" ref="AH6"/>
    <hyperlink r:id="rId242" ref="AJ6"/>
    <hyperlink r:id="rId243" ref="AL6"/>
    <hyperlink r:id="rId244" ref="AN6"/>
    <hyperlink r:id="rId245" ref="AP6"/>
    <hyperlink r:id="rId246" ref="AR6"/>
    <hyperlink r:id="rId247" ref="AT6"/>
    <hyperlink r:id="rId248" ref="AV6"/>
    <hyperlink r:id="rId249" ref="AX6"/>
    <hyperlink r:id="rId250" ref="AZ6"/>
    <hyperlink r:id="rId251" ref="BB6"/>
    <hyperlink r:id="rId252" ref="BD6"/>
    <hyperlink r:id="rId253" ref="BF6"/>
    <hyperlink r:id="rId254" ref="BH6"/>
    <hyperlink r:id="rId255" ref="BJ6"/>
    <hyperlink r:id="rId256" ref="BL6"/>
    <hyperlink r:id="rId257" ref="BN6"/>
    <hyperlink r:id="rId258" ref="BP6"/>
    <hyperlink r:id="rId259" ref="BR6"/>
    <hyperlink r:id="rId260" ref="BT6"/>
    <hyperlink r:id="rId261" ref="N7"/>
    <hyperlink r:id="rId262" ref="P7"/>
    <hyperlink r:id="rId263" ref="R7"/>
    <hyperlink r:id="rId264" ref="T7"/>
    <hyperlink r:id="rId265" ref="V7"/>
    <hyperlink r:id="rId266" ref="X7"/>
    <hyperlink r:id="rId267" ref="Z7"/>
    <hyperlink r:id="rId268" ref="AB7"/>
    <hyperlink r:id="rId269" ref="AD7"/>
    <hyperlink r:id="rId270" ref="AF7"/>
    <hyperlink r:id="rId271" ref="AH7"/>
    <hyperlink r:id="rId272" ref="AJ7"/>
    <hyperlink r:id="rId273" ref="AL7"/>
    <hyperlink r:id="rId274" ref="AN7"/>
    <hyperlink r:id="rId275" ref="AP7"/>
    <hyperlink r:id="rId276" ref="AR7"/>
    <hyperlink r:id="rId277" ref="AT7"/>
    <hyperlink r:id="rId278" ref="AV7"/>
    <hyperlink r:id="rId279" ref="AX7"/>
    <hyperlink r:id="rId280" ref="AZ7"/>
    <hyperlink r:id="rId281" ref="BB7"/>
    <hyperlink r:id="rId282" ref="BD7"/>
    <hyperlink r:id="rId283" ref="BF7"/>
    <hyperlink r:id="rId284" ref="BH7"/>
    <hyperlink r:id="rId285" ref="BJ7"/>
    <hyperlink r:id="rId286" ref="BL7"/>
    <hyperlink r:id="rId287" ref="BN7"/>
    <hyperlink r:id="rId288" ref="BP7"/>
    <hyperlink r:id="rId289" ref="BR7"/>
    <hyperlink r:id="rId290" ref="BT7"/>
    <hyperlink r:id="rId291" ref="N8"/>
    <hyperlink r:id="rId292" ref="P8"/>
    <hyperlink r:id="rId293" ref="R8"/>
    <hyperlink r:id="rId294" ref="T8"/>
    <hyperlink r:id="rId295" ref="V8"/>
    <hyperlink r:id="rId296" ref="X8"/>
    <hyperlink r:id="rId297" ref="Z8"/>
    <hyperlink r:id="rId298" ref="AB8"/>
    <hyperlink r:id="rId299" ref="AD8"/>
    <hyperlink r:id="rId300" ref="AF8"/>
    <hyperlink r:id="rId301" ref="AH8"/>
    <hyperlink r:id="rId302" ref="AJ8"/>
    <hyperlink r:id="rId303" ref="AL8"/>
    <hyperlink r:id="rId304" ref="AN8"/>
    <hyperlink r:id="rId305" ref="AP8"/>
    <hyperlink r:id="rId306" ref="AR8"/>
    <hyperlink r:id="rId307" ref="AT8"/>
    <hyperlink r:id="rId308" ref="AV8"/>
    <hyperlink r:id="rId309" ref="AX8"/>
    <hyperlink r:id="rId310" ref="AZ8"/>
    <hyperlink r:id="rId311" ref="BB8"/>
    <hyperlink r:id="rId312" ref="BD8"/>
    <hyperlink r:id="rId313" ref="BF8"/>
    <hyperlink r:id="rId314" ref="BH8"/>
    <hyperlink r:id="rId315" ref="BJ8"/>
    <hyperlink r:id="rId316" ref="BL8"/>
    <hyperlink r:id="rId317" ref="BN8"/>
    <hyperlink r:id="rId318" ref="BP8"/>
    <hyperlink r:id="rId319" ref="BR8"/>
    <hyperlink r:id="rId320" ref="BT8"/>
    <hyperlink r:id="rId321" ref="N9"/>
    <hyperlink r:id="rId322" ref="P9"/>
    <hyperlink r:id="rId323" ref="R9"/>
    <hyperlink r:id="rId324" ref="T9"/>
    <hyperlink r:id="rId325" ref="V9"/>
    <hyperlink r:id="rId326" ref="X9"/>
    <hyperlink r:id="rId327" ref="Z9"/>
    <hyperlink r:id="rId328" ref="AB9"/>
    <hyperlink r:id="rId329" ref="AD9"/>
    <hyperlink r:id="rId330" ref="AF9"/>
    <hyperlink r:id="rId331" ref="AH9"/>
    <hyperlink r:id="rId332" ref="AJ9"/>
    <hyperlink r:id="rId333" ref="AL9"/>
    <hyperlink r:id="rId334" ref="AN9"/>
    <hyperlink r:id="rId335" ref="AP9"/>
    <hyperlink r:id="rId336" ref="AR9"/>
    <hyperlink r:id="rId337" ref="AT9"/>
    <hyperlink r:id="rId338" ref="AV9"/>
    <hyperlink r:id="rId339" ref="AX9"/>
    <hyperlink r:id="rId340" ref="AZ9"/>
    <hyperlink r:id="rId341" ref="BB9"/>
    <hyperlink r:id="rId342" ref="BD9"/>
    <hyperlink r:id="rId343" ref="BF9"/>
    <hyperlink r:id="rId344" ref="BH9"/>
    <hyperlink r:id="rId345" ref="BJ9"/>
    <hyperlink r:id="rId346" ref="BL9"/>
    <hyperlink r:id="rId347" ref="BN9"/>
    <hyperlink r:id="rId348" ref="BP9"/>
    <hyperlink r:id="rId349" ref="BR9"/>
    <hyperlink r:id="rId350" ref="BT9"/>
    <hyperlink r:id="rId351" ref="N10"/>
    <hyperlink r:id="rId352" ref="P10"/>
    <hyperlink r:id="rId353" ref="R10"/>
    <hyperlink r:id="rId354" ref="T10"/>
    <hyperlink r:id="rId355" ref="V10"/>
    <hyperlink r:id="rId356" ref="X10"/>
    <hyperlink r:id="rId357" ref="Z10"/>
    <hyperlink r:id="rId358" ref="AB10"/>
    <hyperlink r:id="rId359" ref="AD10"/>
    <hyperlink r:id="rId360" ref="AF10"/>
    <hyperlink r:id="rId361" ref="AH10"/>
    <hyperlink r:id="rId362" ref="AJ10"/>
    <hyperlink r:id="rId363" ref="AL10"/>
    <hyperlink r:id="rId364" ref="AN10"/>
    <hyperlink r:id="rId365" ref="AP10"/>
    <hyperlink r:id="rId366" ref="AR10"/>
    <hyperlink r:id="rId367" ref="AT10"/>
    <hyperlink r:id="rId368" ref="AV10"/>
    <hyperlink r:id="rId369" ref="AX10"/>
    <hyperlink r:id="rId370" ref="AZ10"/>
    <hyperlink r:id="rId371" ref="BB10"/>
    <hyperlink r:id="rId372" ref="BD10"/>
    <hyperlink r:id="rId373" ref="BF10"/>
    <hyperlink r:id="rId374" ref="BH10"/>
    <hyperlink r:id="rId375" ref="BJ10"/>
    <hyperlink r:id="rId376" ref="BL10"/>
    <hyperlink r:id="rId377" ref="BN10"/>
    <hyperlink r:id="rId378" ref="BP10"/>
    <hyperlink r:id="rId379" ref="BR10"/>
    <hyperlink r:id="rId380" ref="BT10"/>
    <hyperlink r:id="rId381" ref="N11"/>
    <hyperlink r:id="rId382" ref="P11"/>
    <hyperlink r:id="rId383" ref="R11"/>
    <hyperlink r:id="rId384" ref="T11"/>
    <hyperlink r:id="rId385" ref="V11"/>
    <hyperlink r:id="rId386" ref="X11"/>
    <hyperlink r:id="rId387" ref="Z11"/>
    <hyperlink r:id="rId388" ref="AB11"/>
    <hyperlink r:id="rId389" ref="AD11"/>
    <hyperlink r:id="rId390" ref="AF11"/>
    <hyperlink r:id="rId391" ref="AH11"/>
    <hyperlink r:id="rId392" ref="AJ11"/>
    <hyperlink r:id="rId393" ref="AL11"/>
    <hyperlink r:id="rId394" ref="AN11"/>
    <hyperlink r:id="rId395" ref="AP11"/>
    <hyperlink r:id="rId396" ref="AR11"/>
    <hyperlink r:id="rId397" ref="AT11"/>
    <hyperlink r:id="rId398" ref="AV11"/>
    <hyperlink r:id="rId399" ref="AX11"/>
    <hyperlink r:id="rId400" ref="AZ11"/>
    <hyperlink r:id="rId401" ref="BB11"/>
    <hyperlink r:id="rId402" ref="BD11"/>
    <hyperlink r:id="rId403" ref="BF11"/>
    <hyperlink r:id="rId404" ref="BH11"/>
    <hyperlink r:id="rId405" ref="BJ11"/>
    <hyperlink r:id="rId406" ref="BL11"/>
    <hyperlink r:id="rId407" ref="BN11"/>
    <hyperlink r:id="rId408" ref="BP11"/>
    <hyperlink r:id="rId409" ref="BR11"/>
    <hyperlink r:id="rId410" ref="BT11"/>
    <hyperlink r:id="rId411" ref="N12"/>
    <hyperlink r:id="rId412" ref="P12"/>
    <hyperlink r:id="rId413" ref="R12"/>
    <hyperlink r:id="rId414" ref="T12"/>
    <hyperlink r:id="rId415" ref="V12"/>
    <hyperlink r:id="rId416" ref="X12"/>
    <hyperlink r:id="rId417" ref="Z12"/>
    <hyperlink r:id="rId418" ref="AB12"/>
    <hyperlink r:id="rId419" ref="AD12"/>
    <hyperlink r:id="rId420" ref="AF12"/>
    <hyperlink r:id="rId421" ref="AH12"/>
    <hyperlink r:id="rId422" ref="AJ12"/>
    <hyperlink r:id="rId423" ref="AL12"/>
    <hyperlink r:id="rId424" ref="AN12"/>
    <hyperlink r:id="rId425" ref="AP12"/>
    <hyperlink r:id="rId426" ref="AR12"/>
    <hyperlink r:id="rId427" ref="AT12"/>
    <hyperlink r:id="rId428" ref="AV12"/>
    <hyperlink r:id="rId429" ref="AX12"/>
    <hyperlink r:id="rId430" ref="AZ12"/>
    <hyperlink r:id="rId431" ref="BB12"/>
    <hyperlink r:id="rId432" ref="BD12"/>
    <hyperlink r:id="rId433" ref="BF12"/>
    <hyperlink r:id="rId434" ref="BH12"/>
    <hyperlink r:id="rId435" ref="BJ12"/>
    <hyperlink r:id="rId436" ref="BL12"/>
    <hyperlink r:id="rId437" ref="BN12"/>
    <hyperlink r:id="rId438" ref="BP12"/>
    <hyperlink r:id="rId439" ref="BR12"/>
    <hyperlink r:id="rId440" ref="BT12"/>
    <hyperlink r:id="rId441" ref="BV12"/>
    <hyperlink r:id="rId442" ref="BX12"/>
    <hyperlink r:id="rId443" ref="BZ12"/>
    <hyperlink r:id="rId444" ref="CB12"/>
    <hyperlink r:id="rId445" ref="CD12"/>
    <hyperlink r:id="rId446" ref="CF12"/>
    <hyperlink r:id="rId447" ref="CH12"/>
    <hyperlink r:id="rId448" ref="CJ12"/>
    <hyperlink r:id="rId449" ref="CL12"/>
    <hyperlink r:id="rId450" ref="CN12"/>
    <hyperlink r:id="rId451" ref="CP12"/>
    <hyperlink r:id="rId452" ref="CR12"/>
    <hyperlink r:id="rId453" ref="CT12"/>
    <hyperlink r:id="rId454" ref="CV12"/>
    <hyperlink r:id="rId455" ref="CX12"/>
    <hyperlink r:id="rId456" ref="CZ12"/>
    <hyperlink r:id="rId457" ref="DB12"/>
    <hyperlink r:id="rId458" ref="DD12"/>
    <hyperlink r:id="rId459" ref="DF12"/>
    <hyperlink r:id="rId460" ref="DH12"/>
    <hyperlink r:id="rId461" ref="N13"/>
    <hyperlink r:id="rId462" ref="P13"/>
    <hyperlink r:id="rId463" ref="R13"/>
    <hyperlink r:id="rId464" ref="T13"/>
    <hyperlink r:id="rId465" ref="V13"/>
    <hyperlink r:id="rId466" ref="X13"/>
    <hyperlink r:id="rId467" ref="Z13"/>
    <hyperlink r:id="rId468" ref="AB13"/>
    <hyperlink r:id="rId469" ref="AD13"/>
    <hyperlink r:id="rId470" ref="AF13"/>
    <hyperlink r:id="rId471" ref="AH13"/>
    <hyperlink r:id="rId472" ref="AJ13"/>
    <hyperlink r:id="rId473" ref="AL13"/>
    <hyperlink r:id="rId474" ref="AN13"/>
    <hyperlink r:id="rId475" ref="AP13"/>
    <hyperlink r:id="rId476" ref="AR13"/>
    <hyperlink r:id="rId477" ref="AT13"/>
    <hyperlink r:id="rId478" ref="AV13"/>
    <hyperlink r:id="rId479" ref="AX13"/>
    <hyperlink r:id="rId480" ref="AZ13"/>
    <hyperlink r:id="rId481" ref="BB13"/>
    <hyperlink r:id="rId482" ref="BD13"/>
    <hyperlink r:id="rId483" ref="BF13"/>
    <hyperlink r:id="rId484" ref="BH13"/>
    <hyperlink r:id="rId485" ref="BJ13"/>
    <hyperlink r:id="rId486" ref="BL13"/>
    <hyperlink r:id="rId487" ref="BN13"/>
    <hyperlink r:id="rId488" ref="BP13"/>
    <hyperlink r:id="rId489" ref="BR13"/>
    <hyperlink r:id="rId490" ref="BT13"/>
    <hyperlink r:id="rId491" ref="BV13"/>
    <hyperlink r:id="rId492" ref="BX13"/>
    <hyperlink r:id="rId493" ref="BZ13"/>
    <hyperlink r:id="rId494" ref="CB13"/>
    <hyperlink r:id="rId495" ref="CD13"/>
    <hyperlink r:id="rId496" ref="CF13"/>
    <hyperlink r:id="rId497" ref="CH13"/>
    <hyperlink r:id="rId498" ref="CJ13"/>
    <hyperlink r:id="rId499" ref="CL13"/>
    <hyperlink r:id="rId500" ref="CN13"/>
    <hyperlink r:id="rId501" ref="CP13"/>
    <hyperlink r:id="rId502" ref="CR13"/>
    <hyperlink r:id="rId503" ref="CT13"/>
    <hyperlink r:id="rId504" ref="CV13"/>
    <hyperlink r:id="rId505" ref="CX13"/>
    <hyperlink r:id="rId506" ref="CZ13"/>
    <hyperlink r:id="rId507" ref="DB13"/>
    <hyperlink r:id="rId508" ref="DD13"/>
    <hyperlink r:id="rId509" ref="DF13"/>
    <hyperlink r:id="rId510" ref="DH13"/>
    <hyperlink r:id="rId511" ref="N14"/>
    <hyperlink r:id="rId512" ref="P14"/>
    <hyperlink r:id="rId513" ref="R14"/>
    <hyperlink r:id="rId514" ref="T14"/>
    <hyperlink r:id="rId515" ref="V14"/>
    <hyperlink r:id="rId516" ref="X14"/>
    <hyperlink r:id="rId517" ref="Z14"/>
    <hyperlink r:id="rId518" ref="AB14"/>
    <hyperlink r:id="rId519" ref="AD14"/>
    <hyperlink r:id="rId520" ref="AF14"/>
    <hyperlink r:id="rId521" ref="AH14"/>
    <hyperlink r:id="rId522" ref="AJ14"/>
    <hyperlink r:id="rId523" ref="AL14"/>
    <hyperlink r:id="rId524" ref="AN14"/>
    <hyperlink r:id="rId525" ref="AP14"/>
    <hyperlink r:id="rId526" ref="AR14"/>
    <hyperlink r:id="rId527" ref="AT14"/>
    <hyperlink r:id="rId528" ref="AV14"/>
    <hyperlink r:id="rId529" ref="AX14"/>
    <hyperlink r:id="rId530" ref="AZ14"/>
    <hyperlink r:id="rId531" ref="BB14"/>
    <hyperlink r:id="rId532" ref="BD14"/>
    <hyperlink r:id="rId533" ref="BF14"/>
    <hyperlink r:id="rId534" ref="BH14"/>
    <hyperlink r:id="rId535" ref="BJ14"/>
    <hyperlink r:id="rId536" ref="BL14"/>
    <hyperlink r:id="rId537" ref="BN14"/>
    <hyperlink r:id="rId538" ref="BP14"/>
    <hyperlink r:id="rId539" ref="BR14"/>
    <hyperlink r:id="rId540" ref="BT14"/>
    <hyperlink r:id="rId541" ref="N15"/>
    <hyperlink r:id="rId542" ref="P15"/>
    <hyperlink r:id="rId543" ref="R15"/>
    <hyperlink r:id="rId544" ref="T15"/>
    <hyperlink r:id="rId545" ref="V15"/>
    <hyperlink r:id="rId546" ref="X15"/>
    <hyperlink r:id="rId547" ref="Z15"/>
    <hyperlink r:id="rId548" ref="AB15"/>
    <hyperlink r:id="rId549" ref="AD15"/>
    <hyperlink r:id="rId550" ref="AF15"/>
    <hyperlink r:id="rId551" ref="AH15"/>
    <hyperlink r:id="rId552" ref="AJ15"/>
    <hyperlink r:id="rId553" ref="AL15"/>
    <hyperlink r:id="rId554" ref="AN15"/>
    <hyperlink r:id="rId555" ref="AP15"/>
    <hyperlink r:id="rId556" ref="AR15"/>
    <hyperlink r:id="rId557" ref="AT15"/>
    <hyperlink r:id="rId558" ref="AV15"/>
    <hyperlink r:id="rId559" ref="AX15"/>
    <hyperlink r:id="rId560" ref="AZ15"/>
    <hyperlink r:id="rId561" ref="BB15"/>
    <hyperlink r:id="rId562" ref="BD15"/>
    <hyperlink r:id="rId563" ref="BF15"/>
    <hyperlink r:id="rId564" ref="BH15"/>
    <hyperlink r:id="rId565" ref="BJ15"/>
    <hyperlink r:id="rId566" ref="BL15"/>
    <hyperlink r:id="rId567" ref="BN15"/>
    <hyperlink r:id="rId568" ref="BP15"/>
    <hyperlink r:id="rId569" ref="BR15"/>
    <hyperlink r:id="rId570" ref="BT15"/>
    <hyperlink r:id="rId571" ref="N16"/>
    <hyperlink r:id="rId572" ref="P16"/>
    <hyperlink r:id="rId573" ref="R16"/>
    <hyperlink r:id="rId574" ref="T16"/>
    <hyperlink r:id="rId575" ref="V16"/>
    <hyperlink r:id="rId576" ref="X16"/>
    <hyperlink r:id="rId577" ref="Z16"/>
    <hyperlink r:id="rId578" ref="AB16"/>
    <hyperlink r:id="rId579" ref="AD16"/>
    <hyperlink r:id="rId580" ref="AF16"/>
    <hyperlink r:id="rId581" ref="AH16"/>
    <hyperlink r:id="rId582" ref="AJ16"/>
    <hyperlink r:id="rId583" ref="AL16"/>
    <hyperlink r:id="rId584" ref="AN16"/>
    <hyperlink r:id="rId585" ref="AP16"/>
    <hyperlink r:id="rId586" ref="AR16"/>
    <hyperlink r:id="rId587" ref="AT16"/>
    <hyperlink r:id="rId588" ref="AV16"/>
    <hyperlink r:id="rId589" ref="AX16"/>
    <hyperlink r:id="rId590" ref="AZ16"/>
    <hyperlink r:id="rId591" ref="BB16"/>
    <hyperlink r:id="rId592" ref="BD16"/>
    <hyperlink r:id="rId593" ref="BF16"/>
    <hyperlink r:id="rId594" ref="BH16"/>
    <hyperlink r:id="rId595" ref="BJ16"/>
    <hyperlink r:id="rId596" ref="BL16"/>
    <hyperlink r:id="rId597" ref="BN16"/>
    <hyperlink r:id="rId598" ref="BP16"/>
    <hyperlink r:id="rId599" ref="BR16"/>
    <hyperlink r:id="rId600" ref="BT16"/>
    <hyperlink r:id="rId601" ref="N17"/>
    <hyperlink r:id="rId602" ref="P17"/>
    <hyperlink r:id="rId603" ref="R17"/>
    <hyperlink r:id="rId604" ref="T17"/>
    <hyperlink r:id="rId605" ref="V17"/>
    <hyperlink r:id="rId606" ref="X17"/>
    <hyperlink r:id="rId607" ref="Z17"/>
    <hyperlink r:id="rId608" ref="AB17"/>
    <hyperlink r:id="rId609" ref="AD17"/>
    <hyperlink r:id="rId610" ref="AF17"/>
    <hyperlink r:id="rId611" ref="AH17"/>
    <hyperlink r:id="rId612" ref="AJ17"/>
    <hyperlink r:id="rId613" ref="AL17"/>
    <hyperlink r:id="rId614" ref="AN17"/>
    <hyperlink r:id="rId615" ref="AP17"/>
    <hyperlink r:id="rId616" ref="AR17"/>
    <hyperlink r:id="rId617" ref="AT17"/>
    <hyperlink r:id="rId618" ref="AV17"/>
    <hyperlink r:id="rId619" ref="AX17"/>
    <hyperlink r:id="rId620" ref="AZ17"/>
    <hyperlink r:id="rId621" ref="BB17"/>
    <hyperlink r:id="rId622" ref="BD17"/>
    <hyperlink r:id="rId623" ref="BF17"/>
    <hyperlink r:id="rId624" ref="BH17"/>
    <hyperlink r:id="rId625" ref="BJ17"/>
    <hyperlink r:id="rId626" ref="BL17"/>
    <hyperlink r:id="rId627" ref="BN17"/>
    <hyperlink r:id="rId628" ref="BP17"/>
    <hyperlink r:id="rId629" ref="BR17"/>
    <hyperlink r:id="rId630" ref="BT17"/>
    <hyperlink r:id="rId631" ref="N18"/>
    <hyperlink r:id="rId632" ref="P18"/>
    <hyperlink r:id="rId633" ref="R18"/>
    <hyperlink r:id="rId634" ref="T18"/>
    <hyperlink r:id="rId635" ref="V18"/>
    <hyperlink r:id="rId636" ref="X18"/>
    <hyperlink r:id="rId637" ref="Z18"/>
    <hyperlink r:id="rId638" ref="AB18"/>
    <hyperlink r:id="rId639" ref="AD18"/>
    <hyperlink r:id="rId640" ref="AF18"/>
    <hyperlink r:id="rId641" ref="AH18"/>
    <hyperlink r:id="rId642" ref="AJ18"/>
    <hyperlink r:id="rId643" ref="AL18"/>
    <hyperlink r:id="rId644" ref="AN18"/>
    <hyperlink r:id="rId645" ref="AP18"/>
    <hyperlink r:id="rId646" ref="AR18"/>
    <hyperlink r:id="rId647" ref="AT18"/>
    <hyperlink r:id="rId648" ref="AV18"/>
    <hyperlink r:id="rId649" ref="AX18"/>
    <hyperlink r:id="rId650" ref="AZ18"/>
    <hyperlink r:id="rId651" ref="BB18"/>
    <hyperlink r:id="rId652" ref="BD18"/>
    <hyperlink r:id="rId653" ref="BF18"/>
    <hyperlink r:id="rId654" ref="BH18"/>
    <hyperlink r:id="rId655" ref="BJ18"/>
    <hyperlink r:id="rId656" ref="BL18"/>
    <hyperlink r:id="rId657" ref="BN18"/>
    <hyperlink r:id="rId658" ref="BP18"/>
    <hyperlink r:id="rId659" ref="BR18"/>
    <hyperlink r:id="rId660" ref="BT18"/>
    <hyperlink r:id="rId661" ref="N19"/>
    <hyperlink r:id="rId662" ref="P19"/>
    <hyperlink r:id="rId663" ref="R19"/>
    <hyperlink r:id="rId664" ref="T19"/>
    <hyperlink r:id="rId665" ref="V19"/>
    <hyperlink r:id="rId666" ref="X19"/>
    <hyperlink r:id="rId667" ref="Z19"/>
    <hyperlink r:id="rId668" ref="AB19"/>
    <hyperlink r:id="rId669" ref="AD19"/>
    <hyperlink r:id="rId670" ref="AF19"/>
    <hyperlink r:id="rId671" ref="AH19"/>
    <hyperlink r:id="rId672" ref="AJ19"/>
    <hyperlink r:id="rId673" ref="AL19"/>
    <hyperlink r:id="rId674" ref="AN19"/>
    <hyperlink r:id="rId675" ref="AP19"/>
    <hyperlink r:id="rId676" ref="AR19"/>
    <hyperlink r:id="rId677" ref="AT19"/>
    <hyperlink r:id="rId678" ref="AV19"/>
    <hyperlink r:id="rId679" ref="AX19"/>
    <hyperlink r:id="rId680" ref="AZ19"/>
    <hyperlink r:id="rId681" ref="BB19"/>
    <hyperlink r:id="rId682" ref="BD19"/>
    <hyperlink r:id="rId683" ref="BF19"/>
    <hyperlink r:id="rId684" ref="BH19"/>
    <hyperlink r:id="rId685" ref="BJ19"/>
    <hyperlink r:id="rId686" ref="BL19"/>
    <hyperlink r:id="rId687" ref="BN19"/>
    <hyperlink r:id="rId688" ref="BP19"/>
    <hyperlink r:id="rId689" ref="BR19"/>
    <hyperlink r:id="rId690" ref="BT19"/>
    <hyperlink r:id="rId691" ref="N20"/>
    <hyperlink r:id="rId692" ref="P20"/>
    <hyperlink r:id="rId693" ref="R20"/>
    <hyperlink r:id="rId694" ref="T20"/>
    <hyperlink r:id="rId695" ref="V20"/>
    <hyperlink r:id="rId696" ref="X20"/>
    <hyperlink r:id="rId697" ref="Z20"/>
    <hyperlink r:id="rId698" ref="AB20"/>
    <hyperlink r:id="rId699" ref="AD20"/>
    <hyperlink r:id="rId700" ref="AF20"/>
    <hyperlink r:id="rId701" ref="AH20"/>
    <hyperlink r:id="rId702" ref="AJ20"/>
    <hyperlink r:id="rId703" ref="AL20"/>
    <hyperlink r:id="rId704" ref="AN20"/>
    <hyperlink r:id="rId705" ref="AP20"/>
    <hyperlink r:id="rId706" ref="AR20"/>
    <hyperlink r:id="rId707" ref="AT20"/>
    <hyperlink r:id="rId708" ref="AV20"/>
    <hyperlink r:id="rId709" ref="AX20"/>
    <hyperlink r:id="rId710" ref="AZ20"/>
    <hyperlink r:id="rId711" ref="BB20"/>
    <hyperlink r:id="rId712" ref="BD20"/>
    <hyperlink r:id="rId713" ref="BF20"/>
    <hyperlink r:id="rId714" ref="BH20"/>
    <hyperlink r:id="rId715" ref="BJ20"/>
    <hyperlink r:id="rId716" ref="BL20"/>
    <hyperlink r:id="rId717" ref="BN20"/>
    <hyperlink r:id="rId718" ref="BP20"/>
    <hyperlink r:id="rId719" ref="BR20"/>
    <hyperlink r:id="rId720" ref="BT20"/>
    <hyperlink r:id="rId721" ref="N21"/>
    <hyperlink r:id="rId722" ref="P21"/>
    <hyperlink r:id="rId723" ref="R21"/>
    <hyperlink r:id="rId724" ref="T21"/>
    <hyperlink r:id="rId725" ref="V21"/>
    <hyperlink r:id="rId726" ref="X21"/>
    <hyperlink r:id="rId727" ref="Z21"/>
    <hyperlink r:id="rId728" ref="AB21"/>
    <hyperlink r:id="rId729" ref="AD21"/>
    <hyperlink r:id="rId730" ref="AF21"/>
    <hyperlink r:id="rId731" ref="AH21"/>
    <hyperlink r:id="rId732" ref="AJ21"/>
    <hyperlink r:id="rId733" ref="AL21"/>
    <hyperlink r:id="rId734" ref="AN21"/>
    <hyperlink r:id="rId735" ref="AP21"/>
    <hyperlink r:id="rId736" ref="AR21"/>
    <hyperlink r:id="rId737" ref="AT21"/>
    <hyperlink r:id="rId738" ref="AV21"/>
    <hyperlink r:id="rId739" ref="AX21"/>
    <hyperlink r:id="rId740" ref="AZ21"/>
    <hyperlink r:id="rId741" ref="BB21"/>
    <hyperlink r:id="rId742" ref="BD21"/>
    <hyperlink r:id="rId743" ref="BF21"/>
    <hyperlink r:id="rId744" ref="BH21"/>
    <hyperlink r:id="rId745" ref="BJ21"/>
    <hyperlink r:id="rId746" ref="BL21"/>
    <hyperlink r:id="rId747" ref="BN21"/>
    <hyperlink r:id="rId748" ref="BP21"/>
    <hyperlink r:id="rId749" ref="BR21"/>
    <hyperlink r:id="rId750" ref="BT21"/>
    <hyperlink r:id="rId751" ref="N22"/>
    <hyperlink r:id="rId752" ref="P22"/>
    <hyperlink r:id="rId753" ref="R22"/>
    <hyperlink r:id="rId754" ref="T22"/>
    <hyperlink r:id="rId755" ref="V22"/>
    <hyperlink r:id="rId756" ref="X22"/>
    <hyperlink r:id="rId757" ref="Z22"/>
    <hyperlink r:id="rId758" ref="AB22"/>
    <hyperlink r:id="rId759" ref="AD22"/>
    <hyperlink r:id="rId760" ref="AF22"/>
    <hyperlink r:id="rId761" ref="AH22"/>
    <hyperlink r:id="rId762" ref="AJ22"/>
    <hyperlink r:id="rId763" ref="AL22"/>
    <hyperlink r:id="rId764" ref="AN22"/>
    <hyperlink r:id="rId765" ref="AP22"/>
    <hyperlink r:id="rId766" ref="AR22"/>
    <hyperlink r:id="rId767" ref="AT22"/>
    <hyperlink r:id="rId768" ref="AV22"/>
    <hyperlink r:id="rId769" ref="AX22"/>
    <hyperlink r:id="rId770" ref="AZ22"/>
    <hyperlink r:id="rId771" ref="BB22"/>
    <hyperlink r:id="rId772" ref="BD22"/>
    <hyperlink r:id="rId773" ref="BF22"/>
    <hyperlink r:id="rId774" ref="BH22"/>
    <hyperlink r:id="rId775" ref="BJ22"/>
    <hyperlink r:id="rId776" ref="BL22"/>
    <hyperlink r:id="rId777" ref="BN22"/>
    <hyperlink r:id="rId778" ref="BP22"/>
    <hyperlink r:id="rId779" ref="BR22"/>
    <hyperlink r:id="rId780" ref="BT22"/>
    <hyperlink r:id="rId781" ref="N23"/>
    <hyperlink r:id="rId782" ref="P23"/>
    <hyperlink r:id="rId783" ref="R23"/>
    <hyperlink r:id="rId784" ref="T23"/>
    <hyperlink r:id="rId785" ref="V23"/>
    <hyperlink r:id="rId786" ref="X23"/>
    <hyperlink r:id="rId787" ref="Z23"/>
    <hyperlink r:id="rId788" ref="AB23"/>
    <hyperlink r:id="rId789" ref="AD23"/>
    <hyperlink r:id="rId790" ref="AF23"/>
    <hyperlink r:id="rId791" ref="AH23"/>
    <hyperlink r:id="rId792" ref="AJ23"/>
    <hyperlink r:id="rId793" ref="AL23"/>
    <hyperlink r:id="rId794" ref="AN23"/>
    <hyperlink r:id="rId795" ref="AP23"/>
    <hyperlink r:id="rId796" ref="AR23"/>
    <hyperlink r:id="rId797" ref="AT23"/>
    <hyperlink r:id="rId798" ref="AV23"/>
    <hyperlink r:id="rId799" ref="AX23"/>
    <hyperlink r:id="rId800" ref="AZ23"/>
    <hyperlink r:id="rId801" ref="BB23"/>
    <hyperlink r:id="rId802" ref="BD23"/>
    <hyperlink r:id="rId803" ref="BF23"/>
    <hyperlink r:id="rId804" ref="BH23"/>
    <hyperlink r:id="rId805" ref="BJ23"/>
    <hyperlink r:id="rId806" ref="BL23"/>
    <hyperlink r:id="rId807" ref="BN23"/>
    <hyperlink r:id="rId808" ref="BP23"/>
    <hyperlink r:id="rId809" ref="BR23"/>
    <hyperlink r:id="rId810" ref="BT23"/>
    <hyperlink r:id="rId811" ref="N24"/>
    <hyperlink r:id="rId812" ref="P24"/>
    <hyperlink r:id="rId813" ref="R24"/>
    <hyperlink r:id="rId814" ref="T24"/>
    <hyperlink r:id="rId815" ref="V24"/>
    <hyperlink r:id="rId816" ref="X24"/>
    <hyperlink r:id="rId817" ref="Z24"/>
    <hyperlink r:id="rId818" ref="AB24"/>
    <hyperlink r:id="rId819" ref="AD24"/>
    <hyperlink r:id="rId820" ref="AF24"/>
    <hyperlink r:id="rId821" ref="AH24"/>
    <hyperlink r:id="rId822" ref="AJ24"/>
    <hyperlink r:id="rId823" ref="AL24"/>
    <hyperlink r:id="rId824" ref="AN24"/>
    <hyperlink r:id="rId825" ref="AP24"/>
    <hyperlink r:id="rId826" ref="AR24"/>
    <hyperlink r:id="rId827" ref="AT24"/>
    <hyperlink r:id="rId828" ref="AV24"/>
    <hyperlink r:id="rId829" ref="AX24"/>
    <hyperlink r:id="rId830" ref="AZ24"/>
    <hyperlink r:id="rId831" ref="BB24"/>
    <hyperlink r:id="rId832" ref="BD24"/>
    <hyperlink r:id="rId833" ref="BF24"/>
    <hyperlink r:id="rId834" ref="BH24"/>
    <hyperlink r:id="rId835" ref="BJ24"/>
    <hyperlink r:id="rId836" ref="BL24"/>
    <hyperlink r:id="rId837" ref="BN24"/>
    <hyperlink r:id="rId838" ref="BP24"/>
    <hyperlink r:id="rId839" ref="BR24"/>
    <hyperlink r:id="rId840" ref="BT24"/>
    <hyperlink r:id="rId841" ref="N25"/>
    <hyperlink r:id="rId842" ref="P25"/>
    <hyperlink r:id="rId843" ref="R25"/>
    <hyperlink r:id="rId844" ref="T25"/>
    <hyperlink r:id="rId845" ref="V25"/>
    <hyperlink r:id="rId846" ref="X25"/>
    <hyperlink r:id="rId847" ref="Z25"/>
    <hyperlink r:id="rId848" ref="AB25"/>
    <hyperlink r:id="rId849" ref="AD25"/>
    <hyperlink r:id="rId850" ref="AF25"/>
    <hyperlink r:id="rId851" ref="AH25"/>
    <hyperlink r:id="rId852" ref="AJ25"/>
    <hyperlink r:id="rId853" ref="AL25"/>
    <hyperlink r:id="rId854" ref="AN25"/>
    <hyperlink r:id="rId855" ref="AP25"/>
    <hyperlink r:id="rId856" ref="AR25"/>
    <hyperlink r:id="rId857" ref="AT25"/>
    <hyperlink r:id="rId858" ref="AV25"/>
    <hyperlink r:id="rId859" ref="AX25"/>
    <hyperlink r:id="rId860" ref="AZ25"/>
    <hyperlink r:id="rId861" ref="BB25"/>
    <hyperlink r:id="rId862" ref="BD25"/>
    <hyperlink r:id="rId863" ref="BF25"/>
    <hyperlink r:id="rId864" ref="BH25"/>
    <hyperlink r:id="rId865" ref="BJ25"/>
    <hyperlink r:id="rId866" ref="BL25"/>
    <hyperlink r:id="rId867" ref="BN25"/>
    <hyperlink r:id="rId868" ref="BP25"/>
    <hyperlink r:id="rId869" ref="BR25"/>
    <hyperlink r:id="rId870" ref="BT25"/>
    <hyperlink r:id="rId871" ref="N26"/>
    <hyperlink r:id="rId872" ref="P26"/>
    <hyperlink r:id="rId873" ref="R26"/>
    <hyperlink r:id="rId874" ref="T26"/>
    <hyperlink r:id="rId875" ref="V26"/>
    <hyperlink r:id="rId876" ref="X26"/>
    <hyperlink r:id="rId877" ref="Z26"/>
    <hyperlink r:id="rId878" ref="AB26"/>
    <hyperlink r:id="rId879" ref="AD26"/>
    <hyperlink r:id="rId880" ref="AF26"/>
    <hyperlink r:id="rId881" ref="AH26"/>
    <hyperlink r:id="rId882" ref="AJ26"/>
    <hyperlink r:id="rId883" ref="AL26"/>
    <hyperlink r:id="rId884" ref="AN26"/>
    <hyperlink r:id="rId885" ref="AP26"/>
    <hyperlink r:id="rId886" ref="AR26"/>
    <hyperlink r:id="rId887" ref="AT26"/>
    <hyperlink r:id="rId888" ref="AV26"/>
    <hyperlink r:id="rId889" ref="AX26"/>
    <hyperlink r:id="rId890" ref="AZ26"/>
    <hyperlink r:id="rId891" ref="BB26"/>
    <hyperlink r:id="rId892" ref="BD26"/>
    <hyperlink r:id="rId893" ref="BF26"/>
    <hyperlink r:id="rId894" ref="BH26"/>
    <hyperlink r:id="rId895" ref="BJ26"/>
    <hyperlink r:id="rId896" ref="BL26"/>
    <hyperlink r:id="rId897" ref="BN26"/>
    <hyperlink r:id="rId898" ref="BP26"/>
    <hyperlink r:id="rId899" ref="BR26"/>
    <hyperlink r:id="rId900" ref="BT26"/>
    <hyperlink r:id="rId901" ref="N27"/>
    <hyperlink r:id="rId902" ref="P27"/>
    <hyperlink r:id="rId903" ref="R27"/>
    <hyperlink r:id="rId904" ref="T27"/>
    <hyperlink r:id="rId905" ref="V27"/>
    <hyperlink r:id="rId906" ref="X27"/>
    <hyperlink r:id="rId907" ref="Z27"/>
    <hyperlink r:id="rId908" ref="AB27"/>
    <hyperlink r:id="rId909" ref="AD27"/>
    <hyperlink r:id="rId910" ref="AF27"/>
    <hyperlink r:id="rId911" ref="AH27"/>
    <hyperlink r:id="rId912" ref="AJ27"/>
    <hyperlink r:id="rId913" ref="AL27"/>
    <hyperlink r:id="rId914" ref="AN27"/>
    <hyperlink r:id="rId915" ref="AP27"/>
    <hyperlink r:id="rId916" ref="AR27"/>
    <hyperlink r:id="rId917" ref="AT27"/>
    <hyperlink r:id="rId918" ref="AV27"/>
    <hyperlink r:id="rId919" ref="AX27"/>
    <hyperlink r:id="rId920" ref="AZ27"/>
    <hyperlink r:id="rId921" ref="BB27"/>
    <hyperlink r:id="rId922" ref="BD27"/>
    <hyperlink r:id="rId923" ref="BF27"/>
    <hyperlink r:id="rId924" ref="BH27"/>
    <hyperlink r:id="rId925" ref="BJ27"/>
    <hyperlink r:id="rId926" ref="BL27"/>
    <hyperlink r:id="rId927" ref="BN27"/>
    <hyperlink r:id="rId928" ref="BP27"/>
    <hyperlink r:id="rId929" ref="BR27"/>
    <hyperlink r:id="rId930" ref="BT27"/>
    <hyperlink r:id="rId931" ref="N28"/>
    <hyperlink r:id="rId932" ref="P28"/>
    <hyperlink r:id="rId933" ref="R28"/>
    <hyperlink r:id="rId934" ref="T28"/>
    <hyperlink r:id="rId935" ref="V28"/>
    <hyperlink r:id="rId936" ref="X28"/>
    <hyperlink r:id="rId937" ref="Z28"/>
    <hyperlink r:id="rId938" ref="AB28"/>
    <hyperlink r:id="rId939" ref="AD28"/>
    <hyperlink r:id="rId940" ref="AF28"/>
    <hyperlink r:id="rId941" ref="AH28"/>
    <hyperlink r:id="rId942" ref="AJ28"/>
    <hyperlink r:id="rId943" ref="AL28"/>
    <hyperlink r:id="rId944" ref="AN28"/>
    <hyperlink r:id="rId945" ref="AP28"/>
    <hyperlink r:id="rId946" ref="AR28"/>
    <hyperlink r:id="rId947" ref="AT28"/>
    <hyperlink r:id="rId948" ref="AV28"/>
    <hyperlink r:id="rId949" ref="AX28"/>
    <hyperlink r:id="rId950" ref="AZ28"/>
    <hyperlink r:id="rId951" ref="BB28"/>
    <hyperlink r:id="rId952" ref="BD28"/>
    <hyperlink r:id="rId953" ref="BF28"/>
    <hyperlink r:id="rId954" ref="BH28"/>
    <hyperlink r:id="rId955" ref="BJ28"/>
    <hyperlink r:id="rId956" ref="BL28"/>
    <hyperlink r:id="rId957" ref="BN28"/>
    <hyperlink r:id="rId958" ref="BP28"/>
    <hyperlink r:id="rId959" ref="BR28"/>
    <hyperlink r:id="rId960" ref="BT28"/>
    <hyperlink r:id="rId961" ref="N29"/>
    <hyperlink r:id="rId962" ref="P29"/>
    <hyperlink r:id="rId963" ref="R29"/>
    <hyperlink r:id="rId964" ref="T29"/>
    <hyperlink r:id="rId965" ref="V29"/>
    <hyperlink r:id="rId966" ref="X29"/>
    <hyperlink r:id="rId967" ref="Z29"/>
    <hyperlink r:id="rId968" ref="AB29"/>
    <hyperlink r:id="rId969" ref="AD29"/>
    <hyperlink r:id="rId970" ref="AF29"/>
    <hyperlink r:id="rId971" ref="AH29"/>
    <hyperlink r:id="rId972" ref="AJ29"/>
    <hyperlink r:id="rId973" ref="AL29"/>
    <hyperlink r:id="rId974" ref="AN29"/>
    <hyperlink r:id="rId975" ref="AP29"/>
    <hyperlink r:id="rId976" ref="AR29"/>
    <hyperlink r:id="rId977" ref="AT29"/>
    <hyperlink r:id="rId978" ref="AV29"/>
    <hyperlink r:id="rId979" ref="AX29"/>
    <hyperlink r:id="rId980" ref="AZ29"/>
    <hyperlink r:id="rId981" ref="BB29"/>
    <hyperlink r:id="rId982" ref="BD29"/>
    <hyperlink r:id="rId983" ref="BF29"/>
    <hyperlink r:id="rId984" ref="BH29"/>
    <hyperlink r:id="rId985" ref="BJ29"/>
    <hyperlink r:id="rId986" ref="BL29"/>
    <hyperlink r:id="rId987" ref="BN29"/>
    <hyperlink r:id="rId988" ref="BP29"/>
    <hyperlink r:id="rId989" ref="BR29"/>
    <hyperlink r:id="rId990" ref="BT29"/>
    <hyperlink r:id="rId991" ref="BV29"/>
    <hyperlink r:id="rId992" ref="BX29"/>
    <hyperlink r:id="rId993" ref="BZ29"/>
    <hyperlink r:id="rId994" ref="CB29"/>
    <hyperlink r:id="rId995" ref="CD29"/>
    <hyperlink r:id="rId996" ref="CF29"/>
    <hyperlink r:id="rId997" ref="CH29"/>
    <hyperlink r:id="rId998" ref="CJ29"/>
    <hyperlink r:id="rId999" ref="CL29"/>
    <hyperlink r:id="rId1000" ref="CN29"/>
    <hyperlink r:id="rId1001" ref="CP29"/>
    <hyperlink r:id="rId1002" ref="CR29"/>
    <hyperlink r:id="rId1003" ref="CT29"/>
    <hyperlink r:id="rId1004" ref="CV29"/>
    <hyperlink r:id="rId1005" ref="CX29"/>
    <hyperlink r:id="rId1006" ref="CZ29"/>
    <hyperlink r:id="rId1007" ref="DB29"/>
    <hyperlink r:id="rId1008" ref="DD29"/>
    <hyperlink r:id="rId1009" ref="DF29"/>
    <hyperlink r:id="rId1010" ref="DH29"/>
    <hyperlink r:id="rId1011" ref="DJ29"/>
    <hyperlink r:id="rId1012" ref="DL29"/>
    <hyperlink r:id="rId1013" ref="DN29"/>
    <hyperlink r:id="rId1014" ref="DP29"/>
    <hyperlink r:id="rId1015" ref="DR29"/>
    <hyperlink r:id="rId1016" ref="DT29"/>
    <hyperlink r:id="rId1017" ref="DV29"/>
    <hyperlink r:id="rId1018" ref="DX29"/>
    <hyperlink r:id="rId1019" ref="DZ29"/>
    <hyperlink r:id="rId1020" ref="EB29"/>
    <hyperlink r:id="rId1021" ref="ED29"/>
    <hyperlink r:id="rId1022" ref="EF29"/>
    <hyperlink r:id="rId1023" ref="EH29"/>
    <hyperlink r:id="rId1024" ref="EJ29"/>
    <hyperlink r:id="rId1025" ref="EL29"/>
    <hyperlink r:id="rId1026" ref="EN29"/>
    <hyperlink r:id="rId1027" ref="EP29"/>
    <hyperlink r:id="rId1028" ref="ER29"/>
    <hyperlink r:id="rId1029" ref="ET29"/>
    <hyperlink r:id="rId1030" ref="EV29"/>
    <hyperlink r:id="rId1031" ref="EX29"/>
    <hyperlink r:id="rId1032" ref="EZ29"/>
    <hyperlink r:id="rId1033" ref="FB29"/>
    <hyperlink r:id="rId1034" ref="FD29"/>
    <hyperlink r:id="rId1035" ref="FF29"/>
    <hyperlink r:id="rId1036" ref="FH29"/>
    <hyperlink r:id="rId1037" ref="FJ29"/>
    <hyperlink r:id="rId1038" ref="FL29"/>
    <hyperlink r:id="rId1039" ref="FN29"/>
    <hyperlink r:id="rId1040" ref="FP29"/>
    <hyperlink r:id="rId1041" ref="FR29"/>
    <hyperlink r:id="rId1042" ref="FT29"/>
    <hyperlink r:id="rId1043" ref="FV29"/>
    <hyperlink r:id="rId1044" ref="FX29"/>
    <hyperlink r:id="rId1045" ref="FZ29"/>
    <hyperlink r:id="rId1046" ref="GB29"/>
    <hyperlink r:id="rId1047" ref="GD29"/>
    <hyperlink r:id="rId1048" ref="GF29"/>
    <hyperlink r:id="rId1049" ref="GH29"/>
    <hyperlink r:id="rId1050" ref="GJ29"/>
    <hyperlink r:id="rId1051" ref="GL29"/>
    <hyperlink r:id="rId1052" ref="GN29"/>
    <hyperlink r:id="rId1053" ref="GP29"/>
    <hyperlink r:id="rId1054" ref="GR29"/>
    <hyperlink r:id="rId1055" ref="GT29"/>
    <hyperlink r:id="rId1056" ref="GV29"/>
    <hyperlink r:id="rId1057" ref="GX29"/>
    <hyperlink r:id="rId1058" ref="GZ29"/>
    <hyperlink r:id="rId1059" ref="HB29"/>
    <hyperlink r:id="rId1060" ref="HD29"/>
    <hyperlink r:id="rId1061" ref="HF29"/>
    <hyperlink r:id="rId1062" ref="HH29"/>
    <hyperlink r:id="rId1063" ref="HJ29"/>
    <hyperlink r:id="rId1064" ref="HL29"/>
    <hyperlink r:id="rId1065" ref="HN29"/>
    <hyperlink r:id="rId1066" ref="HP29"/>
    <hyperlink r:id="rId1067" ref="HR29"/>
    <hyperlink r:id="rId1068" ref="HT29"/>
    <hyperlink r:id="rId1069" ref="HV29"/>
    <hyperlink r:id="rId1070" ref="HX29"/>
    <hyperlink r:id="rId1071" ref="HZ29"/>
    <hyperlink r:id="rId1072" ref="IB29"/>
    <hyperlink r:id="rId1073" ref="ID29"/>
    <hyperlink r:id="rId1074" ref="IF29"/>
    <hyperlink r:id="rId1075" ref="IH29"/>
    <hyperlink r:id="rId1076" ref="IJ29"/>
    <hyperlink r:id="rId1077" ref="IL29"/>
    <hyperlink r:id="rId1078" ref="IN29"/>
    <hyperlink r:id="rId1079" ref="IP29"/>
    <hyperlink r:id="rId1080" ref="IR29"/>
    <hyperlink r:id="rId1081" ref="IT29"/>
    <hyperlink r:id="rId1082" ref="IV29"/>
    <hyperlink r:id="rId1083" ref="IX29"/>
    <hyperlink r:id="rId1084" ref="IZ29"/>
    <hyperlink r:id="rId1085" ref="JB29"/>
    <hyperlink r:id="rId1086" ref="JD29"/>
    <hyperlink r:id="rId1087" ref="JF29"/>
    <hyperlink r:id="rId1088" ref="JH29"/>
    <hyperlink r:id="rId1089" ref="JJ29"/>
    <hyperlink r:id="rId1090" ref="JL29"/>
    <hyperlink r:id="rId1091" ref="JN29"/>
    <hyperlink r:id="rId1092" ref="JP29"/>
    <hyperlink r:id="rId1093" ref="JR29"/>
    <hyperlink r:id="rId1094" ref="JT29"/>
    <hyperlink r:id="rId1095" ref="JV29"/>
    <hyperlink r:id="rId1096" ref="JX29"/>
    <hyperlink r:id="rId1097" ref="JZ29"/>
    <hyperlink r:id="rId1098" ref="KB29"/>
    <hyperlink r:id="rId1099" ref="KD29"/>
    <hyperlink r:id="rId1100" ref="KF29"/>
    <hyperlink r:id="rId1101" ref="KH29"/>
    <hyperlink r:id="rId1102" ref="KJ29"/>
    <hyperlink r:id="rId1103" ref="KL29"/>
    <hyperlink r:id="rId1104" ref="KN29"/>
    <hyperlink r:id="rId1105" ref="KP29"/>
    <hyperlink r:id="rId1106" ref="KR29"/>
    <hyperlink r:id="rId1107" ref="KT29"/>
    <hyperlink r:id="rId1108" ref="KV29"/>
    <hyperlink r:id="rId1109" ref="KX29"/>
    <hyperlink r:id="rId1110" ref="KZ29"/>
    <hyperlink r:id="rId1111" ref="LB29"/>
    <hyperlink r:id="rId1112" ref="LD29"/>
    <hyperlink r:id="rId1113" ref="LF29"/>
    <hyperlink r:id="rId1114" ref="LH29"/>
    <hyperlink r:id="rId1115" ref="LJ29"/>
    <hyperlink r:id="rId1116" ref="LL29"/>
    <hyperlink r:id="rId1117" ref="LN29"/>
    <hyperlink r:id="rId1118" ref="LP29"/>
    <hyperlink r:id="rId1119" ref="LR29"/>
    <hyperlink r:id="rId1120" ref="LT29"/>
    <hyperlink r:id="rId1121" ref="LV29"/>
    <hyperlink r:id="rId1122" ref="LX29"/>
    <hyperlink r:id="rId1123" ref="LZ29"/>
    <hyperlink r:id="rId1124" ref="MB29"/>
    <hyperlink r:id="rId1125" ref="MD29"/>
    <hyperlink r:id="rId1126" ref="MF29"/>
    <hyperlink r:id="rId1127" ref="MH29"/>
    <hyperlink r:id="rId1128" ref="MJ29"/>
    <hyperlink r:id="rId1129" ref="ML29"/>
    <hyperlink r:id="rId1130" ref="MN29"/>
    <hyperlink r:id="rId1131" ref="MP29"/>
    <hyperlink r:id="rId1132" ref="MR29"/>
    <hyperlink r:id="rId1133" ref="MT29"/>
    <hyperlink r:id="rId1134" ref="MV29"/>
    <hyperlink r:id="rId1135" ref="MX29"/>
    <hyperlink r:id="rId1136" ref="MZ29"/>
    <hyperlink r:id="rId1137" ref="NB29"/>
    <hyperlink r:id="rId1138" ref="ND29"/>
    <hyperlink r:id="rId1139" ref="NF29"/>
    <hyperlink r:id="rId1140" ref="NH29"/>
    <hyperlink r:id="rId1141" ref="NJ29"/>
    <hyperlink r:id="rId1142" ref="NL29"/>
    <hyperlink r:id="rId1143" ref="NN29"/>
    <hyperlink r:id="rId1144" ref="NP29"/>
    <hyperlink r:id="rId1145" ref="NR29"/>
    <hyperlink r:id="rId1146" ref="NT29"/>
    <hyperlink r:id="rId1147" ref="NV29"/>
    <hyperlink r:id="rId1148" ref="NX29"/>
    <hyperlink r:id="rId1149" ref="NZ29"/>
    <hyperlink r:id="rId1150" ref="OB29"/>
    <hyperlink r:id="rId1151" ref="OD29"/>
    <hyperlink r:id="rId1152" ref="OF29"/>
    <hyperlink r:id="rId1153" ref="OH29"/>
    <hyperlink r:id="rId1154" ref="OJ29"/>
    <hyperlink r:id="rId1155" ref="OL29"/>
    <hyperlink r:id="rId1156" ref="ON29"/>
    <hyperlink r:id="rId1157" ref="OP29"/>
    <hyperlink r:id="rId1158" ref="OR29"/>
    <hyperlink r:id="rId1159" ref="OT29"/>
    <hyperlink r:id="rId1160" ref="OV29"/>
    <hyperlink r:id="rId1161" ref="N30"/>
    <hyperlink r:id="rId1162" ref="P30"/>
    <hyperlink r:id="rId1163" ref="R30"/>
    <hyperlink r:id="rId1164" ref="T30"/>
    <hyperlink r:id="rId1165" ref="V30"/>
    <hyperlink r:id="rId1166" ref="X30"/>
    <hyperlink r:id="rId1167" ref="Z30"/>
    <hyperlink r:id="rId1168" ref="AB30"/>
    <hyperlink r:id="rId1169" ref="AD30"/>
    <hyperlink r:id="rId1170" ref="AF30"/>
    <hyperlink r:id="rId1171" ref="AH30"/>
    <hyperlink r:id="rId1172" ref="AJ30"/>
    <hyperlink r:id="rId1173" ref="AL30"/>
    <hyperlink r:id="rId1174" ref="AN30"/>
    <hyperlink r:id="rId1175" ref="AP30"/>
    <hyperlink r:id="rId1176" ref="AR30"/>
    <hyperlink r:id="rId1177" ref="AT30"/>
    <hyperlink r:id="rId1178" ref="AV30"/>
    <hyperlink r:id="rId1179" ref="AX30"/>
    <hyperlink r:id="rId1180" ref="AZ30"/>
    <hyperlink r:id="rId1181" ref="BB30"/>
    <hyperlink r:id="rId1182" ref="BD30"/>
    <hyperlink r:id="rId1183" ref="BF30"/>
    <hyperlink r:id="rId1184" ref="BH30"/>
    <hyperlink r:id="rId1185" ref="BJ30"/>
    <hyperlink r:id="rId1186" ref="BL30"/>
    <hyperlink r:id="rId1187" ref="BN30"/>
    <hyperlink r:id="rId1188" ref="BP30"/>
    <hyperlink r:id="rId1189" ref="BR30"/>
    <hyperlink r:id="rId1190" ref="BT30"/>
    <hyperlink r:id="rId1191" ref="BV30"/>
    <hyperlink r:id="rId1192" ref="BX30"/>
    <hyperlink r:id="rId1193" ref="BZ30"/>
    <hyperlink r:id="rId1194" ref="CB30"/>
    <hyperlink r:id="rId1195" ref="CD30"/>
    <hyperlink r:id="rId1196" ref="CF30"/>
    <hyperlink r:id="rId1197" ref="CH30"/>
    <hyperlink r:id="rId1198" ref="CJ30"/>
    <hyperlink r:id="rId1199" ref="CL30"/>
    <hyperlink r:id="rId1200" ref="CN30"/>
    <hyperlink r:id="rId1201" ref="CP30"/>
    <hyperlink r:id="rId1202" ref="CR30"/>
    <hyperlink r:id="rId1203" ref="CT30"/>
    <hyperlink r:id="rId1204" ref="CV30"/>
    <hyperlink r:id="rId1205" ref="CX30"/>
    <hyperlink r:id="rId1206" ref="CZ30"/>
    <hyperlink r:id="rId1207" ref="DB30"/>
    <hyperlink r:id="rId1208" ref="DD30"/>
    <hyperlink r:id="rId1209" ref="DF30"/>
    <hyperlink r:id="rId1210" ref="DH30"/>
    <hyperlink r:id="rId1211" ref="N31"/>
    <hyperlink r:id="rId1212" ref="P31"/>
    <hyperlink r:id="rId1213" ref="R31"/>
    <hyperlink r:id="rId1214" ref="T31"/>
    <hyperlink r:id="rId1215" ref="V31"/>
    <hyperlink r:id="rId1216" ref="X31"/>
    <hyperlink r:id="rId1217" ref="Z31"/>
    <hyperlink r:id="rId1218" ref="AB31"/>
    <hyperlink r:id="rId1219" ref="AD31"/>
    <hyperlink r:id="rId1220" ref="AF31"/>
    <hyperlink r:id="rId1221" ref="AH31"/>
    <hyperlink r:id="rId1222" ref="AJ31"/>
    <hyperlink r:id="rId1223" ref="AL31"/>
    <hyperlink r:id="rId1224" ref="AN31"/>
    <hyperlink r:id="rId1225" ref="AP31"/>
    <hyperlink r:id="rId1226" ref="AR31"/>
    <hyperlink r:id="rId1227" ref="AT31"/>
    <hyperlink r:id="rId1228" ref="AV31"/>
    <hyperlink r:id="rId1229" ref="AX31"/>
    <hyperlink r:id="rId1230" ref="AZ31"/>
    <hyperlink r:id="rId1231" ref="BB31"/>
    <hyperlink r:id="rId1232" ref="BD31"/>
    <hyperlink r:id="rId1233" ref="BF31"/>
    <hyperlink r:id="rId1234" ref="BH31"/>
    <hyperlink r:id="rId1235" ref="BJ31"/>
    <hyperlink r:id="rId1236" ref="BL31"/>
    <hyperlink r:id="rId1237" ref="BN31"/>
    <hyperlink r:id="rId1238" ref="BP31"/>
    <hyperlink r:id="rId1239" ref="BR31"/>
    <hyperlink r:id="rId1240" ref="BT31"/>
    <hyperlink r:id="rId1241" ref="N32"/>
    <hyperlink r:id="rId1242" ref="P32"/>
    <hyperlink r:id="rId1243" ref="R32"/>
    <hyperlink r:id="rId1244" ref="T32"/>
    <hyperlink r:id="rId1245" ref="V32"/>
    <hyperlink r:id="rId1246" ref="X32"/>
    <hyperlink r:id="rId1247" ref="Z32"/>
    <hyperlink r:id="rId1248" ref="AB32"/>
    <hyperlink r:id="rId1249" ref="AD32"/>
    <hyperlink r:id="rId1250" ref="AF32"/>
    <hyperlink r:id="rId1251" ref="AH32"/>
    <hyperlink r:id="rId1252" ref="AJ32"/>
    <hyperlink r:id="rId1253" ref="AL32"/>
    <hyperlink r:id="rId1254" ref="AN32"/>
    <hyperlink r:id="rId1255" ref="AP32"/>
    <hyperlink r:id="rId1256" ref="AR32"/>
    <hyperlink r:id="rId1257" ref="AT32"/>
    <hyperlink r:id="rId1258" ref="AV32"/>
    <hyperlink r:id="rId1259" ref="AX32"/>
    <hyperlink r:id="rId1260" ref="AZ32"/>
    <hyperlink r:id="rId1261" ref="BB32"/>
    <hyperlink r:id="rId1262" ref="BD32"/>
    <hyperlink r:id="rId1263" ref="BF32"/>
    <hyperlink r:id="rId1264" ref="BH32"/>
    <hyperlink r:id="rId1265" ref="BJ32"/>
    <hyperlink r:id="rId1266" ref="BL32"/>
    <hyperlink r:id="rId1267" ref="BN32"/>
    <hyperlink r:id="rId1268" ref="BP32"/>
    <hyperlink r:id="rId1269" ref="BR32"/>
    <hyperlink r:id="rId1270" ref="BT32"/>
    <hyperlink r:id="rId1271" ref="N33"/>
    <hyperlink r:id="rId1272" ref="P33"/>
    <hyperlink r:id="rId1273" ref="R33"/>
    <hyperlink r:id="rId1274" ref="T33"/>
    <hyperlink r:id="rId1275" ref="V33"/>
    <hyperlink r:id="rId1276" ref="X33"/>
    <hyperlink r:id="rId1277" ref="Z33"/>
    <hyperlink r:id="rId1278" ref="AB33"/>
    <hyperlink r:id="rId1279" ref="AD33"/>
    <hyperlink r:id="rId1280" ref="AF33"/>
    <hyperlink r:id="rId1281" ref="AH33"/>
    <hyperlink r:id="rId1282" ref="AJ33"/>
    <hyperlink r:id="rId1283" ref="AL33"/>
    <hyperlink r:id="rId1284" ref="AN33"/>
    <hyperlink r:id="rId1285" ref="AP33"/>
    <hyperlink r:id="rId1286" ref="AR33"/>
    <hyperlink r:id="rId1287" ref="AT33"/>
    <hyperlink r:id="rId1288" ref="AV33"/>
    <hyperlink r:id="rId1289" ref="AX33"/>
    <hyperlink r:id="rId1290" ref="AZ33"/>
    <hyperlink r:id="rId1291" ref="BB33"/>
    <hyperlink r:id="rId1292" ref="BD33"/>
    <hyperlink r:id="rId1293" ref="BF33"/>
    <hyperlink r:id="rId1294" ref="BH33"/>
    <hyperlink r:id="rId1295" ref="BJ33"/>
    <hyperlink r:id="rId1296" ref="BL33"/>
    <hyperlink r:id="rId1297" ref="BN33"/>
    <hyperlink r:id="rId1298" ref="BP33"/>
    <hyperlink r:id="rId1299" ref="BR33"/>
    <hyperlink r:id="rId1300" ref="BT33"/>
    <hyperlink r:id="rId1301" ref="N34"/>
    <hyperlink r:id="rId1302" ref="P34"/>
    <hyperlink r:id="rId1303" ref="R34"/>
    <hyperlink r:id="rId1304" ref="T34"/>
    <hyperlink r:id="rId1305" ref="V34"/>
    <hyperlink r:id="rId1306" ref="X34"/>
    <hyperlink r:id="rId1307" ref="Z34"/>
    <hyperlink r:id="rId1308" ref="AB34"/>
    <hyperlink r:id="rId1309" ref="AD34"/>
    <hyperlink r:id="rId1310" ref="AF34"/>
    <hyperlink r:id="rId1311" ref="AH34"/>
    <hyperlink r:id="rId1312" ref="AJ34"/>
    <hyperlink r:id="rId1313" ref="AL34"/>
    <hyperlink r:id="rId1314" ref="AN34"/>
    <hyperlink r:id="rId1315" ref="AP34"/>
    <hyperlink r:id="rId1316" ref="AR34"/>
    <hyperlink r:id="rId1317" ref="AT34"/>
    <hyperlink r:id="rId1318" ref="AV34"/>
    <hyperlink r:id="rId1319" ref="AX34"/>
    <hyperlink r:id="rId1320" ref="AZ34"/>
    <hyperlink r:id="rId1321" ref="BB34"/>
    <hyperlink r:id="rId1322" ref="BD34"/>
    <hyperlink r:id="rId1323" ref="BF34"/>
    <hyperlink r:id="rId1324" ref="BH34"/>
    <hyperlink r:id="rId1325" ref="BJ34"/>
    <hyperlink r:id="rId1326" ref="BL34"/>
    <hyperlink r:id="rId1327" ref="BN34"/>
    <hyperlink r:id="rId1328" ref="BP34"/>
    <hyperlink r:id="rId1329" ref="BR34"/>
    <hyperlink r:id="rId1330" ref="BT34"/>
    <hyperlink r:id="rId1331" ref="BV34"/>
    <hyperlink r:id="rId1332" ref="BX34"/>
    <hyperlink r:id="rId1333" ref="BZ34"/>
    <hyperlink r:id="rId1334" ref="CB34"/>
    <hyperlink r:id="rId1335" ref="CD34"/>
    <hyperlink r:id="rId1336" ref="CF34"/>
    <hyperlink r:id="rId1337" ref="CH34"/>
    <hyperlink r:id="rId1338" ref="CJ34"/>
    <hyperlink r:id="rId1339" ref="CL34"/>
    <hyperlink r:id="rId1340" ref="CN34"/>
    <hyperlink r:id="rId1341" ref="CP34"/>
    <hyperlink r:id="rId1342" ref="CR34"/>
    <hyperlink r:id="rId1343" ref="CT34"/>
    <hyperlink r:id="rId1344" ref="CV34"/>
    <hyperlink r:id="rId1345" ref="CX34"/>
    <hyperlink r:id="rId1346" ref="CZ34"/>
    <hyperlink r:id="rId1347" ref="DB34"/>
    <hyperlink r:id="rId1348" ref="DD34"/>
    <hyperlink r:id="rId1349" ref="DF34"/>
    <hyperlink r:id="rId1350" ref="DH34"/>
    <hyperlink r:id="rId1351" ref="N35"/>
    <hyperlink r:id="rId1352" ref="P35"/>
    <hyperlink r:id="rId1353" ref="R35"/>
    <hyperlink r:id="rId1354" ref="T35"/>
    <hyperlink r:id="rId1355" ref="V35"/>
    <hyperlink r:id="rId1356" ref="X35"/>
    <hyperlink r:id="rId1357" ref="Z35"/>
    <hyperlink r:id="rId1358" ref="AB35"/>
    <hyperlink r:id="rId1359" ref="AD35"/>
    <hyperlink r:id="rId1360" ref="AF35"/>
    <hyperlink r:id="rId1361" ref="AH35"/>
    <hyperlink r:id="rId1362" ref="AJ35"/>
    <hyperlink r:id="rId1363" ref="AL35"/>
    <hyperlink r:id="rId1364" ref="AN35"/>
    <hyperlink r:id="rId1365" ref="AP35"/>
    <hyperlink r:id="rId1366" ref="AR35"/>
    <hyperlink r:id="rId1367" ref="AT35"/>
    <hyperlink r:id="rId1368" ref="AV35"/>
    <hyperlink r:id="rId1369" ref="AX35"/>
    <hyperlink r:id="rId1370" ref="AZ35"/>
    <hyperlink r:id="rId1371" ref="BB35"/>
    <hyperlink r:id="rId1372" ref="BD35"/>
    <hyperlink r:id="rId1373" ref="BF35"/>
    <hyperlink r:id="rId1374" ref="BH35"/>
    <hyperlink r:id="rId1375" ref="BJ35"/>
    <hyperlink r:id="rId1376" ref="BL35"/>
    <hyperlink r:id="rId1377" ref="BN35"/>
    <hyperlink r:id="rId1378" ref="BP35"/>
    <hyperlink r:id="rId1379" ref="BR35"/>
    <hyperlink r:id="rId1380" ref="BT35"/>
    <hyperlink r:id="rId1381" ref="N36"/>
    <hyperlink r:id="rId1382" ref="P36"/>
    <hyperlink r:id="rId1383" ref="R36"/>
    <hyperlink r:id="rId1384" ref="T36"/>
    <hyperlink r:id="rId1385" ref="V36"/>
    <hyperlink r:id="rId1386" ref="X36"/>
    <hyperlink r:id="rId1387" ref="Z36"/>
    <hyperlink r:id="rId1388" ref="AB36"/>
    <hyperlink r:id="rId1389" ref="AD36"/>
    <hyperlink r:id="rId1390" ref="AF36"/>
    <hyperlink r:id="rId1391" ref="AH36"/>
    <hyperlink r:id="rId1392" ref="AJ36"/>
    <hyperlink r:id="rId1393" ref="AL36"/>
    <hyperlink r:id="rId1394" ref="AN36"/>
    <hyperlink r:id="rId1395" ref="AP36"/>
    <hyperlink r:id="rId1396" ref="AR36"/>
    <hyperlink r:id="rId1397" ref="AT36"/>
    <hyperlink r:id="rId1398" ref="AV36"/>
    <hyperlink r:id="rId1399" ref="AX36"/>
    <hyperlink r:id="rId1400" ref="AZ36"/>
    <hyperlink r:id="rId1401" ref="BB36"/>
    <hyperlink r:id="rId1402" ref="BD36"/>
    <hyperlink r:id="rId1403" ref="BF36"/>
    <hyperlink r:id="rId1404" ref="BH36"/>
    <hyperlink r:id="rId1405" ref="BJ36"/>
    <hyperlink r:id="rId1406" ref="BL36"/>
    <hyperlink r:id="rId1407" ref="BN36"/>
    <hyperlink r:id="rId1408" ref="BP36"/>
    <hyperlink r:id="rId1409" ref="BR36"/>
    <hyperlink r:id="rId1410" ref="BT36"/>
    <hyperlink r:id="rId1411" ref="N37"/>
    <hyperlink r:id="rId1412" ref="P37"/>
    <hyperlink r:id="rId1413" ref="R37"/>
    <hyperlink r:id="rId1414" ref="T37"/>
    <hyperlink r:id="rId1415" ref="V37"/>
    <hyperlink r:id="rId1416" ref="X37"/>
    <hyperlink r:id="rId1417" ref="Z37"/>
    <hyperlink r:id="rId1418" ref="AB37"/>
    <hyperlink r:id="rId1419" ref="AD37"/>
    <hyperlink r:id="rId1420" ref="AF37"/>
    <hyperlink r:id="rId1421" ref="AH37"/>
    <hyperlink r:id="rId1422" ref="AJ37"/>
    <hyperlink r:id="rId1423" ref="AL37"/>
    <hyperlink r:id="rId1424" ref="AN37"/>
    <hyperlink r:id="rId1425" ref="AP37"/>
    <hyperlink r:id="rId1426" ref="AR37"/>
    <hyperlink r:id="rId1427" ref="AT37"/>
    <hyperlink r:id="rId1428" ref="AV37"/>
    <hyperlink r:id="rId1429" ref="AX37"/>
    <hyperlink r:id="rId1430" ref="AZ37"/>
    <hyperlink r:id="rId1431" ref="BB37"/>
    <hyperlink r:id="rId1432" ref="BD37"/>
    <hyperlink r:id="rId1433" ref="BF37"/>
    <hyperlink r:id="rId1434" ref="BH37"/>
    <hyperlink r:id="rId1435" ref="BJ37"/>
    <hyperlink r:id="rId1436" ref="BL37"/>
    <hyperlink r:id="rId1437" ref="BN37"/>
    <hyperlink r:id="rId1438" ref="BP37"/>
    <hyperlink r:id="rId1439" ref="BR37"/>
    <hyperlink r:id="rId1440" ref="BT37"/>
    <hyperlink r:id="rId1441" ref="N38"/>
    <hyperlink r:id="rId1442" ref="P38"/>
    <hyperlink r:id="rId1443" ref="R38"/>
    <hyperlink r:id="rId1444" ref="T38"/>
    <hyperlink r:id="rId1445" ref="V38"/>
    <hyperlink r:id="rId1446" ref="X38"/>
    <hyperlink r:id="rId1447" ref="Z38"/>
    <hyperlink r:id="rId1448" ref="AB38"/>
    <hyperlink r:id="rId1449" ref="AD38"/>
    <hyperlink r:id="rId1450" ref="AF38"/>
    <hyperlink r:id="rId1451" ref="AH38"/>
    <hyperlink r:id="rId1452" ref="AJ38"/>
    <hyperlink r:id="rId1453" ref="AL38"/>
    <hyperlink r:id="rId1454" ref="AN38"/>
    <hyperlink r:id="rId1455" ref="AP38"/>
    <hyperlink r:id="rId1456" ref="AR38"/>
    <hyperlink r:id="rId1457" ref="AT38"/>
    <hyperlink r:id="rId1458" ref="AV38"/>
    <hyperlink r:id="rId1459" ref="AX38"/>
    <hyperlink r:id="rId1460" ref="AZ38"/>
    <hyperlink r:id="rId1461" ref="BB38"/>
    <hyperlink r:id="rId1462" ref="BD38"/>
    <hyperlink r:id="rId1463" ref="BF38"/>
    <hyperlink r:id="rId1464" ref="BH38"/>
    <hyperlink r:id="rId1465" ref="BJ38"/>
    <hyperlink r:id="rId1466" ref="BL38"/>
    <hyperlink r:id="rId1467" ref="BN38"/>
    <hyperlink r:id="rId1468" ref="BP38"/>
    <hyperlink r:id="rId1469" ref="BR38"/>
    <hyperlink r:id="rId1470" ref="BT38"/>
    <hyperlink r:id="rId1471" ref="N39"/>
    <hyperlink r:id="rId1472" ref="P39"/>
    <hyperlink r:id="rId1473" ref="R39"/>
    <hyperlink r:id="rId1474" ref="T39"/>
    <hyperlink r:id="rId1475" ref="V39"/>
    <hyperlink r:id="rId1476" ref="X39"/>
    <hyperlink r:id="rId1477" ref="Z39"/>
    <hyperlink r:id="rId1478" ref="AB39"/>
    <hyperlink r:id="rId1479" ref="AD39"/>
    <hyperlink r:id="rId1480" ref="AF39"/>
    <hyperlink r:id="rId1481" ref="AH39"/>
    <hyperlink r:id="rId1482" ref="AJ39"/>
    <hyperlink r:id="rId1483" ref="AL39"/>
    <hyperlink r:id="rId1484" ref="AN39"/>
    <hyperlink r:id="rId1485" ref="AP39"/>
    <hyperlink r:id="rId1486" ref="AR39"/>
    <hyperlink r:id="rId1487" ref="AT39"/>
    <hyperlink r:id="rId1488" ref="AV39"/>
    <hyperlink r:id="rId1489" ref="AX39"/>
    <hyperlink r:id="rId1490" ref="AZ39"/>
    <hyperlink r:id="rId1491" ref="BB39"/>
    <hyperlink r:id="rId1492" ref="BD39"/>
    <hyperlink r:id="rId1493" ref="BF39"/>
    <hyperlink r:id="rId1494" ref="BH39"/>
    <hyperlink r:id="rId1495" ref="BJ39"/>
    <hyperlink r:id="rId1496" ref="BL39"/>
    <hyperlink r:id="rId1497" ref="BN39"/>
    <hyperlink r:id="rId1498" ref="BP39"/>
    <hyperlink r:id="rId1499" ref="BR39"/>
    <hyperlink r:id="rId1500" ref="BT39"/>
    <hyperlink r:id="rId1501" ref="N40"/>
    <hyperlink r:id="rId1502" ref="P40"/>
    <hyperlink r:id="rId1503" ref="R40"/>
    <hyperlink r:id="rId1504" ref="T40"/>
    <hyperlink r:id="rId1505" ref="V40"/>
    <hyperlink r:id="rId1506" ref="X40"/>
    <hyperlink r:id="rId1507" ref="Z40"/>
    <hyperlink r:id="rId1508" ref="AB40"/>
    <hyperlink r:id="rId1509" ref="AD40"/>
    <hyperlink r:id="rId1510" ref="AF40"/>
    <hyperlink r:id="rId1511" ref="AH40"/>
    <hyperlink r:id="rId1512" ref="AJ40"/>
    <hyperlink r:id="rId1513" ref="AL40"/>
    <hyperlink r:id="rId1514" ref="AN40"/>
    <hyperlink r:id="rId1515" ref="AP40"/>
    <hyperlink r:id="rId1516" ref="AR40"/>
    <hyperlink r:id="rId1517" ref="AT40"/>
    <hyperlink r:id="rId1518" ref="AV40"/>
    <hyperlink r:id="rId1519" ref="AX40"/>
    <hyperlink r:id="rId1520" ref="AZ40"/>
    <hyperlink r:id="rId1521" ref="BB40"/>
    <hyperlink r:id="rId1522" ref="BD40"/>
    <hyperlink r:id="rId1523" ref="BF40"/>
    <hyperlink r:id="rId1524" ref="BH40"/>
    <hyperlink r:id="rId1525" ref="BJ40"/>
    <hyperlink r:id="rId1526" ref="BL40"/>
    <hyperlink r:id="rId1527" ref="BN40"/>
    <hyperlink r:id="rId1528" ref="BP40"/>
    <hyperlink r:id="rId1529" ref="BR40"/>
    <hyperlink r:id="rId1530" ref="BT40"/>
    <hyperlink r:id="rId1531" ref="N41"/>
    <hyperlink r:id="rId1532" ref="P41"/>
    <hyperlink r:id="rId1533" ref="R41"/>
    <hyperlink r:id="rId1534" ref="T41"/>
    <hyperlink r:id="rId1535" ref="V41"/>
    <hyperlink r:id="rId1536" ref="X41"/>
    <hyperlink r:id="rId1537" ref="Z41"/>
    <hyperlink r:id="rId1538" ref="AB41"/>
    <hyperlink r:id="rId1539" ref="AD41"/>
    <hyperlink r:id="rId1540" ref="AF41"/>
    <hyperlink r:id="rId1541" ref="AH41"/>
    <hyperlink r:id="rId1542" ref="AJ41"/>
    <hyperlink r:id="rId1543" ref="AL41"/>
    <hyperlink r:id="rId1544" ref="AN41"/>
    <hyperlink r:id="rId1545" ref="AP41"/>
    <hyperlink r:id="rId1546" ref="AR41"/>
    <hyperlink r:id="rId1547" ref="AT41"/>
    <hyperlink r:id="rId1548" ref="AV41"/>
    <hyperlink r:id="rId1549" ref="AX41"/>
    <hyperlink r:id="rId1550" ref="AZ41"/>
    <hyperlink r:id="rId1551" ref="BB41"/>
    <hyperlink r:id="rId1552" ref="BD41"/>
    <hyperlink r:id="rId1553" ref="BF41"/>
    <hyperlink r:id="rId1554" ref="BH41"/>
    <hyperlink r:id="rId1555" ref="BJ41"/>
    <hyperlink r:id="rId1556" ref="BL41"/>
    <hyperlink r:id="rId1557" ref="BN41"/>
    <hyperlink r:id="rId1558" ref="BP41"/>
    <hyperlink r:id="rId1559" ref="BR41"/>
    <hyperlink r:id="rId1560" ref="BT41"/>
    <hyperlink r:id="rId1561" ref="N42"/>
    <hyperlink r:id="rId1562" ref="P42"/>
    <hyperlink r:id="rId1563" ref="R42"/>
    <hyperlink r:id="rId1564" ref="T42"/>
    <hyperlink r:id="rId1565" ref="V42"/>
    <hyperlink r:id="rId1566" ref="X42"/>
    <hyperlink r:id="rId1567" ref="Z42"/>
    <hyperlink r:id="rId1568" ref="AB42"/>
    <hyperlink r:id="rId1569" ref="AD42"/>
    <hyperlink r:id="rId1570" ref="AF42"/>
    <hyperlink r:id="rId1571" ref="AH42"/>
    <hyperlink r:id="rId1572" ref="AJ42"/>
    <hyperlink r:id="rId1573" ref="AL42"/>
    <hyperlink r:id="rId1574" ref="AN42"/>
    <hyperlink r:id="rId1575" ref="AP42"/>
    <hyperlink r:id="rId1576" ref="AR42"/>
    <hyperlink r:id="rId1577" ref="AT42"/>
    <hyperlink r:id="rId1578" ref="AV42"/>
    <hyperlink r:id="rId1579" ref="AX42"/>
    <hyperlink r:id="rId1580" ref="AZ42"/>
    <hyperlink r:id="rId1581" ref="BB42"/>
    <hyperlink r:id="rId1582" ref="BD42"/>
    <hyperlink r:id="rId1583" ref="BF42"/>
    <hyperlink r:id="rId1584" ref="BH42"/>
    <hyperlink r:id="rId1585" ref="BJ42"/>
    <hyperlink r:id="rId1586" ref="BL42"/>
    <hyperlink r:id="rId1587" ref="BN42"/>
    <hyperlink r:id="rId1588" ref="BP42"/>
    <hyperlink r:id="rId1589" ref="BR42"/>
    <hyperlink r:id="rId1590" ref="BT42"/>
    <hyperlink r:id="rId1591" ref="N43"/>
    <hyperlink r:id="rId1592" ref="P43"/>
    <hyperlink r:id="rId1593" ref="R43"/>
    <hyperlink r:id="rId1594" ref="T43"/>
    <hyperlink r:id="rId1595" ref="V43"/>
    <hyperlink r:id="rId1596" ref="X43"/>
    <hyperlink r:id="rId1597" ref="Z43"/>
    <hyperlink r:id="rId1598" ref="AB43"/>
    <hyperlink r:id="rId1599" ref="AD43"/>
    <hyperlink r:id="rId1600" ref="AF43"/>
    <hyperlink r:id="rId1601" ref="AH43"/>
    <hyperlink r:id="rId1602" ref="AJ43"/>
    <hyperlink r:id="rId1603" ref="AL43"/>
    <hyperlink r:id="rId1604" ref="AN43"/>
    <hyperlink r:id="rId1605" ref="AP43"/>
    <hyperlink r:id="rId1606" ref="AR43"/>
    <hyperlink r:id="rId1607" ref="AT43"/>
    <hyperlink r:id="rId1608" ref="AV43"/>
    <hyperlink r:id="rId1609" ref="AX43"/>
    <hyperlink r:id="rId1610" ref="AZ43"/>
    <hyperlink r:id="rId1611" ref="BB43"/>
    <hyperlink r:id="rId1612" ref="BD43"/>
    <hyperlink r:id="rId1613" ref="BF43"/>
    <hyperlink r:id="rId1614" ref="BH43"/>
    <hyperlink r:id="rId1615" ref="BJ43"/>
    <hyperlink r:id="rId1616" ref="BL43"/>
    <hyperlink r:id="rId1617" ref="BN43"/>
    <hyperlink r:id="rId1618" ref="BP43"/>
    <hyperlink r:id="rId1619" ref="BR43"/>
    <hyperlink r:id="rId1620" ref="BT43"/>
    <hyperlink r:id="rId1621" ref="N44"/>
    <hyperlink r:id="rId1622" ref="P44"/>
    <hyperlink r:id="rId1623" ref="R44"/>
    <hyperlink r:id="rId1624" ref="T44"/>
    <hyperlink r:id="rId1625" ref="V44"/>
    <hyperlink r:id="rId1626" ref="X44"/>
    <hyperlink r:id="rId1627" ref="Z44"/>
    <hyperlink r:id="rId1628" ref="AB44"/>
    <hyperlink r:id="rId1629" ref="AD44"/>
    <hyperlink r:id="rId1630" ref="AF44"/>
    <hyperlink r:id="rId1631" ref="AH44"/>
    <hyperlink r:id="rId1632" ref="AJ44"/>
    <hyperlink r:id="rId1633" ref="AL44"/>
    <hyperlink r:id="rId1634" ref="AN44"/>
    <hyperlink r:id="rId1635" ref="AP44"/>
    <hyperlink r:id="rId1636" ref="AR44"/>
    <hyperlink r:id="rId1637" ref="AT44"/>
    <hyperlink r:id="rId1638" ref="AV44"/>
    <hyperlink r:id="rId1639" ref="AX44"/>
    <hyperlink r:id="rId1640" ref="AZ44"/>
    <hyperlink r:id="rId1641" ref="BB44"/>
    <hyperlink r:id="rId1642" ref="BD44"/>
    <hyperlink r:id="rId1643" ref="BF44"/>
    <hyperlink r:id="rId1644" ref="BH44"/>
    <hyperlink r:id="rId1645" ref="BJ44"/>
    <hyperlink r:id="rId1646" ref="BL44"/>
    <hyperlink r:id="rId1647" ref="BN44"/>
    <hyperlink r:id="rId1648" ref="BP44"/>
    <hyperlink r:id="rId1649" ref="BR44"/>
    <hyperlink r:id="rId1650" ref="BT44"/>
    <hyperlink r:id="rId1651" ref="N45"/>
    <hyperlink r:id="rId1652" ref="P45"/>
    <hyperlink r:id="rId1653" ref="R45"/>
    <hyperlink r:id="rId1654" ref="T45"/>
    <hyperlink r:id="rId1655" ref="V45"/>
    <hyperlink r:id="rId1656" ref="X45"/>
    <hyperlink r:id="rId1657" ref="Z45"/>
    <hyperlink r:id="rId1658" ref="AB45"/>
    <hyperlink r:id="rId1659" ref="AD45"/>
    <hyperlink r:id="rId1660" ref="AF45"/>
    <hyperlink r:id="rId1661" ref="AH45"/>
    <hyperlink r:id="rId1662" ref="AJ45"/>
    <hyperlink r:id="rId1663" ref="AL45"/>
    <hyperlink r:id="rId1664" ref="AN45"/>
    <hyperlink r:id="rId1665" ref="AP45"/>
    <hyperlink r:id="rId1666" ref="AR45"/>
    <hyperlink r:id="rId1667" ref="AT45"/>
    <hyperlink r:id="rId1668" ref="AV45"/>
    <hyperlink r:id="rId1669" ref="AX45"/>
    <hyperlink r:id="rId1670" ref="AZ45"/>
    <hyperlink r:id="rId1671" ref="BB45"/>
    <hyperlink r:id="rId1672" ref="BD45"/>
    <hyperlink r:id="rId1673" ref="BF45"/>
    <hyperlink r:id="rId1674" ref="BH45"/>
    <hyperlink r:id="rId1675" ref="BJ45"/>
    <hyperlink r:id="rId1676" ref="BL45"/>
    <hyperlink r:id="rId1677" ref="BN45"/>
    <hyperlink r:id="rId1678" ref="BP45"/>
    <hyperlink r:id="rId1679" ref="BR45"/>
    <hyperlink r:id="rId1680" ref="BT45"/>
    <hyperlink r:id="rId1681" ref="N46"/>
    <hyperlink r:id="rId1682" ref="P46"/>
    <hyperlink r:id="rId1683" ref="R46"/>
    <hyperlink r:id="rId1684" ref="T46"/>
    <hyperlink r:id="rId1685" ref="V46"/>
    <hyperlink r:id="rId1686" ref="X46"/>
    <hyperlink r:id="rId1687" ref="Z46"/>
    <hyperlink r:id="rId1688" ref="AB46"/>
    <hyperlink r:id="rId1689" ref="AD46"/>
    <hyperlink r:id="rId1690" ref="AF46"/>
    <hyperlink r:id="rId1691" ref="AH46"/>
    <hyperlink r:id="rId1692" ref="AJ46"/>
    <hyperlink r:id="rId1693" ref="AL46"/>
    <hyperlink r:id="rId1694" ref="AN46"/>
    <hyperlink r:id="rId1695" ref="AP46"/>
    <hyperlink r:id="rId1696" ref="AR46"/>
    <hyperlink r:id="rId1697" ref="AT46"/>
    <hyperlink r:id="rId1698" ref="AV46"/>
    <hyperlink r:id="rId1699" ref="AX46"/>
    <hyperlink r:id="rId1700" ref="AZ46"/>
    <hyperlink r:id="rId1701" ref="BB46"/>
    <hyperlink r:id="rId1702" ref="BD46"/>
    <hyperlink r:id="rId1703" ref="BF46"/>
    <hyperlink r:id="rId1704" ref="BH46"/>
    <hyperlink r:id="rId1705" ref="BJ46"/>
    <hyperlink r:id="rId1706" ref="BL46"/>
    <hyperlink r:id="rId1707" ref="BN46"/>
    <hyperlink r:id="rId1708" ref="BP46"/>
    <hyperlink r:id="rId1709" ref="BR46"/>
    <hyperlink r:id="rId1710" ref="BT46"/>
    <hyperlink r:id="rId1711" ref="N47"/>
    <hyperlink r:id="rId1712" ref="P47"/>
    <hyperlink r:id="rId1713" ref="R47"/>
    <hyperlink r:id="rId1714" ref="T47"/>
    <hyperlink r:id="rId1715" ref="V47"/>
    <hyperlink r:id="rId1716" ref="X47"/>
    <hyperlink r:id="rId1717" ref="Z47"/>
    <hyperlink r:id="rId1718" ref="AB47"/>
    <hyperlink r:id="rId1719" ref="AD47"/>
    <hyperlink r:id="rId1720" ref="AF47"/>
    <hyperlink r:id="rId1721" ref="AH47"/>
    <hyperlink r:id="rId1722" ref="AJ47"/>
    <hyperlink r:id="rId1723" ref="AL47"/>
    <hyperlink r:id="rId1724" ref="AN47"/>
    <hyperlink r:id="rId1725" ref="AP47"/>
    <hyperlink r:id="rId1726" ref="AR47"/>
    <hyperlink r:id="rId1727" ref="AT47"/>
    <hyperlink r:id="rId1728" ref="AV47"/>
    <hyperlink r:id="rId1729" ref="AX47"/>
    <hyperlink r:id="rId1730" ref="AZ47"/>
    <hyperlink r:id="rId1731" ref="BB47"/>
    <hyperlink r:id="rId1732" ref="BD47"/>
    <hyperlink r:id="rId1733" ref="BF47"/>
    <hyperlink r:id="rId1734" ref="BH47"/>
    <hyperlink r:id="rId1735" ref="BJ47"/>
    <hyperlink r:id="rId1736" ref="BL47"/>
    <hyperlink r:id="rId1737" ref="BN47"/>
    <hyperlink r:id="rId1738" ref="BP47"/>
    <hyperlink r:id="rId1739" ref="BR47"/>
    <hyperlink r:id="rId1740" ref="BT47"/>
    <hyperlink r:id="rId1741" ref="N48"/>
    <hyperlink r:id="rId1742" ref="P48"/>
    <hyperlink r:id="rId1743" ref="R48"/>
    <hyperlink r:id="rId1744" ref="T48"/>
    <hyperlink r:id="rId1745" ref="V48"/>
    <hyperlink r:id="rId1746" ref="X48"/>
    <hyperlink r:id="rId1747" ref="Z48"/>
    <hyperlink r:id="rId1748" ref="AB48"/>
    <hyperlink r:id="rId1749" ref="AD48"/>
    <hyperlink r:id="rId1750" ref="AF48"/>
    <hyperlink r:id="rId1751" ref="AH48"/>
    <hyperlink r:id="rId1752" ref="AJ48"/>
    <hyperlink r:id="rId1753" ref="AL48"/>
    <hyperlink r:id="rId1754" ref="AN48"/>
    <hyperlink r:id="rId1755" ref="AP48"/>
    <hyperlink r:id="rId1756" ref="AR48"/>
    <hyperlink r:id="rId1757" ref="AT48"/>
    <hyperlink r:id="rId1758" ref="AV48"/>
    <hyperlink r:id="rId1759" ref="AX48"/>
    <hyperlink r:id="rId1760" ref="AZ48"/>
    <hyperlink r:id="rId1761" ref="BB48"/>
    <hyperlink r:id="rId1762" ref="BD48"/>
    <hyperlink r:id="rId1763" ref="BF48"/>
    <hyperlink r:id="rId1764" ref="BH48"/>
    <hyperlink r:id="rId1765" ref="BJ48"/>
    <hyperlink r:id="rId1766" ref="BL48"/>
    <hyperlink r:id="rId1767" ref="BN48"/>
    <hyperlink r:id="rId1768" ref="BP48"/>
    <hyperlink r:id="rId1769" ref="BR48"/>
    <hyperlink r:id="rId1770" ref="BT48"/>
    <hyperlink r:id="rId1771" ref="N49"/>
    <hyperlink r:id="rId1772" ref="P49"/>
    <hyperlink r:id="rId1773" ref="R49"/>
    <hyperlink r:id="rId1774" ref="T49"/>
    <hyperlink r:id="rId1775" ref="V49"/>
    <hyperlink r:id="rId1776" ref="X49"/>
    <hyperlink r:id="rId1777" ref="Z49"/>
    <hyperlink r:id="rId1778" ref="AB49"/>
    <hyperlink r:id="rId1779" ref="AD49"/>
    <hyperlink r:id="rId1780" ref="AF49"/>
    <hyperlink r:id="rId1781" ref="AH49"/>
    <hyperlink r:id="rId1782" ref="AJ49"/>
    <hyperlink r:id="rId1783" ref="AL49"/>
    <hyperlink r:id="rId1784" ref="AN49"/>
    <hyperlink r:id="rId1785" ref="AP49"/>
    <hyperlink r:id="rId1786" ref="AR49"/>
    <hyperlink r:id="rId1787" ref="AT49"/>
    <hyperlink r:id="rId1788" ref="AV49"/>
    <hyperlink r:id="rId1789" ref="AX49"/>
    <hyperlink r:id="rId1790" ref="AZ49"/>
    <hyperlink r:id="rId1791" ref="BB49"/>
    <hyperlink r:id="rId1792" ref="BD49"/>
    <hyperlink r:id="rId1793" ref="BF49"/>
    <hyperlink r:id="rId1794" ref="BH49"/>
    <hyperlink r:id="rId1795" ref="BJ49"/>
    <hyperlink r:id="rId1796" ref="BL49"/>
    <hyperlink r:id="rId1797" ref="BN49"/>
    <hyperlink r:id="rId1798" ref="BP49"/>
    <hyperlink r:id="rId1799" ref="BR49"/>
    <hyperlink r:id="rId1800" ref="BT49"/>
    <hyperlink r:id="rId1801" ref="N50"/>
    <hyperlink r:id="rId1802" ref="P50"/>
    <hyperlink r:id="rId1803" ref="R50"/>
    <hyperlink r:id="rId1804" ref="T50"/>
    <hyperlink r:id="rId1805" ref="V50"/>
    <hyperlink r:id="rId1806" ref="X50"/>
    <hyperlink r:id="rId1807" ref="Z50"/>
    <hyperlink r:id="rId1808" ref="AB50"/>
    <hyperlink r:id="rId1809" ref="AD50"/>
    <hyperlink r:id="rId1810" ref="AF50"/>
    <hyperlink r:id="rId1811" ref="AH50"/>
    <hyperlink r:id="rId1812" ref="AJ50"/>
    <hyperlink r:id="rId1813" ref="AL50"/>
    <hyperlink r:id="rId1814" ref="AN50"/>
    <hyperlink r:id="rId1815" ref="AP50"/>
    <hyperlink r:id="rId1816" ref="AR50"/>
    <hyperlink r:id="rId1817" ref="AT50"/>
    <hyperlink r:id="rId1818" ref="AV50"/>
    <hyperlink r:id="rId1819" ref="AX50"/>
    <hyperlink r:id="rId1820" ref="AZ50"/>
    <hyperlink r:id="rId1821" ref="BB50"/>
    <hyperlink r:id="rId1822" ref="BD50"/>
    <hyperlink r:id="rId1823" ref="BF50"/>
    <hyperlink r:id="rId1824" ref="BH50"/>
    <hyperlink r:id="rId1825" ref="BJ50"/>
    <hyperlink r:id="rId1826" ref="BL50"/>
    <hyperlink r:id="rId1827" ref="BN50"/>
    <hyperlink r:id="rId1828" ref="BP50"/>
    <hyperlink r:id="rId1829" ref="BR50"/>
    <hyperlink r:id="rId1830" ref="BT50"/>
    <hyperlink r:id="rId1831" ref="N51"/>
    <hyperlink r:id="rId1832" ref="P51"/>
    <hyperlink r:id="rId1833" ref="R51"/>
    <hyperlink r:id="rId1834" ref="T51"/>
    <hyperlink r:id="rId1835" ref="V51"/>
    <hyperlink r:id="rId1836" ref="X51"/>
    <hyperlink r:id="rId1837" ref="Z51"/>
    <hyperlink r:id="rId1838" ref="AB51"/>
    <hyperlink r:id="rId1839" ref="AD51"/>
    <hyperlink r:id="rId1840" ref="AF51"/>
    <hyperlink r:id="rId1841" ref="AH51"/>
    <hyperlink r:id="rId1842" ref="AJ51"/>
    <hyperlink r:id="rId1843" ref="AL51"/>
    <hyperlink r:id="rId1844" ref="AN51"/>
    <hyperlink r:id="rId1845" ref="AP51"/>
    <hyperlink r:id="rId1846" ref="AR51"/>
    <hyperlink r:id="rId1847" ref="AT51"/>
    <hyperlink r:id="rId1848" ref="AV51"/>
    <hyperlink r:id="rId1849" ref="AX51"/>
    <hyperlink r:id="rId1850" ref="AZ51"/>
    <hyperlink r:id="rId1851" ref="BB51"/>
    <hyperlink r:id="rId1852" ref="BD51"/>
    <hyperlink r:id="rId1853" ref="BF51"/>
    <hyperlink r:id="rId1854" ref="BH51"/>
    <hyperlink r:id="rId1855" ref="BJ51"/>
    <hyperlink r:id="rId1856" ref="BL51"/>
    <hyperlink r:id="rId1857" ref="BN51"/>
    <hyperlink r:id="rId1858" ref="BP51"/>
    <hyperlink r:id="rId1859" ref="BR51"/>
    <hyperlink r:id="rId1860" ref="BT51"/>
    <hyperlink r:id="rId1861" ref="N52"/>
    <hyperlink r:id="rId1862" ref="P52"/>
    <hyperlink r:id="rId1863" ref="R52"/>
    <hyperlink r:id="rId1864" ref="T52"/>
    <hyperlink r:id="rId1865" ref="V52"/>
    <hyperlink r:id="rId1866" ref="X52"/>
    <hyperlink r:id="rId1867" ref="Z52"/>
    <hyperlink r:id="rId1868" ref="AB52"/>
    <hyperlink r:id="rId1869" ref="AD52"/>
    <hyperlink r:id="rId1870" ref="AF52"/>
    <hyperlink r:id="rId1871" ref="AH52"/>
    <hyperlink r:id="rId1872" ref="AJ52"/>
    <hyperlink r:id="rId1873" ref="AL52"/>
    <hyperlink r:id="rId1874" ref="AN52"/>
    <hyperlink r:id="rId1875" ref="AP52"/>
    <hyperlink r:id="rId1876" ref="AR52"/>
    <hyperlink r:id="rId1877" ref="AT52"/>
    <hyperlink r:id="rId1878" ref="AV52"/>
    <hyperlink r:id="rId1879" ref="AX52"/>
    <hyperlink r:id="rId1880" ref="AZ52"/>
    <hyperlink r:id="rId1881" ref="BB52"/>
    <hyperlink r:id="rId1882" ref="BD52"/>
    <hyperlink r:id="rId1883" ref="BF52"/>
    <hyperlink r:id="rId1884" ref="BH52"/>
    <hyperlink r:id="rId1885" ref="BJ52"/>
    <hyperlink r:id="rId1886" ref="BL52"/>
    <hyperlink r:id="rId1887" ref="BN52"/>
    <hyperlink r:id="rId1888" ref="BP52"/>
    <hyperlink r:id="rId1889" ref="BR52"/>
    <hyperlink r:id="rId1890" ref="BT52"/>
    <hyperlink r:id="rId1891" ref="N53"/>
    <hyperlink r:id="rId1892" ref="P53"/>
    <hyperlink r:id="rId1893" ref="R53"/>
    <hyperlink r:id="rId1894" ref="T53"/>
    <hyperlink r:id="rId1895" ref="V53"/>
    <hyperlink r:id="rId1896" ref="X53"/>
    <hyperlink r:id="rId1897" ref="Z53"/>
    <hyperlink r:id="rId1898" ref="AB53"/>
    <hyperlink r:id="rId1899" ref="AD53"/>
    <hyperlink r:id="rId1900" ref="AF53"/>
    <hyperlink r:id="rId1901" ref="AH53"/>
    <hyperlink r:id="rId1902" ref="AJ53"/>
    <hyperlink r:id="rId1903" ref="AL53"/>
    <hyperlink r:id="rId1904" ref="AN53"/>
    <hyperlink r:id="rId1905" ref="AP53"/>
    <hyperlink r:id="rId1906" ref="AR53"/>
    <hyperlink r:id="rId1907" ref="AT53"/>
    <hyperlink r:id="rId1908" ref="AV53"/>
    <hyperlink r:id="rId1909" ref="AX53"/>
    <hyperlink r:id="rId1910" ref="AZ53"/>
    <hyperlink r:id="rId1911" ref="BB53"/>
    <hyperlink r:id="rId1912" ref="BD53"/>
    <hyperlink r:id="rId1913" ref="BF53"/>
    <hyperlink r:id="rId1914" ref="BH53"/>
    <hyperlink r:id="rId1915" ref="BJ53"/>
    <hyperlink r:id="rId1916" ref="BL53"/>
    <hyperlink r:id="rId1917" ref="BN53"/>
    <hyperlink r:id="rId1918" ref="BP53"/>
    <hyperlink r:id="rId1919" ref="BR53"/>
    <hyperlink r:id="rId1920" ref="BT53"/>
    <hyperlink r:id="rId1921" ref="BV53"/>
    <hyperlink r:id="rId1922" ref="BX53"/>
    <hyperlink r:id="rId1923" ref="BZ53"/>
    <hyperlink r:id="rId1924" ref="CB53"/>
    <hyperlink r:id="rId1925" ref="CD53"/>
    <hyperlink r:id="rId1926" ref="CF53"/>
    <hyperlink r:id="rId1927" ref="CH53"/>
    <hyperlink r:id="rId1928" ref="CJ53"/>
    <hyperlink r:id="rId1929" ref="CL53"/>
    <hyperlink r:id="rId1930" ref="CN53"/>
    <hyperlink r:id="rId1931" ref="CP53"/>
    <hyperlink r:id="rId1932" ref="CR53"/>
    <hyperlink r:id="rId1933" ref="CT53"/>
    <hyperlink r:id="rId1934" ref="CV53"/>
    <hyperlink r:id="rId1935" ref="CX53"/>
    <hyperlink r:id="rId1936" ref="CZ53"/>
    <hyperlink r:id="rId1937" ref="DB53"/>
    <hyperlink r:id="rId1938" ref="DD53"/>
    <hyperlink r:id="rId1939" ref="DF53"/>
    <hyperlink r:id="rId1940" ref="DH53"/>
    <hyperlink r:id="rId1941" ref="N54"/>
    <hyperlink r:id="rId1942" ref="P54"/>
    <hyperlink r:id="rId1943" ref="R54"/>
    <hyperlink r:id="rId1944" ref="T54"/>
    <hyperlink r:id="rId1945" ref="V54"/>
    <hyperlink r:id="rId1946" ref="X54"/>
    <hyperlink r:id="rId1947" ref="Z54"/>
    <hyperlink r:id="rId1948" ref="AB54"/>
    <hyperlink r:id="rId1949" ref="AD54"/>
    <hyperlink r:id="rId1950" ref="AF54"/>
    <hyperlink r:id="rId1951" ref="AH54"/>
    <hyperlink r:id="rId1952" ref="AJ54"/>
    <hyperlink r:id="rId1953" ref="AL54"/>
    <hyperlink r:id="rId1954" ref="AN54"/>
    <hyperlink r:id="rId1955" ref="AP54"/>
    <hyperlink r:id="rId1956" ref="AR54"/>
    <hyperlink r:id="rId1957" ref="AT54"/>
    <hyperlink r:id="rId1958" ref="AV54"/>
    <hyperlink r:id="rId1959" ref="AX54"/>
    <hyperlink r:id="rId1960" ref="AZ54"/>
    <hyperlink r:id="rId1961" ref="BB54"/>
    <hyperlink r:id="rId1962" ref="BD54"/>
    <hyperlink r:id="rId1963" ref="BF54"/>
    <hyperlink r:id="rId1964" ref="BH54"/>
    <hyperlink r:id="rId1965" ref="BJ54"/>
    <hyperlink r:id="rId1966" ref="BL54"/>
    <hyperlink r:id="rId1967" ref="BN54"/>
    <hyperlink r:id="rId1968" ref="BP54"/>
    <hyperlink r:id="rId1969" ref="BR54"/>
    <hyperlink r:id="rId1970" ref="BT54"/>
    <hyperlink r:id="rId1971" ref="N55"/>
    <hyperlink r:id="rId1972" ref="P55"/>
    <hyperlink r:id="rId1973" ref="R55"/>
    <hyperlink r:id="rId1974" ref="T55"/>
    <hyperlink r:id="rId1975" ref="V55"/>
    <hyperlink r:id="rId1976" ref="X55"/>
    <hyperlink r:id="rId1977" ref="Z55"/>
    <hyperlink r:id="rId1978" ref="AB55"/>
    <hyperlink r:id="rId1979" ref="AD55"/>
    <hyperlink r:id="rId1980" ref="AF55"/>
    <hyperlink r:id="rId1981" ref="AH55"/>
    <hyperlink r:id="rId1982" ref="AJ55"/>
    <hyperlink r:id="rId1983" ref="AL55"/>
    <hyperlink r:id="rId1984" ref="AN55"/>
    <hyperlink r:id="rId1985" ref="AP55"/>
    <hyperlink r:id="rId1986" ref="AR55"/>
    <hyperlink r:id="rId1987" ref="AT55"/>
    <hyperlink r:id="rId1988" ref="AV55"/>
    <hyperlink r:id="rId1989" ref="AX55"/>
    <hyperlink r:id="rId1990" ref="AZ55"/>
    <hyperlink r:id="rId1991" ref="BB55"/>
    <hyperlink r:id="rId1992" ref="BD55"/>
    <hyperlink r:id="rId1993" ref="BF55"/>
    <hyperlink r:id="rId1994" ref="BH55"/>
    <hyperlink r:id="rId1995" ref="BJ55"/>
    <hyperlink r:id="rId1996" ref="BL55"/>
    <hyperlink r:id="rId1997" ref="BN55"/>
    <hyperlink r:id="rId1998" ref="BP55"/>
    <hyperlink r:id="rId1999" ref="BR55"/>
    <hyperlink r:id="rId2000" ref="BT55"/>
    <hyperlink r:id="rId2001" ref="N56"/>
    <hyperlink r:id="rId2002" ref="P56"/>
    <hyperlink r:id="rId2003" ref="R56"/>
    <hyperlink r:id="rId2004" ref="T56"/>
    <hyperlink r:id="rId2005" ref="V56"/>
    <hyperlink r:id="rId2006" ref="X56"/>
    <hyperlink r:id="rId2007" ref="Z56"/>
    <hyperlink r:id="rId2008" ref="AB56"/>
    <hyperlink r:id="rId2009" ref="AD56"/>
    <hyperlink r:id="rId2010" ref="AF56"/>
    <hyperlink r:id="rId2011" ref="AH56"/>
    <hyperlink r:id="rId2012" ref="AJ56"/>
    <hyperlink r:id="rId2013" ref="AL56"/>
    <hyperlink r:id="rId2014" ref="AN56"/>
    <hyperlink r:id="rId2015" ref="AP56"/>
    <hyperlink r:id="rId2016" ref="AR56"/>
    <hyperlink r:id="rId2017" ref="AT56"/>
    <hyperlink r:id="rId2018" ref="AV56"/>
    <hyperlink r:id="rId2019" ref="AX56"/>
    <hyperlink r:id="rId2020" ref="AZ56"/>
    <hyperlink r:id="rId2021" ref="BB56"/>
    <hyperlink r:id="rId2022" ref="BD56"/>
    <hyperlink r:id="rId2023" ref="BF56"/>
    <hyperlink r:id="rId2024" ref="BH56"/>
    <hyperlink r:id="rId2025" ref="BJ56"/>
    <hyperlink r:id="rId2026" ref="BL56"/>
    <hyperlink r:id="rId2027" ref="BN56"/>
    <hyperlink r:id="rId2028" ref="BP56"/>
    <hyperlink r:id="rId2029" ref="BR56"/>
    <hyperlink r:id="rId2030" ref="BT56"/>
    <hyperlink r:id="rId2031" ref="N57"/>
    <hyperlink r:id="rId2032" ref="P57"/>
    <hyperlink r:id="rId2033" ref="R57"/>
    <hyperlink r:id="rId2034" ref="T57"/>
    <hyperlink r:id="rId2035" ref="V57"/>
    <hyperlink r:id="rId2036" ref="X57"/>
    <hyperlink r:id="rId2037" ref="Z57"/>
    <hyperlink r:id="rId2038" ref="AB57"/>
    <hyperlink r:id="rId2039" ref="AD57"/>
    <hyperlink r:id="rId2040" ref="AF57"/>
    <hyperlink r:id="rId2041" ref="AH57"/>
    <hyperlink r:id="rId2042" ref="AJ57"/>
    <hyperlink r:id="rId2043" ref="AL57"/>
    <hyperlink r:id="rId2044" ref="AN57"/>
    <hyperlink r:id="rId2045" ref="AP57"/>
    <hyperlink r:id="rId2046" ref="AR57"/>
    <hyperlink r:id="rId2047" ref="AT57"/>
    <hyperlink r:id="rId2048" ref="AV57"/>
    <hyperlink r:id="rId2049" ref="AX57"/>
    <hyperlink r:id="rId2050" ref="AZ57"/>
    <hyperlink r:id="rId2051" ref="BB57"/>
    <hyperlink r:id="rId2052" ref="BD57"/>
    <hyperlink r:id="rId2053" ref="BF57"/>
    <hyperlink r:id="rId2054" ref="BH57"/>
    <hyperlink r:id="rId2055" ref="BJ57"/>
    <hyperlink r:id="rId2056" ref="BL57"/>
    <hyperlink r:id="rId2057" ref="BN57"/>
    <hyperlink r:id="rId2058" ref="BP57"/>
    <hyperlink r:id="rId2059" ref="BR57"/>
    <hyperlink r:id="rId2060" ref="BT57"/>
    <hyperlink r:id="rId2061" ref="N58"/>
    <hyperlink r:id="rId2062" ref="P58"/>
    <hyperlink r:id="rId2063" ref="R58"/>
    <hyperlink r:id="rId2064" ref="T58"/>
    <hyperlink r:id="rId2065" ref="V58"/>
    <hyperlink r:id="rId2066" ref="X58"/>
    <hyperlink r:id="rId2067" ref="Z58"/>
    <hyperlink r:id="rId2068" ref="AB58"/>
    <hyperlink r:id="rId2069" ref="AD58"/>
    <hyperlink r:id="rId2070" ref="AF58"/>
    <hyperlink r:id="rId2071" ref="AH58"/>
    <hyperlink r:id="rId2072" ref="AJ58"/>
    <hyperlink r:id="rId2073" ref="AL58"/>
    <hyperlink r:id="rId2074" ref="AN58"/>
    <hyperlink r:id="rId2075" ref="AP58"/>
    <hyperlink r:id="rId2076" ref="AR58"/>
    <hyperlink r:id="rId2077" ref="AT58"/>
    <hyperlink r:id="rId2078" ref="AV58"/>
    <hyperlink r:id="rId2079" ref="AX58"/>
    <hyperlink r:id="rId2080" ref="AZ58"/>
    <hyperlink r:id="rId2081" ref="BB58"/>
    <hyperlink r:id="rId2082" ref="BD58"/>
    <hyperlink r:id="rId2083" ref="BF58"/>
    <hyperlink r:id="rId2084" ref="BH58"/>
    <hyperlink r:id="rId2085" ref="BJ58"/>
    <hyperlink r:id="rId2086" ref="BL58"/>
    <hyperlink r:id="rId2087" ref="BN58"/>
    <hyperlink r:id="rId2088" ref="BP58"/>
    <hyperlink r:id="rId2089" ref="BR58"/>
    <hyperlink r:id="rId2090" ref="BT58"/>
    <hyperlink r:id="rId2091" ref="BV58"/>
    <hyperlink r:id="rId2092" ref="BX58"/>
    <hyperlink r:id="rId2093" ref="BZ58"/>
    <hyperlink r:id="rId2094" ref="CB58"/>
    <hyperlink r:id="rId2095" ref="CD58"/>
    <hyperlink r:id="rId2096" ref="CF58"/>
    <hyperlink r:id="rId2097" ref="CH58"/>
    <hyperlink r:id="rId2098" ref="CJ58"/>
    <hyperlink r:id="rId2099" ref="CL58"/>
    <hyperlink r:id="rId2100" ref="CN58"/>
    <hyperlink r:id="rId2101" ref="CP58"/>
    <hyperlink r:id="rId2102" ref="CR58"/>
    <hyperlink r:id="rId2103" ref="CT58"/>
    <hyperlink r:id="rId2104" ref="CV58"/>
    <hyperlink r:id="rId2105" ref="CX58"/>
    <hyperlink r:id="rId2106" ref="CZ58"/>
    <hyperlink r:id="rId2107" ref="DB58"/>
    <hyperlink r:id="rId2108" ref="DD58"/>
    <hyperlink r:id="rId2109" ref="DF58"/>
    <hyperlink r:id="rId2110" ref="DH58"/>
    <hyperlink r:id="rId2111" ref="N59"/>
    <hyperlink r:id="rId2112" ref="P59"/>
    <hyperlink r:id="rId2113" ref="R59"/>
    <hyperlink r:id="rId2114" ref="T59"/>
    <hyperlink r:id="rId2115" ref="V59"/>
    <hyperlink r:id="rId2116" ref="X59"/>
    <hyperlink r:id="rId2117" ref="Z59"/>
    <hyperlink r:id="rId2118" ref="AB59"/>
    <hyperlink r:id="rId2119" ref="AD59"/>
    <hyperlink r:id="rId2120" ref="AF59"/>
    <hyperlink r:id="rId2121" ref="AH59"/>
    <hyperlink r:id="rId2122" ref="AJ59"/>
    <hyperlink r:id="rId2123" ref="AL59"/>
    <hyperlink r:id="rId2124" ref="AN59"/>
    <hyperlink r:id="rId2125" ref="AP59"/>
    <hyperlink r:id="rId2126" ref="AR59"/>
    <hyperlink r:id="rId2127" ref="AT59"/>
    <hyperlink r:id="rId2128" ref="AV59"/>
    <hyperlink r:id="rId2129" ref="AX59"/>
    <hyperlink r:id="rId2130" ref="AZ59"/>
    <hyperlink r:id="rId2131" ref="BB59"/>
    <hyperlink r:id="rId2132" ref="BD59"/>
    <hyperlink r:id="rId2133" ref="BF59"/>
    <hyperlink r:id="rId2134" ref="BH59"/>
    <hyperlink r:id="rId2135" ref="BJ59"/>
    <hyperlink r:id="rId2136" ref="BL59"/>
    <hyperlink r:id="rId2137" ref="BN59"/>
    <hyperlink r:id="rId2138" ref="BP59"/>
    <hyperlink r:id="rId2139" ref="BR59"/>
    <hyperlink r:id="rId2140" ref="BT59"/>
    <hyperlink r:id="rId2141" ref="N60"/>
    <hyperlink r:id="rId2142" ref="P60"/>
    <hyperlink r:id="rId2143" ref="R60"/>
    <hyperlink r:id="rId2144" ref="T60"/>
    <hyperlink r:id="rId2145" ref="V60"/>
    <hyperlink r:id="rId2146" ref="X60"/>
    <hyperlink r:id="rId2147" ref="Z60"/>
    <hyperlink r:id="rId2148" ref="AB60"/>
    <hyperlink r:id="rId2149" ref="AD60"/>
    <hyperlink r:id="rId2150" ref="AF60"/>
    <hyperlink r:id="rId2151" ref="AH60"/>
    <hyperlink r:id="rId2152" ref="AJ60"/>
    <hyperlink r:id="rId2153" ref="AL60"/>
    <hyperlink r:id="rId2154" ref="AN60"/>
    <hyperlink r:id="rId2155" ref="AP60"/>
    <hyperlink r:id="rId2156" ref="AR60"/>
    <hyperlink r:id="rId2157" ref="AT60"/>
    <hyperlink r:id="rId2158" ref="AV60"/>
    <hyperlink r:id="rId2159" ref="AX60"/>
    <hyperlink r:id="rId2160" ref="AZ60"/>
    <hyperlink r:id="rId2161" ref="BB60"/>
    <hyperlink r:id="rId2162" ref="BD60"/>
    <hyperlink r:id="rId2163" ref="BF60"/>
    <hyperlink r:id="rId2164" ref="BH60"/>
    <hyperlink r:id="rId2165" ref="BJ60"/>
    <hyperlink r:id="rId2166" ref="BL60"/>
    <hyperlink r:id="rId2167" ref="BN60"/>
    <hyperlink r:id="rId2168" ref="BP60"/>
    <hyperlink r:id="rId2169" ref="BR60"/>
    <hyperlink r:id="rId2170" ref="BT60"/>
    <hyperlink r:id="rId2171" ref="N61"/>
    <hyperlink r:id="rId2172" ref="P61"/>
    <hyperlink r:id="rId2173" ref="R61"/>
    <hyperlink r:id="rId2174" ref="T61"/>
    <hyperlink r:id="rId2175" ref="V61"/>
    <hyperlink r:id="rId2176" ref="X61"/>
    <hyperlink r:id="rId2177" ref="Z61"/>
    <hyperlink r:id="rId2178" ref="AB61"/>
    <hyperlink r:id="rId2179" ref="AD61"/>
    <hyperlink r:id="rId2180" ref="AF61"/>
    <hyperlink r:id="rId2181" ref="AH61"/>
    <hyperlink r:id="rId2182" ref="AJ61"/>
    <hyperlink r:id="rId2183" ref="AL61"/>
    <hyperlink r:id="rId2184" ref="AN61"/>
    <hyperlink r:id="rId2185" ref="AP61"/>
    <hyperlink r:id="rId2186" ref="AR61"/>
    <hyperlink r:id="rId2187" ref="AT61"/>
    <hyperlink r:id="rId2188" ref="AV61"/>
    <hyperlink r:id="rId2189" ref="AX61"/>
    <hyperlink r:id="rId2190" ref="AZ61"/>
    <hyperlink r:id="rId2191" ref="BB61"/>
    <hyperlink r:id="rId2192" ref="BD61"/>
    <hyperlink r:id="rId2193" ref="BF61"/>
    <hyperlink r:id="rId2194" ref="BH61"/>
    <hyperlink r:id="rId2195" ref="BJ61"/>
    <hyperlink r:id="rId2196" ref="BL61"/>
    <hyperlink r:id="rId2197" ref="BN61"/>
    <hyperlink r:id="rId2198" ref="BP61"/>
    <hyperlink r:id="rId2199" ref="BR61"/>
    <hyperlink r:id="rId2200" ref="BT61"/>
    <hyperlink r:id="rId2201" ref="BV61"/>
    <hyperlink r:id="rId2202" ref="BX61"/>
    <hyperlink r:id="rId2203" ref="BZ61"/>
    <hyperlink r:id="rId2204" ref="CB61"/>
    <hyperlink r:id="rId2205" ref="CD61"/>
    <hyperlink r:id="rId2206" ref="CF61"/>
    <hyperlink r:id="rId2207" ref="CH61"/>
    <hyperlink r:id="rId2208" ref="CJ61"/>
    <hyperlink r:id="rId2209" ref="CL61"/>
    <hyperlink r:id="rId2210" ref="CN61"/>
    <hyperlink r:id="rId2211" ref="CP61"/>
    <hyperlink r:id="rId2212" ref="CR61"/>
    <hyperlink r:id="rId2213" ref="CT61"/>
    <hyperlink r:id="rId2214" ref="CV61"/>
    <hyperlink r:id="rId2215" ref="CX61"/>
    <hyperlink r:id="rId2216" ref="CZ61"/>
    <hyperlink r:id="rId2217" ref="DB61"/>
    <hyperlink r:id="rId2218" ref="DD61"/>
    <hyperlink r:id="rId2219" ref="DF61"/>
    <hyperlink r:id="rId2220" ref="DH61"/>
    <hyperlink r:id="rId2221" ref="DJ61"/>
    <hyperlink r:id="rId2222" ref="DL61"/>
    <hyperlink r:id="rId2223" ref="DN61"/>
    <hyperlink r:id="rId2224" ref="DP61"/>
    <hyperlink r:id="rId2225" ref="DR61"/>
    <hyperlink r:id="rId2226" ref="DT61"/>
    <hyperlink r:id="rId2227" ref="DV61"/>
    <hyperlink r:id="rId2228" ref="DX61"/>
    <hyperlink r:id="rId2229" ref="DZ61"/>
    <hyperlink r:id="rId2230" ref="EB61"/>
    <hyperlink r:id="rId2231" ref="ED61"/>
    <hyperlink r:id="rId2232" ref="EF61"/>
    <hyperlink r:id="rId2233" ref="EH61"/>
    <hyperlink r:id="rId2234" ref="EJ61"/>
    <hyperlink r:id="rId2235" ref="EL61"/>
    <hyperlink r:id="rId2236" ref="EN61"/>
    <hyperlink r:id="rId2237" ref="EP61"/>
    <hyperlink r:id="rId2238" ref="ER61"/>
    <hyperlink r:id="rId2239" ref="ET61"/>
    <hyperlink r:id="rId2240" ref="EV61"/>
    <hyperlink r:id="rId2241" ref="EX61"/>
    <hyperlink r:id="rId2242" ref="EZ61"/>
    <hyperlink r:id="rId2243" ref="FB61"/>
    <hyperlink r:id="rId2244" ref="FD61"/>
    <hyperlink r:id="rId2245" ref="FF61"/>
    <hyperlink r:id="rId2246" ref="FH61"/>
    <hyperlink r:id="rId2247" ref="FJ61"/>
    <hyperlink r:id="rId2248" ref="FL61"/>
    <hyperlink r:id="rId2249" ref="FN61"/>
    <hyperlink r:id="rId2250" ref="FP61"/>
    <hyperlink r:id="rId2251" ref="FR61"/>
    <hyperlink r:id="rId2252" ref="FT61"/>
    <hyperlink r:id="rId2253" ref="FV61"/>
    <hyperlink r:id="rId2254" ref="FX61"/>
    <hyperlink r:id="rId2255" ref="FZ61"/>
    <hyperlink r:id="rId2256" ref="GB61"/>
    <hyperlink r:id="rId2257" ref="GD61"/>
    <hyperlink r:id="rId2258" ref="GF61"/>
    <hyperlink r:id="rId2259" ref="GH61"/>
    <hyperlink r:id="rId2260" ref="GJ61"/>
    <hyperlink r:id="rId2261" ref="GL61"/>
    <hyperlink r:id="rId2262" ref="GN61"/>
    <hyperlink r:id="rId2263" ref="GP61"/>
    <hyperlink r:id="rId2264" ref="GR61"/>
    <hyperlink r:id="rId2265" ref="GT61"/>
    <hyperlink r:id="rId2266" ref="GV61"/>
    <hyperlink r:id="rId2267" ref="GX61"/>
    <hyperlink r:id="rId2268" ref="GZ61"/>
    <hyperlink r:id="rId2269" ref="HB61"/>
    <hyperlink r:id="rId2270" ref="HD61"/>
    <hyperlink r:id="rId2271" ref="HF61"/>
    <hyperlink r:id="rId2272" ref="HH61"/>
    <hyperlink r:id="rId2273" ref="HJ61"/>
    <hyperlink r:id="rId2274" ref="HL61"/>
    <hyperlink r:id="rId2275" ref="HN61"/>
    <hyperlink r:id="rId2276" ref="HP61"/>
    <hyperlink r:id="rId2277" ref="HR61"/>
    <hyperlink r:id="rId2278" ref="HT61"/>
    <hyperlink r:id="rId2279" ref="HV61"/>
    <hyperlink r:id="rId2280" ref="HX61"/>
    <hyperlink r:id="rId2281" ref="HZ61"/>
    <hyperlink r:id="rId2282" ref="IB61"/>
    <hyperlink r:id="rId2283" ref="ID61"/>
    <hyperlink r:id="rId2284" ref="IF61"/>
    <hyperlink r:id="rId2285" ref="IH61"/>
    <hyperlink r:id="rId2286" ref="IJ61"/>
    <hyperlink r:id="rId2287" ref="IL61"/>
    <hyperlink r:id="rId2288" ref="IN61"/>
    <hyperlink r:id="rId2289" ref="IP61"/>
    <hyperlink r:id="rId2290" ref="IR61"/>
    <hyperlink r:id="rId2291" ref="IT61"/>
    <hyperlink r:id="rId2292" ref="IV61"/>
    <hyperlink r:id="rId2293" ref="IX61"/>
    <hyperlink r:id="rId2294" ref="IZ61"/>
    <hyperlink r:id="rId2295" ref="JB61"/>
    <hyperlink r:id="rId2296" ref="JD61"/>
    <hyperlink r:id="rId2297" ref="JF61"/>
    <hyperlink r:id="rId2298" ref="JH61"/>
    <hyperlink r:id="rId2299" ref="JJ61"/>
    <hyperlink r:id="rId2300" ref="JL61"/>
    <hyperlink r:id="rId2301" ref="JN61"/>
    <hyperlink r:id="rId2302" ref="JP61"/>
    <hyperlink r:id="rId2303" ref="JR61"/>
    <hyperlink r:id="rId2304" ref="JT61"/>
    <hyperlink r:id="rId2305" ref="JV61"/>
    <hyperlink r:id="rId2306" ref="JX61"/>
    <hyperlink r:id="rId2307" ref="JZ61"/>
    <hyperlink r:id="rId2308" ref="KB61"/>
    <hyperlink r:id="rId2309" ref="KD61"/>
    <hyperlink r:id="rId2310" ref="KF61"/>
    <hyperlink r:id="rId2311" ref="KH61"/>
    <hyperlink r:id="rId2312" ref="KJ61"/>
    <hyperlink r:id="rId2313" ref="KL61"/>
    <hyperlink r:id="rId2314" ref="KN61"/>
    <hyperlink r:id="rId2315" ref="KP61"/>
    <hyperlink r:id="rId2316" ref="KR61"/>
    <hyperlink r:id="rId2317" ref="KT61"/>
    <hyperlink r:id="rId2318" ref="KV61"/>
    <hyperlink r:id="rId2319" ref="KX61"/>
    <hyperlink r:id="rId2320" ref="KZ61"/>
    <hyperlink r:id="rId2321" ref="LB61"/>
    <hyperlink r:id="rId2322" ref="LD61"/>
    <hyperlink r:id="rId2323" ref="LF61"/>
    <hyperlink r:id="rId2324" ref="LH61"/>
    <hyperlink r:id="rId2325" ref="LJ61"/>
    <hyperlink r:id="rId2326" ref="LL61"/>
    <hyperlink r:id="rId2327" ref="LN61"/>
    <hyperlink r:id="rId2328" ref="LP61"/>
    <hyperlink r:id="rId2329" ref="LR61"/>
    <hyperlink r:id="rId2330" ref="LT61"/>
    <hyperlink r:id="rId2331" ref="LV61"/>
    <hyperlink r:id="rId2332" ref="LX61"/>
    <hyperlink r:id="rId2333" ref="LZ61"/>
    <hyperlink r:id="rId2334" ref="MB61"/>
    <hyperlink r:id="rId2335" ref="MD61"/>
    <hyperlink r:id="rId2336" ref="MF61"/>
    <hyperlink r:id="rId2337" ref="MH61"/>
    <hyperlink r:id="rId2338" ref="MJ61"/>
    <hyperlink r:id="rId2339" ref="ML61"/>
    <hyperlink r:id="rId2340" ref="MN61"/>
    <hyperlink r:id="rId2341" ref="MP61"/>
    <hyperlink r:id="rId2342" ref="MR61"/>
    <hyperlink r:id="rId2343" ref="MT61"/>
    <hyperlink r:id="rId2344" ref="MV61"/>
    <hyperlink r:id="rId2345" ref="MX61"/>
    <hyperlink r:id="rId2346" ref="MZ61"/>
    <hyperlink r:id="rId2347" ref="NB61"/>
    <hyperlink r:id="rId2348" ref="ND61"/>
    <hyperlink r:id="rId2349" ref="NF61"/>
    <hyperlink r:id="rId2350" ref="NH61"/>
    <hyperlink r:id="rId2351" ref="NJ61"/>
    <hyperlink r:id="rId2352" ref="NL61"/>
    <hyperlink r:id="rId2353" ref="NN61"/>
    <hyperlink r:id="rId2354" ref="NP61"/>
    <hyperlink r:id="rId2355" ref="NR61"/>
    <hyperlink r:id="rId2356" ref="NT61"/>
    <hyperlink r:id="rId2357" ref="NV61"/>
    <hyperlink r:id="rId2358" ref="NX61"/>
    <hyperlink r:id="rId2359" ref="NZ61"/>
    <hyperlink r:id="rId2360" ref="OB61"/>
    <hyperlink r:id="rId2361" ref="OD61"/>
    <hyperlink r:id="rId2362" ref="OF61"/>
    <hyperlink r:id="rId2363" ref="OH61"/>
    <hyperlink r:id="rId2364" ref="OJ61"/>
    <hyperlink r:id="rId2365" ref="OL61"/>
    <hyperlink r:id="rId2366" ref="ON61"/>
    <hyperlink r:id="rId2367" ref="OP61"/>
    <hyperlink r:id="rId2368" ref="OR61"/>
    <hyperlink r:id="rId2369" ref="OT61"/>
    <hyperlink r:id="rId2370" ref="OV61"/>
    <hyperlink r:id="rId2371" ref="N62"/>
    <hyperlink r:id="rId2372" ref="P62"/>
    <hyperlink r:id="rId2373" ref="R62"/>
    <hyperlink r:id="rId2374" ref="T62"/>
    <hyperlink r:id="rId2375" ref="V62"/>
    <hyperlink r:id="rId2376" ref="X62"/>
    <hyperlink r:id="rId2377" ref="Z62"/>
    <hyperlink r:id="rId2378" ref="AB62"/>
    <hyperlink r:id="rId2379" ref="AD62"/>
    <hyperlink r:id="rId2380" ref="AF62"/>
    <hyperlink r:id="rId2381" ref="AH62"/>
    <hyperlink r:id="rId2382" ref="AJ62"/>
    <hyperlink r:id="rId2383" ref="AL62"/>
    <hyperlink r:id="rId2384" ref="AN62"/>
    <hyperlink r:id="rId2385" ref="AP62"/>
    <hyperlink r:id="rId2386" ref="AR62"/>
    <hyperlink r:id="rId2387" ref="AT62"/>
    <hyperlink r:id="rId2388" ref="AV62"/>
    <hyperlink r:id="rId2389" ref="AX62"/>
    <hyperlink r:id="rId2390" ref="AZ62"/>
    <hyperlink r:id="rId2391" ref="BB62"/>
    <hyperlink r:id="rId2392" ref="BD62"/>
    <hyperlink r:id="rId2393" ref="BF62"/>
    <hyperlink r:id="rId2394" ref="BH62"/>
    <hyperlink r:id="rId2395" ref="BJ62"/>
    <hyperlink r:id="rId2396" ref="BL62"/>
    <hyperlink r:id="rId2397" ref="BN62"/>
    <hyperlink r:id="rId2398" ref="BP62"/>
    <hyperlink r:id="rId2399" ref="BR62"/>
    <hyperlink r:id="rId2400" ref="BT62"/>
    <hyperlink r:id="rId2401" ref="BV62"/>
    <hyperlink r:id="rId2402" ref="BX62"/>
    <hyperlink r:id="rId2403" ref="BZ62"/>
    <hyperlink r:id="rId2404" ref="CB62"/>
    <hyperlink r:id="rId2405" ref="CD62"/>
    <hyperlink r:id="rId2406" ref="CF62"/>
    <hyperlink r:id="rId2407" ref="CH62"/>
    <hyperlink r:id="rId2408" ref="CJ62"/>
    <hyperlink r:id="rId2409" ref="CL62"/>
    <hyperlink r:id="rId2410" ref="CN62"/>
    <hyperlink r:id="rId2411" ref="CP62"/>
    <hyperlink r:id="rId2412" ref="CR62"/>
    <hyperlink r:id="rId2413" ref="CT62"/>
    <hyperlink r:id="rId2414" ref="CV62"/>
    <hyperlink r:id="rId2415" ref="CX62"/>
    <hyperlink r:id="rId2416" ref="CZ62"/>
    <hyperlink r:id="rId2417" ref="DB62"/>
    <hyperlink r:id="rId2418" ref="DD62"/>
    <hyperlink r:id="rId2419" ref="DF62"/>
    <hyperlink r:id="rId2420" ref="DH62"/>
    <hyperlink r:id="rId2421" ref="DJ62"/>
    <hyperlink r:id="rId2422" ref="DL62"/>
    <hyperlink r:id="rId2423" ref="DN62"/>
    <hyperlink r:id="rId2424" ref="DP62"/>
    <hyperlink r:id="rId2425" ref="DR62"/>
    <hyperlink r:id="rId2426" ref="DT62"/>
    <hyperlink r:id="rId2427" ref="DV62"/>
    <hyperlink r:id="rId2428" ref="DX62"/>
    <hyperlink r:id="rId2429" ref="DZ62"/>
    <hyperlink r:id="rId2430" ref="EB62"/>
    <hyperlink r:id="rId2431" ref="ED62"/>
    <hyperlink r:id="rId2432" ref="EF62"/>
    <hyperlink r:id="rId2433" ref="EH62"/>
    <hyperlink r:id="rId2434" ref="EJ62"/>
    <hyperlink r:id="rId2435" ref="EL62"/>
    <hyperlink r:id="rId2436" ref="EN62"/>
    <hyperlink r:id="rId2437" ref="EP62"/>
    <hyperlink r:id="rId2438" ref="ER62"/>
    <hyperlink r:id="rId2439" ref="ET62"/>
    <hyperlink r:id="rId2440" ref="EV62"/>
    <hyperlink r:id="rId2441" ref="EX62"/>
    <hyperlink r:id="rId2442" ref="EZ62"/>
    <hyperlink r:id="rId2443" ref="FB62"/>
    <hyperlink r:id="rId2444" ref="FD62"/>
    <hyperlink r:id="rId2445" ref="FF62"/>
    <hyperlink r:id="rId2446" ref="FH62"/>
    <hyperlink r:id="rId2447" ref="FJ62"/>
    <hyperlink r:id="rId2448" ref="FL62"/>
    <hyperlink r:id="rId2449" ref="FN62"/>
    <hyperlink r:id="rId2450" ref="FP62"/>
    <hyperlink r:id="rId2451" ref="FR62"/>
    <hyperlink r:id="rId2452" ref="FT62"/>
    <hyperlink r:id="rId2453" ref="FV62"/>
    <hyperlink r:id="rId2454" ref="FX62"/>
    <hyperlink r:id="rId2455" ref="FZ62"/>
    <hyperlink r:id="rId2456" ref="GB62"/>
    <hyperlink r:id="rId2457" ref="GD62"/>
    <hyperlink r:id="rId2458" ref="GF62"/>
    <hyperlink r:id="rId2459" ref="GH62"/>
    <hyperlink r:id="rId2460" ref="GJ62"/>
    <hyperlink r:id="rId2461" ref="GL62"/>
    <hyperlink r:id="rId2462" ref="GN62"/>
    <hyperlink r:id="rId2463" ref="GP62"/>
    <hyperlink r:id="rId2464" ref="GR62"/>
    <hyperlink r:id="rId2465" ref="GT62"/>
    <hyperlink r:id="rId2466" ref="GV62"/>
    <hyperlink r:id="rId2467" ref="GX62"/>
    <hyperlink r:id="rId2468" ref="GZ62"/>
    <hyperlink r:id="rId2469" ref="HB62"/>
    <hyperlink r:id="rId2470" ref="HD62"/>
    <hyperlink r:id="rId2471" ref="HF62"/>
    <hyperlink r:id="rId2472" ref="HH62"/>
    <hyperlink r:id="rId2473" ref="HJ62"/>
    <hyperlink r:id="rId2474" ref="HL62"/>
    <hyperlink r:id="rId2475" ref="HN62"/>
    <hyperlink r:id="rId2476" ref="HP62"/>
    <hyperlink r:id="rId2477" ref="HR62"/>
    <hyperlink r:id="rId2478" ref="HT62"/>
    <hyperlink r:id="rId2479" ref="HV62"/>
    <hyperlink r:id="rId2480" ref="HX62"/>
    <hyperlink r:id="rId2481" ref="HZ62"/>
    <hyperlink r:id="rId2482" ref="IB62"/>
    <hyperlink r:id="rId2483" ref="ID62"/>
    <hyperlink r:id="rId2484" ref="IF62"/>
    <hyperlink r:id="rId2485" ref="IH62"/>
    <hyperlink r:id="rId2486" ref="IJ62"/>
    <hyperlink r:id="rId2487" ref="IL62"/>
    <hyperlink r:id="rId2488" ref="IN62"/>
    <hyperlink r:id="rId2489" ref="IP62"/>
    <hyperlink r:id="rId2490" ref="IR62"/>
    <hyperlink r:id="rId2491" ref="IT62"/>
    <hyperlink r:id="rId2492" ref="IV62"/>
    <hyperlink r:id="rId2493" ref="IX62"/>
    <hyperlink r:id="rId2494" ref="IZ62"/>
    <hyperlink r:id="rId2495" ref="JB62"/>
    <hyperlink r:id="rId2496" ref="JD62"/>
    <hyperlink r:id="rId2497" ref="JF62"/>
    <hyperlink r:id="rId2498" ref="JH62"/>
    <hyperlink r:id="rId2499" ref="JJ62"/>
    <hyperlink r:id="rId2500" ref="JL62"/>
    <hyperlink r:id="rId2501" ref="JN62"/>
    <hyperlink r:id="rId2502" ref="JP62"/>
    <hyperlink r:id="rId2503" ref="JR62"/>
    <hyperlink r:id="rId2504" ref="JT62"/>
    <hyperlink r:id="rId2505" ref="JV62"/>
    <hyperlink r:id="rId2506" ref="JX62"/>
    <hyperlink r:id="rId2507" ref="JZ62"/>
    <hyperlink r:id="rId2508" ref="KB62"/>
    <hyperlink r:id="rId2509" ref="KD62"/>
    <hyperlink r:id="rId2510" ref="KF62"/>
    <hyperlink r:id="rId2511" ref="KH62"/>
    <hyperlink r:id="rId2512" ref="KJ62"/>
    <hyperlink r:id="rId2513" ref="KL62"/>
    <hyperlink r:id="rId2514" ref="KN62"/>
    <hyperlink r:id="rId2515" ref="KP62"/>
    <hyperlink r:id="rId2516" ref="KR62"/>
    <hyperlink r:id="rId2517" ref="KT62"/>
    <hyperlink r:id="rId2518" ref="KV62"/>
    <hyperlink r:id="rId2519" ref="KX62"/>
    <hyperlink r:id="rId2520" ref="KZ62"/>
    <hyperlink r:id="rId2521" ref="N63"/>
    <hyperlink r:id="rId2522" ref="P63"/>
    <hyperlink r:id="rId2523" ref="R63"/>
    <hyperlink r:id="rId2524" ref="T63"/>
    <hyperlink r:id="rId2525" ref="V63"/>
    <hyperlink r:id="rId2526" ref="X63"/>
    <hyperlink r:id="rId2527" ref="Z63"/>
    <hyperlink r:id="rId2528" ref="AB63"/>
    <hyperlink r:id="rId2529" ref="AD63"/>
    <hyperlink r:id="rId2530" ref="AF63"/>
    <hyperlink r:id="rId2531" ref="AH63"/>
    <hyperlink r:id="rId2532" ref="AJ63"/>
    <hyperlink r:id="rId2533" ref="AL63"/>
    <hyperlink r:id="rId2534" ref="AN63"/>
    <hyperlink r:id="rId2535" ref="AP63"/>
    <hyperlink r:id="rId2536" ref="AR63"/>
    <hyperlink r:id="rId2537" ref="AT63"/>
    <hyperlink r:id="rId2538" ref="AV63"/>
    <hyperlink r:id="rId2539" ref="AX63"/>
    <hyperlink r:id="rId2540" ref="AZ63"/>
    <hyperlink r:id="rId2541" ref="BB63"/>
    <hyperlink r:id="rId2542" ref="BD63"/>
    <hyperlink r:id="rId2543" ref="BF63"/>
    <hyperlink r:id="rId2544" ref="BH63"/>
    <hyperlink r:id="rId2545" ref="BJ63"/>
    <hyperlink r:id="rId2546" ref="BL63"/>
    <hyperlink r:id="rId2547" ref="BN63"/>
    <hyperlink r:id="rId2548" ref="BP63"/>
    <hyperlink r:id="rId2549" ref="BR63"/>
    <hyperlink r:id="rId2550" ref="BT63"/>
    <hyperlink r:id="rId2551" ref="N64"/>
    <hyperlink r:id="rId2552" ref="P64"/>
    <hyperlink r:id="rId2553" ref="R64"/>
    <hyperlink r:id="rId2554" ref="T64"/>
    <hyperlink r:id="rId2555" ref="V64"/>
    <hyperlink r:id="rId2556" ref="X64"/>
    <hyperlink r:id="rId2557" ref="Z64"/>
    <hyperlink r:id="rId2558" ref="AB64"/>
    <hyperlink r:id="rId2559" ref="AD64"/>
    <hyperlink r:id="rId2560" ref="AF64"/>
    <hyperlink r:id="rId2561" ref="AH64"/>
    <hyperlink r:id="rId2562" ref="AJ64"/>
    <hyperlink r:id="rId2563" ref="AL64"/>
    <hyperlink r:id="rId2564" ref="AN64"/>
    <hyperlink r:id="rId2565" ref="AP64"/>
    <hyperlink r:id="rId2566" ref="AR64"/>
    <hyperlink r:id="rId2567" ref="AT64"/>
    <hyperlink r:id="rId2568" ref="AV64"/>
    <hyperlink r:id="rId2569" ref="AX64"/>
    <hyperlink r:id="rId2570" ref="AZ64"/>
    <hyperlink r:id="rId2571" ref="BB64"/>
    <hyperlink r:id="rId2572" ref="BD64"/>
    <hyperlink r:id="rId2573" ref="BF64"/>
    <hyperlink r:id="rId2574" ref="BH64"/>
    <hyperlink r:id="rId2575" ref="BJ64"/>
    <hyperlink r:id="rId2576" ref="BL64"/>
    <hyperlink r:id="rId2577" ref="BN64"/>
    <hyperlink r:id="rId2578" ref="BP64"/>
    <hyperlink r:id="rId2579" ref="BR64"/>
    <hyperlink r:id="rId2580" ref="BT64"/>
    <hyperlink r:id="rId2581" ref="N65"/>
    <hyperlink r:id="rId2582" ref="P65"/>
    <hyperlink r:id="rId2583" ref="R65"/>
    <hyperlink r:id="rId2584" ref="T65"/>
    <hyperlink r:id="rId2585" ref="V65"/>
    <hyperlink r:id="rId2586" ref="X65"/>
    <hyperlink r:id="rId2587" ref="Z65"/>
    <hyperlink r:id="rId2588" ref="AB65"/>
    <hyperlink r:id="rId2589" ref="AD65"/>
    <hyperlink r:id="rId2590" ref="AF65"/>
    <hyperlink r:id="rId2591" ref="AH65"/>
    <hyperlink r:id="rId2592" ref="AJ65"/>
    <hyperlink r:id="rId2593" ref="AL65"/>
    <hyperlink r:id="rId2594" ref="AN65"/>
    <hyperlink r:id="rId2595" ref="AP65"/>
    <hyperlink r:id="rId2596" ref="AR65"/>
    <hyperlink r:id="rId2597" ref="AT65"/>
    <hyperlink r:id="rId2598" ref="AV65"/>
    <hyperlink r:id="rId2599" ref="AX65"/>
    <hyperlink r:id="rId2600" ref="AZ65"/>
    <hyperlink r:id="rId2601" ref="BB65"/>
    <hyperlink r:id="rId2602" ref="BD65"/>
    <hyperlink r:id="rId2603" ref="BF65"/>
    <hyperlink r:id="rId2604" ref="BH65"/>
    <hyperlink r:id="rId2605" ref="BJ65"/>
    <hyperlink r:id="rId2606" ref="BL65"/>
    <hyperlink r:id="rId2607" ref="BN65"/>
    <hyperlink r:id="rId2608" ref="BP65"/>
    <hyperlink r:id="rId2609" ref="BR65"/>
    <hyperlink r:id="rId2610" ref="BT65"/>
    <hyperlink r:id="rId2611" ref="N66"/>
    <hyperlink r:id="rId2612" ref="P66"/>
    <hyperlink r:id="rId2613" ref="R66"/>
    <hyperlink r:id="rId2614" ref="T66"/>
    <hyperlink r:id="rId2615" ref="V66"/>
    <hyperlink r:id="rId2616" ref="X66"/>
    <hyperlink r:id="rId2617" ref="Z66"/>
    <hyperlink r:id="rId2618" ref="AB66"/>
    <hyperlink r:id="rId2619" ref="AD66"/>
    <hyperlink r:id="rId2620" ref="AF66"/>
    <hyperlink r:id="rId2621" ref="AH66"/>
    <hyperlink r:id="rId2622" ref="AJ66"/>
    <hyperlink r:id="rId2623" ref="AL66"/>
    <hyperlink r:id="rId2624" ref="AN66"/>
    <hyperlink r:id="rId2625" ref="AP66"/>
    <hyperlink r:id="rId2626" ref="AR66"/>
    <hyperlink r:id="rId2627" ref="AT66"/>
    <hyperlink r:id="rId2628" ref="AV66"/>
    <hyperlink r:id="rId2629" ref="AX66"/>
    <hyperlink r:id="rId2630" ref="AZ66"/>
    <hyperlink r:id="rId2631" ref="BB66"/>
    <hyperlink r:id="rId2632" ref="BD66"/>
    <hyperlink r:id="rId2633" ref="BF66"/>
    <hyperlink r:id="rId2634" ref="BH66"/>
    <hyperlink r:id="rId2635" ref="BJ66"/>
    <hyperlink r:id="rId2636" ref="BL66"/>
    <hyperlink r:id="rId2637" ref="BN66"/>
    <hyperlink r:id="rId2638" ref="BP66"/>
    <hyperlink r:id="rId2639" ref="BR66"/>
    <hyperlink r:id="rId2640" ref="BT66"/>
    <hyperlink r:id="rId2641" ref="N67"/>
    <hyperlink r:id="rId2642" ref="P67"/>
    <hyperlink r:id="rId2643" ref="R67"/>
    <hyperlink r:id="rId2644" ref="T67"/>
    <hyperlink r:id="rId2645" ref="V67"/>
    <hyperlink r:id="rId2646" ref="X67"/>
    <hyperlink r:id="rId2647" ref="Z67"/>
    <hyperlink r:id="rId2648" ref="AB67"/>
    <hyperlink r:id="rId2649" ref="AD67"/>
    <hyperlink r:id="rId2650" ref="AF67"/>
    <hyperlink r:id="rId2651" ref="AH67"/>
    <hyperlink r:id="rId2652" ref="AJ67"/>
    <hyperlink r:id="rId2653" ref="AL67"/>
    <hyperlink r:id="rId2654" ref="AN67"/>
    <hyperlink r:id="rId2655" ref="AP67"/>
    <hyperlink r:id="rId2656" ref="AR67"/>
    <hyperlink r:id="rId2657" ref="AT67"/>
    <hyperlink r:id="rId2658" ref="AV67"/>
    <hyperlink r:id="rId2659" ref="AX67"/>
    <hyperlink r:id="rId2660" ref="AZ67"/>
    <hyperlink r:id="rId2661" ref="BB67"/>
    <hyperlink r:id="rId2662" ref="BD67"/>
    <hyperlink r:id="rId2663" ref="BF67"/>
    <hyperlink r:id="rId2664" ref="BH67"/>
    <hyperlink r:id="rId2665" ref="BJ67"/>
    <hyperlink r:id="rId2666" ref="BL67"/>
    <hyperlink r:id="rId2667" ref="BN67"/>
    <hyperlink r:id="rId2668" ref="BP67"/>
    <hyperlink r:id="rId2669" ref="BR67"/>
    <hyperlink r:id="rId2670" ref="BT67"/>
    <hyperlink r:id="rId2671" ref="BV67"/>
    <hyperlink r:id="rId2672" ref="BX67"/>
    <hyperlink r:id="rId2673" ref="BZ67"/>
    <hyperlink r:id="rId2674" ref="CB67"/>
    <hyperlink r:id="rId2675" ref="CD67"/>
    <hyperlink r:id="rId2676" ref="CF67"/>
    <hyperlink r:id="rId2677" ref="CH67"/>
    <hyperlink r:id="rId2678" ref="CJ67"/>
    <hyperlink r:id="rId2679" ref="CL67"/>
    <hyperlink r:id="rId2680" ref="CN67"/>
    <hyperlink r:id="rId2681" ref="CP67"/>
    <hyperlink r:id="rId2682" ref="CR67"/>
    <hyperlink r:id="rId2683" ref="CT67"/>
    <hyperlink r:id="rId2684" ref="CV67"/>
    <hyperlink r:id="rId2685" ref="CX67"/>
    <hyperlink r:id="rId2686" ref="CZ67"/>
    <hyperlink r:id="rId2687" ref="DB67"/>
    <hyperlink r:id="rId2688" ref="DD67"/>
    <hyperlink r:id="rId2689" ref="DF67"/>
    <hyperlink r:id="rId2690" ref="DH67"/>
    <hyperlink r:id="rId2691" ref="DJ67"/>
    <hyperlink r:id="rId2692" ref="DL67"/>
    <hyperlink r:id="rId2693" ref="DN67"/>
    <hyperlink r:id="rId2694" ref="DP67"/>
    <hyperlink r:id="rId2695" ref="DR67"/>
    <hyperlink r:id="rId2696" ref="DT67"/>
    <hyperlink r:id="rId2697" ref="DV67"/>
    <hyperlink r:id="rId2698" ref="DX67"/>
    <hyperlink r:id="rId2699" ref="DZ67"/>
    <hyperlink r:id="rId2700" ref="EB67"/>
    <hyperlink r:id="rId2701" ref="ED67"/>
    <hyperlink r:id="rId2702" ref="EF67"/>
    <hyperlink r:id="rId2703" ref="EH67"/>
    <hyperlink r:id="rId2704" ref="EJ67"/>
    <hyperlink r:id="rId2705" ref="EL67"/>
    <hyperlink r:id="rId2706" ref="EN67"/>
    <hyperlink r:id="rId2707" ref="EP67"/>
    <hyperlink r:id="rId2708" ref="ER67"/>
    <hyperlink r:id="rId2709" ref="ET67"/>
    <hyperlink r:id="rId2710" ref="EV67"/>
    <hyperlink r:id="rId2711" ref="EX67"/>
    <hyperlink r:id="rId2712" ref="EZ67"/>
    <hyperlink r:id="rId2713" ref="FB67"/>
    <hyperlink r:id="rId2714" ref="FD67"/>
    <hyperlink r:id="rId2715" ref="FF67"/>
    <hyperlink r:id="rId2716" ref="FH67"/>
    <hyperlink r:id="rId2717" ref="FJ67"/>
    <hyperlink r:id="rId2718" ref="FL67"/>
    <hyperlink r:id="rId2719" ref="FN67"/>
    <hyperlink r:id="rId2720" ref="FP67"/>
    <hyperlink r:id="rId2721" ref="FR67"/>
    <hyperlink r:id="rId2722" ref="FT67"/>
    <hyperlink r:id="rId2723" ref="FV67"/>
    <hyperlink r:id="rId2724" ref="FX67"/>
    <hyperlink r:id="rId2725" ref="FZ67"/>
    <hyperlink r:id="rId2726" ref="GB67"/>
    <hyperlink r:id="rId2727" ref="GD67"/>
    <hyperlink r:id="rId2728" ref="GF67"/>
    <hyperlink r:id="rId2729" ref="GH67"/>
    <hyperlink r:id="rId2730" ref="GJ67"/>
    <hyperlink r:id="rId2731" ref="GL67"/>
    <hyperlink r:id="rId2732" ref="GN67"/>
    <hyperlink r:id="rId2733" ref="GP67"/>
    <hyperlink r:id="rId2734" ref="GR67"/>
    <hyperlink r:id="rId2735" ref="GT67"/>
    <hyperlink r:id="rId2736" ref="GV67"/>
    <hyperlink r:id="rId2737" ref="GX67"/>
    <hyperlink r:id="rId2738" ref="GZ67"/>
    <hyperlink r:id="rId2739" ref="HB67"/>
    <hyperlink r:id="rId2740" ref="HD67"/>
    <hyperlink r:id="rId2741" ref="HF67"/>
    <hyperlink r:id="rId2742" ref="HH67"/>
    <hyperlink r:id="rId2743" ref="HJ67"/>
    <hyperlink r:id="rId2744" ref="HL67"/>
    <hyperlink r:id="rId2745" ref="HN67"/>
    <hyperlink r:id="rId2746" ref="HP67"/>
    <hyperlink r:id="rId2747" ref="HR67"/>
    <hyperlink r:id="rId2748" ref="HT67"/>
    <hyperlink r:id="rId2749" ref="HV67"/>
    <hyperlink r:id="rId2750" ref="HX67"/>
    <hyperlink r:id="rId2751" ref="HZ67"/>
    <hyperlink r:id="rId2752" ref="IB67"/>
    <hyperlink r:id="rId2753" ref="ID67"/>
    <hyperlink r:id="rId2754" ref="IF67"/>
    <hyperlink r:id="rId2755" ref="IH67"/>
    <hyperlink r:id="rId2756" ref="IJ67"/>
    <hyperlink r:id="rId2757" ref="IL67"/>
    <hyperlink r:id="rId2758" ref="IN67"/>
    <hyperlink r:id="rId2759" ref="IP67"/>
    <hyperlink r:id="rId2760" ref="IR67"/>
    <hyperlink r:id="rId2761" ref="IT67"/>
    <hyperlink r:id="rId2762" ref="IV67"/>
    <hyperlink r:id="rId2763" ref="IX67"/>
    <hyperlink r:id="rId2764" ref="IZ67"/>
    <hyperlink r:id="rId2765" ref="JB67"/>
    <hyperlink r:id="rId2766" ref="JD67"/>
    <hyperlink r:id="rId2767" ref="JF67"/>
    <hyperlink r:id="rId2768" ref="JH67"/>
    <hyperlink r:id="rId2769" ref="JJ67"/>
    <hyperlink r:id="rId2770" ref="JL67"/>
    <hyperlink r:id="rId2771" ref="JN67"/>
    <hyperlink r:id="rId2772" ref="JP67"/>
    <hyperlink r:id="rId2773" ref="JR67"/>
    <hyperlink r:id="rId2774" ref="JT67"/>
    <hyperlink r:id="rId2775" ref="JV67"/>
    <hyperlink r:id="rId2776" ref="JX67"/>
    <hyperlink r:id="rId2777" ref="JZ67"/>
    <hyperlink r:id="rId2778" ref="KB67"/>
    <hyperlink r:id="rId2779" ref="KD67"/>
    <hyperlink r:id="rId2780" ref="KF67"/>
    <hyperlink r:id="rId2781" ref="KH67"/>
    <hyperlink r:id="rId2782" ref="KJ67"/>
    <hyperlink r:id="rId2783" ref="KL67"/>
    <hyperlink r:id="rId2784" ref="KN67"/>
    <hyperlink r:id="rId2785" ref="KP67"/>
    <hyperlink r:id="rId2786" ref="KR67"/>
    <hyperlink r:id="rId2787" ref="KT67"/>
    <hyperlink r:id="rId2788" ref="KV67"/>
    <hyperlink r:id="rId2789" ref="KX67"/>
    <hyperlink r:id="rId2790" ref="KZ67"/>
    <hyperlink r:id="rId2791" ref="N68"/>
    <hyperlink r:id="rId2792" ref="P68"/>
    <hyperlink r:id="rId2793" ref="R68"/>
    <hyperlink r:id="rId2794" ref="T68"/>
    <hyperlink r:id="rId2795" ref="V68"/>
    <hyperlink r:id="rId2796" ref="X68"/>
    <hyperlink r:id="rId2797" ref="Z68"/>
    <hyperlink r:id="rId2798" ref="AB68"/>
    <hyperlink r:id="rId2799" ref="AD68"/>
    <hyperlink r:id="rId2800" ref="AF68"/>
    <hyperlink r:id="rId2801" ref="AH68"/>
    <hyperlink r:id="rId2802" ref="AJ68"/>
    <hyperlink r:id="rId2803" ref="AL68"/>
    <hyperlink r:id="rId2804" ref="AN68"/>
    <hyperlink r:id="rId2805" ref="AP68"/>
    <hyperlink r:id="rId2806" ref="AR68"/>
    <hyperlink r:id="rId2807" ref="AT68"/>
    <hyperlink r:id="rId2808" ref="AV68"/>
    <hyperlink r:id="rId2809" ref="AX68"/>
    <hyperlink r:id="rId2810" ref="AZ68"/>
    <hyperlink r:id="rId2811" ref="BB68"/>
    <hyperlink r:id="rId2812" ref="BD68"/>
    <hyperlink r:id="rId2813" ref="BF68"/>
    <hyperlink r:id="rId2814" ref="BH68"/>
    <hyperlink r:id="rId2815" ref="BJ68"/>
    <hyperlink r:id="rId2816" ref="BL68"/>
    <hyperlink r:id="rId2817" ref="BN68"/>
    <hyperlink r:id="rId2818" ref="BP68"/>
    <hyperlink r:id="rId2819" ref="BR68"/>
    <hyperlink r:id="rId2820" ref="BT68"/>
    <hyperlink r:id="rId2821" ref="BV68"/>
    <hyperlink r:id="rId2822" ref="BX68"/>
    <hyperlink r:id="rId2823" ref="BZ68"/>
    <hyperlink r:id="rId2824" ref="CB68"/>
    <hyperlink r:id="rId2825" ref="CD68"/>
    <hyperlink r:id="rId2826" ref="CF68"/>
    <hyperlink r:id="rId2827" ref="CH68"/>
    <hyperlink r:id="rId2828" ref="CJ68"/>
    <hyperlink r:id="rId2829" ref="CL68"/>
    <hyperlink r:id="rId2830" ref="CN68"/>
    <hyperlink r:id="rId2831" ref="CP68"/>
    <hyperlink r:id="rId2832" ref="CR68"/>
    <hyperlink r:id="rId2833" ref="CT68"/>
    <hyperlink r:id="rId2834" ref="CV68"/>
    <hyperlink r:id="rId2835" ref="CX68"/>
    <hyperlink r:id="rId2836" ref="CZ68"/>
    <hyperlink r:id="rId2837" ref="DB68"/>
    <hyperlink r:id="rId2838" ref="DD68"/>
    <hyperlink r:id="rId2839" ref="DF68"/>
    <hyperlink r:id="rId2840" ref="DH68"/>
    <hyperlink r:id="rId2841" ref="DJ68"/>
    <hyperlink r:id="rId2842" ref="DL68"/>
    <hyperlink r:id="rId2843" ref="DN68"/>
    <hyperlink r:id="rId2844" ref="DP68"/>
    <hyperlink r:id="rId2845" ref="DR68"/>
    <hyperlink r:id="rId2846" ref="DT68"/>
    <hyperlink r:id="rId2847" ref="DV68"/>
    <hyperlink r:id="rId2848" ref="DX68"/>
    <hyperlink r:id="rId2849" ref="DZ68"/>
    <hyperlink r:id="rId2850" ref="EB68"/>
    <hyperlink r:id="rId2851" ref="ED68"/>
    <hyperlink r:id="rId2852" ref="EF68"/>
    <hyperlink r:id="rId2853" ref="EH68"/>
    <hyperlink r:id="rId2854" ref="EJ68"/>
    <hyperlink r:id="rId2855" ref="EL68"/>
    <hyperlink r:id="rId2856" ref="EN68"/>
    <hyperlink r:id="rId2857" ref="EP68"/>
    <hyperlink r:id="rId2858" ref="ER68"/>
    <hyperlink r:id="rId2859" ref="ET68"/>
    <hyperlink r:id="rId2860" ref="EV68"/>
    <hyperlink r:id="rId2861" ref="EX68"/>
    <hyperlink r:id="rId2862" ref="EZ68"/>
    <hyperlink r:id="rId2863" ref="FB68"/>
    <hyperlink r:id="rId2864" ref="FD68"/>
    <hyperlink r:id="rId2865" ref="FF68"/>
    <hyperlink r:id="rId2866" ref="FH68"/>
    <hyperlink r:id="rId2867" ref="FJ68"/>
    <hyperlink r:id="rId2868" ref="FL68"/>
    <hyperlink r:id="rId2869" ref="FN68"/>
    <hyperlink r:id="rId2870" ref="FP68"/>
    <hyperlink r:id="rId2871" ref="FR68"/>
    <hyperlink r:id="rId2872" ref="FT68"/>
    <hyperlink r:id="rId2873" ref="FV68"/>
    <hyperlink r:id="rId2874" ref="FX68"/>
    <hyperlink r:id="rId2875" ref="FZ68"/>
    <hyperlink r:id="rId2876" ref="GB68"/>
    <hyperlink r:id="rId2877" ref="GD68"/>
    <hyperlink r:id="rId2878" ref="GF68"/>
    <hyperlink r:id="rId2879" ref="GH68"/>
    <hyperlink r:id="rId2880" ref="GJ68"/>
    <hyperlink r:id="rId2881" ref="GL68"/>
    <hyperlink r:id="rId2882" ref="GN68"/>
    <hyperlink r:id="rId2883" ref="GP68"/>
    <hyperlink r:id="rId2884" ref="GR68"/>
    <hyperlink r:id="rId2885" ref="GT68"/>
    <hyperlink r:id="rId2886" ref="GV68"/>
    <hyperlink r:id="rId2887" ref="GX68"/>
    <hyperlink r:id="rId2888" ref="GZ68"/>
    <hyperlink r:id="rId2889" ref="HB68"/>
    <hyperlink r:id="rId2890" ref="HD68"/>
    <hyperlink r:id="rId2891" ref="N69"/>
    <hyperlink r:id="rId2892" ref="P69"/>
    <hyperlink r:id="rId2893" ref="R69"/>
    <hyperlink r:id="rId2894" ref="T69"/>
    <hyperlink r:id="rId2895" ref="V69"/>
    <hyperlink r:id="rId2896" ref="X69"/>
    <hyperlink r:id="rId2897" ref="Z69"/>
    <hyperlink r:id="rId2898" ref="AB69"/>
    <hyperlink r:id="rId2899" ref="AD69"/>
    <hyperlink r:id="rId2900" ref="AF69"/>
    <hyperlink r:id="rId2901" ref="AH69"/>
    <hyperlink r:id="rId2902" ref="AJ69"/>
    <hyperlink r:id="rId2903" ref="AL69"/>
    <hyperlink r:id="rId2904" ref="AN69"/>
    <hyperlink r:id="rId2905" ref="AP69"/>
    <hyperlink r:id="rId2906" ref="AR69"/>
    <hyperlink r:id="rId2907" ref="AT69"/>
    <hyperlink r:id="rId2908" ref="AV69"/>
    <hyperlink r:id="rId2909" ref="AX69"/>
    <hyperlink r:id="rId2910" ref="AZ69"/>
    <hyperlink r:id="rId2911" ref="BB69"/>
    <hyperlink r:id="rId2912" ref="BD69"/>
    <hyperlink r:id="rId2913" ref="BF69"/>
    <hyperlink r:id="rId2914" ref="BH69"/>
    <hyperlink r:id="rId2915" ref="BJ69"/>
    <hyperlink r:id="rId2916" ref="BL69"/>
    <hyperlink r:id="rId2917" ref="BN69"/>
    <hyperlink r:id="rId2918" ref="BP69"/>
    <hyperlink r:id="rId2919" ref="BR69"/>
    <hyperlink r:id="rId2920" ref="BT69"/>
    <hyperlink r:id="rId2921" ref="BV69"/>
    <hyperlink r:id="rId2922" ref="BX69"/>
    <hyperlink r:id="rId2923" ref="BZ69"/>
    <hyperlink r:id="rId2924" ref="CB69"/>
    <hyperlink r:id="rId2925" ref="CD69"/>
    <hyperlink r:id="rId2926" ref="CF69"/>
    <hyperlink r:id="rId2927" ref="CH69"/>
    <hyperlink r:id="rId2928" ref="CJ69"/>
    <hyperlink r:id="rId2929" ref="CL69"/>
    <hyperlink r:id="rId2930" ref="CN69"/>
    <hyperlink r:id="rId2931" ref="CP69"/>
    <hyperlink r:id="rId2932" ref="CR69"/>
    <hyperlink r:id="rId2933" ref="CT69"/>
    <hyperlink r:id="rId2934" ref="CV69"/>
    <hyperlink r:id="rId2935" ref="CX69"/>
    <hyperlink r:id="rId2936" ref="CZ69"/>
    <hyperlink r:id="rId2937" ref="DB69"/>
    <hyperlink r:id="rId2938" ref="DD69"/>
    <hyperlink r:id="rId2939" ref="DF69"/>
    <hyperlink r:id="rId2940" ref="DH69"/>
    <hyperlink r:id="rId2941" ref="DJ69"/>
    <hyperlink r:id="rId2942" ref="DL69"/>
    <hyperlink r:id="rId2943" ref="DN69"/>
    <hyperlink r:id="rId2944" ref="DP69"/>
    <hyperlink r:id="rId2945" ref="DR69"/>
    <hyperlink r:id="rId2946" ref="DT69"/>
    <hyperlink r:id="rId2947" ref="DV69"/>
    <hyperlink r:id="rId2948" ref="DX69"/>
    <hyperlink r:id="rId2949" ref="DZ69"/>
    <hyperlink r:id="rId2950" ref="EB69"/>
    <hyperlink r:id="rId2951" ref="ED69"/>
    <hyperlink r:id="rId2952" ref="EF69"/>
    <hyperlink r:id="rId2953" ref="EH69"/>
    <hyperlink r:id="rId2954" ref="EJ69"/>
    <hyperlink r:id="rId2955" ref="EL69"/>
    <hyperlink r:id="rId2956" ref="EN69"/>
    <hyperlink r:id="rId2957" ref="EP69"/>
    <hyperlink r:id="rId2958" ref="ER69"/>
    <hyperlink r:id="rId2959" ref="ET69"/>
    <hyperlink r:id="rId2960" ref="EV69"/>
    <hyperlink r:id="rId2961" ref="EX69"/>
    <hyperlink r:id="rId2962" ref="EZ69"/>
    <hyperlink r:id="rId2963" ref="FB69"/>
    <hyperlink r:id="rId2964" ref="FD69"/>
    <hyperlink r:id="rId2965" ref="FF69"/>
    <hyperlink r:id="rId2966" ref="FH69"/>
    <hyperlink r:id="rId2967" ref="FJ69"/>
    <hyperlink r:id="rId2968" ref="FL69"/>
    <hyperlink r:id="rId2969" ref="FN69"/>
    <hyperlink r:id="rId2970" ref="FP69"/>
    <hyperlink r:id="rId2971" ref="FR69"/>
    <hyperlink r:id="rId2972" ref="FT69"/>
    <hyperlink r:id="rId2973" ref="FV69"/>
    <hyperlink r:id="rId2974" ref="FX69"/>
    <hyperlink r:id="rId2975" ref="FZ69"/>
    <hyperlink r:id="rId2976" ref="GB69"/>
    <hyperlink r:id="rId2977" ref="GD69"/>
    <hyperlink r:id="rId2978" ref="GF69"/>
    <hyperlink r:id="rId2979" ref="GH69"/>
    <hyperlink r:id="rId2980" ref="GJ69"/>
    <hyperlink r:id="rId2981" ref="GL69"/>
    <hyperlink r:id="rId2982" ref="GN69"/>
    <hyperlink r:id="rId2983" ref="GP69"/>
    <hyperlink r:id="rId2984" ref="GR69"/>
    <hyperlink r:id="rId2985" ref="GT69"/>
    <hyperlink r:id="rId2986" ref="GV69"/>
    <hyperlink r:id="rId2987" ref="GX69"/>
    <hyperlink r:id="rId2988" ref="GZ69"/>
    <hyperlink r:id="rId2989" ref="HB69"/>
    <hyperlink r:id="rId2990" ref="HD69"/>
    <hyperlink r:id="rId2991" ref="HF69"/>
    <hyperlink r:id="rId2992" ref="HH69"/>
    <hyperlink r:id="rId2993" ref="HJ69"/>
    <hyperlink r:id="rId2994" ref="HL69"/>
    <hyperlink r:id="rId2995" ref="HN69"/>
    <hyperlink r:id="rId2996" ref="HP69"/>
    <hyperlink r:id="rId2997" ref="HR69"/>
    <hyperlink r:id="rId2998" ref="HT69"/>
    <hyperlink r:id="rId2999" ref="HV69"/>
    <hyperlink r:id="rId3000" ref="HX69"/>
    <hyperlink r:id="rId3001" ref="HZ69"/>
    <hyperlink r:id="rId3002" ref="IB69"/>
    <hyperlink r:id="rId3003" ref="ID69"/>
    <hyperlink r:id="rId3004" ref="IF69"/>
    <hyperlink r:id="rId3005" ref="IH69"/>
    <hyperlink r:id="rId3006" ref="IJ69"/>
    <hyperlink r:id="rId3007" ref="IL69"/>
    <hyperlink r:id="rId3008" ref="IN69"/>
    <hyperlink r:id="rId3009" ref="IP69"/>
    <hyperlink r:id="rId3010" ref="IR69"/>
    <hyperlink r:id="rId3011" ref="IT69"/>
    <hyperlink r:id="rId3012" ref="IV69"/>
    <hyperlink r:id="rId3013" ref="IX69"/>
    <hyperlink r:id="rId3014" ref="IZ69"/>
    <hyperlink r:id="rId3015" ref="JB69"/>
    <hyperlink r:id="rId3016" ref="JD69"/>
    <hyperlink r:id="rId3017" ref="JF69"/>
    <hyperlink r:id="rId3018" ref="JH69"/>
    <hyperlink r:id="rId3019" ref="JJ69"/>
    <hyperlink r:id="rId3020" ref="JL69"/>
    <hyperlink r:id="rId3021" ref="JN69"/>
    <hyperlink r:id="rId3022" ref="JP69"/>
    <hyperlink r:id="rId3023" ref="JR69"/>
    <hyperlink r:id="rId3024" ref="JT69"/>
    <hyperlink r:id="rId3025" ref="JV69"/>
    <hyperlink r:id="rId3026" ref="JX69"/>
    <hyperlink r:id="rId3027" ref="JZ69"/>
    <hyperlink r:id="rId3028" ref="KB69"/>
    <hyperlink r:id="rId3029" ref="KD69"/>
    <hyperlink r:id="rId3030" ref="KF69"/>
    <hyperlink r:id="rId3031" ref="KH69"/>
    <hyperlink r:id="rId3032" ref="KJ69"/>
    <hyperlink r:id="rId3033" ref="KL69"/>
    <hyperlink r:id="rId3034" ref="KN69"/>
    <hyperlink r:id="rId3035" ref="KP69"/>
    <hyperlink r:id="rId3036" ref="KR69"/>
    <hyperlink r:id="rId3037" ref="KT69"/>
    <hyperlink r:id="rId3038" ref="KV69"/>
    <hyperlink r:id="rId3039" ref="KX69"/>
    <hyperlink r:id="rId3040" ref="KZ69"/>
    <hyperlink r:id="rId3041" ref="LB69"/>
    <hyperlink r:id="rId3042" ref="LD69"/>
    <hyperlink r:id="rId3043" ref="LF69"/>
    <hyperlink r:id="rId3044" ref="LH69"/>
    <hyperlink r:id="rId3045" ref="LJ69"/>
    <hyperlink r:id="rId3046" ref="LL69"/>
    <hyperlink r:id="rId3047" ref="LN69"/>
    <hyperlink r:id="rId3048" ref="LP69"/>
    <hyperlink r:id="rId3049" ref="LR69"/>
    <hyperlink r:id="rId3050" ref="LT69"/>
    <hyperlink r:id="rId3051" ref="LV69"/>
    <hyperlink r:id="rId3052" ref="LX69"/>
    <hyperlink r:id="rId3053" ref="LZ69"/>
    <hyperlink r:id="rId3054" ref="MB69"/>
    <hyperlink r:id="rId3055" ref="MD69"/>
    <hyperlink r:id="rId3056" ref="MF69"/>
    <hyperlink r:id="rId3057" ref="MH69"/>
    <hyperlink r:id="rId3058" ref="MJ69"/>
    <hyperlink r:id="rId3059" ref="ML69"/>
    <hyperlink r:id="rId3060" ref="MN69"/>
    <hyperlink r:id="rId3061" ref="MP69"/>
    <hyperlink r:id="rId3062" ref="MR69"/>
    <hyperlink r:id="rId3063" ref="MT69"/>
    <hyperlink r:id="rId3064" ref="MV69"/>
    <hyperlink r:id="rId3065" ref="MX69"/>
    <hyperlink r:id="rId3066" ref="MZ69"/>
    <hyperlink r:id="rId3067" ref="NB69"/>
    <hyperlink r:id="rId3068" ref="ND69"/>
    <hyperlink r:id="rId3069" ref="NF69"/>
    <hyperlink r:id="rId3070" ref="NH69"/>
    <hyperlink r:id="rId3071" ref="NJ69"/>
    <hyperlink r:id="rId3072" ref="NL69"/>
    <hyperlink r:id="rId3073" ref="NN69"/>
    <hyperlink r:id="rId3074" ref="NP69"/>
    <hyperlink r:id="rId3075" ref="NR69"/>
    <hyperlink r:id="rId3076" ref="NT69"/>
    <hyperlink r:id="rId3077" ref="NV69"/>
    <hyperlink r:id="rId3078" ref="NX69"/>
    <hyperlink r:id="rId3079" ref="NZ69"/>
    <hyperlink r:id="rId3080" ref="OB69"/>
    <hyperlink r:id="rId3081" ref="OD69"/>
    <hyperlink r:id="rId3082" ref="OF69"/>
    <hyperlink r:id="rId3083" ref="OH69"/>
    <hyperlink r:id="rId3084" ref="N70"/>
    <hyperlink r:id="rId3085" ref="P70"/>
    <hyperlink r:id="rId3086" ref="R70"/>
    <hyperlink r:id="rId3087" ref="T70"/>
    <hyperlink r:id="rId3088" ref="V70"/>
    <hyperlink r:id="rId3089" ref="X70"/>
    <hyperlink r:id="rId3090" ref="Z70"/>
    <hyperlink r:id="rId3091" ref="AB70"/>
    <hyperlink r:id="rId3092" ref="AD70"/>
    <hyperlink r:id="rId3093" ref="AF70"/>
    <hyperlink r:id="rId3094" ref="AH70"/>
    <hyperlink r:id="rId3095" ref="AJ70"/>
    <hyperlink r:id="rId3096" ref="AL70"/>
    <hyperlink r:id="rId3097" ref="AN70"/>
    <hyperlink r:id="rId3098" ref="AP70"/>
    <hyperlink r:id="rId3099" ref="AR70"/>
    <hyperlink r:id="rId3100" ref="AT70"/>
    <hyperlink r:id="rId3101" ref="AV70"/>
    <hyperlink r:id="rId3102" ref="AX70"/>
    <hyperlink r:id="rId3103" ref="AZ70"/>
    <hyperlink r:id="rId3104" ref="BB70"/>
    <hyperlink r:id="rId3105" ref="BD70"/>
    <hyperlink r:id="rId3106" ref="BF70"/>
    <hyperlink r:id="rId3107" ref="BH70"/>
    <hyperlink r:id="rId3108" ref="BJ70"/>
    <hyperlink r:id="rId3109" ref="BL70"/>
    <hyperlink r:id="rId3110" ref="BN70"/>
    <hyperlink r:id="rId3111" ref="BP70"/>
    <hyperlink r:id="rId3112" ref="BR70"/>
    <hyperlink r:id="rId3113" ref="BT70"/>
    <hyperlink r:id="rId3114" ref="BV70"/>
    <hyperlink r:id="rId3115" ref="BX70"/>
    <hyperlink r:id="rId3116" ref="BZ70"/>
    <hyperlink r:id="rId3117" ref="CB70"/>
    <hyperlink r:id="rId3118" ref="CD70"/>
    <hyperlink r:id="rId3119" ref="CF70"/>
    <hyperlink r:id="rId3120" ref="CH70"/>
    <hyperlink r:id="rId3121" ref="CJ70"/>
    <hyperlink r:id="rId3122" ref="CL70"/>
    <hyperlink r:id="rId3123" ref="CN70"/>
    <hyperlink r:id="rId3124" ref="CP70"/>
    <hyperlink r:id="rId3125" ref="CR70"/>
    <hyperlink r:id="rId3126" ref="CT70"/>
    <hyperlink r:id="rId3127" ref="CV70"/>
    <hyperlink r:id="rId3128" ref="CX70"/>
    <hyperlink r:id="rId3129" ref="CZ70"/>
    <hyperlink r:id="rId3130" ref="DB70"/>
    <hyperlink r:id="rId3131" ref="DD70"/>
    <hyperlink r:id="rId3132" ref="DF70"/>
    <hyperlink r:id="rId3133" ref="DH70"/>
    <hyperlink r:id="rId3134" ref="DJ70"/>
    <hyperlink r:id="rId3135" ref="DL70"/>
    <hyperlink r:id="rId3136" ref="DN70"/>
    <hyperlink r:id="rId3137" ref="DP70"/>
    <hyperlink r:id="rId3138" ref="DR70"/>
    <hyperlink r:id="rId3139" ref="DT70"/>
    <hyperlink r:id="rId3140" ref="DV70"/>
    <hyperlink r:id="rId3141" ref="DX70"/>
    <hyperlink r:id="rId3142" ref="DZ70"/>
    <hyperlink r:id="rId3143" ref="EB70"/>
    <hyperlink r:id="rId3144" ref="ED70"/>
    <hyperlink r:id="rId3145" ref="EF70"/>
    <hyperlink r:id="rId3146" ref="EH70"/>
    <hyperlink r:id="rId3147" ref="EJ70"/>
    <hyperlink r:id="rId3148" ref="EL70"/>
    <hyperlink r:id="rId3149" ref="EN70"/>
    <hyperlink r:id="rId3150" ref="EP70"/>
    <hyperlink r:id="rId3151" ref="ER70"/>
    <hyperlink r:id="rId3152" ref="ET70"/>
    <hyperlink r:id="rId3153" ref="EV70"/>
    <hyperlink r:id="rId3154" ref="EX70"/>
    <hyperlink r:id="rId3155" ref="EZ70"/>
    <hyperlink r:id="rId3156" ref="FB70"/>
    <hyperlink r:id="rId3157" ref="FD70"/>
    <hyperlink r:id="rId3158" ref="FF70"/>
    <hyperlink r:id="rId3159" ref="FH70"/>
    <hyperlink r:id="rId3160" ref="FJ70"/>
    <hyperlink r:id="rId3161" ref="FL70"/>
    <hyperlink r:id="rId3162" ref="FN70"/>
    <hyperlink r:id="rId3163" ref="FP70"/>
    <hyperlink r:id="rId3164" ref="FR70"/>
    <hyperlink r:id="rId3165" ref="FT70"/>
    <hyperlink r:id="rId3166" ref="FV70"/>
    <hyperlink r:id="rId3167" ref="FX70"/>
    <hyperlink r:id="rId3168" ref="FZ70"/>
    <hyperlink r:id="rId3169" ref="GB70"/>
    <hyperlink r:id="rId3170" ref="GD70"/>
    <hyperlink r:id="rId3171" ref="GF70"/>
    <hyperlink r:id="rId3172" ref="GH70"/>
    <hyperlink r:id="rId3173" ref="GJ70"/>
    <hyperlink r:id="rId3174" ref="GL70"/>
    <hyperlink r:id="rId3175" ref="GN70"/>
    <hyperlink r:id="rId3176" ref="GP70"/>
    <hyperlink r:id="rId3177" ref="GR70"/>
    <hyperlink r:id="rId3178" ref="GT70"/>
    <hyperlink r:id="rId3179" ref="GV70"/>
    <hyperlink r:id="rId3180" ref="GX70"/>
    <hyperlink r:id="rId3181" ref="GZ70"/>
    <hyperlink r:id="rId3182" ref="HB70"/>
    <hyperlink r:id="rId3183" ref="HD70"/>
    <hyperlink r:id="rId3184" ref="N71"/>
    <hyperlink r:id="rId3185" ref="P71"/>
    <hyperlink r:id="rId3186" ref="R71"/>
    <hyperlink r:id="rId3187" ref="T71"/>
    <hyperlink r:id="rId3188" ref="V71"/>
    <hyperlink r:id="rId3189" ref="X71"/>
    <hyperlink r:id="rId3190" ref="Z71"/>
    <hyperlink r:id="rId3191" ref="AB71"/>
    <hyperlink r:id="rId3192" ref="AD71"/>
    <hyperlink r:id="rId3193" ref="AF71"/>
    <hyperlink r:id="rId3194" ref="AH71"/>
    <hyperlink r:id="rId3195" ref="AJ71"/>
    <hyperlink r:id="rId3196" ref="AL71"/>
    <hyperlink r:id="rId3197" ref="AN71"/>
    <hyperlink r:id="rId3198" ref="AP71"/>
    <hyperlink r:id="rId3199" ref="AR71"/>
    <hyperlink r:id="rId3200" ref="AT71"/>
    <hyperlink r:id="rId3201" ref="AV71"/>
    <hyperlink r:id="rId3202" ref="AX71"/>
    <hyperlink r:id="rId3203" ref="AZ71"/>
    <hyperlink r:id="rId3204" ref="BB71"/>
    <hyperlink r:id="rId3205" ref="BD71"/>
    <hyperlink r:id="rId3206" ref="BF71"/>
    <hyperlink r:id="rId3207" ref="BH71"/>
    <hyperlink r:id="rId3208" ref="BJ71"/>
    <hyperlink r:id="rId3209" ref="BL71"/>
    <hyperlink r:id="rId3210" ref="BN71"/>
    <hyperlink r:id="rId3211" ref="BP71"/>
    <hyperlink r:id="rId3212" ref="BR71"/>
    <hyperlink r:id="rId3213" ref="BT71"/>
    <hyperlink r:id="rId3214" ref="BV71"/>
    <hyperlink r:id="rId3215" ref="BX71"/>
    <hyperlink r:id="rId3216" ref="BZ71"/>
    <hyperlink r:id="rId3217" ref="CB71"/>
    <hyperlink r:id="rId3218" ref="CD71"/>
    <hyperlink r:id="rId3219" ref="CF71"/>
    <hyperlink r:id="rId3220" ref="CH71"/>
    <hyperlink r:id="rId3221" ref="CJ71"/>
    <hyperlink r:id="rId3222" ref="CL71"/>
    <hyperlink r:id="rId3223" ref="CN71"/>
    <hyperlink r:id="rId3224" ref="CP71"/>
    <hyperlink r:id="rId3225" ref="CR71"/>
    <hyperlink r:id="rId3226" ref="CT71"/>
    <hyperlink r:id="rId3227" ref="CV71"/>
    <hyperlink r:id="rId3228" ref="CX71"/>
    <hyperlink r:id="rId3229" ref="CZ71"/>
    <hyperlink r:id="rId3230" ref="DB71"/>
    <hyperlink r:id="rId3231" ref="DD71"/>
    <hyperlink r:id="rId3232" ref="DF71"/>
    <hyperlink r:id="rId3233" ref="DH71"/>
    <hyperlink r:id="rId3234" ref="N72"/>
    <hyperlink r:id="rId3235" ref="P72"/>
    <hyperlink r:id="rId3236" ref="R72"/>
    <hyperlink r:id="rId3237" ref="T72"/>
    <hyperlink r:id="rId3238" ref="V72"/>
    <hyperlink r:id="rId3239" ref="X72"/>
    <hyperlink r:id="rId3240" ref="Z72"/>
    <hyperlink r:id="rId3241" ref="AB72"/>
    <hyperlink r:id="rId3242" ref="AD72"/>
    <hyperlink r:id="rId3243" ref="AF72"/>
    <hyperlink r:id="rId3244" ref="AH72"/>
    <hyperlink r:id="rId3245" ref="AJ72"/>
    <hyperlink r:id="rId3246" ref="AL72"/>
    <hyperlink r:id="rId3247" ref="AN72"/>
    <hyperlink r:id="rId3248" ref="AP72"/>
    <hyperlink r:id="rId3249" ref="AR72"/>
    <hyperlink r:id="rId3250" ref="AT72"/>
    <hyperlink r:id="rId3251" ref="AV72"/>
    <hyperlink r:id="rId3252" ref="AX72"/>
    <hyperlink r:id="rId3253" ref="AZ72"/>
    <hyperlink r:id="rId3254" ref="BB72"/>
    <hyperlink r:id="rId3255" ref="BD72"/>
    <hyperlink r:id="rId3256" ref="BF72"/>
    <hyperlink r:id="rId3257" ref="BH72"/>
    <hyperlink r:id="rId3258" ref="BJ72"/>
    <hyperlink r:id="rId3259" ref="BL72"/>
    <hyperlink r:id="rId3260" ref="BN72"/>
    <hyperlink r:id="rId3261" ref="BP72"/>
    <hyperlink r:id="rId3262" ref="BR72"/>
    <hyperlink r:id="rId3263" ref="BT72"/>
    <hyperlink r:id="rId3264" ref="N73"/>
    <hyperlink r:id="rId3265" ref="P73"/>
    <hyperlink r:id="rId3266" ref="R73"/>
    <hyperlink r:id="rId3267" ref="T73"/>
    <hyperlink r:id="rId3268" ref="V73"/>
    <hyperlink r:id="rId3269" ref="X73"/>
    <hyperlink r:id="rId3270" ref="Z73"/>
    <hyperlink r:id="rId3271" ref="AB73"/>
    <hyperlink r:id="rId3272" ref="AD73"/>
    <hyperlink r:id="rId3273" ref="AF73"/>
    <hyperlink r:id="rId3274" ref="AH73"/>
    <hyperlink r:id="rId3275" ref="AJ73"/>
    <hyperlink r:id="rId3276" ref="AL73"/>
    <hyperlink r:id="rId3277" ref="AN73"/>
    <hyperlink r:id="rId3278" ref="AP73"/>
    <hyperlink r:id="rId3279" ref="AR73"/>
    <hyperlink r:id="rId3280" ref="AT73"/>
    <hyperlink r:id="rId3281" ref="AV73"/>
    <hyperlink r:id="rId3282" ref="AX73"/>
    <hyperlink r:id="rId3283" ref="AZ73"/>
    <hyperlink r:id="rId3284" ref="BB73"/>
    <hyperlink r:id="rId3285" ref="BD73"/>
    <hyperlink r:id="rId3286" ref="BF73"/>
    <hyperlink r:id="rId3287" ref="BH73"/>
    <hyperlink r:id="rId3288" ref="BJ73"/>
    <hyperlink r:id="rId3289" ref="BL73"/>
    <hyperlink r:id="rId3290" ref="BN73"/>
    <hyperlink r:id="rId3291" ref="BP73"/>
    <hyperlink r:id="rId3292" ref="BR73"/>
    <hyperlink r:id="rId3293" ref="BT73"/>
    <hyperlink r:id="rId3294" ref="N74"/>
    <hyperlink r:id="rId3295" ref="P74"/>
    <hyperlink r:id="rId3296" ref="R74"/>
    <hyperlink r:id="rId3297" ref="T74"/>
    <hyperlink r:id="rId3298" ref="V74"/>
    <hyperlink r:id="rId3299" ref="X74"/>
    <hyperlink r:id="rId3300" ref="Z74"/>
    <hyperlink r:id="rId3301" ref="AB74"/>
    <hyperlink r:id="rId3302" ref="AD74"/>
    <hyperlink r:id="rId3303" ref="AF74"/>
    <hyperlink r:id="rId3304" ref="AH74"/>
    <hyperlink r:id="rId3305" ref="AJ74"/>
    <hyperlink r:id="rId3306" ref="AL74"/>
    <hyperlink r:id="rId3307" ref="AN74"/>
    <hyperlink r:id="rId3308" ref="AP74"/>
    <hyperlink r:id="rId3309" ref="AR74"/>
    <hyperlink r:id="rId3310" ref="AT74"/>
    <hyperlink r:id="rId3311" ref="AV74"/>
    <hyperlink r:id="rId3312" ref="AX74"/>
    <hyperlink r:id="rId3313" ref="AZ74"/>
    <hyperlink r:id="rId3314" ref="BB74"/>
    <hyperlink r:id="rId3315" ref="BD74"/>
    <hyperlink r:id="rId3316" ref="BF74"/>
    <hyperlink r:id="rId3317" ref="BH74"/>
    <hyperlink r:id="rId3318" ref="BJ74"/>
    <hyperlink r:id="rId3319" ref="BL74"/>
    <hyperlink r:id="rId3320" ref="BN74"/>
    <hyperlink r:id="rId3321" ref="BP74"/>
    <hyperlink r:id="rId3322" ref="BR74"/>
    <hyperlink r:id="rId3323" ref="BT74"/>
    <hyperlink r:id="rId3324" ref="N75"/>
    <hyperlink r:id="rId3325" ref="P75"/>
    <hyperlink r:id="rId3326" ref="R75"/>
    <hyperlink r:id="rId3327" ref="T75"/>
    <hyperlink r:id="rId3328" ref="V75"/>
    <hyperlink r:id="rId3329" ref="X75"/>
    <hyperlink r:id="rId3330" ref="Z75"/>
    <hyperlink r:id="rId3331" ref="AB75"/>
    <hyperlink r:id="rId3332" ref="AD75"/>
    <hyperlink r:id="rId3333" ref="AF75"/>
    <hyperlink r:id="rId3334" ref="AH75"/>
    <hyperlink r:id="rId3335" ref="AJ75"/>
    <hyperlink r:id="rId3336" ref="AL75"/>
    <hyperlink r:id="rId3337" ref="AN75"/>
    <hyperlink r:id="rId3338" ref="AP75"/>
    <hyperlink r:id="rId3339" ref="AR75"/>
    <hyperlink r:id="rId3340" ref="AT75"/>
    <hyperlink r:id="rId3341" ref="AV75"/>
    <hyperlink r:id="rId3342" ref="AX75"/>
    <hyperlink r:id="rId3343" ref="AZ75"/>
    <hyperlink r:id="rId3344" ref="BB75"/>
    <hyperlink r:id="rId3345" ref="BD75"/>
    <hyperlink r:id="rId3346" ref="BF75"/>
    <hyperlink r:id="rId3347" ref="BH75"/>
    <hyperlink r:id="rId3348" ref="BJ75"/>
    <hyperlink r:id="rId3349" ref="BL75"/>
    <hyperlink r:id="rId3350" ref="BN75"/>
    <hyperlink r:id="rId3351" ref="BP75"/>
    <hyperlink r:id="rId3352" ref="BR75"/>
    <hyperlink r:id="rId3353" ref="BT75"/>
    <hyperlink r:id="rId3354" ref="N76"/>
    <hyperlink r:id="rId3355" ref="P76"/>
    <hyperlink r:id="rId3356" ref="R76"/>
    <hyperlink r:id="rId3357" ref="T76"/>
    <hyperlink r:id="rId3358" ref="V76"/>
    <hyperlink r:id="rId3359" ref="X76"/>
    <hyperlink r:id="rId3360" ref="Z76"/>
    <hyperlink r:id="rId3361" ref="AB76"/>
    <hyperlink r:id="rId3362" ref="AD76"/>
    <hyperlink r:id="rId3363" ref="AF76"/>
    <hyperlink r:id="rId3364" ref="AH76"/>
    <hyperlink r:id="rId3365" ref="AJ76"/>
    <hyperlink r:id="rId3366" ref="AL76"/>
    <hyperlink r:id="rId3367" ref="AN76"/>
    <hyperlink r:id="rId3368" ref="AP76"/>
    <hyperlink r:id="rId3369" ref="AR76"/>
    <hyperlink r:id="rId3370" ref="AT76"/>
    <hyperlink r:id="rId3371" ref="AV76"/>
    <hyperlink r:id="rId3372" ref="AX76"/>
    <hyperlink r:id="rId3373" ref="AZ76"/>
    <hyperlink r:id="rId3374" ref="BB76"/>
    <hyperlink r:id="rId3375" ref="BD76"/>
    <hyperlink r:id="rId3376" ref="BF76"/>
    <hyperlink r:id="rId3377" ref="BH76"/>
    <hyperlink r:id="rId3378" ref="BJ76"/>
    <hyperlink r:id="rId3379" ref="BL76"/>
    <hyperlink r:id="rId3380" ref="BN76"/>
    <hyperlink r:id="rId3381" ref="BP76"/>
    <hyperlink r:id="rId3382" ref="BR76"/>
    <hyperlink r:id="rId3383" ref="BT76"/>
  </hyperlinks>
  <drawing r:id="rId338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7.0"/>
    <col customWidth="1" min="2" max="2" width="55.25"/>
    <col customWidth="1" min="3" max="3" width="13.88"/>
    <col customWidth="1" min="4" max="7" width="12.0"/>
    <col customWidth="1" min="8" max="8" width="37.63"/>
    <col customWidth="1" min="9" max="9" width="72.13"/>
    <col customWidth="1" min="10" max="10" width="27.63"/>
    <col customWidth="1" min="11" max="11" width="19.38"/>
    <col customWidth="1" min="12" max="12" width="41.38"/>
    <col customWidth="1" min="13" max="15" width="21.38"/>
    <col customWidth="1" min="16" max="16" width="41.38"/>
  </cols>
  <sheetData>
    <row r="1">
      <c r="A1" s="3" t="s">
        <v>6</v>
      </c>
      <c r="B1" s="3" t="s">
        <v>147</v>
      </c>
      <c r="C1" s="3" t="s">
        <v>26</v>
      </c>
      <c r="D1" s="3" t="s">
        <v>152</v>
      </c>
      <c r="E1" s="3" t="s">
        <v>44</v>
      </c>
      <c r="F1" s="3" t="s">
        <v>46</v>
      </c>
      <c r="G1" s="3" t="s">
        <v>47</v>
      </c>
      <c r="H1" s="3" t="s">
        <v>162</v>
      </c>
      <c r="I1" s="3" t="s">
        <v>166</v>
      </c>
      <c r="J1" s="3" t="s">
        <v>168</v>
      </c>
      <c r="K1" s="3" t="s">
        <v>170</v>
      </c>
      <c r="L1" s="3" t="s">
        <v>172</v>
      </c>
      <c r="M1" s="3" t="s">
        <v>175</v>
      </c>
      <c r="N1" s="3" t="s">
        <v>28</v>
      </c>
      <c r="O1" s="3" t="s">
        <v>30</v>
      </c>
      <c r="P1" s="3" t="s">
        <v>182</v>
      </c>
      <c r="Q1" s="20"/>
      <c r="R1" s="20"/>
      <c r="S1" s="20"/>
      <c r="T1" s="20"/>
      <c r="U1" s="20"/>
      <c r="V1" s="20"/>
      <c r="W1" s="20"/>
      <c r="X1" s="20"/>
      <c r="Y1" s="20"/>
      <c r="Z1" s="20"/>
      <c r="AA1" s="20"/>
      <c r="AB1" s="20"/>
      <c r="AC1" s="20"/>
      <c r="AD1" s="20"/>
      <c r="AE1" s="20"/>
    </row>
    <row r="2">
      <c r="A2" s="21">
        <v>1.0</v>
      </c>
      <c r="B2" s="22" t="s">
        <v>50</v>
      </c>
      <c r="C2" s="22" t="s">
        <v>196</v>
      </c>
      <c r="D2" s="23">
        <v>30.0</v>
      </c>
      <c r="E2" s="23">
        <v>2.0</v>
      </c>
      <c r="F2" s="23">
        <v>1.0</v>
      </c>
      <c r="G2" s="23">
        <v>27.0</v>
      </c>
      <c r="H2" s="24" t="s">
        <v>210</v>
      </c>
      <c r="I2" s="25" t="s">
        <v>72</v>
      </c>
      <c r="J2" s="25" t="s">
        <v>51</v>
      </c>
      <c r="K2" s="25" t="s">
        <v>71</v>
      </c>
      <c r="L2" s="25" t="s">
        <v>226</v>
      </c>
      <c r="M2" s="25" t="s">
        <v>73</v>
      </c>
      <c r="N2" s="25" t="s">
        <v>74</v>
      </c>
      <c r="O2" s="25" t="s">
        <v>63</v>
      </c>
      <c r="P2" s="25" t="s">
        <v>52</v>
      </c>
      <c r="Q2" s="26"/>
      <c r="R2" s="26"/>
      <c r="S2" s="26"/>
      <c r="T2" s="22"/>
      <c r="U2" s="26"/>
      <c r="V2" s="26"/>
      <c r="W2" s="20"/>
      <c r="X2" s="20"/>
      <c r="Y2" s="20"/>
      <c r="Z2" s="20"/>
      <c r="AA2" s="20"/>
      <c r="AB2" s="20"/>
      <c r="AC2" s="20"/>
      <c r="AD2" s="20"/>
      <c r="AE2" s="20"/>
    </row>
    <row r="3">
      <c r="A3" s="21">
        <v>1.0</v>
      </c>
      <c r="B3" s="22" t="s">
        <v>50</v>
      </c>
      <c r="C3" s="22" t="s">
        <v>196</v>
      </c>
      <c r="I3" s="25" t="s">
        <v>85</v>
      </c>
      <c r="J3" s="25" t="s">
        <v>84</v>
      </c>
      <c r="K3" s="25" t="s">
        <v>71</v>
      </c>
      <c r="L3" s="25" t="s">
        <v>226</v>
      </c>
      <c r="M3" s="25" t="s">
        <v>86</v>
      </c>
      <c r="N3" s="25" t="s">
        <v>87</v>
      </c>
      <c r="O3" s="25" t="s">
        <v>63</v>
      </c>
      <c r="P3" s="25" t="s">
        <v>52</v>
      </c>
      <c r="Q3" s="26"/>
      <c r="R3" s="26"/>
      <c r="S3" s="26"/>
      <c r="T3" s="22"/>
      <c r="U3" s="26"/>
      <c r="V3" s="26"/>
      <c r="W3" s="20"/>
      <c r="X3" s="20"/>
      <c r="Y3" s="20"/>
      <c r="Z3" s="20"/>
      <c r="AA3" s="20"/>
      <c r="AB3" s="20"/>
      <c r="AC3" s="20"/>
      <c r="AD3" s="20"/>
      <c r="AE3" s="20"/>
    </row>
    <row r="4">
      <c r="A4" s="21">
        <v>1.0</v>
      </c>
      <c r="B4" s="22" t="s">
        <v>50</v>
      </c>
      <c r="C4" s="22" t="s">
        <v>196</v>
      </c>
      <c r="I4" s="25" t="s">
        <v>60</v>
      </c>
      <c r="J4" s="25" t="s">
        <v>59</v>
      </c>
      <c r="K4" s="25" t="s">
        <v>57</v>
      </c>
      <c r="L4" s="25" t="s">
        <v>256</v>
      </c>
      <c r="M4" s="25" t="s">
        <v>61</v>
      </c>
      <c r="N4" s="25" t="s">
        <v>62</v>
      </c>
      <c r="O4" s="25" t="s">
        <v>63</v>
      </c>
      <c r="P4" s="25"/>
      <c r="Q4" s="26"/>
      <c r="R4" s="26"/>
      <c r="S4" s="26"/>
      <c r="T4" s="20"/>
      <c r="U4" s="26"/>
      <c r="V4" s="26"/>
      <c r="W4" s="20"/>
      <c r="X4" s="20"/>
      <c r="Y4" s="20"/>
      <c r="Z4" s="20"/>
      <c r="AA4" s="20"/>
      <c r="AB4" s="20"/>
      <c r="AC4" s="20"/>
      <c r="AD4" s="20"/>
      <c r="AE4" s="20"/>
    </row>
    <row r="5">
      <c r="A5" s="21">
        <v>1.0</v>
      </c>
      <c r="B5" s="22" t="s">
        <v>50</v>
      </c>
      <c r="C5" s="22" t="s">
        <v>196</v>
      </c>
      <c r="I5" s="25" t="s">
        <v>53</v>
      </c>
      <c r="J5" s="25" t="s">
        <v>51</v>
      </c>
      <c r="K5" s="25" t="s">
        <v>57</v>
      </c>
      <c r="L5" s="25" t="s">
        <v>273</v>
      </c>
      <c r="M5" s="25" t="s">
        <v>54</v>
      </c>
      <c r="N5" s="25" t="s">
        <v>55</v>
      </c>
      <c r="O5" s="25" t="s">
        <v>56</v>
      </c>
      <c r="P5" s="25"/>
      <c r="Q5" s="26"/>
      <c r="R5" s="26"/>
      <c r="S5" s="26"/>
      <c r="T5" s="20"/>
      <c r="U5" s="26"/>
      <c r="V5" s="26"/>
      <c r="W5" s="20"/>
      <c r="X5" s="20"/>
      <c r="Y5" s="20"/>
      <c r="Z5" s="20"/>
      <c r="AA5" s="20"/>
      <c r="AB5" s="20"/>
      <c r="AC5" s="20"/>
      <c r="AD5" s="20"/>
      <c r="AE5" s="20"/>
    </row>
    <row r="6">
      <c r="A6" s="21">
        <v>1.0</v>
      </c>
      <c r="B6" s="22" t="s">
        <v>50</v>
      </c>
      <c r="C6" s="22" t="s">
        <v>196</v>
      </c>
      <c r="I6" s="25" t="s">
        <v>64</v>
      </c>
      <c r="J6" s="25" t="s">
        <v>51</v>
      </c>
      <c r="K6" s="25" t="s">
        <v>67</v>
      </c>
      <c r="L6" s="25" t="s">
        <v>276</v>
      </c>
      <c r="M6" s="25" t="s">
        <v>65</v>
      </c>
      <c r="N6" s="25" t="s">
        <v>66</v>
      </c>
      <c r="O6" s="25" t="s">
        <v>56</v>
      </c>
      <c r="P6" s="25"/>
      <c r="Q6" s="26"/>
      <c r="R6" s="26"/>
      <c r="S6" s="26"/>
      <c r="T6" s="20"/>
      <c r="U6" s="26"/>
      <c r="V6" s="26"/>
      <c r="W6" s="20"/>
      <c r="X6" s="20"/>
      <c r="Y6" s="20"/>
      <c r="Z6" s="20"/>
      <c r="AA6" s="20"/>
      <c r="AB6" s="20"/>
      <c r="AC6" s="20"/>
      <c r="AD6" s="20"/>
      <c r="AE6" s="20"/>
    </row>
    <row r="7">
      <c r="A7" s="21">
        <v>1.0</v>
      </c>
      <c r="B7" s="22" t="s">
        <v>50</v>
      </c>
      <c r="C7" s="22" t="s">
        <v>196</v>
      </c>
      <c r="I7" s="25" t="s">
        <v>88</v>
      </c>
      <c r="J7" s="25" t="s">
        <v>84</v>
      </c>
      <c r="K7" s="25" t="s">
        <v>71</v>
      </c>
      <c r="L7" s="25" t="s">
        <v>285</v>
      </c>
      <c r="M7" s="25" t="s">
        <v>89</v>
      </c>
      <c r="N7" s="25" t="s">
        <v>90</v>
      </c>
      <c r="O7" s="25" t="s">
        <v>63</v>
      </c>
      <c r="P7" s="25"/>
      <c r="Q7" s="26"/>
      <c r="R7" s="26"/>
      <c r="S7" s="26"/>
      <c r="T7" s="20"/>
      <c r="U7" s="26"/>
      <c r="V7" s="26"/>
      <c r="W7" s="20"/>
      <c r="X7" s="20"/>
      <c r="Y7" s="20"/>
      <c r="Z7" s="20"/>
      <c r="AA7" s="20"/>
      <c r="AB7" s="20"/>
      <c r="AC7" s="20"/>
      <c r="AD7" s="20"/>
      <c r="AE7" s="20"/>
    </row>
    <row r="8">
      <c r="A8" s="21">
        <v>1.0</v>
      </c>
      <c r="B8" s="22" t="s">
        <v>50</v>
      </c>
      <c r="C8" s="22" t="s">
        <v>196</v>
      </c>
      <c r="I8" s="25" t="s">
        <v>115</v>
      </c>
      <c r="J8" s="25" t="s">
        <v>59</v>
      </c>
      <c r="K8" s="25" t="s">
        <v>71</v>
      </c>
      <c r="L8" s="25" t="s">
        <v>292</v>
      </c>
      <c r="M8" s="25" t="s">
        <v>117</v>
      </c>
      <c r="N8" s="25" t="s">
        <v>118</v>
      </c>
      <c r="O8" s="25" t="s">
        <v>63</v>
      </c>
      <c r="P8" s="25" t="s">
        <v>52</v>
      </c>
      <c r="Q8" s="26"/>
      <c r="R8" s="26"/>
      <c r="S8" s="26"/>
      <c r="T8" s="22"/>
      <c r="U8" s="26"/>
      <c r="V8" s="26"/>
      <c r="W8" s="20"/>
      <c r="X8" s="20"/>
      <c r="Y8" s="20"/>
      <c r="Z8" s="20"/>
      <c r="AA8" s="20"/>
      <c r="AB8" s="20"/>
      <c r="AC8" s="20"/>
      <c r="AD8" s="20"/>
      <c r="AE8" s="20"/>
    </row>
    <row r="9">
      <c r="A9" s="21">
        <v>1.0</v>
      </c>
      <c r="B9" s="20" t="s">
        <v>50</v>
      </c>
      <c r="C9" s="20" t="s">
        <v>196</v>
      </c>
      <c r="I9" s="25" t="s">
        <v>124</v>
      </c>
      <c r="J9" s="25" t="s">
        <v>123</v>
      </c>
      <c r="K9" s="25" t="s">
        <v>71</v>
      </c>
      <c r="L9" s="25" t="s">
        <v>292</v>
      </c>
      <c r="M9" s="20" t="s">
        <v>126</v>
      </c>
      <c r="N9" s="20" t="s">
        <v>128</v>
      </c>
      <c r="O9" s="20" t="s">
        <v>63</v>
      </c>
      <c r="P9" s="20" t="s">
        <v>52</v>
      </c>
      <c r="Q9" s="26"/>
      <c r="R9" s="26"/>
      <c r="S9" s="26"/>
      <c r="T9" s="22"/>
      <c r="U9" s="26"/>
      <c r="V9" s="26"/>
      <c r="W9" s="20"/>
      <c r="X9" s="20"/>
      <c r="Y9" s="20"/>
      <c r="Z9" s="20"/>
      <c r="AA9" s="20"/>
      <c r="AB9" s="20"/>
      <c r="AC9" s="20"/>
      <c r="AD9" s="20"/>
      <c r="AE9" s="20"/>
    </row>
    <row r="10">
      <c r="A10" s="21">
        <v>1.0</v>
      </c>
      <c r="B10" s="20" t="s">
        <v>50</v>
      </c>
      <c r="C10" s="20" t="s">
        <v>196</v>
      </c>
      <c r="I10" s="25" t="s">
        <v>132</v>
      </c>
      <c r="J10" s="25" t="s">
        <v>123</v>
      </c>
      <c r="K10" s="25" t="s">
        <v>71</v>
      </c>
      <c r="L10" s="25" t="s">
        <v>306</v>
      </c>
      <c r="M10" s="20" t="s">
        <v>134</v>
      </c>
      <c r="N10" s="20" t="s">
        <v>135</v>
      </c>
      <c r="O10" s="20" t="s">
        <v>63</v>
      </c>
      <c r="P10" s="20" t="s">
        <v>52</v>
      </c>
      <c r="Q10" s="26"/>
      <c r="R10" s="26"/>
      <c r="S10" s="26"/>
      <c r="T10" s="20"/>
      <c r="U10" s="26"/>
      <c r="V10" s="26"/>
      <c r="W10" s="20"/>
      <c r="X10" s="20"/>
      <c r="Y10" s="20"/>
      <c r="Z10" s="20"/>
      <c r="AA10" s="20"/>
      <c r="AB10" s="20"/>
      <c r="AC10" s="20"/>
      <c r="AD10" s="20"/>
      <c r="AE10" s="20"/>
    </row>
    <row r="11">
      <c r="A11" s="21">
        <v>1.0</v>
      </c>
      <c r="B11" s="20" t="s">
        <v>50</v>
      </c>
      <c r="C11" s="20" t="s">
        <v>196</v>
      </c>
      <c r="I11" s="25" t="s">
        <v>91</v>
      </c>
      <c r="J11" s="25" t="s">
        <v>84</v>
      </c>
      <c r="K11" s="25" t="s">
        <v>71</v>
      </c>
      <c r="L11" s="25" t="s">
        <v>315</v>
      </c>
      <c r="M11" s="20" t="s">
        <v>92</v>
      </c>
      <c r="N11" s="20" t="s">
        <v>93</v>
      </c>
      <c r="O11" s="20" t="s">
        <v>63</v>
      </c>
      <c r="P11" s="20" t="s">
        <v>52</v>
      </c>
      <c r="Q11" s="26"/>
      <c r="R11" s="26"/>
      <c r="S11" s="26"/>
      <c r="T11" s="20"/>
      <c r="U11" s="26"/>
      <c r="V11" s="26"/>
      <c r="W11" s="20"/>
      <c r="X11" s="20"/>
      <c r="Y11" s="20"/>
      <c r="Z11" s="20"/>
      <c r="AA11" s="20"/>
      <c r="AB11" s="20"/>
      <c r="AC11" s="20"/>
      <c r="AD11" s="20"/>
      <c r="AE11" s="20"/>
    </row>
    <row r="12">
      <c r="A12" s="21">
        <v>1.0</v>
      </c>
      <c r="B12" s="20" t="s">
        <v>50</v>
      </c>
      <c r="C12" s="20" t="s">
        <v>196</v>
      </c>
      <c r="I12" s="25" t="s">
        <v>140</v>
      </c>
      <c r="J12" s="25" t="s">
        <v>123</v>
      </c>
      <c r="K12" s="25" t="s">
        <v>71</v>
      </c>
      <c r="L12" s="25" t="s">
        <v>325</v>
      </c>
      <c r="M12" s="20" t="s">
        <v>141</v>
      </c>
      <c r="N12" s="20" t="s">
        <v>143</v>
      </c>
      <c r="O12" s="20" t="s">
        <v>63</v>
      </c>
      <c r="P12" s="20" t="s">
        <v>52</v>
      </c>
      <c r="Q12" s="26"/>
      <c r="R12" s="26"/>
      <c r="S12" s="26"/>
      <c r="T12" s="20"/>
      <c r="U12" s="26"/>
      <c r="V12" s="26"/>
      <c r="W12" s="20"/>
      <c r="X12" s="20"/>
      <c r="Y12" s="20"/>
      <c r="Z12" s="20"/>
      <c r="AA12" s="20"/>
      <c r="AB12" s="20"/>
      <c r="AC12" s="20"/>
      <c r="AD12" s="20"/>
      <c r="AE12" s="20"/>
    </row>
    <row r="13">
      <c r="A13" s="21">
        <v>1.0</v>
      </c>
      <c r="B13" s="20" t="s">
        <v>50</v>
      </c>
      <c r="C13" s="20" t="s">
        <v>196</v>
      </c>
      <c r="I13" s="25" t="s">
        <v>94</v>
      </c>
      <c r="J13" s="25" t="s">
        <v>84</v>
      </c>
      <c r="K13" s="25" t="s">
        <v>71</v>
      </c>
      <c r="L13" s="25" t="s">
        <v>338</v>
      </c>
      <c r="M13" s="20" t="s">
        <v>61</v>
      </c>
      <c r="N13" s="20" t="s">
        <v>95</v>
      </c>
      <c r="O13" s="20" t="s">
        <v>63</v>
      </c>
      <c r="P13" s="20" t="s">
        <v>52</v>
      </c>
      <c r="Q13" s="26"/>
      <c r="R13" s="26"/>
      <c r="S13" s="26"/>
      <c r="T13" s="20"/>
      <c r="U13" s="26"/>
      <c r="V13" s="26"/>
      <c r="W13" s="20"/>
      <c r="X13" s="20"/>
      <c r="Y13" s="20"/>
      <c r="Z13" s="20"/>
      <c r="AA13" s="20"/>
      <c r="AB13" s="20"/>
      <c r="AC13" s="20"/>
      <c r="AD13" s="20"/>
      <c r="AE13" s="20"/>
    </row>
    <row r="14">
      <c r="A14" s="21">
        <v>1.0</v>
      </c>
      <c r="B14" s="20" t="s">
        <v>50</v>
      </c>
      <c r="C14" s="20" t="s">
        <v>196</v>
      </c>
      <c r="I14" s="25" t="s">
        <v>150</v>
      </c>
      <c r="J14" s="25" t="s">
        <v>123</v>
      </c>
      <c r="K14" s="25" t="s">
        <v>71</v>
      </c>
      <c r="L14" s="25" t="s">
        <v>292</v>
      </c>
      <c r="M14" s="20" t="s">
        <v>151</v>
      </c>
      <c r="N14" s="20" t="s">
        <v>153</v>
      </c>
      <c r="O14" s="20" t="s">
        <v>63</v>
      </c>
      <c r="P14" s="20" t="s">
        <v>52</v>
      </c>
      <c r="Q14" s="26"/>
      <c r="R14" s="26"/>
      <c r="S14" s="26"/>
      <c r="T14" s="22"/>
      <c r="U14" s="26"/>
      <c r="V14" s="26"/>
      <c r="W14" s="20"/>
      <c r="X14" s="20"/>
      <c r="Y14" s="20"/>
      <c r="Z14" s="20"/>
      <c r="AA14" s="20"/>
      <c r="AB14" s="20"/>
      <c r="AC14" s="20"/>
      <c r="AD14" s="20"/>
      <c r="AE14" s="20"/>
    </row>
    <row r="15">
      <c r="A15" s="21">
        <v>1.0</v>
      </c>
      <c r="B15" s="20" t="s">
        <v>50</v>
      </c>
      <c r="C15" s="20" t="s">
        <v>196</v>
      </c>
      <c r="I15" s="25" t="s">
        <v>96</v>
      </c>
      <c r="J15" s="25" t="s">
        <v>84</v>
      </c>
      <c r="K15" s="25" t="s">
        <v>71</v>
      </c>
      <c r="L15" s="25" t="s">
        <v>355</v>
      </c>
      <c r="M15" s="20" t="s">
        <v>61</v>
      </c>
      <c r="N15" s="20" t="s">
        <v>97</v>
      </c>
      <c r="O15" s="20" t="s">
        <v>63</v>
      </c>
      <c r="P15" s="20" t="s">
        <v>52</v>
      </c>
      <c r="Q15" s="26"/>
      <c r="R15" s="26"/>
      <c r="S15" s="26"/>
      <c r="T15" s="20"/>
      <c r="U15" s="26"/>
      <c r="V15" s="26"/>
      <c r="W15" s="20"/>
      <c r="X15" s="20"/>
      <c r="Y15" s="20"/>
      <c r="Z15" s="20"/>
      <c r="AA15" s="20"/>
      <c r="AB15" s="20"/>
      <c r="AC15" s="20"/>
      <c r="AD15" s="20"/>
      <c r="AE15" s="20"/>
    </row>
    <row r="16">
      <c r="A16" s="21">
        <v>1.0</v>
      </c>
      <c r="B16" s="20" t="s">
        <v>50</v>
      </c>
      <c r="C16" s="20" t="s">
        <v>196</v>
      </c>
      <c r="I16" s="25" t="s">
        <v>98</v>
      </c>
      <c r="J16" s="25" t="s">
        <v>84</v>
      </c>
      <c r="K16" s="25" t="s">
        <v>71</v>
      </c>
      <c r="L16" s="25" t="s">
        <v>365</v>
      </c>
      <c r="M16" s="20" t="s">
        <v>99</v>
      </c>
      <c r="N16" s="20" t="s">
        <v>100</v>
      </c>
      <c r="O16" s="20" t="s">
        <v>63</v>
      </c>
      <c r="P16" s="20" t="s">
        <v>52</v>
      </c>
      <c r="Q16" s="26"/>
      <c r="R16" s="26"/>
      <c r="S16" s="26"/>
      <c r="T16" s="20"/>
      <c r="U16" s="26"/>
      <c r="V16" s="26"/>
      <c r="W16" s="20"/>
      <c r="X16" s="20"/>
      <c r="Y16" s="20"/>
      <c r="Z16" s="20"/>
      <c r="AA16" s="20"/>
      <c r="AB16" s="20"/>
      <c r="AC16" s="20"/>
      <c r="AD16" s="20"/>
      <c r="AE16" s="20"/>
    </row>
    <row r="17">
      <c r="A17" s="21">
        <v>1.0</v>
      </c>
      <c r="B17" s="20" t="s">
        <v>50</v>
      </c>
      <c r="C17" s="20" t="s">
        <v>196</v>
      </c>
      <c r="I17" s="25" t="s">
        <v>101</v>
      </c>
      <c r="J17" s="25" t="s">
        <v>84</v>
      </c>
      <c r="K17" s="25" t="s">
        <v>71</v>
      </c>
      <c r="L17" s="25" t="s">
        <v>372</v>
      </c>
      <c r="M17" s="20" t="s">
        <v>102</v>
      </c>
      <c r="N17" s="20" t="s">
        <v>103</v>
      </c>
      <c r="O17" s="20" t="s">
        <v>63</v>
      </c>
      <c r="P17" s="20" t="s">
        <v>52</v>
      </c>
      <c r="Q17" s="26"/>
      <c r="R17" s="26"/>
      <c r="S17" s="26"/>
      <c r="T17" s="20"/>
      <c r="U17" s="26"/>
      <c r="V17" s="26"/>
      <c r="W17" s="20"/>
      <c r="X17" s="20"/>
      <c r="Y17" s="20"/>
      <c r="Z17" s="20"/>
      <c r="AA17" s="20"/>
      <c r="AB17" s="20"/>
      <c r="AC17" s="20"/>
      <c r="AD17" s="20"/>
      <c r="AE17" s="20"/>
    </row>
    <row r="18">
      <c r="A18" s="21">
        <v>1.0</v>
      </c>
      <c r="B18" s="20" t="s">
        <v>50</v>
      </c>
      <c r="C18" s="20" t="s">
        <v>196</v>
      </c>
      <c r="I18" s="25" t="s">
        <v>68</v>
      </c>
      <c r="J18" s="25" t="s">
        <v>59</v>
      </c>
      <c r="K18" s="25" t="s">
        <v>71</v>
      </c>
      <c r="L18" s="25" t="s">
        <v>381</v>
      </c>
      <c r="M18" s="20" t="s">
        <v>69</v>
      </c>
      <c r="N18" s="20" t="s">
        <v>70</v>
      </c>
      <c r="O18" s="20" t="s">
        <v>56</v>
      </c>
      <c r="P18" s="20" t="s">
        <v>52</v>
      </c>
      <c r="Q18" s="26"/>
      <c r="R18" s="26"/>
      <c r="S18" s="26"/>
      <c r="T18" s="20"/>
      <c r="U18" s="26"/>
      <c r="V18" s="26"/>
      <c r="W18" s="20"/>
      <c r="X18" s="20"/>
      <c r="Y18" s="20"/>
      <c r="Z18" s="20"/>
      <c r="AA18" s="20"/>
      <c r="AB18" s="20"/>
      <c r="AC18" s="20"/>
      <c r="AD18" s="20"/>
      <c r="AE18" s="20"/>
    </row>
    <row r="19">
      <c r="A19" s="21">
        <v>1.0</v>
      </c>
      <c r="B19" s="20" t="s">
        <v>50</v>
      </c>
      <c r="C19" s="20" t="s">
        <v>196</v>
      </c>
      <c r="I19" s="25" t="s">
        <v>75</v>
      </c>
      <c r="J19" s="25" t="s">
        <v>51</v>
      </c>
      <c r="K19" s="25" t="s">
        <v>71</v>
      </c>
      <c r="L19" s="25" t="s">
        <v>387</v>
      </c>
      <c r="M19" s="20" t="s">
        <v>76</v>
      </c>
      <c r="N19" s="20" t="s">
        <v>77</v>
      </c>
      <c r="O19" s="20" t="s">
        <v>63</v>
      </c>
      <c r="P19" s="20" t="s">
        <v>52</v>
      </c>
      <c r="Q19" s="26"/>
      <c r="R19" s="26"/>
      <c r="S19" s="26"/>
      <c r="T19" s="20"/>
      <c r="U19" s="26"/>
      <c r="V19" s="26"/>
      <c r="W19" s="20"/>
      <c r="X19" s="20"/>
      <c r="Y19" s="20"/>
      <c r="Z19" s="20"/>
      <c r="AA19" s="20"/>
      <c r="AB19" s="20"/>
      <c r="AC19" s="20"/>
      <c r="AD19" s="20"/>
      <c r="AE19" s="20"/>
    </row>
    <row r="20">
      <c r="A20" s="21">
        <v>1.0</v>
      </c>
      <c r="B20" s="20" t="s">
        <v>50</v>
      </c>
      <c r="C20" s="20" t="s">
        <v>196</v>
      </c>
      <c r="I20" s="25" t="s">
        <v>160</v>
      </c>
      <c r="J20" s="25" t="s">
        <v>123</v>
      </c>
      <c r="K20" s="25" t="s">
        <v>71</v>
      </c>
      <c r="L20" s="25" t="s">
        <v>315</v>
      </c>
      <c r="M20" s="20" t="s">
        <v>161</v>
      </c>
      <c r="N20" s="20" t="s">
        <v>164</v>
      </c>
      <c r="O20" s="20" t="s">
        <v>63</v>
      </c>
      <c r="P20" s="20" t="s">
        <v>52</v>
      </c>
      <c r="Q20" s="26"/>
      <c r="R20" s="26"/>
      <c r="S20" s="26"/>
      <c r="T20" s="20"/>
      <c r="U20" s="26"/>
      <c r="V20" s="26"/>
      <c r="W20" s="20"/>
      <c r="X20" s="20"/>
      <c r="Y20" s="20"/>
      <c r="Z20" s="20"/>
      <c r="AA20" s="20"/>
      <c r="AB20" s="20"/>
      <c r="AC20" s="20"/>
      <c r="AD20" s="20"/>
      <c r="AE20" s="20"/>
    </row>
    <row r="21">
      <c r="A21" s="21">
        <v>1.0</v>
      </c>
      <c r="B21" s="20" t="s">
        <v>50</v>
      </c>
      <c r="C21" s="20" t="s">
        <v>196</v>
      </c>
      <c r="I21" s="25" t="s">
        <v>78</v>
      </c>
      <c r="J21" s="25" t="s">
        <v>51</v>
      </c>
      <c r="K21" s="25" t="s">
        <v>71</v>
      </c>
      <c r="L21" s="25" t="s">
        <v>409</v>
      </c>
      <c r="M21" s="20" t="s">
        <v>79</v>
      </c>
      <c r="N21" s="20" t="s">
        <v>80</v>
      </c>
      <c r="O21" s="20" t="s">
        <v>63</v>
      </c>
      <c r="P21" s="20" t="s">
        <v>52</v>
      </c>
      <c r="Q21" s="26"/>
      <c r="R21" s="26"/>
      <c r="S21" s="26"/>
      <c r="T21" s="20"/>
      <c r="U21" s="26"/>
      <c r="V21" s="26"/>
      <c r="W21" s="20"/>
      <c r="X21" s="20"/>
      <c r="Y21" s="20"/>
      <c r="Z21" s="20"/>
      <c r="AA21" s="20"/>
      <c r="AB21" s="20"/>
      <c r="AC21" s="20"/>
      <c r="AD21" s="20"/>
      <c r="AE21" s="20"/>
    </row>
    <row r="22">
      <c r="A22" s="21">
        <v>1.0</v>
      </c>
      <c r="B22" s="20" t="s">
        <v>50</v>
      </c>
      <c r="C22" s="20" t="s">
        <v>196</v>
      </c>
      <c r="I22" s="25" t="s">
        <v>174</v>
      </c>
      <c r="J22" s="25" t="s">
        <v>123</v>
      </c>
      <c r="K22" s="25" t="s">
        <v>71</v>
      </c>
      <c r="L22" s="25" t="s">
        <v>387</v>
      </c>
      <c r="M22" s="20" t="s">
        <v>177</v>
      </c>
      <c r="N22" s="20" t="s">
        <v>179</v>
      </c>
      <c r="O22" s="20" t="s">
        <v>63</v>
      </c>
      <c r="P22" s="20" t="s">
        <v>52</v>
      </c>
      <c r="Q22" s="26"/>
      <c r="R22" s="26"/>
      <c r="S22" s="26"/>
      <c r="T22" s="20"/>
      <c r="U22" s="26"/>
      <c r="V22" s="26"/>
      <c r="W22" s="20"/>
      <c r="X22" s="20"/>
      <c r="Y22" s="20"/>
      <c r="Z22" s="20"/>
      <c r="AA22" s="20"/>
      <c r="AB22" s="20"/>
      <c r="AC22" s="20"/>
      <c r="AD22" s="20"/>
      <c r="AE22" s="20"/>
    </row>
    <row r="23">
      <c r="A23" s="21">
        <v>1.0</v>
      </c>
      <c r="B23" s="20" t="s">
        <v>50</v>
      </c>
      <c r="C23" s="20" t="s">
        <v>196</v>
      </c>
      <c r="I23" s="25" t="s">
        <v>186</v>
      </c>
      <c r="J23" s="25" t="s">
        <v>123</v>
      </c>
      <c r="K23" s="25" t="s">
        <v>71</v>
      </c>
      <c r="L23" s="25" t="s">
        <v>427</v>
      </c>
      <c r="M23" s="20" t="s">
        <v>61</v>
      </c>
      <c r="N23" s="20" t="s">
        <v>188</v>
      </c>
      <c r="O23" s="20" t="s">
        <v>63</v>
      </c>
      <c r="P23" s="20" t="s">
        <v>52</v>
      </c>
      <c r="Q23" s="26"/>
      <c r="R23" s="26"/>
      <c r="S23" s="26"/>
      <c r="T23" s="20"/>
      <c r="U23" s="26"/>
      <c r="V23" s="26"/>
      <c r="W23" s="20"/>
      <c r="X23" s="20"/>
      <c r="Y23" s="20"/>
      <c r="Z23" s="20"/>
      <c r="AA23" s="20"/>
      <c r="AB23" s="20"/>
      <c r="AC23" s="20"/>
      <c r="AD23" s="20"/>
      <c r="AE23" s="20"/>
    </row>
    <row r="24">
      <c r="A24" s="21">
        <v>1.0</v>
      </c>
      <c r="B24" s="20" t="s">
        <v>50</v>
      </c>
      <c r="C24" s="20" t="s">
        <v>196</v>
      </c>
      <c r="I24" s="25" t="s">
        <v>193</v>
      </c>
      <c r="J24" s="25" t="s">
        <v>123</v>
      </c>
      <c r="K24" s="25" t="s">
        <v>71</v>
      </c>
      <c r="L24" s="25" t="s">
        <v>427</v>
      </c>
      <c r="M24" s="20" t="s">
        <v>195</v>
      </c>
      <c r="N24" s="20" t="s">
        <v>198</v>
      </c>
      <c r="O24" s="20" t="s">
        <v>63</v>
      </c>
      <c r="P24" s="20" t="s">
        <v>52</v>
      </c>
      <c r="Q24" s="26"/>
      <c r="R24" s="26"/>
      <c r="S24" s="26"/>
      <c r="T24" s="20"/>
      <c r="U24" s="26"/>
      <c r="V24" s="26"/>
      <c r="W24" s="20"/>
      <c r="X24" s="20"/>
      <c r="Y24" s="20"/>
      <c r="Z24" s="20"/>
      <c r="AA24" s="20"/>
      <c r="AB24" s="20"/>
      <c r="AC24" s="20"/>
      <c r="AD24" s="20"/>
      <c r="AE24" s="20"/>
    </row>
    <row r="25">
      <c r="A25" s="21">
        <v>1.0</v>
      </c>
      <c r="B25" s="20" t="s">
        <v>50</v>
      </c>
      <c r="C25" s="20" t="s">
        <v>196</v>
      </c>
      <c r="I25" s="25" t="s">
        <v>201</v>
      </c>
      <c r="J25" s="25" t="s">
        <v>123</v>
      </c>
      <c r="K25" s="25" t="s">
        <v>71</v>
      </c>
      <c r="L25" s="25" t="s">
        <v>427</v>
      </c>
      <c r="M25" s="20" t="s">
        <v>202</v>
      </c>
      <c r="N25" s="20" t="s">
        <v>198</v>
      </c>
      <c r="O25" s="20" t="s">
        <v>63</v>
      </c>
      <c r="P25" s="20" t="s">
        <v>52</v>
      </c>
      <c r="Q25" s="26"/>
      <c r="R25" s="26"/>
      <c r="S25" s="26"/>
      <c r="T25" s="20"/>
      <c r="U25" s="26"/>
      <c r="V25" s="26"/>
      <c r="W25" s="20"/>
      <c r="X25" s="20"/>
      <c r="Y25" s="20"/>
      <c r="Z25" s="20"/>
      <c r="AA25" s="20"/>
      <c r="AB25" s="20"/>
      <c r="AC25" s="20"/>
      <c r="AD25" s="20"/>
      <c r="AE25" s="20"/>
    </row>
    <row r="26">
      <c r="A26" s="21">
        <v>1.0</v>
      </c>
      <c r="B26" s="20" t="s">
        <v>50</v>
      </c>
      <c r="C26" s="20" t="s">
        <v>196</v>
      </c>
      <c r="I26" s="25" t="s">
        <v>104</v>
      </c>
      <c r="J26" s="25" t="s">
        <v>84</v>
      </c>
      <c r="K26" s="25" t="s">
        <v>71</v>
      </c>
      <c r="L26" s="25" t="s">
        <v>409</v>
      </c>
      <c r="M26" s="20" t="s">
        <v>105</v>
      </c>
      <c r="N26" s="20" t="s">
        <v>106</v>
      </c>
      <c r="O26" s="20" t="s">
        <v>63</v>
      </c>
      <c r="P26" s="20" t="s">
        <v>52</v>
      </c>
      <c r="Q26" s="26"/>
      <c r="R26" s="26"/>
      <c r="S26" s="26"/>
      <c r="T26" s="20"/>
      <c r="U26" s="26"/>
      <c r="V26" s="26"/>
      <c r="W26" s="20"/>
      <c r="X26" s="20"/>
      <c r="Y26" s="20"/>
      <c r="Z26" s="20"/>
      <c r="AA26" s="20"/>
      <c r="AB26" s="20"/>
      <c r="AC26" s="20"/>
      <c r="AD26" s="20"/>
      <c r="AE26" s="20"/>
    </row>
    <row r="27">
      <c r="A27" s="21">
        <v>1.0</v>
      </c>
      <c r="B27" s="20" t="s">
        <v>50</v>
      </c>
      <c r="C27" s="20" t="s">
        <v>196</v>
      </c>
      <c r="I27" s="25" t="s">
        <v>206</v>
      </c>
      <c r="J27" s="25" t="s">
        <v>123</v>
      </c>
      <c r="K27" s="25" t="s">
        <v>71</v>
      </c>
      <c r="L27" s="25" t="s">
        <v>465</v>
      </c>
      <c r="M27" s="20" t="s">
        <v>61</v>
      </c>
      <c r="N27" s="20" t="s">
        <v>207</v>
      </c>
      <c r="O27" s="20" t="s">
        <v>63</v>
      </c>
      <c r="P27" s="20" t="s">
        <v>52</v>
      </c>
      <c r="Q27" s="26"/>
      <c r="R27" s="26"/>
      <c r="S27" s="26"/>
      <c r="T27" s="20"/>
      <c r="U27" s="26"/>
      <c r="V27" s="26"/>
      <c r="W27" s="20"/>
      <c r="X27" s="20"/>
      <c r="Y27" s="20"/>
      <c r="Z27" s="20"/>
      <c r="AA27" s="20"/>
      <c r="AB27" s="20"/>
      <c r="AC27" s="20"/>
      <c r="AD27" s="20"/>
      <c r="AE27" s="20"/>
    </row>
    <row r="28">
      <c r="A28" s="21">
        <v>1.0</v>
      </c>
      <c r="B28" s="20" t="s">
        <v>50</v>
      </c>
      <c r="C28" s="20" t="s">
        <v>196</v>
      </c>
      <c r="I28" s="25" t="s">
        <v>212</v>
      </c>
      <c r="J28" s="25" t="s">
        <v>123</v>
      </c>
      <c r="K28" s="25" t="s">
        <v>71</v>
      </c>
      <c r="L28" s="25" t="s">
        <v>292</v>
      </c>
      <c r="M28" s="20" t="s">
        <v>213</v>
      </c>
      <c r="N28" s="20" t="s">
        <v>215</v>
      </c>
      <c r="O28" s="20" t="s">
        <v>63</v>
      </c>
      <c r="P28" s="20" t="s">
        <v>52</v>
      </c>
      <c r="Q28" s="26"/>
      <c r="R28" s="26"/>
      <c r="S28" s="26"/>
      <c r="T28" s="22"/>
      <c r="U28" s="26"/>
      <c r="V28" s="26"/>
      <c r="W28" s="20"/>
      <c r="X28" s="20"/>
      <c r="Y28" s="20"/>
      <c r="Z28" s="20"/>
      <c r="AA28" s="20"/>
      <c r="AB28" s="20"/>
      <c r="AC28" s="20"/>
      <c r="AD28" s="20"/>
      <c r="AE28" s="20"/>
    </row>
    <row r="29">
      <c r="A29" s="21">
        <v>1.0</v>
      </c>
      <c r="B29" s="20" t="s">
        <v>50</v>
      </c>
      <c r="C29" s="20" t="s">
        <v>196</v>
      </c>
      <c r="I29" s="25" t="s">
        <v>81</v>
      </c>
      <c r="J29" s="25" t="s">
        <v>51</v>
      </c>
      <c r="K29" s="25" t="s">
        <v>71</v>
      </c>
      <c r="L29" s="25" t="s">
        <v>372</v>
      </c>
      <c r="M29" s="20" t="s">
        <v>82</v>
      </c>
      <c r="N29" s="20" t="s">
        <v>83</v>
      </c>
      <c r="O29" s="20" t="s">
        <v>63</v>
      </c>
      <c r="P29" s="20" t="s">
        <v>52</v>
      </c>
      <c r="Q29" s="26"/>
      <c r="R29" s="26"/>
      <c r="S29" s="26"/>
      <c r="T29" s="20"/>
      <c r="U29" s="26"/>
      <c r="V29" s="26"/>
      <c r="W29" s="20"/>
      <c r="X29" s="20"/>
      <c r="Y29" s="20"/>
      <c r="Z29" s="20"/>
      <c r="AA29" s="20"/>
      <c r="AB29" s="20"/>
      <c r="AC29" s="20"/>
      <c r="AD29" s="20"/>
      <c r="AE29" s="20"/>
    </row>
    <row r="30">
      <c r="A30" s="21">
        <v>1.0</v>
      </c>
      <c r="B30" s="20" t="s">
        <v>50</v>
      </c>
      <c r="C30" s="20" t="s">
        <v>196</v>
      </c>
      <c r="I30" s="25" t="s">
        <v>107</v>
      </c>
      <c r="J30" s="25" t="s">
        <v>84</v>
      </c>
      <c r="K30" s="25" t="s">
        <v>71</v>
      </c>
      <c r="L30" s="25" t="s">
        <v>381</v>
      </c>
      <c r="M30" s="20" t="s">
        <v>61</v>
      </c>
      <c r="N30" s="20" t="s">
        <v>108</v>
      </c>
      <c r="O30" s="20" t="s">
        <v>63</v>
      </c>
      <c r="P30" s="20" t="s">
        <v>52</v>
      </c>
      <c r="Q30" s="26"/>
      <c r="R30" s="26"/>
      <c r="S30" s="26"/>
      <c r="T30" s="20"/>
      <c r="U30" s="26"/>
      <c r="V30" s="26"/>
      <c r="W30" s="20"/>
      <c r="X30" s="20"/>
      <c r="Y30" s="20"/>
      <c r="Z30" s="20"/>
      <c r="AA30" s="20"/>
      <c r="AB30" s="20"/>
      <c r="AC30" s="20"/>
      <c r="AD30" s="20"/>
      <c r="AE30" s="20"/>
    </row>
    <row r="31">
      <c r="A31" s="21">
        <v>1.0</v>
      </c>
      <c r="B31" s="20" t="s">
        <v>50</v>
      </c>
      <c r="C31" s="20" t="s">
        <v>196</v>
      </c>
      <c r="I31" s="25" t="s">
        <v>109</v>
      </c>
      <c r="J31" s="25" t="s">
        <v>84</v>
      </c>
      <c r="K31" s="25" t="s">
        <v>71</v>
      </c>
      <c r="L31" s="25" t="s">
        <v>338</v>
      </c>
      <c r="M31" s="20" t="s">
        <v>110</v>
      </c>
      <c r="N31" s="20" t="s">
        <v>111</v>
      </c>
      <c r="O31" s="20" t="s">
        <v>63</v>
      </c>
      <c r="P31" s="20" t="s">
        <v>52</v>
      </c>
      <c r="Q31" s="26"/>
      <c r="R31" s="26"/>
      <c r="S31" s="26"/>
      <c r="T31" s="20"/>
      <c r="U31" s="26"/>
      <c r="V31" s="26"/>
      <c r="W31" s="20"/>
      <c r="X31" s="20"/>
      <c r="Y31" s="20"/>
      <c r="Z31" s="20"/>
      <c r="AA31" s="20"/>
      <c r="AB31" s="20"/>
      <c r="AC31" s="20"/>
      <c r="AD31" s="20"/>
      <c r="AE31" s="20"/>
    </row>
    <row r="32">
      <c r="A32" s="21">
        <v>2.0</v>
      </c>
      <c r="B32" s="22" t="s">
        <v>218</v>
      </c>
      <c r="C32" s="22" t="s">
        <v>487</v>
      </c>
      <c r="D32" s="23">
        <v>25.0</v>
      </c>
      <c r="E32" s="23">
        <v>0.0</v>
      </c>
      <c r="F32" s="23">
        <v>1.0</v>
      </c>
      <c r="G32" s="23">
        <v>24.0</v>
      </c>
      <c r="H32" s="24" t="s">
        <v>493</v>
      </c>
      <c r="I32" s="25" t="s">
        <v>360</v>
      </c>
      <c r="J32" s="25" t="s">
        <v>358</v>
      </c>
      <c r="K32" s="25" t="s">
        <v>71</v>
      </c>
      <c r="L32" s="25" t="s">
        <v>292</v>
      </c>
      <c r="M32" s="25" t="s">
        <v>361</v>
      </c>
      <c r="N32" s="25" t="s">
        <v>363</v>
      </c>
      <c r="O32" s="25" t="s">
        <v>63</v>
      </c>
      <c r="P32" s="25" t="s">
        <v>52</v>
      </c>
      <c r="Q32" s="26"/>
      <c r="R32" s="26"/>
      <c r="S32" s="26"/>
      <c r="T32" s="22"/>
      <c r="U32" s="26"/>
      <c r="V32" s="26"/>
      <c r="W32" s="20"/>
      <c r="X32" s="20"/>
      <c r="Y32" s="20"/>
      <c r="Z32" s="20"/>
      <c r="AA32" s="20"/>
      <c r="AB32" s="20"/>
      <c r="AC32" s="20"/>
      <c r="AD32" s="20"/>
      <c r="AE32" s="20"/>
    </row>
    <row r="33">
      <c r="A33" s="21">
        <v>2.0</v>
      </c>
      <c r="B33" s="22" t="s">
        <v>218</v>
      </c>
      <c r="C33" s="22" t="s">
        <v>487</v>
      </c>
      <c r="I33" s="25" t="s">
        <v>222</v>
      </c>
      <c r="J33" s="25" t="s">
        <v>219</v>
      </c>
      <c r="K33" s="25" t="s">
        <v>67</v>
      </c>
      <c r="L33" s="25" t="s">
        <v>500</v>
      </c>
      <c r="M33" s="25" t="s">
        <v>61</v>
      </c>
      <c r="N33" s="25" t="s">
        <v>224</v>
      </c>
      <c r="O33" s="25" t="s">
        <v>63</v>
      </c>
      <c r="P33" s="25"/>
      <c r="Q33" s="26"/>
      <c r="R33" s="26"/>
      <c r="S33" s="26"/>
      <c r="T33" s="20"/>
      <c r="U33" s="26"/>
      <c r="V33" s="26"/>
      <c r="W33" s="20"/>
      <c r="X33" s="20"/>
      <c r="Y33" s="20"/>
      <c r="Z33" s="20"/>
      <c r="AA33" s="20"/>
      <c r="AB33" s="20"/>
      <c r="AC33" s="20"/>
      <c r="AD33" s="20"/>
      <c r="AE33" s="20"/>
    </row>
    <row r="34">
      <c r="A34" s="21">
        <v>2.0</v>
      </c>
      <c r="B34" s="22" t="s">
        <v>218</v>
      </c>
      <c r="C34" s="22" t="s">
        <v>487</v>
      </c>
      <c r="I34" s="25" t="s">
        <v>231</v>
      </c>
      <c r="J34" s="25" t="s">
        <v>219</v>
      </c>
      <c r="K34" s="25" t="s">
        <v>71</v>
      </c>
      <c r="L34" s="25" t="s">
        <v>292</v>
      </c>
      <c r="M34" s="25" t="s">
        <v>233</v>
      </c>
      <c r="N34" s="25" t="s">
        <v>235</v>
      </c>
      <c r="O34" s="25" t="s">
        <v>63</v>
      </c>
      <c r="P34" s="25" t="s">
        <v>52</v>
      </c>
      <c r="Q34" s="26"/>
      <c r="R34" s="26"/>
      <c r="S34" s="26"/>
      <c r="T34" s="22"/>
      <c r="U34" s="26"/>
      <c r="V34" s="26"/>
      <c r="W34" s="20"/>
      <c r="X34" s="20"/>
      <c r="Y34" s="20"/>
      <c r="Z34" s="20"/>
      <c r="AA34" s="20"/>
      <c r="AB34" s="20"/>
      <c r="AC34" s="20"/>
      <c r="AD34" s="20"/>
      <c r="AE34" s="20"/>
    </row>
    <row r="35">
      <c r="A35" s="21">
        <v>2.0</v>
      </c>
      <c r="B35" s="22" t="s">
        <v>218</v>
      </c>
      <c r="C35" s="22" t="s">
        <v>487</v>
      </c>
      <c r="I35" s="25" t="s">
        <v>240</v>
      </c>
      <c r="J35" s="25" t="s">
        <v>219</v>
      </c>
      <c r="K35" s="25" t="s">
        <v>71</v>
      </c>
      <c r="L35" s="25" t="s">
        <v>292</v>
      </c>
      <c r="M35" s="25" t="s">
        <v>61</v>
      </c>
      <c r="N35" s="25" t="s">
        <v>242</v>
      </c>
      <c r="O35" s="25" t="s">
        <v>63</v>
      </c>
      <c r="P35" s="25" t="s">
        <v>52</v>
      </c>
      <c r="Q35" s="26"/>
      <c r="R35" s="26"/>
      <c r="S35" s="26"/>
      <c r="T35" s="22"/>
      <c r="U35" s="26"/>
      <c r="V35" s="26"/>
      <c r="W35" s="20"/>
      <c r="X35" s="20"/>
      <c r="Y35" s="20"/>
      <c r="Z35" s="20"/>
      <c r="AA35" s="20"/>
      <c r="AB35" s="20"/>
      <c r="AC35" s="20"/>
      <c r="AD35" s="20"/>
      <c r="AE35" s="20"/>
    </row>
    <row r="36">
      <c r="A36" s="21">
        <v>2.0</v>
      </c>
      <c r="B36" s="22" t="s">
        <v>218</v>
      </c>
      <c r="C36" s="22" t="s">
        <v>487</v>
      </c>
      <c r="I36" s="25" t="s">
        <v>247</v>
      </c>
      <c r="J36" s="25" t="s">
        <v>219</v>
      </c>
      <c r="K36" s="25" t="s">
        <v>71</v>
      </c>
      <c r="L36" s="25" t="s">
        <v>520</v>
      </c>
      <c r="M36" s="25" t="s">
        <v>249</v>
      </c>
      <c r="N36" s="25" t="s">
        <v>250</v>
      </c>
      <c r="O36" s="25" t="s">
        <v>63</v>
      </c>
      <c r="P36" s="25" t="s">
        <v>253</v>
      </c>
      <c r="Q36" s="26"/>
      <c r="R36" s="26"/>
      <c r="S36" s="26"/>
      <c r="T36" s="20"/>
      <c r="U36" s="26"/>
      <c r="V36" s="26"/>
      <c r="W36" s="20"/>
      <c r="X36" s="20"/>
      <c r="Y36" s="20"/>
      <c r="Z36" s="20"/>
      <c r="AA36" s="20"/>
      <c r="AB36" s="20"/>
      <c r="AC36" s="20"/>
      <c r="AD36" s="20"/>
      <c r="AE36" s="20"/>
    </row>
    <row r="37">
      <c r="A37" s="21">
        <v>2.0</v>
      </c>
      <c r="B37" s="22" t="s">
        <v>218</v>
      </c>
      <c r="C37" s="22" t="s">
        <v>487</v>
      </c>
      <c r="I37" s="25" t="s">
        <v>257</v>
      </c>
      <c r="J37" s="25" t="s">
        <v>219</v>
      </c>
      <c r="K37" s="25" t="s">
        <v>71</v>
      </c>
      <c r="L37" s="25" t="s">
        <v>528</v>
      </c>
      <c r="M37" s="25" t="s">
        <v>61</v>
      </c>
      <c r="N37" s="25" t="s">
        <v>259</v>
      </c>
      <c r="O37" s="25" t="s">
        <v>63</v>
      </c>
      <c r="P37" s="25"/>
      <c r="Q37" s="26"/>
      <c r="R37" s="26"/>
      <c r="S37" s="26"/>
      <c r="T37" s="20"/>
      <c r="U37" s="26"/>
      <c r="V37" s="26"/>
      <c r="W37" s="20"/>
      <c r="X37" s="20"/>
      <c r="Y37" s="20"/>
      <c r="Z37" s="20"/>
      <c r="AA37" s="20"/>
      <c r="AB37" s="20"/>
      <c r="AC37" s="20"/>
      <c r="AD37" s="20"/>
      <c r="AE37" s="20"/>
    </row>
    <row r="38">
      <c r="A38" s="21">
        <v>2.0</v>
      </c>
      <c r="B38" s="22" t="s">
        <v>218</v>
      </c>
      <c r="C38" s="22" t="s">
        <v>487</v>
      </c>
      <c r="I38" s="25" t="s">
        <v>535</v>
      </c>
      <c r="J38" s="25" t="s">
        <v>358</v>
      </c>
      <c r="K38" s="25" t="s">
        <v>418</v>
      </c>
      <c r="L38" s="25" t="s">
        <v>537</v>
      </c>
      <c r="M38" s="25" t="s">
        <v>415</v>
      </c>
      <c r="N38" s="25" t="s">
        <v>415</v>
      </c>
      <c r="O38" s="25" t="s">
        <v>416</v>
      </c>
      <c r="P38" s="25"/>
      <c r="Q38" s="26"/>
      <c r="R38" s="26"/>
      <c r="S38" s="26"/>
      <c r="T38" s="20"/>
      <c r="U38" s="26"/>
      <c r="V38" s="26"/>
      <c r="W38" s="20"/>
      <c r="X38" s="20"/>
      <c r="Y38" s="20"/>
      <c r="Z38" s="20"/>
      <c r="AA38" s="20"/>
      <c r="AB38" s="20"/>
      <c r="AC38" s="20"/>
      <c r="AD38" s="20"/>
      <c r="AE38" s="20"/>
    </row>
    <row r="39">
      <c r="A39" s="21">
        <v>2.0</v>
      </c>
      <c r="B39" s="22" t="s">
        <v>218</v>
      </c>
      <c r="C39" s="22" t="s">
        <v>487</v>
      </c>
      <c r="I39" s="25" t="s">
        <v>544</v>
      </c>
      <c r="J39" s="25" t="s">
        <v>358</v>
      </c>
      <c r="K39" s="25" t="s">
        <v>418</v>
      </c>
      <c r="L39" s="25" t="s">
        <v>537</v>
      </c>
      <c r="M39" s="25" t="s">
        <v>415</v>
      </c>
      <c r="N39" s="25" t="s">
        <v>415</v>
      </c>
      <c r="O39" s="25" t="s">
        <v>416</v>
      </c>
      <c r="P39" s="25"/>
      <c r="Q39" s="26"/>
      <c r="R39" s="26"/>
      <c r="S39" s="26"/>
      <c r="T39" s="20"/>
      <c r="U39" s="26"/>
      <c r="V39" s="26"/>
      <c r="W39" s="20"/>
      <c r="X39" s="20"/>
      <c r="Y39" s="20"/>
      <c r="Z39" s="20"/>
      <c r="AA39" s="20"/>
      <c r="AB39" s="20"/>
      <c r="AC39" s="20"/>
      <c r="AD39" s="20"/>
      <c r="AE39" s="20"/>
    </row>
    <row r="40">
      <c r="A40" s="21">
        <v>2.0</v>
      </c>
      <c r="B40" s="22" t="s">
        <v>218</v>
      </c>
      <c r="C40" s="22" t="s">
        <v>487</v>
      </c>
      <c r="I40" s="25" t="s">
        <v>475</v>
      </c>
      <c r="J40" s="25" t="s">
        <v>349</v>
      </c>
      <c r="K40" s="25" t="s">
        <v>418</v>
      </c>
      <c r="L40" s="25" t="s">
        <v>537</v>
      </c>
      <c r="M40" s="25" t="s">
        <v>415</v>
      </c>
      <c r="N40" s="25" t="s">
        <v>415</v>
      </c>
      <c r="O40" s="25" t="s">
        <v>416</v>
      </c>
      <c r="P40" s="25"/>
      <c r="Q40" s="26"/>
      <c r="R40" s="26"/>
      <c r="S40" s="26"/>
      <c r="T40" s="20"/>
      <c r="U40" s="26"/>
      <c r="V40" s="26"/>
      <c r="W40" s="20"/>
      <c r="X40" s="20"/>
      <c r="Y40" s="20"/>
      <c r="Z40" s="20"/>
      <c r="AA40" s="20"/>
      <c r="AB40" s="20"/>
      <c r="AC40" s="20"/>
      <c r="AD40" s="20"/>
      <c r="AE40" s="20"/>
    </row>
    <row r="41">
      <c r="A41" s="21">
        <v>2.0</v>
      </c>
      <c r="B41" s="22" t="s">
        <v>218</v>
      </c>
      <c r="C41" s="22" t="s">
        <v>487</v>
      </c>
      <c r="I41" s="25" t="s">
        <v>557</v>
      </c>
      <c r="J41" s="25" t="s">
        <v>358</v>
      </c>
      <c r="K41" s="25" t="s">
        <v>418</v>
      </c>
      <c r="L41" s="25" t="s">
        <v>537</v>
      </c>
      <c r="M41" s="25" t="s">
        <v>415</v>
      </c>
      <c r="N41" s="25" t="s">
        <v>415</v>
      </c>
      <c r="O41" s="25" t="s">
        <v>416</v>
      </c>
      <c r="P41" s="25" t="s">
        <v>253</v>
      </c>
      <c r="Q41" s="26"/>
      <c r="R41" s="26"/>
      <c r="S41" s="26"/>
      <c r="T41" s="20"/>
      <c r="U41" s="26"/>
      <c r="V41" s="26"/>
      <c r="W41" s="20"/>
      <c r="X41" s="20"/>
      <c r="Y41" s="20"/>
      <c r="Z41" s="20"/>
      <c r="AA41" s="20"/>
      <c r="AB41" s="20"/>
      <c r="AC41" s="20"/>
      <c r="AD41" s="20"/>
      <c r="AE41" s="20"/>
    </row>
    <row r="42">
      <c r="A42" s="21">
        <v>2.0</v>
      </c>
      <c r="B42" s="22" t="s">
        <v>218</v>
      </c>
      <c r="C42" s="22" t="s">
        <v>487</v>
      </c>
      <c r="I42" s="25" t="s">
        <v>367</v>
      </c>
      <c r="J42" s="25" t="s">
        <v>358</v>
      </c>
      <c r="K42" s="25" t="s">
        <v>71</v>
      </c>
      <c r="L42" s="25" t="s">
        <v>528</v>
      </c>
      <c r="M42" s="25" t="s">
        <v>61</v>
      </c>
      <c r="N42" s="25" t="s">
        <v>369</v>
      </c>
      <c r="O42" s="25" t="s">
        <v>63</v>
      </c>
      <c r="P42" s="25"/>
      <c r="Q42" s="26"/>
      <c r="R42" s="26"/>
      <c r="S42" s="26"/>
      <c r="T42" s="20"/>
      <c r="U42" s="26"/>
      <c r="V42" s="26"/>
      <c r="W42" s="20"/>
      <c r="X42" s="20"/>
      <c r="Y42" s="20"/>
      <c r="Z42" s="20"/>
      <c r="AA42" s="20"/>
      <c r="AB42" s="20"/>
      <c r="AC42" s="20"/>
      <c r="AD42" s="20"/>
      <c r="AE42" s="20"/>
    </row>
    <row r="43">
      <c r="A43" s="21">
        <v>2.0</v>
      </c>
      <c r="B43" s="22" t="s">
        <v>218</v>
      </c>
      <c r="C43" s="22" t="s">
        <v>487</v>
      </c>
      <c r="I43" s="25" t="s">
        <v>265</v>
      </c>
      <c r="J43" s="25" t="s">
        <v>219</v>
      </c>
      <c r="K43" s="25" t="s">
        <v>71</v>
      </c>
      <c r="L43" s="25" t="s">
        <v>520</v>
      </c>
      <c r="M43" s="25" t="s">
        <v>266</v>
      </c>
      <c r="N43" s="25" t="s">
        <v>267</v>
      </c>
      <c r="O43" s="25" t="s">
        <v>63</v>
      </c>
      <c r="P43" s="25"/>
      <c r="Q43" s="26"/>
      <c r="R43" s="26"/>
      <c r="S43" s="26"/>
      <c r="T43" s="20"/>
      <c r="U43" s="26"/>
      <c r="V43" s="26"/>
      <c r="W43" s="20"/>
      <c r="X43" s="20"/>
      <c r="Y43" s="20"/>
      <c r="Z43" s="20"/>
      <c r="AA43" s="20"/>
      <c r="AB43" s="20"/>
      <c r="AC43" s="20"/>
      <c r="AD43" s="20"/>
      <c r="AE43" s="20"/>
    </row>
    <row r="44">
      <c r="A44" s="21">
        <v>2.0</v>
      </c>
      <c r="B44" s="22" t="s">
        <v>218</v>
      </c>
      <c r="C44" s="22" t="s">
        <v>487</v>
      </c>
      <c r="I44" s="25" t="s">
        <v>270</v>
      </c>
      <c r="J44" s="25" t="s">
        <v>219</v>
      </c>
      <c r="K44" s="25" t="s">
        <v>71</v>
      </c>
      <c r="L44" s="25" t="s">
        <v>520</v>
      </c>
      <c r="M44" s="25" t="s">
        <v>271</v>
      </c>
      <c r="N44" s="25" t="s">
        <v>272</v>
      </c>
      <c r="O44" s="25" t="s">
        <v>63</v>
      </c>
      <c r="P44" s="25"/>
      <c r="Q44" s="26"/>
      <c r="R44" s="26"/>
      <c r="S44" s="26"/>
      <c r="T44" s="20"/>
      <c r="U44" s="26"/>
      <c r="V44" s="26"/>
      <c r="W44" s="20"/>
      <c r="X44" s="20"/>
      <c r="Y44" s="20"/>
      <c r="Z44" s="20"/>
      <c r="AA44" s="20"/>
      <c r="AB44" s="20"/>
      <c r="AC44" s="20"/>
      <c r="AD44" s="20"/>
      <c r="AE44" s="20"/>
    </row>
    <row r="45">
      <c r="A45" s="21">
        <v>2.0</v>
      </c>
      <c r="B45" s="22" t="s">
        <v>218</v>
      </c>
      <c r="C45" s="22" t="s">
        <v>487</v>
      </c>
      <c r="I45" s="25" t="s">
        <v>586</v>
      </c>
      <c r="J45" s="25" t="s">
        <v>358</v>
      </c>
      <c r="K45" s="25" t="s">
        <v>418</v>
      </c>
      <c r="L45" s="25" t="s">
        <v>537</v>
      </c>
      <c r="M45" s="25" t="s">
        <v>415</v>
      </c>
      <c r="N45" s="25" t="s">
        <v>415</v>
      </c>
      <c r="O45" s="25" t="s">
        <v>416</v>
      </c>
      <c r="P45" s="25"/>
      <c r="Q45" s="26"/>
      <c r="R45" s="26"/>
      <c r="S45" s="26"/>
      <c r="T45" s="20"/>
      <c r="U45" s="26"/>
      <c r="V45" s="26"/>
      <c r="W45" s="20"/>
      <c r="X45" s="20"/>
      <c r="Y45" s="20"/>
      <c r="Z45" s="20"/>
      <c r="AA45" s="20"/>
      <c r="AB45" s="20"/>
      <c r="AC45" s="20"/>
      <c r="AD45" s="20"/>
      <c r="AE45" s="20"/>
    </row>
    <row r="46">
      <c r="A46" s="21">
        <v>2.0</v>
      </c>
      <c r="B46" s="22" t="s">
        <v>218</v>
      </c>
      <c r="C46" s="22" t="s">
        <v>487</v>
      </c>
      <c r="I46" s="25" t="s">
        <v>593</v>
      </c>
      <c r="J46" s="25" t="s">
        <v>358</v>
      </c>
      <c r="K46" s="25" t="s">
        <v>418</v>
      </c>
      <c r="L46" s="25" t="s">
        <v>537</v>
      </c>
      <c r="M46" s="25" t="s">
        <v>415</v>
      </c>
      <c r="N46" s="25" t="s">
        <v>415</v>
      </c>
      <c r="O46" s="25" t="s">
        <v>416</v>
      </c>
      <c r="P46" s="25"/>
      <c r="Q46" s="26"/>
      <c r="R46" s="26"/>
      <c r="S46" s="26"/>
      <c r="T46" s="20"/>
      <c r="U46" s="26"/>
      <c r="V46" s="26"/>
      <c r="W46" s="20"/>
      <c r="X46" s="20"/>
      <c r="Y46" s="20"/>
      <c r="Z46" s="20"/>
      <c r="AA46" s="20"/>
      <c r="AB46" s="20"/>
      <c r="AC46" s="20"/>
      <c r="AD46" s="20"/>
      <c r="AE46" s="20"/>
    </row>
    <row r="47">
      <c r="A47" s="21">
        <v>2.0</v>
      </c>
      <c r="B47" s="22" t="s">
        <v>218</v>
      </c>
      <c r="C47" s="22" t="s">
        <v>487</v>
      </c>
      <c r="I47" s="25" t="s">
        <v>274</v>
      </c>
      <c r="J47" s="25" t="s">
        <v>219</v>
      </c>
      <c r="K47" s="25" t="s">
        <v>71</v>
      </c>
      <c r="L47" s="25" t="s">
        <v>520</v>
      </c>
      <c r="M47" s="25" t="s">
        <v>61</v>
      </c>
      <c r="N47" s="25" t="s">
        <v>275</v>
      </c>
      <c r="O47" s="25" t="s">
        <v>63</v>
      </c>
      <c r="P47" s="25"/>
      <c r="Q47" s="26"/>
      <c r="R47" s="26"/>
      <c r="S47" s="26"/>
      <c r="T47" s="20"/>
      <c r="U47" s="26"/>
      <c r="V47" s="26"/>
      <c r="W47" s="20"/>
      <c r="X47" s="20"/>
      <c r="Y47" s="20"/>
      <c r="Z47" s="20"/>
      <c r="AA47" s="20"/>
      <c r="AB47" s="20"/>
      <c r="AC47" s="20"/>
      <c r="AD47" s="20"/>
      <c r="AE47" s="20"/>
    </row>
    <row r="48">
      <c r="A48" s="21">
        <v>2.0</v>
      </c>
      <c r="B48" s="22" t="s">
        <v>218</v>
      </c>
      <c r="C48" s="22" t="s">
        <v>487</v>
      </c>
      <c r="I48" s="25" t="s">
        <v>605</v>
      </c>
      <c r="J48" s="25" t="s">
        <v>358</v>
      </c>
      <c r="K48" s="25" t="s">
        <v>418</v>
      </c>
      <c r="L48" s="25" t="s">
        <v>537</v>
      </c>
      <c r="M48" s="25" t="s">
        <v>415</v>
      </c>
      <c r="N48" s="25" t="s">
        <v>415</v>
      </c>
      <c r="O48" s="25" t="s">
        <v>416</v>
      </c>
      <c r="P48" s="25" t="s">
        <v>253</v>
      </c>
      <c r="Q48" s="26"/>
      <c r="R48" s="26"/>
      <c r="S48" s="26"/>
      <c r="T48" s="20"/>
      <c r="U48" s="26"/>
      <c r="V48" s="26"/>
      <c r="W48" s="20"/>
      <c r="X48" s="20"/>
      <c r="Y48" s="20"/>
      <c r="Z48" s="20"/>
      <c r="AA48" s="20"/>
      <c r="AB48" s="20"/>
      <c r="AC48" s="20"/>
      <c r="AD48" s="20"/>
      <c r="AE48" s="20"/>
    </row>
    <row r="49">
      <c r="A49" s="21">
        <v>2.0</v>
      </c>
      <c r="B49" s="22" t="s">
        <v>218</v>
      </c>
      <c r="C49" s="22" t="s">
        <v>487</v>
      </c>
      <c r="I49" s="25" t="s">
        <v>375</v>
      </c>
      <c r="J49" s="25" t="s">
        <v>358</v>
      </c>
      <c r="K49" s="25" t="s">
        <v>71</v>
      </c>
      <c r="L49" s="25" t="s">
        <v>615</v>
      </c>
      <c r="M49" s="25" t="s">
        <v>377</v>
      </c>
      <c r="N49" s="25" t="s">
        <v>379</v>
      </c>
      <c r="O49" s="25" t="s">
        <v>63</v>
      </c>
      <c r="P49" s="25" t="s">
        <v>253</v>
      </c>
      <c r="Q49" s="26"/>
      <c r="R49" s="26"/>
      <c r="S49" s="26"/>
      <c r="T49" s="20"/>
      <c r="U49" s="26"/>
      <c r="V49" s="26"/>
      <c r="W49" s="20"/>
      <c r="X49" s="20"/>
      <c r="Y49" s="20"/>
      <c r="Z49" s="20"/>
      <c r="AA49" s="20"/>
      <c r="AB49" s="20"/>
      <c r="AC49" s="20"/>
      <c r="AD49" s="20"/>
      <c r="AE49" s="20"/>
    </row>
    <row r="50">
      <c r="A50" s="21">
        <v>2.0</v>
      </c>
      <c r="B50" s="22" t="s">
        <v>218</v>
      </c>
      <c r="C50" s="22" t="s">
        <v>487</v>
      </c>
      <c r="I50" s="25" t="s">
        <v>391</v>
      </c>
      <c r="J50" s="25" t="s">
        <v>358</v>
      </c>
      <c r="K50" s="25" t="s">
        <v>71</v>
      </c>
      <c r="L50" s="25" t="s">
        <v>528</v>
      </c>
      <c r="M50" s="25" t="s">
        <v>392</v>
      </c>
      <c r="N50" s="25" t="s">
        <v>394</v>
      </c>
      <c r="O50" s="25" t="s">
        <v>63</v>
      </c>
      <c r="P50" s="25"/>
      <c r="Q50" s="26"/>
      <c r="R50" s="26"/>
      <c r="S50" s="26"/>
      <c r="T50" s="20"/>
      <c r="U50" s="26"/>
      <c r="V50" s="26"/>
      <c r="W50" s="20"/>
      <c r="X50" s="20"/>
      <c r="Y50" s="20"/>
      <c r="Z50" s="20"/>
      <c r="AA50" s="20"/>
      <c r="AB50" s="20"/>
      <c r="AC50" s="20"/>
      <c r="AD50" s="20"/>
      <c r="AE50" s="20"/>
    </row>
    <row r="51">
      <c r="A51" s="21">
        <v>2.0</v>
      </c>
      <c r="B51" s="22" t="s">
        <v>218</v>
      </c>
      <c r="C51" s="22" t="s">
        <v>487</v>
      </c>
      <c r="I51" s="25" t="s">
        <v>68</v>
      </c>
      <c r="J51" s="25" t="s">
        <v>349</v>
      </c>
      <c r="K51" s="25" t="s">
        <v>418</v>
      </c>
      <c r="L51" s="25" t="s">
        <v>537</v>
      </c>
      <c r="M51" s="25" t="s">
        <v>415</v>
      </c>
      <c r="N51" s="25" t="s">
        <v>415</v>
      </c>
      <c r="O51" s="25" t="s">
        <v>416</v>
      </c>
      <c r="P51" s="25"/>
      <c r="Q51" s="26"/>
      <c r="R51" s="26"/>
      <c r="S51" s="26"/>
      <c r="T51" s="20"/>
      <c r="U51" s="26"/>
      <c r="V51" s="26"/>
      <c r="W51" s="20"/>
      <c r="X51" s="20"/>
      <c r="Y51" s="20"/>
      <c r="Z51" s="20"/>
      <c r="AA51" s="20"/>
      <c r="AB51" s="20"/>
      <c r="AC51" s="20"/>
      <c r="AD51" s="20"/>
      <c r="AE51" s="20"/>
    </row>
    <row r="52">
      <c r="A52" s="21">
        <v>2.0</v>
      </c>
      <c r="B52" s="22" t="s">
        <v>218</v>
      </c>
      <c r="C52" s="22" t="s">
        <v>487</v>
      </c>
      <c r="I52" s="25" t="s">
        <v>413</v>
      </c>
      <c r="J52" s="25" t="s">
        <v>219</v>
      </c>
      <c r="K52" s="25" t="s">
        <v>418</v>
      </c>
      <c r="L52" s="25" t="s">
        <v>537</v>
      </c>
      <c r="M52" s="25" t="s">
        <v>415</v>
      </c>
      <c r="N52" s="25" t="s">
        <v>415</v>
      </c>
      <c r="O52" s="25" t="s">
        <v>416</v>
      </c>
      <c r="P52" s="25"/>
      <c r="Q52" s="26"/>
      <c r="R52" s="26"/>
      <c r="S52" s="26"/>
      <c r="T52" s="20"/>
      <c r="U52" s="26"/>
      <c r="V52" s="26"/>
      <c r="W52" s="20"/>
      <c r="X52" s="20"/>
      <c r="Y52" s="20"/>
      <c r="Z52" s="20"/>
      <c r="AA52" s="20"/>
      <c r="AB52" s="20"/>
      <c r="AC52" s="20"/>
      <c r="AD52" s="20"/>
      <c r="AE52" s="20"/>
    </row>
    <row r="53">
      <c r="A53" s="21">
        <v>2.0</v>
      </c>
      <c r="B53" s="20" t="s">
        <v>218</v>
      </c>
      <c r="C53" s="20" t="s">
        <v>487</v>
      </c>
      <c r="I53" s="25" t="s">
        <v>350</v>
      </c>
      <c r="J53" s="25" t="s">
        <v>349</v>
      </c>
      <c r="K53" s="25" t="s">
        <v>71</v>
      </c>
      <c r="L53" s="25" t="s">
        <v>639</v>
      </c>
      <c r="M53" s="20" t="s">
        <v>61</v>
      </c>
      <c r="N53" s="20" t="s">
        <v>351</v>
      </c>
      <c r="O53" s="20" t="s">
        <v>63</v>
      </c>
      <c r="P53" s="20" t="s">
        <v>52</v>
      </c>
      <c r="Q53" s="26"/>
      <c r="R53" s="26"/>
      <c r="S53" s="26"/>
      <c r="T53" s="20"/>
      <c r="U53" s="26"/>
      <c r="V53" s="26"/>
      <c r="W53" s="20"/>
      <c r="X53" s="20"/>
      <c r="Y53" s="20"/>
      <c r="Z53" s="20"/>
      <c r="AA53" s="20"/>
      <c r="AB53" s="20"/>
      <c r="AC53" s="20"/>
      <c r="AD53" s="20"/>
      <c r="AE53" s="20"/>
    </row>
    <row r="54">
      <c r="A54" s="21">
        <v>2.0</v>
      </c>
      <c r="B54" s="20" t="s">
        <v>218</v>
      </c>
      <c r="C54" s="20" t="s">
        <v>487</v>
      </c>
      <c r="I54" s="25" t="s">
        <v>489</v>
      </c>
      <c r="J54" s="25" t="s">
        <v>349</v>
      </c>
      <c r="K54" s="25" t="s">
        <v>418</v>
      </c>
      <c r="L54" s="25" t="s">
        <v>537</v>
      </c>
      <c r="M54" s="20" t="s">
        <v>415</v>
      </c>
      <c r="N54" s="20" t="s">
        <v>415</v>
      </c>
      <c r="O54" s="20" t="s">
        <v>416</v>
      </c>
      <c r="P54" s="20" t="s">
        <v>52</v>
      </c>
      <c r="Q54" s="26"/>
      <c r="R54" s="26"/>
      <c r="S54" s="26"/>
      <c r="T54" s="20"/>
      <c r="U54" s="26"/>
      <c r="V54" s="26"/>
      <c r="W54" s="20"/>
      <c r="X54" s="20"/>
      <c r="Y54" s="20"/>
      <c r="Z54" s="20"/>
      <c r="AA54" s="20"/>
      <c r="AB54" s="20"/>
      <c r="AC54" s="20"/>
      <c r="AD54" s="20"/>
      <c r="AE54" s="20"/>
    </row>
    <row r="55">
      <c r="A55" s="21">
        <v>2.0</v>
      </c>
      <c r="B55" s="20" t="s">
        <v>218</v>
      </c>
      <c r="C55" s="20" t="s">
        <v>487</v>
      </c>
      <c r="I55" s="25" t="s">
        <v>495</v>
      </c>
      <c r="J55" s="25" t="s">
        <v>349</v>
      </c>
      <c r="K55" s="25" t="s">
        <v>418</v>
      </c>
      <c r="L55" s="25" t="s">
        <v>537</v>
      </c>
      <c r="M55" s="20" t="s">
        <v>415</v>
      </c>
      <c r="N55" s="20" t="s">
        <v>415</v>
      </c>
      <c r="O55" s="20" t="s">
        <v>416</v>
      </c>
      <c r="P55" s="20" t="s">
        <v>52</v>
      </c>
      <c r="Q55" s="26"/>
      <c r="R55" s="26"/>
      <c r="S55" s="26"/>
      <c r="T55" s="20"/>
      <c r="U55" s="26"/>
      <c r="V55" s="26"/>
      <c r="W55" s="20"/>
      <c r="X55" s="20"/>
      <c r="Y55" s="20"/>
      <c r="Z55" s="20"/>
      <c r="AA55" s="20"/>
      <c r="AB55" s="20"/>
      <c r="AC55" s="20"/>
      <c r="AD55" s="20"/>
      <c r="AE55" s="20"/>
    </row>
    <row r="56">
      <c r="A56" s="21">
        <v>2.0</v>
      </c>
      <c r="B56" s="20" t="s">
        <v>218</v>
      </c>
      <c r="C56" s="20" t="s">
        <v>487</v>
      </c>
      <c r="I56" s="25" t="s">
        <v>501</v>
      </c>
      <c r="J56" s="25" t="s">
        <v>349</v>
      </c>
      <c r="K56" s="25" t="s">
        <v>418</v>
      </c>
      <c r="L56" s="25" t="s">
        <v>537</v>
      </c>
      <c r="M56" s="20" t="s">
        <v>415</v>
      </c>
      <c r="N56" s="20" t="s">
        <v>415</v>
      </c>
      <c r="O56" s="20" t="s">
        <v>416</v>
      </c>
      <c r="P56" s="20" t="s">
        <v>52</v>
      </c>
      <c r="Q56" s="26"/>
      <c r="R56" s="26"/>
      <c r="S56" s="26"/>
      <c r="T56" s="20"/>
      <c r="U56" s="26"/>
      <c r="V56" s="26"/>
      <c r="W56" s="20"/>
      <c r="X56" s="20"/>
      <c r="Y56" s="20"/>
      <c r="Z56" s="20"/>
      <c r="AA56" s="20"/>
      <c r="AB56" s="20"/>
      <c r="AC56" s="20"/>
      <c r="AD56" s="20"/>
      <c r="AE56" s="20"/>
    </row>
    <row r="57">
      <c r="A57" s="21">
        <v>2.0</v>
      </c>
      <c r="B57" s="20" t="s">
        <v>218</v>
      </c>
      <c r="C57" s="20" t="s">
        <v>487</v>
      </c>
      <c r="I57" s="25" t="s">
        <v>278</v>
      </c>
      <c r="J57" s="25" t="s">
        <v>219</v>
      </c>
      <c r="K57" s="25" t="s">
        <v>71</v>
      </c>
      <c r="L57" s="25" t="s">
        <v>673</v>
      </c>
      <c r="M57" s="20" t="s">
        <v>61</v>
      </c>
      <c r="N57" s="20" t="s">
        <v>279</v>
      </c>
      <c r="O57" s="20" t="s">
        <v>63</v>
      </c>
      <c r="P57" s="20" t="s">
        <v>52</v>
      </c>
      <c r="Q57" s="26"/>
      <c r="R57" s="26"/>
      <c r="S57" s="26"/>
      <c r="T57" s="20"/>
      <c r="U57" s="26"/>
      <c r="V57" s="26"/>
      <c r="W57" s="20"/>
      <c r="X57" s="20"/>
      <c r="Y57" s="20"/>
      <c r="Z57" s="20"/>
      <c r="AA57" s="20"/>
      <c r="AB57" s="20"/>
      <c r="AC57" s="20"/>
      <c r="AD57" s="20"/>
      <c r="AE57" s="20"/>
    </row>
    <row r="58">
      <c r="A58" s="21">
        <v>2.0</v>
      </c>
      <c r="B58" s="20" t="s">
        <v>218</v>
      </c>
      <c r="C58" s="20" t="s">
        <v>487</v>
      </c>
      <c r="I58" s="25" t="s">
        <v>506</v>
      </c>
      <c r="J58" s="25" t="s">
        <v>349</v>
      </c>
      <c r="K58" s="25" t="s">
        <v>418</v>
      </c>
      <c r="L58" s="25" t="s">
        <v>537</v>
      </c>
      <c r="M58" s="20" t="s">
        <v>415</v>
      </c>
      <c r="N58" s="20" t="s">
        <v>415</v>
      </c>
      <c r="O58" s="20" t="s">
        <v>416</v>
      </c>
      <c r="P58" s="20" t="s">
        <v>52</v>
      </c>
      <c r="Q58" s="26"/>
      <c r="R58" s="26"/>
      <c r="S58" s="26"/>
      <c r="T58" s="20"/>
      <c r="U58" s="26"/>
      <c r="V58" s="26"/>
      <c r="W58" s="20"/>
      <c r="X58" s="20"/>
      <c r="Y58" s="20"/>
      <c r="Z58" s="20"/>
      <c r="AA58" s="20"/>
      <c r="AB58" s="20"/>
      <c r="AC58" s="20"/>
      <c r="AD58" s="20"/>
      <c r="AE58" s="20"/>
    </row>
    <row r="59">
      <c r="A59" s="21">
        <v>2.0</v>
      </c>
      <c r="B59" s="20" t="s">
        <v>218</v>
      </c>
      <c r="C59" s="20" t="s">
        <v>487</v>
      </c>
      <c r="I59" s="25" t="s">
        <v>423</v>
      </c>
      <c r="J59" s="25" t="s">
        <v>219</v>
      </c>
      <c r="K59" s="25" t="s">
        <v>418</v>
      </c>
      <c r="L59" s="25" t="s">
        <v>537</v>
      </c>
      <c r="M59" s="20" t="s">
        <v>415</v>
      </c>
      <c r="N59" s="20" t="s">
        <v>415</v>
      </c>
      <c r="O59" s="20" t="s">
        <v>416</v>
      </c>
      <c r="P59" s="20" t="s">
        <v>52</v>
      </c>
      <c r="Q59" s="26"/>
      <c r="R59" s="26"/>
      <c r="S59" s="26"/>
      <c r="T59" s="20"/>
      <c r="U59" s="26"/>
      <c r="V59" s="26"/>
      <c r="W59" s="20"/>
      <c r="X59" s="20"/>
      <c r="Y59" s="20"/>
      <c r="Z59" s="20"/>
      <c r="AA59" s="20"/>
      <c r="AB59" s="20"/>
      <c r="AC59" s="20"/>
      <c r="AD59" s="20"/>
      <c r="AE59" s="20"/>
    </row>
    <row r="60">
      <c r="A60" s="21">
        <v>2.0</v>
      </c>
      <c r="B60" s="20" t="s">
        <v>218</v>
      </c>
      <c r="C60" s="20" t="s">
        <v>487</v>
      </c>
      <c r="I60" s="25" t="s">
        <v>512</v>
      </c>
      <c r="J60" s="25" t="s">
        <v>349</v>
      </c>
      <c r="K60" s="25" t="s">
        <v>418</v>
      </c>
      <c r="L60" s="25" t="s">
        <v>537</v>
      </c>
      <c r="M60" s="20" t="s">
        <v>415</v>
      </c>
      <c r="N60" s="20" t="s">
        <v>415</v>
      </c>
      <c r="O60" s="20" t="s">
        <v>416</v>
      </c>
      <c r="P60" s="20" t="s">
        <v>52</v>
      </c>
      <c r="Q60" s="26"/>
      <c r="R60" s="26"/>
      <c r="S60" s="26"/>
      <c r="T60" s="20"/>
      <c r="U60" s="26"/>
      <c r="V60" s="26"/>
      <c r="W60" s="20"/>
      <c r="X60" s="20"/>
      <c r="Y60" s="20"/>
      <c r="Z60" s="20"/>
      <c r="AA60" s="20"/>
      <c r="AB60" s="20"/>
      <c r="AC60" s="20"/>
      <c r="AD60" s="20"/>
      <c r="AE60" s="20"/>
    </row>
    <row r="61">
      <c r="A61" s="21">
        <v>2.0</v>
      </c>
      <c r="B61" s="20" t="s">
        <v>218</v>
      </c>
      <c r="C61" s="20" t="s">
        <v>487</v>
      </c>
      <c r="I61" s="25" t="s">
        <v>433</v>
      </c>
      <c r="J61" s="25" t="s">
        <v>219</v>
      </c>
      <c r="K61" s="25" t="s">
        <v>418</v>
      </c>
      <c r="L61" s="25" t="s">
        <v>537</v>
      </c>
      <c r="M61" s="20" t="s">
        <v>415</v>
      </c>
      <c r="N61" s="20" t="s">
        <v>415</v>
      </c>
      <c r="O61" s="20" t="s">
        <v>416</v>
      </c>
      <c r="P61" s="20" t="s">
        <v>52</v>
      </c>
      <c r="Q61" s="26"/>
      <c r="R61" s="26"/>
      <c r="S61" s="26"/>
      <c r="T61" s="20"/>
      <c r="U61" s="26"/>
      <c r="V61" s="26"/>
      <c r="W61" s="20"/>
      <c r="X61" s="20"/>
      <c r="Y61" s="20"/>
      <c r="Z61" s="20"/>
      <c r="AA61" s="20"/>
      <c r="AB61" s="20"/>
      <c r="AC61" s="20"/>
      <c r="AD61" s="20"/>
      <c r="AE61" s="20"/>
    </row>
    <row r="62">
      <c r="A62" s="21">
        <v>2.0</v>
      </c>
      <c r="B62" s="20" t="s">
        <v>218</v>
      </c>
      <c r="C62" s="20" t="s">
        <v>487</v>
      </c>
      <c r="I62" s="25" t="s">
        <v>518</v>
      </c>
      <c r="J62" s="25" t="s">
        <v>349</v>
      </c>
      <c r="K62" s="25" t="s">
        <v>418</v>
      </c>
      <c r="L62" s="25" t="s">
        <v>537</v>
      </c>
      <c r="M62" s="20" t="s">
        <v>415</v>
      </c>
      <c r="N62" s="20" t="s">
        <v>415</v>
      </c>
      <c r="O62" s="20" t="s">
        <v>416</v>
      </c>
      <c r="P62" s="20" t="s">
        <v>524</v>
      </c>
      <c r="Q62" s="26"/>
      <c r="R62" s="26"/>
      <c r="S62" s="26"/>
      <c r="T62" s="20"/>
      <c r="U62" s="26"/>
      <c r="V62" s="26"/>
      <c r="W62" s="20"/>
      <c r="X62" s="20"/>
      <c r="Y62" s="20"/>
      <c r="Z62" s="20"/>
      <c r="AA62" s="20"/>
      <c r="AB62" s="20"/>
      <c r="AC62" s="20"/>
      <c r="AD62" s="20"/>
      <c r="AE62" s="20"/>
    </row>
    <row r="63">
      <c r="A63" s="21">
        <v>2.0</v>
      </c>
      <c r="B63" s="20" t="s">
        <v>218</v>
      </c>
      <c r="C63" s="20" t="s">
        <v>487</v>
      </c>
      <c r="I63" s="25" t="s">
        <v>530</v>
      </c>
      <c r="J63" s="25" t="s">
        <v>349</v>
      </c>
      <c r="K63" s="25" t="s">
        <v>418</v>
      </c>
      <c r="L63" s="25" t="s">
        <v>537</v>
      </c>
      <c r="M63" s="20" t="s">
        <v>415</v>
      </c>
      <c r="N63" s="20" t="s">
        <v>415</v>
      </c>
      <c r="O63" s="20" t="s">
        <v>416</v>
      </c>
      <c r="P63" s="20" t="s">
        <v>52</v>
      </c>
      <c r="Q63" s="26"/>
      <c r="R63" s="26"/>
      <c r="S63" s="26"/>
      <c r="T63" s="20"/>
      <c r="U63" s="26"/>
      <c r="V63" s="26"/>
      <c r="W63" s="20"/>
      <c r="X63" s="20"/>
      <c r="Y63" s="20"/>
      <c r="Z63" s="20"/>
      <c r="AA63" s="20"/>
      <c r="AB63" s="20"/>
      <c r="AC63" s="20"/>
      <c r="AD63" s="20"/>
      <c r="AE63" s="20"/>
    </row>
    <row r="64">
      <c r="A64" s="21">
        <v>2.0</v>
      </c>
      <c r="B64" s="20" t="s">
        <v>218</v>
      </c>
      <c r="C64" s="20" t="s">
        <v>487</v>
      </c>
      <c r="I64" s="25" t="s">
        <v>283</v>
      </c>
      <c r="J64" s="25" t="s">
        <v>219</v>
      </c>
      <c r="K64" s="25" t="s">
        <v>71</v>
      </c>
      <c r="L64" s="25" t="s">
        <v>702</v>
      </c>
      <c r="M64" s="20" t="s">
        <v>284</v>
      </c>
      <c r="N64" s="20" t="s">
        <v>267</v>
      </c>
      <c r="O64" s="20" t="s">
        <v>63</v>
      </c>
      <c r="P64" s="20" t="s">
        <v>52</v>
      </c>
      <c r="Q64" s="26"/>
      <c r="R64" s="26"/>
      <c r="S64" s="26"/>
      <c r="T64" s="20"/>
      <c r="U64" s="26"/>
      <c r="V64" s="26"/>
      <c r="W64" s="20"/>
      <c r="X64" s="20"/>
      <c r="Y64" s="20"/>
      <c r="Z64" s="20"/>
      <c r="AA64" s="20"/>
      <c r="AB64" s="20"/>
      <c r="AC64" s="20"/>
      <c r="AD64" s="20"/>
      <c r="AE64" s="20"/>
    </row>
    <row r="65">
      <c r="A65" s="21">
        <v>2.0</v>
      </c>
      <c r="B65" s="20" t="s">
        <v>218</v>
      </c>
      <c r="C65" s="20" t="s">
        <v>487</v>
      </c>
      <c r="I65" s="25" t="s">
        <v>541</v>
      </c>
      <c r="J65" s="25" t="s">
        <v>349</v>
      </c>
      <c r="K65" s="25" t="s">
        <v>418</v>
      </c>
      <c r="L65" s="25" t="s">
        <v>537</v>
      </c>
      <c r="M65" s="20" t="s">
        <v>415</v>
      </c>
      <c r="N65" s="20" t="s">
        <v>415</v>
      </c>
      <c r="O65" s="20" t="s">
        <v>416</v>
      </c>
      <c r="P65" s="20" t="s">
        <v>52</v>
      </c>
      <c r="Q65" s="26"/>
      <c r="R65" s="26"/>
      <c r="S65" s="26"/>
      <c r="T65" s="20"/>
      <c r="U65" s="26"/>
      <c r="V65" s="26"/>
      <c r="W65" s="20"/>
      <c r="X65" s="20"/>
      <c r="Y65" s="20"/>
      <c r="Z65" s="20"/>
      <c r="AA65" s="20"/>
      <c r="AB65" s="20"/>
      <c r="AC65" s="20"/>
      <c r="AD65" s="20"/>
      <c r="AE65" s="20"/>
    </row>
    <row r="66">
      <c r="A66" s="21">
        <v>2.0</v>
      </c>
      <c r="B66" s="20" t="s">
        <v>218</v>
      </c>
      <c r="C66" s="20" t="s">
        <v>487</v>
      </c>
      <c r="I66" s="25" t="s">
        <v>704</v>
      </c>
      <c r="J66" s="25" t="s">
        <v>358</v>
      </c>
      <c r="K66" s="25" t="s">
        <v>418</v>
      </c>
      <c r="L66" s="25" t="s">
        <v>537</v>
      </c>
      <c r="M66" s="20" t="s">
        <v>415</v>
      </c>
      <c r="N66" s="20" t="s">
        <v>415</v>
      </c>
      <c r="O66" s="20" t="s">
        <v>416</v>
      </c>
      <c r="P66" s="20" t="s">
        <v>52</v>
      </c>
      <c r="Q66" s="26"/>
      <c r="R66" s="26"/>
      <c r="S66" s="26"/>
      <c r="T66" s="20"/>
      <c r="U66" s="26"/>
      <c r="V66" s="26"/>
      <c r="W66" s="20"/>
      <c r="X66" s="20"/>
      <c r="Y66" s="20"/>
      <c r="Z66" s="20"/>
      <c r="AA66" s="20"/>
      <c r="AB66" s="20"/>
      <c r="AC66" s="20"/>
      <c r="AD66" s="20"/>
      <c r="AE66" s="20"/>
    </row>
    <row r="67">
      <c r="A67" s="21">
        <v>2.0</v>
      </c>
      <c r="B67" s="20" t="s">
        <v>218</v>
      </c>
      <c r="C67" s="20" t="s">
        <v>487</v>
      </c>
      <c r="I67" s="25" t="s">
        <v>706</v>
      </c>
      <c r="J67" s="25" t="s">
        <v>358</v>
      </c>
      <c r="K67" s="25" t="s">
        <v>418</v>
      </c>
      <c r="L67" s="25" t="s">
        <v>537</v>
      </c>
      <c r="M67" s="20" t="s">
        <v>415</v>
      </c>
      <c r="N67" s="20" t="s">
        <v>415</v>
      </c>
      <c r="O67" s="20" t="s">
        <v>416</v>
      </c>
      <c r="P67" s="20" t="s">
        <v>52</v>
      </c>
      <c r="Q67" s="26"/>
      <c r="R67" s="26"/>
      <c r="S67" s="26"/>
      <c r="T67" s="20"/>
      <c r="U67" s="26"/>
      <c r="V67" s="26"/>
      <c r="W67" s="20"/>
      <c r="X67" s="20"/>
      <c r="Y67" s="20"/>
      <c r="Z67" s="20"/>
      <c r="AA67" s="20"/>
      <c r="AB67" s="20"/>
      <c r="AC67" s="20"/>
      <c r="AD67" s="20"/>
      <c r="AE67" s="20"/>
    </row>
    <row r="68">
      <c r="A68" s="21">
        <v>2.0</v>
      </c>
      <c r="B68" s="20" t="s">
        <v>218</v>
      </c>
      <c r="C68" s="20" t="s">
        <v>487</v>
      </c>
      <c r="I68" s="25" t="s">
        <v>552</v>
      </c>
      <c r="J68" s="25" t="s">
        <v>349</v>
      </c>
      <c r="K68" s="25" t="s">
        <v>418</v>
      </c>
      <c r="L68" s="25" t="s">
        <v>537</v>
      </c>
      <c r="M68" s="20" t="s">
        <v>415</v>
      </c>
      <c r="N68" s="20" t="s">
        <v>415</v>
      </c>
      <c r="O68" s="20" t="s">
        <v>416</v>
      </c>
      <c r="P68" s="20" t="s">
        <v>52</v>
      </c>
      <c r="Q68" s="26"/>
      <c r="R68" s="26"/>
      <c r="S68" s="26"/>
      <c r="T68" s="20"/>
      <c r="U68" s="26"/>
      <c r="V68" s="26"/>
      <c r="W68" s="20"/>
      <c r="X68" s="20"/>
      <c r="Y68" s="20"/>
      <c r="Z68" s="20"/>
      <c r="AA68" s="20"/>
      <c r="AB68" s="20"/>
      <c r="AC68" s="20"/>
      <c r="AD68" s="20"/>
      <c r="AE68" s="20"/>
    </row>
    <row r="69">
      <c r="A69" s="21">
        <v>2.0</v>
      </c>
      <c r="B69" s="20" t="s">
        <v>218</v>
      </c>
      <c r="C69" s="20" t="s">
        <v>487</v>
      </c>
      <c r="I69" s="25" t="s">
        <v>289</v>
      </c>
      <c r="J69" s="25" t="s">
        <v>219</v>
      </c>
      <c r="K69" s="25" t="s">
        <v>71</v>
      </c>
      <c r="L69" s="25" t="s">
        <v>709</v>
      </c>
      <c r="M69" s="20" t="s">
        <v>61</v>
      </c>
      <c r="N69" s="20" t="s">
        <v>291</v>
      </c>
      <c r="O69" s="20" t="s">
        <v>63</v>
      </c>
      <c r="P69" s="20" t="s">
        <v>52</v>
      </c>
      <c r="Q69" s="26"/>
      <c r="R69" s="26"/>
      <c r="S69" s="26"/>
      <c r="T69" s="20"/>
      <c r="U69" s="26"/>
      <c r="V69" s="26"/>
      <c r="W69" s="20"/>
      <c r="X69" s="20"/>
      <c r="Y69" s="20"/>
      <c r="Z69" s="20"/>
      <c r="AA69" s="20"/>
      <c r="AB69" s="20"/>
      <c r="AC69" s="20"/>
      <c r="AD69" s="20"/>
      <c r="AE69" s="20"/>
    </row>
    <row r="70">
      <c r="A70" s="21">
        <v>2.0</v>
      </c>
      <c r="B70" s="20" t="s">
        <v>218</v>
      </c>
      <c r="C70" s="20" t="s">
        <v>487</v>
      </c>
      <c r="I70" s="25" t="s">
        <v>296</v>
      </c>
      <c r="J70" s="25" t="s">
        <v>219</v>
      </c>
      <c r="K70" s="25" t="s">
        <v>71</v>
      </c>
      <c r="L70" s="25" t="s">
        <v>710</v>
      </c>
      <c r="M70" s="20" t="s">
        <v>297</v>
      </c>
      <c r="N70" s="20" t="s">
        <v>298</v>
      </c>
      <c r="O70" s="20" t="s">
        <v>63</v>
      </c>
      <c r="P70" s="20" t="s">
        <v>52</v>
      </c>
      <c r="Q70" s="26"/>
      <c r="R70" s="26"/>
      <c r="S70" s="26"/>
      <c r="T70" s="20"/>
      <c r="U70" s="26"/>
      <c r="V70" s="26"/>
      <c r="W70" s="20"/>
      <c r="X70" s="20"/>
      <c r="Y70" s="20"/>
      <c r="Z70" s="20"/>
      <c r="AA70" s="20"/>
      <c r="AB70" s="20"/>
      <c r="AC70" s="20"/>
      <c r="AD70" s="20"/>
      <c r="AE70" s="20"/>
    </row>
    <row r="71">
      <c r="A71" s="21">
        <v>2.0</v>
      </c>
      <c r="B71" s="20" t="s">
        <v>218</v>
      </c>
      <c r="C71" s="20" t="s">
        <v>487</v>
      </c>
      <c r="I71" s="25" t="s">
        <v>302</v>
      </c>
      <c r="J71" s="25" t="s">
        <v>219</v>
      </c>
      <c r="K71" s="25" t="s">
        <v>71</v>
      </c>
      <c r="L71" s="25" t="s">
        <v>709</v>
      </c>
      <c r="M71" s="20" t="s">
        <v>61</v>
      </c>
      <c r="N71" s="20" t="s">
        <v>303</v>
      </c>
      <c r="O71" s="20" t="s">
        <v>63</v>
      </c>
      <c r="P71" s="20" t="s">
        <v>52</v>
      </c>
      <c r="Q71" s="26"/>
      <c r="R71" s="26"/>
      <c r="S71" s="26"/>
      <c r="T71" s="20"/>
      <c r="U71" s="26"/>
      <c r="V71" s="26"/>
      <c r="W71" s="20"/>
      <c r="X71" s="20"/>
      <c r="Y71" s="20"/>
      <c r="Z71" s="20"/>
      <c r="AA71" s="20"/>
      <c r="AB71" s="20"/>
      <c r="AC71" s="20"/>
      <c r="AD71" s="20"/>
      <c r="AE71" s="20"/>
    </row>
    <row r="72">
      <c r="A72" s="21">
        <v>2.0</v>
      </c>
      <c r="B72" s="20" t="s">
        <v>218</v>
      </c>
      <c r="C72" s="20" t="s">
        <v>487</v>
      </c>
      <c r="I72" s="25" t="s">
        <v>308</v>
      </c>
      <c r="J72" s="25" t="s">
        <v>219</v>
      </c>
      <c r="K72" s="25" t="s">
        <v>71</v>
      </c>
      <c r="L72" s="25" t="s">
        <v>713</v>
      </c>
      <c r="M72" s="20" t="s">
        <v>310</v>
      </c>
      <c r="N72" s="20" t="s">
        <v>311</v>
      </c>
      <c r="O72" s="20" t="s">
        <v>63</v>
      </c>
      <c r="P72" s="20" t="s">
        <v>52</v>
      </c>
      <c r="Q72" s="26"/>
      <c r="R72" s="26"/>
      <c r="S72" s="26"/>
      <c r="T72" s="20"/>
      <c r="U72" s="26"/>
      <c r="V72" s="26"/>
      <c r="W72" s="20"/>
      <c r="X72" s="20"/>
      <c r="Y72" s="20"/>
      <c r="Z72" s="20"/>
      <c r="AA72" s="20"/>
      <c r="AB72" s="20"/>
      <c r="AC72" s="20"/>
      <c r="AD72" s="20"/>
      <c r="AE72" s="20"/>
    </row>
    <row r="73">
      <c r="A73" s="21">
        <v>2.0</v>
      </c>
      <c r="B73" s="20" t="s">
        <v>218</v>
      </c>
      <c r="C73" s="20" t="s">
        <v>487</v>
      </c>
      <c r="I73" s="25" t="s">
        <v>314</v>
      </c>
      <c r="J73" s="25" t="s">
        <v>219</v>
      </c>
      <c r="K73" s="25" t="s">
        <v>71</v>
      </c>
      <c r="L73" s="25" t="s">
        <v>715</v>
      </c>
      <c r="M73" s="20" t="s">
        <v>316</v>
      </c>
      <c r="N73" s="20" t="s">
        <v>267</v>
      </c>
      <c r="O73" s="20" t="s">
        <v>63</v>
      </c>
      <c r="P73" s="20" t="s">
        <v>52</v>
      </c>
      <c r="Q73" s="26"/>
      <c r="R73" s="26"/>
      <c r="S73" s="26"/>
      <c r="T73" s="20"/>
      <c r="U73" s="26"/>
      <c r="V73" s="26"/>
      <c r="W73" s="20"/>
      <c r="X73" s="20"/>
      <c r="Y73" s="20"/>
      <c r="Z73" s="20"/>
      <c r="AA73" s="20"/>
      <c r="AB73" s="20"/>
      <c r="AC73" s="20"/>
      <c r="AD73" s="20"/>
      <c r="AE73" s="20"/>
    </row>
    <row r="74">
      <c r="A74" s="21">
        <v>2.0</v>
      </c>
      <c r="B74" s="20" t="s">
        <v>218</v>
      </c>
      <c r="C74" s="20" t="s">
        <v>487</v>
      </c>
      <c r="I74" s="25" t="s">
        <v>716</v>
      </c>
      <c r="J74" s="25" t="s">
        <v>358</v>
      </c>
      <c r="K74" s="25" t="s">
        <v>418</v>
      </c>
      <c r="L74" s="25" t="s">
        <v>537</v>
      </c>
      <c r="M74" s="20" t="s">
        <v>415</v>
      </c>
      <c r="N74" s="20" t="s">
        <v>415</v>
      </c>
      <c r="O74" s="20" t="s">
        <v>416</v>
      </c>
      <c r="P74" s="20" t="s">
        <v>52</v>
      </c>
      <c r="Q74" s="26"/>
      <c r="R74" s="26"/>
      <c r="S74" s="26"/>
      <c r="T74" s="20"/>
      <c r="U74" s="26"/>
      <c r="V74" s="26"/>
      <c r="W74" s="20"/>
      <c r="X74" s="20"/>
      <c r="Y74" s="20"/>
      <c r="Z74" s="20"/>
      <c r="AA74" s="20"/>
      <c r="AB74" s="20"/>
      <c r="AC74" s="20"/>
      <c r="AD74" s="20"/>
      <c r="AE74" s="20"/>
    </row>
    <row r="75">
      <c r="A75" s="21">
        <v>2.0</v>
      </c>
      <c r="B75" s="20" t="s">
        <v>218</v>
      </c>
      <c r="C75" s="20" t="s">
        <v>487</v>
      </c>
      <c r="I75" s="25" t="s">
        <v>561</v>
      </c>
      <c r="J75" s="25" t="s">
        <v>349</v>
      </c>
      <c r="K75" s="25" t="s">
        <v>418</v>
      </c>
      <c r="L75" s="25" t="s">
        <v>537</v>
      </c>
      <c r="M75" s="20" t="s">
        <v>415</v>
      </c>
      <c r="N75" s="20" t="s">
        <v>415</v>
      </c>
      <c r="O75" s="20" t="s">
        <v>416</v>
      </c>
      <c r="P75" s="20" t="s">
        <v>52</v>
      </c>
      <c r="Q75" s="26"/>
      <c r="R75" s="26"/>
      <c r="S75" s="26"/>
      <c r="T75" s="20"/>
      <c r="U75" s="26"/>
      <c r="V75" s="26"/>
      <c r="W75" s="20"/>
      <c r="X75" s="20"/>
      <c r="Y75" s="20"/>
      <c r="Z75" s="20"/>
      <c r="AA75" s="20"/>
      <c r="AB75" s="20"/>
      <c r="AC75" s="20"/>
      <c r="AD75" s="20"/>
      <c r="AE75" s="20"/>
    </row>
    <row r="76">
      <c r="A76" s="21">
        <v>2.0</v>
      </c>
      <c r="B76" s="20" t="s">
        <v>218</v>
      </c>
      <c r="C76" s="20" t="s">
        <v>487</v>
      </c>
      <c r="I76" s="25" t="s">
        <v>570</v>
      </c>
      <c r="J76" s="25" t="s">
        <v>349</v>
      </c>
      <c r="K76" s="25" t="s">
        <v>418</v>
      </c>
      <c r="L76" s="25" t="s">
        <v>537</v>
      </c>
      <c r="M76" s="20" t="s">
        <v>415</v>
      </c>
      <c r="N76" s="20" t="s">
        <v>415</v>
      </c>
      <c r="O76" s="20" t="s">
        <v>416</v>
      </c>
      <c r="P76" s="20" t="s">
        <v>52</v>
      </c>
      <c r="Q76" s="26"/>
      <c r="R76" s="26"/>
      <c r="S76" s="26"/>
      <c r="T76" s="20"/>
      <c r="U76" s="26"/>
      <c r="V76" s="26"/>
      <c r="W76" s="20"/>
      <c r="X76" s="20"/>
      <c r="Y76" s="20"/>
      <c r="Z76" s="20"/>
      <c r="AA76" s="20"/>
      <c r="AB76" s="20"/>
      <c r="AC76" s="20"/>
      <c r="AD76" s="20"/>
      <c r="AE76" s="20"/>
    </row>
    <row r="77">
      <c r="A77" s="21">
        <v>2.0</v>
      </c>
      <c r="B77" s="20" t="s">
        <v>218</v>
      </c>
      <c r="C77" s="20" t="s">
        <v>487</v>
      </c>
      <c r="I77" s="25" t="s">
        <v>717</v>
      </c>
      <c r="J77" s="25" t="s">
        <v>358</v>
      </c>
      <c r="K77" s="25" t="s">
        <v>418</v>
      </c>
      <c r="L77" s="25" t="s">
        <v>537</v>
      </c>
      <c r="M77" s="20" t="s">
        <v>415</v>
      </c>
      <c r="N77" s="20" t="s">
        <v>415</v>
      </c>
      <c r="O77" s="20" t="s">
        <v>416</v>
      </c>
      <c r="P77" s="20" t="s">
        <v>52</v>
      </c>
      <c r="Q77" s="26"/>
      <c r="R77" s="26"/>
      <c r="S77" s="26"/>
      <c r="T77" s="20"/>
      <c r="U77" s="26"/>
      <c r="V77" s="26"/>
      <c r="W77" s="20"/>
      <c r="X77" s="20"/>
      <c r="Y77" s="20"/>
      <c r="Z77" s="20"/>
      <c r="AA77" s="20"/>
      <c r="AB77" s="20"/>
      <c r="AC77" s="20"/>
      <c r="AD77" s="20"/>
      <c r="AE77" s="20"/>
    </row>
    <row r="78">
      <c r="A78" s="21">
        <v>2.0</v>
      </c>
      <c r="B78" s="20" t="s">
        <v>218</v>
      </c>
      <c r="C78" s="20" t="s">
        <v>487</v>
      </c>
      <c r="I78" s="25" t="s">
        <v>576</v>
      </c>
      <c r="J78" s="25" t="s">
        <v>349</v>
      </c>
      <c r="K78" s="25" t="s">
        <v>418</v>
      </c>
      <c r="L78" s="25" t="s">
        <v>537</v>
      </c>
      <c r="M78" s="20" t="s">
        <v>415</v>
      </c>
      <c r="N78" s="20" t="s">
        <v>415</v>
      </c>
      <c r="O78" s="20" t="s">
        <v>416</v>
      </c>
      <c r="P78" s="20" t="s">
        <v>52</v>
      </c>
      <c r="Q78" s="26"/>
      <c r="R78" s="26"/>
      <c r="S78" s="26"/>
      <c r="T78" s="20"/>
      <c r="U78" s="26"/>
      <c r="V78" s="26"/>
      <c r="W78" s="20"/>
      <c r="X78" s="20"/>
      <c r="Y78" s="20"/>
      <c r="Z78" s="20"/>
      <c r="AA78" s="20"/>
      <c r="AB78" s="20"/>
      <c r="AC78" s="20"/>
      <c r="AD78" s="20"/>
      <c r="AE78" s="20"/>
    </row>
    <row r="79">
      <c r="A79" s="21">
        <v>2.0</v>
      </c>
      <c r="B79" s="20" t="s">
        <v>218</v>
      </c>
      <c r="C79" s="20" t="s">
        <v>487</v>
      </c>
      <c r="I79" s="25" t="s">
        <v>403</v>
      </c>
      <c r="J79" s="25" t="s">
        <v>358</v>
      </c>
      <c r="K79" s="25" t="s">
        <v>71</v>
      </c>
      <c r="L79" s="25" t="s">
        <v>718</v>
      </c>
      <c r="M79" s="20" t="s">
        <v>404</v>
      </c>
      <c r="N79" s="20" t="s">
        <v>406</v>
      </c>
      <c r="O79" s="20" t="s">
        <v>63</v>
      </c>
      <c r="P79" s="20" t="s">
        <v>52</v>
      </c>
      <c r="Q79" s="26"/>
      <c r="R79" s="26"/>
      <c r="S79" s="26"/>
      <c r="T79" s="20"/>
      <c r="U79" s="26"/>
      <c r="V79" s="26"/>
      <c r="W79" s="20"/>
      <c r="X79" s="20"/>
      <c r="Y79" s="20"/>
      <c r="Z79" s="20"/>
      <c r="AA79" s="20"/>
      <c r="AB79" s="20"/>
      <c r="AC79" s="20"/>
      <c r="AD79" s="20"/>
      <c r="AE79" s="20"/>
    </row>
    <row r="80">
      <c r="A80" s="21">
        <v>2.0</v>
      </c>
      <c r="B80" s="20" t="s">
        <v>218</v>
      </c>
      <c r="C80" s="20" t="s">
        <v>487</v>
      </c>
      <c r="I80" s="25" t="s">
        <v>582</v>
      </c>
      <c r="J80" s="25" t="s">
        <v>349</v>
      </c>
      <c r="K80" s="25" t="s">
        <v>418</v>
      </c>
      <c r="L80" s="25" t="s">
        <v>537</v>
      </c>
      <c r="M80" s="20" t="s">
        <v>415</v>
      </c>
      <c r="N80" s="20" t="s">
        <v>415</v>
      </c>
      <c r="O80" s="20" t="s">
        <v>416</v>
      </c>
      <c r="P80" s="20" t="s">
        <v>52</v>
      </c>
      <c r="Q80" s="26"/>
      <c r="R80" s="26"/>
      <c r="S80" s="26"/>
      <c r="T80" s="20"/>
      <c r="U80" s="26"/>
      <c r="V80" s="26"/>
      <c r="W80" s="20"/>
      <c r="X80" s="20"/>
      <c r="Y80" s="20"/>
      <c r="Z80" s="20"/>
      <c r="AA80" s="20"/>
      <c r="AB80" s="20"/>
      <c r="AC80" s="20"/>
      <c r="AD80" s="20"/>
      <c r="AE80" s="20"/>
    </row>
    <row r="81">
      <c r="A81" s="21">
        <v>2.0</v>
      </c>
      <c r="B81" s="20" t="s">
        <v>218</v>
      </c>
      <c r="C81" s="20" t="s">
        <v>487</v>
      </c>
      <c r="I81" s="25" t="s">
        <v>719</v>
      </c>
      <c r="J81" s="25" t="s">
        <v>358</v>
      </c>
      <c r="K81" s="25" t="s">
        <v>418</v>
      </c>
      <c r="L81" s="25" t="s">
        <v>537</v>
      </c>
      <c r="M81" s="20" t="s">
        <v>415</v>
      </c>
      <c r="N81" s="20" t="s">
        <v>415</v>
      </c>
      <c r="O81" s="20" t="s">
        <v>416</v>
      </c>
      <c r="P81" s="20" t="s">
        <v>52</v>
      </c>
      <c r="Q81" s="26"/>
      <c r="R81" s="26"/>
      <c r="S81" s="26"/>
      <c r="T81" s="20"/>
      <c r="U81" s="26"/>
      <c r="V81" s="26"/>
      <c r="W81" s="20"/>
      <c r="X81" s="20"/>
      <c r="Y81" s="20"/>
      <c r="Z81" s="20"/>
      <c r="AA81" s="20"/>
      <c r="AB81" s="20"/>
      <c r="AC81" s="20"/>
      <c r="AD81" s="20"/>
      <c r="AE81" s="20"/>
    </row>
    <row r="82">
      <c r="A82" s="21">
        <v>2.0</v>
      </c>
      <c r="B82" s="20" t="s">
        <v>218</v>
      </c>
      <c r="C82" s="20" t="s">
        <v>487</v>
      </c>
      <c r="I82" s="25" t="s">
        <v>320</v>
      </c>
      <c r="J82" s="25" t="s">
        <v>219</v>
      </c>
      <c r="K82" s="25" t="s">
        <v>71</v>
      </c>
      <c r="L82" s="25" t="s">
        <v>718</v>
      </c>
      <c r="M82" s="20" t="s">
        <v>61</v>
      </c>
      <c r="N82" s="20" t="s">
        <v>322</v>
      </c>
      <c r="O82" s="20" t="s">
        <v>63</v>
      </c>
      <c r="P82" s="20" t="s">
        <v>52</v>
      </c>
      <c r="Q82" s="26"/>
      <c r="R82" s="26"/>
      <c r="S82" s="26"/>
      <c r="T82" s="20"/>
      <c r="U82" s="26"/>
      <c r="V82" s="26"/>
      <c r="W82" s="20"/>
      <c r="X82" s="20"/>
      <c r="Y82" s="20"/>
      <c r="Z82" s="20"/>
      <c r="AA82" s="20"/>
      <c r="AB82" s="20"/>
      <c r="AC82" s="20"/>
      <c r="AD82" s="20"/>
      <c r="AE82" s="20"/>
    </row>
    <row r="83">
      <c r="A83" s="21">
        <v>2.0</v>
      </c>
      <c r="B83" s="20" t="s">
        <v>218</v>
      </c>
      <c r="C83" s="20" t="s">
        <v>487</v>
      </c>
      <c r="I83" s="25" t="s">
        <v>720</v>
      </c>
      <c r="J83" s="25" t="s">
        <v>358</v>
      </c>
      <c r="K83" s="25" t="s">
        <v>418</v>
      </c>
      <c r="L83" s="25" t="s">
        <v>537</v>
      </c>
      <c r="M83" s="20" t="s">
        <v>415</v>
      </c>
      <c r="N83" s="20" t="s">
        <v>415</v>
      </c>
      <c r="O83" s="20" t="s">
        <v>416</v>
      </c>
      <c r="P83" s="20" t="s">
        <v>52</v>
      </c>
      <c r="Q83" s="26"/>
      <c r="R83" s="26"/>
      <c r="S83" s="26"/>
      <c r="T83" s="20"/>
      <c r="U83" s="26"/>
      <c r="V83" s="26"/>
      <c r="W83" s="20"/>
      <c r="X83" s="20"/>
      <c r="Y83" s="20"/>
      <c r="Z83" s="20"/>
      <c r="AA83" s="20"/>
      <c r="AB83" s="20"/>
      <c r="AC83" s="20"/>
      <c r="AD83" s="20"/>
      <c r="AE83" s="20"/>
    </row>
    <row r="84">
      <c r="A84" s="21">
        <v>2.0</v>
      </c>
      <c r="B84" s="20" t="s">
        <v>218</v>
      </c>
      <c r="C84" s="20" t="s">
        <v>487</v>
      </c>
      <c r="I84" s="25" t="s">
        <v>592</v>
      </c>
      <c r="J84" s="25" t="s">
        <v>349</v>
      </c>
      <c r="K84" s="25" t="s">
        <v>418</v>
      </c>
      <c r="L84" s="25" t="s">
        <v>537</v>
      </c>
      <c r="M84" s="20" t="s">
        <v>415</v>
      </c>
      <c r="N84" s="20" t="s">
        <v>415</v>
      </c>
      <c r="O84" s="20" t="s">
        <v>416</v>
      </c>
      <c r="P84" s="20" t="s">
        <v>52</v>
      </c>
      <c r="Q84" s="26"/>
      <c r="R84" s="26"/>
      <c r="S84" s="26"/>
      <c r="T84" s="20"/>
      <c r="U84" s="26"/>
      <c r="V84" s="26"/>
      <c r="W84" s="20"/>
      <c r="X84" s="20"/>
      <c r="Y84" s="20"/>
      <c r="Z84" s="20"/>
      <c r="AA84" s="20"/>
      <c r="AB84" s="20"/>
      <c r="AC84" s="20"/>
      <c r="AD84" s="20"/>
      <c r="AE84" s="20"/>
    </row>
    <row r="85">
      <c r="A85" s="21">
        <v>2.0</v>
      </c>
      <c r="B85" s="20" t="s">
        <v>218</v>
      </c>
      <c r="C85" s="20" t="s">
        <v>487</v>
      </c>
      <c r="I85" s="25" t="s">
        <v>602</v>
      </c>
      <c r="J85" s="25" t="s">
        <v>349</v>
      </c>
      <c r="K85" s="25" t="s">
        <v>418</v>
      </c>
      <c r="L85" s="25" t="s">
        <v>537</v>
      </c>
      <c r="M85" s="20" t="s">
        <v>415</v>
      </c>
      <c r="N85" s="20" t="s">
        <v>415</v>
      </c>
      <c r="O85" s="20" t="s">
        <v>416</v>
      </c>
      <c r="P85" s="20" t="s">
        <v>52</v>
      </c>
      <c r="Q85" s="26"/>
      <c r="R85" s="26"/>
      <c r="S85" s="26"/>
      <c r="T85" s="20"/>
      <c r="U85" s="26"/>
      <c r="V85" s="26"/>
      <c r="W85" s="20"/>
      <c r="X85" s="20"/>
      <c r="Y85" s="20"/>
      <c r="Z85" s="20"/>
      <c r="AA85" s="20"/>
      <c r="AB85" s="20"/>
      <c r="AC85" s="20"/>
      <c r="AD85" s="20"/>
      <c r="AE85" s="20"/>
    </row>
    <row r="86">
      <c r="A86" s="21">
        <v>2.0</v>
      </c>
      <c r="B86" s="20" t="s">
        <v>218</v>
      </c>
      <c r="C86" s="20" t="s">
        <v>487</v>
      </c>
      <c r="I86" s="25" t="s">
        <v>721</v>
      </c>
      <c r="J86" s="25" t="s">
        <v>358</v>
      </c>
      <c r="K86" s="25" t="s">
        <v>418</v>
      </c>
      <c r="L86" s="25" t="s">
        <v>537</v>
      </c>
      <c r="M86" s="20" t="s">
        <v>415</v>
      </c>
      <c r="N86" s="20" t="s">
        <v>415</v>
      </c>
      <c r="O86" s="20" t="s">
        <v>416</v>
      </c>
      <c r="P86" s="20" t="s">
        <v>52</v>
      </c>
      <c r="Q86" s="26"/>
      <c r="R86" s="26"/>
      <c r="S86" s="26"/>
      <c r="T86" s="20"/>
      <c r="U86" s="26"/>
      <c r="V86" s="26"/>
      <c r="W86" s="20"/>
      <c r="X86" s="20"/>
      <c r="Y86" s="20"/>
      <c r="Z86" s="20"/>
      <c r="AA86" s="20"/>
      <c r="AB86" s="20"/>
      <c r="AC86" s="20"/>
      <c r="AD86" s="20"/>
      <c r="AE86" s="20"/>
    </row>
    <row r="87">
      <c r="A87" s="21">
        <v>2.0</v>
      </c>
      <c r="B87" s="20" t="s">
        <v>218</v>
      </c>
      <c r="C87" s="20" t="s">
        <v>487</v>
      </c>
      <c r="I87" s="25" t="s">
        <v>612</v>
      </c>
      <c r="J87" s="25" t="s">
        <v>349</v>
      </c>
      <c r="K87" s="25" t="s">
        <v>418</v>
      </c>
      <c r="L87" s="25" t="s">
        <v>537</v>
      </c>
      <c r="M87" s="20" t="s">
        <v>415</v>
      </c>
      <c r="N87" s="20" t="s">
        <v>415</v>
      </c>
      <c r="O87" s="20" t="s">
        <v>416</v>
      </c>
      <c r="P87" s="20" t="s">
        <v>524</v>
      </c>
      <c r="Q87" s="26"/>
      <c r="R87" s="26"/>
      <c r="S87" s="26"/>
      <c r="T87" s="20"/>
      <c r="U87" s="26"/>
      <c r="V87" s="26"/>
      <c r="W87" s="20"/>
      <c r="X87" s="20"/>
      <c r="Y87" s="20"/>
      <c r="Z87" s="20"/>
      <c r="AA87" s="20"/>
      <c r="AB87" s="20"/>
      <c r="AC87" s="20"/>
      <c r="AD87" s="20"/>
      <c r="AE87" s="20"/>
    </row>
    <row r="88">
      <c r="A88" s="21">
        <v>2.0</v>
      </c>
      <c r="B88" s="20" t="s">
        <v>218</v>
      </c>
      <c r="C88" s="20" t="s">
        <v>487</v>
      </c>
      <c r="I88" s="25" t="s">
        <v>722</v>
      </c>
      <c r="J88" s="25" t="s">
        <v>358</v>
      </c>
      <c r="K88" s="25" t="s">
        <v>418</v>
      </c>
      <c r="L88" s="25" t="s">
        <v>537</v>
      </c>
      <c r="M88" s="20" t="s">
        <v>415</v>
      </c>
      <c r="N88" s="20" t="s">
        <v>415</v>
      </c>
      <c r="O88" s="20" t="s">
        <v>416</v>
      </c>
      <c r="P88" s="20" t="s">
        <v>52</v>
      </c>
      <c r="Q88" s="26"/>
      <c r="R88" s="26"/>
      <c r="S88" s="26"/>
      <c r="T88" s="20"/>
      <c r="U88" s="26"/>
      <c r="V88" s="26"/>
      <c r="W88" s="20"/>
      <c r="X88" s="20"/>
      <c r="Y88" s="20"/>
      <c r="Z88" s="20"/>
      <c r="AA88" s="20"/>
      <c r="AB88" s="20"/>
      <c r="AC88" s="20"/>
      <c r="AD88" s="20"/>
      <c r="AE88" s="20"/>
    </row>
    <row r="89">
      <c r="A89" s="21">
        <v>2.0</v>
      </c>
      <c r="B89" s="20" t="s">
        <v>218</v>
      </c>
      <c r="C89" s="20" t="s">
        <v>487</v>
      </c>
      <c r="I89" s="25" t="s">
        <v>623</v>
      </c>
      <c r="J89" s="25" t="s">
        <v>349</v>
      </c>
      <c r="K89" s="25" t="s">
        <v>418</v>
      </c>
      <c r="L89" s="25" t="s">
        <v>537</v>
      </c>
      <c r="M89" s="20" t="s">
        <v>415</v>
      </c>
      <c r="N89" s="20" t="s">
        <v>415</v>
      </c>
      <c r="O89" s="20" t="s">
        <v>416</v>
      </c>
      <c r="P89" s="20" t="s">
        <v>52</v>
      </c>
      <c r="Q89" s="26"/>
      <c r="R89" s="26"/>
      <c r="S89" s="26"/>
      <c r="T89" s="20"/>
      <c r="U89" s="26"/>
      <c r="V89" s="26"/>
      <c r="W89" s="20"/>
      <c r="X89" s="20"/>
      <c r="Y89" s="20"/>
      <c r="Z89" s="20"/>
      <c r="AA89" s="20"/>
      <c r="AB89" s="20"/>
      <c r="AC89" s="20"/>
      <c r="AD89" s="20"/>
      <c r="AE89" s="20"/>
    </row>
    <row r="90">
      <c r="A90" s="21">
        <v>2.0</v>
      </c>
      <c r="B90" s="20" t="s">
        <v>218</v>
      </c>
      <c r="C90" s="20" t="s">
        <v>487</v>
      </c>
      <c r="I90" s="25" t="s">
        <v>723</v>
      </c>
      <c r="J90" s="25" t="s">
        <v>358</v>
      </c>
      <c r="K90" s="25" t="s">
        <v>418</v>
      </c>
      <c r="L90" s="25" t="s">
        <v>537</v>
      </c>
      <c r="M90" s="20" t="s">
        <v>415</v>
      </c>
      <c r="N90" s="20" t="s">
        <v>415</v>
      </c>
      <c r="O90" s="20" t="s">
        <v>416</v>
      </c>
      <c r="P90" s="20" t="s">
        <v>52</v>
      </c>
      <c r="Q90" s="26"/>
      <c r="R90" s="26"/>
      <c r="S90" s="26"/>
      <c r="T90" s="20"/>
      <c r="U90" s="26"/>
      <c r="V90" s="26"/>
      <c r="W90" s="20"/>
      <c r="X90" s="20"/>
      <c r="Y90" s="20"/>
      <c r="Z90" s="20"/>
      <c r="AA90" s="20"/>
      <c r="AB90" s="20"/>
      <c r="AC90" s="20"/>
      <c r="AD90" s="20"/>
      <c r="AE90" s="20"/>
    </row>
    <row r="91">
      <c r="A91" s="21">
        <v>2.0</v>
      </c>
      <c r="B91" s="20" t="s">
        <v>218</v>
      </c>
      <c r="C91" s="20" t="s">
        <v>487</v>
      </c>
      <c r="I91" s="25" t="s">
        <v>632</v>
      </c>
      <c r="J91" s="25" t="s">
        <v>349</v>
      </c>
      <c r="K91" s="25" t="s">
        <v>418</v>
      </c>
      <c r="L91" s="25" t="s">
        <v>537</v>
      </c>
      <c r="M91" s="20" t="s">
        <v>415</v>
      </c>
      <c r="N91" s="20" t="s">
        <v>415</v>
      </c>
      <c r="O91" s="20" t="s">
        <v>416</v>
      </c>
      <c r="P91" s="20" t="s">
        <v>52</v>
      </c>
      <c r="Q91" s="26"/>
      <c r="R91" s="26"/>
      <c r="S91" s="26"/>
      <c r="T91" s="20"/>
      <c r="U91" s="26"/>
      <c r="V91" s="26"/>
      <c r="W91" s="20"/>
      <c r="X91" s="20"/>
      <c r="Y91" s="20"/>
      <c r="Z91" s="20"/>
      <c r="AA91" s="20"/>
      <c r="AB91" s="20"/>
      <c r="AC91" s="20"/>
      <c r="AD91" s="20"/>
      <c r="AE91" s="20"/>
    </row>
    <row r="92">
      <c r="A92" s="21">
        <v>2.0</v>
      </c>
      <c r="B92" s="20" t="s">
        <v>218</v>
      </c>
      <c r="C92" s="20" t="s">
        <v>487</v>
      </c>
      <c r="I92" s="25" t="s">
        <v>724</v>
      </c>
      <c r="J92" s="25" t="s">
        <v>358</v>
      </c>
      <c r="K92" s="25" t="s">
        <v>418</v>
      </c>
      <c r="L92" s="25" t="s">
        <v>537</v>
      </c>
      <c r="M92" s="20" t="s">
        <v>415</v>
      </c>
      <c r="N92" s="20" t="s">
        <v>415</v>
      </c>
      <c r="O92" s="20" t="s">
        <v>416</v>
      </c>
      <c r="P92" s="20" t="s">
        <v>52</v>
      </c>
      <c r="Q92" s="26"/>
      <c r="R92" s="26"/>
      <c r="S92" s="26"/>
      <c r="T92" s="20"/>
      <c r="U92" s="26"/>
      <c r="V92" s="26"/>
      <c r="W92" s="20"/>
      <c r="X92" s="20"/>
      <c r="Y92" s="20"/>
      <c r="Z92" s="20"/>
      <c r="AA92" s="20"/>
      <c r="AB92" s="20"/>
      <c r="AC92" s="20"/>
      <c r="AD92" s="20"/>
      <c r="AE92" s="20"/>
    </row>
    <row r="93">
      <c r="A93" s="21">
        <v>2.0</v>
      </c>
      <c r="B93" s="20" t="s">
        <v>218</v>
      </c>
      <c r="C93" s="20" t="s">
        <v>487</v>
      </c>
      <c r="I93" s="25" t="s">
        <v>642</v>
      </c>
      <c r="J93" s="25" t="s">
        <v>349</v>
      </c>
      <c r="K93" s="25" t="s">
        <v>418</v>
      </c>
      <c r="L93" s="25" t="s">
        <v>537</v>
      </c>
      <c r="M93" s="20" t="s">
        <v>415</v>
      </c>
      <c r="N93" s="20" t="s">
        <v>415</v>
      </c>
      <c r="O93" s="20" t="s">
        <v>416</v>
      </c>
      <c r="P93" s="20" t="s">
        <v>52</v>
      </c>
      <c r="Q93" s="26"/>
      <c r="R93" s="26"/>
      <c r="S93" s="26"/>
      <c r="T93" s="20"/>
      <c r="U93" s="26"/>
      <c r="V93" s="26"/>
      <c r="W93" s="20"/>
      <c r="X93" s="20"/>
      <c r="Y93" s="20"/>
      <c r="Z93" s="20"/>
      <c r="AA93" s="20"/>
      <c r="AB93" s="20"/>
      <c r="AC93" s="20"/>
      <c r="AD93" s="20"/>
      <c r="AE93" s="20"/>
    </row>
    <row r="94">
      <c r="A94" s="21">
        <v>2.0</v>
      </c>
      <c r="B94" s="20" t="s">
        <v>218</v>
      </c>
      <c r="C94" s="20" t="s">
        <v>487</v>
      </c>
      <c r="I94" s="25" t="s">
        <v>725</v>
      </c>
      <c r="J94" s="25" t="s">
        <v>358</v>
      </c>
      <c r="K94" s="25" t="s">
        <v>418</v>
      </c>
      <c r="L94" s="25" t="s">
        <v>537</v>
      </c>
      <c r="M94" s="20" t="s">
        <v>415</v>
      </c>
      <c r="N94" s="20" t="s">
        <v>415</v>
      </c>
      <c r="O94" s="20" t="s">
        <v>416</v>
      </c>
      <c r="P94" s="20" t="s">
        <v>52</v>
      </c>
      <c r="Q94" s="26"/>
      <c r="R94" s="26"/>
      <c r="S94" s="26"/>
      <c r="T94" s="20"/>
      <c r="U94" s="26"/>
      <c r="V94" s="26"/>
      <c r="W94" s="20"/>
      <c r="X94" s="20"/>
      <c r="Y94" s="20"/>
      <c r="Z94" s="20"/>
      <c r="AA94" s="20"/>
      <c r="AB94" s="20"/>
      <c r="AC94" s="20"/>
      <c r="AD94" s="20"/>
      <c r="AE94" s="20"/>
    </row>
    <row r="95">
      <c r="A95" s="21">
        <v>2.0</v>
      </c>
      <c r="B95" s="20" t="s">
        <v>218</v>
      </c>
      <c r="C95" s="20" t="s">
        <v>487</v>
      </c>
      <c r="I95" s="25" t="s">
        <v>726</v>
      </c>
      <c r="J95" s="25" t="s">
        <v>358</v>
      </c>
      <c r="K95" s="25" t="s">
        <v>418</v>
      </c>
      <c r="L95" s="25" t="s">
        <v>537</v>
      </c>
      <c r="M95" s="20" t="s">
        <v>415</v>
      </c>
      <c r="N95" s="20" t="s">
        <v>415</v>
      </c>
      <c r="O95" s="20" t="s">
        <v>416</v>
      </c>
      <c r="P95" s="20" t="s">
        <v>52</v>
      </c>
      <c r="Q95" s="26"/>
      <c r="R95" s="26"/>
      <c r="S95" s="26"/>
      <c r="T95" s="20"/>
      <c r="U95" s="26"/>
      <c r="V95" s="26"/>
      <c r="W95" s="20"/>
      <c r="X95" s="20"/>
      <c r="Y95" s="20"/>
      <c r="Z95" s="20"/>
      <c r="AA95" s="20"/>
      <c r="AB95" s="20"/>
      <c r="AC95" s="20"/>
      <c r="AD95" s="20"/>
      <c r="AE95" s="20"/>
    </row>
    <row r="96">
      <c r="A96" s="21">
        <v>2.0</v>
      </c>
      <c r="B96" s="20" t="s">
        <v>218</v>
      </c>
      <c r="C96" s="20" t="s">
        <v>487</v>
      </c>
      <c r="I96" s="25" t="s">
        <v>327</v>
      </c>
      <c r="J96" s="25" t="s">
        <v>219</v>
      </c>
      <c r="K96" s="25" t="s">
        <v>71</v>
      </c>
      <c r="L96" s="25" t="s">
        <v>729</v>
      </c>
      <c r="M96" s="20" t="s">
        <v>328</v>
      </c>
      <c r="N96" s="20" t="s">
        <v>329</v>
      </c>
      <c r="O96" s="20" t="s">
        <v>63</v>
      </c>
      <c r="P96" s="20" t="s">
        <v>52</v>
      </c>
      <c r="Q96" s="26"/>
      <c r="R96" s="26"/>
      <c r="S96" s="26"/>
      <c r="T96" s="20"/>
      <c r="U96" s="26"/>
      <c r="V96" s="26"/>
      <c r="W96" s="20"/>
      <c r="X96" s="20"/>
      <c r="Y96" s="20"/>
      <c r="Z96" s="20"/>
      <c r="AA96" s="20"/>
      <c r="AB96" s="20"/>
      <c r="AC96" s="20"/>
      <c r="AD96" s="20"/>
      <c r="AE96" s="20"/>
    </row>
    <row r="97">
      <c r="A97" s="21">
        <v>2.0</v>
      </c>
      <c r="B97" s="20" t="s">
        <v>218</v>
      </c>
      <c r="C97" s="20" t="s">
        <v>487</v>
      </c>
      <c r="I97" s="25" t="s">
        <v>651</v>
      </c>
      <c r="J97" s="25" t="s">
        <v>349</v>
      </c>
      <c r="K97" s="25" t="s">
        <v>418</v>
      </c>
      <c r="L97" s="25" t="s">
        <v>537</v>
      </c>
      <c r="M97" s="20" t="s">
        <v>415</v>
      </c>
      <c r="N97" s="20" t="s">
        <v>415</v>
      </c>
      <c r="O97" s="20" t="s">
        <v>416</v>
      </c>
      <c r="P97" s="20" t="s">
        <v>52</v>
      </c>
      <c r="Q97" s="26"/>
      <c r="R97" s="26"/>
      <c r="S97" s="26"/>
      <c r="T97" s="20"/>
      <c r="U97" s="26"/>
      <c r="V97" s="26"/>
      <c r="W97" s="20"/>
      <c r="X97" s="20"/>
      <c r="Y97" s="20"/>
      <c r="Z97" s="20"/>
      <c r="AA97" s="20"/>
      <c r="AB97" s="20"/>
      <c r="AC97" s="20"/>
      <c r="AD97" s="20"/>
      <c r="AE97" s="20"/>
    </row>
    <row r="98">
      <c r="A98" s="21">
        <v>2.0</v>
      </c>
      <c r="B98" s="20" t="s">
        <v>218</v>
      </c>
      <c r="C98" s="20" t="s">
        <v>487</v>
      </c>
      <c r="I98" s="25" t="s">
        <v>727</v>
      </c>
      <c r="J98" s="25" t="s">
        <v>358</v>
      </c>
      <c r="K98" s="25" t="s">
        <v>418</v>
      </c>
      <c r="L98" s="25" t="s">
        <v>537</v>
      </c>
      <c r="M98" s="20" t="s">
        <v>415</v>
      </c>
      <c r="N98" s="20" t="s">
        <v>415</v>
      </c>
      <c r="O98" s="20" t="s">
        <v>416</v>
      </c>
      <c r="P98" s="20" t="s">
        <v>52</v>
      </c>
      <c r="Q98" s="26"/>
      <c r="R98" s="26"/>
      <c r="S98" s="26"/>
      <c r="T98" s="20"/>
      <c r="U98" s="26"/>
      <c r="V98" s="26"/>
      <c r="W98" s="20"/>
      <c r="X98" s="20"/>
      <c r="Y98" s="20"/>
      <c r="Z98" s="20"/>
      <c r="AA98" s="20"/>
      <c r="AB98" s="20"/>
      <c r="AC98" s="20"/>
      <c r="AD98" s="20"/>
      <c r="AE98" s="20"/>
    </row>
    <row r="99">
      <c r="A99" s="21">
        <v>2.0</v>
      </c>
      <c r="B99" s="20" t="s">
        <v>218</v>
      </c>
      <c r="C99" s="20" t="s">
        <v>487</v>
      </c>
      <c r="I99" s="25" t="s">
        <v>658</v>
      </c>
      <c r="J99" s="25" t="s">
        <v>349</v>
      </c>
      <c r="K99" s="25" t="s">
        <v>418</v>
      </c>
      <c r="L99" s="25" t="s">
        <v>537</v>
      </c>
      <c r="M99" s="20" t="s">
        <v>415</v>
      </c>
      <c r="N99" s="20" t="s">
        <v>415</v>
      </c>
      <c r="O99" s="20" t="s">
        <v>416</v>
      </c>
      <c r="P99" s="20" t="s">
        <v>524</v>
      </c>
      <c r="Q99" s="26"/>
      <c r="R99" s="26"/>
      <c r="S99" s="26"/>
      <c r="T99" s="20"/>
      <c r="U99" s="26"/>
      <c r="V99" s="26"/>
      <c r="W99" s="20"/>
      <c r="X99" s="20"/>
      <c r="Y99" s="20"/>
      <c r="Z99" s="20"/>
      <c r="AA99" s="20"/>
      <c r="AB99" s="20"/>
      <c r="AC99" s="20"/>
      <c r="AD99" s="20"/>
      <c r="AE99" s="20"/>
    </row>
    <row r="100">
      <c r="A100" s="21">
        <v>2.0</v>
      </c>
      <c r="B100" s="20" t="s">
        <v>218</v>
      </c>
      <c r="C100" s="20" t="s">
        <v>487</v>
      </c>
      <c r="I100" s="25" t="s">
        <v>728</v>
      </c>
      <c r="J100" s="25" t="s">
        <v>358</v>
      </c>
      <c r="K100" s="25" t="s">
        <v>418</v>
      </c>
      <c r="L100" s="25" t="s">
        <v>537</v>
      </c>
      <c r="M100" s="20" t="s">
        <v>415</v>
      </c>
      <c r="N100" s="20" t="s">
        <v>415</v>
      </c>
      <c r="O100" s="20" t="s">
        <v>416</v>
      </c>
      <c r="P100" s="20" t="s">
        <v>52</v>
      </c>
      <c r="Q100" s="26"/>
      <c r="R100" s="26"/>
      <c r="S100" s="26"/>
      <c r="T100" s="20"/>
      <c r="U100" s="26"/>
      <c r="V100" s="26"/>
      <c r="W100" s="20"/>
      <c r="X100" s="20"/>
      <c r="Y100" s="20"/>
      <c r="Z100" s="20"/>
      <c r="AA100" s="20"/>
      <c r="AB100" s="20"/>
      <c r="AC100" s="20"/>
      <c r="AD100" s="20"/>
      <c r="AE100" s="20"/>
    </row>
    <row r="101">
      <c r="A101" s="21">
        <v>2.0</v>
      </c>
      <c r="B101" s="20" t="s">
        <v>218</v>
      </c>
      <c r="C101" s="20" t="s">
        <v>487</v>
      </c>
      <c r="I101" s="25" t="s">
        <v>660</v>
      </c>
      <c r="J101" s="25" t="s">
        <v>349</v>
      </c>
      <c r="K101" s="25" t="s">
        <v>418</v>
      </c>
      <c r="L101" s="25" t="s">
        <v>537</v>
      </c>
      <c r="M101" s="20" t="s">
        <v>415</v>
      </c>
      <c r="N101" s="20" t="s">
        <v>415</v>
      </c>
      <c r="O101" s="20" t="s">
        <v>416</v>
      </c>
      <c r="P101" s="20" t="s">
        <v>52</v>
      </c>
      <c r="Q101" s="26"/>
      <c r="R101" s="26"/>
      <c r="S101" s="26"/>
      <c r="T101" s="20"/>
      <c r="U101" s="26"/>
      <c r="V101" s="26"/>
      <c r="W101" s="20"/>
      <c r="X101" s="20"/>
      <c r="Y101" s="20"/>
      <c r="Z101" s="20"/>
      <c r="AA101" s="20"/>
      <c r="AB101" s="20"/>
      <c r="AC101" s="20"/>
      <c r="AD101" s="20"/>
      <c r="AE101" s="20"/>
    </row>
    <row r="102">
      <c r="A102" s="21">
        <v>2.0</v>
      </c>
      <c r="B102" s="20" t="s">
        <v>218</v>
      </c>
      <c r="C102" s="20" t="s">
        <v>487</v>
      </c>
      <c r="I102" s="25" t="s">
        <v>672</v>
      </c>
      <c r="J102" s="25" t="s">
        <v>349</v>
      </c>
      <c r="K102" s="25" t="s">
        <v>418</v>
      </c>
      <c r="L102" s="25" t="s">
        <v>537</v>
      </c>
      <c r="M102" s="20" t="s">
        <v>415</v>
      </c>
      <c r="N102" s="20" t="s">
        <v>415</v>
      </c>
      <c r="O102" s="20" t="s">
        <v>416</v>
      </c>
      <c r="P102" s="20" t="s">
        <v>52</v>
      </c>
      <c r="Q102" s="26"/>
      <c r="R102" s="26"/>
      <c r="S102" s="26"/>
      <c r="T102" s="20"/>
      <c r="U102" s="26"/>
      <c r="V102" s="26"/>
      <c r="W102" s="20"/>
      <c r="X102" s="20"/>
      <c r="Y102" s="20"/>
      <c r="Z102" s="20"/>
      <c r="AA102" s="20"/>
      <c r="AB102" s="20"/>
      <c r="AC102" s="20"/>
      <c r="AD102" s="20"/>
      <c r="AE102" s="20"/>
    </row>
    <row r="103">
      <c r="A103" s="21">
        <v>2.0</v>
      </c>
      <c r="B103" s="20" t="s">
        <v>218</v>
      </c>
      <c r="C103" s="20" t="s">
        <v>487</v>
      </c>
      <c r="I103" s="25" t="s">
        <v>334</v>
      </c>
      <c r="J103" s="25" t="s">
        <v>219</v>
      </c>
      <c r="K103" s="25" t="s">
        <v>71</v>
      </c>
      <c r="L103" s="25" t="s">
        <v>736</v>
      </c>
      <c r="M103" s="20" t="s">
        <v>335</v>
      </c>
      <c r="N103" s="20" t="s">
        <v>337</v>
      </c>
      <c r="O103" s="20" t="s">
        <v>63</v>
      </c>
      <c r="P103" s="20" t="s">
        <v>52</v>
      </c>
      <c r="Q103" s="26"/>
      <c r="R103" s="26"/>
      <c r="S103" s="26"/>
      <c r="T103" s="20"/>
      <c r="U103" s="26"/>
      <c r="V103" s="26"/>
      <c r="W103" s="20"/>
      <c r="X103" s="20"/>
      <c r="Y103" s="20"/>
      <c r="Z103" s="20"/>
      <c r="AA103" s="20"/>
      <c r="AB103" s="20"/>
      <c r="AC103" s="20"/>
      <c r="AD103" s="20"/>
      <c r="AE103" s="20"/>
    </row>
    <row r="104">
      <c r="A104" s="21">
        <v>2.0</v>
      </c>
      <c r="B104" s="20" t="s">
        <v>218</v>
      </c>
      <c r="C104" s="20" t="s">
        <v>487</v>
      </c>
      <c r="I104" s="25" t="s">
        <v>730</v>
      </c>
      <c r="J104" s="25" t="s">
        <v>358</v>
      </c>
      <c r="K104" s="25" t="s">
        <v>418</v>
      </c>
      <c r="L104" s="25" t="s">
        <v>537</v>
      </c>
      <c r="M104" s="20" t="s">
        <v>415</v>
      </c>
      <c r="N104" s="20" t="s">
        <v>415</v>
      </c>
      <c r="O104" s="20" t="s">
        <v>416</v>
      </c>
      <c r="P104" s="20" t="s">
        <v>52</v>
      </c>
      <c r="Q104" s="26"/>
      <c r="R104" s="26"/>
      <c r="S104" s="26"/>
      <c r="T104" s="20"/>
      <c r="U104" s="26"/>
      <c r="V104" s="26"/>
      <c r="W104" s="20"/>
      <c r="X104" s="20"/>
      <c r="Y104" s="20"/>
      <c r="Z104" s="20"/>
      <c r="AA104" s="20"/>
      <c r="AB104" s="20"/>
      <c r="AC104" s="20"/>
      <c r="AD104" s="20"/>
      <c r="AE104" s="20"/>
    </row>
    <row r="105">
      <c r="A105" s="21">
        <v>2.0</v>
      </c>
      <c r="B105" s="20" t="s">
        <v>218</v>
      </c>
      <c r="C105" s="20" t="s">
        <v>487</v>
      </c>
      <c r="I105" s="25" t="s">
        <v>683</v>
      </c>
      <c r="J105" s="25" t="s">
        <v>349</v>
      </c>
      <c r="K105" s="25" t="s">
        <v>418</v>
      </c>
      <c r="L105" s="25" t="s">
        <v>537</v>
      </c>
      <c r="M105" s="20" t="s">
        <v>415</v>
      </c>
      <c r="N105" s="20" t="s">
        <v>415</v>
      </c>
      <c r="O105" s="20" t="s">
        <v>416</v>
      </c>
      <c r="P105" s="20" t="s">
        <v>52</v>
      </c>
      <c r="Q105" s="26"/>
      <c r="R105" s="26"/>
      <c r="S105" s="26"/>
      <c r="T105" s="20"/>
      <c r="U105" s="26"/>
      <c r="V105" s="26"/>
      <c r="W105" s="20"/>
      <c r="X105" s="20"/>
      <c r="Y105" s="20"/>
      <c r="Z105" s="20"/>
      <c r="AA105" s="20"/>
      <c r="AB105" s="20"/>
      <c r="AC105" s="20"/>
      <c r="AD105" s="20"/>
      <c r="AE105" s="20"/>
    </row>
    <row r="106">
      <c r="A106" s="21">
        <v>2.0</v>
      </c>
      <c r="B106" s="20" t="s">
        <v>218</v>
      </c>
      <c r="C106" s="20" t="s">
        <v>487</v>
      </c>
      <c r="I106" s="25" t="s">
        <v>692</v>
      </c>
      <c r="J106" s="25" t="s">
        <v>349</v>
      </c>
      <c r="K106" s="25" t="s">
        <v>418</v>
      </c>
      <c r="L106" s="25" t="s">
        <v>537</v>
      </c>
      <c r="M106" s="20" t="s">
        <v>415</v>
      </c>
      <c r="N106" s="20" t="s">
        <v>415</v>
      </c>
      <c r="O106" s="20" t="s">
        <v>416</v>
      </c>
      <c r="P106" s="20" t="s">
        <v>52</v>
      </c>
      <c r="Q106" s="26"/>
      <c r="R106" s="26"/>
      <c r="S106" s="26"/>
      <c r="T106" s="20"/>
      <c r="U106" s="26"/>
      <c r="V106" s="26"/>
      <c r="W106" s="20"/>
      <c r="X106" s="20"/>
      <c r="Y106" s="20"/>
      <c r="Z106" s="20"/>
      <c r="AA106" s="20"/>
      <c r="AB106" s="20"/>
      <c r="AC106" s="20"/>
      <c r="AD106" s="20"/>
      <c r="AE106" s="20"/>
    </row>
    <row r="107">
      <c r="A107" s="21">
        <v>2.0</v>
      </c>
      <c r="B107" s="20" t="s">
        <v>218</v>
      </c>
      <c r="C107" s="20" t="s">
        <v>487</v>
      </c>
      <c r="I107" s="25" t="s">
        <v>731</v>
      </c>
      <c r="J107" s="25" t="s">
        <v>358</v>
      </c>
      <c r="K107" s="25" t="s">
        <v>418</v>
      </c>
      <c r="L107" s="25" t="s">
        <v>537</v>
      </c>
      <c r="M107" s="20" t="s">
        <v>415</v>
      </c>
      <c r="N107" s="20" t="s">
        <v>415</v>
      </c>
      <c r="O107" s="20" t="s">
        <v>416</v>
      </c>
      <c r="P107" s="20" t="s">
        <v>52</v>
      </c>
      <c r="Q107" s="26"/>
      <c r="R107" s="26"/>
      <c r="S107" s="26"/>
      <c r="T107" s="20"/>
      <c r="U107" s="26"/>
      <c r="V107" s="26"/>
      <c r="W107" s="20"/>
      <c r="X107" s="20"/>
      <c r="Y107" s="20"/>
      <c r="Z107" s="20"/>
      <c r="AA107" s="20"/>
      <c r="AB107" s="20"/>
      <c r="AC107" s="20"/>
      <c r="AD107" s="20"/>
      <c r="AE107" s="20"/>
    </row>
    <row r="108">
      <c r="A108" s="21">
        <v>2.0</v>
      </c>
      <c r="B108" s="20" t="s">
        <v>218</v>
      </c>
      <c r="C108" s="20" t="s">
        <v>487</v>
      </c>
      <c r="I108" s="25" t="s">
        <v>700</v>
      </c>
      <c r="J108" s="25" t="s">
        <v>349</v>
      </c>
      <c r="K108" s="25" t="s">
        <v>418</v>
      </c>
      <c r="L108" s="25" t="s">
        <v>537</v>
      </c>
      <c r="M108" s="20" t="s">
        <v>415</v>
      </c>
      <c r="N108" s="20" t="s">
        <v>415</v>
      </c>
      <c r="O108" s="20" t="s">
        <v>416</v>
      </c>
      <c r="P108" s="20" t="s">
        <v>52</v>
      </c>
      <c r="Q108" s="26"/>
      <c r="R108" s="26"/>
      <c r="S108" s="26"/>
      <c r="T108" s="20"/>
      <c r="U108" s="26"/>
      <c r="V108" s="26"/>
      <c r="W108" s="20"/>
      <c r="X108" s="20"/>
      <c r="Y108" s="20"/>
      <c r="Z108" s="20"/>
      <c r="AA108" s="20"/>
      <c r="AB108" s="20"/>
      <c r="AC108" s="20"/>
      <c r="AD108" s="20"/>
      <c r="AE108" s="20"/>
    </row>
    <row r="109">
      <c r="A109" s="21">
        <v>2.0</v>
      </c>
      <c r="B109" s="20" t="s">
        <v>218</v>
      </c>
      <c r="C109" s="20" t="s">
        <v>487</v>
      </c>
      <c r="I109" s="25" t="s">
        <v>444</v>
      </c>
      <c r="J109" s="25" t="s">
        <v>219</v>
      </c>
      <c r="K109" s="25" t="s">
        <v>418</v>
      </c>
      <c r="L109" s="25" t="s">
        <v>537</v>
      </c>
      <c r="M109" s="20" t="s">
        <v>415</v>
      </c>
      <c r="N109" s="20" t="s">
        <v>415</v>
      </c>
      <c r="O109" s="20" t="s">
        <v>416</v>
      </c>
      <c r="P109" s="20" t="s">
        <v>52</v>
      </c>
      <c r="Q109" s="26"/>
      <c r="R109" s="26"/>
      <c r="S109" s="26"/>
      <c r="T109" s="20"/>
      <c r="U109" s="26"/>
      <c r="V109" s="26"/>
      <c r="W109" s="20"/>
      <c r="X109" s="20"/>
      <c r="Y109" s="20"/>
      <c r="Z109" s="20"/>
      <c r="AA109" s="20"/>
      <c r="AB109" s="20"/>
      <c r="AC109" s="20"/>
      <c r="AD109" s="20"/>
      <c r="AE109" s="20"/>
    </row>
    <row r="110">
      <c r="A110" s="21">
        <v>2.0</v>
      </c>
      <c r="B110" s="20" t="s">
        <v>218</v>
      </c>
      <c r="C110" s="20" t="s">
        <v>487</v>
      </c>
      <c r="I110" s="25" t="s">
        <v>341</v>
      </c>
      <c r="J110" s="25" t="s">
        <v>219</v>
      </c>
      <c r="K110" s="25" t="s">
        <v>71</v>
      </c>
      <c r="L110" s="25" t="s">
        <v>742</v>
      </c>
      <c r="M110" s="20" t="s">
        <v>343</v>
      </c>
      <c r="N110" s="20" t="s">
        <v>344</v>
      </c>
      <c r="O110" s="20" t="s">
        <v>63</v>
      </c>
      <c r="P110" s="20" t="s">
        <v>52</v>
      </c>
      <c r="Q110" s="26"/>
      <c r="R110" s="26"/>
      <c r="S110" s="26"/>
      <c r="T110" s="20"/>
      <c r="U110" s="26"/>
      <c r="V110" s="26"/>
      <c r="W110" s="20"/>
      <c r="X110" s="20"/>
      <c r="Y110" s="20"/>
      <c r="Z110" s="20"/>
      <c r="AA110" s="20"/>
      <c r="AB110" s="20"/>
      <c r="AC110" s="20"/>
      <c r="AD110" s="20"/>
      <c r="AE110" s="20"/>
    </row>
    <row r="111">
      <c r="A111" s="21">
        <v>2.0</v>
      </c>
      <c r="B111" s="20" t="s">
        <v>218</v>
      </c>
      <c r="C111" s="20" t="s">
        <v>487</v>
      </c>
      <c r="I111" s="25" t="s">
        <v>732</v>
      </c>
      <c r="J111" s="25" t="s">
        <v>358</v>
      </c>
      <c r="K111" s="25" t="s">
        <v>418</v>
      </c>
      <c r="L111" s="25" t="s">
        <v>537</v>
      </c>
      <c r="M111" s="20" t="s">
        <v>415</v>
      </c>
      <c r="N111" s="20" t="s">
        <v>415</v>
      </c>
      <c r="O111" s="20" t="s">
        <v>416</v>
      </c>
      <c r="P111" s="20" t="s">
        <v>52</v>
      </c>
      <c r="Q111" s="26"/>
      <c r="R111" s="26"/>
      <c r="S111" s="26"/>
      <c r="T111" s="20"/>
      <c r="U111" s="26"/>
      <c r="V111" s="26"/>
      <c r="W111" s="20"/>
      <c r="X111" s="20"/>
      <c r="Y111" s="20"/>
      <c r="Z111" s="20"/>
      <c r="AA111" s="20"/>
      <c r="AB111" s="20"/>
      <c r="AC111" s="20"/>
      <c r="AD111" s="20"/>
      <c r="AE111" s="20"/>
    </row>
    <row r="112">
      <c r="A112" s="21">
        <v>2.0</v>
      </c>
      <c r="B112" s="20" t="s">
        <v>218</v>
      </c>
      <c r="C112" s="20" t="s">
        <v>487</v>
      </c>
      <c r="I112" s="25" t="s">
        <v>733</v>
      </c>
      <c r="J112" s="25" t="s">
        <v>358</v>
      </c>
      <c r="K112" s="25" t="s">
        <v>418</v>
      </c>
      <c r="L112" s="25" t="s">
        <v>537</v>
      </c>
      <c r="M112" s="20" t="s">
        <v>415</v>
      </c>
      <c r="N112" s="20" t="s">
        <v>415</v>
      </c>
      <c r="O112" s="20" t="s">
        <v>416</v>
      </c>
      <c r="P112" s="20" t="s">
        <v>52</v>
      </c>
      <c r="Q112" s="26"/>
      <c r="R112" s="26"/>
      <c r="S112" s="26"/>
      <c r="T112" s="20"/>
      <c r="U112" s="26"/>
      <c r="V112" s="26"/>
      <c r="W112" s="20"/>
      <c r="X112" s="20"/>
      <c r="Y112" s="20"/>
      <c r="Z112" s="20"/>
      <c r="AA112" s="20"/>
      <c r="AB112" s="20"/>
      <c r="AC112" s="20"/>
      <c r="AD112" s="20"/>
      <c r="AE112" s="20"/>
    </row>
    <row r="113">
      <c r="A113" s="21">
        <v>2.0</v>
      </c>
      <c r="B113" s="20" t="s">
        <v>218</v>
      </c>
      <c r="C113" s="20" t="s">
        <v>487</v>
      </c>
      <c r="I113" s="25" t="s">
        <v>701</v>
      </c>
      <c r="J113" s="25" t="s">
        <v>349</v>
      </c>
      <c r="K113" s="25" t="s">
        <v>418</v>
      </c>
      <c r="L113" s="25" t="s">
        <v>537</v>
      </c>
      <c r="M113" s="20" t="s">
        <v>415</v>
      </c>
      <c r="N113" s="20" t="s">
        <v>415</v>
      </c>
      <c r="O113" s="20" t="s">
        <v>416</v>
      </c>
      <c r="P113" s="20" t="s">
        <v>52</v>
      </c>
      <c r="Q113" s="26"/>
      <c r="R113" s="26"/>
      <c r="S113" s="26"/>
      <c r="T113" s="20"/>
      <c r="U113" s="26"/>
      <c r="V113" s="26"/>
      <c r="W113" s="20"/>
      <c r="X113" s="20"/>
      <c r="Y113" s="20"/>
      <c r="Z113" s="20"/>
      <c r="AA113" s="20"/>
      <c r="AB113" s="20"/>
      <c r="AC113" s="20"/>
      <c r="AD113" s="20"/>
      <c r="AE113" s="20"/>
    </row>
    <row r="114">
      <c r="A114" s="21">
        <v>2.0</v>
      </c>
      <c r="B114" s="20" t="s">
        <v>218</v>
      </c>
      <c r="C114" s="20" t="s">
        <v>487</v>
      </c>
      <c r="I114" s="25" t="s">
        <v>734</v>
      </c>
      <c r="J114" s="25" t="s">
        <v>358</v>
      </c>
      <c r="K114" s="25" t="s">
        <v>418</v>
      </c>
      <c r="L114" s="25" t="s">
        <v>537</v>
      </c>
      <c r="M114" s="20" t="s">
        <v>415</v>
      </c>
      <c r="N114" s="20" t="s">
        <v>415</v>
      </c>
      <c r="O114" s="20" t="s">
        <v>416</v>
      </c>
      <c r="P114" s="20" t="s">
        <v>524</v>
      </c>
      <c r="Q114" s="26"/>
      <c r="R114" s="26"/>
      <c r="S114" s="26"/>
      <c r="T114" s="20"/>
      <c r="U114" s="26"/>
      <c r="V114" s="26"/>
      <c r="W114" s="20"/>
      <c r="X114" s="20"/>
      <c r="Y114" s="20"/>
      <c r="Z114" s="20"/>
      <c r="AA114" s="20"/>
      <c r="AB114" s="20"/>
      <c r="AC114" s="20"/>
      <c r="AD114" s="20"/>
      <c r="AE114" s="20"/>
    </row>
    <row r="115">
      <c r="A115" s="21">
        <v>2.0</v>
      </c>
      <c r="B115" s="20" t="s">
        <v>218</v>
      </c>
      <c r="C115" s="20" t="s">
        <v>487</v>
      </c>
      <c r="I115" s="25" t="s">
        <v>451</v>
      </c>
      <c r="J115" s="25" t="s">
        <v>219</v>
      </c>
      <c r="K115" s="25" t="s">
        <v>418</v>
      </c>
      <c r="L115" s="25" t="s">
        <v>537</v>
      </c>
      <c r="M115" s="20" t="s">
        <v>415</v>
      </c>
      <c r="N115" s="20" t="s">
        <v>415</v>
      </c>
      <c r="O115" s="20" t="s">
        <v>416</v>
      </c>
      <c r="P115" s="20" t="s">
        <v>52</v>
      </c>
      <c r="Q115" s="26"/>
      <c r="R115" s="26"/>
      <c r="S115" s="26"/>
      <c r="T115" s="20"/>
      <c r="U115" s="26"/>
      <c r="V115" s="26"/>
      <c r="W115" s="20"/>
      <c r="X115" s="20"/>
      <c r="Y115" s="20"/>
      <c r="Z115" s="20"/>
      <c r="AA115" s="20"/>
      <c r="AB115" s="20"/>
      <c r="AC115" s="20"/>
      <c r="AD115" s="20"/>
      <c r="AE115" s="20"/>
    </row>
    <row r="116">
      <c r="A116" s="21">
        <v>2.0</v>
      </c>
      <c r="B116" s="20" t="s">
        <v>218</v>
      </c>
      <c r="C116" s="20" t="s">
        <v>487</v>
      </c>
      <c r="I116" s="25" t="s">
        <v>703</v>
      </c>
      <c r="J116" s="25" t="s">
        <v>349</v>
      </c>
      <c r="K116" s="25" t="s">
        <v>418</v>
      </c>
      <c r="L116" s="25" t="s">
        <v>537</v>
      </c>
      <c r="M116" s="20" t="s">
        <v>415</v>
      </c>
      <c r="N116" s="20" t="s">
        <v>415</v>
      </c>
      <c r="O116" s="20" t="s">
        <v>416</v>
      </c>
      <c r="P116" s="20" t="s">
        <v>52</v>
      </c>
      <c r="Q116" s="26"/>
      <c r="R116" s="26"/>
      <c r="S116" s="26"/>
      <c r="T116" s="20"/>
      <c r="U116" s="26"/>
      <c r="V116" s="26"/>
      <c r="W116" s="20"/>
      <c r="X116" s="20"/>
      <c r="Y116" s="20"/>
      <c r="Z116" s="20"/>
      <c r="AA116" s="20"/>
      <c r="AB116" s="20"/>
      <c r="AC116" s="20"/>
      <c r="AD116" s="20"/>
      <c r="AE116" s="20"/>
    </row>
    <row r="117">
      <c r="A117" s="21">
        <v>2.0</v>
      </c>
      <c r="B117" s="20" t="s">
        <v>218</v>
      </c>
      <c r="C117" s="20" t="s">
        <v>487</v>
      </c>
      <c r="I117" s="25" t="s">
        <v>735</v>
      </c>
      <c r="J117" s="25" t="s">
        <v>358</v>
      </c>
      <c r="K117" s="25" t="s">
        <v>418</v>
      </c>
      <c r="L117" s="25" t="s">
        <v>537</v>
      </c>
      <c r="M117" s="20" t="s">
        <v>415</v>
      </c>
      <c r="N117" s="20" t="s">
        <v>415</v>
      </c>
      <c r="O117" s="20" t="s">
        <v>416</v>
      </c>
      <c r="P117" s="20" t="s">
        <v>52</v>
      </c>
      <c r="Q117" s="26"/>
      <c r="R117" s="26"/>
      <c r="S117" s="26"/>
      <c r="T117" s="20"/>
      <c r="U117" s="26"/>
      <c r="V117" s="26"/>
      <c r="W117" s="20"/>
      <c r="X117" s="20"/>
      <c r="Y117" s="20"/>
      <c r="Z117" s="20"/>
      <c r="AA117" s="20"/>
      <c r="AB117" s="20"/>
      <c r="AC117" s="20"/>
      <c r="AD117" s="20"/>
      <c r="AE117" s="20"/>
    </row>
    <row r="118">
      <c r="A118" s="21">
        <v>2.0</v>
      </c>
      <c r="B118" s="20" t="s">
        <v>218</v>
      </c>
      <c r="C118" s="20" t="s">
        <v>487</v>
      </c>
      <c r="I118" s="25" t="s">
        <v>104</v>
      </c>
      <c r="J118" s="25" t="s">
        <v>349</v>
      </c>
      <c r="K118" s="25" t="s">
        <v>418</v>
      </c>
      <c r="L118" s="25" t="s">
        <v>537</v>
      </c>
      <c r="M118" s="20" t="s">
        <v>415</v>
      </c>
      <c r="N118" s="20" t="s">
        <v>415</v>
      </c>
      <c r="O118" s="20" t="s">
        <v>416</v>
      </c>
      <c r="P118" s="20" t="s">
        <v>52</v>
      </c>
      <c r="Q118" s="26"/>
      <c r="R118" s="26"/>
      <c r="S118" s="26"/>
      <c r="T118" s="20"/>
      <c r="U118" s="26"/>
      <c r="V118" s="26"/>
      <c r="W118" s="20"/>
      <c r="X118" s="20"/>
      <c r="Y118" s="20"/>
      <c r="Z118" s="20"/>
      <c r="AA118" s="20"/>
      <c r="AB118" s="20"/>
      <c r="AC118" s="20"/>
      <c r="AD118" s="20"/>
      <c r="AE118" s="20"/>
    </row>
    <row r="119">
      <c r="A119" s="21">
        <v>2.0</v>
      </c>
      <c r="B119" s="20" t="s">
        <v>218</v>
      </c>
      <c r="C119" s="20" t="s">
        <v>487</v>
      </c>
      <c r="I119" s="25" t="s">
        <v>737</v>
      </c>
      <c r="J119" s="25" t="s">
        <v>358</v>
      </c>
      <c r="K119" s="25" t="s">
        <v>418</v>
      </c>
      <c r="L119" s="25" t="s">
        <v>537</v>
      </c>
      <c r="M119" s="20" t="s">
        <v>415</v>
      </c>
      <c r="N119" s="20" t="s">
        <v>415</v>
      </c>
      <c r="O119" s="20" t="s">
        <v>416</v>
      </c>
      <c r="P119" s="20" t="s">
        <v>52</v>
      </c>
      <c r="Q119" s="26"/>
      <c r="R119" s="26"/>
      <c r="S119" s="26"/>
      <c r="T119" s="20"/>
      <c r="U119" s="26"/>
      <c r="V119" s="26"/>
      <c r="W119" s="20"/>
      <c r="X119" s="20"/>
      <c r="Y119" s="20"/>
      <c r="Z119" s="20"/>
      <c r="AA119" s="20"/>
      <c r="AB119" s="20"/>
      <c r="AC119" s="20"/>
      <c r="AD119" s="20"/>
      <c r="AE119" s="20"/>
    </row>
    <row r="120">
      <c r="A120" s="21">
        <v>2.0</v>
      </c>
      <c r="B120" s="20" t="s">
        <v>218</v>
      </c>
      <c r="C120" s="20" t="s">
        <v>487</v>
      </c>
      <c r="I120" s="25" t="s">
        <v>738</v>
      </c>
      <c r="J120" s="25" t="s">
        <v>358</v>
      </c>
      <c r="K120" s="25" t="s">
        <v>418</v>
      </c>
      <c r="L120" s="25" t="s">
        <v>537</v>
      </c>
      <c r="M120" s="20" t="s">
        <v>415</v>
      </c>
      <c r="N120" s="20" t="s">
        <v>415</v>
      </c>
      <c r="O120" s="20" t="s">
        <v>416</v>
      </c>
      <c r="P120" s="20" t="s">
        <v>52</v>
      </c>
      <c r="Q120" s="26"/>
      <c r="R120" s="26"/>
      <c r="S120" s="26"/>
      <c r="T120" s="20"/>
      <c r="U120" s="26"/>
      <c r="V120" s="26"/>
      <c r="W120" s="20"/>
      <c r="X120" s="20"/>
      <c r="Y120" s="20"/>
      <c r="Z120" s="20"/>
      <c r="AA120" s="20"/>
      <c r="AB120" s="20"/>
      <c r="AC120" s="20"/>
      <c r="AD120" s="20"/>
      <c r="AE120" s="20"/>
    </row>
    <row r="121">
      <c r="A121" s="21">
        <v>2.0</v>
      </c>
      <c r="B121" s="20" t="s">
        <v>218</v>
      </c>
      <c r="C121" s="20" t="s">
        <v>487</v>
      </c>
      <c r="I121" s="25" t="s">
        <v>705</v>
      </c>
      <c r="J121" s="25" t="s">
        <v>349</v>
      </c>
      <c r="K121" s="25" t="s">
        <v>418</v>
      </c>
      <c r="L121" s="25" t="s">
        <v>537</v>
      </c>
      <c r="M121" s="20" t="s">
        <v>415</v>
      </c>
      <c r="N121" s="20" t="s">
        <v>415</v>
      </c>
      <c r="O121" s="20" t="s">
        <v>416</v>
      </c>
      <c r="P121" s="20" t="s">
        <v>52</v>
      </c>
      <c r="Q121" s="26"/>
      <c r="R121" s="26"/>
      <c r="S121" s="26"/>
      <c r="T121" s="20"/>
      <c r="U121" s="26"/>
      <c r="V121" s="26"/>
      <c r="W121" s="20"/>
      <c r="X121" s="20"/>
      <c r="Y121" s="20"/>
      <c r="Z121" s="20"/>
      <c r="AA121" s="20"/>
      <c r="AB121" s="20"/>
      <c r="AC121" s="20"/>
      <c r="AD121" s="20"/>
      <c r="AE121" s="20"/>
    </row>
    <row r="122">
      <c r="A122" s="21">
        <v>2.0</v>
      </c>
      <c r="B122" s="20" t="s">
        <v>218</v>
      </c>
      <c r="C122" s="20" t="s">
        <v>487</v>
      </c>
      <c r="I122" s="25" t="s">
        <v>457</v>
      </c>
      <c r="J122" s="25" t="s">
        <v>219</v>
      </c>
      <c r="K122" s="25" t="s">
        <v>418</v>
      </c>
      <c r="L122" s="25" t="s">
        <v>537</v>
      </c>
      <c r="M122" s="20" t="s">
        <v>415</v>
      </c>
      <c r="N122" s="20" t="s">
        <v>415</v>
      </c>
      <c r="O122" s="20" t="s">
        <v>416</v>
      </c>
      <c r="P122" s="20" t="s">
        <v>52</v>
      </c>
      <c r="Q122" s="26"/>
      <c r="R122" s="26"/>
      <c r="S122" s="26"/>
      <c r="T122" s="20"/>
      <c r="U122" s="26"/>
      <c r="V122" s="26"/>
      <c r="W122" s="20"/>
      <c r="X122" s="20"/>
      <c r="Y122" s="20"/>
      <c r="Z122" s="20"/>
      <c r="AA122" s="20"/>
      <c r="AB122" s="20"/>
      <c r="AC122" s="20"/>
      <c r="AD122" s="20"/>
      <c r="AE122" s="20"/>
    </row>
    <row r="123">
      <c r="A123" s="21">
        <v>2.0</v>
      </c>
      <c r="B123" s="20" t="s">
        <v>218</v>
      </c>
      <c r="C123" s="20" t="s">
        <v>487</v>
      </c>
      <c r="I123" s="25" t="s">
        <v>739</v>
      </c>
      <c r="J123" s="25" t="s">
        <v>358</v>
      </c>
      <c r="K123" s="25" t="s">
        <v>418</v>
      </c>
      <c r="L123" s="25" t="s">
        <v>537</v>
      </c>
      <c r="M123" s="20" t="s">
        <v>415</v>
      </c>
      <c r="N123" s="20" t="s">
        <v>415</v>
      </c>
      <c r="O123" s="20" t="s">
        <v>416</v>
      </c>
      <c r="P123" s="20" t="s">
        <v>52</v>
      </c>
      <c r="Q123" s="26"/>
      <c r="R123" s="26"/>
      <c r="S123" s="26"/>
      <c r="T123" s="20"/>
      <c r="U123" s="26"/>
      <c r="V123" s="26"/>
      <c r="W123" s="20"/>
      <c r="X123" s="20"/>
      <c r="Y123" s="20"/>
      <c r="Z123" s="20"/>
      <c r="AA123" s="20"/>
      <c r="AB123" s="20"/>
      <c r="AC123" s="20"/>
      <c r="AD123" s="20"/>
      <c r="AE123" s="20"/>
    </row>
    <row r="124">
      <c r="A124" s="21">
        <v>2.0</v>
      </c>
      <c r="B124" s="20" t="s">
        <v>218</v>
      </c>
      <c r="C124" s="20" t="s">
        <v>487</v>
      </c>
      <c r="I124" s="25" t="s">
        <v>463</v>
      </c>
      <c r="J124" s="25" t="s">
        <v>219</v>
      </c>
      <c r="K124" s="25" t="s">
        <v>418</v>
      </c>
      <c r="L124" s="25" t="s">
        <v>537</v>
      </c>
      <c r="M124" s="20" t="s">
        <v>415</v>
      </c>
      <c r="N124" s="20" t="s">
        <v>415</v>
      </c>
      <c r="O124" s="20" t="s">
        <v>416</v>
      </c>
      <c r="P124" s="20" t="s">
        <v>52</v>
      </c>
      <c r="Q124" s="26"/>
      <c r="R124" s="26"/>
      <c r="S124" s="26"/>
      <c r="T124" s="20"/>
      <c r="U124" s="26"/>
      <c r="V124" s="26"/>
      <c r="W124" s="20"/>
      <c r="X124" s="20"/>
      <c r="Y124" s="20"/>
      <c r="Z124" s="20"/>
      <c r="AA124" s="20"/>
      <c r="AB124" s="20"/>
      <c r="AC124" s="20"/>
      <c r="AD124" s="20"/>
      <c r="AE124" s="20"/>
    </row>
    <row r="125">
      <c r="A125" s="21">
        <v>2.0</v>
      </c>
      <c r="B125" s="20" t="s">
        <v>218</v>
      </c>
      <c r="C125" s="20" t="s">
        <v>487</v>
      </c>
      <c r="I125" s="25" t="s">
        <v>740</v>
      </c>
      <c r="J125" s="25" t="s">
        <v>358</v>
      </c>
      <c r="K125" s="25" t="s">
        <v>418</v>
      </c>
      <c r="L125" s="25" t="s">
        <v>537</v>
      </c>
      <c r="M125" s="20" t="s">
        <v>415</v>
      </c>
      <c r="N125" s="20" t="s">
        <v>415</v>
      </c>
      <c r="O125" s="20" t="s">
        <v>416</v>
      </c>
      <c r="P125" s="20" t="s">
        <v>52</v>
      </c>
      <c r="Q125" s="26"/>
      <c r="R125" s="26"/>
      <c r="S125" s="26"/>
      <c r="T125" s="20"/>
      <c r="U125" s="26"/>
      <c r="V125" s="26"/>
      <c r="W125" s="20"/>
      <c r="X125" s="20"/>
      <c r="Y125" s="20"/>
      <c r="Z125" s="20"/>
      <c r="AA125" s="20"/>
      <c r="AB125" s="20"/>
      <c r="AC125" s="20"/>
      <c r="AD125" s="20"/>
      <c r="AE125" s="20"/>
    </row>
    <row r="126">
      <c r="A126" s="21">
        <v>2.0</v>
      </c>
      <c r="B126" s="20" t="s">
        <v>218</v>
      </c>
      <c r="C126" s="20" t="s">
        <v>487</v>
      </c>
      <c r="I126" s="25" t="s">
        <v>707</v>
      </c>
      <c r="J126" s="25" t="s">
        <v>349</v>
      </c>
      <c r="K126" s="25" t="s">
        <v>418</v>
      </c>
      <c r="L126" s="25" t="s">
        <v>537</v>
      </c>
      <c r="M126" s="20" t="s">
        <v>415</v>
      </c>
      <c r="N126" s="20" t="s">
        <v>415</v>
      </c>
      <c r="O126" s="20" t="s">
        <v>416</v>
      </c>
      <c r="P126" s="20" t="s">
        <v>52</v>
      </c>
      <c r="Q126" s="26"/>
      <c r="R126" s="26"/>
      <c r="S126" s="26"/>
      <c r="T126" s="20"/>
      <c r="U126" s="26"/>
      <c r="V126" s="26"/>
      <c r="W126" s="20"/>
      <c r="X126" s="20"/>
      <c r="Y126" s="20"/>
      <c r="Z126" s="20"/>
      <c r="AA126" s="20"/>
      <c r="AB126" s="20"/>
      <c r="AC126" s="20"/>
      <c r="AD126" s="20"/>
      <c r="AE126" s="20"/>
    </row>
    <row r="127">
      <c r="A127" s="21">
        <v>2.0</v>
      </c>
      <c r="B127" s="20" t="s">
        <v>218</v>
      </c>
      <c r="C127" s="20" t="s">
        <v>487</v>
      </c>
      <c r="I127" s="25" t="s">
        <v>708</v>
      </c>
      <c r="J127" s="25" t="s">
        <v>349</v>
      </c>
      <c r="K127" s="25" t="s">
        <v>418</v>
      </c>
      <c r="L127" s="25" t="s">
        <v>537</v>
      </c>
      <c r="M127" s="20" t="s">
        <v>415</v>
      </c>
      <c r="N127" s="20" t="s">
        <v>415</v>
      </c>
      <c r="O127" s="20" t="s">
        <v>416</v>
      </c>
      <c r="P127" s="20" t="s">
        <v>52</v>
      </c>
      <c r="Q127" s="26"/>
      <c r="R127" s="26"/>
      <c r="S127" s="26"/>
      <c r="T127" s="20"/>
      <c r="U127" s="26"/>
      <c r="V127" s="26"/>
      <c r="W127" s="20"/>
      <c r="X127" s="20"/>
      <c r="Y127" s="20"/>
      <c r="Z127" s="20"/>
      <c r="AA127" s="20"/>
      <c r="AB127" s="20"/>
      <c r="AC127" s="20"/>
      <c r="AD127" s="20"/>
      <c r="AE127" s="20"/>
    </row>
    <row r="128">
      <c r="A128" s="21">
        <v>2.0</v>
      </c>
      <c r="B128" s="20" t="s">
        <v>218</v>
      </c>
      <c r="C128" s="20" t="s">
        <v>487</v>
      </c>
      <c r="I128" s="25" t="s">
        <v>471</v>
      </c>
      <c r="J128" s="25" t="s">
        <v>219</v>
      </c>
      <c r="K128" s="25" t="s">
        <v>418</v>
      </c>
      <c r="L128" s="25" t="s">
        <v>537</v>
      </c>
      <c r="M128" s="20" t="s">
        <v>415</v>
      </c>
      <c r="N128" s="20" t="s">
        <v>415</v>
      </c>
      <c r="O128" s="20" t="s">
        <v>416</v>
      </c>
      <c r="P128" s="20" t="s">
        <v>52</v>
      </c>
      <c r="Q128" s="26"/>
      <c r="R128" s="26"/>
      <c r="S128" s="26"/>
      <c r="T128" s="20"/>
      <c r="U128" s="26"/>
      <c r="V128" s="26"/>
      <c r="W128" s="20"/>
      <c r="X128" s="20"/>
      <c r="Y128" s="20"/>
      <c r="Z128" s="20"/>
      <c r="AA128" s="20"/>
      <c r="AB128" s="20"/>
      <c r="AC128" s="20"/>
      <c r="AD128" s="20"/>
      <c r="AE128" s="20"/>
    </row>
    <row r="129">
      <c r="A129" s="21">
        <v>2.0</v>
      </c>
      <c r="B129" s="20" t="s">
        <v>218</v>
      </c>
      <c r="C129" s="20" t="s">
        <v>487</v>
      </c>
      <c r="I129" s="25" t="s">
        <v>711</v>
      </c>
      <c r="J129" s="25" t="s">
        <v>349</v>
      </c>
      <c r="K129" s="25" t="s">
        <v>418</v>
      </c>
      <c r="L129" s="25" t="s">
        <v>537</v>
      </c>
      <c r="M129" s="20" t="s">
        <v>415</v>
      </c>
      <c r="N129" s="20" t="s">
        <v>415</v>
      </c>
      <c r="O129" s="20" t="s">
        <v>416</v>
      </c>
      <c r="P129" s="20" t="s">
        <v>52</v>
      </c>
      <c r="Q129" s="26"/>
      <c r="R129" s="26"/>
      <c r="S129" s="26"/>
      <c r="T129" s="20"/>
      <c r="U129" s="26"/>
      <c r="V129" s="26"/>
      <c r="W129" s="20"/>
      <c r="X129" s="20"/>
      <c r="Y129" s="20"/>
      <c r="Z129" s="20"/>
      <c r="AA129" s="20"/>
      <c r="AB129" s="20"/>
      <c r="AC129" s="20"/>
      <c r="AD129" s="20"/>
      <c r="AE129" s="20"/>
    </row>
    <row r="130">
      <c r="A130" s="21">
        <v>2.0</v>
      </c>
      <c r="B130" s="20" t="s">
        <v>218</v>
      </c>
      <c r="C130" s="20" t="s">
        <v>487</v>
      </c>
      <c r="I130" s="25" t="s">
        <v>712</v>
      </c>
      <c r="J130" s="25" t="s">
        <v>349</v>
      </c>
      <c r="K130" s="25" t="s">
        <v>418</v>
      </c>
      <c r="L130" s="25" t="s">
        <v>537</v>
      </c>
      <c r="M130" s="20" t="s">
        <v>415</v>
      </c>
      <c r="N130" s="20" t="s">
        <v>415</v>
      </c>
      <c r="O130" s="20" t="s">
        <v>416</v>
      </c>
      <c r="P130" s="20" t="s">
        <v>52</v>
      </c>
      <c r="Q130" s="26"/>
      <c r="R130" s="26"/>
      <c r="S130" s="26"/>
      <c r="T130" s="20"/>
      <c r="U130" s="26"/>
      <c r="V130" s="26"/>
      <c r="W130" s="20"/>
      <c r="X130" s="20"/>
      <c r="Y130" s="20"/>
      <c r="Z130" s="20"/>
      <c r="AA130" s="20"/>
      <c r="AB130" s="20"/>
      <c r="AC130" s="20"/>
      <c r="AD130" s="20"/>
      <c r="AE130" s="20"/>
    </row>
    <row r="131">
      <c r="A131" s="21">
        <v>2.0</v>
      </c>
      <c r="B131" s="20" t="s">
        <v>218</v>
      </c>
      <c r="C131" s="20" t="s">
        <v>487</v>
      </c>
      <c r="I131" s="25" t="s">
        <v>741</v>
      </c>
      <c r="J131" s="25" t="s">
        <v>358</v>
      </c>
      <c r="K131" s="25" t="s">
        <v>418</v>
      </c>
      <c r="L131" s="25" t="s">
        <v>537</v>
      </c>
      <c r="M131" s="20" t="s">
        <v>415</v>
      </c>
      <c r="N131" s="20" t="s">
        <v>415</v>
      </c>
      <c r="O131" s="20" t="s">
        <v>416</v>
      </c>
      <c r="P131" s="20" t="s">
        <v>52</v>
      </c>
      <c r="Q131" s="26"/>
      <c r="R131" s="26"/>
      <c r="S131" s="26"/>
      <c r="T131" s="20"/>
      <c r="U131" s="26"/>
      <c r="V131" s="26"/>
      <c r="W131" s="20"/>
      <c r="X131" s="20"/>
      <c r="Y131" s="20"/>
      <c r="Z131" s="20"/>
      <c r="AA131" s="20"/>
      <c r="AB131" s="20"/>
      <c r="AC131" s="20"/>
      <c r="AD131" s="20"/>
      <c r="AE131" s="20"/>
    </row>
    <row r="132">
      <c r="A132" s="21">
        <v>3.0</v>
      </c>
      <c r="B132" s="22" t="s">
        <v>222</v>
      </c>
      <c r="C132" s="22" t="s">
        <v>487</v>
      </c>
      <c r="D132" s="23">
        <v>50.0</v>
      </c>
      <c r="E132" s="23">
        <v>3.0</v>
      </c>
      <c r="F132" s="23">
        <v>2.0</v>
      </c>
      <c r="G132" s="23">
        <v>45.0</v>
      </c>
      <c r="H132" s="24" t="s">
        <v>789</v>
      </c>
      <c r="I132" s="25" t="s">
        <v>744</v>
      </c>
      <c r="J132" s="25" t="s">
        <v>743</v>
      </c>
      <c r="K132" s="25" t="s">
        <v>57</v>
      </c>
      <c r="L132" s="25" t="s">
        <v>790</v>
      </c>
      <c r="M132" s="25" t="s">
        <v>61</v>
      </c>
      <c r="N132" s="25" t="s">
        <v>745</v>
      </c>
      <c r="O132" s="25" t="s">
        <v>63</v>
      </c>
      <c r="P132" s="25"/>
      <c r="Q132" s="26"/>
      <c r="R132" s="26"/>
      <c r="S132" s="26"/>
      <c r="T132" s="20"/>
      <c r="U132" s="26"/>
      <c r="V132" s="26"/>
      <c r="W132" s="20"/>
      <c r="X132" s="20"/>
      <c r="Y132" s="20"/>
      <c r="Z132" s="20"/>
      <c r="AA132" s="20"/>
      <c r="AB132" s="20"/>
      <c r="AC132" s="20"/>
      <c r="AD132" s="20"/>
      <c r="AE132" s="20"/>
    </row>
    <row r="133">
      <c r="A133" s="21">
        <v>3.0</v>
      </c>
      <c r="B133" s="22" t="s">
        <v>222</v>
      </c>
      <c r="C133" s="22" t="s">
        <v>487</v>
      </c>
      <c r="I133" s="25" t="s">
        <v>746</v>
      </c>
      <c r="J133" s="25" t="s">
        <v>743</v>
      </c>
      <c r="K133" s="25" t="s">
        <v>57</v>
      </c>
      <c r="L133" s="25" t="s">
        <v>793</v>
      </c>
      <c r="M133" s="25" t="s">
        <v>747</v>
      </c>
      <c r="N133" s="25" t="s">
        <v>748</v>
      </c>
      <c r="O133" s="25" t="s">
        <v>63</v>
      </c>
      <c r="P133" s="25" t="s">
        <v>749</v>
      </c>
      <c r="Q133" s="26"/>
      <c r="R133" s="26"/>
      <c r="S133" s="26"/>
      <c r="T133" s="20"/>
      <c r="U133" s="26"/>
      <c r="V133" s="26"/>
      <c r="W133" s="20"/>
      <c r="X133" s="20"/>
      <c r="Y133" s="20"/>
      <c r="Z133" s="20"/>
      <c r="AA133" s="20"/>
      <c r="AB133" s="20"/>
      <c r="AC133" s="20"/>
      <c r="AD133" s="20"/>
      <c r="AE133" s="20"/>
    </row>
    <row r="134">
      <c r="A134" s="21">
        <v>3.0</v>
      </c>
      <c r="B134" s="22" t="s">
        <v>222</v>
      </c>
      <c r="C134" s="22" t="s">
        <v>487</v>
      </c>
      <c r="I134" s="25" t="s">
        <v>367</v>
      </c>
      <c r="J134" s="25" t="s">
        <v>750</v>
      </c>
      <c r="K134" s="25" t="s">
        <v>57</v>
      </c>
      <c r="L134" s="25" t="s">
        <v>795</v>
      </c>
      <c r="M134" s="25" t="s">
        <v>61</v>
      </c>
      <c r="N134" s="25" t="s">
        <v>369</v>
      </c>
      <c r="O134" s="25" t="s">
        <v>63</v>
      </c>
      <c r="P134" s="20"/>
      <c r="Q134" s="26"/>
      <c r="R134" s="26"/>
      <c r="S134" s="26"/>
      <c r="T134" s="20"/>
      <c r="U134" s="26"/>
      <c r="V134" s="26"/>
      <c r="W134" s="20"/>
      <c r="X134" s="20"/>
      <c r="Y134" s="20"/>
      <c r="Z134" s="20"/>
      <c r="AA134" s="20"/>
      <c r="AB134" s="20"/>
      <c r="AC134" s="20"/>
      <c r="AD134" s="20"/>
      <c r="AE134" s="20"/>
    </row>
    <row r="135">
      <c r="A135" s="21">
        <v>3.0</v>
      </c>
      <c r="B135" s="22" t="s">
        <v>222</v>
      </c>
      <c r="C135" s="22" t="s">
        <v>487</v>
      </c>
      <c r="I135" s="25" t="s">
        <v>557</v>
      </c>
      <c r="J135" s="25" t="s">
        <v>750</v>
      </c>
      <c r="K135" s="25" t="s">
        <v>67</v>
      </c>
      <c r="L135" s="25" t="s">
        <v>800</v>
      </c>
      <c r="M135" s="25" t="s">
        <v>61</v>
      </c>
      <c r="N135" s="25" t="s">
        <v>751</v>
      </c>
      <c r="O135" s="25" t="s">
        <v>63</v>
      </c>
      <c r="P135" s="25" t="s">
        <v>749</v>
      </c>
      <c r="Q135" s="26"/>
      <c r="R135" s="26"/>
      <c r="S135" s="26"/>
      <c r="T135" s="20"/>
      <c r="U135" s="26"/>
      <c r="V135" s="26"/>
      <c r="W135" s="20"/>
      <c r="X135" s="20"/>
      <c r="Y135" s="20"/>
      <c r="Z135" s="20"/>
      <c r="AA135" s="20"/>
      <c r="AB135" s="20"/>
      <c r="AC135" s="20"/>
      <c r="AD135" s="20"/>
      <c r="AE135" s="20"/>
    </row>
    <row r="136">
      <c r="A136" s="21">
        <v>3.0</v>
      </c>
      <c r="B136" s="22" t="s">
        <v>222</v>
      </c>
      <c r="C136" s="22" t="s">
        <v>487</v>
      </c>
      <c r="I136" s="25" t="s">
        <v>274</v>
      </c>
      <c r="J136" s="25" t="s">
        <v>750</v>
      </c>
      <c r="K136" s="25" t="s">
        <v>67</v>
      </c>
      <c r="L136" s="25" t="s">
        <v>803</v>
      </c>
      <c r="M136" s="25" t="s">
        <v>61</v>
      </c>
      <c r="N136" s="25" t="s">
        <v>275</v>
      </c>
      <c r="O136" s="25" t="s">
        <v>63</v>
      </c>
      <c r="P136" s="25"/>
      <c r="Q136" s="26"/>
      <c r="R136" s="26"/>
      <c r="S136" s="26"/>
      <c r="T136" s="20"/>
      <c r="U136" s="26"/>
      <c r="V136" s="26"/>
      <c r="W136" s="20"/>
      <c r="X136" s="20"/>
      <c r="Y136" s="20"/>
      <c r="Z136" s="20"/>
      <c r="AA136" s="20"/>
      <c r="AB136" s="20"/>
      <c r="AC136" s="20"/>
      <c r="AD136" s="20"/>
      <c r="AE136" s="20"/>
    </row>
    <row r="137">
      <c r="A137" s="21">
        <v>3.0</v>
      </c>
      <c r="B137" s="22" t="s">
        <v>222</v>
      </c>
      <c r="C137" s="22" t="s">
        <v>487</v>
      </c>
      <c r="I137" s="25" t="s">
        <v>716</v>
      </c>
      <c r="J137" s="25" t="s">
        <v>750</v>
      </c>
      <c r="K137" s="25" t="s">
        <v>71</v>
      </c>
      <c r="L137" s="25" t="s">
        <v>808</v>
      </c>
      <c r="M137" s="25" t="s">
        <v>61</v>
      </c>
      <c r="N137" s="25" t="s">
        <v>782</v>
      </c>
      <c r="O137" s="25" t="s">
        <v>63</v>
      </c>
      <c r="P137" s="25"/>
      <c r="Q137" s="26"/>
      <c r="R137" s="26"/>
      <c r="S137" s="26"/>
      <c r="T137" s="20"/>
      <c r="U137" s="26"/>
      <c r="V137" s="26"/>
      <c r="W137" s="20"/>
      <c r="X137" s="20"/>
      <c r="Y137" s="20"/>
      <c r="Z137" s="20"/>
      <c r="AA137" s="20"/>
      <c r="AB137" s="20"/>
      <c r="AC137" s="20"/>
      <c r="AD137" s="20"/>
      <c r="AE137" s="20"/>
    </row>
    <row r="138">
      <c r="A138" s="21">
        <v>3.0</v>
      </c>
      <c r="B138" s="22" t="s">
        <v>222</v>
      </c>
      <c r="C138" s="22" t="s">
        <v>487</v>
      </c>
      <c r="I138" s="25" t="s">
        <v>247</v>
      </c>
      <c r="J138" s="25" t="s">
        <v>750</v>
      </c>
      <c r="K138" s="25" t="s">
        <v>71</v>
      </c>
      <c r="L138" s="25" t="s">
        <v>520</v>
      </c>
      <c r="M138" s="25" t="s">
        <v>61</v>
      </c>
      <c r="N138" s="25" t="s">
        <v>783</v>
      </c>
      <c r="O138" s="25" t="s">
        <v>63</v>
      </c>
      <c r="P138" s="25" t="s">
        <v>253</v>
      </c>
      <c r="Q138" s="26"/>
      <c r="R138" s="26"/>
      <c r="S138" s="26"/>
      <c r="T138" s="20"/>
      <c r="U138" s="26"/>
      <c r="V138" s="26"/>
      <c r="W138" s="20"/>
      <c r="X138" s="20"/>
      <c r="Y138" s="20"/>
      <c r="Z138" s="20"/>
      <c r="AA138" s="20"/>
      <c r="AB138" s="20"/>
      <c r="AC138" s="20"/>
      <c r="AD138" s="20"/>
      <c r="AE138" s="20"/>
    </row>
    <row r="139">
      <c r="A139" s="21">
        <v>3.0</v>
      </c>
      <c r="B139" s="22" t="s">
        <v>222</v>
      </c>
      <c r="C139" s="22" t="s">
        <v>487</v>
      </c>
      <c r="I139" s="25" t="s">
        <v>257</v>
      </c>
      <c r="J139" s="25" t="s">
        <v>743</v>
      </c>
      <c r="K139" s="25" t="s">
        <v>71</v>
      </c>
      <c r="L139" s="25" t="s">
        <v>815</v>
      </c>
      <c r="M139" s="25" t="s">
        <v>753</v>
      </c>
      <c r="N139" s="25" t="s">
        <v>754</v>
      </c>
      <c r="O139" s="25" t="s">
        <v>63</v>
      </c>
      <c r="P139" s="25"/>
      <c r="Q139" s="26"/>
      <c r="R139" s="26"/>
      <c r="S139" s="26"/>
      <c r="T139" s="20"/>
      <c r="U139" s="26"/>
      <c r="V139" s="26"/>
      <c r="W139" s="20"/>
      <c r="X139" s="20"/>
      <c r="Y139" s="20"/>
      <c r="Z139" s="20"/>
      <c r="AA139" s="20"/>
      <c r="AB139" s="20"/>
      <c r="AC139" s="20"/>
      <c r="AD139" s="20"/>
      <c r="AE139" s="20"/>
    </row>
    <row r="140">
      <c r="A140" s="21">
        <v>3.0</v>
      </c>
      <c r="B140" s="22" t="s">
        <v>222</v>
      </c>
      <c r="C140" s="22" t="s">
        <v>487</v>
      </c>
      <c r="I140" s="25" t="s">
        <v>535</v>
      </c>
      <c r="J140" s="25" t="s">
        <v>750</v>
      </c>
      <c r="K140" s="25" t="s">
        <v>71</v>
      </c>
      <c r="L140" s="25" t="s">
        <v>520</v>
      </c>
      <c r="M140" s="25" t="s">
        <v>784</v>
      </c>
      <c r="N140" s="25" t="s">
        <v>785</v>
      </c>
      <c r="O140" s="25" t="s">
        <v>63</v>
      </c>
      <c r="P140" s="25"/>
      <c r="Q140" s="26"/>
      <c r="R140" s="26"/>
      <c r="S140" s="26"/>
      <c r="T140" s="20"/>
      <c r="U140" s="26"/>
      <c r="V140" s="26"/>
      <c r="W140" s="20"/>
      <c r="X140" s="20"/>
      <c r="Y140" s="20"/>
      <c r="Z140" s="20"/>
      <c r="AA140" s="20"/>
      <c r="AB140" s="20"/>
      <c r="AC140" s="20"/>
      <c r="AD140" s="20"/>
      <c r="AE140" s="20"/>
    </row>
    <row r="141">
      <c r="A141" s="21">
        <v>3.0</v>
      </c>
      <c r="B141" s="22" t="s">
        <v>222</v>
      </c>
      <c r="C141" s="22" t="s">
        <v>487</v>
      </c>
      <c r="I141" s="25" t="s">
        <v>544</v>
      </c>
      <c r="J141" s="25" t="s">
        <v>743</v>
      </c>
      <c r="K141" s="25" t="s">
        <v>71</v>
      </c>
      <c r="L141" s="25" t="s">
        <v>823</v>
      </c>
      <c r="M141" s="25" t="s">
        <v>755</v>
      </c>
      <c r="N141" s="25" t="s">
        <v>756</v>
      </c>
      <c r="O141" s="25" t="s">
        <v>63</v>
      </c>
      <c r="P141" s="25"/>
      <c r="Q141" s="26"/>
      <c r="R141" s="26"/>
      <c r="S141" s="26"/>
      <c r="T141" s="20"/>
      <c r="U141" s="26"/>
      <c r="V141" s="26"/>
      <c r="W141" s="20"/>
      <c r="X141" s="20"/>
      <c r="Y141" s="20"/>
      <c r="Z141" s="20"/>
      <c r="AA141" s="20"/>
      <c r="AB141" s="20"/>
      <c r="AC141" s="20"/>
      <c r="AD141" s="20"/>
      <c r="AE141" s="20"/>
    </row>
    <row r="142">
      <c r="A142" s="21">
        <v>3.0</v>
      </c>
      <c r="B142" s="22" t="s">
        <v>222</v>
      </c>
      <c r="C142" s="22" t="s">
        <v>487</v>
      </c>
      <c r="I142" s="25" t="s">
        <v>475</v>
      </c>
      <c r="J142" s="25" t="s">
        <v>750</v>
      </c>
      <c r="K142" s="25" t="s">
        <v>71</v>
      </c>
      <c r="L142" s="25" t="s">
        <v>823</v>
      </c>
      <c r="M142" s="25" t="s">
        <v>61</v>
      </c>
      <c r="N142" s="25" t="s">
        <v>786</v>
      </c>
      <c r="O142" s="25" t="s">
        <v>63</v>
      </c>
      <c r="P142" s="25"/>
      <c r="Q142" s="26"/>
      <c r="R142" s="26"/>
      <c r="S142" s="26"/>
      <c r="T142" s="20"/>
      <c r="U142" s="26"/>
      <c r="V142" s="26"/>
      <c r="W142" s="20"/>
      <c r="X142" s="20"/>
      <c r="Y142" s="20"/>
      <c r="Z142" s="20"/>
      <c r="AA142" s="20"/>
      <c r="AB142" s="20"/>
      <c r="AC142" s="20"/>
      <c r="AD142" s="20"/>
      <c r="AE142" s="20"/>
    </row>
    <row r="143">
      <c r="A143" s="21">
        <v>3.0</v>
      </c>
      <c r="B143" s="22" t="s">
        <v>222</v>
      </c>
      <c r="C143" s="22" t="s">
        <v>487</v>
      </c>
      <c r="I143" s="25" t="s">
        <v>265</v>
      </c>
      <c r="J143" s="25" t="s">
        <v>743</v>
      </c>
      <c r="K143" s="25" t="s">
        <v>71</v>
      </c>
      <c r="L143" s="25" t="s">
        <v>520</v>
      </c>
      <c r="M143" s="25" t="s">
        <v>757</v>
      </c>
      <c r="N143" s="25" t="s">
        <v>758</v>
      </c>
      <c r="O143" s="25" t="s">
        <v>63</v>
      </c>
      <c r="P143" s="25"/>
      <c r="Q143" s="26"/>
      <c r="R143" s="26"/>
      <c r="S143" s="26"/>
      <c r="T143" s="20"/>
      <c r="U143" s="26"/>
      <c r="V143" s="26"/>
      <c r="W143" s="20"/>
      <c r="X143" s="20"/>
      <c r="Y143" s="20"/>
      <c r="Z143" s="20"/>
      <c r="AA143" s="20"/>
      <c r="AB143" s="20"/>
      <c r="AC143" s="20"/>
      <c r="AD143" s="20"/>
      <c r="AE143" s="20"/>
    </row>
    <row r="144">
      <c r="A144" s="21">
        <v>3.0</v>
      </c>
      <c r="B144" s="22" t="s">
        <v>222</v>
      </c>
      <c r="C144" s="22" t="s">
        <v>487</v>
      </c>
      <c r="I144" s="25" t="s">
        <v>314</v>
      </c>
      <c r="J144" s="25" t="s">
        <v>743</v>
      </c>
      <c r="K144" s="25" t="s">
        <v>71</v>
      </c>
      <c r="L144" s="25" t="s">
        <v>832</v>
      </c>
      <c r="M144" s="25" t="s">
        <v>757</v>
      </c>
      <c r="N144" s="25" t="s">
        <v>758</v>
      </c>
      <c r="O144" s="25" t="s">
        <v>63</v>
      </c>
      <c r="P144" s="25"/>
      <c r="Q144" s="26"/>
      <c r="R144" s="26"/>
      <c r="S144" s="26"/>
      <c r="T144" s="20"/>
      <c r="U144" s="26"/>
      <c r="V144" s="26"/>
      <c r="W144" s="20"/>
      <c r="X144" s="20"/>
      <c r="Y144" s="20"/>
      <c r="Z144" s="20"/>
      <c r="AA144" s="20"/>
      <c r="AB144" s="20"/>
      <c r="AC144" s="20"/>
      <c r="AD144" s="20"/>
      <c r="AE144" s="20"/>
    </row>
    <row r="145">
      <c r="A145" s="21">
        <v>3.0</v>
      </c>
      <c r="B145" s="22" t="s">
        <v>222</v>
      </c>
      <c r="C145" s="22" t="s">
        <v>487</v>
      </c>
      <c r="I145" s="25" t="s">
        <v>270</v>
      </c>
      <c r="J145" s="25" t="s">
        <v>750</v>
      </c>
      <c r="K145" s="25" t="s">
        <v>71</v>
      </c>
      <c r="L145" s="25" t="s">
        <v>520</v>
      </c>
      <c r="M145" s="25" t="s">
        <v>787</v>
      </c>
      <c r="N145" s="25" t="s">
        <v>788</v>
      </c>
      <c r="O145" s="25" t="s">
        <v>63</v>
      </c>
      <c r="P145" s="25"/>
      <c r="Q145" s="26"/>
      <c r="R145" s="26"/>
      <c r="S145" s="26"/>
      <c r="T145" s="20"/>
      <c r="U145" s="26"/>
      <c r="V145" s="26"/>
      <c r="W145" s="20"/>
      <c r="X145" s="20"/>
      <c r="Y145" s="20"/>
      <c r="Z145" s="20"/>
      <c r="AA145" s="20"/>
      <c r="AB145" s="20"/>
      <c r="AC145" s="20"/>
      <c r="AD145" s="20"/>
      <c r="AE145" s="20"/>
    </row>
    <row r="146">
      <c r="A146" s="21">
        <v>3.0</v>
      </c>
      <c r="B146" s="22" t="s">
        <v>222</v>
      </c>
      <c r="C146" s="22" t="s">
        <v>487</v>
      </c>
      <c r="I146" s="25" t="s">
        <v>308</v>
      </c>
      <c r="J146" s="25" t="s">
        <v>750</v>
      </c>
      <c r="K146" s="25" t="s">
        <v>71</v>
      </c>
      <c r="L146" s="25" t="s">
        <v>842</v>
      </c>
      <c r="M146" s="25" t="s">
        <v>310</v>
      </c>
      <c r="N146" s="25" t="s">
        <v>311</v>
      </c>
      <c r="O146" s="25" t="s">
        <v>63</v>
      </c>
      <c r="P146" s="25"/>
      <c r="Q146" s="26"/>
      <c r="R146" s="26"/>
      <c r="S146" s="26"/>
      <c r="T146" s="20"/>
      <c r="U146" s="26"/>
      <c r="V146" s="26"/>
      <c r="W146" s="20"/>
      <c r="X146" s="20"/>
      <c r="Y146" s="20"/>
      <c r="Z146" s="20"/>
      <c r="AA146" s="20"/>
      <c r="AB146" s="20"/>
      <c r="AC146" s="20"/>
      <c r="AD146" s="20"/>
      <c r="AE146" s="20"/>
    </row>
    <row r="147">
      <c r="A147" s="21">
        <v>3.0</v>
      </c>
      <c r="B147" s="22" t="s">
        <v>222</v>
      </c>
      <c r="C147" s="22" t="s">
        <v>487</v>
      </c>
      <c r="I147" s="25" t="s">
        <v>586</v>
      </c>
      <c r="J147" s="25" t="s">
        <v>750</v>
      </c>
      <c r="K147" s="25" t="s">
        <v>71</v>
      </c>
      <c r="L147" s="25" t="s">
        <v>848</v>
      </c>
      <c r="M147" s="25" t="s">
        <v>61</v>
      </c>
      <c r="N147" s="25" t="s">
        <v>791</v>
      </c>
      <c r="O147" s="25" t="s">
        <v>63</v>
      </c>
      <c r="P147" s="25"/>
      <c r="Q147" s="26"/>
      <c r="R147" s="26"/>
      <c r="S147" s="26"/>
      <c r="T147" s="20"/>
      <c r="U147" s="26"/>
      <c r="V147" s="26"/>
      <c r="W147" s="20"/>
      <c r="X147" s="20"/>
      <c r="Y147" s="20"/>
      <c r="Z147" s="20"/>
      <c r="AA147" s="20"/>
      <c r="AB147" s="20"/>
      <c r="AC147" s="20"/>
      <c r="AD147" s="20"/>
      <c r="AE147" s="20"/>
    </row>
    <row r="148">
      <c r="A148" s="21">
        <v>3.0</v>
      </c>
      <c r="B148" s="22" t="s">
        <v>222</v>
      </c>
      <c r="C148" s="22" t="s">
        <v>487</v>
      </c>
      <c r="I148" s="25" t="s">
        <v>593</v>
      </c>
      <c r="J148" s="25" t="s">
        <v>750</v>
      </c>
      <c r="K148" s="25" t="s">
        <v>71</v>
      </c>
      <c r="L148" s="25" t="s">
        <v>854</v>
      </c>
      <c r="M148" s="25" t="s">
        <v>61</v>
      </c>
      <c r="N148" s="25" t="s">
        <v>792</v>
      </c>
      <c r="O148" s="25" t="s">
        <v>63</v>
      </c>
      <c r="P148" s="25"/>
      <c r="Q148" s="26"/>
      <c r="R148" s="26"/>
      <c r="S148" s="26"/>
      <c r="T148" s="20"/>
      <c r="U148" s="26"/>
      <c r="V148" s="26"/>
      <c r="W148" s="20"/>
      <c r="X148" s="20"/>
      <c r="Y148" s="20"/>
      <c r="Z148" s="20"/>
      <c r="AA148" s="20"/>
      <c r="AB148" s="20"/>
      <c r="AC148" s="20"/>
      <c r="AD148" s="20"/>
      <c r="AE148" s="20"/>
    </row>
    <row r="149">
      <c r="A149" s="21">
        <v>3.0</v>
      </c>
      <c r="B149" s="22" t="s">
        <v>222</v>
      </c>
      <c r="C149" s="22" t="s">
        <v>487</v>
      </c>
      <c r="I149" s="25" t="s">
        <v>605</v>
      </c>
      <c r="J149" s="25" t="s">
        <v>743</v>
      </c>
      <c r="K149" s="25" t="s">
        <v>71</v>
      </c>
      <c r="L149" s="25" t="s">
        <v>615</v>
      </c>
      <c r="M149" s="25" t="s">
        <v>759</v>
      </c>
      <c r="N149" s="25" t="s">
        <v>760</v>
      </c>
      <c r="O149" s="25" t="s">
        <v>63</v>
      </c>
      <c r="P149" s="25" t="s">
        <v>253</v>
      </c>
      <c r="Q149" s="26"/>
      <c r="R149" s="26"/>
      <c r="S149" s="26"/>
      <c r="T149" s="20"/>
      <c r="U149" s="26"/>
      <c r="V149" s="26"/>
      <c r="W149" s="20"/>
      <c r="X149" s="20"/>
      <c r="Y149" s="20"/>
      <c r="Z149" s="20"/>
      <c r="AA149" s="20"/>
      <c r="AB149" s="20"/>
      <c r="AC149" s="20"/>
      <c r="AD149" s="20"/>
      <c r="AE149" s="20"/>
    </row>
    <row r="150">
      <c r="A150" s="21">
        <v>3.0</v>
      </c>
      <c r="B150" s="22" t="s">
        <v>222</v>
      </c>
      <c r="C150" s="22" t="s">
        <v>487</v>
      </c>
      <c r="I150" s="25" t="s">
        <v>375</v>
      </c>
      <c r="J150" s="25" t="s">
        <v>750</v>
      </c>
      <c r="K150" s="25" t="s">
        <v>71</v>
      </c>
      <c r="L150" s="25" t="s">
        <v>615</v>
      </c>
      <c r="M150" s="25" t="s">
        <v>377</v>
      </c>
      <c r="N150" s="25" t="s">
        <v>379</v>
      </c>
      <c r="O150" s="25" t="s">
        <v>63</v>
      </c>
      <c r="P150" s="25" t="s">
        <v>253</v>
      </c>
      <c r="Q150" s="26"/>
      <c r="R150" s="26"/>
      <c r="S150" s="26"/>
      <c r="T150" s="20"/>
      <c r="U150" s="26"/>
      <c r="V150" s="26"/>
      <c r="W150" s="20"/>
      <c r="X150" s="20"/>
      <c r="Y150" s="20"/>
      <c r="Z150" s="20"/>
      <c r="AA150" s="20"/>
      <c r="AB150" s="20"/>
      <c r="AC150" s="20"/>
      <c r="AD150" s="20"/>
      <c r="AE150" s="20"/>
    </row>
    <row r="151">
      <c r="A151" s="21">
        <v>3.0</v>
      </c>
      <c r="B151" s="22" t="s">
        <v>222</v>
      </c>
      <c r="C151" s="22" t="s">
        <v>487</v>
      </c>
      <c r="I151" s="25" t="s">
        <v>350</v>
      </c>
      <c r="J151" s="25" t="s">
        <v>743</v>
      </c>
      <c r="K151" s="25" t="s">
        <v>71</v>
      </c>
      <c r="L151" s="25" t="s">
        <v>615</v>
      </c>
      <c r="M151" s="25" t="s">
        <v>761</v>
      </c>
      <c r="N151" s="25" t="s">
        <v>760</v>
      </c>
      <c r="O151" s="25" t="s">
        <v>63</v>
      </c>
      <c r="P151" s="25"/>
      <c r="Q151" s="26"/>
      <c r="R151" s="26"/>
      <c r="S151" s="26"/>
      <c r="T151" s="20"/>
      <c r="U151" s="26"/>
      <c r="V151" s="26"/>
      <c r="W151" s="20"/>
      <c r="X151" s="20"/>
      <c r="Y151" s="20"/>
      <c r="Z151" s="20"/>
      <c r="AA151" s="20"/>
      <c r="AB151" s="20"/>
      <c r="AC151" s="20"/>
      <c r="AD151" s="20"/>
      <c r="AE151" s="20"/>
    </row>
    <row r="152">
      <c r="A152" s="21">
        <v>3.0</v>
      </c>
      <c r="B152" s="22" t="s">
        <v>222</v>
      </c>
      <c r="C152" s="22" t="s">
        <v>487</v>
      </c>
      <c r="I152" s="25" t="s">
        <v>360</v>
      </c>
      <c r="J152" s="25" t="s">
        <v>750</v>
      </c>
      <c r="K152" s="25" t="s">
        <v>71</v>
      </c>
      <c r="L152" s="25" t="s">
        <v>226</v>
      </c>
      <c r="M152" s="25" t="s">
        <v>361</v>
      </c>
      <c r="N152" s="25" t="s">
        <v>363</v>
      </c>
      <c r="O152" s="25" t="s">
        <v>63</v>
      </c>
      <c r="P152" s="25" t="s">
        <v>52</v>
      </c>
      <c r="Q152" s="26"/>
      <c r="R152" s="26"/>
      <c r="S152" s="26"/>
      <c r="T152" s="22"/>
      <c r="U152" s="26"/>
      <c r="V152" s="26"/>
      <c r="W152" s="20"/>
      <c r="X152" s="20"/>
      <c r="Y152" s="20"/>
      <c r="Z152" s="20"/>
      <c r="AA152" s="20"/>
      <c r="AB152" s="20"/>
      <c r="AC152" s="20"/>
      <c r="AD152" s="20"/>
      <c r="AE152" s="20"/>
    </row>
    <row r="153">
      <c r="A153" s="21">
        <v>3.0</v>
      </c>
      <c r="B153" s="22" t="s">
        <v>222</v>
      </c>
      <c r="C153" s="22" t="s">
        <v>487</v>
      </c>
      <c r="I153" s="25" t="s">
        <v>218</v>
      </c>
      <c r="J153" s="25" t="s">
        <v>750</v>
      </c>
      <c r="K153" s="25" t="s">
        <v>71</v>
      </c>
      <c r="L153" s="25" t="s">
        <v>615</v>
      </c>
      <c r="M153" s="25" t="s">
        <v>61</v>
      </c>
      <c r="N153" s="25" t="s">
        <v>794</v>
      </c>
      <c r="O153" s="25" t="s">
        <v>63</v>
      </c>
      <c r="P153" s="25"/>
      <c r="Q153" s="26"/>
      <c r="R153" s="26"/>
      <c r="S153" s="26"/>
      <c r="T153" s="20"/>
      <c r="U153" s="26"/>
      <c r="V153" s="26"/>
      <c r="W153" s="20"/>
      <c r="X153" s="20"/>
      <c r="Y153" s="20"/>
      <c r="Z153" s="20"/>
      <c r="AA153" s="20"/>
      <c r="AB153" s="20"/>
      <c r="AC153" s="20"/>
      <c r="AD153" s="20"/>
      <c r="AE153" s="20"/>
    </row>
    <row r="154">
      <c r="A154" s="21">
        <v>3.0</v>
      </c>
      <c r="B154" s="20" t="s">
        <v>222</v>
      </c>
      <c r="C154" s="20" t="s">
        <v>487</v>
      </c>
      <c r="I154" s="25" t="s">
        <v>489</v>
      </c>
      <c r="J154" s="25" t="s">
        <v>743</v>
      </c>
      <c r="K154" s="25" t="s">
        <v>71</v>
      </c>
      <c r="L154" s="25" t="s">
        <v>876</v>
      </c>
      <c r="M154" s="20" t="s">
        <v>762</v>
      </c>
      <c r="N154" s="20" t="s">
        <v>763</v>
      </c>
      <c r="O154" s="20" t="s">
        <v>63</v>
      </c>
      <c r="P154" s="20" t="s">
        <v>52</v>
      </c>
      <c r="Q154" s="26"/>
      <c r="R154" s="26"/>
      <c r="S154" s="26"/>
      <c r="T154" s="20"/>
      <c r="U154" s="26"/>
      <c r="V154" s="26"/>
      <c r="W154" s="20"/>
      <c r="X154" s="20"/>
      <c r="Y154" s="20"/>
      <c r="Z154" s="20"/>
      <c r="AA154" s="20"/>
      <c r="AB154" s="20"/>
      <c r="AC154" s="20"/>
      <c r="AD154" s="20"/>
      <c r="AE154" s="20"/>
    </row>
    <row r="155">
      <c r="A155" s="21">
        <v>3.0</v>
      </c>
      <c r="B155" s="20" t="s">
        <v>222</v>
      </c>
      <c r="C155" s="20" t="s">
        <v>487</v>
      </c>
      <c r="I155" s="25" t="s">
        <v>495</v>
      </c>
      <c r="J155" s="25" t="s">
        <v>750</v>
      </c>
      <c r="K155" s="25" t="s">
        <v>71</v>
      </c>
      <c r="L155" s="25" t="s">
        <v>881</v>
      </c>
      <c r="M155" s="20" t="s">
        <v>796</v>
      </c>
      <c r="N155" s="20" t="s">
        <v>797</v>
      </c>
      <c r="O155" s="20" t="s">
        <v>63</v>
      </c>
      <c r="P155" s="20" t="s">
        <v>52</v>
      </c>
      <c r="Q155" s="26"/>
      <c r="R155" s="26"/>
      <c r="S155" s="26"/>
      <c r="T155" s="20"/>
      <c r="U155" s="26"/>
      <c r="V155" s="26"/>
      <c r="W155" s="20"/>
      <c r="X155" s="20"/>
      <c r="Y155" s="20"/>
      <c r="Z155" s="20"/>
      <c r="AA155" s="20"/>
      <c r="AB155" s="20"/>
      <c r="AC155" s="20"/>
      <c r="AD155" s="20"/>
      <c r="AE155" s="20"/>
    </row>
    <row r="156">
      <c r="A156" s="21">
        <v>3.0</v>
      </c>
      <c r="B156" s="20" t="s">
        <v>222</v>
      </c>
      <c r="C156" s="20" t="s">
        <v>487</v>
      </c>
      <c r="I156" s="25" t="s">
        <v>501</v>
      </c>
      <c r="J156" s="25" t="s">
        <v>750</v>
      </c>
      <c r="K156" s="25" t="s">
        <v>71</v>
      </c>
      <c r="L156" s="25" t="s">
        <v>673</v>
      </c>
      <c r="M156" s="20" t="s">
        <v>798</v>
      </c>
      <c r="N156" s="20" t="s">
        <v>799</v>
      </c>
      <c r="O156" s="20" t="s">
        <v>63</v>
      </c>
      <c r="P156" s="20" t="s">
        <v>52</v>
      </c>
      <c r="Q156" s="26"/>
      <c r="R156" s="26"/>
      <c r="S156" s="26"/>
      <c r="T156" s="20"/>
      <c r="U156" s="26"/>
      <c r="V156" s="26"/>
      <c r="W156" s="20"/>
      <c r="X156" s="20"/>
      <c r="Y156" s="20"/>
      <c r="Z156" s="20"/>
      <c r="AA156" s="20"/>
      <c r="AB156" s="20"/>
      <c r="AC156" s="20"/>
      <c r="AD156" s="20"/>
      <c r="AE156" s="20"/>
    </row>
    <row r="157">
      <c r="A157" s="21">
        <v>3.0</v>
      </c>
      <c r="B157" s="20" t="s">
        <v>222</v>
      </c>
      <c r="C157" s="20" t="s">
        <v>487</v>
      </c>
      <c r="I157" s="25" t="s">
        <v>278</v>
      </c>
      <c r="J157" s="25" t="s">
        <v>750</v>
      </c>
      <c r="K157" s="25" t="s">
        <v>71</v>
      </c>
      <c r="L157" s="25" t="s">
        <v>673</v>
      </c>
      <c r="M157" s="20" t="s">
        <v>61</v>
      </c>
      <c r="N157" s="20" t="s">
        <v>279</v>
      </c>
      <c r="O157" s="20" t="s">
        <v>63</v>
      </c>
      <c r="P157" s="20" t="s">
        <v>52</v>
      </c>
      <c r="Q157" s="26"/>
      <c r="R157" s="26"/>
      <c r="S157" s="26"/>
      <c r="T157" s="20"/>
      <c r="U157" s="26"/>
      <c r="V157" s="26"/>
      <c r="W157" s="20"/>
      <c r="X157" s="20"/>
      <c r="Y157" s="20"/>
      <c r="Z157" s="20"/>
      <c r="AA157" s="20"/>
      <c r="AB157" s="20"/>
      <c r="AC157" s="20"/>
      <c r="AD157" s="20"/>
      <c r="AE157" s="20"/>
    </row>
    <row r="158">
      <c r="A158" s="21">
        <v>3.0</v>
      </c>
      <c r="B158" s="20" t="s">
        <v>222</v>
      </c>
      <c r="C158" s="20" t="s">
        <v>487</v>
      </c>
      <c r="I158" s="25" t="s">
        <v>506</v>
      </c>
      <c r="J158" s="25" t="s">
        <v>750</v>
      </c>
      <c r="K158" s="25" t="s">
        <v>71</v>
      </c>
      <c r="L158" s="25" t="s">
        <v>709</v>
      </c>
      <c r="M158" s="20" t="s">
        <v>801</v>
      </c>
      <c r="N158" s="20" t="s">
        <v>802</v>
      </c>
      <c r="O158" s="20" t="s">
        <v>63</v>
      </c>
      <c r="P158" s="20" t="s">
        <v>52</v>
      </c>
      <c r="Q158" s="26"/>
      <c r="R158" s="26"/>
      <c r="S158" s="26"/>
      <c r="T158" s="20"/>
      <c r="U158" s="26"/>
      <c r="V158" s="26"/>
      <c r="W158" s="20"/>
      <c r="X158" s="20"/>
      <c r="Y158" s="20"/>
      <c r="Z158" s="20"/>
      <c r="AA158" s="20"/>
      <c r="AB158" s="20"/>
      <c r="AC158" s="20"/>
      <c r="AD158" s="20"/>
      <c r="AE158" s="20"/>
    </row>
    <row r="159">
      <c r="A159" s="21">
        <v>3.0</v>
      </c>
      <c r="B159" s="20" t="s">
        <v>222</v>
      </c>
      <c r="C159" s="20" t="s">
        <v>487</v>
      </c>
      <c r="I159" s="25" t="s">
        <v>530</v>
      </c>
      <c r="J159" s="25" t="s">
        <v>750</v>
      </c>
      <c r="K159" s="25" t="s">
        <v>71</v>
      </c>
      <c r="L159" s="25" t="s">
        <v>702</v>
      </c>
      <c r="M159" s="20" t="s">
        <v>804</v>
      </c>
      <c r="N159" s="20" t="s">
        <v>805</v>
      </c>
      <c r="O159" s="20" t="s">
        <v>63</v>
      </c>
      <c r="P159" s="20" t="s">
        <v>52</v>
      </c>
      <c r="Q159" s="26"/>
      <c r="R159" s="26"/>
      <c r="S159" s="26"/>
      <c r="T159" s="20"/>
      <c r="U159" s="26"/>
      <c r="V159" s="26"/>
      <c r="W159" s="20"/>
      <c r="X159" s="20"/>
      <c r="Y159" s="20"/>
      <c r="Z159" s="20"/>
      <c r="AA159" s="20"/>
      <c r="AB159" s="20"/>
      <c r="AC159" s="20"/>
      <c r="AD159" s="20"/>
      <c r="AE159" s="20"/>
    </row>
    <row r="160">
      <c r="A160" s="21">
        <v>3.0</v>
      </c>
      <c r="B160" s="20" t="s">
        <v>222</v>
      </c>
      <c r="C160" s="20" t="s">
        <v>487</v>
      </c>
      <c r="I160" s="25" t="s">
        <v>283</v>
      </c>
      <c r="J160" s="25" t="s">
        <v>743</v>
      </c>
      <c r="K160" s="25" t="s">
        <v>71</v>
      </c>
      <c r="L160" s="25" t="s">
        <v>702</v>
      </c>
      <c r="M160" s="20" t="s">
        <v>764</v>
      </c>
      <c r="N160" s="20" t="s">
        <v>765</v>
      </c>
      <c r="O160" s="20" t="s">
        <v>63</v>
      </c>
      <c r="P160" s="20" t="s">
        <v>52</v>
      </c>
      <c r="Q160" s="26"/>
      <c r="R160" s="26"/>
      <c r="S160" s="26"/>
      <c r="T160" s="20"/>
      <c r="U160" s="26"/>
      <c r="V160" s="26"/>
      <c r="W160" s="20"/>
      <c r="X160" s="20"/>
      <c r="Y160" s="20"/>
      <c r="Z160" s="20"/>
      <c r="AA160" s="20"/>
      <c r="AB160" s="20"/>
      <c r="AC160" s="20"/>
      <c r="AD160" s="20"/>
      <c r="AE160" s="20"/>
    </row>
    <row r="161">
      <c r="A161" s="21">
        <v>3.0</v>
      </c>
      <c r="B161" s="20" t="s">
        <v>222</v>
      </c>
      <c r="C161" s="20" t="s">
        <v>487</v>
      </c>
      <c r="I161" s="25" t="s">
        <v>541</v>
      </c>
      <c r="J161" s="25" t="s">
        <v>750</v>
      </c>
      <c r="K161" s="25" t="s">
        <v>71</v>
      </c>
      <c r="L161" s="25" t="s">
        <v>673</v>
      </c>
      <c r="M161" s="20" t="s">
        <v>61</v>
      </c>
      <c r="N161" s="20" t="s">
        <v>806</v>
      </c>
      <c r="O161" s="20" t="s">
        <v>63</v>
      </c>
      <c r="P161" s="20" t="s">
        <v>52</v>
      </c>
      <c r="Q161" s="26"/>
      <c r="R161" s="26"/>
      <c r="S161" s="26"/>
      <c r="T161" s="20"/>
      <c r="U161" s="26"/>
      <c r="V161" s="26"/>
      <c r="W161" s="20"/>
      <c r="X161" s="20"/>
      <c r="Y161" s="20"/>
      <c r="Z161" s="20"/>
      <c r="AA161" s="20"/>
      <c r="AB161" s="20"/>
      <c r="AC161" s="20"/>
      <c r="AD161" s="20"/>
      <c r="AE161" s="20"/>
    </row>
    <row r="162">
      <c r="A162" s="21">
        <v>3.0</v>
      </c>
      <c r="B162" s="20" t="s">
        <v>222</v>
      </c>
      <c r="C162" s="20" t="s">
        <v>487</v>
      </c>
      <c r="I162" s="25" t="s">
        <v>704</v>
      </c>
      <c r="J162" s="25" t="s">
        <v>743</v>
      </c>
      <c r="K162" s="25" t="s">
        <v>71</v>
      </c>
      <c r="L162" s="25" t="s">
        <v>910</v>
      </c>
      <c r="M162" s="20" t="s">
        <v>766</v>
      </c>
      <c r="N162" s="20" t="s">
        <v>767</v>
      </c>
      <c r="O162" s="20" t="s">
        <v>63</v>
      </c>
      <c r="P162" s="20" t="s">
        <v>52</v>
      </c>
      <c r="Q162" s="26"/>
      <c r="R162" s="26"/>
      <c r="S162" s="26"/>
      <c r="T162" s="20"/>
      <c r="U162" s="26"/>
      <c r="V162" s="26"/>
      <c r="W162" s="20"/>
      <c r="X162" s="20"/>
      <c r="Y162" s="20"/>
      <c r="Z162" s="20"/>
      <c r="AA162" s="20"/>
      <c r="AB162" s="20"/>
      <c r="AC162" s="20"/>
      <c r="AD162" s="20"/>
      <c r="AE162" s="20"/>
    </row>
    <row r="163">
      <c r="A163" s="21">
        <v>3.0</v>
      </c>
      <c r="B163" s="20" t="s">
        <v>222</v>
      </c>
      <c r="C163" s="20" t="s">
        <v>487</v>
      </c>
      <c r="I163" s="25" t="s">
        <v>706</v>
      </c>
      <c r="J163" s="25" t="s">
        <v>750</v>
      </c>
      <c r="K163" s="25" t="s">
        <v>71</v>
      </c>
      <c r="L163" s="25" t="s">
        <v>910</v>
      </c>
      <c r="M163" s="20" t="s">
        <v>807</v>
      </c>
      <c r="N163" s="20" t="s">
        <v>809</v>
      </c>
      <c r="O163" s="20" t="s">
        <v>63</v>
      </c>
      <c r="P163" s="20" t="s">
        <v>52</v>
      </c>
      <c r="Q163" s="26"/>
      <c r="R163" s="26"/>
      <c r="S163" s="26"/>
      <c r="T163" s="20"/>
      <c r="U163" s="26"/>
      <c r="V163" s="26"/>
      <c r="W163" s="20"/>
      <c r="X163" s="20"/>
      <c r="Y163" s="20"/>
      <c r="Z163" s="20"/>
      <c r="AA163" s="20"/>
      <c r="AB163" s="20"/>
      <c r="AC163" s="20"/>
      <c r="AD163" s="20"/>
      <c r="AE163" s="20"/>
    </row>
    <row r="164">
      <c r="A164" s="21">
        <v>3.0</v>
      </c>
      <c r="B164" s="20" t="s">
        <v>222</v>
      </c>
      <c r="C164" s="20" t="s">
        <v>487</v>
      </c>
      <c r="I164" s="25" t="s">
        <v>552</v>
      </c>
      <c r="J164" s="25" t="s">
        <v>750</v>
      </c>
      <c r="K164" s="25" t="s">
        <v>71</v>
      </c>
      <c r="L164" s="25" t="s">
        <v>702</v>
      </c>
      <c r="M164" s="20" t="s">
        <v>810</v>
      </c>
      <c r="N164" s="20" t="s">
        <v>811</v>
      </c>
      <c r="O164" s="20" t="s">
        <v>63</v>
      </c>
      <c r="P164" s="20" t="s">
        <v>52</v>
      </c>
      <c r="Q164" s="26"/>
      <c r="R164" s="26"/>
      <c r="S164" s="26"/>
      <c r="T164" s="20"/>
      <c r="U164" s="26"/>
      <c r="V164" s="26"/>
      <c r="W164" s="20"/>
      <c r="X164" s="20"/>
      <c r="Y164" s="20"/>
      <c r="Z164" s="20"/>
      <c r="AA164" s="20"/>
      <c r="AB164" s="20"/>
      <c r="AC164" s="20"/>
      <c r="AD164" s="20"/>
      <c r="AE164" s="20"/>
    </row>
    <row r="165">
      <c r="A165" s="21">
        <v>3.0</v>
      </c>
      <c r="B165" s="20" t="s">
        <v>222</v>
      </c>
      <c r="C165" s="20" t="s">
        <v>487</v>
      </c>
      <c r="I165" s="25" t="s">
        <v>289</v>
      </c>
      <c r="J165" s="25" t="s">
        <v>750</v>
      </c>
      <c r="K165" s="25" t="s">
        <v>71</v>
      </c>
      <c r="L165" s="25" t="s">
        <v>709</v>
      </c>
      <c r="M165" s="20" t="s">
        <v>61</v>
      </c>
      <c r="N165" s="20" t="s">
        <v>291</v>
      </c>
      <c r="O165" s="20" t="s">
        <v>63</v>
      </c>
      <c r="P165" s="20" t="s">
        <v>52</v>
      </c>
      <c r="Q165" s="26"/>
      <c r="R165" s="26"/>
      <c r="S165" s="26"/>
      <c r="T165" s="20"/>
      <c r="U165" s="26"/>
      <c r="V165" s="26"/>
      <c r="W165" s="20"/>
      <c r="X165" s="20"/>
      <c r="Y165" s="20"/>
      <c r="Z165" s="20"/>
      <c r="AA165" s="20"/>
      <c r="AB165" s="20"/>
      <c r="AC165" s="20"/>
      <c r="AD165" s="20"/>
      <c r="AE165" s="20"/>
    </row>
    <row r="166">
      <c r="A166" s="21">
        <v>3.0</v>
      </c>
      <c r="B166" s="20" t="s">
        <v>222</v>
      </c>
      <c r="C166" s="20" t="s">
        <v>487</v>
      </c>
      <c r="I166" s="25" t="s">
        <v>296</v>
      </c>
      <c r="J166" s="25" t="s">
        <v>750</v>
      </c>
      <c r="K166" s="25" t="s">
        <v>71</v>
      </c>
      <c r="L166" s="25" t="s">
        <v>710</v>
      </c>
      <c r="M166" s="20" t="s">
        <v>812</v>
      </c>
      <c r="N166" s="20" t="s">
        <v>813</v>
      </c>
      <c r="O166" s="20" t="s">
        <v>63</v>
      </c>
      <c r="P166" s="20" t="s">
        <v>52</v>
      </c>
      <c r="Q166" s="26"/>
      <c r="R166" s="26"/>
      <c r="S166" s="26"/>
      <c r="T166" s="20"/>
      <c r="U166" s="26"/>
      <c r="V166" s="26"/>
      <c r="W166" s="20"/>
      <c r="X166" s="20"/>
      <c r="Y166" s="20"/>
      <c r="Z166" s="20"/>
      <c r="AA166" s="20"/>
      <c r="AB166" s="20"/>
      <c r="AC166" s="20"/>
      <c r="AD166" s="20"/>
      <c r="AE166" s="20"/>
    </row>
    <row r="167">
      <c r="A167" s="21">
        <v>3.0</v>
      </c>
      <c r="B167" s="20" t="s">
        <v>222</v>
      </c>
      <c r="C167" s="20" t="s">
        <v>487</v>
      </c>
      <c r="I167" s="25" t="s">
        <v>302</v>
      </c>
      <c r="J167" s="25" t="s">
        <v>743</v>
      </c>
      <c r="K167" s="25" t="s">
        <v>71</v>
      </c>
      <c r="L167" s="25" t="s">
        <v>709</v>
      </c>
      <c r="M167" s="20" t="s">
        <v>768</v>
      </c>
      <c r="N167" s="20" t="s">
        <v>769</v>
      </c>
      <c r="O167" s="20" t="s">
        <v>63</v>
      </c>
      <c r="P167" s="20" t="s">
        <v>52</v>
      </c>
      <c r="Q167" s="26"/>
      <c r="R167" s="26"/>
      <c r="S167" s="26"/>
      <c r="T167" s="20"/>
      <c r="U167" s="26"/>
      <c r="V167" s="26"/>
      <c r="W167" s="20"/>
      <c r="X167" s="20"/>
      <c r="Y167" s="20"/>
      <c r="Z167" s="20"/>
      <c r="AA167" s="20"/>
      <c r="AB167" s="20"/>
      <c r="AC167" s="20"/>
      <c r="AD167" s="20"/>
      <c r="AE167" s="20"/>
    </row>
    <row r="168">
      <c r="A168" s="21">
        <v>3.0</v>
      </c>
      <c r="B168" s="20" t="s">
        <v>222</v>
      </c>
      <c r="C168" s="20" t="s">
        <v>487</v>
      </c>
      <c r="I168" s="25" t="s">
        <v>561</v>
      </c>
      <c r="J168" s="25" t="s">
        <v>750</v>
      </c>
      <c r="K168" s="25" t="s">
        <v>71</v>
      </c>
      <c r="L168" s="25" t="s">
        <v>729</v>
      </c>
      <c r="M168" s="20" t="s">
        <v>814</v>
      </c>
      <c r="N168" s="20" t="s">
        <v>816</v>
      </c>
      <c r="O168" s="20" t="s">
        <v>63</v>
      </c>
      <c r="P168" s="20" t="s">
        <v>52</v>
      </c>
      <c r="Q168" s="26"/>
      <c r="R168" s="26"/>
      <c r="S168" s="26"/>
      <c r="T168" s="20"/>
      <c r="U168" s="26"/>
      <c r="V168" s="26"/>
      <c r="W168" s="20"/>
      <c r="X168" s="20"/>
      <c r="Y168" s="20"/>
      <c r="Z168" s="20"/>
      <c r="AA168" s="20"/>
      <c r="AB168" s="20"/>
      <c r="AC168" s="20"/>
      <c r="AD168" s="20"/>
      <c r="AE168" s="20"/>
    </row>
    <row r="169">
      <c r="A169" s="21">
        <v>3.0</v>
      </c>
      <c r="B169" s="20" t="s">
        <v>222</v>
      </c>
      <c r="C169" s="20" t="s">
        <v>487</v>
      </c>
      <c r="I169" s="25" t="s">
        <v>570</v>
      </c>
      <c r="J169" s="25" t="s">
        <v>750</v>
      </c>
      <c r="K169" s="25" t="s">
        <v>71</v>
      </c>
      <c r="L169" s="25" t="s">
        <v>943</v>
      </c>
      <c r="M169" s="20" t="s">
        <v>817</v>
      </c>
      <c r="N169" s="20" t="s">
        <v>818</v>
      </c>
      <c r="O169" s="20" t="s">
        <v>63</v>
      </c>
      <c r="P169" s="20" t="s">
        <v>52</v>
      </c>
      <c r="Q169" s="26"/>
      <c r="R169" s="26"/>
      <c r="S169" s="26"/>
      <c r="T169" s="20"/>
      <c r="U169" s="26"/>
      <c r="V169" s="26"/>
      <c r="W169" s="20"/>
      <c r="X169" s="20"/>
      <c r="Y169" s="20"/>
      <c r="Z169" s="20"/>
      <c r="AA169" s="20"/>
      <c r="AB169" s="20"/>
      <c r="AC169" s="20"/>
      <c r="AD169" s="20"/>
      <c r="AE169" s="20"/>
    </row>
    <row r="170">
      <c r="A170" s="21">
        <v>3.0</v>
      </c>
      <c r="B170" s="20" t="s">
        <v>222</v>
      </c>
      <c r="C170" s="20" t="s">
        <v>487</v>
      </c>
      <c r="I170" s="25" t="s">
        <v>717</v>
      </c>
      <c r="J170" s="25" t="s">
        <v>750</v>
      </c>
      <c r="K170" s="25" t="s">
        <v>71</v>
      </c>
      <c r="L170" s="25" t="s">
        <v>943</v>
      </c>
      <c r="M170" s="20" t="s">
        <v>819</v>
      </c>
      <c r="N170" s="20" t="s">
        <v>820</v>
      </c>
      <c r="O170" s="20" t="s">
        <v>63</v>
      </c>
      <c r="P170" s="20" t="s">
        <v>52</v>
      </c>
      <c r="Q170" s="26"/>
      <c r="R170" s="26"/>
      <c r="S170" s="26"/>
      <c r="T170" s="20"/>
      <c r="U170" s="26"/>
      <c r="V170" s="26"/>
      <c r="W170" s="20"/>
      <c r="X170" s="20"/>
      <c r="Y170" s="20"/>
      <c r="Z170" s="20"/>
      <c r="AA170" s="20"/>
      <c r="AB170" s="20"/>
      <c r="AC170" s="20"/>
      <c r="AD170" s="20"/>
      <c r="AE170" s="20"/>
    </row>
    <row r="171">
      <c r="A171" s="21">
        <v>3.0</v>
      </c>
      <c r="B171" s="20" t="s">
        <v>222</v>
      </c>
      <c r="C171" s="20" t="s">
        <v>487</v>
      </c>
      <c r="I171" s="25" t="s">
        <v>724</v>
      </c>
      <c r="J171" s="25" t="s">
        <v>743</v>
      </c>
      <c r="K171" s="25" t="s">
        <v>71</v>
      </c>
      <c r="L171" s="25" t="s">
        <v>292</v>
      </c>
      <c r="M171" s="20" t="s">
        <v>770</v>
      </c>
      <c r="N171" s="20" t="s">
        <v>771</v>
      </c>
      <c r="O171" s="20" t="s">
        <v>63</v>
      </c>
      <c r="P171" s="20" t="s">
        <v>52</v>
      </c>
      <c r="Q171" s="26"/>
      <c r="R171" s="26"/>
      <c r="S171" s="26"/>
      <c r="T171" s="22"/>
      <c r="U171" s="26"/>
      <c r="V171" s="26"/>
      <c r="W171" s="20"/>
      <c r="X171" s="20"/>
      <c r="Y171" s="20"/>
      <c r="Z171" s="20"/>
      <c r="AA171" s="20"/>
      <c r="AB171" s="20"/>
      <c r="AC171" s="20"/>
      <c r="AD171" s="20"/>
      <c r="AE171" s="20"/>
    </row>
    <row r="172">
      <c r="A172" s="21">
        <v>3.0</v>
      </c>
      <c r="B172" s="20" t="s">
        <v>222</v>
      </c>
      <c r="C172" s="20" t="s">
        <v>487</v>
      </c>
      <c r="I172" s="25" t="s">
        <v>403</v>
      </c>
      <c r="J172" s="25" t="s">
        <v>750</v>
      </c>
      <c r="K172" s="25" t="s">
        <v>71</v>
      </c>
      <c r="L172" s="25" t="s">
        <v>718</v>
      </c>
      <c r="M172" s="20" t="s">
        <v>404</v>
      </c>
      <c r="N172" s="20" t="s">
        <v>752</v>
      </c>
      <c r="O172" s="20" t="s">
        <v>56</v>
      </c>
      <c r="P172" s="20" t="s">
        <v>52</v>
      </c>
      <c r="Q172" s="26"/>
      <c r="R172" s="26"/>
      <c r="S172" s="26"/>
      <c r="T172" s="20"/>
      <c r="U172" s="26"/>
      <c r="V172" s="26"/>
      <c r="W172" s="20"/>
      <c r="X172" s="20"/>
      <c r="Y172" s="20"/>
      <c r="Z172" s="20"/>
      <c r="AA172" s="20"/>
      <c r="AB172" s="20"/>
      <c r="AC172" s="20"/>
      <c r="AD172" s="20"/>
      <c r="AE172" s="20"/>
    </row>
    <row r="173">
      <c r="A173" s="21">
        <v>3.0</v>
      </c>
      <c r="B173" s="20" t="s">
        <v>222</v>
      </c>
      <c r="C173" s="20" t="s">
        <v>487</v>
      </c>
      <c r="I173" s="25" t="s">
        <v>582</v>
      </c>
      <c r="J173" s="25" t="s">
        <v>743</v>
      </c>
      <c r="K173" s="25" t="s">
        <v>71</v>
      </c>
      <c r="L173" s="25" t="s">
        <v>943</v>
      </c>
      <c r="M173" s="20" t="s">
        <v>772</v>
      </c>
      <c r="N173" s="20" t="s">
        <v>773</v>
      </c>
      <c r="O173" s="20" t="s">
        <v>63</v>
      </c>
      <c r="P173" s="20" t="s">
        <v>52</v>
      </c>
      <c r="Q173" s="26"/>
      <c r="R173" s="26"/>
      <c r="S173" s="26"/>
      <c r="T173" s="20"/>
      <c r="U173" s="26"/>
      <c r="V173" s="26"/>
      <c r="W173" s="20"/>
      <c r="X173" s="20"/>
      <c r="Y173" s="20"/>
      <c r="Z173" s="20"/>
      <c r="AA173" s="20"/>
      <c r="AB173" s="20"/>
      <c r="AC173" s="20"/>
      <c r="AD173" s="20"/>
      <c r="AE173" s="20"/>
    </row>
    <row r="174">
      <c r="A174" s="21">
        <v>3.0</v>
      </c>
      <c r="B174" s="20" t="s">
        <v>222</v>
      </c>
      <c r="C174" s="20" t="s">
        <v>487</v>
      </c>
      <c r="I174" s="25" t="s">
        <v>734</v>
      </c>
      <c r="J174" s="25" t="s">
        <v>743</v>
      </c>
      <c r="K174" s="25" t="s">
        <v>71</v>
      </c>
      <c r="L174" s="25" t="s">
        <v>292</v>
      </c>
      <c r="M174" s="20" t="s">
        <v>774</v>
      </c>
      <c r="N174" s="20" t="s">
        <v>775</v>
      </c>
      <c r="O174" s="20" t="s">
        <v>63</v>
      </c>
      <c r="P174" s="20" t="s">
        <v>52</v>
      </c>
      <c r="Q174" s="26"/>
      <c r="R174" s="26"/>
      <c r="S174" s="26"/>
      <c r="T174" s="22"/>
      <c r="U174" s="26"/>
      <c r="V174" s="26"/>
      <c r="W174" s="20"/>
      <c r="X174" s="20"/>
      <c r="Y174" s="20"/>
      <c r="Z174" s="20"/>
      <c r="AA174" s="20"/>
      <c r="AB174" s="20"/>
      <c r="AC174" s="20"/>
      <c r="AD174" s="20"/>
      <c r="AE174" s="20"/>
    </row>
    <row r="175">
      <c r="A175" s="21">
        <v>3.0</v>
      </c>
      <c r="B175" s="20" t="s">
        <v>222</v>
      </c>
      <c r="C175" s="20" t="s">
        <v>487</v>
      </c>
      <c r="I175" s="25" t="s">
        <v>320</v>
      </c>
      <c r="J175" s="25" t="s">
        <v>743</v>
      </c>
      <c r="K175" s="25" t="s">
        <v>71</v>
      </c>
      <c r="L175" s="25" t="s">
        <v>718</v>
      </c>
      <c r="M175" s="20" t="s">
        <v>776</v>
      </c>
      <c r="N175" s="20" t="s">
        <v>777</v>
      </c>
      <c r="O175" s="20" t="s">
        <v>63</v>
      </c>
      <c r="P175" s="20" t="s">
        <v>52</v>
      </c>
      <c r="Q175" s="26"/>
      <c r="R175" s="26"/>
      <c r="S175" s="26"/>
      <c r="T175" s="20"/>
      <c r="U175" s="26"/>
      <c r="V175" s="26"/>
      <c r="W175" s="20"/>
      <c r="X175" s="20"/>
      <c r="Y175" s="20"/>
      <c r="Z175" s="20"/>
      <c r="AA175" s="20"/>
      <c r="AB175" s="20"/>
      <c r="AC175" s="20"/>
      <c r="AD175" s="20"/>
      <c r="AE175" s="20"/>
    </row>
    <row r="176">
      <c r="A176" s="21">
        <v>3.0</v>
      </c>
      <c r="B176" s="20" t="s">
        <v>222</v>
      </c>
      <c r="C176" s="20" t="s">
        <v>487</v>
      </c>
      <c r="I176" s="25" t="s">
        <v>720</v>
      </c>
      <c r="J176" s="25" t="s">
        <v>750</v>
      </c>
      <c r="K176" s="25" t="s">
        <v>71</v>
      </c>
      <c r="L176" s="25" t="s">
        <v>742</v>
      </c>
      <c r="M176" s="20" t="s">
        <v>821</v>
      </c>
      <c r="N176" s="20" t="s">
        <v>822</v>
      </c>
      <c r="O176" s="20" t="s">
        <v>63</v>
      </c>
      <c r="P176" s="20" t="s">
        <v>52</v>
      </c>
      <c r="Q176" s="26"/>
      <c r="R176" s="26"/>
      <c r="S176" s="26"/>
      <c r="T176" s="20"/>
      <c r="U176" s="26"/>
      <c r="V176" s="26"/>
      <c r="W176" s="20"/>
      <c r="X176" s="20"/>
      <c r="Y176" s="20"/>
      <c r="Z176" s="20"/>
      <c r="AA176" s="20"/>
      <c r="AB176" s="20"/>
      <c r="AC176" s="20"/>
      <c r="AD176" s="20"/>
      <c r="AE176" s="20"/>
    </row>
    <row r="177">
      <c r="A177" s="21">
        <v>3.0</v>
      </c>
      <c r="B177" s="20" t="s">
        <v>222</v>
      </c>
      <c r="C177" s="20" t="s">
        <v>487</v>
      </c>
      <c r="I177" s="25" t="s">
        <v>592</v>
      </c>
      <c r="J177" s="25" t="s">
        <v>750</v>
      </c>
      <c r="K177" s="25" t="s">
        <v>71</v>
      </c>
      <c r="L177" s="25" t="s">
        <v>718</v>
      </c>
      <c r="M177" s="20" t="s">
        <v>61</v>
      </c>
      <c r="N177" s="20" t="s">
        <v>824</v>
      </c>
      <c r="O177" s="20" t="s">
        <v>63</v>
      </c>
      <c r="P177" s="20" t="s">
        <v>52</v>
      </c>
      <c r="Q177" s="26"/>
      <c r="R177" s="26"/>
      <c r="S177" s="26"/>
      <c r="T177" s="20"/>
      <c r="U177" s="26"/>
      <c r="V177" s="26"/>
      <c r="W177" s="20"/>
      <c r="X177" s="20"/>
      <c r="Y177" s="20"/>
      <c r="Z177" s="20"/>
      <c r="AA177" s="20"/>
      <c r="AB177" s="20"/>
      <c r="AC177" s="20"/>
      <c r="AD177" s="20"/>
      <c r="AE177" s="20"/>
    </row>
    <row r="178">
      <c r="A178" s="21">
        <v>3.0</v>
      </c>
      <c r="B178" s="20" t="s">
        <v>222</v>
      </c>
      <c r="C178" s="20" t="s">
        <v>487</v>
      </c>
      <c r="I178" s="25" t="s">
        <v>602</v>
      </c>
      <c r="J178" s="25" t="s">
        <v>750</v>
      </c>
      <c r="K178" s="25" t="s">
        <v>71</v>
      </c>
      <c r="L178" s="25" t="s">
        <v>729</v>
      </c>
      <c r="M178" s="20" t="s">
        <v>825</v>
      </c>
      <c r="N178" s="20" t="s">
        <v>826</v>
      </c>
      <c r="O178" s="20" t="s">
        <v>63</v>
      </c>
      <c r="P178" s="20" t="s">
        <v>52</v>
      </c>
      <c r="Q178" s="26"/>
      <c r="R178" s="26"/>
      <c r="S178" s="26"/>
      <c r="T178" s="20"/>
      <c r="U178" s="26"/>
      <c r="V178" s="26"/>
      <c r="W178" s="20"/>
      <c r="X178" s="20"/>
      <c r="Y178" s="20"/>
      <c r="Z178" s="20"/>
      <c r="AA178" s="20"/>
      <c r="AB178" s="20"/>
      <c r="AC178" s="20"/>
      <c r="AD178" s="20"/>
      <c r="AE178" s="20"/>
    </row>
    <row r="179">
      <c r="A179" s="21">
        <v>3.0</v>
      </c>
      <c r="B179" s="20" t="s">
        <v>222</v>
      </c>
      <c r="C179" s="20" t="s">
        <v>487</v>
      </c>
      <c r="I179" s="25" t="s">
        <v>705</v>
      </c>
      <c r="J179" s="25" t="s">
        <v>743</v>
      </c>
      <c r="K179" s="25" t="s">
        <v>71</v>
      </c>
      <c r="L179" s="25" t="s">
        <v>292</v>
      </c>
      <c r="M179" s="20" t="s">
        <v>778</v>
      </c>
      <c r="N179" s="20" t="s">
        <v>779</v>
      </c>
      <c r="O179" s="20" t="s">
        <v>63</v>
      </c>
      <c r="P179" s="20" t="s">
        <v>52</v>
      </c>
      <c r="Q179" s="26"/>
      <c r="R179" s="26"/>
      <c r="S179" s="26"/>
      <c r="T179" s="22"/>
      <c r="U179" s="26"/>
      <c r="V179" s="26"/>
      <c r="W179" s="20"/>
      <c r="X179" s="20"/>
      <c r="Y179" s="20"/>
      <c r="Z179" s="20"/>
      <c r="AA179" s="20"/>
      <c r="AB179" s="20"/>
      <c r="AC179" s="20"/>
      <c r="AD179" s="20"/>
      <c r="AE179" s="20"/>
    </row>
    <row r="180">
      <c r="A180" s="21">
        <v>3.0</v>
      </c>
      <c r="B180" s="20" t="s">
        <v>222</v>
      </c>
      <c r="C180" s="20" t="s">
        <v>487</v>
      </c>
      <c r="I180" s="25" t="s">
        <v>612</v>
      </c>
      <c r="J180" s="25" t="s">
        <v>750</v>
      </c>
      <c r="K180" s="25" t="s">
        <v>71</v>
      </c>
      <c r="L180" s="25" t="s">
        <v>742</v>
      </c>
      <c r="M180" s="20" t="s">
        <v>827</v>
      </c>
      <c r="N180" s="20" t="s">
        <v>828</v>
      </c>
      <c r="O180" s="20" t="s">
        <v>63</v>
      </c>
      <c r="P180" s="20" t="s">
        <v>524</v>
      </c>
      <c r="Q180" s="26"/>
      <c r="R180" s="26"/>
      <c r="S180" s="26"/>
      <c r="T180" s="20"/>
      <c r="U180" s="26"/>
      <c r="V180" s="26"/>
      <c r="W180" s="20"/>
      <c r="X180" s="20"/>
      <c r="Y180" s="20"/>
      <c r="Z180" s="20"/>
      <c r="AA180" s="20"/>
      <c r="AB180" s="20"/>
      <c r="AC180" s="20"/>
      <c r="AD180" s="20"/>
      <c r="AE180" s="20"/>
    </row>
    <row r="181">
      <c r="A181" s="21">
        <v>3.0</v>
      </c>
      <c r="B181" s="20" t="s">
        <v>222</v>
      </c>
      <c r="C181" s="20" t="s">
        <v>487</v>
      </c>
      <c r="I181" s="25" t="s">
        <v>722</v>
      </c>
      <c r="J181" s="25" t="s">
        <v>743</v>
      </c>
      <c r="K181" s="25" t="s">
        <v>71</v>
      </c>
      <c r="L181" s="25" t="s">
        <v>742</v>
      </c>
      <c r="M181" s="20" t="s">
        <v>780</v>
      </c>
      <c r="N181" s="20" t="s">
        <v>781</v>
      </c>
      <c r="O181" s="20" t="s">
        <v>63</v>
      </c>
      <c r="P181" s="20" t="s">
        <v>52</v>
      </c>
      <c r="Q181" s="26"/>
      <c r="R181" s="26"/>
      <c r="S181" s="26"/>
      <c r="T181" s="20"/>
      <c r="U181" s="26"/>
      <c r="V181" s="26"/>
      <c r="W181" s="20"/>
      <c r="X181" s="20"/>
      <c r="Y181" s="20"/>
      <c r="Z181" s="20"/>
      <c r="AA181" s="20"/>
      <c r="AB181" s="20"/>
      <c r="AC181" s="20"/>
      <c r="AD181" s="20"/>
      <c r="AE181" s="20"/>
    </row>
    <row r="182">
      <c r="A182" s="21">
        <v>4.0</v>
      </c>
      <c r="B182" s="22" t="s">
        <v>270</v>
      </c>
      <c r="C182" s="22" t="s">
        <v>487</v>
      </c>
      <c r="D182" s="23">
        <v>50.0</v>
      </c>
      <c r="E182" s="23">
        <v>3.0</v>
      </c>
      <c r="F182" s="23">
        <v>9.0</v>
      </c>
      <c r="G182" s="23">
        <v>38.0</v>
      </c>
      <c r="H182" s="24" t="s">
        <v>992</v>
      </c>
      <c r="I182" s="25" t="s">
        <v>541</v>
      </c>
      <c r="J182" s="25" t="s">
        <v>829</v>
      </c>
      <c r="K182" s="25" t="s">
        <v>57</v>
      </c>
      <c r="L182" s="25" t="s">
        <v>993</v>
      </c>
      <c r="M182" s="25" t="s">
        <v>61</v>
      </c>
      <c r="N182" s="25" t="s">
        <v>806</v>
      </c>
      <c r="O182" s="25" t="s">
        <v>56</v>
      </c>
      <c r="P182" s="25"/>
      <c r="Q182" s="26"/>
      <c r="R182" s="26"/>
      <c r="S182" s="26"/>
      <c r="T182" s="20"/>
      <c r="U182" s="26"/>
      <c r="V182" s="26"/>
      <c r="W182" s="20"/>
      <c r="X182" s="20"/>
      <c r="Y182" s="20"/>
      <c r="Z182" s="20"/>
      <c r="AA182" s="20"/>
      <c r="AB182" s="20"/>
      <c r="AC182" s="20"/>
      <c r="AD182" s="20"/>
      <c r="AE182" s="20"/>
    </row>
    <row r="183">
      <c r="A183" s="21">
        <v>4.0</v>
      </c>
      <c r="B183" s="22" t="s">
        <v>270</v>
      </c>
      <c r="C183" s="22" t="s">
        <v>487</v>
      </c>
      <c r="I183" s="25" t="s">
        <v>308</v>
      </c>
      <c r="J183" s="25" t="s">
        <v>829</v>
      </c>
      <c r="K183" s="25" t="s">
        <v>57</v>
      </c>
      <c r="L183" s="25" t="s">
        <v>997</v>
      </c>
      <c r="M183" s="25" t="s">
        <v>310</v>
      </c>
      <c r="N183" s="25" t="s">
        <v>830</v>
      </c>
      <c r="O183" s="25" t="s">
        <v>56</v>
      </c>
      <c r="P183" s="25"/>
      <c r="Q183" s="26"/>
      <c r="R183" s="26"/>
      <c r="S183" s="26"/>
      <c r="T183" s="20"/>
      <c r="U183" s="26"/>
      <c r="V183" s="26"/>
      <c r="W183" s="20"/>
      <c r="X183" s="20"/>
      <c r="Y183" s="20"/>
      <c r="Z183" s="20"/>
      <c r="AA183" s="20"/>
      <c r="AB183" s="20"/>
      <c r="AC183" s="20"/>
      <c r="AD183" s="20"/>
      <c r="AE183" s="20"/>
    </row>
    <row r="184">
      <c r="A184" s="21">
        <v>4.0</v>
      </c>
      <c r="B184" s="22" t="s">
        <v>270</v>
      </c>
      <c r="C184" s="22" t="s">
        <v>487</v>
      </c>
      <c r="I184" s="25" t="s">
        <v>720</v>
      </c>
      <c r="J184" s="25" t="s">
        <v>829</v>
      </c>
      <c r="K184" s="25" t="s">
        <v>57</v>
      </c>
      <c r="L184" s="25" t="s">
        <v>1000</v>
      </c>
      <c r="M184" s="25" t="s">
        <v>61</v>
      </c>
      <c r="N184" s="25" t="s">
        <v>831</v>
      </c>
      <c r="O184" s="25" t="s">
        <v>56</v>
      </c>
      <c r="P184" s="25"/>
      <c r="Q184" s="26"/>
      <c r="R184" s="26"/>
      <c r="S184" s="26"/>
      <c r="T184" s="20"/>
      <c r="U184" s="26"/>
      <c r="V184" s="26"/>
      <c r="W184" s="20"/>
      <c r="X184" s="20"/>
      <c r="Y184" s="20"/>
      <c r="Z184" s="20"/>
      <c r="AA184" s="20"/>
      <c r="AB184" s="20"/>
      <c r="AC184" s="20"/>
      <c r="AD184" s="20"/>
      <c r="AE184" s="20"/>
    </row>
    <row r="185">
      <c r="A185" s="21">
        <v>4.0</v>
      </c>
      <c r="B185" s="22" t="s">
        <v>270</v>
      </c>
      <c r="C185" s="22" t="s">
        <v>487</v>
      </c>
      <c r="I185" s="25" t="s">
        <v>833</v>
      </c>
      <c r="J185" s="25" t="s">
        <v>829</v>
      </c>
      <c r="K185" s="25" t="s">
        <v>67</v>
      </c>
      <c r="L185" s="25" t="s">
        <v>1002</v>
      </c>
      <c r="M185" s="25" t="s">
        <v>834</v>
      </c>
      <c r="N185" s="25" t="s">
        <v>835</v>
      </c>
      <c r="O185" s="25" t="s">
        <v>56</v>
      </c>
      <c r="P185" s="25"/>
      <c r="Q185" s="26"/>
      <c r="R185" s="26"/>
      <c r="S185" s="26"/>
      <c r="T185" s="20"/>
      <c r="U185" s="26"/>
      <c r="V185" s="26"/>
      <c r="W185" s="20"/>
      <c r="X185" s="20"/>
      <c r="Y185" s="20"/>
      <c r="Z185" s="20"/>
      <c r="AA185" s="20"/>
      <c r="AB185" s="20"/>
      <c r="AC185" s="20"/>
      <c r="AD185" s="20"/>
      <c r="AE185" s="20"/>
    </row>
    <row r="186">
      <c r="A186" s="21">
        <v>4.0</v>
      </c>
      <c r="B186" s="22" t="s">
        <v>270</v>
      </c>
      <c r="C186" s="22" t="s">
        <v>487</v>
      </c>
      <c r="I186" s="25" t="s">
        <v>716</v>
      </c>
      <c r="J186" s="25" t="s">
        <v>829</v>
      </c>
      <c r="K186" s="25" t="s">
        <v>67</v>
      </c>
      <c r="L186" s="25" t="s">
        <v>1005</v>
      </c>
      <c r="M186" s="25" t="s">
        <v>855</v>
      </c>
      <c r="N186" s="25" t="s">
        <v>856</v>
      </c>
      <c r="O186" s="25" t="s">
        <v>63</v>
      </c>
      <c r="P186" s="25"/>
      <c r="Q186" s="26"/>
      <c r="R186" s="26"/>
      <c r="S186" s="26"/>
      <c r="T186" s="20"/>
      <c r="U186" s="26"/>
      <c r="V186" s="26"/>
      <c r="W186" s="20"/>
      <c r="X186" s="20"/>
      <c r="Y186" s="20"/>
      <c r="Z186" s="20"/>
      <c r="AA186" s="20"/>
      <c r="AB186" s="20"/>
      <c r="AC186" s="20"/>
      <c r="AD186" s="20"/>
      <c r="AE186" s="20"/>
    </row>
    <row r="187">
      <c r="A187" s="21">
        <v>4.0</v>
      </c>
      <c r="B187" s="22" t="s">
        <v>270</v>
      </c>
      <c r="C187" s="22" t="s">
        <v>487</v>
      </c>
      <c r="I187" s="25" t="s">
        <v>341</v>
      </c>
      <c r="J187" s="25" t="s">
        <v>829</v>
      </c>
      <c r="K187" s="25" t="s">
        <v>71</v>
      </c>
      <c r="L187" s="25" t="s">
        <v>1008</v>
      </c>
      <c r="M187" s="25" t="s">
        <v>61</v>
      </c>
      <c r="N187" s="25" t="s">
        <v>857</v>
      </c>
      <c r="O187" s="25" t="s">
        <v>56</v>
      </c>
      <c r="P187" s="25"/>
      <c r="Q187" s="26"/>
      <c r="R187" s="26"/>
      <c r="S187" s="26"/>
      <c r="T187" s="20"/>
      <c r="U187" s="26"/>
      <c r="V187" s="26"/>
      <c r="W187" s="20"/>
      <c r="X187" s="20"/>
      <c r="Y187" s="20"/>
      <c r="Z187" s="20"/>
      <c r="AA187" s="20"/>
      <c r="AB187" s="20"/>
      <c r="AC187" s="20"/>
      <c r="AD187" s="20"/>
      <c r="AE187" s="20"/>
    </row>
    <row r="188">
      <c r="A188" s="21">
        <v>4.0</v>
      </c>
      <c r="B188" s="22" t="s">
        <v>270</v>
      </c>
      <c r="C188" s="22" t="s">
        <v>487</v>
      </c>
      <c r="I188" s="25" t="s">
        <v>278</v>
      </c>
      <c r="J188" s="25" t="s">
        <v>829</v>
      </c>
      <c r="K188" s="25" t="s">
        <v>71</v>
      </c>
      <c r="L188" s="25" t="s">
        <v>1011</v>
      </c>
      <c r="M188" s="25" t="s">
        <v>858</v>
      </c>
      <c r="N188" s="25" t="s">
        <v>859</v>
      </c>
      <c r="O188" s="25" t="s">
        <v>56</v>
      </c>
      <c r="P188" s="25"/>
      <c r="Q188" s="26"/>
      <c r="R188" s="26"/>
      <c r="S188" s="26"/>
      <c r="T188" s="20"/>
      <c r="U188" s="26"/>
      <c r="V188" s="26"/>
      <c r="W188" s="20"/>
      <c r="X188" s="20"/>
      <c r="Y188" s="20"/>
      <c r="Z188" s="20"/>
      <c r="AA188" s="20"/>
      <c r="AB188" s="20"/>
      <c r="AC188" s="20"/>
      <c r="AD188" s="20"/>
      <c r="AE188" s="20"/>
    </row>
    <row r="189">
      <c r="A189" s="21">
        <v>4.0</v>
      </c>
      <c r="B189" s="22" t="s">
        <v>270</v>
      </c>
      <c r="C189" s="22" t="s">
        <v>487</v>
      </c>
      <c r="I189" s="25" t="s">
        <v>860</v>
      </c>
      <c r="J189" s="25" t="s">
        <v>829</v>
      </c>
      <c r="K189" s="25" t="s">
        <v>71</v>
      </c>
      <c r="L189" s="25" t="s">
        <v>1015</v>
      </c>
      <c r="M189" s="25" t="s">
        <v>861</v>
      </c>
      <c r="N189" s="25" t="s">
        <v>862</v>
      </c>
      <c r="O189" s="25" t="s">
        <v>56</v>
      </c>
      <c r="P189" s="25"/>
      <c r="Q189" s="26"/>
      <c r="R189" s="26"/>
      <c r="S189" s="26"/>
      <c r="T189" s="20"/>
      <c r="U189" s="26"/>
      <c r="V189" s="26"/>
      <c r="W189" s="20"/>
      <c r="X189" s="20"/>
      <c r="Y189" s="20"/>
      <c r="Z189" s="20"/>
      <c r="AA189" s="20"/>
      <c r="AB189" s="20"/>
      <c r="AC189" s="20"/>
      <c r="AD189" s="20"/>
      <c r="AE189" s="20"/>
    </row>
    <row r="190">
      <c r="A190" s="21">
        <v>4.0</v>
      </c>
      <c r="B190" s="22" t="s">
        <v>270</v>
      </c>
      <c r="C190" s="22" t="s">
        <v>487</v>
      </c>
      <c r="I190" s="25" t="s">
        <v>296</v>
      </c>
      <c r="J190" s="25" t="s">
        <v>829</v>
      </c>
      <c r="K190" s="25" t="s">
        <v>71</v>
      </c>
      <c r="L190" s="25" t="s">
        <v>1011</v>
      </c>
      <c r="M190" s="25" t="s">
        <v>884</v>
      </c>
      <c r="N190" s="25" t="s">
        <v>885</v>
      </c>
      <c r="O190" s="25" t="s">
        <v>63</v>
      </c>
      <c r="P190" s="25"/>
      <c r="Q190" s="26"/>
      <c r="R190" s="26"/>
      <c r="S190" s="26"/>
      <c r="T190" s="20"/>
      <c r="U190" s="26"/>
      <c r="V190" s="26"/>
      <c r="W190" s="20"/>
      <c r="X190" s="20"/>
      <c r="Y190" s="20"/>
      <c r="Z190" s="20"/>
      <c r="AA190" s="20"/>
      <c r="AB190" s="20"/>
      <c r="AC190" s="20"/>
      <c r="AD190" s="20"/>
      <c r="AE190" s="20"/>
    </row>
    <row r="191">
      <c r="A191" s="21">
        <v>4.0</v>
      </c>
      <c r="B191" s="22" t="s">
        <v>270</v>
      </c>
      <c r="C191" s="22" t="s">
        <v>487</v>
      </c>
      <c r="I191" s="25" t="s">
        <v>701</v>
      </c>
      <c r="J191" s="25" t="s">
        <v>829</v>
      </c>
      <c r="K191" s="25" t="s">
        <v>71</v>
      </c>
      <c r="L191" s="25" t="s">
        <v>1021</v>
      </c>
      <c r="M191" s="25" t="s">
        <v>61</v>
      </c>
      <c r="N191" s="25" t="s">
        <v>863</v>
      </c>
      <c r="O191" s="25" t="s">
        <v>56</v>
      </c>
      <c r="P191" s="25"/>
      <c r="Q191" s="26"/>
      <c r="R191" s="26"/>
      <c r="S191" s="26"/>
      <c r="T191" s="20"/>
      <c r="U191" s="26"/>
      <c r="V191" s="26"/>
      <c r="W191" s="20"/>
      <c r="X191" s="20"/>
      <c r="Y191" s="20"/>
      <c r="Z191" s="20"/>
      <c r="AA191" s="20"/>
      <c r="AB191" s="20"/>
      <c r="AC191" s="20"/>
      <c r="AD191" s="20"/>
      <c r="AE191" s="20"/>
    </row>
    <row r="192">
      <c r="A192" s="21">
        <v>4.0</v>
      </c>
      <c r="B192" s="22" t="s">
        <v>270</v>
      </c>
      <c r="C192" s="22" t="s">
        <v>487</v>
      </c>
      <c r="I192" s="25" t="s">
        <v>489</v>
      </c>
      <c r="J192" s="25" t="s">
        <v>829</v>
      </c>
      <c r="K192" s="25" t="s">
        <v>71</v>
      </c>
      <c r="L192" s="25" t="s">
        <v>1024</v>
      </c>
      <c r="M192" s="25" t="s">
        <v>864</v>
      </c>
      <c r="N192" s="25" t="s">
        <v>865</v>
      </c>
      <c r="O192" s="25" t="s">
        <v>56</v>
      </c>
      <c r="P192" s="25"/>
      <c r="Q192" s="26"/>
      <c r="R192" s="26"/>
      <c r="S192" s="26"/>
      <c r="T192" s="20"/>
      <c r="U192" s="26"/>
      <c r="V192" s="26"/>
      <c r="W192" s="20"/>
      <c r="X192" s="20"/>
      <c r="Y192" s="20"/>
      <c r="Z192" s="20"/>
      <c r="AA192" s="20"/>
      <c r="AB192" s="20"/>
      <c r="AC192" s="20"/>
      <c r="AD192" s="20"/>
      <c r="AE192" s="20"/>
    </row>
    <row r="193">
      <c r="A193" s="21">
        <v>4.0</v>
      </c>
      <c r="B193" s="22" t="s">
        <v>270</v>
      </c>
      <c r="C193" s="22" t="s">
        <v>487</v>
      </c>
      <c r="I193" s="25" t="s">
        <v>836</v>
      </c>
      <c r="J193" s="25" t="s">
        <v>829</v>
      </c>
      <c r="K193" s="25" t="s">
        <v>67</v>
      </c>
      <c r="L193" s="25" t="s">
        <v>1025</v>
      </c>
      <c r="M193" s="25" t="s">
        <v>61</v>
      </c>
      <c r="N193" s="25" t="s">
        <v>837</v>
      </c>
      <c r="O193" s="25" t="s">
        <v>56</v>
      </c>
      <c r="P193" s="25" t="s">
        <v>52</v>
      </c>
      <c r="Q193" s="26"/>
      <c r="R193" s="26"/>
      <c r="S193" s="26"/>
      <c r="T193" s="22"/>
      <c r="U193" s="26"/>
      <c r="V193" s="26"/>
      <c r="W193" s="20"/>
      <c r="X193" s="20"/>
      <c r="Y193" s="20"/>
      <c r="Z193" s="20"/>
      <c r="AA193" s="20"/>
      <c r="AB193" s="20"/>
      <c r="AC193" s="20"/>
      <c r="AD193" s="20"/>
      <c r="AE193" s="20"/>
    </row>
    <row r="194">
      <c r="A194" s="21">
        <v>4.0</v>
      </c>
      <c r="B194" s="22" t="s">
        <v>270</v>
      </c>
      <c r="C194" s="22" t="s">
        <v>487</v>
      </c>
      <c r="I194" s="25" t="s">
        <v>586</v>
      </c>
      <c r="J194" s="25" t="s">
        <v>829</v>
      </c>
      <c r="K194" s="25" t="s">
        <v>71</v>
      </c>
      <c r="L194" s="25" t="s">
        <v>1011</v>
      </c>
      <c r="M194" s="25" t="s">
        <v>866</v>
      </c>
      <c r="N194" s="25" t="s">
        <v>841</v>
      </c>
      <c r="O194" s="25" t="s">
        <v>56</v>
      </c>
      <c r="P194" s="25"/>
      <c r="Q194" s="26"/>
      <c r="R194" s="26"/>
      <c r="S194" s="26"/>
      <c r="T194" s="20"/>
      <c r="U194" s="26"/>
      <c r="V194" s="26"/>
      <c r="W194" s="20"/>
      <c r="X194" s="20"/>
      <c r="Y194" s="20"/>
      <c r="Z194" s="20"/>
      <c r="AA194" s="20"/>
      <c r="AB194" s="20"/>
      <c r="AC194" s="20"/>
      <c r="AD194" s="20"/>
      <c r="AE194" s="20"/>
    </row>
    <row r="195">
      <c r="A195" s="21">
        <v>4.0</v>
      </c>
      <c r="B195" s="22" t="s">
        <v>270</v>
      </c>
      <c r="C195" s="22" t="s">
        <v>487</v>
      </c>
      <c r="I195" s="25" t="s">
        <v>593</v>
      </c>
      <c r="J195" s="25" t="s">
        <v>829</v>
      </c>
      <c r="K195" s="25" t="s">
        <v>71</v>
      </c>
      <c r="L195" s="25" t="s">
        <v>1011</v>
      </c>
      <c r="M195" s="25" t="s">
        <v>886</v>
      </c>
      <c r="N195" s="25" t="s">
        <v>887</v>
      </c>
      <c r="O195" s="25" t="s">
        <v>63</v>
      </c>
      <c r="P195" s="25"/>
      <c r="Q195" s="26"/>
      <c r="R195" s="26"/>
      <c r="S195" s="26"/>
      <c r="T195" s="20"/>
      <c r="U195" s="26"/>
      <c r="V195" s="26"/>
      <c r="W195" s="20"/>
      <c r="X195" s="20"/>
      <c r="Y195" s="20"/>
      <c r="Z195" s="20"/>
      <c r="AA195" s="20"/>
      <c r="AB195" s="20"/>
      <c r="AC195" s="20"/>
      <c r="AD195" s="20"/>
      <c r="AE195" s="20"/>
    </row>
    <row r="196">
      <c r="A196" s="21">
        <v>4.0</v>
      </c>
      <c r="B196" s="22" t="s">
        <v>270</v>
      </c>
      <c r="C196" s="22" t="s">
        <v>487</v>
      </c>
      <c r="I196" s="25" t="s">
        <v>471</v>
      </c>
      <c r="J196" s="25" t="s">
        <v>829</v>
      </c>
      <c r="K196" s="25" t="s">
        <v>67</v>
      </c>
      <c r="L196" s="25" t="s">
        <v>1025</v>
      </c>
      <c r="M196" s="25" t="s">
        <v>838</v>
      </c>
      <c r="N196" s="25" t="s">
        <v>839</v>
      </c>
      <c r="O196" s="25" t="s">
        <v>56</v>
      </c>
      <c r="P196" s="25" t="s">
        <v>52</v>
      </c>
      <c r="Q196" s="26"/>
      <c r="R196" s="26"/>
      <c r="S196" s="26"/>
      <c r="T196" s="22"/>
      <c r="U196" s="26"/>
      <c r="V196" s="26"/>
      <c r="W196" s="20"/>
      <c r="X196" s="20"/>
      <c r="Y196" s="20"/>
      <c r="Z196" s="20"/>
      <c r="AA196" s="20"/>
      <c r="AB196" s="20"/>
      <c r="AC196" s="20"/>
      <c r="AD196" s="20"/>
      <c r="AE196" s="20"/>
    </row>
    <row r="197">
      <c r="A197" s="21">
        <v>4.0</v>
      </c>
      <c r="B197" s="22" t="s">
        <v>270</v>
      </c>
      <c r="C197" s="22" t="s">
        <v>487</v>
      </c>
      <c r="I197" s="25" t="s">
        <v>888</v>
      </c>
      <c r="J197" s="25" t="s">
        <v>829</v>
      </c>
      <c r="K197" s="25" t="s">
        <v>71</v>
      </c>
      <c r="L197" s="25" t="s">
        <v>1015</v>
      </c>
      <c r="M197" s="25" t="s">
        <v>889</v>
      </c>
      <c r="N197" s="25" t="s">
        <v>890</v>
      </c>
      <c r="O197" s="25" t="s">
        <v>63</v>
      </c>
      <c r="P197" s="25"/>
      <c r="Q197" s="26"/>
      <c r="R197" s="26"/>
      <c r="S197" s="26"/>
      <c r="T197" s="20"/>
      <c r="U197" s="26"/>
      <c r="V197" s="26"/>
      <c r="W197" s="20"/>
      <c r="X197" s="20"/>
      <c r="Y197" s="20"/>
      <c r="Z197" s="20"/>
      <c r="AA197" s="20"/>
      <c r="AB197" s="20"/>
      <c r="AC197" s="20"/>
      <c r="AD197" s="20"/>
      <c r="AE197" s="20"/>
    </row>
    <row r="198">
      <c r="A198" s="21">
        <v>4.0</v>
      </c>
      <c r="B198" s="22" t="s">
        <v>270</v>
      </c>
      <c r="C198" s="22" t="s">
        <v>487</v>
      </c>
      <c r="I198" s="25" t="s">
        <v>732</v>
      </c>
      <c r="J198" s="25" t="s">
        <v>829</v>
      </c>
      <c r="K198" s="25" t="s">
        <v>67</v>
      </c>
      <c r="L198" s="25" t="s">
        <v>1025</v>
      </c>
      <c r="M198" s="25" t="s">
        <v>840</v>
      </c>
      <c r="N198" s="25" t="s">
        <v>841</v>
      </c>
      <c r="O198" s="25" t="s">
        <v>56</v>
      </c>
      <c r="P198" s="25" t="s">
        <v>52</v>
      </c>
      <c r="Q198" s="26"/>
      <c r="R198" s="26"/>
      <c r="S198" s="26"/>
      <c r="T198" s="22"/>
      <c r="U198" s="26"/>
      <c r="V198" s="26"/>
      <c r="W198" s="20"/>
      <c r="X198" s="20"/>
      <c r="Y198" s="20"/>
      <c r="Z198" s="20"/>
      <c r="AA198" s="20"/>
      <c r="AB198" s="20"/>
      <c r="AC198" s="20"/>
      <c r="AD198" s="20"/>
      <c r="AE198" s="20"/>
    </row>
    <row r="199">
      <c r="A199" s="21">
        <v>4.0</v>
      </c>
      <c r="B199" s="22" t="s">
        <v>270</v>
      </c>
      <c r="C199" s="22" t="s">
        <v>487</v>
      </c>
      <c r="I199" s="25" t="s">
        <v>891</v>
      </c>
      <c r="J199" s="25" t="s">
        <v>829</v>
      </c>
      <c r="K199" s="25" t="s">
        <v>71</v>
      </c>
      <c r="L199" s="25" t="s">
        <v>1015</v>
      </c>
      <c r="M199" s="25" t="s">
        <v>892</v>
      </c>
      <c r="N199" s="25" t="s">
        <v>893</v>
      </c>
      <c r="O199" s="25" t="s">
        <v>63</v>
      </c>
      <c r="P199" s="25"/>
      <c r="Q199" s="26"/>
      <c r="R199" s="26"/>
      <c r="S199" s="26"/>
      <c r="T199" s="20"/>
      <c r="U199" s="26"/>
      <c r="V199" s="26"/>
      <c r="W199" s="20"/>
      <c r="X199" s="20"/>
      <c r="Y199" s="20"/>
      <c r="Z199" s="20"/>
      <c r="AA199" s="20"/>
      <c r="AB199" s="20"/>
      <c r="AC199" s="20"/>
      <c r="AD199" s="20"/>
      <c r="AE199" s="20"/>
    </row>
    <row r="200">
      <c r="A200" s="21">
        <v>4.0</v>
      </c>
      <c r="B200" s="22" t="s">
        <v>270</v>
      </c>
      <c r="C200" s="22" t="s">
        <v>487</v>
      </c>
      <c r="I200" s="25" t="s">
        <v>672</v>
      </c>
      <c r="J200" s="25" t="s">
        <v>829</v>
      </c>
      <c r="K200" s="25" t="s">
        <v>67</v>
      </c>
      <c r="L200" s="25" t="s">
        <v>1025</v>
      </c>
      <c r="M200" s="25" t="s">
        <v>843</v>
      </c>
      <c r="N200" s="25" t="s">
        <v>844</v>
      </c>
      <c r="O200" s="25" t="s">
        <v>56</v>
      </c>
      <c r="P200" s="25" t="s">
        <v>52</v>
      </c>
      <c r="Q200" s="26"/>
      <c r="R200" s="26"/>
      <c r="S200" s="26"/>
      <c r="T200" s="22"/>
      <c r="U200" s="26"/>
      <c r="V200" s="26"/>
      <c r="W200" s="20"/>
      <c r="X200" s="20"/>
      <c r="Y200" s="20"/>
      <c r="Z200" s="20"/>
      <c r="AA200" s="20"/>
      <c r="AB200" s="20"/>
      <c r="AC200" s="20"/>
      <c r="AD200" s="20"/>
      <c r="AE200" s="20"/>
    </row>
    <row r="201">
      <c r="A201" s="21">
        <v>4.0</v>
      </c>
      <c r="B201" s="22" t="s">
        <v>270</v>
      </c>
      <c r="C201" s="22" t="s">
        <v>487</v>
      </c>
      <c r="I201" s="25" t="s">
        <v>894</v>
      </c>
      <c r="J201" s="25" t="s">
        <v>829</v>
      </c>
      <c r="K201" s="25" t="s">
        <v>71</v>
      </c>
      <c r="L201" s="25" t="s">
        <v>1015</v>
      </c>
      <c r="M201" s="25" t="s">
        <v>895</v>
      </c>
      <c r="N201" s="25" t="s">
        <v>893</v>
      </c>
      <c r="O201" s="25" t="s">
        <v>63</v>
      </c>
      <c r="P201" s="25"/>
      <c r="Q201" s="26"/>
      <c r="R201" s="26"/>
      <c r="S201" s="26"/>
      <c r="T201" s="20"/>
      <c r="U201" s="26"/>
      <c r="V201" s="26"/>
      <c r="W201" s="20"/>
      <c r="X201" s="20"/>
      <c r="Y201" s="20"/>
      <c r="Z201" s="20"/>
      <c r="AA201" s="20"/>
      <c r="AB201" s="20"/>
      <c r="AC201" s="20"/>
      <c r="AD201" s="20"/>
      <c r="AE201" s="20"/>
    </row>
    <row r="202">
      <c r="A202" s="21">
        <v>4.0</v>
      </c>
      <c r="B202" s="22" t="s">
        <v>270</v>
      </c>
      <c r="C202" s="22" t="s">
        <v>487</v>
      </c>
      <c r="I202" s="25" t="s">
        <v>845</v>
      </c>
      <c r="J202" s="25" t="s">
        <v>829</v>
      </c>
      <c r="K202" s="25" t="s">
        <v>67</v>
      </c>
      <c r="L202" s="25" t="s">
        <v>1025</v>
      </c>
      <c r="M202" s="25" t="s">
        <v>846</v>
      </c>
      <c r="N202" s="25" t="s">
        <v>847</v>
      </c>
      <c r="O202" s="25" t="s">
        <v>56</v>
      </c>
      <c r="P202" s="25" t="s">
        <v>52</v>
      </c>
      <c r="Q202" s="26"/>
      <c r="R202" s="26"/>
      <c r="S202" s="26"/>
      <c r="T202" s="22"/>
      <c r="U202" s="26"/>
      <c r="V202" s="26"/>
      <c r="W202" s="20"/>
      <c r="X202" s="20"/>
      <c r="Y202" s="20"/>
      <c r="Z202" s="20"/>
      <c r="AA202" s="20"/>
      <c r="AB202" s="20"/>
      <c r="AC202" s="20"/>
      <c r="AD202" s="20"/>
      <c r="AE202" s="20"/>
    </row>
    <row r="203">
      <c r="A203" s="21">
        <v>4.0</v>
      </c>
      <c r="B203" s="22" t="s">
        <v>270</v>
      </c>
      <c r="C203" s="22" t="s">
        <v>487</v>
      </c>
      <c r="I203" s="25" t="s">
        <v>737</v>
      </c>
      <c r="J203" s="25" t="s">
        <v>829</v>
      </c>
      <c r="K203" s="25" t="s">
        <v>67</v>
      </c>
      <c r="L203" s="25" t="s">
        <v>1025</v>
      </c>
      <c r="M203" s="25" t="s">
        <v>849</v>
      </c>
      <c r="N203" s="25" t="s">
        <v>850</v>
      </c>
      <c r="O203" s="25" t="s">
        <v>56</v>
      </c>
      <c r="P203" s="25" t="s">
        <v>52</v>
      </c>
      <c r="Q203" s="26"/>
      <c r="R203" s="26"/>
      <c r="S203" s="26"/>
      <c r="T203" s="22"/>
      <c r="U203" s="26"/>
      <c r="V203" s="26"/>
      <c r="W203" s="20"/>
      <c r="X203" s="20"/>
      <c r="Y203" s="20"/>
      <c r="Z203" s="20"/>
      <c r="AA203" s="20"/>
      <c r="AB203" s="20"/>
      <c r="AC203" s="20"/>
      <c r="AD203" s="20"/>
      <c r="AE203" s="20"/>
    </row>
    <row r="204">
      <c r="A204" s="21">
        <v>4.0</v>
      </c>
      <c r="B204" s="22" t="s">
        <v>270</v>
      </c>
      <c r="C204" s="22" t="s">
        <v>487</v>
      </c>
      <c r="I204" s="25" t="s">
        <v>851</v>
      </c>
      <c r="J204" s="25" t="s">
        <v>829</v>
      </c>
      <c r="K204" s="25" t="s">
        <v>67</v>
      </c>
      <c r="L204" s="25" t="s">
        <v>1025</v>
      </c>
      <c r="M204" s="25" t="s">
        <v>852</v>
      </c>
      <c r="N204" s="25" t="s">
        <v>853</v>
      </c>
      <c r="O204" s="25" t="s">
        <v>56</v>
      </c>
      <c r="P204" s="25" t="s">
        <v>52</v>
      </c>
      <c r="Q204" s="26"/>
      <c r="R204" s="26"/>
      <c r="S204" s="26"/>
      <c r="T204" s="22"/>
      <c r="U204" s="26"/>
      <c r="V204" s="26"/>
      <c r="W204" s="20"/>
      <c r="X204" s="20"/>
      <c r="Y204" s="20"/>
      <c r="Z204" s="20"/>
      <c r="AA204" s="20"/>
      <c r="AB204" s="20"/>
      <c r="AC204" s="20"/>
      <c r="AD204" s="20"/>
      <c r="AE204" s="20"/>
    </row>
    <row r="205">
      <c r="A205" s="21">
        <v>4.0</v>
      </c>
      <c r="B205" s="22" t="s">
        <v>270</v>
      </c>
      <c r="C205" s="22" t="s">
        <v>487</v>
      </c>
      <c r="I205" s="25" t="s">
        <v>722</v>
      </c>
      <c r="J205" s="25" t="s">
        <v>829</v>
      </c>
      <c r="K205" s="25" t="s">
        <v>71</v>
      </c>
      <c r="L205" s="25" t="s">
        <v>292</v>
      </c>
      <c r="M205" s="25" t="s">
        <v>896</v>
      </c>
      <c r="N205" s="25" t="s">
        <v>897</v>
      </c>
      <c r="O205" s="25" t="s">
        <v>63</v>
      </c>
      <c r="P205" s="25" t="s">
        <v>52</v>
      </c>
      <c r="Q205" s="26"/>
      <c r="R205" s="26"/>
      <c r="S205" s="26"/>
      <c r="T205" s="22"/>
      <c r="U205" s="26"/>
      <c r="V205" s="26"/>
      <c r="W205" s="20"/>
      <c r="X205" s="20"/>
      <c r="Y205" s="20"/>
      <c r="Z205" s="20"/>
      <c r="AA205" s="20"/>
      <c r="AB205" s="20"/>
      <c r="AC205" s="20"/>
      <c r="AD205" s="20"/>
      <c r="AE205" s="20"/>
    </row>
    <row r="206">
      <c r="A206" s="21">
        <v>4.0</v>
      </c>
      <c r="B206" s="22" t="s">
        <v>270</v>
      </c>
      <c r="C206" s="22" t="s">
        <v>487</v>
      </c>
      <c r="I206" s="25" t="s">
        <v>708</v>
      </c>
      <c r="J206" s="25" t="s">
        <v>829</v>
      </c>
      <c r="K206" s="25" t="s">
        <v>71</v>
      </c>
      <c r="L206" s="25" t="s">
        <v>292</v>
      </c>
      <c r="M206" s="25" t="s">
        <v>898</v>
      </c>
      <c r="N206" s="25" t="s">
        <v>899</v>
      </c>
      <c r="O206" s="25" t="s">
        <v>63</v>
      </c>
      <c r="P206" s="25" t="s">
        <v>52</v>
      </c>
      <c r="Q206" s="26"/>
      <c r="R206" s="26"/>
      <c r="S206" s="26"/>
      <c r="T206" s="22"/>
      <c r="U206" s="26"/>
      <c r="V206" s="26"/>
      <c r="W206" s="20"/>
      <c r="X206" s="20"/>
      <c r="Y206" s="20"/>
      <c r="Z206" s="20"/>
      <c r="AA206" s="20"/>
      <c r="AB206" s="20"/>
      <c r="AC206" s="20"/>
      <c r="AD206" s="20"/>
      <c r="AE206" s="20"/>
    </row>
    <row r="207">
      <c r="A207" s="21">
        <v>4.0</v>
      </c>
      <c r="B207" s="22" t="s">
        <v>270</v>
      </c>
      <c r="C207" s="22" t="s">
        <v>487</v>
      </c>
      <c r="I207" s="25" t="s">
        <v>705</v>
      </c>
      <c r="J207" s="25" t="s">
        <v>924</v>
      </c>
      <c r="K207" s="25" t="s">
        <v>71</v>
      </c>
      <c r="L207" s="25" t="s">
        <v>292</v>
      </c>
      <c r="M207" s="25" t="s">
        <v>925</v>
      </c>
      <c r="N207" s="25" t="s">
        <v>926</v>
      </c>
      <c r="O207" s="25" t="s">
        <v>63</v>
      </c>
      <c r="P207" s="25" t="s">
        <v>52</v>
      </c>
      <c r="Q207" s="26"/>
      <c r="R207" s="26"/>
      <c r="S207" s="26"/>
      <c r="T207" s="22"/>
      <c r="U207" s="26"/>
      <c r="V207" s="26"/>
      <c r="W207" s="20"/>
      <c r="X207" s="20"/>
      <c r="Y207" s="20"/>
      <c r="Z207" s="20"/>
      <c r="AA207" s="20"/>
      <c r="AB207" s="20"/>
      <c r="AC207" s="20"/>
      <c r="AD207" s="20"/>
      <c r="AE207" s="20"/>
    </row>
    <row r="208">
      <c r="A208" s="21">
        <v>4.0</v>
      </c>
      <c r="B208" s="22" t="s">
        <v>270</v>
      </c>
      <c r="C208" s="22" t="s">
        <v>487</v>
      </c>
      <c r="I208" s="25" t="s">
        <v>900</v>
      </c>
      <c r="J208" s="25" t="s">
        <v>829</v>
      </c>
      <c r="K208" s="25" t="s">
        <v>71</v>
      </c>
      <c r="L208" s="25" t="s">
        <v>1015</v>
      </c>
      <c r="M208" s="25" t="s">
        <v>901</v>
      </c>
      <c r="N208" s="25" t="s">
        <v>902</v>
      </c>
      <c r="O208" s="25" t="s">
        <v>63</v>
      </c>
      <c r="P208" s="25"/>
      <c r="Q208" s="26"/>
      <c r="R208" s="26"/>
      <c r="S208" s="26"/>
      <c r="T208" s="20"/>
      <c r="U208" s="26"/>
      <c r="V208" s="26"/>
      <c r="W208" s="20"/>
      <c r="X208" s="20"/>
      <c r="Y208" s="20"/>
      <c r="Z208" s="20"/>
      <c r="AA208" s="20"/>
      <c r="AB208" s="20"/>
      <c r="AC208" s="20"/>
      <c r="AD208" s="20"/>
      <c r="AE208" s="20"/>
    </row>
    <row r="209">
      <c r="A209" s="21">
        <v>4.0</v>
      </c>
      <c r="B209" s="22" t="s">
        <v>270</v>
      </c>
      <c r="C209" s="22" t="s">
        <v>487</v>
      </c>
      <c r="I209" s="25" t="s">
        <v>314</v>
      </c>
      <c r="J209" s="25" t="s">
        <v>924</v>
      </c>
      <c r="K209" s="25" t="s">
        <v>71</v>
      </c>
      <c r="L209" s="25" t="s">
        <v>292</v>
      </c>
      <c r="M209" s="25" t="s">
        <v>927</v>
      </c>
      <c r="N209" s="25" t="s">
        <v>928</v>
      </c>
      <c r="O209" s="25" t="s">
        <v>63</v>
      </c>
      <c r="P209" s="25" t="s">
        <v>52</v>
      </c>
      <c r="Q209" s="26"/>
      <c r="R209" s="26"/>
      <c r="S209" s="26"/>
      <c r="T209" s="22"/>
      <c r="U209" s="26"/>
      <c r="V209" s="26"/>
      <c r="W209" s="20"/>
      <c r="X209" s="20"/>
      <c r="Y209" s="20"/>
      <c r="Z209" s="20"/>
      <c r="AA209" s="20"/>
      <c r="AB209" s="20"/>
      <c r="AC209" s="20"/>
      <c r="AD209" s="20"/>
      <c r="AE209" s="20"/>
    </row>
    <row r="210">
      <c r="A210" s="21">
        <v>4.0</v>
      </c>
      <c r="B210" s="20" t="s">
        <v>270</v>
      </c>
      <c r="C210" s="20" t="s">
        <v>487</v>
      </c>
      <c r="I210" s="25" t="s">
        <v>222</v>
      </c>
      <c r="J210" s="25" t="s">
        <v>924</v>
      </c>
      <c r="K210" s="25" t="s">
        <v>71</v>
      </c>
      <c r="L210" s="25" t="s">
        <v>1064</v>
      </c>
      <c r="M210" s="20" t="s">
        <v>61</v>
      </c>
      <c r="N210" s="20" t="s">
        <v>929</v>
      </c>
      <c r="O210" s="20" t="s">
        <v>63</v>
      </c>
      <c r="P210" s="20" t="s">
        <v>52</v>
      </c>
      <c r="Q210" s="26"/>
      <c r="R210" s="26"/>
      <c r="S210" s="26"/>
      <c r="T210" s="20"/>
      <c r="U210" s="26"/>
      <c r="V210" s="26"/>
      <c r="W210" s="20"/>
      <c r="X210" s="20"/>
      <c r="Y210" s="20"/>
      <c r="Z210" s="20"/>
      <c r="AA210" s="20"/>
      <c r="AB210" s="20"/>
      <c r="AC210" s="20"/>
      <c r="AD210" s="20"/>
      <c r="AE210" s="20"/>
    </row>
    <row r="211">
      <c r="A211" s="21">
        <v>4.0</v>
      </c>
      <c r="B211" s="20" t="s">
        <v>270</v>
      </c>
      <c r="C211" s="20" t="s">
        <v>487</v>
      </c>
      <c r="I211" s="25" t="s">
        <v>495</v>
      </c>
      <c r="J211" s="25" t="s">
        <v>829</v>
      </c>
      <c r="K211" s="25" t="s">
        <v>71</v>
      </c>
      <c r="L211" s="25" t="s">
        <v>1066</v>
      </c>
      <c r="M211" s="20" t="s">
        <v>796</v>
      </c>
      <c r="N211" s="20" t="s">
        <v>867</v>
      </c>
      <c r="O211" s="20" t="s">
        <v>56</v>
      </c>
      <c r="P211" s="20" t="s">
        <v>52</v>
      </c>
      <c r="Q211" s="26"/>
      <c r="R211" s="26"/>
      <c r="S211" s="26"/>
      <c r="T211" s="20"/>
      <c r="U211" s="26"/>
      <c r="V211" s="26"/>
      <c r="W211" s="20"/>
      <c r="X211" s="20"/>
      <c r="Y211" s="20"/>
      <c r="Z211" s="20"/>
      <c r="AA211" s="20"/>
      <c r="AB211" s="20"/>
      <c r="AC211" s="20"/>
      <c r="AD211" s="20"/>
      <c r="AE211" s="20"/>
    </row>
    <row r="212">
      <c r="A212" s="21">
        <v>4.0</v>
      </c>
      <c r="B212" s="20" t="s">
        <v>270</v>
      </c>
      <c r="C212" s="20" t="s">
        <v>487</v>
      </c>
      <c r="I212" s="25" t="s">
        <v>501</v>
      </c>
      <c r="J212" s="25" t="s">
        <v>829</v>
      </c>
      <c r="K212" s="25" t="s">
        <v>71</v>
      </c>
      <c r="L212" s="25" t="s">
        <v>1064</v>
      </c>
      <c r="M212" s="20" t="s">
        <v>798</v>
      </c>
      <c r="N212" s="20" t="s">
        <v>868</v>
      </c>
      <c r="O212" s="20" t="s">
        <v>56</v>
      </c>
      <c r="P212" s="20" t="s">
        <v>52</v>
      </c>
      <c r="Q212" s="26"/>
      <c r="R212" s="26"/>
      <c r="S212" s="26"/>
      <c r="T212" s="20"/>
      <c r="U212" s="26"/>
      <c r="V212" s="26"/>
      <c r="W212" s="20"/>
      <c r="X212" s="20"/>
      <c r="Y212" s="20"/>
      <c r="Z212" s="20"/>
      <c r="AA212" s="20"/>
      <c r="AB212" s="20"/>
      <c r="AC212" s="20"/>
      <c r="AD212" s="20"/>
      <c r="AE212" s="20"/>
    </row>
    <row r="213">
      <c r="A213" s="21">
        <v>4.0</v>
      </c>
      <c r="B213" s="20" t="s">
        <v>270</v>
      </c>
      <c r="C213" s="20" t="s">
        <v>487</v>
      </c>
      <c r="I213" s="25" t="s">
        <v>530</v>
      </c>
      <c r="J213" s="25" t="s">
        <v>829</v>
      </c>
      <c r="K213" s="25" t="s">
        <v>71</v>
      </c>
      <c r="L213" s="25" t="s">
        <v>1069</v>
      </c>
      <c r="M213" s="20" t="s">
        <v>804</v>
      </c>
      <c r="N213" s="20" t="s">
        <v>841</v>
      </c>
      <c r="O213" s="20" t="s">
        <v>56</v>
      </c>
      <c r="P213" s="20" t="s">
        <v>52</v>
      </c>
      <c r="Q213" s="26"/>
      <c r="R213" s="26"/>
      <c r="S213" s="26"/>
      <c r="T213" s="20"/>
      <c r="U213" s="26"/>
      <c r="V213" s="26"/>
      <c r="W213" s="20"/>
      <c r="X213" s="20"/>
      <c r="Y213" s="20"/>
      <c r="Z213" s="20"/>
      <c r="AA213" s="20"/>
      <c r="AB213" s="20"/>
      <c r="AC213" s="20"/>
      <c r="AD213" s="20"/>
      <c r="AE213" s="20"/>
    </row>
    <row r="214">
      <c r="A214" s="21">
        <v>4.0</v>
      </c>
      <c r="B214" s="20" t="s">
        <v>270</v>
      </c>
      <c r="C214" s="20" t="s">
        <v>487</v>
      </c>
      <c r="I214" s="25" t="s">
        <v>283</v>
      </c>
      <c r="J214" s="25" t="s">
        <v>829</v>
      </c>
      <c r="K214" s="25" t="s">
        <v>71</v>
      </c>
      <c r="L214" s="25" t="s">
        <v>1069</v>
      </c>
      <c r="M214" s="20" t="s">
        <v>903</v>
      </c>
      <c r="N214" s="20" t="s">
        <v>904</v>
      </c>
      <c r="O214" s="20" t="s">
        <v>63</v>
      </c>
      <c r="P214" s="20" t="s">
        <v>52</v>
      </c>
      <c r="Q214" s="26"/>
      <c r="R214" s="26"/>
      <c r="S214" s="26"/>
      <c r="T214" s="20"/>
      <c r="U214" s="26"/>
      <c r="V214" s="26"/>
      <c r="W214" s="20"/>
      <c r="X214" s="20"/>
      <c r="Y214" s="20"/>
      <c r="Z214" s="20"/>
      <c r="AA214" s="20"/>
      <c r="AB214" s="20"/>
      <c r="AC214" s="20"/>
      <c r="AD214" s="20"/>
      <c r="AE214" s="20"/>
    </row>
    <row r="215">
      <c r="A215" s="21">
        <v>4.0</v>
      </c>
      <c r="B215" s="20" t="s">
        <v>270</v>
      </c>
      <c r="C215" s="20" t="s">
        <v>487</v>
      </c>
      <c r="I215" s="25" t="s">
        <v>247</v>
      </c>
      <c r="J215" s="25" t="s">
        <v>829</v>
      </c>
      <c r="K215" s="25" t="s">
        <v>71</v>
      </c>
      <c r="L215" s="25" t="s">
        <v>1072</v>
      </c>
      <c r="M215" s="20" t="s">
        <v>905</v>
      </c>
      <c r="N215" s="20" t="s">
        <v>906</v>
      </c>
      <c r="O215" s="20" t="s">
        <v>63</v>
      </c>
      <c r="P215" s="20" t="s">
        <v>524</v>
      </c>
      <c r="Q215" s="26"/>
      <c r="R215" s="26"/>
      <c r="S215" s="26"/>
      <c r="T215" s="20"/>
      <c r="U215" s="26"/>
      <c r="V215" s="26"/>
      <c r="W215" s="20"/>
      <c r="X215" s="20"/>
      <c r="Y215" s="20"/>
      <c r="Z215" s="20"/>
      <c r="AA215" s="20"/>
      <c r="AB215" s="20"/>
      <c r="AC215" s="20"/>
      <c r="AD215" s="20"/>
      <c r="AE215" s="20"/>
    </row>
    <row r="216">
      <c r="A216" s="21">
        <v>4.0</v>
      </c>
      <c r="B216" s="20" t="s">
        <v>270</v>
      </c>
      <c r="C216" s="20" t="s">
        <v>487</v>
      </c>
      <c r="I216" s="25" t="s">
        <v>552</v>
      </c>
      <c r="J216" s="25" t="s">
        <v>829</v>
      </c>
      <c r="K216" s="25" t="s">
        <v>71</v>
      </c>
      <c r="L216" s="25" t="s">
        <v>1069</v>
      </c>
      <c r="M216" s="20" t="s">
        <v>870</v>
      </c>
      <c r="N216" s="20" t="s">
        <v>871</v>
      </c>
      <c r="O216" s="20" t="s">
        <v>56</v>
      </c>
      <c r="P216" s="20" t="s">
        <v>52</v>
      </c>
      <c r="Q216" s="26"/>
      <c r="R216" s="26"/>
      <c r="S216" s="26"/>
      <c r="T216" s="20"/>
      <c r="U216" s="26"/>
      <c r="V216" s="26"/>
      <c r="W216" s="20"/>
      <c r="X216" s="20"/>
      <c r="Y216" s="20"/>
      <c r="Z216" s="20"/>
      <c r="AA216" s="20"/>
      <c r="AB216" s="20"/>
      <c r="AC216" s="20"/>
      <c r="AD216" s="20"/>
      <c r="AE216" s="20"/>
    </row>
    <row r="217">
      <c r="A217" s="21">
        <v>4.0</v>
      </c>
      <c r="B217" s="20" t="s">
        <v>270</v>
      </c>
      <c r="C217" s="20" t="s">
        <v>487</v>
      </c>
      <c r="I217" s="25" t="s">
        <v>561</v>
      </c>
      <c r="J217" s="25" t="s">
        <v>829</v>
      </c>
      <c r="K217" s="25" t="s">
        <v>71</v>
      </c>
      <c r="L217" s="25" t="s">
        <v>1078</v>
      </c>
      <c r="M217" s="20" t="s">
        <v>907</v>
      </c>
      <c r="N217" s="20" t="s">
        <v>908</v>
      </c>
      <c r="O217" s="20" t="s">
        <v>63</v>
      </c>
      <c r="P217" s="20" t="s">
        <v>52</v>
      </c>
      <c r="Q217" s="26"/>
      <c r="R217" s="26"/>
      <c r="S217" s="26"/>
      <c r="T217" s="20"/>
      <c r="U217" s="26"/>
      <c r="V217" s="26"/>
      <c r="W217" s="20"/>
      <c r="X217" s="20"/>
      <c r="Y217" s="20"/>
      <c r="Z217" s="20"/>
      <c r="AA217" s="20"/>
      <c r="AB217" s="20"/>
      <c r="AC217" s="20"/>
      <c r="AD217" s="20"/>
      <c r="AE217" s="20"/>
    </row>
    <row r="218">
      <c r="A218" s="21">
        <v>4.0</v>
      </c>
      <c r="B218" s="20" t="s">
        <v>270</v>
      </c>
      <c r="C218" s="20" t="s">
        <v>487</v>
      </c>
      <c r="I218" s="25" t="s">
        <v>570</v>
      </c>
      <c r="J218" s="25" t="s">
        <v>829</v>
      </c>
      <c r="K218" s="25" t="s">
        <v>71</v>
      </c>
      <c r="L218" s="25" t="s">
        <v>1080</v>
      </c>
      <c r="M218" s="20" t="s">
        <v>872</v>
      </c>
      <c r="N218" s="20" t="s">
        <v>873</v>
      </c>
      <c r="O218" s="20" t="s">
        <v>56</v>
      </c>
      <c r="P218" s="20" t="s">
        <v>52</v>
      </c>
      <c r="Q218" s="26"/>
      <c r="R218" s="26"/>
      <c r="S218" s="26"/>
      <c r="T218" s="20"/>
      <c r="U218" s="26"/>
      <c r="V218" s="26"/>
      <c r="W218" s="20"/>
      <c r="X218" s="20"/>
      <c r="Y218" s="20"/>
      <c r="Z218" s="20"/>
      <c r="AA218" s="20"/>
      <c r="AB218" s="20"/>
      <c r="AC218" s="20"/>
      <c r="AD218" s="20"/>
      <c r="AE218" s="20"/>
    </row>
    <row r="219">
      <c r="A219" s="21">
        <v>4.0</v>
      </c>
      <c r="B219" s="20" t="s">
        <v>270</v>
      </c>
      <c r="C219" s="20" t="s">
        <v>487</v>
      </c>
      <c r="I219" s="25" t="s">
        <v>717</v>
      </c>
      <c r="J219" s="25" t="s">
        <v>829</v>
      </c>
      <c r="K219" s="25" t="s">
        <v>71</v>
      </c>
      <c r="L219" s="25" t="s">
        <v>1080</v>
      </c>
      <c r="M219" s="20" t="s">
        <v>819</v>
      </c>
      <c r="N219" s="20" t="s">
        <v>909</v>
      </c>
      <c r="O219" s="20" t="s">
        <v>63</v>
      </c>
      <c r="P219" s="20" t="s">
        <v>52</v>
      </c>
      <c r="Q219" s="26"/>
      <c r="R219" s="26"/>
      <c r="S219" s="26"/>
      <c r="T219" s="20"/>
      <c r="U219" s="26"/>
      <c r="V219" s="26"/>
      <c r="W219" s="20"/>
      <c r="X219" s="20"/>
      <c r="Y219" s="20"/>
      <c r="Z219" s="20"/>
      <c r="AA219" s="20"/>
      <c r="AB219" s="20"/>
      <c r="AC219" s="20"/>
      <c r="AD219" s="20"/>
      <c r="AE219" s="20"/>
    </row>
    <row r="220">
      <c r="A220" s="21">
        <v>4.0</v>
      </c>
      <c r="B220" s="20" t="s">
        <v>270</v>
      </c>
      <c r="C220" s="20" t="s">
        <v>487</v>
      </c>
      <c r="I220" s="25" t="s">
        <v>623</v>
      </c>
      <c r="J220" s="25" t="s">
        <v>829</v>
      </c>
      <c r="K220" s="25" t="s">
        <v>71</v>
      </c>
      <c r="L220" s="25" t="s">
        <v>1078</v>
      </c>
      <c r="M220" s="20" t="s">
        <v>911</v>
      </c>
      <c r="N220" s="20" t="s">
        <v>912</v>
      </c>
      <c r="O220" s="20" t="s">
        <v>63</v>
      </c>
      <c r="P220" s="20" t="s">
        <v>52</v>
      </c>
      <c r="Q220" s="26"/>
      <c r="R220" s="26"/>
      <c r="S220" s="26"/>
      <c r="T220" s="20"/>
      <c r="U220" s="26"/>
      <c r="V220" s="26"/>
      <c r="W220" s="20"/>
      <c r="X220" s="20"/>
      <c r="Y220" s="20"/>
      <c r="Z220" s="20"/>
      <c r="AA220" s="20"/>
      <c r="AB220" s="20"/>
      <c r="AC220" s="20"/>
      <c r="AD220" s="20"/>
      <c r="AE220" s="20"/>
    </row>
    <row r="221">
      <c r="A221" s="21">
        <v>4.0</v>
      </c>
      <c r="B221" s="20" t="s">
        <v>270</v>
      </c>
      <c r="C221" s="20" t="s">
        <v>487</v>
      </c>
      <c r="I221" s="25" t="s">
        <v>576</v>
      </c>
      <c r="J221" s="25" t="s">
        <v>829</v>
      </c>
      <c r="K221" s="25" t="s">
        <v>71</v>
      </c>
      <c r="L221" s="25" t="s">
        <v>1078</v>
      </c>
      <c r="M221" s="20" t="s">
        <v>913</v>
      </c>
      <c r="N221" s="20" t="s">
        <v>914</v>
      </c>
      <c r="O221" s="20" t="s">
        <v>63</v>
      </c>
      <c r="P221" s="20" t="s">
        <v>52</v>
      </c>
      <c r="Q221" s="26"/>
      <c r="R221" s="26"/>
      <c r="S221" s="26"/>
      <c r="T221" s="20"/>
      <c r="U221" s="26"/>
      <c r="V221" s="26"/>
      <c r="W221" s="20"/>
      <c r="X221" s="20"/>
      <c r="Y221" s="20"/>
      <c r="Z221" s="20"/>
      <c r="AA221" s="20"/>
      <c r="AB221" s="20"/>
      <c r="AC221" s="20"/>
      <c r="AD221" s="20"/>
      <c r="AE221" s="20"/>
    </row>
    <row r="222">
      <c r="A222" s="21">
        <v>4.0</v>
      </c>
      <c r="B222" s="20" t="s">
        <v>270</v>
      </c>
      <c r="C222" s="20" t="s">
        <v>487</v>
      </c>
      <c r="I222" s="25" t="s">
        <v>723</v>
      </c>
      <c r="J222" s="25" t="s">
        <v>829</v>
      </c>
      <c r="K222" s="25" t="s">
        <v>71</v>
      </c>
      <c r="L222" s="25" t="s">
        <v>1078</v>
      </c>
      <c r="M222" s="20" t="s">
        <v>874</v>
      </c>
      <c r="N222" s="20" t="s">
        <v>875</v>
      </c>
      <c r="O222" s="20" t="s">
        <v>56</v>
      </c>
      <c r="P222" s="20" t="s">
        <v>52</v>
      </c>
      <c r="Q222" s="26"/>
      <c r="R222" s="26"/>
      <c r="S222" s="26"/>
      <c r="T222" s="20"/>
      <c r="U222" s="26"/>
      <c r="V222" s="26"/>
      <c r="W222" s="20"/>
      <c r="X222" s="20"/>
      <c r="Y222" s="20"/>
      <c r="Z222" s="20"/>
      <c r="AA222" s="20"/>
      <c r="AB222" s="20"/>
      <c r="AC222" s="20"/>
      <c r="AD222" s="20"/>
      <c r="AE222" s="20"/>
    </row>
    <row r="223">
      <c r="A223" s="21">
        <v>4.0</v>
      </c>
      <c r="B223" s="20" t="s">
        <v>270</v>
      </c>
      <c r="C223" s="20" t="s">
        <v>487</v>
      </c>
      <c r="I223" s="25" t="s">
        <v>582</v>
      </c>
      <c r="J223" s="25" t="s">
        <v>924</v>
      </c>
      <c r="K223" s="25" t="s">
        <v>71</v>
      </c>
      <c r="L223" s="25" t="s">
        <v>1080</v>
      </c>
      <c r="M223" s="20" t="s">
        <v>930</v>
      </c>
      <c r="N223" s="20" t="s">
        <v>931</v>
      </c>
      <c r="O223" s="20" t="s">
        <v>63</v>
      </c>
      <c r="P223" s="20" t="s">
        <v>52</v>
      </c>
      <c r="Q223" s="26"/>
      <c r="R223" s="26"/>
      <c r="S223" s="26"/>
      <c r="T223" s="20"/>
      <c r="U223" s="26"/>
      <c r="V223" s="26"/>
      <c r="W223" s="20"/>
      <c r="X223" s="20"/>
      <c r="Y223" s="20"/>
      <c r="Z223" s="20"/>
      <c r="AA223" s="20"/>
      <c r="AB223" s="20"/>
      <c r="AC223" s="20"/>
      <c r="AD223" s="20"/>
      <c r="AE223" s="20"/>
    </row>
    <row r="224">
      <c r="A224" s="21">
        <v>4.0</v>
      </c>
      <c r="B224" s="20" t="s">
        <v>270</v>
      </c>
      <c r="C224" s="20" t="s">
        <v>487</v>
      </c>
      <c r="I224" s="25" t="s">
        <v>632</v>
      </c>
      <c r="J224" s="25" t="s">
        <v>829</v>
      </c>
      <c r="K224" s="25" t="s">
        <v>71</v>
      </c>
      <c r="L224" s="25" t="s">
        <v>1089</v>
      </c>
      <c r="M224" s="20" t="s">
        <v>877</v>
      </c>
      <c r="N224" s="20" t="s">
        <v>878</v>
      </c>
      <c r="O224" s="20" t="s">
        <v>56</v>
      </c>
      <c r="P224" s="20" t="s">
        <v>52</v>
      </c>
      <c r="Q224" s="26"/>
      <c r="R224" s="26"/>
      <c r="S224" s="26"/>
      <c r="T224" s="20"/>
      <c r="U224" s="26"/>
      <c r="V224" s="26"/>
      <c r="W224" s="20"/>
      <c r="X224" s="20"/>
      <c r="Y224" s="20"/>
      <c r="Z224" s="20"/>
      <c r="AA224" s="20"/>
      <c r="AB224" s="20"/>
      <c r="AC224" s="20"/>
      <c r="AD224" s="20"/>
      <c r="AE224" s="20"/>
    </row>
    <row r="225">
      <c r="A225" s="21">
        <v>4.0</v>
      </c>
      <c r="B225" s="20" t="s">
        <v>270</v>
      </c>
      <c r="C225" s="20" t="s">
        <v>487</v>
      </c>
      <c r="I225" s="25" t="s">
        <v>735</v>
      </c>
      <c r="J225" s="25" t="s">
        <v>924</v>
      </c>
      <c r="K225" s="25" t="s">
        <v>71</v>
      </c>
      <c r="L225" s="25" t="s">
        <v>292</v>
      </c>
      <c r="M225" s="20" t="s">
        <v>932</v>
      </c>
      <c r="N225" s="20" t="s">
        <v>933</v>
      </c>
      <c r="O225" s="20" t="s">
        <v>63</v>
      </c>
      <c r="P225" s="20" t="s">
        <v>52</v>
      </c>
      <c r="Q225" s="26"/>
      <c r="R225" s="26"/>
      <c r="S225" s="26"/>
      <c r="T225" s="22"/>
      <c r="U225" s="26"/>
      <c r="V225" s="26"/>
      <c r="W225" s="20"/>
      <c r="X225" s="20"/>
      <c r="Y225" s="20"/>
      <c r="Z225" s="20"/>
      <c r="AA225" s="20"/>
      <c r="AB225" s="20"/>
      <c r="AC225" s="20"/>
      <c r="AD225" s="20"/>
      <c r="AE225" s="20"/>
    </row>
    <row r="226">
      <c r="A226" s="21">
        <v>4.0</v>
      </c>
      <c r="B226" s="20" t="s">
        <v>270</v>
      </c>
      <c r="C226" s="20" t="s">
        <v>487</v>
      </c>
      <c r="I226" s="25" t="s">
        <v>602</v>
      </c>
      <c r="J226" s="25" t="s">
        <v>829</v>
      </c>
      <c r="K226" s="25" t="s">
        <v>71</v>
      </c>
      <c r="L226" s="25" t="s">
        <v>1078</v>
      </c>
      <c r="M226" s="20" t="s">
        <v>915</v>
      </c>
      <c r="N226" s="20" t="s">
        <v>916</v>
      </c>
      <c r="O226" s="20" t="s">
        <v>63</v>
      </c>
      <c r="P226" s="20" t="s">
        <v>52</v>
      </c>
      <c r="Q226" s="26"/>
      <c r="R226" s="26"/>
      <c r="S226" s="26"/>
      <c r="T226" s="20"/>
      <c r="U226" s="26"/>
      <c r="V226" s="26"/>
      <c r="W226" s="20"/>
      <c r="X226" s="20"/>
      <c r="Y226" s="20"/>
      <c r="Z226" s="20"/>
      <c r="AA226" s="20"/>
      <c r="AB226" s="20"/>
      <c r="AC226" s="20"/>
      <c r="AD226" s="20"/>
      <c r="AE226" s="20"/>
    </row>
    <row r="227">
      <c r="A227" s="21">
        <v>4.0</v>
      </c>
      <c r="B227" s="20" t="s">
        <v>270</v>
      </c>
      <c r="C227" s="20" t="s">
        <v>487</v>
      </c>
      <c r="I227" s="25" t="s">
        <v>721</v>
      </c>
      <c r="J227" s="25" t="s">
        <v>829</v>
      </c>
      <c r="K227" s="25" t="s">
        <v>71</v>
      </c>
      <c r="L227" s="25" t="s">
        <v>1078</v>
      </c>
      <c r="M227" s="20" t="s">
        <v>917</v>
      </c>
      <c r="N227" s="20" t="s">
        <v>918</v>
      </c>
      <c r="O227" s="20" t="s">
        <v>63</v>
      </c>
      <c r="P227" s="20" t="s">
        <v>52</v>
      </c>
      <c r="Q227" s="26"/>
      <c r="R227" s="26"/>
      <c r="S227" s="26"/>
      <c r="T227" s="20"/>
      <c r="U227" s="26"/>
      <c r="V227" s="26"/>
      <c r="W227" s="20"/>
      <c r="X227" s="20"/>
      <c r="Y227" s="20"/>
      <c r="Z227" s="20"/>
      <c r="AA227" s="20"/>
      <c r="AB227" s="20"/>
      <c r="AC227" s="20"/>
      <c r="AD227" s="20"/>
      <c r="AE227" s="20"/>
    </row>
    <row r="228">
      <c r="A228" s="21">
        <v>4.0</v>
      </c>
      <c r="B228" s="20" t="s">
        <v>270</v>
      </c>
      <c r="C228" s="20" t="s">
        <v>487</v>
      </c>
      <c r="I228" s="25" t="s">
        <v>919</v>
      </c>
      <c r="J228" s="25" t="s">
        <v>829</v>
      </c>
      <c r="K228" s="25" t="s">
        <v>71</v>
      </c>
      <c r="L228" s="25" t="s">
        <v>292</v>
      </c>
      <c r="M228" s="20" t="s">
        <v>920</v>
      </c>
      <c r="N228" s="20" t="s">
        <v>921</v>
      </c>
      <c r="O228" s="20" t="s">
        <v>63</v>
      </c>
      <c r="P228" s="20" t="s">
        <v>52</v>
      </c>
      <c r="Q228" s="26"/>
      <c r="R228" s="26"/>
      <c r="S228" s="26"/>
      <c r="T228" s="22"/>
      <c r="U228" s="26"/>
      <c r="V228" s="26"/>
      <c r="W228" s="20"/>
      <c r="X228" s="20"/>
      <c r="Y228" s="20"/>
      <c r="Z228" s="20"/>
      <c r="AA228" s="20"/>
      <c r="AB228" s="20"/>
      <c r="AC228" s="20"/>
      <c r="AD228" s="20"/>
      <c r="AE228" s="20"/>
    </row>
    <row r="229">
      <c r="A229" s="21">
        <v>4.0</v>
      </c>
      <c r="B229" s="20" t="s">
        <v>270</v>
      </c>
      <c r="C229" s="20" t="s">
        <v>487</v>
      </c>
      <c r="I229" s="25" t="s">
        <v>612</v>
      </c>
      <c r="J229" s="25" t="s">
        <v>829</v>
      </c>
      <c r="K229" s="25" t="s">
        <v>71</v>
      </c>
      <c r="L229" s="25" t="s">
        <v>1089</v>
      </c>
      <c r="M229" s="20" t="s">
        <v>879</v>
      </c>
      <c r="N229" s="20" t="s">
        <v>880</v>
      </c>
      <c r="O229" s="20" t="s">
        <v>56</v>
      </c>
      <c r="P229" s="20" t="s">
        <v>524</v>
      </c>
      <c r="Q229" s="26"/>
      <c r="R229" s="26"/>
      <c r="S229" s="26"/>
      <c r="T229" s="20"/>
      <c r="U229" s="26"/>
      <c r="V229" s="26"/>
      <c r="W229" s="20"/>
      <c r="X229" s="20"/>
      <c r="Y229" s="20"/>
      <c r="Z229" s="20"/>
      <c r="AA229" s="20"/>
      <c r="AB229" s="20"/>
      <c r="AC229" s="20"/>
      <c r="AD229" s="20"/>
      <c r="AE229" s="20"/>
    </row>
    <row r="230">
      <c r="A230" s="21">
        <v>4.0</v>
      </c>
      <c r="B230" s="20" t="s">
        <v>270</v>
      </c>
      <c r="C230" s="20" t="s">
        <v>487</v>
      </c>
      <c r="I230" s="25" t="s">
        <v>728</v>
      </c>
      <c r="J230" s="25" t="s">
        <v>829</v>
      </c>
      <c r="K230" s="25" t="s">
        <v>71</v>
      </c>
      <c r="L230" s="25" t="s">
        <v>1078</v>
      </c>
      <c r="M230" s="20" t="s">
        <v>922</v>
      </c>
      <c r="N230" s="20" t="s">
        <v>923</v>
      </c>
      <c r="O230" s="20" t="s">
        <v>63</v>
      </c>
      <c r="P230" s="20" t="s">
        <v>52</v>
      </c>
      <c r="Q230" s="26"/>
      <c r="R230" s="26"/>
      <c r="S230" s="26"/>
      <c r="T230" s="20"/>
      <c r="U230" s="26"/>
      <c r="V230" s="26"/>
      <c r="W230" s="20"/>
      <c r="X230" s="20"/>
      <c r="Y230" s="20"/>
      <c r="Z230" s="20"/>
      <c r="AA230" s="20"/>
      <c r="AB230" s="20"/>
      <c r="AC230" s="20"/>
      <c r="AD230" s="20"/>
      <c r="AE230" s="20"/>
    </row>
    <row r="231">
      <c r="A231" s="21">
        <v>4.0</v>
      </c>
      <c r="B231" s="20" t="s">
        <v>270</v>
      </c>
      <c r="C231" s="20" t="s">
        <v>487</v>
      </c>
      <c r="I231" s="25" t="s">
        <v>660</v>
      </c>
      <c r="J231" s="25" t="s">
        <v>829</v>
      </c>
      <c r="K231" s="25" t="s">
        <v>71</v>
      </c>
      <c r="L231" s="25" t="s">
        <v>1080</v>
      </c>
      <c r="M231" s="20" t="s">
        <v>882</v>
      </c>
      <c r="N231" s="20" t="s">
        <v>883</v>
      </c>
      <c r="O231" s="20" t="s">
        <v>56</v>
      </c>
      <c r="P231" s="20" t="s">
        <v>52</v>
      </c>
      <c r="Q231" s="26"/>
      <c r="R231" s="26"/>
      <c r="S231" s="26"/>
      <c r="T231" s="20"/>
      <c r="U231" s="26"/>
      <c r="V231" s="26"/>
      <c r="W231" s="20"/>
      <c r="X231" s="20"/>
      <c r="Y231" s="20"/>
      <c r="Z231" s="20"/>
      <c r="AA231" s="20"/>
      <c r="AB231" s="20"/>
      <c r="AC231" s="20"/>
      <c r="AD231" s="20"/>
      <c r="AE231" s="20"/>
    </row>
    <row r="232">
      <c r="A232" s="21">
        <v>5.0</v>
      </c>
      <c r="B232" s="22" t="s">
        <v>240</v>
      </c>
      <c r="C232" s="22" t="s">
        <v>487</v>
      </c>
      <c r="D232" s="23">
        <v>30.0</v>
      </c>
      <c r="E232" s="23">
        <v>2.0</v>
      </c>
      <c r="F232" s="23">
        <v>16.0</v>
      </c>
      <c r="G232" s="23">
        <v>12.0</v>
      </c>
      <c r="H232" s="24" t="s">
        <v>1106</v>
      </c>
      <c r="I232" s="25" t="s">
        <v>586</v>
      </c>
      <c r="J232" s="25" t="s">
        <v>934</v>
      </c>
      <c r="K232" s="25" t="s">
        <v>57</v>
      </c>
      <c r="L232" s="25" t="s">
        <v>1107</v>
      </c>
      <c r="M232" s="25" t="s">
        <v>866</v>
      </c>
      <c r="N232" s="25" t="s">
        <v>935</v>
      </c>
      <c r="O232" s="25" t="s">
        <v>56</v>
      </c>
      <c r="P232" s="25"/>
      <c r="Q232" s="26"/>
      <c r="R232" s="26"/>
      <c r="S232" s="26"/>
      <c r="T232" s="20"/>
      <c r="U232" s="26"/>
      <c r="V232" s="26"/>
      <c r="W232" s="20"/>
      <c r="X232" s="20"/>
      <c r="Y232" s="20"/>
      <c r="Z232" s="20"/>
      <c r="AA232" s="20"/>
      <c r="AB232" s="20"/>
      <c r="AC232" s="20"/>
      <c r="AD232" s="20"/>
      <c r="AE232" s="20"/>
    </row>
    <row r="233">
      <c r="A233" s="21">
        <v>5.0</v>
      </c>
      <c r="B233" s="22" t="s">
        <v>240</v>
      </c>
      <c r="C233" s="22" t="s">
        <v>487</v>
      </c>
      <c r="I233" s="25" t="s">
        <v>716</v>
      </c>
      <c r="J233" s="25" t="s">
        <v>936</v>
      </c>
      <c r="K233" s="25" t="s">
        <v>57</v>
      </c>
      <c r="L233" s="25" t="s">
        <v>1113</v>
      </c>
      <c r="M233" s="25" t="s">
        <v>937</v>
      </c>
      <c r="N233" s="25" t="s">
        <v>938</v>
      </c>
      <c r="O233" s="25" t="s">
        <v>56</v>
      </c>
      <c r="P233" s="25"/>
      <c r="Q233" s="26"/>
      <c r="R233" s="26"/>
      <c r="S233" s="26"/>
      <c r="T233" s="20"/>
      <c r="U233" s="26"/>
      <c r="V233" s="26"/>
      <c r="W233" s="20"/>
      <c r="X233" s="20"/>
      <c r="Y233" s="20"/>
      <c r="Z233" s="20"/>
      <c r="AA233" s="20"/>
      <c r="AB233" s="20"/>
      <c r="AC233" s="20"/>
      <c r="AD233" s="20"/>
      <c r="AE233" s="20"/>
    </row>
    <row r="234">
      <c r="A234" s="21">
        <v>5.0</v>
      </c>
      <c r="B234" s="22" t="s">
        <v>240</v>
      </c>
      <c r="C234" s="22" t="s">
        <v>487</v>
      </c>
      <c r="I234" s="25" t="s">
        <v>270</v>
      </c>
      <c r="J234" s="25" t="s">
        <v>934</v>
      </c>
      <c r="K234" s="25" t="s">
        <v>67</v>
      </c>
      <c r="L234" s="25" t="s">
        <v>1025</v>
      </c>
      <c r="M234" s="25" t="s">
        <v>939</v>
      </c>
      <c r="N234" s="25" t="s">
        <v>940</v>
      </c>
      <c r="O234" s="25" t="s">
        <v>56</v>
      </c>
      <c r="P234" s="25" t="s">
        <v>52</v>
      </c>
      <c r="Q234" s="26"/>
      <c r="R234" s="26"/>
      <c r="S234" s="26"/>
      <c r="T234" s="22"/>
      <c r="U234" s="26"/>
      <c r="V234" s="26"/>
      <c r="W234" s="20"/>
      <c r="X234" s="20"/>
      <c r="Y234" s="20"/>
      <c r="Z234" s="20"/>
      <c r="AA234" s="20"/>
      <c r="AB234" s="20"/>
      <c r="AC234" s="20"/>
      <c r="AD234" s="20"/>
      <c r="AE234" s="20"/>
    </row>
    <row r="235">
      <c r="A235" s="21">
        <v>5.0</v>
      </c>
      <c r="B235" s="22" t="s">
        <v>240</v>
      </c>
      <c r="C235" s="22" t="s">
        <v>487</v>
      </c>
      <c r="I235" s="25" t="s">
        <v>265</v>
      </c>
      <c r="J235" s="25" t="s">
        <v>934</v>
      </c>
      <c r="K235" s="25" t="s">
        <v>67</v>
      </c>
      <c r="L235" s="25" t="s">
        <v>1124</v>
      </c>
      <c r="M235" s="25" t="s">
        <v>941</v>
      </c>
      <c r="N235" s="25" t="s">
        <v>942</v>
      </c>
      <c r="O235" s="25" t="s">
        <v>56</v>
      </c>
      <c r="P235" s="25"/>
      <c r="Q235" s="26"/>
      <c r="R235" s="26"/>
      <c r="S235" s="26"/>
      <c r="T235" s="20"/>
      <c r="U235" s="26"/>
      <c r="V235" s="26"/>
      <c r="W235" s="20"/>
      <c r="X235" s="20"/>
      <c r="Y235" s="20"/>
      <c r="Z235" s="20"/>
      <c r="AA235" s="20"/>
      <c r="AB235" s="20"/>
      <c r="AC235" s="20"/>
      <c r="AD235" s="20"/>
      <c r="AE235" s="20"/>
    </row>
    <row r="236">
      <c r="A236" s="21">
        <v>5.0</v>
      </c>
      <c r="B236" s="22" t="s">
        <v>240</v>
      </c>
      <c r="C236" s="22" t="s">
        <v>487</v>
      </c>
      <c r="I236" s="25" t="s">
        <v>541</v>
      </c>
      <c r="J236" s="25" t="s">
        <v>934</v>
      </c>
      <c r="K236" s="25" t="s">
        <v>67</v>
      </c>
      <c r="L236" s="25" t="s">
        <v>1025</v>
      </c>
      <c r="M236" s="25" t="s">
        <v>944</v>
      </c>
      <c r="N236" s="25" t="s">
        <v>940</v>
      </c>
      <c r="O236" s="25" t="s">
        <v>56</v>
      </c>
      <c r="P236" s="25" t="s">
        <v>52</v>
      </c>
      <c r="Q236" s="26"/>
      <c r="R236" s="26"/>
      <c r="S236" s="26"/>
      <c r="T236" s="22"/>
      <c r="U236" s="26"/>
      <c r="V236" s="26"/>
      <c r="W236" s="20"/>
      <c r="X236" s="20"/>
      <c r="Y236" s="20"/>
      <c r="Z236" s="20"/>
      <c r="AA236" s="20"/>
      <c r="AB236" s="20"/>
      <c r="AC236" s="20"/>
      <c r="AD236" s="20"/>
      <c r="AE236" s="20"/>
    </row>
    <row r="237">
      <c r="A237" s="21">
        <v>5.0</v>
      </c>
      <c r="B237" s="22" t="s">
        <v>240</v>
      </c>
      <c r="C237" s="22" t="s">
        <v>487</v>
      </c>
      <c r="I237" s="25" t="s">
        <v>962</v>
      </c>
      <c r="J237" s="25" t="s">
        <v>936</v>
      </c>
      <c r="K237" s="25" t="s">
        <v>67</v>
      </c>
      <c r="L237" s="25" t="s">
        <v>1133</v>
      </c>
      <c r="M237" s="25" t="s">
        <v>963</v>
      </c>
      <c r="N237" s="25" t="s">
        <v>964</v>
      </c>
      <c r="O237" s="25" t="s">
        <v>56</v>
      </c>
      <c r="P237" s="25" t="s">
        <v>52</v>
      </c>
      <c r="Q237" s="26"/>
      <c r="R237" s="26"/>
      <c r="S237" s="26"/>
      <c r="T237" s="22"/>
      <c r="U237" s="26"/>
      <c r="V237" s="26"/>
      <c r="W237" s="20"/>
      <c r="X237" s="20"/>
      <c r="Y237" s="20"/>
      <c r="Z237" s="20"/>
      <c r="AA237" s="20"/>
      <c r="AB237" s="20"/>
      <c r="AC237" s="20"/>
      <c r="AD237" s="20"/>
      <c r="AE237" s="20"/>
    </row>
    <row r="238">
      <c r="A238" s="21">
        <v>5.0</v>
      </c>
      <c r="B238" s="22" t="s">
        <v>240</v>
      </c>
      <c r="C238" s="22" t="s">
        <v>487</v>
      </c>
      <c r="I238" s="25" t="s">
        <v>705</v>
      </c>
      <c r="J238" s="25" t="s">
        <v>934</v>
      </c>
      <c r="K238" s="25" t="s">
        <v>71</v>
      </c>
      <c r="L238" s="25" t="s">
        <v>1138</v>
      </c>
      <c r="M238" s="25" t="s">
        <v>968</v>
      </c>
      <c r="N238" s="25" t="s">
        <v>969</v>
      </c>
      <c r="O238" s="25" t="s">
        <v>56</v>
      </c>
      <c r="P238" s="25"/>
      <c r="Q238" s="26"/>
      <c r="R238" s="26"/>
      <c r="S238" s="26"/>
      <c r="T238" s="20"/>
      <c r="U238" s="26"/>
      <c r="V238" s="26"/>
      <c r="W238" s="20"/>
      <c r="X238" s="20"/>
      <c r="Y238" s="20"/>
      <c r="Z238" s="20"/>
      <c r="AA238" s="20"/>
      <c r="AB238" s="20"/>
      <c r="AC238" s="20"/>
      <c r="AD238" s="20"/>
      <c r="AE238" s="20"/>
    </row>
    <row r="239">
      <c r="A239" s="21">
        <v>5.0</v>
      </c>
      <c r="B239" s="22" t="s">
        <v>240</v>
      </c>
      <c r="C239" s="22" t="s">
        <v>487</v>
      </c>
      <c r="I239" s="25" t="s">
        <v>704</v>
      </c>
      <c r="J239" s="25" t="s">
        <v>983</v>
      </c>
      <c r="K239" s="25" t="s">
        <v>71</v>
      </c>
      <c r="L239" s="25" t="s">
        <v>1142</v>
      </c>
      <c r="M239" s="25" t="s">
        <v>984</v>
      </c>
      <c r="N239" s="25" t="s">
        <v>985</v>
      </c>
      <c r="O239" s="25" t="s">
        <v>63</v>
      </c>
      <c r="P239" s="25"/>
      <c r="Q239" s="26"/>
      <c r="R239" s="26"/>
      <c r="S239" s="26"/>
      <c r="T239" s="20"/>
      <c r="U239" s="26"/>
      <c r="V239" s="26"/>
      <c r="W239" s="20"/>
      <c r="X239" s="20"/>
      <c r="Y239" s="20"/>
      <c r="Z239" s="20"/>
      <c r="AA239" s="20"/>
      <c r="AB239" s="20"/>
      <c r="AC239" s="20"/>
      <c r="AD239" s="20"/>
      <c r="AE239" s="20"/>
    </row>
    <row r="240">
      <c r="A240" s="21">
        <v>5.0</v>
      </c>
      <c r="B240" s="22" t="s">
        <v>240</v>
      </c>
      <c r="C240" s="22" t="s">
        <v>487</v>
      </c>
      <c r="I240" s="25" t="s">
        <v>570</v>
      </c>
      <c r="J240" s="25" t="s">
        <v>934</v>
      </c>
      <c r="K240" s="25" t="s">
        <v>67</v>
      </c>
      <c r="L240" s="25" t="s">
        <v>1025</v>
      </c>
      <c r="M240" s="25" t="s">
        <v>817</v>
      </c>
      <c r="N240" s="25" t="s">
        <v>945</v>
      </c>
      <c r="O240" s="25" t="s">
        <v>56</v>
      </c>
      <c r="P240" s="25" t="s">
        <v>52</v>
      </c>
      <c r="Q240" s="26"/>
      <c r="R240" s="26"/>
      <c r="S240" s="26"/>
      <c r="T240" s="22"/>
      <c r="U240" s="26"/>
      <c r="V240" s="26"/>
      <c r="W240" s="20"/>
      <c r="X240" s="20"/>
      <c r="Y240" s="20"/>
      <c r="Z240" s="20"/>
      <c r="AA240" s="20"/>
      <c r="AB240" s="20"/>
      <c r="AC240" s="20"/>
      <c r="AD240" s="20"/>
      <c r="AE240" s="20"/>
    </row>
    <row r="241">
      <c r="A241" s="21">
        <v>5.0</v>
      </c>
      <c r="B241" s="22" t="s">
        <v>240</v>
      </c>
      <c r="C241" s="22" t="s">
        <v>487</v>
      </c>
      <c r="I241" s="25" t="s">
        <v>320</v>
      </c>
      <c r="J241" s="25" t="s">
        <v>934</v>
      </c>
      <c r="K241" s="25" t="s">
        <v>67</v>
      </c>
      <c r="L241" s="25" t="s">
        <v>1025</v>
      </c>
      <c r="M241" s="25" t="s">
        <v>776</v>
      </c>
      <c r="N241" s="25" t="s">
        <v>946</v>
      </c>
      <c r="O241" s="25" t="s">
        <v>56</v>
      </c>
      <c r="P241" s="25" t="s">
        <v>52</v>
      </c>
      <c r="Q241" s="26"/>
      <c r="R241" s="26"/>
      <c r="S241" s="26"/>
      <c r="T241" s="22"/>
      <c r="U241" s="26"/>
      <c r="V241" s="26"/>
      <c r="W241" s="20"/>
      <c r="X241" s="20"/>
      <c r="Y241" s="20"/>
      <c r="Z241" s="20"/>
      <c r="AA241" s="20"/>
      <c r="AB241" s="20"/>
      <c r="AC241" s="20"/>
      <c r="AD241" s="20"/>
      <c r="AE241" s="20"/>
    </row>
    <row r="242">
      <c r="A242" s="21">
        <v>5.0</v>
      </c>
      <c r="B242" s="22" t="s">
        <v>240</v>
      </c>
      <c r="C242" s="22" t="s">
        <v>487</v>
      </c>
      <c r="I242" s="25" t="s">
        <v>737</v>
      </c>
      <c r="J242" s="25" t="s">
        <v>934</v>
      </c>
      <c r="K242" s="25" t="s">
        <v>67</v>
      </c>
      <c r="L242" s="25" t="s">
        <v>1133</v>
      </c>
      <c r="M242" s="25" t="s">
        <v>849</v>
      </c>
      <c r="N242" s="25" t="s">
        <v>850</v>
      </c>
      <c r="O242" s="25" t="s">
        <v>56</v>
      </c>
      <c r="P242" s="25" t="s">
        <v>52</v>
      </c>
      <c r="Q242" s="26"/>
      <c r="R242" s="26"/>
      <c r="S242" s="26"/>
      <c r="T242" s="22"/>
      <c r="U242" s="26"/>
      <c r="V242" s="26"/>
      <c r="W242" s="20"/>
      <c r="X242" s="20"/>
      <c r="Y242" s="20"/>
      <c r="Z242" s="20"/>
      <c r="AA242" s="20"/>
      <c r="AB242" s="20"/>
      <c r="AC242" s="20"/>
      <c r="AD242" s="20"/>
      <c r="AE242" s="20"/>
    </row>
    <row r="243">
      <c r="A243" s="21">
        <v>5.0</v>
      </c>
      <c r="B243" s="22" t="s">
        <v>240</v>
      </c>
      <c r="C243" s="22" t="s">
        <v>487</v>
      </c>
      <c r="I243" s="25" t="s">
        <v>701</v>
      </c>
      <c r="J243" s="25" t="s">
        <v>934</v>
      </c>
      <c r="K243" s="25" t="s">
        <v>71</v>
      </c>
      <c r="L243" s="25" t="s">
        <v>1138</v>
      </c>
      <c r="M243" s="25" t="s">
        <v>970</v>
      </c>
      <c r="N243" s="25" t="s">
        <v>935</v>
      </c>
      <c r="O243" s="25" t="s">
        <v>56</v>
      </c>
      <c r="P243" s="25"/>
      <c r="Q243" s="26"/>
      <c r="R243" s="26"/>
      <c r="S243" s="26"/>
      <c r="T243" s="20"/>
      <c r="U243" s="26"/>
      <c r="V243" s="26"/>
      <c r="W243" s="20"/>
      <c r="X243" s="20"/>
      <c r="Y243" s="20"/>
      <c r="Z243" s="20"/>
      <c r="AA243" s="20"/>
      <c r="AB243" s="20"/>
      <c r="AC243" s="20"/>
      <c r="AD243" s="20"/>
      <c r="AE243" s="20"/>
    </row>
    <row r="244">
      <c r="A244" s="21">
        <v>5.0</v>
      </c>
      <c r="B244" s="22" t="s">
        <v>240</v>
      </c>
      <c r="C244" s="22" t="s">
        <v>487</v>
      </c>
      <c r="I244" s="25" t="s">
        <v>706</v>
      </c>
      <c r="J244" s="25" t="s">
        <v>934</v>
      </c>
      <c r="K244" s="25" t="s">
        <v>71</v>
      </c>
      <c r="L244" s="25" t="s">
        <v>1142</v>
      </c>
      <c r="M244" s="25" t="s">
        <v>807</v>
      </c>
      <c r="N244" s="25" t="s">
        <v>979</v>
      </c>
      <c r="O244" s="25" t="s">
        <v>63</v>
      </c>
      <c r="P244" s="25"/>
      <c r="Q244" s="26"/>
      <c r="R244" s="26"/>
      <c r="S244" s="26"/>
      <c r="T244" s="20"/>
      <c r="U244" s="26"/>
      <c r="V244" s="26"/>
      <c r="W244" s="20"/>
      <c r="X244" s="20"/>
      <c r="Y244" s="20"/>
      <c r="Z244" s="20"/>
      <c r="AA244" s="20"/>
      <c r="AB244" s="20"/>
      <c r="AC244" s="20"/>
      <c r="AD244" s="20"/>
      <c r="AE244" s="20"/>
    </row>
    <row r="245">
      <c r="A245" s="21">
        <v>5.0</v>
      </c>
      <c r="B245" s="22" t="s">
        <v>240</v>
      </c>
      <c r="C245" s="22" t="s">
        <v>487</v>
      </c>
      <c r="I245" s="25" t="s">
        <v>947</v>
      </c>
      <c r="J245" s="25" t="s">
        <v>934</v>
      </c>
      <c r="K245" s="25" t="s">
        <v>67</v>
      </c>
      <c r="L245" s="25" t="s">
        <v>1025</v>
      </c>
      <c r="M245" s="25" t="s">
        <v>948</v>
      </c>
      <c r="N245" s="25" t="s">
        <v>949</v>
      </c>
      <c r="O245" s="25" t="s">
        <v>56</v>
      </c>
      <c r="P245" s="25" t="s">
        <v>52</v>
      </c>
      <c r="Q245" s="26"/>
      <c r="R245" s="26"/>
      <c r="S245" s="26"/>
      <c r="T245" s="22"/>
      <c r="U245" s="26"/>
      <c r="V245" s="26"/>
      <c r="W245" s="20"/>
      <c r="X245" s="20"/>
      <c r="Y245" s="20"/>
      <c r="Z245" s="20"/>
      <c r="AA245" s="20"/>
      <c r="AB245" s="20"/>
      <c r="AC245" s="20"/>
      <c r="AD245" s="20"/>
      <c r="AE245" s="20"/>
    </row>
    <row r="246">
      <c r="A246" s="21">
        <v>5.0</v>
      </c>
      <c r="B246" s="22" t="s">
        <v>240</v>
      </c>
      <c r="C246" s="22" t="s">
        <v>487</v>
      </c>
      <c r="I246" s="25" t="s">
        <v>725</v>
      </c>
      <c r="J246" s="25" t="s">
        <v>936</v>
      </c>
      <c r="K246" s="25" t="s">
        <v>71</v>
      </c>
      <c r="L246" s="25" t="s">
        <v>1165</v>
      </c>
      <c r="M246" s="25" t="s">
        <v>988</v>
      </c>
      <c r="N246" s="25" t="s">
        <v>989</v>
      </c>
      <c r="O246" s="25" t="s">
        <v>63</v>
      </c>
      <c r="P246" s="25"/>
      <c r="Q246" s="26"/>
      <c r="R246" s="26"/>
      <c r="S246" s="26"/>
      <c r="T246" s="20"/>
      <c r="U246" s="26"/>
      <c r="V246" s="26"/>
      <c r="W246" s="20"/>
      <c r="X246" s="20"/>
      <c r="Y246" s="20"/>
      <c r="Z246" s="20"/>
      <c r="AA246" s="20"/>
      <c r="AB246" s="20"/>
      <c r="AC246" s="20"/>
      <c r="AD246" s="20"/>
      <c r="AE246" s="20"/>
    </row>
    <row r="247">
      <c r="A247" s="21">
        <v>5.0</v>
      </c>
      <c r="B247" s="22" t="s">
        <v>240</v>
      </c>
      <c r="C247" s="22" t="s">
        <v>487</v>
      </c>
      <c r="I247" s="25" t="s">
        <v>836</v>
      </c>
      <c r="J247" s="25" t="s">
        <v>934</v>
      </c>
      <c r="K247" s="25" t="s">
        <v>67</v>
      </c>
      <c r="L247" s="25" t="s">
        <v>1025</v>
      </c>
      <c r="M247" s="25" t="s">
        <v>950</v>
      </c>
      <c r="N247" s="25" t="s">
        <v>951</v>
      </c>
      <c r="O247" s="25" t="s">
        <v>56</v>
      </c>
      <c r="P247" s="25" t="s">
        <v>52</v>
      </c>
      <c r="Q247" s="26"/>
      <c r="R247" s="26"/>
      <c r="S247" s="26"/>
      <c r="T247" s="22"/>
      <c r="U247" s="26"/>
      <c r="V247" s="26"/>
      <c r="W247" s="20"/>
      <c r="X247" s="20"/>
      <c r="Y247" s="20"/>
      <c r="Z247" s="20"/>
      <c r="AA247" s="20"/>
      <c r="AB247" s="20"/>
      <c r="AC247" s="20"/>
      <c r="AD247" s="20"/>
      <c r="AE247" s="20"/>
    </row>
    <row r="248">
      <c r="A248" s="21">
        <v>5.0</v>
      </c>
      <c r="B248" s="22" t="s">
        <v>240</v>
      </c>
      <c r="C248" s="22" t="s">
        <v>487</v>
      </c>
      <c r="I248" s="25" t="s">
        <v>561</v>
      </c>
      <c r="J248" s="25" t="s">
        <v>934</v>
      </c>
      <c r="K248" s="25" t="s">
        <v>67</v>
      </c>
      <c r="L248" s="25" t="s">
        <v>1025</v>
      </c>
      <c r="M248" s="25" t="s">
        <v>814</v>
      </c>
      <c r="N248" s="25" t="s">
        <v>952</v>
      </c>
      <c r="O248" s="25" t="s">
        <v>56</v>
      </c>
      <c r="P248" s="25" t="s">
        <v>52</v>
      </c>
      <c r="Q248" s="26"/>
      <c r="R248" s="26"/>
      <c r="S248" s="26"/>
      <c r="T248" s="22"/>
      <c r="U248" s="26"/>
      <c r="V248" s="26"/>
      <c r="W248" s="20"/>
      <c r="X248" s="20"/>
      <c r="Y248" s="20"/>
      <c r="Z248" s="20"/>
      <c r="AA248" s="20"/>
      <c r="AB248" s="20"/>
      <c r="AC248" s="20"/>
      <c r="AD248" s="20"/>
      <c r="AE248" s="20"/>
    </row>
    <row r="249">
      <c r="A249" s="21">
        <v>5.0</v>
      </c>
      <c r="B249" s="22" t="s">
        <v>240</v>
      </c>
      <c r="C249" s="22" t="s">
        <v>487</v>
      </c>
      <c r="I249" s="25" t="s">
        <v>953</v>
      </c>
      <c r="J249" s="25" t="s">
        <v>934</v>
      </c>
      <c r="K249" s="25" t="s">
        <v>67</v>
      </c>
      <c r="L249" s="25" t="s">
        <v>1025</v>
      </c>
      <c r="M249" s="25" t="s">
        <v>954</v>
      </c>
      <c r="N249" s="25" t="s">
        <v>955</v>
      </c>
      <c r="O249" s="25" t="s">
        <v>56</v>
      </c>
      <c r="P249" s="25" t="s">
        <v>52</v>
      </c>
      <c r="Q249" s="26"/>
      <c r="R249" s="26"/>
      <c r="S249" s="26"/>
      <c r="T249" s="22"/>
      <c r="U249" s="26"/>
      <c r="V249" s="26"/>
      <c r="W249" s="20"/>
      <c r="X249" s="20"/>
      <c r="Y249" s="20"/>
      <c r="Z249" s="20"/>
      <c r="AA249" s="20"/>
      <c r="AB249" s="20"/>
      <c r="AC249" s="20"/>
      <c r="AD249" s="20"/>
      <c r="AE249" s="20"/>
    </row>
    <row r="250">
      <c r="A250" s="21">
        <v>5.0</v>
      </c>
      <c r="B250" s="22" t="s">
        <v>240</v>
      </c>
      <c r="C250" s="22" t="s">
        <v>487</v>
      </c>
      <c r="I250" s="25" t="s">
        <v>632</v>
      </c>
      <c r="J250" s="25" t="s">
        <v>934</v>
      </c>
      <c r="K250" s="25" t="s">
        <v>67</v>
      </c>
      <c r="L250" s="25" t="s">
        <v>1025</v>
      </c>
      <c r="M250" s="25" t="s">
        <v>956</v>
      </c>
      <c r="N250" s="25" t="s">
        <v>957</v>
      </c>
      <c r="O250" s="25" t="s">
        <v>56</v>
      </c>
      <c r="P250" s="25" t="s">
        <v>52</v>
      </c>
      <c r="Q250" s="26"/>
      <c r="R250" s="26"/>
      <c r="S250" s="26"/>
      <c r="T250" s="22"/>
      <c r="U250" s="26"/>
      <c r="V250" s="26"/>
      <c r="W250" s="20"/>
      <c r="X250" s="20"/>
      <c r="Y250" s="20"/>
      <c r="Z250" s="20"/>
      <c r="AA250" s="20"/>
      <c r="AB250" s="20"/>
      <c r="AC250" s="20"/>
      <c r="AD250" s="20"/>
      <c r="AE250" s="20"/>
    </row>
    <row r="251">
      <c r="A251" s="21">
        <v>5.0</v>
      </c>
      <c r="B251" s="22" t="s">
        <v>240</v>
      </c>
      <c r="C251" s="22" t="s">
        <v>487</v>
      </c>
      <c r="I251" s="25" t="s">
        <v>658</v>
      </c>
      <c r="J251" s="25" t="s">
        <v>934</v>
      </c>
      <c r="K251" s="25" t="s">
        <v>67</v>
      </c>
      <c r="L251" s="25" t="s">
        <v>1025</v>
      </c>
      <c r="M251" s="25" t="s">
        <v>958</v>
      </c>
      <c r="N251" s="25" t="s">
        <v>959</v>
      </c>
      <c r="O251" s="25" t="s">
        <v>56</v>
      </c>
      <c r="P251" s="25" t="s">
        <v>52</v>
      </c>
      <c r="Q251" s="26"/>
      <c r="R251" s="26"/>
      <c r="S251" s="26"/>
      <c r="T251" s="22"/>
      <c r="U251" s="26"/>
      <c r="V251" s="26"/>
      <c r="W251" s="20"/>
      <c r="X251" s="20"/>
      <c r="Y251" s="20"/>
      <c r="Z251" s="20"/>
      <c r="AA251" s="20"/>
      <c r="AB251" s="20"/>
      <c r="AC251" s="20"/>
      <c r="AD251" s="20"/>
      <c r="AE251" s="20"/>
    </row>
    <row r="252">
      <c r="A252" s="21">
        <v>5.0</v>
      </c>
      <c r="B252" s="22" t="s">
        <v>240</v>
      </c>
      <c r="C252" s="22" t="s">
        <v>487</v>
      </c>
      <c r="I252" s="25" t="s">
        <v>965</v>
      </c>
      <c r="J252" s="25" t="s">
        <v>936</v>
      </c>
      <c r="K252" s="25" t="s">
        <v>67</v>
      </c>
      <c r="L252" s="25" t="s">
        <v>1025</v>
      </c>
      <c r="M252" s="25" t="s">
        <v>966</v>
      </c>
      <c r="N252" s="25" t="s">
        <v>967</v>
      </c>
      <c r="O252" s="25" t="s">
        <v>56</v>
      </c>
      <c r="P252" s="25" t="s">
        <v>52</v>
      </c>
      <c r="Q252" s="26"/>
      <c r="R252" s="26"/>
      <c r="S252" s="26"/>
      <c r="T252" s="22"/>
      <c r="U252" s="26"/>
      <c r="V252" s="26"/>
      <c r="W252" s="20"/>
      <c r="X252" s="20"/>
      <c r="Y252" s="20"/>
      <c r="Z252" s="20"/>
      <c r="AA252" s="20"/>
      <c r="AB252" s="20"/>
      <c r="AC252" s="20"/>
      <c r="AD252" s="20"/>
      <c r="AE252" s="20"/>
    </row>
    <row r="253">
      <c r="A253" s="21">
        <v>5.0</v>
      </c>
      <c r="B253" s="22" t="s">
        <v>240</v>
      </c>
      <c r="C253" s="22" t="s">
        <v>487</v>
      </c>
      <c r="I253" s="25" t="s">
        <v>283</v>
      </c>
      <c r="J253" s="25" t="s">
        <v>934</v>
      </c>
      <c r="K253" s="25" t="s">
        <v>67</v>
      </c>
      <c r="L253" s="25" t="s">
        <v>1025</v>
      </c>
      <c r="M253" s="25" t="s">
        <v>960</v>
      </c>
      <c r="N253" s="25" t="s">
        <v>961</v>
      </c>
      <c r="O253" s="25" t="s">
        <v>56</v>
      </c>
      <c r="P253" s="25" t="s">
        <v>52</v>
      </c>
      <c r="Q253" s="26"/>
      <c r="R253" s="26"/>
      <c r="S253" s="26"/>
      <c r="T253" s="22"/>
      <c r="U253" s="26"/>
      <c r="V253" s="26"/>
      <c r="W253" s="20"/>
      <c r="X253" s="20"/>
      <c r="Y253" s="20"/>
      <c r="Z253" s="20"/>
      <c r="AA253" s="20"/>
      <c r="AB253" s="20"/>
      <c r="AC253" s="20"/>
      <c r="AD253" s="20"/>
      <c r="AE253" s="20"/>
    </row>
    <row r="254">
      <c r="A254" s="21">
        <v>5.0</v>
      </c>
      <c r="B254" s="22" t="s">
        <v>240</v>
      </c>
      <c r="C254" s="22" t="s">
        <v>487</v>
      </c>
      <c r="I254" s="25" t="s">
        <v>980</v>
      </c>
      <c r="J254" s="25" t="s">
        <v>934</v>
      </c>
      <c r="K254" s="25" t="s">
        <v>71</v>
      </c>
      <c r="L254" s="25" t="s">
        <v>1142</v>
      </c>
      <c r="M254" s="25" t="s">
        <v>981</v>
      </c>
      <c r="N254" s="25" t="s">
        <v>982</v>
      </c>
      <c r="O254" s="25" t="s">
        <v>63</v>
      </c>
      <c r="P254" s="25"/>
      <c r="Q254" s="26"/>
      <c r="R254" s="26"/>
      <c r="S254" s="26"/>
      <c r="T254" s="20"/>
      <c r="U254" s="26"/>
      <c r="V254" s="26"/>
      <c r="W254" s="20"/>
      <c r="X254" s="20"/>
      <c r="Y254" s="20"/>
      <c r="Z254" s="20"/>
      <c r="AA254" s="20"/>
      <c r="AB254" s="20"/>
      <c r="AC254" s="20"/>
      <c r="AD254" s="20"/>
      <c r="AE254" s="20"/>
    </row>
    <row r="255">
      <c r="A255" s="21">
        <v>5.0</v>
      </c>
      <c r="B255" s="20" t="s">
        <v>240</v>
      </c>
      <c r="C255" s="20" t="s">
        <v>487</v>
      </c>
      <c r="I255" s="25" t="s">
        <v>222</v>
      </c>
      <c r="J255" s="25" t="s">
        <v>934</v>
      </c>
      <c r="K255" s="25" t="s">
        <v>71</v>
      </c>
      <c r="L255" s="25" t="s">
        <v>673</v>
      </c>
      <c r="M255" s="20" t="s">
        <v>971</v>
      </c>
      <c r="N255" s="20" t="s">
        <v>972</v>
      </c>
      <c r="O255" s="20" t="s">
        <v>56</v>
      </c>
      <c r="P255" s="20" t="s">
        <v>52</v>
      </c>
      <c r="Q255" s="26"/>
      <c r="R255" s="26"/>
      <c r="S255" s="26"/>
      <c r="T255" s="20"/>
      <c r="U255" s="26"/>
      <c r="V255" s="26"/>
      <c r="W255" s="20"/>
      <c r="X255" s="20"/>
      <c r="Y255" s="20"/>
      <c r="Z255" s="20"/>
      <c r="AA255" s="20"/>
      <c r="AB255" s="20"/>
      <c r="AC255" s="20"/>
      <c r="AD255" s="20"/>
      <c r="AE255" s="20"/>
    </row>
    <row r="256">
      <c r="A256" s="21">
        <v>5.0</v>
      </c>
      <c r="B256" s="20" t="s">
        <v>240</v>
      </c>
      <c r="C256" s="20" t="s">
        <v>487</v>
      </c>
      <c r="I256" s="25" t="s">
        <v>367</v>
      </c>
      <c r="J256" s="25" t="s">
        <v>983</v>
      </c>
      <c r="K256" s="25" t="s">
        <v>71</v>
      </c>
      <c r="L256" s="25" t="s">
        <v>715</v>
      </c>
      <c r="M256" s="20" t="s">
        <v>986</v>
      </c>
      <c r="N256" s="20" t="s">
        <v>987</v>
      </c>
      <c r="O256" s="20" t="s">
        <v>63</v>
      </c>
      <c r="P256" s="20" t="s">
        <v>52</v>
      </c>
      <c r="Q256" s="26"/>
      <c r="R256" s="26"/>
      <c r="S256" s="26"/>
      <c r="T256" s="20"/>
      <c r="U256" s="26"/>
      <c r="V256" s="26"/>
      <c r="W256" s="20"/>
      <c r="X256" s="20"/>
      <c r="Y256" s="20"/>
      <c r="Z256" s="20"/>
      <c r="AA256" s="20"/>
      <c r="AB256" s="20"/>
      <c r="AC256" s="20"/>
      <c r="AD256" s="20"/>
      <c r="AE256" s="20"/>
    </row>
    <row r="257">
      <c r="A257" s="21">
        <v>5.0</v>
      </c>
      <c r="B257" s="20" t="s">
        <v>240</v>
      </c>
      <c r="C257" s="20" t="s">
        <v>487</v>
      </c>
      <c r="I257" s="25" t="s">
        <v>593</v>
      </c>
      <c r="J257" s="25" t="s">
        <v>934</v>
      </c>
      <c r="K257" s="25" t="s">
        <v>71</v>
      </c>
      <c r="L257" s="25" t="s">
        <v>1192</v>
      </c>
      <c r="M257" s="20" t="s">
        <v>971</v>
      </c>
      <c r="N257" s="20" t="s">
        <v>972</v>
      </c>
      <c r="O257" s="20" t="s">
        <v>56</v>
      </c>
      <c r="P257" s="20" t="s">
        <v>52</v>
      </c>
      <c r="Q257" s="26"/>
      <c r="R257" s="26"/>
      <c r="S257" s="26"/>
      <c r="T257" s="20"/>
      <c r="U257" s="26"/>
      <c r="V257" s="26"/>
      <c r="W257" s="20"/>
      <c r="X257" s="20"/>
      <c r="Y257" s="20"/>
      <c r="Z257" s="20"/>
      <c r="AA257" s="20"/>
      <c r="AB257" s="20"/>
      <c r="AC257" s="20"/>
      <c r="AD257" s="20"/>
      <c r="AE257" s="20"/>
    </row>
    <row r="258">
      <c r="A258" s="21">
        <v>5.0</v>
      </c>
      <c r="B258" s="20" t="s">
        <v>240</v>
      </c>
      <c r="C258" s="20" t="s">
        <v>487</v>
      </c>
      <c r="I258" s="25" t="s">
        <v>530</v>
      </c>
      <c r="J258" s="25" t="s">
        <v>934</v>
      </c>
      <c r="K258" s="25" t="s">
        <v>67</v>
      </c>
      <c r="L258" s="25" t="s">
        <v>1025</v>
      </c>
      <c r="M258" s="20" t="s">
        <v>804</v>
      </c>
      <c r="N258" s="20" t="s">
        <v>935</v>
      </c>
      <c r="O258" s="20" t="s">
        <v>56</v>
      </c>
      <c r="P258" s="20" t="s">
        <v>52</v>
      </c>
      <c r="Q258" s="26"/>
      <c r="R258" s="26"/>
      <c r="S258" s="26"/>
      <c r="T258" s="22"/>
      <c r="U258" s="26"/>
      <c r="V258" s="26"/>
      <c r="W258" s="20"/>
      <c r="X258" s="20"/>
      <c r="Y258" s="20"/>
      <c r="Z258" s="20"/>
      <c r="AA258" s="20"/>
      <c r="AB258" s="20"/>
      <c r="AC258" s="20"/>
      <c r="AD258" s="20"/>
      <c r="AE258" s="20"/>
    </row>
    <row r="259">
      <c r="A259" s="21">
        <v>5.0</v>
      </c>
      <c r="B259" s="20" t="s">
        <v>240</v>
      </c>
      <c r="C259" s="20" t="s">
        <v>487</v>
      </c>
      <c r="I259" s="25" t="s">
        <v>495</v>
      </c>
      <c r="J259" s="25" t="s">
        <v>934</v>
      </c>
      <c r="K259" s="25" t="s">
        <v>71</v>
      </c>
      <c r="L259" s="25" t="s">
        <v>881</v>
      </c>
      <c r="M259" s="20" t="s">
        <v>973</v>
      </c>
      <c r="N259" s="20" t="s">
        <v>974</v>
      </c>
      <c r="O259" s="20" t="s">
        <v>56</v>
      </c>
      <c r="P259" s="20" t="s">
        <v>52</v>
      </c>
      <c r="Q259" s="26"/>
      <c r="R259" s="26"/>
      <c r="S259" s="26"/>
      <c r="T259" s="20"/>
      <c r="U259" s="26"/>
      <c r="V259" s="26"/>
      <c r="W259" s="20"/>
      <c r="X259" s="20"/>
      <c r="Y259" s="20"/>
      <c r="Z259" s="20"/>
      <c r="AA259" s="20"/>
      <c r="AB259" s="20"/>
      <c r="AC259" s="20"/>
      <c r="AD259" s="20"/>
      <c r="AE259" s="20"/>
    </row>
    <row r="260">
      <c r="A260" s="21">
        <v>5.0</v>
      </c>
      <c r="B260" s="20" t="s">
        <v>240</v>
      </c>
      <c r="C260" s="20" t="s">
        <v>487</v>
      </c>
      <c r="I260" s="25" t="s">
        <v>278</v>
      </c>
      <c r="J260" s="25" t="s">
        <v>936</v>
      </c>
      <c r="K260" s="25" t="s">
        <v>71</v>
      </c>
      <c r="L260" s="25" t="s">
        <v>673</v>
      </c>
      <c r="M260" s="20" t="s">
        <v>977</v>
      </c>
      <c r="N260" s="20" t="s">
        <v>978</v>
      </c>
      <c r="O260" s="20" t="s">
        <v>56</v>
      </c>
      <c r="P260" s="20" t="s">
        <v>52</v>
      </c>
      <c r="Q260" s="26"/>
      <c r="R260" s="26"/>
      <c r="S260" s="26"/>
      <c r="T260" s="20"/>
      <c r="U260" s="26"/>
      <c r="V260" s="26"/>
      <c r="W260" s="20"/>
      <c r="X260" s="20"/>
      <c r="Y260" s="20"/>
      <c r="Z260" s="20"/>
      <c r="AA260" s="20"/>
      <c r="AB260" s="20"/>
      <c r="AC260" s="20"/>
      <c r="AD260" s="20"/>
      <c r="AE260" s="20"/>
    </row>
    <row r="261">
      <c r="A261" s="21">
        <v>5.0</v>
      </c>
      <c r="B261" s="20" t="s">
        <v>240</v>
      </c>
      <c r="C261" s="20" t="s">
        <v>487</v>
      </c>
      <c r="I261" s="25" t="s">
        <v>501</v>
      </c>
      <c r="J261" s="25" t="s">
        <v>934</v>
      </c>
      <c r="K261" s="25" t="s">
        <v>71</v>
      </c>
      <c r="L261" s="25" t="s">
        <v>673</v>
      </c>
      <c r="M261" s="20" t="s">
        <v>975</v>
      </c>
      <c r="N261" s="20" t="s">
        <v>976</v>
      </c>
      <c r="O261" s="20" t="s">
        <v>56</v>
      </c>
      <c r="P261" s="20" t="s">
        <v>52</v>
      </c>
      <c r="Q261" s="26"/>
      <c r="R261" s="26"/>
      <c r="S261" s="26"/>
      <c r="T261" s="20"/>
      <c r="U261" s="26"/>
      <c r="V261" s="26"/>
      <c r="W261" s="20"/>
      <c r="X261" s="20"/>
      <c r="Y261" s="20"/>
      <c r="Z261" s="20"/>
      <c r="AA261" s="20"/>
      <c r="AB261" s="20"/>
      <c r="AC261" s="20"/>
      <c r="AD261" s="20"/>
      <c r="AE261" s="20"/>
    </row>
    <row r="262">
      <c r="A262" s="21">
        <v>6.0</v>
      </c>
      <c r="B262" s="22" t="s">
        <v>593</v>
      </c>
      <c r="C262" s="22" t="s">
        <v>487</v>
      </c>
      <c r="D262" s="23">
        <v>30.0</v>
      </c>
      <c r="E262" s="23">
        <v>2.0</v>
      </c>
      <c r="F262" s="23">
        <v>3.0</v>
      </c>
      <c r="G262" s="23">
        <v>25.0</v>
      </c>
      <c r="H262" s="24" t="s">
        <v>1198</v>
      </c>
      <c r="I262" s="25" t="s">
        <v>296</v>
      </c>
      <c r="J262" s="25" t="s">
        <v>990</v>
      </c>
      <c r="K262" s="25" t="s">
        <v>57</v>
      </c>
      <c r="L262" s="25" t="s">
        <v>1199</v>
      </c>
      <c r="M262" s="25" t="s">
        <v>61</v>
      </c>
      <c r="N262" s="25" t="s">
        <v>991</v>
      </c>
      <c r="O262" s="25" t="s">
        <v>63</v>
      </c>
      <c r="P262" s="25"/>
      <c r="Q262" s="26"/>
      <c r="R262" s="26"/>
      <c r="S262" s="26"/>
      <c r="T262" s="20"/>
      <c r="U262" s="26"/>
      <c r="V262" s="26"/>
      <c r="W262" s="20"/>
      <c r="X262" s="20"/>
      <c r="Y262" s="20"/>
      <c r="Z262" s="20"/>
      <c r="AA262" s="20"/>
      <c r="AB262" s="20"/>
      <c r="AC262" s="20"/>
      <c r="AD262" s="20"/>
      <c r="AE262" s="20"/>
    </row>
    <row r="263">
      <c r="A263" s="21">
        <v>6.0</v>
      </c>
      <c r="B263" s="22" t="s">
        <v>593</v>
      </c>
      <c r="C263" s="22" t="s">
        <v>487</v>
      </c>
      <c r="I263" s="25" t="s">
        <v>247</v>
      </c>
      <c r="J263" s="25" t="s">
        <v>990</v>
      </c>
      <c r="K263" s="25" t="s">
        <v>57</v>
      </c>
      <c r="L263" s="25" t="s">
        <v>1201</v>
      </c>
      <c r="M263" s="25" t="s">
        <v>905</v>
      </c>
      <c r="N263" s="25" t="s">
        <v>906</v>
      </c>
      <c r="O263" s="25" t="s">
        <v>63</v>
      </c>
      <c r="P263" s="25" t="s">
        <v>749</v>
      </c>
      <c r="Q263" s="26"/>
      <c r="R263" s="26"/>
      <c r="S263" s="26"/>
      <c r="T263" s="20"/>
      <c r="U263" s="26"/>
      <c r="V263" s="26"/>
      <c r="W263" s="20"/>
      <c r="X263" s="20"/>
      <c r="Y263" s="20"/>
      <c r="Z263" s="20"/>
      <c r="AA263" s="20"/>
      <c r="AB263" s="20"/>
      <c r="AC263" s="20"/>
      <c r="AD263" s="20"/>
      <c r="AE263" s="20"/>
    </row>
    <row r="264">
      <c r="A264" s="21">
        <v>6.0</v>
      </c>
      <c r="B264" s="22" t="s">
        <v>593</v>
      </c>
      <c r="C264" s="22" t="s">
        <v>487</v>
      </c>
      <c r="I264" s="25" t="s">
        <v>308</v>
      </c>
      <c r="J264" s="25" t="s">
        <v>994</v>
      </c>
      <c r="K264" s="25" t="s">
        <v>67</v>
      </c>
      <c r="L264" s="25" t="s">
        <v>1202</v>
      </c>
      <c r="M264" s="25" t="s">
        <v>995</v>
      </c>
      <c r="N264" s="25" t="s">
        <v>996</v>
      </c>
      <c r="O264" s="25" t="s">
        <v>63</v>
      </c>
      <c r="P264" s="25"/>
      <c r="Q264" s="26"/>
      <c r="R264" s="26"/>
      <c r="S264" s="26"/>
      <c r="T264" s="20"/>
      <c r="U264" s="26"/>
      <c r="V264" s="26"/>
      <c r="W264" s="20"/>
      <c r="X264" s="20"/>
      <c r="Y264" s="20"/>
      <c r="Z264" s="20"/>
      <c r="AA264" s="20"/>
      <c r="AB264" s="20"/>
      <c r="AC264" s="20"/>
      <c r="AD264" s="20"/>
      <c r="AE264" s="20"/>
    </row>
    <row r="265">
      <c r="A265" s="21">
        <v>6.0</v>
      </c>
      <c r="B265" s="22" t="s">
        <v>593</v>
      </c>
      <c r="C265" s="22" t="s">
        <v>487</v>
      </c>
      <c r="I265" s="25" t="s">
        <v>586</v>
      </c>
      <c r="J265" s="25" t="s">
        <v>994</v>
      </c>
      <c r="K265" s="25" t="s">
        <v>67</v>
      </c>
      <c r="L265" s="25" t="s">
        <v>1203</v>
      </c>
      <c r="M265" s="25" t="s">
        <v>998</v>
      </c>
      <c r="N265" s="25" t="s">
        <v>999</v>
      </c>
      <c r="O265" s="25" t="s">
        <v>63</v>
      </c>
      <c r="P265" s="25"/>
      <c r="Q265" s="26"/>
      <c r="R265" s="26"/>
      <c r="S265" s="26"/>
      <c r="T265" s="20"/>
      <c r="U265" s="26"/>
      <c r="V265" s="26"/>
      <c r="W265" s="20"/>
      <c r="X265" s="20"/>
      <c r="Y265" s="20"/>
      <c r="Z265" s="20"/>
      <c r="AA265" s="20"/>
      <c r="AB265" s="20"/>
      <c r="AC265" s="20"/>
      <c r="AD265" s="20"/>
      <c r="AE265" s="20"/>
    </row>
    <row r="266">
      <c r="A266" s="21">
        <v>6.0</v>
      </c>
      <c r="B266" s="22" t="s">
        <v>593</v>
      </c>
      <c r="C266" s="22" t="s">
        <v>487</v>
      </c>
      <c r="I266" s="25" t="s">
        <v>257</v>
      </c>
      <c r="J266" s="25" t="s">
        <v>990</v>
      </c>
      <c r="K266" s="25" t="s">
        <v>67</v>
      </c>
      <c r="L266" s="25" t="s">
        <v>1204</v>
      </c>
      <c r="M266" s="25" t="s">
        <v>61</v>
      </c>
      <c r="N266" s="25" t="s">
        <v>1001</v>
      </c>
      <c r="O266" s="25" t="s">
        <v>63</v>
      </c>
      <c r="P266" s="25"/>
      <c r="Q266" s="26"/>
      <c r="R266" s="26"/>
      <c r="S266" s="26"/>
      <c r="T266" s="20"/>
      <c r="U266" s="26"/>
      <c r="V266" s="26"/>
      <c r="W266" s="20"/>
      <c r="X266" s="20"/>
      <c r="Y266" s="20"/>
      <c r="Z266" s="20"/>
      <c r="AA266" s="20"/>
      <c r="AB266" s="20"/>
      <c r="AC266" s="20"/>
      <c r="AD266" s="20"/>
      <c r="AE266" s="20"/>
    </row>
    <row r="267">
      <c r="A267" s="21">
        <v>6.0</v>
      </c>
      <c r="B267" s="22" t="s">
        <v>593</v>
      </c>
      <c r="C267" s="22" t="s">
        <v>487</v>
      </c>
      <c r="I267" s="25" t="s">
        <v>716</v>
      </c>
      <c r="J267" s="25" t="s">
        <v>994</v>
      </c>
      <c r="K267" s="25" t="s">
        <v>71</v>
      </c>
      <c r="L267" s="25" t="s">
        <v>1011</v>
      </c>
      <c r="M267" s="25" t="s">
        <v>1003</v>
      </c>
      <c r="N267" s="25" t="s">
        <v>1004</v>
      </c>
      <c r="O267" s="25" t="s">
        <v>63</v>
      </c>
      <c r="P267" s="25"/>
      <c r="Q267" s="26"/>
      <c r="R267" s="26"/>
      <c r="S267" s="26"/>
      <c r="T267" s="20"/>
      <c r="U267" s="26"/>
      <c r="V267" s="26"/>
      <c r="W267" s="20"/>
      <c r="X267" s="20"/>
      <c r="Y267" s="20"/>
      <c r="Z267" s="20"/>
      <c r="AA267" s="20"/>
      <c r="AB267" s="20"/>
      <c r="AC267" s="20"/>
      <c r="AD267" s="20"/>
      <c r="AE267" s="20"/>
    </row>
    <row r="268">
      <c r="A268" s="21">
        <v>6.0</v>
      </c>
      <c r="B268" s="22" t="s">
        <v>593</v>
      </c>
      <c r="C268" s="22" t="s">
        <v>487</v>
      </c>
      <c r="I268" s="25" t="s">
        <v>1032</v>
      </c>
      <c r="J268" s="25" t="s">
        <v>1031</v>
      </c>
      <c r="K268" s="25" t="s">
        <v>71</v>
      </c>
      <c r="L268" s="25" t="s">
        <v>292</v>
      </c>
      <c r="M268" s="25" t="s">
        <v>1033</v>
      </c>
      <c r="N268" s="25" t="s">
        <v>1034</v>
      </c>
      <c r="O268" s="25" t="s">
        <v>63</v>
      </c>
      <c r="P268" s="25" t="s">
        <v>52</v>
      </c>
      <c r="Q268" s="26"/>
      <c r="R268" s="26"/>
      <c r="S268" s="26"/>
      <c r="T268" s="22"/>
      <c r="U268" s="26"/>
      <c r="V268" s="26"/>
      <c r="W268" s="20"/>
      <c r="X268" s="20"/>
      <c r="Y268" s="20"/>
      <c r="Z268" s="20"/>
      <c r="AA268" s="20"/>
      <c r="AB268" s="20"/>
      <c r="AC268" s="20"/>
      <c r="AD268" s="20"/>
      <c r="AE268" s="20"/>
    </row>
    <row r="269">
      <c r="A269" s="21">
        <v>6.0</v>
      </c>
      <c r="B269" s="22" t="s">
        <v>593</v>
      </c>
      <c r="C269" s="22" t="s">
        <v>487</v>
      </c>
      <c r="I269" s="25" t="s">
        <v>278</v>
      </c>
      <c r="J269" s="25" t="s">
        <v>1031</v>
      </c>
      <c r="K269" s="25" t="s">
        <v>71</v>
      </c>
      <c r="L269" s="25" t="s">
        <v>1011</v>
      </c>
      <c r="M269" s="25" t="s">
        <v>1035</v>
      </c>
      <c r="N269" s="25" t="s">
        <v>1036</v>
      </c>
      <c r="O269" s="25" t="s">
        <v>63</v>
      </c>
      <c r="P269" s="25"/>
      <c r="Q269" s="26"/>
      <c r="R269" s="26"/>
      <c r="S269" s="26"/>
      <c r="T269" s="20"/>
      <c r="U269" s="26"/>
      <c r="V269" s="26"/>
      <c r="W269" s="20"/>
      <c r="X269" s="20"/>
      <c r="Y269" s="20"/>
      <c r="Z269" s="20"/>
      <c r="AA269" s="20"/>
      <c r="AB269" s="20"/>
      <c r="AC269" s="20"/>
      <c r="AD269" s="20"/>
      <c r="AE269" s="20"/>
    </row>
    <row r="270">
      <c r="A270" s="21">
        <v>6.0</v>
      </c>
      <c r="B270" s="22" t="s">
        <v>593</v>
      </c>
      <c r="C270" s="22" t="s">
        <v>487</v>
      </c>
      <c r="I270" s="25" t="s">
        <v>475</v>
      </c>
      <c r="J270" s="25" t="s">
        <v>1031</v>
      </c>
      <c r="K270" s="25" t="s">
        <v>71</v>
      </c>
      <c r="L270" s="25" t="s">
        <v>1210</v>
      </c>
      <c r="M270" s="25" t="s">
        <v>61</v>
      </c>
      <c r="N270" s="25" t="s">
        <v>1037</v>
      </c>
      <c r="O270" s="25" t="s">
        <v>63</v>
      </c>
      <c r="P270" s="25"/>
      <c r="Q270" s="26"/>
      <c r="R270" s="26"/>
      <c r="S270" s="26"/>
      <c r="T270" s="20"/>
      <c r="U270" s="26"/>
      <c r="V270" s="26"/>
      <c r="W270" s="20"/>
      <c r="X270" s="20"/>
      <c r="Y270" s="20"/>
      <c r="Z270" s="20"/>
      <c r="AA270" s="20"/>
      <c r="AB270" s="20"/>
      <c r="AC270" s="20"/>
      <c r="AD270" s="20"/>
      <c r="AE270" s="20"/>
    </row>
    <row r="271">
      <c r="A271" s="21">
        <v>6.0</v>
      </c>
      <c r="B271" s="22" t="s">
        <v>593</v>
      </c>
      <c r="C271" s="22" t="s">
        <v>487</v>
      </c>
      <c r="I271" s="25" t="s">
        <v>701</v>
      </c>
      <c r="J271" s="25" t="s">
        <v>990</v>
      </c>
      <c r="K271" s="25" t="s">
        <v>71</v>
      </c>
      <c r="L271" s="25" t="s">
        <v>1011</v>
      </c>
      <c r="M271" s="25" t="s">
        <v>1022</v>
      </c>
      <c r="N271" s="25" t="s">
        <v>1023</v>
      </c>
      <c r="O271" s="25" t="s">
        <v>63</v>
      </c>
      <c r="P271" s="25"/>
      <c r="Q271" s="26"/>
      <c r="R271" s="26"/>
      <c r="S271" s="26"/>
      <c r="T271" s="20"/>
      <c r="U271" s="26"/>
      <c r="V271" s="26"/>
      <c r="W271" s="20"/>
      <c r="X271" s="20"/>
      <c r="Y271" s="20"/>
      <c r="Z271" s="20"/>
      <c r="AA271" s="20"/>
      <c r="AB271" s="20"/>
      <c r="AC271" s="20"/>
      <c r="AD271" s="20"/>
      <c r="AE271" s="20"/>
    </row>
    <row r="272">
      <c r="A272" s="21">
        <v>6.0</v>
      </c>
      <c r="B272" s="20" t="s">
        <v>593</v>
      </c>
      <c r="C272" s="20" t="s">
        <v>487</v>
      </c>
      <c r="I272" s="25" t="s">
        <v>302</v>
      </c>
      <c r="J272" s="25" t="s">
        <v>1031</v>
      </c>
      <c r="K272" s="25" t="s">
        <v>71</v>
      </c>
      <c r="L272" s="25" t="s">
        <v>1216</v>
      </c>
      <c r="M272" s="20" t="s">
        <v>61</v>
      </c>
      <c r="N272" s="20" t="s">
        <v>303</v>
      </c>
      <c r="O272" s="20" t="s">
        <v>63</v>
      </c>
      <c r="P272" s="20" t="s">
        <v>52</v>
      </c>
      <c r="Q272" s="26"/>
      <c r="R272" s="26"/>
      <c r="S272" s="26"/>
      <c r="T272" s="20"/>
      <c r="U272" s="26"/>
      <c r="V272" s="26"/>
      <c r="W272" s="20"/>
      <c r="X272" s="20"/>
      <c r="Y272" s="20"/>
      <c r="Z272" s="20"/>
      <c r="AA272" s="20"/>
      <c r="AB272" s="20"/>
      <c r="AC272" s="20"/>
      <c r="AD272" s="20"/>
      <c r="AE272" s="20"/>
    </row>
    <row r="273">
      <c r="A273" s="21">
        <v>6.0</v>
      </c>
      <c r="B273" s="20" t="s">
        <v>593</v>
      </c>
      <c r="C273" s="20" t="s">
        <v>487</v>
      </c>
      <c r="I273" s="25" t="s">
        <v>734</v>
      </c>
      <c r="J273" s="25" t="s">
        <v>1031</v>
      </c>
      <c r="K273" s="25" t="s">
        <v>71</v>
      </c>
      <c r="L273" s="25" t="s">
        <v>1216</v>
      </c>
      <c r="M273" s="20" t="s">
        <v>61</v>
      </c>
      <c r="N273" s="20" t="s">
        <v>1038</v>
      </c>
      <c r="O273" s="20" t="s">
        <v>63</v>
      </c>
      <c r="P273" s="20" t="s">
        <v>524</v>
      </c>
      <c r="Q273" s="26"/>
      <c r="R273" s="26"/>
      <c r="S273" s="26"/>
      <c r="T273" s="20"/>
      <c r="U273" s="26"/>
      <c r="V273" s="26"/>
      <c r="W273" s="20"/>
      <c r="X273" s="20"/>
      <c r="Y273" s="20"/>
      <c r="Z273" s="20"/>
      <c r="AA273" s="20"/>
      <c r="AB273" s="20"/>
      <c r="AC273" s="20"/>
      <c r="AD273" s="20"/>
      <c r="AE273" s="20"/>
    </row>
    <row r="274">
      <c r="A274" s="21">
        <v>6.0</v>
      </c>
      <c r="B274" s="20" t="s">
        <v>593</v>
      </c>
      <c r="C274" s="20" t="s">
        <v>487</v>
      </c>
      <c r="I274" s="25" t="s">
        <v>746</v>
      </c>
      <c r="J274" s="25" t="s">
        <v>1031</v>
      </c>
      <c r="K274" s="25" t="s">
        <v>71</v>
      </c>
      <c r="L274" s="25" t="s">
        <v>1222</v>
      </c>
      <c r="M274" s="20" t="s">
        <v>1039</v>
      </c>
      <c r="N274" s="20" t="s">
        <v>1040</v>
      </c>
      <c r="O274" s="20" t="s">
        <v>63</v>
      </c>
      <c r="P274" s="20" t="s">
        <v>524</v>
      </c>
      <c r="Q274" s="26"/>
      <c r="R274" s="26"/>
      <c r="S274" s="26"/>
      <c r="T274" s="20"/>
      <c r="U274" s="26"/>
      <c r="V274" s="26"/>
      <c r="W274" s="20"/>
      <c r="X274" s="20"/>
      <c r="Y274" s="20"/>
      <c r="Z274" s="20"/>
      <c r="AA274" s="20"/>
      <c r="AB274" s="20"/>
      <c r="AC274" s="20"/>
      <c r="AD274" s="20"/>
      <c r="AE274" s="20"/>
    </row>
    <row r="275">
      <c r="A275" s="21">
        <v>6.0</v>
      </c>
      <c r="B275" s="20" t="s">
        <v>593</v>
      </c>
      <c r="C275" s="20" t="s">
        <v>487</v>
      </c>
      <c r="I275" s="25" t="s">
        <v>544</v>
      </c>
      <c r="J275" s="25" t="s">
        <v>994</v>
      </c>
      <c r="K275" s="25" t="s">
        <v>71</v>
      </c>
      <c r="L275" s="25" t="s">
        <v>1227</v>
      </c>
      <c r="M275" s="20" t="s">
        <v>61</v>
      </c>
      <c r="N275" s="20" t="s">
        <v>1006</v>
      </c>
      <c r="O275" s="20" t="s">
        <v>63</v>
      </c>
      <c r="P275" s="20" t="s">
        <v>52</v>
      </c>
      <c r="Q275" s="26"/>
      <c r="R275" s="26"/>
      <c r="S275" s="26"/>
      <c r="T275" s="20"/>
      <c r="U275" s="26"/>
      <c r="V275" s="26"/>
      <c r="W275" s="20"/>
      <c r="X275" s="20"/>
      <c r="Y275" s="20"/>
      <c r="Z275" s="20"/>
      <c r="AA275" s="20"/>
      <c r="AB275" s="20"/>
      <c r="AC275" s="20"/>
      <c r="AD275" s="20"/>
      <c r="AE275" s="20"/>
    </row>
    <row r="276">
      <c r="A276" s="21">
        <v>6.0</v>
      </c>
      <c r="B276" s="20" t="s">
        <v>593</v>
      </c>
      <c r="C276" s="20" t="s">
        <v>487</v>
      </c>
      <c r="I276" s="25" t="s">
        <v>489</v>
      </c>
      <c r="J276" s="25" t="s">
        <v>1031</v>
      </c>
      <c r="K276" s="25" t="s">
        <v>71</v>
      </c>
      <c r="L276" s="25" t="s">
        <v>1231</v>
      </c>
      <c r="M276" s="20" t="s">
        <v>1041</v>
      </c>
      <c r="N276" s="20" t="s">
        <v>1042</v>
      </c>
      <c r="O276" s="20" t="s">
        <v>63</v>
      </c>
      <c r="P276" s="20" t="s">
        <v>52</v>
      </c>
      <c r="Q276" s="26"/>
      <c r="R276" s="26"/>
      <c r="S276" s="26"/>
      <c r="T276" s="20"/>
      <c r="U276" s="26"/>
      <c r="V276" s="26"/>
      <c r="W276" s="20"/>
      <c r="X276" s="20"/>
      <c r="Y276" s="20"/>
      <c r="Z276" s="20"/>
      <c r="AA276" s="20"/>
      <c r="AB276" s="20"/>
      <c r="AC276" s="20"/>
      <c r="AD276" s="20"/>
      <c r="AE276" s="20"/>
    </row>
    <row r="277">
      <c r="A277" s="21">
        <v>6.0</v>
      </c>
      <c r="B277" s="20" t="s">
        <v>593</v>
      </c>
      <c r="C277" s="20" t="s">
        <v>487</v>
      </c>
      <c r="I277" s="25" t="s">
        <v>557</v>
      </c>
      <c r="J277" s="25" t="s">
        <v>1031</v>
      </c>
      <c r="K277" s="25" t="s">
        <v>71</v>
      </c>
      <c r="L277" s="25" t="s">
        <v>1238</v>
      </c>
      <c r="M277" s="20" t="s">
        <v>1043</v>
      </c>
      <c r="N277" s="20" t="s">
        <v>1040</v>
      </c>
      <c r="O277" s="20" t="s">
        <v>63</v>
      </c>
      <c r="P277" s="20" t="s">
        <v>524</v>
      </c>
      <c r="Q277" s="26"/>
      <c r="R277" s="26"/>
      <c r="S277" s="26"/>
      <c r="T277" s="20"/>
      <c r="U277" s="26"/>
      <c r="V277" s="26"/>
      <c r="W277" s="20"/>
      <c r="X277" s="20"/>
      <c r="Y277" s="20"/>
      <c r="Z277" s="20"/>
      <c r="AA277" s="20"/>
      <c r="AB277" s="20"/>
      <c r="AC277" s="20"/>
      <c r="AD277" s="20"/>
      <c r="AE277" s="20"/>
    </row>
    <row r="278">
      <c r="A278" s="21">
        <v>6.0</v>
      </c>
      <c r="B278" s="20" t="s">
        <v>593</v>
      </c>
      <c r="C278" s="20" t="s">
        <v>487</v>
      </c>
      <c r="I278" s="25" t="s">
        <v>506</v>
      </c>
      <c r="J278" s="25" t="s">
        <v>1031</v>
      </c>
      <c r="K278" s="25" t="s">
        <v>71</v>
      </c>
      <c r="L278" s="25" t="s">
        <v>1243</v>
      </c>
      <c r="M278" s="20" t="s">
        <v>61</v>
      </c>
      <c r="N278" s="20" t="s">
        <v>1044</v>
      </c>
      <c r="O278" s="20" t="s">
        <v>63</v>
      </c>
      <c r="P278" s="20" t="s">
        <v>52</v>
      </c>
      <c r="Q278" s="26"/>
      <c r="R278" s="26"/>
      <c r="S278" s="26"/>
      <c r="T278" s="20"/>
      <c r="U278" s="26"/>
      <c r="V278" s="26"/>
      <c r="W278" s="20"/>
      <c r="X278" s="20"/>
      <c r="Y278" s="20"/>
      <c r="Z278" s="20"/>
      <c r="AA278" s="20"/>
      <c r="AB278" s="20"/>
      <c r="AC278" s="20"/>
      <c r="AD278" s="20"/>
      <c r="AE278" s="20"/>
    </row>
    <row r="279">
      <c r="A279" s="21">
        <v>6.0</v>
      </c>
      <c r="B279" s="20" t="s">
        <v>593</v>
      </c>
      <c r="C279" s="20" t="s">
        <v>487</v>
      </c>
      <c r="I279" s="25" t="s">
        <v>274</v>
      </c>
      <c r="J279" s="25" t="s">
        <v>990</v>
      </c>
      <c r="K279" s="25" t="s">
        <v>71</v>
      </c>
      <c r="L279" s="25" t="s">
        <v>1247</v>
      </c>
      <c r="M279" s="20" t="s">
        <v>61</v>
      </c>
      <c r="N279" s="20" t="s">
        <v>275</v>
      </c>
      <c r="O279" s="20" t="s">
        <v>63</v>
      </c>
      <c r="P279" s="20" t="s">
        <v>52</v>
      </c>
      <c r="Q279" s="26"/>
      <c r="R279" s="26"/>
      <c r="S279" s="26"/>
      <c r="T279" s="20"/>
      <c r="U279" s="26"/>
      <c r="V279" s="26"/>
      <c r="W279" s="20"/>
      <c r="X279" s="20"/>
      <c r="Y279" s="20"/>
      <c r="Z279" s="20"/>
      <c r="AA279" s="20"/>
      <c r="AB279" s="20"/>
      <c r="AC279" s="20"/>
      <c r="AD279" s="20"/>
      <c r="AE279" s="20"/>
    </row>
    <row r="280">
      <c r="A280" s="21">
        <v>6.0</v>
      </c>
      <c r="B280" s="20" t="s">
        <v>593</v>
      </c>
      <c r="C280" s="20" t="s">
        <v>487</v>
      </c>
      <c r="I280" s="25" t="s">
        <v>334</v>
      </c>
      <c r="J280" s="25" t="s">
        <v>994</v>
      </c>
      <c r="K280" s="25" t="s">
        <v>71</v>
      </c>
      <c r="L280" s="25" t="s">
        <v>1252</v>
      </c>
      <c r="M280" s="20" t="s">
        <v>61</v>
      </c>
      <c r="N280" s="20" t="s">
        <v>1007</v>
      </c>
      <c r="O280" s="20" t="s">
        <v>63</v>
      </c>
      <c r="P280" s="20" t="s">
        <v>52</v>
      </c>
      <c r="Q280" s="26"/>
      <c r="R280" s="26"/>
      <c r="S280" s="26"/>
      <c r="T280" s="20"/>
      <c r="U280" s="26"/>
      <c r="V280" s="26"/>
      <c r="W280" s="20"/>
      <c r="X280" s="20"/>
      <c r="Y280" s="20"/>
      <c r="Z280" s="20"/>
      <c r="AA280" s="20"/>
      <c r="AB280" s="20"/>
      <c r="AC280" s="20"/>
      <c r="AD280" s="20"/>
      <c r="AE280" s="20"/>
    </row>
    <row r="281">
      <c r="A281" s="21">
        <v>6.0</v>
      </c>
      <c r="B281" s="20" t="s">
        <v>593</v>
      </c>
      <c r="C281" s="20" t="s">
        <v>487</v>
      </c>
      <c r="I281" s="25" t="s">
        <v>391</v>
      </c>
      <c r="J281" s="25" t="s">
        <v>1031</v>
      </c>
      <c r="K281" s="25" t="s">
        <v>71</v>
      </c>
      <c r="L281" s="25" t="s">
        <v>1222</v>
      </c>
      <c r="M281" s="20" t="s">
        <v>392</v>
      </c>
      <c r="N281" s="20" t="s">
        <v>1045</v>
      </c>
      <c r="O281" s="20" t="s">
        <v>63</v>
      </c>
      <c r="P281" s="20" t="s">
        <v>52</v>
      </c>
      <c r="Q281" s="26"/>
      <c r="R281" s="26"/>
      <c r="S281" s="26"/>
      <c r="T281" s="20"/>
      <c r="U281" s="26"/>
      <c r="V281" s="26"/>
      <c r="W281" s="20"/>
      <c r="X281" s="20"/>
      <c r="Y281" s="20"/>
      <c r="Z281" s="20"/>
      <c r="AA281" s="20"/>
      <c r="AB281" s="20"/>
      <c r="AC281" s="20"/>
      <c r="AD281" s="20"/>
      <c r="AE281" s="20"/>
    </row>
    <row r="282">
      <c r="A282" s="21">
        <v>6.0</v>
      </c>
      <c r="B282" s="20" t="s">
        <v>593</v>
      </c>
      <c r="C282" s="20" t="s">
        <v>487</v>
      </c>
      <c r="I282" s="25" t="s">
        <v>222</v>
      </c>
      <c r="J282" s="25" t="s">
        <v>990</v>
      </c>
      <c r="K282" s="25" t="s">
        <v>71</v>
      </c>
      <c r="L282" s="25" t="s">
        <v>673</v>
      </c>
      <c r="M282" s="20" t="s">
        <v>1026</v>
      </c>
      <c r="N282" s="20" t="s">
        <v>1027</v>
      </c>
      <c r="O282" s="20" t="s">
        <v>63</v>
      </c>
      <c r="P282" s="20" t="s">
        <v>52</v>
      </c>
      <c r="Q282" s="26"/>
      <c r="R282" s="26"/>
      <c r="S282" s="26"/>
      <c r="T282" s="20"/>
      <c r="U282" s="26"/>
      <c r="V282" s="26"/>
      <c r="W282" s="20"/>
      <c r="X282" s="20"/>
      <c r="Y282" s="20"/>
      <c r="Z282" s="20"/>
      <c r="AA282" s="20"/>
      <c r="AB282" s="20"/>
      <c r="AC282" s="20"/>
      <c r="AD282" s="20"/>
      <c r="AE282" s="20"/>
    </row>
    <row r="283">
      <c r="A283" s="21">
        <v>6.0</v>
      </c>
      <c r="B283" s="20" t="s">
        <v>593</v>
      </c>
      <c r="C283" s="20" t="s">
        <v>487</v>
      </c>
      <c r="I283" s="25" t="s">
        <v>733</v>
      </c>
      <c r="J283" s="25" t="s">
        <v>990</v>
      </c>
      <c r="K283" s="25" t="s">
        <v>71</v>
      </c>
      <c r="L283" s="25" t="s">
        <v>1261</v>
      </c>
      <c r="M283" s="20" t="s">
        <v>1028</v>
      </c>
      <c r="N283" s="20" t="s">
        <v>1029</v>
      </c>
      <c r="O283" s="20" t="s">
        <v>63</v>
      </c>
      <c r="P283" s="20" t="s">
        <v>52</v>
      </c>
      <c r="Q283" s="26"/>
      <c r="R283" s="26"/>
      <c r="S283" s="26"/>
      <c r="T283" s="20"/>
      <c r="U283" s="26"/>
      <c r="V283" s="26"/>
      <c r="W283" s="20"/>
      <c r="X283" s="20"/>
      <c r="Y283" s="20"/>
      <c r="Z283" s="20"/>
      <c r="AA283" s="20"/>
      <c r="AB283" s="20"/>
      <c r="AC283" s="20"/>
      <c r="AD283" s="20"/>
      <c r="AE283" s="20"/>
    </row>
    <row r="284">
      <c r="A284" s="21">
        <v>6.0</v>
      </c>
      <c r="B284" s="20" t="s">
        <v>593</v>
      </c>
      <c r="C284" s="20" t="s">
        <v>487</v>
      </c>
      <c r="I284" s="25" t="s">
        <v>289</v>
      </c>
      <c r="J284" s="25" t="s">
        <v>1031</v>
      </c>
      <c r="K284" s="25" t="s">
        <v>71</v>
      </c>
      <c r="L284" s="25" t="s">
        <v>1243</v>
      </c>
      <c r="M284" s="20" t="s">
        <v>1046</v>
      </c>
      <c r="N284" s="20" t="s">
        <v>1047</v>
      </c>
      <c r="O284" s="20" t="s">
        <v>63</v>
      </c>
      <c r="P284" s="20" t="s">
        <v>52</v>
      </c>
      <c r="Q284" s="26"/>
      <c r="R284" s="26"/>
      <c r="S284" s="26"/>
      <c r="T284" s="20"/>
      <c r="U284" s="26"/>
      <c r="V284" s="26"/>
      <c r="W284" s="20"/>
      <c r="X284" s="20"/>
      <c r="Y284" s="20"/>
      <c r="Z284" s="20"/>
      <c r="AA284" s="20"/>
      <c r="AB284" s="20"/>
      <c r="AC284" s="20"/>
      <c r="AD284" s="20"/>
      <c r="AE284" s="20"/>
    </row>
    <row r="285">
      <c r="A285" s="21">
        <v>6.0</v>
      </c>
      <c r="B285" s="20" t="s">
        <v>593</v>
      </c>
      <c r="C285" s="20" t="s">
        <v>487</v>
      </c>
      <c r="I285" s="25" t="s">
        <v>1048</v>
      </c>
      <c r="J285" s="25" t="s">
        <v>1031</v>
      </c>
      <c r="K285" s="25" t="s">
        <v>71</v>
      </c>
      <c r="L285" s="25" t="s">
        <v>1271</v>
      </c>
      <c r="M285" s="20" t="s">
        <v>1049</v>
      </c>
      <c r="N285" s="20" t="s">
        <v>1050</v>
      </c>
      <c r="O285" s="20" t="s">
        <v>63</v>
      </c>
      <c r="P285" s="20" t="s">
        <v>52</v>
      </c>
      <c r="Q285" s="26"/>
      <c r="R285" s="26"/>
      <c r="S285" s="26"/>
      <c r="T285" s="20"/>
      <c r="U285" s="26"/>
      <c r="V285" s="26"/>
      <c r="W285" s="20"/>
      <c r="X285" s="20"/>
      <c r="Y285" s="20"/>
      <c r="Z285" s="20"/>
      <c r="AA285" s="20"/>
      <c r="AB285" s="20"/>
      <c r="AC285" s="20"/>
      <c r="AD285" s="20"/>
      <c r="AE285" s="20"/>
    </row>
    <row r="286">
      <c r="A286" s="21">
        <v>6.0</v>
      </c>
      <c r="B286" s="20" t="s">
        <v>593</v>
      </c>
      <c r="C286" s="20" t="s">
        <v>487</v>
      </c>
      <c r="I286" s="25" t="s">
        <v>265</v>
      </c>
      <c r="J286" s="25" t="s">
        <v>990</v>
      </c>
      <c r="K286" s="25" t="s">
        <v>71</v>
      </c>
      <c r="L286" s="25" t="s">
        <v>715</v>
      </c>
      <c r="M286" s="20" t="s">
        <v>266</v>
      </c>
      <c r="N286" s="20" t="s">
        <v>1030</v>
      </c>
      <c r="O286" s="20" t="s">
        <v>63</v>
      </c>
      <c r="P286" s="20" t="s">
        <v>52</v>
      </c>
      <c r="Q286" s="26"/>
      <c r="R286" s="26"/>
      <c r="S286" s="26"/>
      <c r="T286" s="20"/>
      <c r="U286" s="26"/>
      <c r="V286" s="26"/>
      <c r="W286" s="20"/>
      <c r="X286" s="20"/>
      <c r="Y286" s="20"/>
      <c r="Z286" s="20"/>
      <c r="AA286" s="20"/>
      <c r="AB286" s="20"/>
      <c r="AC286" s="20"/>
      <c r="AD286" s="20"/>
      <c r="AE286" s="20"/>
    </row>
    <row r="287">
      <c r="A287" s="21">
        <v>6.0</v>
      </c>
      <c r="B287" s="20" t="s">
        <v>593</v>
      </c>
      <c r="C287" s="20" t="s">
        <v>487</v>
      </c>
      <c r="I287" s="25" t="s">
        <v>836</v>
      </c>
      <c r="J287" s="25" t="s">
        <v>994</v>
      </c>
      <c r="K287" s="25" t="s">
        <v>71</v>
      </c>
      <c r="L287" s="25" t="s">
        <v>292</v>
      </c>
      <c r="M287" s="20" t="s">
        <v>1009</v>
      </c>
      <c r="N287" s="20" t="s">
        <v>1010</v>
      </c>
      <c r="O287" s="20" t="s">
        <v>63</v>
      </c>
      <c r="P287" s="20" t="s">
        <v>52</v>
      </c>
      <c r="Q287" s="26"/>
      <c r="R287" s="26"/>
      <c r="S287" s="26"/>
      <c r="T287" s="22"/>
      <c r="U287" s="26"/>
      <c r="V287" s="26"/>
      <c r="W287" s="20"/>
      <c r="X287" s="20"/>
      <c r="Y287" s="20"/>
      <c r="Z287" s="20"/>
      <c r="AA287" s="20"/>
      <c r="AB287" s="20"/>
      <c r="AC287" s="20"/>
      <c r="AD287" s="20"/>
      <c r="AE287" s="20"/>
    </row>
    <row r="288">
      <c r="A288" s="21">
        <v>6.0</v>
      </c>
      <c r="B288" s="20" t="s">
        <v>593</v>
      </c>
      <c r="C288" s="20" t="s">
        <v>487</v>
      </c>
      <c r="I288" s="25" t="s">
        <v>1012</v>
      </c>
      <c r="J288" s="25" t="s">
        <v>994</v>
      </c>
      <c r="K288" s="25" t="s">
        <v>71</v>
      </c>
      <c r="L288" s="25" t="s">
        <v>292</v>
      </c>
      <c r="M288" s="20" t="s">
        <v>1013</v>
      </c>
      <c r="N288" s="20" t="s">
        <v>1014</v>
      </c>
      <c r="O288" s="20" t="s">
        <v>63</v>
      </c>
      <c r="P288" s="20" t="s">
        <v>52</v>
      </c>
      <c r="Q288" s="26"/>
      <c r="R288" s="26"/>
      <c r="S288" s="26"/>
      <c r="T288" s="22"/>
      <c r="U288" s="26"/>
      <c r="V288" s="26"/>
      <c r="W288" s="20"/>
      <c r="X288" s="20"/>
      <c r="Y288" s="20"/>
      <c r="Z288" s="20"/>
      <c r="AA288" s="20"/>
      <c r="AB288" s="20"/>
      <c r="AC288" s="20"/>
      <c r="AD288" s="20"/>
      <c r="AE288" s="20"/>
    </row>
    <row r="289">
      <c r="A289" s="21">
        <v>6.0</v>
      </c>
      <c r="B289" s="20" t="s">
        <v>593</v>
      </c>
      <c r="C289" s="20" t="s">
        <v>487</v>
      </c>
      <c r="I289" s="25" t="s">
        <v>888</v>
      </c>
      <c r="J289" s="25" t="s">
        <v>994</v>
      </c>
      <c r="K289" s="25" t="s">
        <v>71</v>
      </c>
      <c r="L289" s="25" t="s">
        <v>292</v>
      </c>
      <c r="M289" s="20" t="s">
        <v>1016</v>
      </c>
      <c r="N289" s="20" t="s">
        <v>1017</v>
      </c>
      <c r="O289" s="20" t="s">
        <v>63</v>
      </c>
      <c r="P289" s="20" t="s">
        <v>52</v>
      </c>
      <c r="Q289" s="26"/>
      <c r="R289" s="26"/>
      <c r="S289" s="26"/>
      <c r="T289" s="22"/>
      <c r="U289" s="26"/>
      <c r="V289" s="26"/>
      <c r="W289" s="20"/>
      <c r="X289" s="20"/>
      <c r="Y289" s="20"/>
      <c r="Z289" s="20"/>
      <c r="AA289" s="20"/>
      <c r="AB289" s="20"/>
      <c r="AC289" s="20"/>
      <c r="AD289" s="20"/>
      <c r="AE289" s="20"/>
    </row>
    <row r="290">
      <c r="A290" s="21">
        <v>6.0</v>
      </c>
      <c r="B290" s="20" t="s">
        <v>593</v>
      </c>
      <c r="C290" s="20" t="s">
        <v>487</v>
      </c>
      <c r="I290" s="25" t="s">
        <v>1018</v>
      </c>
      <c r="J290" s="25" t="s">
        <v>994</v>
      </c>
      <c r="K290" s="25" t="s">
        <v>71</v>
      </c>
      <c r="L290" s="25" t="s">
        <v>292</v>
      </c>
      <c r="M290" s="20" t="s">
        <v>1019</v>
      </c>
      <c r="N290" s="20" t="s">
        <v>1020</v>
      </c>
      <c r="O290" s="20" t="s">
        <v>63</v>
      </c>
      <c r="P290" s="20" t="s">
        <v>52</v>
      </c>
      <c r="Q290" s="26"/>
      <c r="R290" s="26"/>
      <c r="S290" s="26"/>
      <c r="T290" s="22"/>
      <c r="U290" s="26"/>
      <c r="V290" s="26"/>
      <c r="W290" s="20"/>
      <c r="X290" s="20"/>
      <c r="Y290" s="20"/>
      <c r="Z290" s="20"/>
      <c r="AA290" s="20"/>
      <c r="AB290" s="20"/>
      <c r="AC290" s="20"/>
      <c r="AD290" s="20"/>
      <c r="AE290" s="20"/>
    </row>
    <row r="291">
      <c r="A291" s="21">
        <v>6.0</v>
      </c>
      <c r="B291" s="20" t="s">
        <v>593</v>
      </c>
      <c r="C291" s="20" t="s">
        <v>487</v>
      </c>
      <c r="I291" s="25" t="s">
        <v>375</v>
      </c>
      <c r="J291" s="25" t="s">
        <v>1031</v>
      </c>
      <c r="K291" s="25" t="s">
        <v>71</v>
      </c>
      <c r="L291" s="25" t="s">
        <v>292</v>
      </c>
      <c r="M291" s="20" t="s">
        <v>1051</v>
      </c>
      <c r="N291" s="20" t="s">
        <v>1040</v>
      </c>
      <c r="O291" s="20" t="s">
        <v>63</v>
      </c>
      <c r="P291" s="20" t="s">
        <v>52</v>
      </c>
      <c r="Q291" s="26"/>
      <c r="R291" s="26"/>
      <c r="S291" s="26"/>
      <c r="T291" s="22"/>
      <c r="U291" s="26"/>
      <c r="V291" s="26"/>
      <c r="W291" s="20"/>
      <c r="X291" s="20"/>
      <c r="Y291" s="20"/>
      <c r="Z291" s="20"/>
      <c r="AA291" s="20"/>
      <c r="AB291" s="20"/>
      <c r="AC291" s="20"/>
      <c r="AD291" s="20"/>
      <c r="AE291" s="20"/>
    </row>
    <row r="292">
      <c r="A292" s="21">
        <v>7.0</v>
      </c>
      <c r="B292" s="22" t="s">
        <v>701</v>
      </c>
      <c r="C292" s="22" t="s">
        <v>487</v>
      </c>
      <c r="D292" s="23">
        <v>30.0</v>
      </c>
      <c r="E292" s="23">
        <v>3.0</v>
      </c>
      <c r="F292" s="23">
        <v>2.0</v>
      </c>
      <c r="G292" s="23">
        <v>25.0</v>
      </c>
      <c r="H292" s="24" t="s">
        <v>1296</v>
      </c>
      <c r="I292" s="25" t="s">
        <v>278</v>
      </c>
      <c r="J292" s="25" t="s">
        <v>1052</v>
      </c>
      <c r="K292" s="25" t="s">
        <v>57</v>
      </c>
      <c r="L292" s="25" t="s">
        <v>1299</v>
      </c>
      <c r="M292" s="25" t="s">
        <v>61</v>
      </c>
      <c r="N292" s="25" t="s">
        <v>1053</v>
      </c>
      <c r="O292" s="25" t="s">
        <v>56</v>
      </c>
      <c r="P292" s="25"/>
      <c r="Q292" s="26"/>
      <c r="R292" s="26"/>
      <c r="S292" s="26"/>
      <c r="T292" s="20"/>
      <c r="U292" s="26"/>
      <c r="V292" s="26"/>
      <c r="W292" s="20"/>
      <c r="X292" s="20"/>
      <c r="Y292" s="20"/>
      <c r="Z292" s="20"/>
      <c r="AA292" s="20"/>
      <c r="AB292" s="20"/>
      <c r="AC292" s="20"/>
      <c r="AD292" s="20"/>
      <c r="AE292" s="20"/>
    </row>
    <row r="293">
      <c r="A293" s="21">
        <v>7.0</v>
      </c>
      <c r="B293" s="22" t="s">
        <v>701</v>
      </c>
      <c r="C293" s="22" t="s">
        <v>487</v>
      </c>
      <c r="I293" s="25" t="s">
        <v>632</v>
      </c>
      <c r="J293" s="25" t="s">
        <v>1052</v>
      </c>
      <c r="K293" s="25" t="s">
        <v>57</v>
      </c>
      <c r="L293" s="25" t="s">
        <v>1306</v>
      </c>
      <c r="M293" s="25" t="s">
        <v>1054</v>
      </c>
      <c r="N293" s="25" t="s">
        <v>1055</v>
      </c>
      <c r="O293" s="25" t="s">
        <v>63</v>
      </c>
      <c r="P293" s="25"/>
      <c r="Q293" s="26"/>
      <c r="R293" s="26"/>
      <c r="S293" s="26"/>
      <c r="T293" s="20"/>
      <c r="U293" s="26"/>
      <c r="V293" s="26"/>
      <c r="W293" s="20"/>
      <c r="X293" s="20"/>
      <c r="Y293" s="20"/>
      <c r="Z293" s="20"/>
      <c r="AA293" s="20"/>
      <c r="AB293" s="20"/>
      <c r="AC293" s="20"/>
      <c r="AD293" s="20"/>
      <c r="AE293" s="20"/>
    </row>
    <row r="294">
      <c r="A294" s="21">
        <v>7.0</v>
      </c>
      <c r="B294" s="22" t="s">
        <v>701</v>
      </c>
      <c r="C294" s="22" t="s">
        <v>487</v>
      </c>
      <c r="I294" s="25" t="s">
        <v>530</v>
      </c>
      <c r="J294" s="25" t="s">
        <v>1052</v>
      </c>
      <c r="K294" s="25" t="s">
        <v>57</v>
      </c>
      <c r="L294" s="25" t="s">
        <v>1312</v>
      </c>
      <c r="M294" s="25" t="s">
        <v>61</v>
      </c>
      <c r="N294" s="25" t="s">
        <v>1056</v>
      </c>
      <c r="O294" s="25" t="s">
        <v>63</v>
      </c>
      <c r="P294" s="25"/>
      <c r="Q294" s="26"/>
      <c r="R294" s="26"/>
      <c r="S294" s="26"/>
      <c r="T294" s="20"/>
      <c r="U294" s="26"/>
      <c r="V294" s="26"/>
      <c r="W294" s="20"/>
      <c r="X294" s="20"/>
      <c r="Y294" s="20"/>
      <c r="Z294" s="20"/>
      <c r="AA294" s="20"/>
      <c r="AB294" s="20"/>
      <c r="AC294" s="20"/>
      <c r="AD294" s="20"/>
      <c r="AE294" s="20"/>
    </row>
    <row r="295">
      <c r="A295" s="21">
        <v>7.0</v>
      </c>
      <c r="B295" s="22" t="s">
        <v>701</v>
      </c>
      <c r="C295" s="22" t="s">
        <v>487</v>
      </c>
      <c r="I295" s="25" t="s">
        <v>612</v>
      </c>
      <c r="J295" s="25" t="s">
        <v>1052</v>
      </c>
      <c r="K295" s="25" t="s">
        <v>67</v>
      </c>
      <c r="L295" s="25" t="s">
        <v>1318</v>
      </c>
      <c r="M295" s="25" t="s">
        <v>1057</v>
      </c>
      <c r="N295" s="25" t="s">
        <v>1058</v>
      </c>
      <c r="O295" s="25" t="s">
        <v>56</v>
      </c>
      <c r="P295" s="25" t="s">
        <v>749</v>
      </c>
      <c r="Q295" s="26"/>
      <c r="R295" s="26"/>
      <c r="S295" s="26"/>
      <c r="T295" s="20"/>
      <c r="U295" s="26"/>
      <c r="V295" s="26"/>
      <c r="W295" s="20"/>
      <c r="X295" s="20"/>
      <c r="Y295" s="20"/>
      <c r="Z295" s="20"/>
      <c r="AA295" s="20"/>
      <c r="AB295" s="20"/>
      <c r="AC295" s="20"/>
      <c r="AD295" s="20"/>
      <c r="AE295" s="20"/>
    </row>
    <row r="296">
      <c r="A296" s="21">
        <v>7.0</v>
      </c>
      <c r="B296" s="22" t="s">
        <v>701</v>
      </c>
      <c r="C296" s="22" t="s">
        <v>487</v>
      </c>
      <c r="I296" s="25" t="s">
        <v>576</v>
      </c>
      <c r="J296" s="25" t="s">
        <v>1059</v>
      </c>
      <c r="K296" s="25" t="s">
        <v>67</v>
      </c>
      <c r="L296" s="25" t="s">
        <v>1326</v>
      </c>
      <c r="M296" s="25" t="s">
        <v>913</v>
      </c>
      <c r="N296" s="25" t="s">
        <v>1060</v>
      </c>
      <c r="O296" s="25" t="s">
        <v>63</v>
      </c>
      <c r="P296" s="25"/>
      <c r="Q296" s="26"/>
      <c r="R296" s="26"/>
      <c r="S296" s="26"/>
      <c r="T296" s="20"/>
      <c r="U296" s="26"/>
      <c r="V296" s="26"/>
      <c r="W296" s="20"/>
      <c r="X296" s="20"/>
      <c r="Y296" s="20"/>
      <c r="Z296" s="20"/>
      <c r="AA296" s="20"/>
      <c r="AB296" s="20"/>
      <c r="AC296" s="20"/>
      <c r="AD296" s="20"/>
      <c r="AE296" s="20"/>
    </row>
    <row r="297">
      <c r="A297" s="21">
        <v>7.0</v>
      </c>
      <c r="B297" s="22" t="s">
        <v>701</v>
      </c>
      <c r="C297" s="22" t="s">
        <v>487</v>
      </c>
      <c r="I297" s="25" t="s">
        <v>1073</v>
      </c>
      <c r="J297" s="25" t="s">
        <v>1071</v>
      </c>
      <c r="K297" s="25" t="s">
        <v>71</v>
      </c>
      <c r="L297" s="25" t="s">
        <v>1334</v>
      </c>
      <c r="M297" s="25" t="s">
        <v>1074</v>
      </c>
      <c r="N297" s="25" t="s">
        <v>1075</v>
      </c>
      <c r="O297" s="25" t="s">
        <v>63</v>
      </c>
      <c r="P297" s="25"/>
      <c r="Q297" s="26"/>
      <c r="R297" s="26"/>
      <c r="S297" s="26"/>
      <c r="T297" s="20"/>
      <c r="U297" s="26"/>
      <c r="V297" s="26"/>
      <c r="W297" s="20"/>
      <c r="X297" s="20"/>
      <c r="Y297" s="20"/>
      <c r="Z297" s="20"/>
      <c r="AA297" s="20"/>
      <c r="AB297" s="20"/>
      <c r="AC297" s="20"/>
      <c r="AD297" s="20"/>
      <c r="AE297" s="20"/>
    </row>
    <row r="298">
      <c r="A298" s="21">
        <v>7.0</v>
      </c>
      <c r="B298" s="22" t="s">
        <v>701</v>
      </c>
      <c r="C298" s="22" t="s">
        <v>487</v>
      </c>
      <c r="I298" s="25" t="s">
        <v>716</v>
      </c>
      <c r="J298" s="25" t="s">
        <v>1052</v>
      </c>
      <c r="K298" s="25" t="s">
        <v>71</v>
      </c>
      <c r="L298" s="25" t="s">
        <v>1011</v>
      </c>
      <c r="M298" s="25" t="s">
        <v>61</v>
      </c>
      <c r="N298" s="25" t="s">
        <v>1061</v>
      </c>
      <c r="O298" s="25" t="s">
        <v>56</v>
      </c>
      <c r="P298" s="25"/>
      <c r="Q298" s="26"/>
      <c r="R298" s="26"/>
      <c r="S298" s="26"/>
      <c r="T298" s="20"/>
      <c r="U298" s="26"/>
      <c r="V298" s="26"/>
      <c r="W298" s="20"/>
      <c r="X298" s="20"/>
      <c r="Y298" s="20"/>
      <c r="Z298" s="20"/>
      <c r="AA298" s="20"/>
      <c r="AB298" s="20"/>
      <c r="AC298" s="20"/>
      <c r="AD298" s="20"/>
      <c r="AE298" s="20"/>
    </row>
    <row r="299">
      <c r="A299" s="21">
        <v>7.0</v>
      </c>
      <c r="B299" s="22" t="s">
        <v>701</v>
      </c>
      <c r="C299" s="22" t="s">
        <v>487</v>
      </c>
      <c r="I299" s="25" t="s">
        <v>1076</v>
      </c>
      <c r="J299" s="25" t="s">
        <v>1052</v>
      </c>
      <c r="K299" s="25" t="s">
        <v>71</v>
      </c>
      <c r="L299" s="25" t="s">
        <v>1334</v>
      </c>
      <c r="M299" s="25" t="s">
        <v>61</v>
      </c>
      <c r="N299" s="25" t="s">
        <v>1077</v>
      </c>
      <c r="O299" s="25" t="s">
        <v>63</v>
      </c>
      <c r="P299" s="25"/>
      <c r="Q299" s="26"/>
      <c r="R299" s="26"/>
      <c r="S299" s="26"/>
      <c r="T299" s="20"/>
      <c r="U299" s="26"/>
      <c r="V299" s="26"/>
      <c r="W299" s="20"/>
      <c r="X299" s="20"/>
      <c r="Y299" s="20"/>
      <c r="Z299" s="20"/>
      <c r="AA299" s="20"/>
      <c r="AB299" s="20"/>
      <c r="AC299" s="20"/>
      <c r="AD299" s="20"/>
      <c r="AE299" s="20"/>
    </row>
    <row r="300">
      <c r="A300" s="21">
        <v>7.0</v>
      </c>
      <c r="B300" s="22" t="s">
        <v>701</v>
      </c>
      <c r="C300" s="22" t="s">
        <v>487</v>
      </c>
      <c r="I300" s="25" t="s">
        <v>341</v>
      </c>
      <c r="J300" s="25" t="s">
        <v>1052</v>
      </c>
      <c r="K300" s="25" t="s">
        <v>71</v>
      </c>
      <c r="L300" s="25" t="s">
        <v>1011</v>
      </c>
      <c r="M300" s="25" t="s">
        <v>61</v>
      </c>
      <c r="N300" s="25" t="s">
        <v>857</v>
      </c>
      <c r="O300" s="25" t="s">
        <v>63</v>
      </c>
      <c r="P300" s="25"/>
      <c r="Q300" s="26"/>
      <c r="R300" s="26"/>
      <c r="S300" s="26"/>
      <c r="T300" s="20"/>
      <c r="U300" s="26"/>
      <c r="V300" s="26"/>
      <c r="W300" s="20"/>
      <c r="X300" s="20"/>
      <c r="Y300" s="20"/>
      <c r="Z300" s="20"/>
      <c r="AA300" s="20"/>
      <c r="AB300" s="20"/>
      <c r="AC300" s="20"/>
      <c r="AD300" s="20"/>
      <c r="AE300" s="20"/>
    </row>
    <row r="301">
      <c r="A301" s="21">
        <v>7.0</v>
      </c>
      <c r="B301" s="22" t="s">
        <v>701</v>
      </c>
      <c r="C301" s="22" t="s">
        <v>487</v>
      </c>
      <c r="I301" s="25" t="s">
        <v>296</v>
      </c>
      <c r="J301" s="25" t="s">
        <v>1052</v>
      </c>
      <c r="K301" s="25" t="s">
        <v>71</v>
      </c>
      <c r="L301" s="25" t="s">
        <v>1011</v>
      </c>
      <c r="M301" s="25" t="s">
        <v>61</v>
      </c>
      <c r="N301" s="25" t="s">
        <v>1062</v>
      </c>
      <c r="O301" s="25" t="s">
        <v>56</v>
      </c>
      <c r="P301" s="25"/>
      <c r="Q301" s="26"/>
      <c r="R301" s="26"/>
      <c r="S301" s="26"/>
      <c r="T301" s="20"/>
      <c r="U301" s="26"/>
      <c r="V301" s="26"/>
      <c r="W301" s="20"/>
      <c r="X301" s="20"/>
      <c r="Y301" s="20"/>
      <c r="Z301" s="20"/>
      <c r="AA301" s="20"/>
      <c r="AB301" s="20"/>
      <c r="AC301" s="20"/>
      <c r="AD301" s="20"/>
      <c r="AE301" s="20"/>
    </row>
    <row r="302">
      <c r="A302" s="21">
        <v>7.0</v>
      </c>
      <c r="B302" s="22" t="s">
        <v>701</v>
      </c>
      <c r="C302" s="22" t="s">
        <v>487</v>
      </c>
      <c r="I302" s="25" t="s">
        <v>735</v>
      </c>
      <c r="J302" s="25" t="s">
        <v>1052</v>
      </c>
      <c r="K302" s="25" t="s">
        <v>71</v>
      </c>
      <c r="L302" s="25" t="s">
        <v>1360</v>
      </c>
      <c r="M302" s="25" t="s">
        <v>1079</v>
      </c>
      <c r="N302" s="25" t="s">
        <v>1081</v>
      </c>
      <c r="O302" s="25" t="s">
        <v>63</v>
      </c>
      <c r="P302" s="25"/>
      <c r="Q302" s="26"/>
      <c r="R302" s="26"/>
      <c r="S302" s="26"/>
      <c r="T302" s="20"/>
      <c r="U302" s="26"/>
      <c r="V302" s="26"/>
      <c r="W302" s="20"/>
      <c r="X302" s="20"/>
      <c r="Y302" s="20"/>
      <c r="Z302" s="20"/>
      <c r="AA302" s="20"/>
      <c r="AB302" s="20"/>
      <c r="AC302" s="20"/>
      <c r="AD302" s="20"/>
      <c r="AE302" s="20"/>
    </row>
    <row r="303">
      <c r="A303" s="21">
        <v>7.0</v>
      </c>
      <c r="B303" s="22" t="s">
        <v>701</v>
      </c>
      <c r="C303" s="22" t="s">
        <v>487</v>
      </c>
      <c r="I303" s="25" t="s">
        <v>719</v>
      </c>
      <c r="J303" s="25" t="s">
        <v>1052</v>
      </c>
      <c r="K303" s="25" t="s">
        <v>71</v>
      </c>
      <c r="L303" s="25" t="s">
        <v>1334</v>
      </c>
      <c r="M303" s="25" t="s">
        <v>61</v>
      </c>
      <c r="N303" s="25" t="s">
        <v>1082</v>
      </c>
      <c r="O303" s="25" t="s">
        <v>63</v>
      </c>
      <c r="P303" s="25"/>
      <c r="Q303" s="26"/>
      <c r="R303" s="26"/>
      <c r="S303" s="26"/>
      <c r="T303" s="20"/>
      <c r="U303" s="26"/>
      <c r="V303" s="26"/>
      <c r="W303" s="20"/>
      <c r="X303" s="20"/>
      <c r="Y303" s="20"/>
      <c r="Z303" s="20"/>
      <c r="AA303" s="20"/>
      <c r="AB303" s="20"/>
      <c r="AC303" s="20"/>
      <c r="AD303" s="20"/>
      <c r="AE303" s="20"/>
    </row>
    <row r="304">
      <c r="A304" s="21">
        <v>7.0</v>
      </c>
      <c r="B304" s="22" t="s">
        <v>701</v>
      </c>
      <c r="C304" s="22" t="s">
        <v>487</v>
      </c>
      <c r="I304" s="25" t="s">
        <v>700</v>
      </c>
      <c r="J304" s="25" t="s">
        <v>1052</v>
      </c>
      <c r="K304" s="25" t="s">
        <v>71</v>
      </c>
      <c r="L304" s="25" t="s">
        <v>1366</v>
      </c>
      <c r="M304" s="25" t="s">
        <v>61</v>
      </c>
      <c r="N304" s="25" t="s">
        <v>1083</v>
      </c>
      <c r="O304" s="25" t="s">
        <v>63</v>
      </c>
      <c r="P304" s="25"/>
      <c r="Q304" s="26"/>
      <c r="R304" s="26"/>
      <c r="S304" s="26"/>
      <c r="T304" s="20"/>
      <c r="U304" s="26"/>
      <c r="V304" s="26"/>
      <c r="W304" s="20"/>
      <c r="X304" s="20"/>
      <c r="Y304" s="20"/>
      <c r="Z304" s="20"/>
      <c r="AA304" s="20"/>
      <c r="AB304" s="20"/>
      <c r="AC304" s="20"/>
      <c r="AD304" s="20"/>
      <c r="AE304" s="20"/>
    </row>
    <row r="305">
      <c r="A305" s="21">
        <v>7.0</v>
      </c>
      <c r="B305" s="22" t="s">
        <v>701</v>
      </c>
      <c r="C305" s="22" t="s">
        <v>487</v>
      </c>
      <c r="I305" s="25" t="s">
        <v>489</v>
      </c>
      <c r="J305" s="25" t="s">
        <v>1052</v>
      </c>
      <c r="K305" s="25" t="s">
        <v>71</v>
      </c>
      <c r="L305" s="25" t="s">
        <v>1360</v>
      </c>
      <c r="M305" s="25" t="s">
        <v>61</v>
      </c>
      <c r="N305" s="25" t="s">
        <v>1084</v>
      </c>
      <c r="O305" s="25" t="s">
        <v>63</v>
      </c>
      <c r="P305" s="25"/>
      <c r="Q305" s="26"/>
      <c r="R305" s="26"/>
      <c r="S305" s="26"/>
      <c r="T305" s="20"/>
      <c r="U305" s="26"/>
      <c r="V305" s="26"/>
      <c r="W305" s="20"/>
      <c r="X305" s="20"/>
      <c r="Y305" s="20"/>
      <c r="Z305" s="20"/>
      <c r="AA305" s="20"/>
      <c r="AB305" s="20"/>
      <c r="AC305" s="20"/>
      <c r="AD305" s="20"/>
      <c r="AE305" s="20"/>
    </row>
    <row r="306">
      <c r="A306" s="21">
        <v>7.0</v>
      </c>
      <c r="B306" s="22" t="s">
        <v>701</v>
      </c>
      <c r="C306" s="22" t="s">
        <v>487</v>
      </c>
      <c r="I306" s="25" t="s">
        <v>308</v>
      </c>
      <c r="J306" s="25" t="s">
        <v>1052</v>
      </c>
      <c r="K306" s="25" t="s">
        <v>71</v>
      </c>
      <c r="L306" s="25" t="s">
        <v>1011</v>
      </c>
      <c r="M306" s="25" t="s">
        <v>61</v>
      </c>
      <c r="N306" s="25" t="s">
        <v>1063</v>
      </c>
      <c r="O306" s="25" t="s">
        <v>56</v>
      </c>
      <c r="P306" s="25"/>
      <c r="Q306" s="26"/>
      <c r="R306" s="26"/>
      <c r="S306" s="26"/>
      <c r="T306" s="20"/>
      <c r="U306" s="26"/>
      <c r="V306" s="26"/>
      <c r="W306" s="20"/>
      <c r="X306" s="20"/>
      <c r="Y306" s="20"/>
      <c r="Z306" s="20"/>
      <c r="AA306" s="20"/>
      <c r="AB306" s="20"/>
      <c r="AC306" s="20"/>
      <c r="AD306" s="20"/>
      <c r="AE306" s="20"/>
    </row>
    <row r="307">
      <c r="A307" s="21">
        <v>7.0</v>
      </c>
      <c r="B307" s="22" t="s">
        <v>701</v>
      </c>
      <c r="C307" s="22" t="s">
        <v>487</v>
      </c>
      <c r="I307" s="25" t="s">
        <v>586</v>
      </c>
      <c r="J307" s="25" t="s">
        <v>1052</v>
      </c>
      <c r="K307" s="25" t="s">
        <v>71</v>
      </c>
      <c r="L307" s="25" t="s">
        <v>1011</v>
      </c>
      <c r="M307" s="25" t="s">
        <v>61</v>
      </c>
      <c r="N307" s="25" t="s">
        <v>1065</v>
      </c>
      <c r="O307" s="25" t="s">
        <v>56</v>
      </c>
      <c r="P307" s="25"/>
      <c r="Q307" s="26"/>
      <c r="R307" s="26"/>
      <c r="S307" s="26"/>
      <c r="T307" s="20"/>
      <c r="U307" s="26"/>
      <c r="V307" s="26"/>
      <c r="W307" s="20"/>
      <c r="X307" s="20"/>
      <c r="Y307" s="20"/>
      <c r="Z307" s="20"/>
      <c r="AA307" s="20"/>
      <c r="AB307" s="20"/>
      <c r="AC307" s="20"/>
      <c r="AD307" s="20"/>
      <c r="AE307" s="20"/>
    </row>
    <row r="308">
      <c r="A308" s="21">
        <v>7.0</v>
      </c>
      <c r="B308" s="22" t="s">
        <v>701</v>
      </c>
      <c r="C308" s="22" t="s">
        <v>487</v>
      </c>
      <c r="I308" s="25" t="s">
        <v>1085</v>
      </c>
      <c r="J308" s="25" t="s">
        <v>1052</v>
      </c>
      <c r="K308" s="25" t="s">
        <v>71</v>
      </c>
      <c r="L308" s="25" t="s">
        <v>1334</v>
      </c>
      <c r="M308" s="25" t="s">
        <v>61</v>
      </c>
      <c r="N308" s="25" t="s">
        <v>1086</v>
      </c>
      <c r="O308" s="25" t="s">
        <v>63</v>
      </c>
      <c r="P308" s="25"/>
      <c r="Q308" s="26"/>
      <c r="R308" s="26"/>
      <c r="S308" s="26"/>
      <c r="T308" s="20"/>
      <c r="U308" s="26"/>
      <c r="V308" s="26"/>
      <c r="W308" s="20"/>
      <c r="X308" s="20"/>
      <c r="Y308" s="20"/>
      <c r="Z308" s="20"/>
      <c r="AA308" s="20"/>
      <c r="AB308" s="20"/>
      <c r="AC308" s="20"/>
      <c r="AD308" s="20"/>
      <c r="AE308" s="20"/>
    </row>
    <row r="309">
      <c r="A309" s="21">
        <v>7.0</v>
      </c>
      <c r="B309" s="22" t="s">
        <v>701</v>
      </c>
      <c r="C309" s="22" t="s">
        <v>487</v>
      </c>
      <c r="I309" s="25" t="s">
        <v>593</v>
      </c>
      <c r="J309" s="25" t="s">
        <v>1052</v>
      </c>
      <c r="K309" s="25" t="s">
        <v>71</v>
      </c>
      <c r="L309" s="25" t="s">
        <v>1011</v>
      </c>
      <c r="M309" s="25" t="s">
        <v>61</v>
      </c>
      <c r="N309" s="25" t="s">
        <v>1067</v>
      </c>
      <c r="O309" s="25" t="s">
        <v>56</v>
      </c>
      <c r="P309" s="25"/>
      <c r="Q309" s="26"/>
      <c r="R309" s="26"/>
      <c r="S309" s="26"/>
      <c r="T309" s="20"/>
      <c r="U309" s="26"/>
      <c r="V309" s="26"/>
      <c r="W309" s="20"/>
      <c r="X309" s="20"/>
      <c r="Y309" s="20"/>
      <c r="Z309" s="20"/>
      <c r="AA309" s="20"/>
      <c r="AB309" s="20"/>
      <c r="AC309" s="20"/>
      <c r="AD309" s="20"/>
      <c r="AE309" s="20"/>
    </row>
    <row r="310">
      <c r="A310" s="21">
        <v>7.0</v>
      </c>
      <c r="B310" s="22" t="s">
        <v>701</v>
      </c>
      <c r="C310" s="22" t="s">
        <v>487</v>
      </c>
      <c r="I310" s="25" t="s">
        <v>602</v>
      </c>
      <c r="J310" s="25" t="s">
        <v>1052</v>
      </c>
      <c r="K310" s="25" t="s">
        <v>71</v>
      </c>
      <c r="L310" s="25" t="s">
        <v>1334</v>
      </c>
      <c r="M310" s="25" t="s">
        <v>915</v>
      </c>
      <c r="N310" s="25" t="s">
        <v>916</v>
      </c>
      <c r="O310" s="25" t="s">
        <v>63</v>
      </c>
      <c r="P310" s="25"/>
      <c r="Q310" s="26"/>
      <c r="R310" s="26"/>
      <c r="S310" s="26"/>
      <c r="T310" s="20"/>
      <c r="U310" s="26"/>
      <c r="V310" s="26"/>
      <c r="W310" s="20"/>
      <c r="X310" s="20"/>
      <c r="Y310" s="20"/>
      <c r="Z310" s="20"/>
      <c r="AA310" s="20"/>
      <c r="AB310" s="20"/>
      <c r="AC310" s="20"/>
      <c r="AD310" s="20"/>
      <c r="AE310" s="20"/>
    </row>
    <row r="311">
      <c r="A311" s="21">
        <v>7.0</v>
      </c>
      <c r="B311" s="20" t="s">
        <v>701</v>
      </c>
      <c r="C311" s="20" t="s">
        <v>487</v>
      </c>
      <c r="I311" s="25" t="s">
        <v>222</v>
      </c>
      <c r="J311" s="25" t="s">
        <v>1052</v>
      </c>
      <c r="K311" s="25" t="s">
        <v>71</v>
      </c>
      <c r="L311" s="25" t="s">
        <v>1064</v>
      </c>
      <c r="M311" s="20" t="s">
        <v>61</v>
      </c>
      <c r="N311" s="20" t="s">
        <v>929</v>
      </c>
      <c r="O311" s="20" t="s">
        <v>63</v>
      </c>
      <c r="P311" s="20" t="s">
        <v>52</v>
      </c>
      <c r="Q311" s="26"/>
      <c r="R311" s="26"/>
      <c r="S311" s="26"/>
      <c r="T311" s="20"/>
      <c r="U311" s="26"/>
      <c r="V311" s="26"/>
      <c r="W311" s="20"/>
      <c r="X311" s="20"/>
      <c r="Y311" s="20"/>
      <c r="Z311" s="20"/>
      <c r="AA311" s="20"/>
      <c r="AB311" s="20"/>
      <c r="AC311" s="20"/>
      <c r="AD311" s="20"/>
      <c r="AE311" s="20"/>
    </row>
    <row r="312">
      <c r="A312" s="21">
        <v>7.0</v>
      </c>
      <c r="B312" s="20" t="s">
        <v>701</v>
      </c>
      <c r="C312" s="20" t="s">
        <v>487</v>
      </c>
      <c r="I312" s="25" t="s">
        <v>495</v>
      </c>
      <c r="J312" s="25" t="s">
        <v>1052</v>
      </c>
      <c r="K312" s="25" t="s">
        <v>71</v>
      </c>
      <c r="L312" s="25" t="s">
        <v>1066</v>
      </c>
      <c r="M312" s="20" t="s">
        <v>796</v>
      </c>
      <c r="N312" s="20" t="s">
        <v>867</v>
      </c>
      <c r="O312" s="20" t="s">
        <v>63</v>
      </c>
      <c r="P312" s="20" t="s">
        <v>52</v>
      </c>
      <c r="Q312" s="26"/>
      <c r="R312" s="26"/>
      <c r="S312" s="26"/>
      <c r="T312" s="20"/>
      <c r="U312" s="26"/>
      <c r="V312" s="26"/>
      <c r="W312" s="20"/>
      <c r="X312" s="20"/>
      <c r="Y312" s="20"/>
      <c r="Z312" s="20"/>
      <c r="AA312" s="20"/>
      <c r="AB312" s="20"/>
      <c r="AC312" s="20"/>
      <c r="AD312" s="20"/>
      <c r="AE312" s="20"/>
    </row>
    <row r="313">
      <c r="A313" s="21">
        <v>7.0</v>
      </c>
      <c r="B313" s="20" t="s">
        <v>701</v>
      </c>
      <c r="C313" s="20" t="s">
        <v>487</v>
      </c>
      <c r="I313" s="25" t="s">
        <v>501</v>
      </c>
      <c r="J313" s="25" t="s">
        <v>1052</v>
      </c>
      <c r="K313" s="25" t="s">
        <v>71</v>
      </c>
      <c r="L313" s="25" t="s">
        <v>1064</v>
      </c>
      <c r="M313" s="20" t="s">
        <v>798</v>
      </c>
      <c r="N313" s="20" t="s">
        <v>1087</v>
      </c>
      <c r="O313" s="20" t="s">
        <v>63</v>
      </c>
      <c r="P313" s="20" t="s">
        <v>52</v>
      </c>
      <c r="Q313" s="26"/>
      <c r="R313" s="26"/>
      <c r="S313" s="26"/>
      <c r="T313" s="20"/>
      <c r="U313" s="26"/>
      <c r="V313" s="26"/>
      <c r="W313" s="20"/>
      <c r="X313" s="20"/>
      <c r="Y313" s="20"/>
      <c r="Z313" s="20"/>
      <c r="AA313" s="20"/>
      <c r="AB313" s="20"/>
      <c r="AC313" s="20"/>
      <c r="AD313" s="20"/>
      <c r="AE313" s="20"/>
    </row>
    <row r="314">
      <c r="A314" s="21">
        <v>7.0</v>
      </c>
      <c r="B314" s="20" t="s">
        <v>701</v>
      </c>
      <c r="C314" s="20" t="s">
        <v>487</v>
      </c>
      <c r="I314" s="25" t="s">
        <v>270</v>
      </c>
      <c r="J314" s="25" t="s">
        <v>1052</v>
      </c>
      <c r="K314" s="25" t="s">
        <v>71</v>
      </c>
      <c r="L314" s="25" t="s">
        <v>1072</v>
      </c>
      <c r="M314" s="20" t="s">
        <v>787</v>
      </c>
      <c r="N314" s="20" t="s">
        <v>1068</v>
      </c>
      <c r="O314" s="20" t="s">
        <v>56</v>
      </c>
      <c r="P314" s="20" t="s">
        <v>52</v>
      </c>
      <c r="Q314" s="26"/>
      <c r="R314" s="26"/>
      <c r="S314" s="26"/>
      <c r="T314" s="20"/>
      <c r="U314" s="26"/>
      <c r="V314" s="26"/>
      <c r="W314" s="20"/>
      <c r="X314" s="20"/>
      <c r="Y314" s="20"/>
      <c r="Z314" s="20"/>
      <c r="AA314" s="20"/>
      <c r="AB314" s="20"/>
      <c r="AC314" s="20"/>
      <c r="AD314" s="20"/>
      <c r="AE314" s="20"/>
    </row>
    <row r="315">
      <c r="A315" s="21">
        <v>7.0</v>
      </c>
      <c r="B315" s="20" t="s">
        <v>701</v>
      </c>
      <c r="C315" s="20" t="s">
        <v>487</v>
      </c>
      <c r="I315" s="25" t="s">
        <v>541</v>
      </c>
      <c r="J315" s="25" t="s">
        <v>1059</v>
      </c>
      <c r="K315" s="25" t="s">
        <v>71</v>
      </c>
      <c r="L315" s="25" t="s">
        <v>1064</v>
      </c>
      <c r="M315" s="20" t="s">
        <v>61</v>
      </c>
      <c r="N315" s="20" t="s">
        <v>1070</v>
      </c>
      <c r="O315" s="20" t="s">
        <v>63</v>
      </c>
      <c r="P315" s="20" t="s">
        <v>52</v>
      </c>
      <c r="Q315" s="26"/>
      <c r="R315" s="26"/>
      <c r="S315" s="26"/>
      <c r="T315" s="20"/>
      <c r="U315" s="26"/>
      <c r="V315" s="26"/>
      <c r="W315" s="20"/>
      <c r="X315" s="20"/>
      <c r="Y315" s="20"/>
      <c r="Z315" s="20"/>
      <c r="AA315" s="20"/>
      <c r="AB315" s="20"/>
      <c r="AC315" s="20"/>
      <c r="AD315" s="20"/>
      <c r="AE315" s="20"/>
    </row>
    <row r="316">
      <c r="A316" s="21">
        <v>7.0</v>
      </c>
      <c r="B316" s="20" t="s">
        <v>701</v>
      </c>
      <c r="C316" s="20" t="s">
        <v>487</v>
      </c>
      <c r="I316" s="25" t="s">
        <v>283</v>
      </c>
      <c r="J316" s="25" t="s">
        <v>1052</v>
      </c>
      <c r="K316" s="25" t="s">
        <v>71</v>
      </c>
      <c r="L316" s="25" t="s">
        <v>1069</v>
      </c>
      <c r="M316" s="20" t="s">
        <v>764</v>
      </c>
      <c r="N316" s="20" t="s">
        <v>1088</v>
      </c>
      <c r="O316" s="20" t="s">
        <v>63</v>
      </c>
      <c r="P316" s="20" t="s">
        <v>52</v>
      </c>
      <c r="Q316" s="26"/>
      <c r="R316" s="26"/>
      <c r="S316" s="26"/>
      <c r="T316" s="20"/>
      <c r="U316" s="26"/>
      <c r="V316" s="26"/>
      <c r="W316" s="20"/>
      <c r="X316" s="20"/>
      <c r="Y316" s="20"/>
      <c r="Z316" s="20"/>
      <c r="AA316" s="20"/>
      <c r="AB316" s="20"/>
      <c r="AC316" s="20"/>
      <c r="AD316" s="20"/>
      <c r="AE316" s="20"/>
    </row>
    <row r="317">
      <c r="A317" s="21">
        <v>7.0</v>
      </c>
      <c r="B317" s="20" t="s">
        <v>701</v>
      </c>
      <c r="C317" s="20" t="s">
        <v>487</v>
      </c>
      <c r="I317" s="25" t="s">
        <v>247</v>
      </c>
      <c r="J317" s="25" t="s">
        <v>1052</v>
      </c>
      <c r="K317" s="25" t="s">
        <v>71</v>
      </c>
      <c r="L317" s="25" t="s">
        <v>1072</v>
      </c>
      <c r="M317" s="20" t="s">
        <v>905</v>
      </c>
      <c r="N317" s="20" t="s">
        <v>906</v>
      </c>
      <c r="O317" s="20" t="s">
        <v>63</v>
      </c>
      <c r="P317" s="20" t="s">
        <v>524</v>
      </c>
      <c r="Q317" s="26"/>
      <c r="R317" s="26"/>
      <c r="S317" s="26"/>
      <c r="T317" s="20"/>
      <c r="U317" s="26"/>
      <c r="V317" s="26"/>
      <c r="W317" s="20"/>
      <c r="X317" s="20"/>
      <c r="Y317" s="20"/>
      <c r="Z317" s="20"/>
      <c r="AA317" s="20"/>
      <c r="AB317" s="20"/>
      <c r="AC317" s="20"/>
      <c r="AD317" s="20"/>
      <c r="AE317" s="20"/>
    </row>
    <row r="318">
      <c r="A318" s="21">
        <v>7.0</v>
      </c>
      <c r="B318" s="20" t="s">
        <v>701</v>
      </c>
      <c r="C318" s="20" t="s">
        <v>487</v>
      </c>
      <c r="I318" s="25" t="s">
        <v>552</v>
      </c>
      <c r="J318" s="25" t="s">
        <v>1052</v>
      </c>
      <c r="K318" s="25" t="s">
        <v>71</v>
      </c>
      <c r="L318" s="25" t="s">
        <v>1069</v>
      </c>
      <c r="M318" s="20" t="s">
        <v>1090</v>
      </c>
      <c r="N318" s="20" t="s">
        <v>1091</v>
      </c>
      <c r="O318" s="20" t="s">
        <v>63</v>
      </c>
      <c r="P318" s="20" t="s">
        <v>52</v>
      </c>
      <c r="Q318" s="26"/>
      <c r="R318" s="26"/>
      <c r="S318" s="26"/>
      <c r="T318" s="20"/>
      <c r="U318" s="26"/>
      <c r="V318" s="26"/>
      <c r="W318" s="20"/>
      <c r="X318" s="20"/>
      <c r="Y318" s="20"/>
      <c r="Z318" s="20"/>
      <c r="AA318" s="20"/>
      <c r="AB318" s="20"/>
      <c r="AC318" s="20"/>
      <c r="AD318" s="20"/>
      <c r="AE318" s="20"/>
    </row>
    <row r="319">
      <c r="A319" s="21">
        <v>7.0</v>
      </c>
      <c r="B319" s="20" t="s">
        <v>701</v>
      </c>
      <c r="C319" s="20" t="s">
        <v>487</v>
      </c>
      <c r="I319" s="25" t="s">
        <v>561</v>
      </c>
      <c r="J319" s="25" t="s">
        <v>1052</v>
      </c>
      <c r="K319" s="25" t="s">
        <v>71</v>
      </c>
      <c r="L319" s="25" t="s">
        <v>1078</v>
      </c>
      <c r="M319" s="20" t="s">
        <v>907</v>
      </c>
      <c r="N319" s="20" t="s">
        <v>908</v>
      </c>
      <c r="O319" s="20" t="s">
        <v>63</v>
      </c>
      <c r="P319" s="20" t="s">
        <v>52</v>
      </c>
      <c r="Q319" s="26"/>
      <c r="R319" s="26"/>
      <c r="S319" s="26"/>
      <c r="T319" s="20"/>
      <c r="U319" s="26"/>
      <c r="V319" s="26"/>
      <c r="W319" s="20"/>
      <c r="X319" s="20"/>
      <c r="Y319" s="20"/>
      <c r="Z319" s="20"/>
      <c r="AA319" s="20"/>
      <c r="AB319" s="20"/>
      <c r="AC319" s="20"/>
      <c r="AD319" s="20"/>
      <c r="AE319" s="20"/>
    </row>
    <row r="320">
      <c r="A320" s="21">
        <v>7.0</v>
      </c>
      <c r="B320" s="20" t="s">
        <v>701</v>
      </c>
      <c r="C320" s="20" t="s">
        <v>487</v>
      </c>
      <c r="I320" s="25" t="s">
        <v>720</v>
      </c>
      <c r="J320" s="25" t="s">
        <v>1052</v>
      </c>
      <c r="K320" s="25" t="s">
        <v>71</v>
      </c>
      <c r="L320" s="25" t="s">
        <v>1089</v>
      </c>
      <c r="M320" s="20" t="s">
        <v>61</v>
      </c>
      <c r="N320" s="20" t="s">
        <v>1092</v>
      </c>
      <c r="O320" s="20" t="s">
        <v>63</v>
      </c>
      <c r="P320" s="20" t="s">
        <v>52</v>
      </c>
      <c r="Q320" s="26"/>
      <c r="R320" s="26"/>
      <c r="S320" s="26"/>
      <c r="T320" s="20"/>
      <c r="U320" s="26"/>
      <c r="V320" s="26"/>
      <c r="W320" s="20"/>
      <c r="X320" s="20"/>
      <c r="Y320" s="20"/>
      <c r="Z320" s="20"/>
      <c r="AA320" s="20"/>
      <c r="AB320" s="20"/>
      <c r="AC320" s="20"/>
      <c r="AD320" s="20"/>
      <c r="AE320" s="20"/>
    </row>
    <row r="321">
      <c r="A321" s="21">
        <v>7.0</v>
      </c>
      <c r="B321" s="20" t="s">
        <v>701</v>
      </c>
      <c r="C321" s="20" t="s">
        <v>487</v>
      </c>
      <c r="I321" s="25" t="s">
        <v>570</v>
      </c>
      <c r="J321" s="25" t="s">
        <v>1052</v>
      </c>
      <c r="K321" s="25" t="s">
        <v>71</v>
      </c>
      <c r="L321" s="25" t="s">
        <v>1080</v>
      </c>
      <c r="M321" s="20" t="s">
        <v>817</v>
      </c>
      <c r="N321" s="20" t="s">
        <v>1093</v>
      </c>
      <c r="O321" s="20" t="s">
        <v>63</v>
      </c>
      <c r="P321" s="20" t="s">
        <v>52</v>
      </c>
      <c r="Q321" s="26"/>
      <c r="R321" s="26"/>
      <c r="S321" s="26"/>
      <c r="T321" s="20"/>
      <c r="U321" s="26"/>
      <c r="V321" s="26"/>
      <c r="W321" s="20"/>
      <c r="X321" s="20"/>
      <c r="Y321" s="20"/>
      <c r="Z321" s="20"/>
      <c r="AA321" s="20"/>
      <c r="AB321" s="20"/>
      <c r="AC321" s="20"/>
      <c r="AD321" s="20"/>
      <c r="AE321" s="20"/>
    </row>
    <row r="322">
      <c r="A322" s="21">
        <v>8.0</v>
      </c>
      <c r="B322" s="22" t="s">
        <v>561</v>
      </c>
      <c r="C322" s="22" t="s">
        <v>487</v>
      </c>
      <c r="D322" s="23">
        <v>30.0</v>
      </c>
      <c r="E322" s="23">
        <v>3.0</v>
      </c>
      <c r="F322" s="23">
        <v>1.0</v>
      </c>
      <c r="G322" s="23">
        <v>26.0</v>
      </c>
      <c r="H322" s="24" t="s">
        <v>1421</v>
      </c>
      <c r="I322" s="25" t="s">
        <v>728</v>
      </c>
      <c r="J322" s="25" t="s">
        <v>1096</v>
      </c>
      <c r="K322" s="25" t="s">
        <v>57</v>
      </c>
      <c r="L322" s="25" t="s">
        <v>1422</v>
      </c>
      <c r="M322" s="25" t="s">
        <v>1097</v>
      </c>
      <c r="N322" s="25" t="s">
        <v>1098</v>
      </c>
      <c r="O322" s="25" t="s">
        <v>63</v>
      </c>
      <c r="P322" s="25"/>
      <c r="Q322" s="26"/>
      <c r="R322" s="26"/>
      <c r="S322" s="26"/>
      <c r="T322" s="20"/>
      <c r="U322" s="26"/>
      <c r="V322" s="26"/>
      <c r="W322" s="20"/>
      <c r="X322" s="20"/>
      <c r="Y322" s="20"/>
      <c r="Z322" s="20"/>
      <c r="AA322" s="20"/>
      <c r="AB322" s="20"/>
      <c r="AC322" s="20"/>
      <c r="AD322" s="20"/>
      <c r="AE322" s="20"/>
    </row>
    <row r="323">
      <c r="A323" s="21">
        <v>8.0</v>
      </c>
      <c r="B323" s="22" t="s">
        <v>561</v>
      </c>
      <c r="C323" s="22" t="s">
        <v>487</v>
      </c>
      <c r="I323" s="25" t="s">
        <v>723</v>
      </c>
      <c r="J323" s="25" t="s">
        <v>1094</v>
      </c>
      <c r="K323" s="25" t="s">
        <v>57</v>
      </c>
      <c r="L323" s="25" t="s">
        <v>1425</v>
      </c>
      <c r="M323" s="25" t="s">
        <v>874</v>
      </c>
      <c r="N323" s="25" t="s">
        <v>1095</v>
      </c>
      <c r="O323" s="25" t="s">
        <v>63</v>
      </c>
      <c r="P323" s="25"/>
      <c r="Q323" s="26"/>
      <c r="R323" s="26"/>
      <c r="S323" s="26"/>
      <c r="T323" s="20"/>
      <c r="U323" s="26"/>
      <c r="V323" s="26"/>
      <c r="W323" s="20"/>
      <c r="X323" s="20"/>
      <c r="Y323" s="20"/>
      <c r="Z323" s="20"/>
      <c r="AA323" s="20"/>
      <c r="AB323" s="20"/>
      <c r="AC323" s="20"/>
      <c r="AD323" s="20"/>
      <c r="AE323" s="20"/>
    </row>
    <row r="324">
      <c r="A324" s="21">
        <v>8.0</v>
      </c>
      <c r="B324" s="22" t="s">
        <v>561</v>
      </c>
      <c r="C324" s="22" t="s">
        <v>487</v>
      </c>
      <c r="I324" s="25" t="s">
        <v>737</v>
      </c>
      <c r="J324" s="25" t="s">
        <v>1096</v>
      </c>
      <c r="K324" s="25" t="s">
        <v>57</v>
      </c>
      <c r="L324" s="25" t="s">
        <v>1427</v>
      </c>
      <c r="M324" s="25" t="s">
        <v>1099</v>
      </c>
      <c r="N324" s="25" t="s">
        <v>1100</v>
      </c>
      <c r="O324" s="25" t="s">
        <v>63</v>
      </c>
      <c r="P324" s="25"/>
      <c r="Q324" s="26"/>
      <c r="R324" s="26"/>
      <c r="S324" s="26"/>
      <c r="T324" s="20"/>
      <c r="U324" s="26"/>
      <c r="V324" s="26"/>
      <c r="W324" s="20"/>
      <c r="X324" s="20"/>
      <c r="Y324" s="20"/>
      <c r="Z324" s="20"/>
      <c r="AA324" s="20"/>
      <c r="AB324" s="20"/>
      <c r="AC324" s="20"/>
      <c r="AD324" s="20"/>
      <c r="AE324" s="20"/>
    </row>
    <row r="325">
      <c r="A325" s="21">
        <v>8.0</v>
      </c>
      <c r="B325" s="22" t="s">
        <v>561</v>
      </c>
      <c r="C325" s="22" t="s">
        <v>487</v>
      </c>
      <c r="I325" s="25" t="s">
        <v>605</v>
      </c>
      <c r="J325" s="25" t="s">
        <v>1096</v>
      </c>
      <c r="K325" s="25" t="s">
        <v>67</v>
      </c>
      <c r="L325" s="25" t="s">
        <v>1429</v>
      </c>
      <c r="M325" s="25" t="s">
        <v>1101</v>
      </c>
      <c r="N325" s="25" t="s">
        <v>1102</v>
      </c>
      <c r="O325" s="25" t="s">
        <v>63</v>
      </c>
      <c r="P325" s="25" t="s">
        <v>749</v>
      </c>
      <c r="Q325" s="26"/>
      <c r="R325" s="26"/>
      <c r="S325" s="26"/>
      <c r="T325" s="20"/>
      <c r="U325" s="26"/>
      <c r="V325" s="26"/>
      <c r="W325" s="20"/>
      <c r="X325" s="20"/>
      <c r="Y325" s="20"/>
      <c r="Z325" s="20"/>
      <c r="AA325" s="20"/>
      <c r="AB325" s="20"/>
      <c r="AC325" s="20"/>
      <c r="AD325" s="20"/>
      <c r="AE325" s="20"/>
    </row>
    <row r="326">
      <c r="A326" s="21">
        <v>8.0</v>
      </c>
      <c r="B326" s="22" t="s">
        <v>561</v>
      </c>
      <c r="C326" s="22" t="s">
        <v>487</v>
      </c>
      <c r="I326" s="25" t="s">
        <v>1103</v>
      </c>
      <c r="J326" s="25" t="s">
        <v>1094</v>
      </c>
      <c r="K326" s="25" t="s">
        <v>71</v>
      </c>
      <c r="L326" s="25" t="s">
        <v>292</v>
      </c>
      <c r="M326" s="25" t="s">
        <v>1104</v>
      </c>
      <c r="N326" s="25" t="s">
        <v>1105</v>
      </c>
      <c r="O326" s="25" t="s">
        <v>63</v>
      </c>
      <c r="P326" s="25" t="s">
        <v>52</v>
      </c>
      <c r="Q326" s="26"/>
      <c r="R326" s="26"/>
      <c r="S326" s="26"/>
      <c r="T326" s="22"/>
      <c r="U326" s="26"/>
      <c r="V326" s="26"/>
      <c r="W326" s="20"/>
      <c r="X326" s="20"/>
      <c r="Y326" s="20"/>
      <c r="Z326" s="20"/>
      <c r="AA326" s="20"/>
      <c r="AB326" s="20"/>
      <c r="AC326" s="20"/>
      <c r="AD326" s="20"/>
      <c r="AE326" s="20"/>
    </row>
    <row r="327">
      <c r="A327" s="21">
        <v>8.0</v>
      </c>
      <c r="B327" s="22" t="s">
        <v>561</v>
      </c>
      <c r="C327" s="22" t="s">
        <v>487</v>
      </c>
      <c r="I327" s="25" t="s">
        <v>327</v>
      </c>
      <c r="J327" s="25" t="s">
        <v>1094</v>
      </c>
      <c r="K327" s="25" t="s">
        <v>71</v>
      </c>
      <c r="L327" s="25" t="s">
        <v>1433</v>
      </c>
      <c r="M327" s="25" t="s">
        <v>1108</v>
      </c>
      <c r="N327" s="25" t="s">
        <v>1109</v>
      </c>
      <c r="O327" s="25" t="s">
        <v>63</v>
      </c>
      <c r="P327" s="25"/>
      <c r="Q327" s="26"/>
      <c r="R327" s="26"/>
      <c r="S327" s="26"/>
      <c r="T327" s="20"/>
      <c r="U327" s="26"/>
      <c r="V327" s="26"/>
      <c r="W327" s="20"/>
      <c r="X327" s="20"/>
      <c r="Y327" s="20"/>
      <c r="Z327" s="20"/>
      <c r="AA327" s="20"/>
      <c r="AB327" s="20"/>
      <c r="AC327" s="20"/>
      <c r="AD327" s="20"/>
      <c r="AE327" s="20"/>
    </row>
    <row r="328">
      <c r="A328" s="21">
        <v>8.0</v>
      </c>
      <c r="B328" s="22" t="s">
        <v>561</v>
      </c>
      <c r="C328" s="22" t="s">
        <v>487</v>
      </c>
      <c r="I328" s="25" t="s">
        <v>623</v>
      </c>
      <c r="J328" s="25" t="s">
        <v>1096</v>
      </c>
      <c r="K328" s="25" t="s">
        <v>71</v>
      </c>
      <c r="L328" s="25" t="s">
        <v>1435</v>
      </c>
      <c r="M328" s="25" t="s">
        <v>911</v>
      </c>
      <c r="N328" s="25" t="s">
        <v>1132</v>
      </c>
      <c r="O328" s="25" t="s">
        <v>63</v>
      </c>
      <c r="P328" s="25"/>
      <c r="Q328" s="26"/>
      <c r="R328" s="26"/>
      <c r="S328" s="26"/>
      <c r="T328" s="20"/>
      <c r="U328" s="26"/>
      <c r="V328" s="26"/>
      <c r="W328" s="20"/>
      <c r="X328" s="20"/>
      <c r="Y328" s="20"/>
      <c r="Z328" s="20"/>
      <c r="AA328" s="20"/>
      <c r="AB328" s="20"/>
      <c r="AC328" s="20"/>
      <c r="AD328" s="20"/>
      <c r="AE328" s="20"/>
    </row>
    <row r="329">
      <c r="A329" s="21">
        <v>8.0</v>
      </c>
      <c r="B329" s="22" t="s">
        <v>561</v>
      </c>
      <c r="C329" s="22" t="s">
        <v>487</v>
      </c>
      <c r="I329" s="25" t="s">
        <v>1134</v>
      </c>
      <c r="J329" s="25" t="s">
        <v>1096</v>
      </c>
      <c r="K329" s="25" t="s">
        <v>71</v>
      </c>
      <c r="L329" s="25" t="s">
        <v>1438</v>
      </c>
      <c r="M329" s="25" t="s">
        <v>1135</v>
      </c>
      <c r="N329" s="25" t="s">
        <v>1098</v>
      </c>
      <c r="O329" s="25" t="s">
        <v>63</v>
      </c>
      <c r="P329" s="25"/>
      <c r="Q329" s="26"/>
      <c r="R329" s="26"/>
      <c r="S329" s="26"/>
      <c r="T329" s="20"/>
      <c r="U329" s="26"/>
      <c r="V329" s="26"/>
      <c r="W329" s="20"/>
      <c r="X329" s="20"/>
      <c r="Y329" s="20"/>
      <c r="Z329" s="20"/>
      <c r="AA329" s="20"/>
      <c r="AB329" s="20"/>
      <c r="AC329" s="20"/>
      <c r="AD329" s="20"/>
      <c r="AE329" s="20"/>
    </row>
    <row r="330">
      <c r="A330" s="21">
        <v>8.0</v>
      </c>
      <c r="B330" s="22" t="s">
        <v>561</v>
      </c>
      <c r="C330" s="22" t="s">
        <v>487</v>
      </c>
      <c r="I330" s="25" t="s">
        <v>341</v>
      </c>
      <c r="J330" s="25" t="s">
        <v>1096</v>
      </c>
      <c r="K330" s="25" t="s">
        <v>71</v>
      </c>
      <c r="L330" s="25" t="s">
        <v>292</v>
      </c>
      <c r="M330" s="25" t="s">
        <v>1136</v>
      </c>
      <c r="N330" s="25" t="s">
        <v>1137</v>
      </c>
      <c r="O330" s="25" t="s">
        <v>63</v>
      </c>
      <c r="P330" s="25" t="s">
        <v>52</v>
      </c>
      <c r="Q330" s="26"/>
      <c r="R330" s="26"/>
      <c r="S330" s="26"/>
      <c r="T330" s="22"/>
      <c r="U330" s="26"/>
      <c r="V330" s="26"/>
      <c r="W330" s="20"/>
      <c r="X330" s="20"/>
      <c r="Y330" s="20"/>
      <c r="Z330" s="20"/>
      <c r="AA330" s="20"/>
      <c r="AB330" s="20"/>
      <c r="AC330" s="20"/>
      <c r="AD330" s="20"/>
      <c r="AE330" s="20"/>
    </row>
    <row r="331">
      <c r="A331" s="21">
        <v>8.0</v>
      </c>
      <c r="B331" s="22" t="s">
        <v>561</v>
      </c>
      <c r="C331" s="22" t="s">
        <v>487</v>
      </c>
      <c r="I331" s="25" t="s">
        <v>1139</v>
      </c>
      <c r="J331" s="25" t="s">
        <v>1096</v>
      </c>
      <c r="K331" s="25" t="s">
        <v>71</v>
      </c>
      <c r="L331" s="25" t="s">
        <v>292</v>
      </c>
      <c r="M331" s="25" t="s">
        <v>1140</v>
      </c>
      <c r="N331" s="25" t="s">
        <v>1141</v>
      </c>
      <c r="O331" s="25" t="s">
        <v>63</v>
      </c>
      <c r="P331" s="25" t="s">
        <v>52</v>
      </c>
      <c r="Q331" s="26"/>
      <c r="R331" s="26"/>
      <c r="S331" s="26"/>
      <c r="T331" s="22"/>
      <c r="U331" s="26"/>
      <c r="V331" s="26"/>
      <c r="W331" s="20"/>
      <c r="X331" s="20"/>
      <c r="Y331" s="20"/>
      <c r="Z331" s="20"/>
      <c r="AA331" s="20"/>
      <c r="AB331" s="20"/>
      <c r="AC331" s="20"/>
      <c r="AD331" s="20"/>
      <c r="AE331" s="20"/>
    </row>
    <row r="332">
      <c r="A332" s="21">
        <v>8.0</v>
      </c>
      <c r="B332" s="22" t="s">
        <v>561</v>
      </c>
      <c r="C332" s="22" t="s">
        <v>487</v>
      </c>
      <c r="I332" s="25" t="s">
        <v>1143</v>
      </c>
      <c r="J332" s="25" t="s">
        <v>1096</v>
      </c>
      <c r="K332" s="25" t="s">
        <v>71</v>
      </c>
      <c r="L332" s="25" t="s">
        <v>1438</v>
      </c>
      <c r="M332" s="25" t="s">
        <v>1144</v>
      </c>
      <c r="N332" s="25" t="s">
        <v>1145</v>
      </c>
      <c r="O332" s="25" t="s">
        <v>63</v>
      </c>
      <c r="P332" s="25"/>
      <c r="Q332" s="26"/>
      <c r="R332" s="26"/>
      <c r="S332" s="26"/>
      <c r="T332" s="20"/>
      <c r="U332" s="26"/>
      <c r="V332" s="26"/>
      <c r="W332" s="20"/>
      <c r="X332" s="20"/>
      <c r="Y332" s="20"/>
      <c r="Z332" s="20"/>
      <c r="AA332" s="20"/>
      <c r="AB332" s="20"/>
      <c r="AC332" s="20"/>
      <c r="AD332" s="20"/>
      <c r="AE332" s="20"/>
    </row>
    <row r="333">
      <c r="A333" s="21">
        <v>8.0</v>
      </c>
      <c r="B333" s="22" t="s">
        <v>561</v>
      </c>
      <c r="C333" s="22" t="s">
        <v>487</v>
      </c>
      <c r="I333" s="25" t="s">
        <v>1110</v>
      </c>
      <c r="J333" s="25" t="s">
        <v>1094</v>
      </c>
      <c r="K333" s="25" t="s">
        <v>71</v>
      </c>
      <c r="L333" s="25" t="s">
        <v>1444</v>
      </c>
      <c r="M333" s="25" t="s">
        <v>1111</v>
      </c>
      <c r="N333" s="25" t="s">
        <v>1112</v>
      </c>
      <c r="O333" s="25" t="s">
        <v>63</v>
      </c>
      <c r="P333" s="25"/>
      <c r="Q333" s="26"/>
      <c r="R333" s="26"/>
      <c r="S333" s="26"/>
      <c r="T333" s="20"/>
      <c r="U333" s="26"/>
      <c r="V333" s="26"/>
      <c r="W333" s="20"/>
      <c r="X333" s="20"/>
      <c r="Y333" s="20"/>
      <c r="Z333" s="20"/>
      <c r="AA333" s="20"/>
      <c r="AB333" s="20"/>
      <c r="AC333" s="20"/>
      <c r="AD333" s="20"/>
      <c r="AE333" s="20"/>
    </row>
    <row r="334">
      <c r="A334" s="21">
        <v>8.0</v>
      </c>
      <c r="B334" s="22" t="s">
        <v>561</v>
      </c>
      <c r="C334" s="22" t="s">
        <v>487</v>
      </c>
      <c r="I334" s="25" t="s">
        <v>721</v>
      </c>
      <c r="J334" s="25" t="s">
        <v>1096</v>
      </c>
      <c r="K334" s="25" t="s">
        <v>71</v>
      </c>
      <c r="L334" s="25" t="s">
        <v>1433</v>
      </c>
      <c r="M334" s="25" t="s">
        <v>1146</v>
      </c>
      <c r="N334" s="25" t="s">
        <v>1147</v>
      </c>
      <c r="O334" s="25" t="s">
        <v>63</v>
      </c>
      <c r="P334" s="25"/>
      <c r="Q334" s="26"/>
      <c r="R334" s="26"/>
      <c r="S334" s="26"/>
      <c r="T334" s="20"/>
      <c r="U334" s="26"/>
      <c r="V334" s="26"/>
      <c r="W334" s="20"/>
      <c r="X334" s="20"/>
      <c r="Y334" s="20"/>
      <c r="Z334" s="20"/>
      <c r="AA334" s="20"/>
      <c r="AB334" s="20"/>
      <c r="AC334" s="20"/>
      <c r="AD334" s="20"/>
      <c r="AE334" s="20"/>
    </row>
    <row r="335">
      <c r="A335" s="21">
        <v>8.0</v>
      </c>
      <c r="B335" s="20" t="s">
        <v>561</v>
      </c>
      <c r="C335" s="20" t="s">
        <v>487</v>
      </c>
      <c r="I335" s="25" t="s">
        <v>1148</v>
      </c>
      <c r="J335" s="25" t="s">
        <v>1096</v>
      </c>
      <c r="K335" s="25" t="s">
        <v>71</v>
      </c>
      <c r="L335" s="25" t="s">
        <v>292</v>
      </c>
      <c r="M335" s="20" t="s">
        <v>1149</v>
      </c>
      <c r="N335" s="20" t="s">
        <v>1150</v>
      </c>
      <c r="O335" s="20" t="s">
        <v>63</v>
      </c>
      <c r="P335" s="20" t="s">
        <v>52</v>
      </c>
      <c r="Q335" s="26"/>
      <c r="R335" s="26"/>
      <c r="S335" s="26"/>
      <c r="T335" s="22"/>
      <c r="U335" s="26"/>
      <c r="V335" s="26"/>
      <c r="W335" s="20"/>
      <c r="X335" s="20"/>
      <c r="Y335" s="20"/>
      <c r="Z335" s="20"/>
      <c r="AA335" s="20"/>
      <c r="AB335" s="20"/>
      <c r="AC335" s="20"/>
      <c r="AD335" s="20"/>
      <c r="AE335" s="20"/>
    </row>
    <row r="336">
      <c r="A336" s="21">
        <v>8.0</v>
      </c>
      <c r="B336" s="20" t="s">
        <v>561</v>
      </c>
      <c r="C336" s="20" t="s">
        <v>487</v>
      </c>
      <c r="I336" s="25" t="s">
        <v>1151</v>
      </c>
      <c r="J336" s="25" t="s">
        <v>1096</v>
      </c>
      <c r="K336" s="25" t="s">
        <v>71</v>
      </c>
      <c r="L336" s="25" t="s">
        <v>292</v>
      </c>
      <c r="M336" s="20" t="s">
        <v>1152</v>
      </c>
      <c r="N336" s="20" t="s">
        <v>1153</v>
      </c>
      <c r="O336" s="20" t="s">
        <v>63</v>
      </c>
      <c r="P336" s="20" t="s">
        <v>52</v>
      </c>
      <c r="Q336" s="26"/>
      <c r="R336" s="26"/>
      <c r="S336" s="26"/>
      <c r="T336" s="22"/>
      <c r="U336" s="26"/>
      <c r="V336" s="26"/>
      <c r="W336" s="20"/>
      <c r="X336" s="20"/>
      <c r="Y336" s="20"/>
      <c r="Z336" s="20"/>
      <c r="AA336" s="20"/>
      <c r="AB336" s="20"/>
      <c r="AC336" s="20"/>
      <c r="AD336" s="20"/>
      <c r="AE336" s="20"/>
    </row>
    <row r="337">
      <c r="A337" s="21">
        <v>8.0</v>
      </c>
      <c r="B337" s="20" t="s">
        <v>561</v>
      </c>
      <c r="C337" s="20" t="s">
        <v>487</v>
      </c>
      <c r="I337" s="25" t="s">
        <v>289</v>
      </c>
      <c r="J337" s="25" t="s">
        <v>1096</v>
      </c>
      <c r="K337" s="25" t="s">
        <v>71</v>
      </c>
      <c r="L337" s="25" t="s">
        <v>292</v>
      </c>
      <c r="M337" s="20" t="s">
        <v>1154</v>
      </c>
      <c r="N337" s="20" t="s">
        <v>1155</v>
      </c>
      <c r="O337" s="20" t="s">
        <v>63</v>
      </c>
      <c r="P337" s="20" t="s">
        <v>52</v>
      </c>
      <c r="Q337" s="26"/>
      <c r="R337" s="26"/>
      <c r="S337" s="26"/>
      <c r="T337" s="22"/>
      <c r="U337" s="26"/>
      <c r="V337" s="26"/>
      <c r="W337" s="20"/>
      <c r="X337" s="20"/>
      <c r="Y337" s="20"/>
      <c r="Z337" s="20"/>
      <c r="AA337" s="20"/>
      <c r="AB337" s="20"/>
      <c r="AC337" s="20"/>
      <c r="AD337" s="20"/>
      <c r="AE337" s="20"/>
    </row>
    <row r="338">
      <c r="A338" s="21">
        <v>8.0</v>
      </c>
      <c r="B338" s="20" t="s">
        <v>561</v>
      </c>
      <c r="C338" s="20" t="s">
        <v>487</v>
      </c>
      <c r="I338" s="25" t="s">
        <v>1156</v>
      </c>
      <c r="J338" s="25" t="s">
        <v>1096</v>
      </c>
      <c r="K338" s="25" t="s">
        <v>71</v>
      </c>
      <c r="L338" s="25" t="s">
        <v>292</v>
      </c>
      <c r="M338" s="20" t="s">
        <v>1157</v>
      </c>
      <c r="N338" s="20" t="s">
        <v>1158</v>
      </c>
      <c r="O338" s="20" t="s">
        <v>63</v>
      </c>
      <c r="P338" s="20" t="s">
        <v>52</v>
      </c>
      <c r="Q338" s="26"/>
      <c r="R338" s="26"/>
      <c r="S338" s="26"/>
      <c r="T338" s="22"/>
      <c r="U338" s="26"/>
      <c r="V338" s="26"/>
      <c r="W338" s="20"/>
      <c r="X338" s="20"/>
      <c r="Y338" s="20"/>
      <c r="Z338" s="20"/>
      <c r="AA338" s="20"/>
      <c r="AB338" s="20"/>
      <c r="AC338" s="20"/>
      <c r="AD338" s="20"/>
      <c r="AE338" s="20"/>
    </row>
    <row r="339">
      <c r="A339" s="21">
        <v>8.0</v>
      </c>
      <c r="B339" s="20" t="s">
        <v>561</v>
      </c>
      <c r="C339" s="20" t="s">
        <v>487</v>
      </c>
      <c r="I339" s="25" t="s">
        <v>1159</v>
      </c>
      <c r="J339" s="25" t="s">
        <v>1096</v>
      </c>
      <c r="K339" s="25" t="s">
        <v>71</v>
      </c>
      <c r="L339" s="25" t="s">
        <v>292</v>
      </c>
      <c r="M339" s="20" t="s">
        <v>1160</v>
      </c>
      <c r="N339" s="20" t="s">
        <v>1161</v>
      </c>
      <c r="O339" s="20" t="s">
        <v>63</v>
      </c>
      <c r="P339" s="20" t="s">
        <v>52</v>
      </c>
      <c r="Q339" s="26"/>
      <c r="R339" s="26"/>
      <c r="S339" s="26"/>
      <c r="T339" s="22"/>
      <c r="U339" s="26"/>
      <c r="V339" s="26"/>
      <c r="W339" s="20"/>
      <c r="X339" s="20"/>
      <c r="Y339" s="20"/>
      <c r="Z339" s="20"/>
      <c r="AA339" s="20"/>
      <c r="AB339" s="20"/>
      <c r="AC339" s="20"/>
      <c r="AD339" s="20"/>
      <c r="AE339" s="20"/>
    </row>
    <row r="340">
      <c r="A340" s="21">
        <v>8.0</v>
      </c>
      <c r="B340" s="20" t="s">
        <v>561</v>
      </c>
      <c r="C340" s="20" t="s">
        <v>487</v>
      </c>
      <c r="I340" s="25" t="s">
        <v>602</v>
      </c>
      <c r="J340" s="25" t="s">
        <v>1094</v>
      </c>
      <c r="K340" s="25" t="s">
        <v>71</v>
      </c>
      <c r="L340" s="25" t="s">
        <v>1453</v>
      </c>
      <c r="M340" s="20" t="s">
        <v>1114</v>
      </c>
      <c r="N340" s="20" t="s">
        <v>1115</v>
      </c>
      <c r="O340" s="20" t="s">
        <v>63</v>
      </c>
      <c r="P340" s="20" t="s">
        <v>52</v>
      </c>
      <c r="Q340" s="26"/>
      <c r="R340" s="26"/>
      <c r="S340" s="26"/>
      <c r="T340" s="20"/>
      <c r="U340" s="26"/>
      <c r="V340" s="26"/>
      <c r="W340" s="20"/>
      <c r="X340" s="20"/>
      <c r="Y340" s="20"/>
      <c r="Z340" s="20"/>
      <c r="AA340" s="20"/>
      <c r="AB340" s="20"/>
      <c r="AC340" s="20"/>
      <c r="AD340" s="20"/>
      <c r="AE340" s="20"/>
    </row>
    <row r="341">
      <c r="A341" s="21">
        <v>8.0</v>
      </c>
      <c r="B341" s="20" t="s">
        <v>561</v>
      </c>
      <c r="C341" s="20" t="s">
        <v>487</v>
      </c>
      <c r="I341" s="25" t="s">
        <v>570</v>
      </c>
      <c r="J341" s="25" t="s">
        <v>1094</v>
      </c>
      <c r="K341" s="25" t="s">
        <v>71</v>
      </c>
      <c r="L341" s="25" t="s">
        <v>292</v>
      </c>
      <c r="M341" s="20" t="s">
        <v>1116</v>
      </c>
      <c r="N341" s="20" t="s">
        <v>1117</v>
      </c>
      <c r="O341" s="20" t="s">
        <v>63</v>
      </c>
      <c r="P341" s="20" t="s">
        <v>52</v>
      </c>
      <c r="Q341" s="26"/>
      <c r="R341" s="26"/>
      <c r="S341" s="26"/>
      <c r="T341" s="22"/>
      <c r="U341" s="26"/>
      <c r="V341" s="26"/>
      <c r="W341" s="20"/>
      <c r="X341" s="20"/>
      <c r="Y341" s="20"/>
      <c r="Z341" s="20"/>
      <c r="AA341" s="20"/>
      <c r="AB341" s="20"/>
      <c r="AC341" s="20"/>
      <c r="AD341" s="20"/>
      <c r="AE341" s="20"/>
    </row>
    <row r="342">
      <c r="A342" s="21">
        <v>8.0</v>
      </c>
      <c r="B342" s="20" t="s">
        <v>561</v>
      </c>
      <c r="C342" s="20" t="s">
        <v>487</v>
      </c>
      <c r="I342" s="25" t="s">
        <v>733</v>
      </c>
      <c r="J342" s="25" t="s">
        <v>1094</v>
      </c>
      <c r="K342" s="25" t="s">
        <v>71</v>
      </c>
      <c r="L342" s="25" t="s">
        <v>1458</v>
      </c>
      <c r="M342" s="20" t="s">
        <v>1028</v>
      </c>
      <c r="N342" s="20" t="s">
        <v>1118</v>
      </c>
      <c r="O342" s="20" t="s">
        <v>63</v>
      </c>
      <c r="P342" s="20" t="s">
        <v>52</v>
      </c>
      <c r="Q342" s="26"/>
      <c r="R342" s="26"/>
      <c r="S342" s="26"/>
      <c r="T342" s="20"/>
      <c r="U342" s="26"/>
      <c r="V342" s="26"/>
      <c r="W342" s="20"/>
      <c r="X342" s="20"/>
      <c r="Y342" s="20"/>
      <c r="Z342" s="20"/>
      <c r="AA342" s="20"/>
      <c r="AB342" s="20"/>
      <c r="AC342" s="20"/>
      <c r="AD342" s="20"/>
      <c r="AE342" s="20"/>
    </row>
    <row r="343">
      <c r="A343" s="21">
        <v>8.0</v>
      </c>
      <c r="B343" s="20" t="s">
        <v>561</v>
      </c>
      <c r="C343" s="20" t="s">
        <v>487</v>
      </c>
      <c r="I343" s="25" t="s">
        <v>1119</v>
      </c>
      <c r="J343" s="25" t="s">
        <v>1094</v>
      </c>
      <c r="K343" s="25" t="s">
        <v>71</v>
      </c>
      <c r="L343" s="25" t="s">
        <v>292</v>
      </c>
      <c r="M343" s="20" t="s">
        <v>1120</v>
      </c>
      <c r="N343" s="20" t="s">
        <v>1121</v>
      </c>
      <c r="O343" s="20" t="s">
        <v>63</v>
      </c>
      <c r="P343" s="20" t="s">
        <v>52</v>
      </c>
      <c r="Q343" s="26"/>
      <c r="R343" s="26"/>
      <c r="S343" s="26"/>
      <c r="T343" s="22"/>
      <c r="U343" s="26"/>
      <c r="V343" s="26"/>
      <c r="W343" s="20"/>
      <c r="X343" s="20"/>
      <c r="Y343" s="20"/>
      <c r="Z343" s="20"/>
      <c r="AA343" s="20"/>
      <c r="AB343" s="20"/>
      <c r="AC343" s="20"/>
      <c r="AD343" s="20"/>
      <c r="AE343" s="20"/>
    </row>
    <row r="344">
      <c r="A344" s="21">
        <v>8.0</v>
      </c>
      <c r="B344" s="20" t="s">
        <v>561</v>
      </c>
      <c r="C344" s="20" t="s">
        <v>487</v>
      </c>
      <c r="I344" s="25" t="s">
        <v>1122</v>
      </c>
      <c r="J344" s="25" t="s">
        <v>1094</v>
      </c>
      <c r="K344" s="25" t="s">
        <v>71</v>
      </c>
      <c r="L344" s="25" t="s">
        <v>292</v>
      </c>
      <c r="M344" s="20" t="s">
        <v>1123</v>
      </c>
      <c r="N344" s="20" t="s">
        <v>1125</v>
      </c>
      <c r="O344" s="20" t="s">
        <v>63</v>
      </c>
      <c r="P344" s="20" t="s">
        <v>52</v>
      </c>
      <c r="Q344" s="26"/>
      <c r="R344" s="26"/>
      <c r="S344" s="26"/>
      <c r="T344" s="22"/>
      <c r="U344" s="26"/>
      <c r="V344" s="26"/>
      <c r="W344" s="20"/>
      <c r="X344" s="20"/>
      <c r="Y344" s="20"/>
      <c r="Z344" s="20"/>
      <c r="AA344" s="20"/>
      <c r="AB344" s="20"/>
      <c r="AC344" s="20"/>
      <c r="AD344" s="20"/>
      <c r="AE344" s="20"/>
    </row>
    <row r="345">
      <c r="A345" s="21">
        <v>8.0</v>
      </c>
      <c r="B345" s="20" t="s">
        <v>561</v>
      </c>
      <c r="C345" s="20" t="s">
        <v>487</v>
      </c>
      <c r="I345" s="25" t="s">
        <v>1126</v>
      </c>
      <c r="J345" s="25" t="s">
        <v>1094</v>
      </c>
      <c r="K345" s="25" t="s">
        <v>71</v>
      </c>
      <c r="L345" s="25" t="s">
        <v>292</v>
      </c>
      <c r="M345" s="20" t="s">
        <v>1127</v>
      </c>
      <c r="N345" s="20" t="s">
        <v>1128</v>
      </c>
      <c r="O345" s="20" t="s">
        <v>63</v>
      </c>
      <c r="P345" s="20" t="s">
        <v>52</v>
      </c>
      <c r="Q345" s="26"/>
      <c r="R345" s="26"/>
      <c r="S345" s="26"/>
      <c r="T345" s="22"/>
      <c r="U345" s="26"/>
      <c r="V345" s="26"/>
      <c r="W345" s="20"/>
      <c r="X345" s="20"/>
      <c r="Y345" s="20"/>
      <c r="Z345" s="20"/>
      <c r="AA345" s="20"/>
      <c r="AB345" s="20"/>
      <c r="AC345" s="20"/>
      <c r="AD345" s="20"/>
      <c r="AE345" s="20"/>
    </row>
    <row r="346">
      <c r="A346" s="21">
        <v>8.0</v>
      </c>
      <c r="B346" s="20" t="s">
        <v>561</v>
      </c>
      <c r="C346" s="20" t="s">
        <v>487</v>
      </c>
      <c r="I346" s="25" t="s">
        <v>1129</v>
      </c>
      <c r="J346" s="25" t="s">
        <v>1094</v>
      </c>
      <c r="K346" s="25" t="s">
        <v>71</v>
      </c>
      <c r="L346" s="25" t="s">
        <v>292</v>
      </c>
      <c r="M346" s="20" t="s">
        <v>1130</v>
      </c>
      <c r="N346" s="20" t="s">
        <v>1131</v>
      </c>
      <c r="O346" s="20" t="s">
        <v>63</v>
      </c>
      <c r="P346" s="20" t="s">
        <v>52</v>
      </c>
      <c r="Q346" s="26"/>
      <c r="R346" s="26"/>
      <c r="S346" s="26"/>
      <c r="T346" s="22"/>
      <c r="U346" s="26"/>
      <c r="V346" s="26"/>
      <c r="W346" s="20"/>
      <c r="X346" s="20"/>
      <c r="Y346" s="20"/>
      <c r="Z346" s="20"/>
      <c r="AA346" s="20"/>
      <c r="AB346" s="20"/>
      <c r="AC346" s="20"/>
      <c r="AD346" s="20"/>
      <c r="AE346" s="20"/>
    </row>
    <row r="347">
      <c r="A347" s="21">
        <v>8.0</v>
      </c>
      <c r="B347" s="20" t="s">
        <v>561</v>
      </c>
      <c r="C347" s="20" t="s">
        <v>487</v>
      </c>
      <c r="I347" s="25" t="s">
        <v>1162</v>
      </c>
      <c r="J347" s="25" t="s">
        <v>1096</v>
      </c>
      <c r="K347" s="25" t="s">
        <v>71</v>
      </c>
      <c r="L347" s="25" t="s">
        <v>292</v>
      </c>
      <c r="M347" s="20" t="s">
        <v>1163</v>
      </c>
      <c r="N347" s="20" t="s">
        <v>1164</v>
      </c>
      <c r="O347" s="20" t="s">
        <v>63</v>
      </c>
      <c r="P347" s="20" t="s">
        <v>52</v>
      </c>
      <c r="Q347" s="26"/>
      <c r="R347" s="26"/>
      <c r="S347" s="26"/>
      <c r="T347" s="22"/>
      <c r="U347" s="26"/>
      <c r="V347" s="26"/>
      <c r="W347" s="20"/>
      <c r="X347" s="20"/>
      <c r="Y347" s="20"/>
      <c r="Z347" s="20"/>
      <c r="AA347" s="20"/>
      <c r="AB347" s="20"/>
      <c r="AC347" s="20"/>
      <c r="AD347" s="20"/>
      <c r="AE347" s="20"/>
    </row>
    <row r="348">
      <c r="A348" s="21">
        <v>8.0</v>
      </c>
      <c r="B348" s="20" t="s">
        <v>561</v>
      </c>
      <c r="C348" s="20" t="s">
        <v>487</v>
      </c>
      <c r="I348" s="25" t="s">
        <v>495</v>
      </c>
      <c r="J348" s="25" t="s">
        <v>1096</v>
      </c>
      <c r="K348" s="25" t="s">
        <v>71</v>
      </c>
      <c r="L348" s="25" t="s">
        <v>881</v>
      </c>
      <c r="M348" s="20" t="s">
        <v>1166</v>
      </c>
      <c r="N348" s="20" t="s">
        <v>1167</v>
      </c>
      <c r="O348" s="20" t="s">
        <v>63</v>
      </c>
      <c r="P348" s="20" t="s">
        <v>52</v>
      </c>
      <c r="Q348" s="26"/>
      <c r="R348" s="26"/>
      <c r="S348" s="26"/>
      <c r="T348" s="20"/>
      <c r="U348" s="26"/>
      <c r="V348" s="26"/>
      <c r="W348" s="20"/>
      <c r="X348" s="20"/>
      <c r="Y348" s="20"/>
      <c r="Z348" s="20"/>
      <c r="AA348" s="20"/>
      <c r="AB348" s="20"/>
      <c r="AC348" s="20"/>
      <c r="AD348" s="20"/>
      <c r="AE348" s="20"/>
    </row>
    <row r="349">
      <c r="A349" s="21">
        <v>8.0</v>
      </c>
      <c r="B349" s="20" t="s">
        <v>561</v>
      </c>
      <c r="C349" s="20" t="s">
        <v>487</v>
      </c>
      <c r="I349" s="25" t="s">
        <v>1168</v>
      </c>
      <c r="J349" s="25" t="s">
        <v>1096</v>
      </c>
      <c r="K349" s="25" t="s">
        <v>71</v>
      </c>
      <c r="L349" s="25" t="s">
        <v>292</v>
      </c>
      <c r="M349" s="20" t="s">
        <v>1169</v>
      </c>
      <c r="N349" s="20" t="s">
        <v>1170</v>
      </c>
      <c r="O349" s="20" t="s">
        <v>63</v>
      </c>
      <c r="P349" s="20" t="s">
        <v>52</v>
      </c>
      <c r="Q349" s="26"/>
      <c r="R349" s="26"/>
      <c r="S349" s="26"/>
      <c r="T349" s="22"/>
      <c r="U349" s="26"/>
      <c r="V349" s="26"/>
      <c r="W349" s="20"/>
      <c r="X349" s="20"/>
      <c r="Y349" s="20"/>
      <c r="Z349" s="20"/>
      <c r="AA349" s="20"/>
      <c r="AB349" s="20"/>
      <c r="AC349" s="20"/>
      <c r="AD349" s="20"/>
      <c r="AE349" s="20"/>
    </row>
    <row r="350">
      <c r="A350" s="21">
        <v>8.0</v>
      </c>
      <c r="B350" s="20" t="s">
        <v>561</v>
      </c>
      <c r="C350" s="20" t="s">
        <v>487</v>
      </c>
      <c r="I350" s="25" t="s">
        <v>1171</v>
      </c>
      <c r="J350" s="25" t="s">
        <v>1096</v>
      </c>
      <c r="K350" s="25" t="s">
        <v>71</v>
      </c>
      <c r="L350" s="25" t="s">
        <v>292</v>
      </c>
      <c r="M350" s="20" t="s">
        <v>1172</v>
      </c>
      <c r="N350" s="20" t="s">
        <v>1173</v>
      </c>
      <c r="O350" s="20" t="s">
        <v>63</v>
      </c>
      <c r="P350" s="20" t="s">
        <v>52</v>
      </c>
      <c r="Q350" s="26"/>
      <c r="R350" s="26"/>
      <c r="S350" s="26"/>
      <c r="T350" s="22"/>
      <c r="U350" s="26"/>
      <c r="V350" s="26"/>
      <c r="W350" s="20"/>
      <c r="X350" s="20"/>
      <c r="Y350" s="20"/>
      <c r="Z350" s="20"/>
      <c r="AA350" s="20"/>
      <c r="AB350" s="20"/>
      <c r="AC350" s="20"/>
      <c r="AD350" s="20"/>
      <c r="AE350" s="20"/>
    </row>
    <row r="351">
      <c r="A351" s="21">
        <v>8.0</v>
      </c>
      <c r="B351" s="20" t="s">
        <v>561</v>
      </c>
      <c r="C351" s="20" t="s">
        <v>487</v>
      </c>
      <c r="I351" s="25" t="s">
        <v>1174</v>
      </c>
      <c r="J351" s="25" t="s">
        <v>1096</v>
      </c>
      <c r="K351" s="25" t="s">
        <v>71</v>
      </c>
      <c r="L351" s="25" t="s">
        <v>292</v>
      </c>
      <c r="M351" s="20" t="s">
        <v>1175</v>
      </c>
      <c r="N351" s="20" t="s">
        <v>1176</v>
      </c>
      <c r="O351" s="20" t="s">
        <v>63</v>
      </c>
      <c r="P351" s="20" t="s">
        <v>52</v>
      </c>
      <c r="Q351" s="26"/>
      <c r="R351" s="26"/>
      <c r="S351" s="26"/>
      <c r="T351" s="22"/>
      <c r="U351" s="26"/>
      <c r="V351" s="26"/>
      <c r="W351" s="20"/>
      <c r="X351" s="20"/>
      <c r="Y351" s="20"/>
      <c r="Z351" s="20"/>
      <c r="AA351" s="20"/>
      <c r="AB351" s="20"/>
      <c r="AC351" s="20"/>
      <c r="AD351" s="20"/>
      <c r="AE351" s="20"/>
    </row>
    <row r="352">
      <c r="A352" s="21">
        <v>9.0</v>
      </c>
      <c r="B352" s="22" t="s">
        <v>341</v>
      </c>
      <c r="C352" s="22" t="s">
        <v>487</v>
      </c>
      <c r="D352" s="23">
        <v>30.0</v>
      </c>
      <c r="E352" s="23">
        <v>2.0</v>
      </c>
      <c r="F352" s="23">
        <v>2.0</v>
      </c>
      <c r="G352" s="23">
        <v>26.0</v>
      </c>
      <c r="H352" s="24" t="s">
        <v>1471</v>
      </c>
      <c r="I352" s="25" t="s">
        <v>541</v>
      </c>
      <c r="J352" s="25" t="s">
        <v>1177</v>
      </c>
      <c r="K352" s="25" t="s">
        <v>57</v>
      </c>
      <c r="L352" s="25" t="s">
        <v>1472</v>
      </c>
      <c r="M352" s="25" t="s">
        <v>1178</v>
      </c>
      <c r="N352" s="25" t="s">
        <v>1179</v>
      </c>
      <c r="O352" s="25" t="s">
        <v>63</v>
      </c>
      <c r="P352" s="25"/>
      <c r="Q352" s="26"/>
      <c r="R352" s="26"/>
      <c r="S352" s="26"/>
      <c r="T352" s="20"/>
      <c r="U352" s="26"/>
      <c r="V352" s="26"/>
      <c r="W352" s="20"/>
      <c r="X352" s="20"/>
      <c r="Y352" s="20"/>
      <c r="Z352" s="20"/>
      <c r="AA352" s="20"/>
      <c r="AB352" s="20"/>
      <c r="AC352" s="20"/>
      <c r="AD352" s="20"/>
      <c r="AE352" s="20"/>
    </row>
    <row r="353">
      <c r="A353" s="21">
        <v>9.0</v>
      </c>
      <c r="B353" s="22" t="s">
        <v>341</v>
      </c>
      <c r="C353" s="22" t="s">
        <v>487</v>
      </c>
      <c r="I353" s="25" t="s">
        <v>851</v>
      </c>
      <c r="J353" s="25" t="s">
        <v>1177</v>
      </c>
      <c r="K353" s="25" t="s">
        <v>57</v>
      </c>
      <c r="L353" s="25" t="s">
        <v>1474</v>
      </c>
      <c r="M353" s="25" t="s">
        <v>852</v>
      </c>
      <c r="N353" s="25" t="s">
        <v>853</v>
      </c>
      <c r="O353" s="25" t="s">
        <v>63</v>
      </c>
      <c r="P353" s="25"/>
      <c r="Q353" s="26"/>
      <c r="R353" s="26"/>
      <c r="S353" s="26"/>
      <c r="T353" s="20"/>
      <c r="U353" s="26"/>
      <c r="V353" s="26"/>
      <c r="W353" s="20"/>
      <c r="X353" s="20"/>
      <c r="Y353" s="20"/>
      <c r="Z353" s="20"/>
      <c r="AA353" s="20"/>
      <c r="AB353" s="20"/>
      <c r="AC353" s="20"/>
      <c r="AD353" s="20"/>
      <c r="AE353" s="20"/>
    </row>
    <row r="354">
      <c r="A354" s="21">
        <v>9.0</v>
      </c>
      <c r="B354" s="22" t="s">
        <v>341</v>
      </c>
      <c r="C354" s="22" t="s">
        <v>487</v>
      </c>
      <c r="I354" s="25" t="s">
        <v>860</v>
      </c>
      <c r="J354" s="25" t="s">
        <v>1180</v>
      </c>
      <c r="K354" s="25" t="s">
        <v>67</v>
      </c>
      <c r="L354" s="25" t="s">
        <v>1478</v>
      </c>
      <c r="M354" s="25" t="s">
        <v>1181</v>
      </c>
      <c r="N354" s="25" t="s">
        <v>1182</v>
      </c>
      <c r="O354" s="25" t="s">
        <v>63</v>
      </c>
      <c r="P354" s="25"/>
      <c r="Q354" s="26"/>
      <c r="R354" s="26"/>
      <c r="S354" s="26"/>
      <c r="T354" s="20"/>
      <c r="U354" s="26"/>
      <c r="V354" s="26"/>
      <c r="W354" s="20"/>
      <c r="X354" s="20"/>
      <c r="Y354" s="20"/>
      <c r="Z354" s="20"/>
      <c r="AA354" s="20"/>
      <c r="AB354" s="20"/>
      <c r="AC354" s="20"/>
      <c r="AD354" s="20"/>
      <c r="AE354" s="20"/>
    </row>
    <row r="355">
      <c r="A355" s="21">
        <v>9.0</v>
      </c>
      <c r="B355" s="22" t="s">
        <v>341</v>
      </c>
      <c r="C355" s="22" t="s">
        <v>487</v>
      </c>
      <c r="I355" s="25" t="s">
        <v>836</v>
      </c>
      <c r="J355" s="25" t="s">
        <v>1177</v>
      </c>
      <c r="K355" s="25" t="s">
        <v>71</v>
      </c>
      <c r="L355" s="25" t="s">
        <v>292</v>
      </c>
      <c r="M355" s="25" t="s">
        <v>1185</v>
      </c>
      <c r="N355" s="25" t="s">
        <v>1186</v>
      </c>
      <c r="O355" s="25" t="s">
        <v>63</v>
      </c>
      <c r="P355" s="25" t="s">
        <v>52</v>
      </c>
      <c r="Q355" s="26"/>
      <c r="R355" s="26"/>
      <c r="S355" s="26"/>
      <c r="T355" s="22"/>
      <c r="U355" s="26"/>
      <c r="V355" s="26"/>
      <c r="W355" s="20"/>
      <c r="X355" s="20"/>
      <c r="Y355" s="20"/>
      <c r="Z355" s="20"/>
      <c r="AA355" s="20"/>
      <c r="AB355" s="20"/>
      <c r="AC355" s="20"/>
      <c r="AD355" s="20"/>
      <c r="AE355" s="20"/>
    </row>
    <row r="356">
      <c r="A356" s="21">
        <v>9.0</v>
      </c>
      <c r="B356" s="22" t="s">
        <v>341</v>
      </c>
      <c r="C356" s="22" t="s">
        <v>487</v>
      </c>
      <c r="I356" s="25" t="s">
        <v>700</v>
      </c>
      <c r="J356" s="25" t="s">
        <v>1180</v>
      </c>
      <c r="K356" s="25" t="s">
        <v>67</v>
      </c>
      <c r="L356" s="25" t="s">
        <v>1483</v>
      </c>
      <c r="M356" s="25" t="s">
        <v>1183</v>
      </c>
      <c r="N356" s="25" t="s">
        <v>1184</v>
      </c>
      <c r="O356" s="25" t="s">
        <v>63</v>
      </c>
      <c r="P356" s="25"/>
      <c r="Q356" s="26"/>
      <c r="R356" s="26"/>
      <c r="S356" s="26"/>
      <c r="T356" s="20"/>
      <c r="U356" s="26"/>
      <c r="V356" s="26"/>
      <c r="W356" s="20"/>
      <c r="X356" s="20"/>
      <c r="Y356" s="20"/>
      <c r="Z356" s="20"/>
      <c r="AA356" s="20"/>
      <c r="AB356" s="20"/>
      <c r="AC356" s="20"/>
      <c r="AD356" s="20"/>
      <c r="AE356" s="20"/>
    </row>
    <row r="357">
      <c r="A357" s="21">
        <v>9.0</v>
      </c>
      <c r="B357" s="22" t="s">
        <v>341</v>
      </c>
      <c r="C357" s="22" t="s">
        <v>487</v>
      </c>
      <c r="I357" s="25" t="s">
        <v>672</v>
      </c>
      <c r="J357" s="25" t="s">
        <v>1177</v>
      </c>
      <c r="K357" s="25" t="s">
        <v>71</v>
      </c>
      <c r="L357" s="25" t="s">
        <v>292</v>
      </c>
      <c r="M357" s="25" t="s">
        <v>843</v>
      </c>
      <c r="N357" s="25" t="s">
        <v>1187</v>
      </c>
      <c r="O357" s="25" t="s">
        <v>63</v>
      </c>
      <c r="P357" s="25" t="s">
        <v>52</v>
      </c>
      <c r="Q357" s="26"/>
      <c r="R357" s="26"/>
      <c r="S357" s="26"/>
      <c r="T357" s="22"/>
      <c r="U357" s="26"/>
      <c r="V357" s="26"/>
      <c r="W357" s="20"/>
      <c r="X357" s="20"/>
      <c r="Y357" s="20"/>
      <c r="Z357" s="20"/>
      <c r="AA357" s="20"/>
      <c r="AB357" s="20"/>
      <c r="AC357" s="20"/>
      <c r="AD357" s="20"/>
      <c r="AE357" s="20"/>
    </row>
    <row r="358">
      <c r="A358" s="21">
        <v>9.0</v>
      </c>
      <c r="B358" s="22" t="s">
        <v>341</v>
      </c>
      <c r="C358" s="22" t="s">
        <v>487</v>
      </c>
      <c r="I358" s="25" t="s">
        <v>833</v>
      </c>
      <c r="J358" s="25" t="s">
        <v>1205</v>
      </c>
      <c r="K358" s="25" t="s">
        <v>71</v>
      </c>
      <c r="L358" s="25" t="s">
        <v>1015</v>
      </c>
      <c r="M358" s="25" t="s">
        <v>61</v>
      </c>
      <c r="N358" s="25" t="s">
        <v>1206</v>
      </c>
      <c r="O358" s="25" t="s">
        <v>63</v>
      </c>
      <c r="P358" s="25"/>
      <c r="Q358" s="26"/>
      <c r="R358" s="26"/>
      <c r="S358" s="26"/>
      <c r="T358" s="20"/>
      <c r="U358" s="26"/>
      <c r="V358" s="26"/>
      <c r="W358" s="20"/>
      <c r="X358" s="20"/>
      <c r="Y358" s="20"/>
      <c r="Z358" s="20"/>
      <c r="AA358" s="20"/>
      <c r="AB358" s="20"/>
      <c r="AC358" s="20"/>
      <c r="AD358" s="20"/>
      <c r="AE358" s="20"/>
    </row>
    <row r="359">
      <c r="A359" s="21">
        <v>9.0</v>
      </c>
      <c r="B359" s="22" t="s">
        <v>341</v>
      </c>
      <c r="C359" s="22" t="s">
        <v>487</v>
      </c>
      <c r="I359" s="25" t="s">
        <v>701</v>
      </c>
      <c r="J359" s="25" t="s">
        <v>1205</v>
      </c>
      <c r="K359" s="25" t="s">
        <v>71</v>
      </c>
      <c r="L359" s="25" t="s">
        <v>1024</v>
      </c>
      <c r="M359" s="25" t="s">
        <v>1207</v>
      </c>
      <c r="N359" s="25" t="s">
        <v>1208</v>
      </c>
      <c r="O359" s="25" t="s">
        <v>63</v>
      </c>
      <c r="P359" s="25"/>
      <c r="Q359" s="26"/>
      <c r="R359" s="26"/>
      <c r="S359" s="26"/>
      <c r="T359" s="20"/>
      <c r="U359" s="26"/>
      <c r="V359" s="26"/>
      <c r="W359" s="20"/>
      <c r="X359" s="20"/>
      <c r="Y359" s="20"/>
      <c r="Z359" s="20"/>
      <c r="AA359" s="20"/>
      <c r="AB359" s="20"/>
      <c r="AC359" s="20"/>
      <c r="AD359" s="20"/>
      <c r="AE359" s="20"/>
    </row>
    <row r="360">
      <c r="A360" s="21">
        <v>9.0</v>
      </c>
      <c r="B360" s="22" t="s">
        <v>341</v>
      </c>
      <c r="C360" s="22" t="s">
        <v>487</v>
      </c>
      <c r="I360" s="25" t="s">
        <v>489</v>
      </c>
      <c r="J360" s="25" t="s">
        <v>1177</v>
      </c>
      <c r="K360" s="25" t="s">
        <v>71</v>
      </c>
      <c r="L360" s="25" t="s">
        <v>1024</v>
      </c>
      <c r="M360" s="25" t="s">
        <v>864</v>
      </c>
      <c r="N360" s="25" t="s">
        <v>1188</v>
      </c>
      <c r="O360" s="25" t="s">
        <v>63</v>
      </c>
      <c r="P360" s="25"/>
      <c r="Q360" s="26"/>
      <c r="R360" s="26"/>
      <c r="S360" s="26"/>
      <c r="T360" s="20"/>
      <c r="U360" s="26"/>
      <c r="V360" s="26"/>
      <c r="W360" s="20"/>
      <c r="X360" s="20"/>
      <c r="Y360" s="20"/>
      <c r="Z360" s="20"/>
      <c r="AA360" s="20"/>
      <c r="AB360" s="20"/>
      <c r="AC360" s="20"/>
      <c r="AD360" s="20"/>
      <c r="AE360" s="20"/>
    </row>
    <row r="361">
      <c r="A361" s="21">
        <v>9.0</v>
      </c>
      <c r="B361" s="22" t="s">
        <v>341</v>
      </c>
      <c r="C361" s="22" t="s">
        <v>487</v>
      </c>
      <c r="I361" s="25" t="s">
        <v>270</v>
      </c>
      <c r="J361" s="25" t="s">
        <v>1180</v>
      </c>
      <c r="K361" s="25" t="s">
        <v>71</v>
      </c>
      <c r="L361" s="25" t="s">
        <v>1496</v>
      </c>
      <c r="M361" s="25" t="s">
        <v>271</v>
      </c>
      <c r="N361" s="25" t="s">
        <v>272</v>
      </c>
      <c r="O361" s="25" t="s">
        <v>63</v>
      </c>
      <c r="P361" s="25"/>
      <c r="Q361" s="26"/>
      <c r="R361" s="26"/>
      <c r="S361" s="26"/>
      <c r="T361" s="20"/>
      <c r="U361" s="26"/>
      <c r="V361" s="26"/>
      <c r="W361" s="20"/>
      <c r="X361" s="20"/>
      <c r="Y361" s="20"/>
      <c r="Z361" s="20"/>
      <c r="AA361" s="20"/>
      <c r="AB361" s="20"/>
      <c r="AC361" s="20"/>
      <c r="AD361" s="20"/>
      <c r="AE361" s="20"/>
    </row>
    <row r="362">
      <c r="A362" s="21">
        <v>9.0</v>
      </c>
      <c r="B362" s="22" t="s">
        <v>341</v>
      </c>
      <c r="C362" s="22" t="s">
        <v>487</v>
      </c>
      <c r="I362" s="25" t="s">
        <v>471</v>
      </c>
      <c r="J362" s="25" t="s">
        <v>1177</v>
      </c>
      <c r="K362" s="25" t="s">
        <v>71</v>
      </c>
      <c r="L362" s="25" t="s">
        <v>292</v>
      </c>
      <c r="M362" s="25" t="s">
        <v>838</v>
      </c>
      <c r="N362" s="25" t="s">
        <v>1189</v>
      </c>
      <c r="O362" s="25" t="s">
        <v>63</v>
      </c>
      <c r="P362" s="25" t="s">
        <v>52</v>
      </c>
      <c r="Q362" s="26"/>
      <c r="R362" s="26"/>
      <c r="S362" s="26"/>
      <c r="T362" s="22"/>
      <c r="U362" s="26"/>
      <c r="V362" s="26"/>
      <c r="W362" s="20"/>
      <c r="X362" s="20"/>
      <c r="Y362" s="20"/>
      <c r="Z362" s="20"/>
      <c r="AA362" s="20"/>
      <c r="AB362" s="20"/>
      <c r="AC362" s="20"/>
      <c r="AD362" s="20"/>
      <c r="AE362" s="20"/>
    </row>
    <row r="363">
      <c r="A363" s="21">
        <v>9.0</v>
      </c>
      <c r="B363" s="22" t="s">
        <v>341</v>
      </c>
      <c r="C363" s="22" t="s">
        <v>487</v>
      </c>
      <c r="I363" s="25" t="s">
        <v>570</v>
      </c>
      <c r="J363" s="25" t="s">
        <v>1177</v>
      </c>
      <c r="K363" s="25" t="s">
        <v>71</v>
      </c>
      <c r="L363" s="25" t="s">
        <v>292</v>
      </c>
      <c r="M363" s="25" t="s">
        <v>872</v>
      </c>
      <c r="N363" s="25" t="s">
        <v>1190</v>
      </c>
      <c r="O363" s="25" t="s">
        <v>63</v>
      </c>
      <c r="P363" s="25" t="s">
        <v>52</v>
      </c>
      <c r="Q363" s="26"/>
      <c r="R363" s="26"/>
      <c r="S363" s="26"/>
      <c r="T363" s="22"/>
      <c r="U363" s="26"/>
      <c r="V363" s="26"/>
      <c r="W363" s="20"/>
      <c r="X363" s="20"/>
      <c r="Y363" s="20"/>
      <c r="Z363" s="20"/>
      <c r="AA363" s="20"/>
      <c r="AB363" s="20"/>
      <c r="AC363" s="20"/>
      <c r="AD363" s="20"/>
      <c r="AE363" s="20"/>
    </row>
    <row r="364">
      <c r="A364" s="21">
        <v>9.0</v>
      </c>
      <c r="B364" s="22" t="s">
        <v>341</v>
      </c>
      <c r="C364" s="22" t="s">
        <v>487</v>
      </c>
      <c r="I364" s="25" t="s">
        <v>737</v>
      </c>
      <c r="J364" s="25" t="s">
        <v>1177</v>
      </c>
      <c r="K364" s="25" t="s">
        <v>71</v>
      </c>
      <c r="L364" s="25" t="s">
        <v>292</v>
      </c>
      <c r="M364" s="25" t="s">
        <v>1099</v>
      </c>
      <c r="N364" s="25" t="s">
        <v>1191</v>
      </c>
      <c r="O364" s="25" t="s">
        <v>63</v>
      </c>
      <c r="P364" s="25" t="s">
        <v>52</v>
      </c>
      <c r="Q364" s="26"/>
      <c r="R364" s="26"/>
      <c r="S364" s="26"/>
      <c r="T364" s="22"/>
      <c r="U364" s="26"/>
      <c r="V364" s="26"/>
      <c r="W364" s="20"/>
      <c r="X364" s="20"/>
      <c r="Y364" s="20"/>
      <c r="Z364" s="20"/>
      <c r="AA364" s="20"/>
      <c r="AB364" s="20"/>
      <c r="AC364" s="20"/>
      <c r="AD364" s="20"/>
      <c r="AE364" s="20"/>
    </row>
    <row r="365">
      <c r="A365" s="21">
        <v>9.0</v>
      </c>
      <c r="B365" s="22" t="s">
        <v>341</v>
      </c>
      <c r="C365" s="22" t="s">
        <v>487</v>
      </c>
      <c r="I365" s="25" t="s">
        <v>723</v>
      </c>
      <c r="J365" s="25" t="s">
        <v>1177</v>
      </c>
      <c r="K365" s="25" t="s">
        <v>71</v>
      </c>
      <c r="L365" s="25" t="s">
        <v>292</v>
      </c>
      <c r="M365" s="25" t="s">
        <v>874</v>
      </c>
      <c r="N365" s="25" t="s">
        <v>1193</v>
      </c>
      <c r="O365" s="25" t="s">
        <v>63</v>
      </c>
      <c r="P365" s="25" t="s">
        <v>52</v>
      </c>
      <c r="Q365" s="26"/>
      <c r="R365" s="26"/>
      <c r="S365" s="26"/>
      <c r="T365" s="22"/>
      <c r="U365" s="26"/>
      <c r="V365" s="26"/>
      <c r="W365" s="20"/>
      <c r="X365" s="20"/>
      <c r="Y365" s="20"/>
      <c r="Z365" s="20"/>
      <c r="AA365" s="20"/>
      <c r="AB365" s="20"/>
      <c r="AC365" s="20"/>
      <c r="AD365" s="20"/>
      <c r="AE365" s="20"/>
    </row>
    <row r="366">
      <c r="A366" s="21">
        <v>9.0</v>
      </c>
      <c r="B366" s="22" t="s">
        <v>341</v>
      </c>
      <c r="C366" s="22" t="s">
        <v>487</v>
      </c>
      <c r="I366" s="25" t="s">
        <v>891</v>
      </c>
      <c r="J366" s="25" t="s">
        <v>1205</v>
      </c>
      <c r="K366" s="25" t="s">
        <v>71</v>
      </c>
      <c r="L366" s="25" t="s">
        <v>1015</v>
      </c>
      <c r="M366" s="25" t="s">
        <v>61</v>
      </c>
      <c r="N366" s="25" t="s">
        <v>1209</v>
      </c>
      <c r="O366" s="25" t="s">
        <v>63</v>
      </c>
      <c r="P366" s="25"/>
      <c r="Q366" s="26"/>
      <c r="R366" s="26"/>
      <c r="S366" s="26"/>
      <c r="T366" s="20"/>
      <c r="U366" s="26"/>
      <c r="V366" s="26"/>
      <c r="W366" s="20"/>
      <c r="X366" s="20"/>
      <c r="Y366" s="20"/>
      <c r="Z366" s="20"/>
      <c r="AA366" s="20"/>
      <c r="AB366" s="20"/>
      <c r="AC366" s="20"/>
      <c r="AD366" s="20"/>
      <c r="AE366" s="20"/>
    </row>
    <row r="367">
      <c r="A367" s="21">
        <v>9.0</v>
      </c>
      <c r="B367" s="22" t="s">
        <v>341</v>
      </c>
      <c r="C367" s="22" t="s">
        <v>487</v>
      </c>
      <c r="I367" s="25" t="s">
        <v>720</v>
      </c>
      <c r="J367" s="25" t="s">
        <v>1177</v>
      </c>
      <c r="K367" s="25" t="s">
        <v>71</v>
      </c>
      <c r="L367" s="25" t="s">
        <v>292</v>
      </c>
      <c r="M367" s="25" t="s">
        <v>821</v>
      </c>
      <c r="N367" s="25" t="s">
        <v>1194</v>
      </c>
      <c r="O367" s="25" t="s">
        <v>63</v>
      </c>
      <c r="P367" s="25" t="s">
        <v>52</v>
      </c>
      <c r="Q367" s="26"/>
      <c r="R367" s="26"/>
      <c r="S367" s="26"/>
      <c r="T367" s="22"/>
      <c r="U367" s="26"/>
      <c r="V367" s="26"/>
      <c r="W367" s="20"/>
      <c r="X367" s="20"/>
      <c r="Y367" s="20"/>
      <c r="Z367" s="20"/>
      <c r="AA367" s="20"/>
      <c r="AB367" s="20"/>
      <c r="AC367" s="20"/>
      <c r="AD367" s="20"/>
      <c r="AE367" s="20"/>
    </row>
    <row r="368">
      <c r="A368" s="21">
        <v>9.0</v>
      </c>
      <c r="B368" s="22" t="s">
        <v>341</v>
      </c>
      <c r="C368" s="22" t="s">
        <v>487</v>
      </c>
      <c r="I368" s="25" t="s">
        <v>894</v>
      </c>
      <c r="J368" s="25" t="s">
        <v>1205</v>
      </c>
      <c r="K368" s="25" t="s">
        <v>71</v>
      </c>
      <c r="L368" s="25" t="s">
        <v>1015</v>
      </c>
      <c r="M368" s="25" t="s">
        <v>61</v>
      </c>
      <c r="N368" s="25" t="s">
        <v>1211</v>
      </c>
      <c r="O368" s="25" t="s">
        <v>63</v>
      </c>
      <c r="P368" s="25"/>
      <c r="Q368" s="26"/>
      <c r="R368" s="26"/>
      <c r="S368" s="26"/>
      <c r="T368" s="20"/>
      <c r="U368" s="26"/>
      <c r="V368" s="26"/>
      <c r="W368" s="20"/>
      <c r="X368" s="20"/>
      <c r="Y368" s="20"/>
      <c r="Z368" s="20"/>
      <c r="AA368" s="20"/>
      <c r="AB368" s="20"/>
      <c r="AC368" s="20"/>
      <c r="AD368" s="20"/>
      <c r="AE368" s="20"/>
    </row>
    <row r="369">
      <c r="A369" s="21">
        <v>9.0</v>
      </c>
      <c r="B369" s="22" t="s">
        <v>341</v>
      </c>
      <c r="C369" s="22" t="s">
        <v>487</v>
      </c>
      <c r="I369" s="25" t="s">
        <v>222</v>
      </c>
      <c r="J369" s="25" t="s">
        <v>1177</v>
      </c>
      <c r="K369" s="25" t="s">
        <v>71</v>
      </c>
      <c r="L369" s="25" t="s">
        <v>292</v>
      </c>
      <c r="M369" s="25" t="s">
        <v>61</v>
      </c>
      <c r="N369" s="25" t="s">
        <v>929</v>
      </c>
      <c r="O369" s="25" t="s">
        <v>63</v>
      </c>
      <c r="P369" s="25" t="s">
        <v>52</v>
      </c>
      <c r="Q369" s="26"/>
      <c r="R369" s="26"/>
      <c r="S369" s="26"/>
      <c r="T369" s="22"/>
      <c r="U369" s="26"/>
      <c r="V369" s="26"/>
      <c r="W369" s="20"/>
      <c r="X369" s="20"/>
      <c r="Y369" s="20"/>
      <c r="Z369" s="20"/>
      <c r="AA369" s="20"/>
      <c r="AB369" s="20"/>
      <c r="AC369" s="20"/>
      <c r="AD369" s="20"/>
      <c r="AE369" s="20"/>
    </row>
    <row r="370">
      <c r="A370" s="21">
        <v>9.0</v>
      </c>
      <c r="B370" s="22" t="s">
        <v>341</v>
      </c>
      <c r="C370" s="22" t="s">
        <v>487</v>
      </c>
      <c r="I370" s="25" t="s">
        <v>501</v>
      </c>
      <c r="J370" s="25" t="s">
        <v>1177</v>
      </c>
      <c r="K370" s="25" t="s">
        <v>71</v>
      </c>
      <c r="L370" s="25" t="s">
        <v>292</v>
      </c>
      <c r="M370" s="25" t="s">
        <v>975</v>
      </c>
      <c r="N370" s="25" t="s">
        <v>1195</v>
      </c>
      <c r="O370" s="25" t="s">
        <v>63</v>
      </c>
      <c r="P370" s="25" t="s">
        <v>52</v>
      </c>
      <c r="Q370" s="26"/>
      <c r="R370" s="26"/>
      <c r="S370" s="26"/>
      <c r="T370" s="22"/>
      <c r="U370" s="26"/>
      <c r="V370" s="26"/>
      <c r="W370" s="20"/>
      <c r="X370" s="20"/>
      <c r="Y370" s="20"/>
      <c r="Z370" s="20"/>
      <c r="AA370" s="20"/>
      <c r="AB370" s="20"/>
      <c r="AC370" s="20"/>
      <c r="AD370" s="20"/>
      <c r="AE370" s="20"/>
    </row>
    <row r="371">
      <c r="A371" s="21">
        <v>9.0</v>
      </c>
      <c r="B371" s="22" t="s">
        <v>341</v>
      </c>
      <c r="C371" s="22" t="s">
        <v>487</v>
      </c>
      <c r="I371" s="25" t="s">
        <v>612</v>
      </c>
      <c r="J371" s="25" t="s">
        <v>1177</v>
      </c>
      <c r="K371" s="25" t="s">
        <v>71</v>
      </c>
      <c r="L371" s="25" t="s">
        <v>292</v>
      </c>
      <c r="M371" s="25" t="s">
        <v>1196</v>
      </c>
      <c r="N371" s="25" t="s">
        <v>1197</v>
      </c>
      <c r="O371" s="25" t="s">
        <v>63</v>
      </c>
      <c r="P371" s="25" t="s">
        <v>52</v>
      </c>
      <c r="Q371" s="26"/>
      <c r="R371" s="26"/>
      <c r="S371" s="26"/>
      <c r="T371" s="22"/>
      <c r="U371" s="26"/>
      <c r="V371" s="26"/>
      <c r="W371" s="20"/>
      <c r="X371" s="20"/>
      <c r="Y371" s="20"/>
      <c r="Z371" s="20"/>
      <c r="AA371" s="20"/>
      <c r="AB371" s="20"/>
      <c r="AC371" s="20"/>
      <c r="AD371" s="20"/>
      <c r="AE371" s="20"/>
    </row>
    <row r="372">
      <c r="A372" s="21">
        <v>9.0</v>
      </c>
      <c r="B372" s="22" t="s">
        <v>341</v>
      </c>
      <c r="C372" s="22" t="s">
        <v>487</v>
      </c>
      <c r="I372" s="25" t="s">
        <v>375</v>
      </c>
      <c r="J372" s="25" t="s">
        <v>1205</v>
      </c>
      <c r="K372" s="25" t="s">
        <v>71</v>
      </c>
      <c r="L372" s="25" t="s">
        <v>292</v>
      </c>
      <c r="M372" s="25" t="s">
        <v>1212</v>
      </c>
      <c r="N372" s="25" t="s">
        <v>1213</v>
      </c>
      <c r="O372" s="25" t="s">
        <v>63</v>
      </c>
      <c r="P372" s="25" t="s">
        <v>52</v>
      </c>
      <c r="Q372" s="26"/>
      <c r="R372" s="26"/>
      <c r="S372" s="26"/>
      <c r="T372" s="22"/>
      <c r="U372" s="26"/>
      <c r="V372" s="26"/>
      <c r="W372" s="20"/>
      <c r="X372" s="20"/>
      <c r="Y372" s="20"/>
      <c r="Z372" s="20"/>
      <c r="AA372" s="20"/>
      <c r="AB372" s="20"/>
      <c r="AC372" s="20"/>
      <c r="AD372" s="20"/>
      <c r="AE372" s="20"/>
    </row>
    <row r="373">
      <c r="A373" s="21">
        <v>9.0</v>
      </c>
      <c r="B373" s="22" t="s">
        <v>341</v>
      </c>
      <c r="C373" s="22" t="s">
        <v>487</v>
      </c>
      <c r="I373" s="25" t="s">
        <v>320</v>
      </c>
      <c r="J373" s="25" t="s">
        <v>1205</v>
      </c>
      <c r="K373" s="25" t="s">
        <v>71</v>
      </c>
      <c r="L373" s="25" t="s">
        <v>292</v>
      </c>
      <c r="M373" s="25" t="s">
        <v>1214</v>
      </c>
      <c r="N373" s="25" t="s">
        <v>1215</v>
      </c>
      <c r="O373" s="25" t="s">
        <v>63</v>
      </c>
      <c r="P373" s="25" t="s">
        <v>52</v>
      </c>
      <c r="Q373" s="26"/>
      <c r="R373" s="26"/>
      <c r="S373" s="26"/>
      <c r="T373" s="22"/>
      <c r="U373" s="26"/>
      <c r="V373" s="26"/>
      <c r="W373" s="20"/>
      <c r="X373" s="20"/>
      <c r="Y373" s="20"/>
      <c r="Z373" s="20"/>
      <c r="AA373" s="20"/>
      <c r="AB373" s="20"/>
      <c r="AC373" s="20"/>
      <c r="AD373" s="20"/>
      <c r="AE373" s="20"/>
    </row>
    <row r="374">
      <c r="A374" s="21">
        <v>9.0</v>
      </c>
      <c r="B374" s="22" t="s">
        <v>341</v>
      </c>
      <c r="C374" s="22" t="s">
        <v>487</v>
      </c>
      <c r="I374" s="25" t="s">
        <v>1217</v>
      </c>
      <c r="J374" s="25" t="s">
        <v>1205</v>
      </c>
      <c r="K374" s="25" t="s">
        <v>71</v>
      </c>
      <c r="L374" s="25" t="s">
        <v>1015</v>
      </c>
      <c r="M374" s="25" t="s">
        <v>1218</v>
      </c>
      <c r="N374" s="25" t="s">
        <v>1219</v>
      </c>
      <c r="O374" s="25" t="s">
        <v>63</v>
      </c>
      <c r="P374" s="25"/>
      <c r="Q374" s="26"/>
      <c r="R374" s="26"/>
      <c r="S374" s="26"/>
      <c r="T374" s="20"/>
      <c r="U374" s="26"/>
      <c r="V374" s="26"/>
      <c r="W374" s="20"/>
      <c r="X374" s="20"/>
      <c r="Y374" s="20"/>
      <c r="Z374" s="20"/>
      <c r="AA374" s="20"/>
      <c r="AB374" s="20"/>
      <c r="AC374" s="20"/>
      <c r="AD374" s="20"/>
      <c r="AE374" s="20"/>
    </row>
    <row r="375">
      <c r="A375" s="21">
        <v>9.0</v>
      </c>
      <c r="B375" s="22" t="s">
        <v>341</v>
      </c>
      <c r="C375" s="22" t="s">
        <v>487</v>
      </c>
      <c r="I375" s="25" t="s">
        <v>845</v>
      </c>
      <c r="J375" s="25" t="s">
        <v>1205</v>
      </c>
      <c r="K375" s="25" t="s">
        <v>71</v>
      </c>
      <c r="L375" s="25" t="s">
        <v>292</v>
      </c>
      <c r="M375" s="25" t="s">
        <v>1220</v>
      </c>
      <c r="N375" s="25" t="s">
        <v>1221</v>
      </c>
      <c r="O375" s="25" t="s">
        <v>63</v>
      </c>
      <c r="P375" s="25" t="s">
        <v>52</v>
      </c>
      <c r="Q375" s="26"/>
      <c r="R375" s="26"/>
      <c r="S375" s="26"/>
      <c r="T375" s="22"/>
      <c r="U375" s="26"/>
      <c r="V375" s="26"/>
      <c r="W375" s="20"/>
      <c r="X375" s="20"/>
      <c r="Y375" s="20"/>
      <c r="Z375" s="20"/>
      <c r="AA375" s="20"/>
      <c r="AB375" s="20"/>
      <c r="AC375" s="20"/>
      <c r="AD375" s="20"/>
      <c r="AE375" s="20"/>
    </row>
    <row r="376">
      <c r="A376" s="21">
        <v>9.0</v>
      </c>
      <c r="B376" s="22" t="s">
        <v>341</v>
      </c>
      <c r="C376" s="22" t="s">
        <v>487</v>
      </c>
      <c r="I376" s="25" t="s">
        <v>350</v>
      </c>
      <c r="J376" s="25" t="s">
        <v>1205</v>
      </c>
      <c r="K376" s="25" t="s">
        <v>71</v>
      </c>
      <c r="L376" s="25" t="s">
        <v>292</v>
      </c>
      <c r="M376" s="25" t="s">
        <v>1223</v>
      </c>
      <c r="N376" s="25" t="s">
        <v>1224</v>
      </c>
      <c r="O376" s="25" t="s">
        <v>63</v>
      </c>
      <c r="P376" s="25" t="s">
        <v>52</v>
      </c>
      <c r="Q376" s="26"/>
      <c r="R376" s="26"/>
      <c r="S376" s="26"/>
      <c r="T376" s="22"/>
      <c r="U376" s="26"/>
      <c r="V376" s="26"/>
      <c r="W376" s="20"/>
      <c r="X376" s="20"/>
      <c r="Y376" s="20"/>
      <c r="Z376" s="20"/>
      <c r="AA376" s="20"/>
      <c r="AB376" s="20"/>
      <c r="AC376" s="20"/>
      <c r="AD376" s="20"/>
      <c r="AE376" s="20"/>
    </row>
    <row r="377">
      <c r="A377" s="21">
        <v>9.0</v>
      </c>
      <c r="B377" s="20" t="s">
        <v>341</v>
      </c>
      <c r="C377" s="20" t="s">
        <v>487</v>
      </c>
      <c r="I377" s="25" t="s">
        <v>308</v>
      </c>
      <c r="J377" s="25" t="s">
        <v>1180</v>
      </c>
      <c r="K377" s="25" t="s">
        <v>71</v>
      </c>
      <c r="L377" s="25" t="s">
        <v>1533</v>
      </c>
      <c r="M377" s="20" t="s">
        <v>310</v>
      </c>
      <c r="N377" s="20" t="s">
        <v>311</v>
      </c>
      <c r="O377" s="20" t="s">
        <v>63</v>
      </c>
      <c r="P377" s="20" t="s">
        <v>52</v>
      </c>
      <c r="Q377" s="26"/>
      <c r="R377" s="26"/>
      <c r="S377" s="26"/>
      <c r="T377" s="20"/>
      <c r="U377" s="26"/>
      <c r="V377" s="26"/>
      <c r="W377" s="20"/>
      <c r="X377" s="20"/>
      <c r="Y377" s="20"/>
      <c r="Z377" s="20"/>
      <c r="AA377" s="20"/>
      <c r="AB377" s="20"/>
      <c r="AC377" s="20"/>
      <c r="AD377" s="20"/>
      <c r="AE377" s="20"/>
    </row>
    <row r="378">
      <c r="A378" s="21">
        <v>9.0</v>
      </c>
      <c r="B378" s="20" t="s">
        <v>341</v>
      </c>
      <c r="C378" s="20" t="s">
        <v>487</v>
      </c>
      <c r="I378" s="25" t="s">
        <v>240</v>
      </c>
      <c r="J378" s="25" t="s">
        <v>1180</v>
      </c>
      <c r="K378" s="25" t="s">
        <v>71</v>
      </c>
      <c r="L378" s="25" t="s">
        <v>292</v>
      </c>
      <c r="M378" s="20" t="s">
        <v>61</v>
      </c>
      <c r="N378" s="20" t="s">
        <v>242</v>
      </c>
      <c r="O378" s="20" t="s">
        <v>63</v>
      </c>
      <c r="P378" s="20" t="s">
        <v>52</v>
      </c>
      <c r="Q378" s="26"/>
      <c r="R378" s="26"/>
      <c r="S378" s="26"/>
      <c r="T378" s="22"/>
      <c r="U378" s="26"/>
      <c r="V378" s="26"/>
      <c r="W378" s="20"/>
      <c r="X378" s="20"/>
      <c r="Y378" s="20"/>
      <c r="Z378" s="20"/>
      <c r="AA378" s="20"/>
      <c r="AB378" s="20"/>
      <c r="AC378" s="20"/>
      <c r="AD378" s="20"/>
      <c r="AE378" s="20"/>
    </row>
    <row r="379">
      <c r="A379" s="21">
        <v>9.0</v>
      </c>
      <c r="B379" s="20" t="s">
        <v>341</v>
      </c>
      <c r="C379" s="20" t="s">
        <v>487</v>
      </c>
      <c r="I379" s="25" t="s">
        <v>334</v>
      </c>
      <c r="J379" s="25" t="s">
        <v>1180</v>
      </c>
      <c r="K379" s="25" t="s">
        <v>71</v>
      </c>
      <c r="L379" s="25" t="s">
        <v>292</v>
      </c>
      <c r="M379" s="20" t="s">
        <v>335</v>
      </c>
      <c r="N379" s="20" t="s">
        <v>337</v>
      </c>
      <c r="O379" s="20" t="s">
        <v>63</v>
      </c>
      <c r="P379" s="20" t="s">
        <v>52</v>
      </c>
      <c r="Q379" s="26"/>
      <c r="R379" s="26"/>
      <c r="S379" s="26"/>
      <c r="T379" s="22"/>
      <c r="U379" s="26"/>
      <c r="V379" s="26"/>
      <c r="W379" s="20"/>
      <c r="X379" s="20"/>
      <c r="Y379" s="20"/>
      <c r="Z379" s="20"/>
      <c r="AA379" s="20"/>
      <c r="AB379" s="20"/>
      <c r="AC379" s="20"/>
      <c r="AD379" s="20"/>
      <c r="AE379" s="20"/>
    </row>
    <row r="380">
      <c r="A380" s="21">
        <v>9.0</v>
      </c>
      <c r="B380" s="20" t="s">
        <v>341</v>
      </c>
      <c r="C380" s="20" t="s">
        <v>487</v>
      </c>
      <c r="I380" s="25" t="s">
        <v>722</v>
      </c>
      <c r="J380" s="25" t="s">
        <v>1177</v>
      </c>
      <c r="K380" s="25" t="s">
        <v>71</v>
      </c>
      <c r="L380" s="25" t="s">
        <v>1533</v>
      </c>
      <c r="M380" s="20" t="s">
        <v>896</v>
      </c>
      <c r="N380" s="20" t="s">
        <v>897</v>
      </c>
      <c r="O380" s="20" t="s">
        <v>63</v>
      </c>
      <c r="P380" s="20" t="s">
        <v>52</v>
      </c>
      <c r="Q380" s="26"/>
      <c r="R380" s="26"/>
      <c r="S380" s="26"/>
      <c r="T380" s="20"/>
      <c r="U380" s="26"/>
      <c r="V380" s="26"/>
      <c r="W380" s="20"/>
      <c r="X380" s="20"/>
      <c r="Y380" s="20"/>
      <c r="Z380" s="20"/>
      <c r="AA380" s="20"/>
      <c r="AB380" s="20"/>
      <c r="AC380" s="20"/>
      <c r="AD380" s="20"/>
      <c r="AE380" s="20"/>
    </row>
    <row r="381">
      <c r="A381" s="21">
        <v>9.0</v>
      </c>
      <c r="B381" s="20" t="s">
        <v>341</v>
      </c>
      <c r="C381" s="20" t="s">
        <v>487</v>
      </c>
      <c r="I381" s="25" t="s">
        <v>632</v>
      </c>
      <c r="J381" s="25" t="s">
        <v>1177</v>
      </c>
      <c r="K381" s="25" t="s">
        <v>71</v>
      </c>
      <c r="L381" s="25" t="s">
        <v>1533</v>
      </c>
      <c r="M381" s="20" t="s">
        <v>877</v>
      </c>
      <c r="N381" s="20" t="s">
        <v>1200</v>
      </c>
      <c r="O381" s="20" t="s">
        <v>63</v>
      </c>
      <c r="P381" s="20" t="s">
        <v>52</v>
      </c>
      <c r="Q381" s="26"/>
      <c r="R381" s="26"/>
      <c r="S381" s="26"/>
      <c r="T381" s="20"/>
      <c r="U381" s="26"/>
      <c r="V381" s="26"/>
      <c r="W381" s="20"/>
      <c r="X381" s="20"/>
      <c r="Y381" s="20"/>
      <c r="Z381" s="20"/>
      <c r="AA381" s="20"/>
      <c r="AB381" s="20"/>
      <c r="AC381" s="20"/>
      <c r="AD381" s="20"/>
      <c r="AE381" s="20"/>
    </row>
    <row r="382">
      <c r="A382" s="21">
        <v>10.0</v>
      </c>
      <c r="B382" s="22" t="s">
        <v>1225</v>
      </c>
      <c r="C382" s="22" t="s">
        <v>1564</v>
      </c>
      <c r="D382" s="23">
        <v>30.0</v>
      </c>
      <c r="E382" s="23">
        <v>3.0</v>
      </c>
      <c r="F382" s="23">
        <v>2.0</v>
      </c>
      <c r="G382" s="23">
        <v>25.0</v>
      </c>
      <c r="H382" s="24" t="s">
        <v>1570</v>
      </c>
      <c r="I382" s="25" t="s">
        <v>1236</v>
      </c>
      <c r="J382" s="25" t="s">
        <v>1235</v>
      </c>
      <c r="K382" s="25" t="s">
        <v>57</v>
      </c>
      <c r="L382" s="25" t="s">
        <v>1573</v>
      </c>
      <c r="M382" s="25" t="s">
        <v>1237</v>
      </c>
      <c r="N382" s="25" t="s">
        <v>1239</v>
      </c>
      <c r="O382" s="25" t="s">
        <v>63</v>
      </c>
      <c r="P382" s="25"/>
      <c r="Q382" s="26"/>
      <c r="R382" s="26"/>
      <c r="S382" s="26"/>
      <c r="T382" s="20"/>
      <c r="U382" s="26"/>
      <c r="V382" s="26"/>
      <c r="W382" s="20"/>
      <c r="X382" s="20"/>
      <c r="Y382" s="20"/>
      <c r="Z382" s="20"/>
      <c r="AA382" s="20"/>
      <c r="AB382" s="20"/>
      <c r="AC382" s="20"/>
      <c r="AD382" s="20"/>
      <c r="AE382" s="20"/>
    </row>
    <row r="383">
      <c r="A383" s="21">
        <v>10.0</v>
      </c>
      <c r="B383" s="22" t="s">
        <v>1225</v>
      </c>
      <c r="C383" s="22" t="s">
        <v>1564</v>
      </c>
      <c r="I383" s="25" t="s">
        <v>1228</v>
      </c>
      <c r="J383" s="25" t="s">
        <v>1226</v>
      </c>
      <c r="K383" s="25" t="s">
        <v>57</v>
      </c>
      <c r="L383" s="25" t="s">
        <v>1578</v>
      </c>
      <c r="M383" s="25" t="s">
        <v>61</v>
      </c>
      <c r="N383" s="25" t="s">
        <v>1229</v>
      </c>
      <c r="O383" s="25" t="s">
        <v>63</v>
      </c>
      <c r="P383" s="25"/>
      <c r="Q383" s="26"/>
      <c r="R383" s="26"/>
      <c r="S383" s="26"/>
      <c r="T383" s="20"/>
      <c r="U383" s="26"/>
      <c r="V383" s="26"/>
      <c r="W383" s="20"/>
      <c r="X383" s="20"/>
      <c r="Y383" s="20"/>
      <c r="Z383" s="20"/>
      <c r="AA383" s="20"/>
      <c r="AB383" s="20"/>
      <c r="AC383" s="20"/>
      <c r="AD383" s="20"/>
      <c r="AE383" s="20"/>
    </row>
    <row r="384">
      <c r="A384" s="21">
        <v>10.0</v>
      </c>
      <c r="B384" s="22" t="s">
        <v>1225</v>
      </c>
      <c r="C384" s="22" t="s">
        <v>1564</v>
      </c>
      <c r="I384" s="25" t="s">
        <v>1232</v>
      </c>
      <c r="J384" s="25" t="s">
        <v>1230</v>
      </c>
      <c r="K384" s="25" t="s">
        <v>57</v>
      </c>
      <c r="L384" s="25" t="s">
        <v>1583</v>
      </c>
      <c r="M384" s="25" t="s">
        <v>1233</v>
      </c>
      <c r="N384" s="25" t="s">
        <v>1234</v>
      </c>
      <c r="O384" s="25" t="s">
        <v>63</v>
      </c>
      <c r="P384" s="25"/>
      <c r="Q384" s="26"/>
      <c r="R384" s="26"/>
      <c r="S384" s="26"/>
      <c r="T384" s="20"/>
      <c r="U384" s="26"/>
      <c r="V384" s="26"/>
      <c r="W384" s="20"/>
      <c r="X384" s="20"/>
      <c r="Y384" s="20"/>
      <c r="Z384" s="20"/>
      <c r="AA384" s="20"/>
      <c r="AB384" s="20"/>
      <c r="AC384" s="20"/>
      <c r="AD384" s="20"/>
      <c r="AE384" s="20"/>
    </row>
    <row r="385">
      <c r="A385" s="21">
        <v>10.0</v>
      </c>
      <c r="B385" s="22" t="s">
        <v>1225</v>
      </c>
      <c r="C385" s="22" t="s">
        <v>1564</v>
      </c>
      <c r="I385" s="25" t="s">
        <v>1240</v>
      </c>
      <c r="J385" s="25" t="s">
        <v>1226</v>
      </c>
      <c r="K385" s="25" t="s">
        <v>67</v>
      </c>
      <c r="L385" s="25" t="s">
        <v>1589</v>
      </c>
      <c r="M385" s="25" t="s">
        <v>1241</v>
      </c>
      <c r="N385" s="25" t="s">
        <v>1242</v>
      </c>
      <c r="O385" s="25" t="s">
        <v>63</v>
      </c>
      <c r="P385" s="25"/>
      <c r="Q385" s="26"/>
      <c r="R385" s="26"/>
      <c r="S385" s="26"/>
      <c r="T385" s="20"/>
      <c r="U385" s="26"/>
      <c r="V385" s="26"/>
      <c r="W385" s="20"/>
      <c r="X385" s="20"/>
      <c r="Y385" s="20"/>
      <c r="Z385" s="20"/>
      <c r="AA385" s="20"/>
      <c r="AB385" s="20"/>
      <c r="AC385" s="20"/>
      <c r="AD385" s="20"/>
      <c r="AE385" s="20"/>
    </row>
    <row r="386">
      <c r="A386" s="21">
        <v>10.0</v>
      </c>
      <c r="B386" s="22" t="s">
        <v>1225</v>
      </c>
      <c r="C386" s="22" t="s">
        <v>1564</v>
      </c>
      <c r="I386" s="25" t="s">
        <v>1244</v>
      </c>
      <c r="J386" s="25" t="s">
        <v>1226</v>
      </c>
      <c r="K386" s="25" t="s">
        <v>67</v>
      </c>
      <c r="L386" s="25" t="s">
        <v>1591</v>
      </c>
      <c r="M386" s="25" t="s">
        <v>1245</v>
      </c>
      <c r="N386" s="25" t="s">
        <v>1246</v>
      </c>
      <c r="O386" s="25" t="s">
        <v>63</v>
      </c>
      <c r="P386" s="25"/>
      <c r="Q386" s="26"/>
      <c r="R386" s="26"/>
      <c r="S386" s="26"/>
      <c r="T386" s="20"/>
      <c r="U386" s="26"/>
      <c r="V386" s="26"/>
      <c r="W386" s="20"/>
      <c r="X386" s="20"/>
      <c r="Y386" s="20"/>
      <c r="Z386" s="20"/>
      <c r="AA386" s="20"/>
      <c r="AB386" s="20"/>
      <c r="AC386" s="20"/>
      <c r="AD386" s="20"/>
      <c r="AE386" s="20"/>
    </row>
    <row r="387">
      <c r="A387" s="21">
        <v>10.0</v>
      </c>
      <c r="B387" s="22" t="s">
        <v>1225</v>
      </c>
      <c r="C387" s="22" t="s">
        <v>1564</v>
      </c>
      <c r="I387" s="25" t="s">
        <v>1168</v>
      </c>
      <c r="J387" s="25" t="s">
        <v>1235</v>
      </c>
      <c r="K387" s="25" t="s">
        <v>71</v>
      </c>
      <c r="L387" s="25" t="s">
        <v>1596</v>
      </c>
      <c r="M387" s="25" t="s">
        <v>1307</v>
      </c>
      <c r="N387" s="25" t="s">
        <v>1308</v>
      </c>
      <c r="O387" s="25" t="s">
        <v>63</v>
      </c>
      <c r="P387" s="25"/>
      <c r="Q387" s="26"/>
      <c r="R387" s="26"/>
      <c r="S387" s="26"/>
      <c r="T387" s="20"/>
      <c r="U387" s="26"/>
      <c r="V387" s="26"/>
      <c r="W387" s="20"/>
      <c r="X387" s="20"/>
      <c r="Y387" s="20"/>
      <c r="Z387" s="20"/>
      <c r="AA387" s="20"/>
      <c r="AB387" s="20"/>
      <c r="AC387" s="20"/>
      <c r="AD387" s="20"/>
      <c r="AE387" s="20"/>
    </row>
    <row r="388">
      <c r="A388" s="21">
        <v>10.0</v>
      </c>
      <c r="B388" s="22" t="s">
        <v>1225</v>
      </c>
      <c r="C388" s="22" t="s">
        <v>1564</v>
      </c>
      <c r="I388" s="25" t="s">
        <v>1255</v>
      </c>
      <c r="J388" s="25" t="s">
        <v>1226</v>
      </c>
      <c r="K388" s="25" t="s">
        <v>71</v>
      </c>
      <c r="L388" s="25" t="s">
        <v>292</v>
      </c>
      <c r="M388" s="25" t="s">
        <v>1256</v>
      </c>
      <c r="N388" s="25" t="s">
        <v>1257</v>
      </c>
      <c r="O388" s="25" t="s">
        <v>63</v>
      </c>
      <c r="P388" s="25" t="s">
        <v>52</v>
      </c>
      <c r="Q388" s="26"/>
      <c r="R388" s="26"/>
      <c r="S388" s="26"/>
      <c r="T388" s="22"/>
      <c r="U388" s="26"/>
      <c r="V388" s="26"/>
      <c r="W388" s="20"/>
      <c r="X388" s="20"/>
      <c r="Y388" s="20"/>
      <c r="Z388" s="20"/>
      <c r="AA388" s="20"/>
      <c r="AB388" s="20"/>
      <c r="AC388" s="20"/>
      <c r="AD388" s="20"/>
      <c r="AE388" s="20"/>
    </row>
    <row r="389">
      <c r="A389" s="21">
        <v>10.0</v>
      </c>
      <c r="B389" s="22" t="s">
        <v>1225</v>
      </c>
      <c r="C389" s="22" t="s">
        <v>1564</v>
      </c>
      <c r="I389" s="25" t="s">
        <v>1285</v>
      </c>
      <c r="J389" s="25" t="s">
        <v>1230</v>
      </c>
      <c r="K389" s="25" t="s">
        <v>71</v>
      </c>
      <c r="L389" s="25" t="s">
        <v>1604</v>
      </c>
      <c r="M389" s="25" t="s">
        <v>1286</v>
      </c>
      <c r="N389" s="25" t="s">
        <v>1287</v>
      </c>
      <c r="O389" s="25" t="s">
        <v>63</v>
      </c>
      <c r="P389" s="25"/>
      <c r="Q389" s="26"/>
      <c r="R389" s="26"/>
      <c r="S389" s="26"/>
      <c r="T389" s="20"/>
      <c r="U389" s="26"/>
      <c r="V389" s="26"/>
      <c r="W389" s="20"/>
      <c r="X389" s="20"/>
      <c r="Y389" s="20"/>
      <c r="Z389" s="20"/>
      <c r="AA389" s="20"/>
      <c r="AB389" s="20"/>
      <c r="AC389" s="20"/>
      <c r="AD389" s="20"/>
      <c r="AE389" s="20"/>
    </row>
    <row r="390">
      <c r="A390" s="21">
        <v>10.0</v>
      </c>
      <c r="B390" s="20" t="s">
        <v>1225</v>
      </c>
      <c r="C390" s="20" t="s">
        <v>1564</v>
      </c>
      <c r="I390" s="25" t="s">
        <v>1258</v>
      </c>
      <c r="J390" s="25" t="s">
        <v>1226</v>
      </c>
      <c r="K390" s="25" t="s">
        <v>71</v>
      </c>
      <c r="L390" s="25" t="s">
        <v>292</v>
      </c>
      <c r="M390" s="20" t="s">
        <v>1259</v>
      </c>
      <c r="N390" s="20" t="s">
        <v>1260</v>
      </c>
      <c r="O390" s="20" t="s">
        <v>63</v>
      </c>
      <c r="P390" s="20" t="s">
        <v>52</v>
      </c>
      <c r="Q390" s="26"/>
      <c r="R390" s="26"/>
      <c r="S390" s="26"/>
      <c r="T390" s="22"/>
      <c r="U390" s="26"/>
      <c r="V390" s="26"/>
      <c r="W390" s="20"/>
      <c r="X390" s="20"/>
      <c r="Y390" s="20"/>
      <c r="Z390" s="20"/>
      <c r="AA390" s="20"/>
      <c r="AB390" s="20"/>
      <c r="AC390" s="20"/>
      <c r="AD390" s="20"/>
      <c r="AE390" s="20"/>
    </row>
    <row r="391">
      <c r="A391" s="21">
        <v>10.0</v>
      </c>
      <c r="B391" s="20" t="s">
        <v>1225</v>
      </c>
      <c r="C391" s="20" t="s">
        <v>1564</v>
      </c>
      <c r="I391" s="25" t="s">
        <v>1262</v>
      </c>
      <c r="J391" s="25" t="s">
        <v>1226</v>
      </c>
      <c r="K391" s="25" t="s">
        <v>71</v>
      </c>
      <c r="L391" s="25" t="s">
        <v>1611</v>
      </c>
      <c r="M391" s="20" t="s">
        <v>1263</v>
      </c>
      <c r="N391" s="20" t="s">
        <v>1264</v>
      </c>
      <c r="O391" s="20" t="s">
        <v>63</v>
      </c>
      <c r="P391" s="20" t="s">
        <v>52</v>
      </c>
      <c r="Q391" s="26"/>
      <c r="R391" s="26"/>
      <c r="S391" s="26"/>
      <c r="T391" s="20"/>
      <c r="U391" s="26"/>
      <c r="V391" s="26"/>
      <c r="W391" s="20"/>
      <c r="X391" s="20"/>
      <c r="Y391" s="20"/>
      <c r="Z391" s="20"/>
      <c r="AA391" s="20"/>
      <c r="AB391" s="20"/>
      <c r="AC391" s="20"/>
      <c r="AD391" s="20"/>
      <c r="AE391" s="20"/>
    </row>
    <row r="392">
      <c r="A392" s="21">
        <v>10.0</v>
      </c>
      <c r="B392" s="20" t="s">
        <v>1225</v>
      </c>
      <c r="C392" s="20" t="s">
        <v>1564</v>
      </c>
      <c r="I392" s="25" t="s">
        <v>1265</v>
      </c>
      <c r="J392" s="25" t="s">
        <v>1226</v>
      </c>
      <c r="K392" s="25" t="s">
        <v>71</v>
      </c>
      <c r="L392" s="25" t="s">
        <v>292</v>
      </c>
      <c r="M392" s="20" t="s">
        <v>1266</v>
      </c>
      <c r="N392" s="20" t="s">
        <v>1267</v>
      </c>
      <c r="O392" s="20" t="s">
        <v>63</v>
      </c>
      <c r="P392" s="20" t="s">
        <v>52</v>
      </c>
      <c r="Q392" s="26"/>
      <c r="R392" s="26"/>
      <c r="S392" s="26"/>
      <c r="T392" s="22"/>
      <c r="U392" s="26"/>
      <c r="V392" s="26"/>
      <c r="W392" s="20"/>
      <c r="X392" s="20"/>
      <c r="Y392" s="20"/>
      <c r="Z392" s="20"/>
      <c r="AA392" s="20"/>
      <c r="AB392" s="20"/>
      <c r="AC392" s="20"/>
      <c r="AD392" s="20"/>
      <c r="AE392" s="20"/>
    </row>
    <row r="393">
      <c r="A393" s="21">
        <v>10.0</v>
      </c>
      <c r="B393" s="20" t="s">
        <v>1225</v>
      </c>
      <c r="C393" s="20" t="s">
        <v>1564</v>
      </c>
      <c r="I393" s="25" t="s">
        <v>1288</v>
      </c>
      <c r="J393" s="25" t="s">
        <v>1230</v>
      </c>
      <c r="K393" s="25" t="s">
        <v>71</v>
      </c>
      <c r="L393" s="25" t="s">
        <v>292</v>
      </c>
      <c r="M393" s="20" t="s">
        <v>61</v>
      </c>
      <c r="N393" s="20" t="s">
        <v>1289</v>
      </c>
      <c r="O393" s="20" t="s">
        <v>63</v>
      </c>
      <c r="P393" s="20" t="s">
        <v>52</v>
      </c>
      <c r="Q393" s="26"/>
      <c r="R393" s="26"/>
      <c r="S393" s="26"/>
      <c r="T393" s="22"/>
      <c r="U393" s="26"/>
      <c r="V393" s="26"/>
      <c r="W393" s="20"/>
      <c r="X393" s="20"/>
      <c r="Y393" s="20"/>
      <c r="Z393" s="20"/>
      <c r="AA393" s="20"/>
      <c r="AB393" s="20"/>
      <c r="AC393" s="20"/>
      <c r="AD393" s="20"/>
      <c r="AE393" s="20"/>
    </row>
    <row r="394">
      <c r="A394" s="21">
        <v>10.0</v>
      </c>
      <c r="B394" s="20" t="s">
        <v>1225</v>
      </c>
      <c r="C394" s="20" t="s">
        <v>1564</v>
      </c>
      <c r="I394" s="25" t="s">
        <v>1290</v>
      </c>
      <c r="J394" s="25" t="s">
        <v>1230</v>
      </c>
      <c r="K394" s="25" t="s">
        <v>71</v>
      </c>
      <c r="L394" s="25" t="s">
        <v>292</v>
      </c>
      <c r="M394" s="20" t="s">
        <v>1291</v>
      </c>
      <c r="N394" s="20" t="s">
        <v>1292</v>
      </c>
      <c r="O394" s="20" t="s">
        <v>63</v>
      </c>
      <c r="P394" s="20" t="s">
        <v>52</v>
      </c>
      <c r="Q394" s="26"/>
      <c r="R394" s="26"/>
      <c r="S394" s="26"/>
      <c r="T394" s="22"/>
      <c r="U394" s="26"/>
      <c r="V394" s="26"/>
      <c r="W394" s="20"/>
      <c r="X394" s="20"/>
      <c r="Y394" s="20"/>
      <c r="Z394" s="20"/>
      <c r="AA394" s="20"/>
      <c r="AB394" s="20"/>
      <c r="AC394" s="20"/>
      <c r="AD394" s="20"/>
      <c r="AE394" s="20"/>
    </row>
    <row r="395">
      <c r="A395" s="21">
        <v>10.0</v>
      </c>
      <c r="B395" s="20" t="s">
        <v>1225</v>
      </c>
      <c r="C395" s="20" t="s">
        <v>1564</v>
      </c>
      <c r="I395" s="25" t="s">
        <v>1249</v>
      </c>
      <c r="J395" s="25" t="s">
        <v>1248</v>
      </c>
      <c r="K395" s="25" t="s">
        <v>71</v>
      </c>
      <c r="L395" s="25" t="s">
        <v>292</v>
      </c>
      <c r="M395" s="20" t="s">
        <v>1250</v>
      </c>
      <c r="N395" s="20" t="s">
        <v>1251</v>
      </c>
      <c r="O395" s="20" t="s">
        <v>63</v>
      </c>
      <c r="P395" s="20" t="s">
        <v>52</v>
      </c>
      <c r="Q395" s="26"/>
      <c r="R395" s="26"/>
      <c r="S395" s="26"/>
      <c r="T395" s="22"/>
      <c r="U395" s="26"/>
      <c r="V395" s="26"/>
      <c r="W395" s="20"/>
      <c r="X395" s="20"/>
      <c r="Y395" s="20"/>
      <c r="Z395" s="20"/>
      <c r="AA395" s="20"/>
      <c r="AB395" s="20"/>
      <c r="AC395" s="20"/>
      <c r="AD395" s="20"/>
      <c r="AE395" s="20"/>
    </row>
    <row r="396">
      <c r="A396" s="21">
        <v>10.0</v>
      </c>
      <c r="B396" s="20" t="s">
        <v>1225</v>
      </c>
      <c r="C396" s="20" t="s">
        <v>1564</v>
      </c>
      <c r="I396" s="25" t="s">
        <v>1268</v>
      </c>
      <c r="J396" s="25" t="s">
        <v>1226</v>
      </c>
      <c r="K396" s="25" t="s">
        <v>71</v>
      </c>
      <c r="L396" s="25" t="s">
        <v>1633</v>
      </c>
      <c r="M396" s="20" t="s">
        <v>1269</v>
      </c>
      <c r="N396" s="20" t="s">
        <v>1270</v>
      </c>
      <c r="O396" s="20" t="s">
        <v>63</v>
      </c>
      <c r="P396" s="20" t="s">
        <v>52</v>
      </c>
      <c r="Q396" s="26"/>
      <c r="R396" s="26"/>
      <c r="S396" s="26"/>
      <c r="T396" s="20"/>
      <c r="U396" s="26"/>
      <c r="V396" s="26"/>
      <c r="W396" s="20"/>
      <c r="X396" s="20"/>
      <c r="Y396" s="20"/>
      <c r="Z396" s="20"/>
      <c r="AA396" s="20"/>
      <c r="AB396" s="20"/>
      <c r="AC396" s="20"/>
      <c r="AD396" s="20"/>
      <c r="AE396" s="20"/>
    </row>
    <row r="397">
      <c r="A397" s="21">
        <v>10.0</v>
      </c>
      <c r="B397" s="20" t="s">
        <v>1225</v>
      </c>
      <c r="C397" s="20" t="s">
        <v>1564</v>
      </c>
      <c r="I397" s="25" t="s">
        <v>1293</v>
      </c>
      <c r="J397" s="25" t="s">
        <v>1230</v>
      </c>
      <c r="K397" s="25" t="s">
        <v>71</v>
      </c>
      <c r="L397" s="25" t="s">
        <v>292</v>
      </c>
      <c r="M397" s="20" t="s">
        <v>1294</v>
      </c>
      <c r="N397" s="20" t="s">
        <v>1295</v>
      </c>
      <c r="O397" s="20" t="s">
        <v>63</v>
      </c>
      <c r="P397" s="20" t="s">
        <v>52</v>
      </c>
      <c r="Q397" s="26"/>
      <c r="R397" s="26"/>
      <c r="S397" s="26"/>
      <c r="T397" s="22"/>
      <c r="U397" s="26"/>
      <c r="V397" s="26"/>
      <c r="W397" s="20"/>
      <c r="X397" s="20"/>
      <c r="Y397" s="20"/>
      <c r="Z397" s="20"/>
      <c r="AA397" s="20"/>
      <c r="AB397" s="20"/>
      <c r="AC397" s="20"/>
      <c r="AD397" s="20"/>
      <c r="AE397" s="20"/>
    </row>
    <row r="398">
      <c r="A398" s="21">
        <v>10.0</v>
      </c>
      <c r="B398" s="20" t="s">
        <v>1225</v>
      </c>
      <c r="C398" s="20" t="s">
        <v>1564</v>
      </c>
      <c r="I398" s="25" t="s">
        <v>1253</v>
      </c>
      <c r="J398" s="25" t="s">
        <v>1248</v>
      </c>
      <c r="K398" s="25" t="s">
        <v>71</v>
      </c>
      <c r="L398" s="25" t="s">
        <v>292</v>
      </c>
      <c r="M398" s="20" t="s">
        <v>61</v>
      </c>
      <c r="N398" s="20" t="s">
        <v>1254</v>
      </c>
      <c r="O398" s="20" t="s">
        <v>63</v>
      </c>
      <c r="P398" s="20" t="s">
        <v>52</v>
      </c>
      <c r="Q398" s="26"/>
      <c r="R398" s="26"/>
      <c r="S398" s="26"/>
      <c r="T398" s="22"/>
      <c r="U398" s="26"/>
      <c r="V398" s="26"/>
      <c r="W398" s="20"/>
      <c r="X398" s="20"/>
      <c r="Y398" s="20"/>
      <c r="Z398" s="20"/>
      <c r="AA398" s="20"/>
      <c r="AB398" s="20"/>
      <c r="AC398" s="20"/>
      <c r="AD398" s="20"/>
      <c r="AE398" s="20"/>
    </row>
    <row r="399">
      <c r="A399" s="21">
        <v>10.0</v>
      </c>
      <c r="B399" s="20" t="s">
        <v>1225</v>
      </c>
      <c r="C399" s="20" t="s">
        <v>1564</v>
      </c>
      <c r="I399" s="25" t="s">
        <v>1272</v>
      </c>
      <c r="J399" s="25" t="s">
        <v>1226</v>
      </c>
      <c r="K399" s="25" t="s">
        <v>71</v>
      </c>
      <c r="L399" s="25" t="s">
        <v>1641</v>
      </c>
      <c r="M399" s="20" t="s">
        <v>1273</v>
      </c>
      <c r="N399" s="20" t="s">
        <v>1274</v>
      </c>
      <c r="O399" s="20" t="s">
        <v>63</v>
      </c>
      <c r="P399" s="20" t="s">
        <v>52</v>
      </c>
      <c r="Q399" s="26"/>
      <c r="R399" s="26"/>
      <c r="S399" s="26"/>
      <c r="T399" s="20"/>
      <c r="U399" s="26"/>
      <c r="V399" s="26"/>
      <c r="W399" s="20"/>
      <c r="X399" s="20"/>
      <c r="Y399" s="20"/>
      <c r="Z399" s="20"/>
      <c r="AA399" s="20"/>
      <c r="AB399" s="20"/>
      <c r="AC399" s="20"/>
      <c r="AD399" s="20"/>
      <c r="AE399" s="20"/>
    </row>
    <row r="400">
      <c r="A400" s="21">
        <v>10.0</v>
      </c>
      <c r="B400" s="20" t="s">
        <v>1225</v>
      </c>
      <c r="C400" s="20" t="s">
        <v>1564</v>
      </c>
      <c r="I400" s="25" t="s">
        <v>1297</v>
      </c>
      <c r="J400" s="25" t="s">
        <v>1230</v>
      </c>
      <c r="K400" s="25" t="s">
        <v>71</v>
      </c>
      <c r="L400" s="25" t="s">
        <v>1647</v>
      </c>
      <c r="M400" s="20" t="s">
        <v>61</v>
      </c>
      <c r="N400" s="20" t="s">
        <v>1298</v>
      </c>
      <c r="O400" s="20" t="s">
        <v>63</v>
      </c>
      <c r="P400" s="20" t="s">
        <v>52</v>
      </c>
      <c r="Q400" s="26"/>
      <c r="R400" s="26"/>
      <c r="S400" s="26"/>
      <c r="T400" s="20"/>
      <c r="U400" s="26"/>
      <c r="V400" s="26"/>
      <c r="W400" s="20"/>
      <c r="X400" s="20"/>
      <c r="Y400" s="20"/>
      <c r="Z400" s="20"/>
      <c r="AA400" s="20"/>
      <c r="AB400" s="20"/>
      <c r="AC400" s="20"/>
      <c r="AD400" s="20"/>
      <c r="AE400" s="20"/>
    </row>
    <row r="401">
      <c r="A401" s="21">
        <v>10.0</v>
      </c>
      <c r="B401" s="20" t="s">
        <v>1225</v>
      </c>
      <c r="C401" s="20" t="s">
        <v>1564</v>
      </c>
      <c r="I401" s="25" t="s">
        <v>1300</v>
      </c>
      <c r="J401" s="25" t="s">
        <v>1230</v>
      </c>
      <c r="K401" s="25" t="s">
        <v>71</v>
      </c>
      <c r="L401" s="25" t="s">
        <v>292</v>
      </c>
      <c r="M401" s="20" t="s">
        <v>1301</v>
      </c>
      <c r="N401" s="20" t="s">
        <v>1302</v>
      </c>
      <c r="O401" s="20" t="s">
        <v>63</v>
      </c>
      <c r="P401" s="20" t="s">
        <v>52</v>
      </c>
      <c r="Q401" s="26"/>
      <c r="R401" s="26"/>
      <c r="S401" s="26"/>
      <c r="T401" s="22"/>
      <c r="U401" s="26"/>
      <c r="V401" s="26"/>
      <c r="W401" s="20"/>
      <c r="X401" s="20"/>
      <c r="Y401" s="20"/>
      <c r="Z401" s="20"/>
      <c r="AA401" s="20"/>
      <c r="AB401" s="20"/>
      <c r="AC401" s="20"/>
      <c r="AD401" s="20"/>
      <c r="AE401" s="20"/>
    </row>
    <row r="402">
      <c r="A402" s="21">
        <v>10.0</v>
      </c>
      <c r="B402" s="20" t="s">
        <v>1225</v>
      </c>
      <c r="C402" s="20" t="s">
        <v>1564</v>
      </c>
      <c r="I402" s="25" t="s">
        <v>1309</v>
      </c>
      <c r="J402" s="25" t="s">
        <v>1235</v>
      </c>
      <c r="K402" s="25" t="s">
        <v>71</v>
      </c>
      <c r="L402" s="25" t="s">
        <v>1662</v>
      </c>
      <c r="M402" s="20" t="s">
        <v>1310</v>
      </c>
      <c r="N402" s="20" t="s">
        <v>1311</v>
      </c>
      <c r="O402" s="20" t="s">
        <v>63</v>
      </c>
      <c r="P402" s="20" t="s">
        <v>52</v>
      </c>
      <c r="Q402" s="26"/>
      <c r="R402" s="26"/>
      <c r="S402" s="26"/>
      <c r="T402" s="20"/>
      <c r="U402" s="26"/>
      <c r="V402" s="26"/>
      <c r="W402" s="20"/>
      <c r="X402" s="20"/>
      <c r="Y402" s="20"/>
      <c r="Z402" s="20"/>
      <c r="AA402" s="20"/>
      <c r="AB402" s="20"/>
      <c r="AC402" s="20"/>
      <c r="AD402" s="20"/>
      <c r="AE402" s="20"/>
    </row>
    <row r="403">
      <c r="A403" s="21">
        <v>10.0</v>
      </c>
      <c r="B403" s="20" t="s">
        <v>1225</v>
      </c>
      <c r="C403" s="20" t="s">
        <v>1564</v>
      </c>
      <c r="I403" s="25" t="s">
        <v>1303</v>
      </c>
      <c r="J403" s="25" t="s">
        <v>1230</v>
      </c>
      <c r="K403" s="25" t="s">
        <v>71</v>
      </c>
      <c r="L403" s="25" t="s">
        <v>292</v>
      </c>
      <c r="M403" s="20" t="s">
        <v>1304</v>
      </c>
      <c r="N403" s="20" t="s">
        <v>1305</v>
      </c>
      <c r="O403" s="20" t="s">
        <v>63</v>
      </c>
      <c r="P403" s="20" t="s">
        <v>52</v>
      </c>
      <c r="Q403" s="26"/>
      <c r="R403" s="26"/>
      <c r="S403" s="26"/>
      <c r="T403" s="22"/>
      <c r="U403" s="26"/>
      <c r="V403" s="26"/>
      <c r="W403" s="20"/>
      <c r="X403" s="20"/>
      <c r="Y403" s="20"/>
      <c r="Z403" s="20"/>
      <c r="AA403" s="20"/>
      <c r="AB403" s="20"/>
      <c r="AC403" s="20"/>
      <c r="AD403" s="20"/>
      <c r="AE403" s="20"/>
    </row>
    <row r="404">
      <c r="A404" s="21">
        <v>10.0</v>
      </c>
      <c r="B404" s="20" t="s">
        <v>1225</v>
      </c>
      <c r="C404" s="20" t="s">
        <v>1564</v>
      </c>
      <c r="I404" s="25" t="s">
        <v>1162</v>
      </c>
      <c r="J404" s="25" t="s">
        <v>1235</v>
      </c>
      <c r="K404" s="25" t="s">
        <v>71</v>
      </c>
      <c r="L404" s="25" t="s">
        <v>292</v>
      </c>
      <c r="M404" s="20" t="s">
        <v>1313</v>
      </c>
      <c r="N404" s="20" t="s">
        <v>1314</v>
      </c>
      <c r="O404" s="20" t="s">
        <v>63</v>
      </c>
      <c r="P404" s="20" t="s">
        <v>52</v>
      </c>
      <c r="Q404" s="26"/>
      <c r="R404" s="26"/>
      <c r="S404" s="26"/>
      <c r="T404" s="22"/>
      <c r="U404" s="26"/>
      <c r="V404" s="26"/>
      <c r="W404" s="20"/>
      <c r="X404" s="20"/>
      <c r="Y404" s="20"/>
      <c r="Z404" s="20"/>
      <c r="AA404" s="20"/>
      <c r="AB404" s="20"/>
      <c r="AC404" s="20"/>
      <c r="AD404" s="20"/>
      <c r="AE404" s="20"/>
    </row>
    <row r="405">
      <c r="A405" s="21">
        <v>10.0</v>
      </c>
      <c r="B405" s="20" t="s">
        <v>1225</v>
      </c>
      <c r="C405" s="20" t="s">
        <v>1564</v>
      </c>
      <c r="I405" s="25" t="s">
        <v>1275</v>
      </c>
      <c r="J405" s="25" t="s">
        <v>1226</v>
      </c>
      <c r="K405" s="25" t="s">
        <v>71</v>
      </c>
      <c r="L405" s="25" t="s">
        <v>292</v>
      </c>
      <c r="M405" s="20" t="s">
        <v>1276</v>
      </c>
      <c r="N405" s="20" t="s">
        <v>1277</v>
      </c>
      <c r="O405" s="20" t="s">
        <v>63</v>
      </c>
      <c r="P405" s="20" t="s">
        <v>52</v>
      </c>
      <c r="Q405" s="26"/>
      <c r="R405" s="26"/>
      <c r="S405" s="26"/>
      <c r="T405" s="22"/>
      <c r="U405" s="26"/>
      <c r="V405" s="26"/>
      <c r="W405" s="20"/>
      <c r="X405" s="20"/>
      <c r="Y405" s="20"/>
      <c r="Z405" s="20"/>
      <c r="AA405" s="20"/>
      <c r="AB405" s="20"/>
      <c r="AC405" s="20"/>
      <c r="AD405" s="20"/>
      <c r="AE405" s="20"/>
    </row>
    <row r="406">
      <c r="A406" s="21">
        <v>10.0</v>
      </c>
      <c r="B406" s="20" t="s">
        <v>1225</v>
      </c>
      <c r="C406" s="20" t="s">
        <v>1564</v>
      </c>
      <c r="I406" s="25" t="s">
        <v>1315</v>
      </c>
      <c r="J406" s="25" t="s">
        <v>1235</v>
      </c>
      <c r="K406" s="25" t="s">
        <v>71</v>
      </c>
      <c r="L406" s="25" t="s">
        <v>292</v>
      </c>
      <c r="M406" s="20" t="s">
        <v>1316</v>
      </c>
      <c r="N406" s="20" t="s">
        <v>1317</v>
      </c>
      <c r="O406" s="20" t="s">
        <v>63</v>
      </c>
      <c r="P406" s="20" t="s">
        <v>52</v>
      </c>
      <c r="Q406" s="26"/>
      <c r="R406" s="26"/>
      <c r="S406" s="26"/>
      <c r="T406" s="22"/>
      <c r="U406" s="26"/>
      <c r="V406" s="26"/>
      <c r="W406" s="20"/>
      <c r="X406" s="20"/>
      <c r="Y406" s="20"/>
      <c r="Z406" s="20"/>
      <c r="AA406" s="20"/>
      <c r="AB406" s="20"/>
      <c r="AC406" s="20"/>
      <c r="AD406" s="20"/>
      <c r="AE406" s="20"/>
    </row>
    <row r="407">
      <c r="A407" s="21">
        <v>10.0</v>
      </c>
      <c r="B407" s="20" t="s">
        <v>1225</v>
      </c>
      <c r="C407" s="20" t="s">
        <v>1564</v>
      </c>
      <c r="I407" s="25" t="s">
        <v>1319</v>
      </c>
      <c r="J407" s="25" t="s">
        <v>1235</v>
      </c>
      <c r="K407" s="25" t="s">
        <v>71</v>
      </c>
      <c r="L407" s="25" t="s">
        <v>292</v>
      </c>
      <c r="M407" s="20" t="s">
        <v>1320</v>
      </c>
      <c r="N407" s="20" t="s">
        <v>1321</v>
      </c>
      <c r="O407" s="20" t="s">
        <v>63</v>
      </c>
      <c r="P407" s="20" t="s">
        <v>52</v>
      </c>
      <c r="Q407" s="26"/>
      <c r="R407" s="26"/>
      <c r="S407" s="26"/>
      <c r="T407" s="22"/>
      <c r="U407" s="26"/>
      <c r="V407" s="26"/>
      <c r="W407" s="20"/>
      <c r="X407" s="20"/>
      <c r="Y407" s="20"/>
      <c r="Z407" s="20"/>
      <c r="AA407" s="20"/>
      <c r="AB407" s="20"/>
      <c r="AC407" s="20"/>
      <c r="AD407" s="20"/>
      <c r="AE407" s="20"/>
    </row>
    <row r="408">
      <c r="A408" s="21">
        <v>10.0</v>
      </c>
      <c r="B408" s="20" t="s">
        <v>1225</v>
      </c>
      <c r="C408" s="20" t="s">
        <v>1564</v>
      </c>
      <c r="I408" s="25" t="s">
        <v>1322</v>
      </c>
      <c r="J408" s="25" t="s">
        <v>1235</v>
      </c>
      <c r="K408" s="25" t="s">
        <v>71</v>
      </c>
      <c r="L408" s="25" t="s">
        <v>292</v>
      </c>
      <c r="M408" s="20" t="s">
        <v>1323</v>
      </c>
      <c r="N408" s="20" t="s">
        <v>1324</v>
      </c>
      <c r="O408" s="20" t="s">
        <v>63</v>
      </c>
      <c r="P408" s="20" t="s">
        <v>52</v>
      </c>
      <c r="Q408" s="26"/>
      <c r="R408" s="26"/>
      <c r="S408" s="26"/>
      <c r="T408" s="22"/>
      <c r="U408" s="26"/>
      <c r="V408" s="26"/>
      <c r="W408" s="20"/>
      <c r="X408" s="20"/>
      <c r="Y408" s="20"/>
      <c r="Z408" s="20"/>
      <c r="AA408" s="20"/>
      <c r="AB408" s="20"/>
      <c r="AC408" s="20"/>
      <c r="AD408" s="20"/>
      <c r="AE408" s="20"/>
    </row>
    <row r="409">
      <c r="A409" s="21">
        <v>10.0</v>
      </c>
      <c r="B409" s="20" t="s">
        <v>1225</v>
      </c>
      <c r="C409" s="20" t="s">
        <v>1564</v>
      </c>
      <c r="I409" s="25" t="s">
        <v>1278</v>
      </c>
      <c r="J409" s="25" t="s">
        <v>1226</v>
      </c>
      <c r="K409" s="25" t="s">
        <v>71</v>
      </c>
      <c r="L409" s="25" t="s">
        <v>292</v>
      </c>
      <c r="M409" s="20" t="s">
        <v>1279</v>
      </c>
      <c r="N409" s="20" t="s">
        <v>1280</v>
      </c>
      <c r="O409" s="20" t="s">
        <v>63</v>
      </c>
      <c r="P409" s="20" t="s">
        <v>52</v>
      </c>
      <c r="Q409" s="26"/>
      <c r="R409" s="26"/>
      <c r="S409" s="26"/>
      <c r="T409" s="22"/>
      <c r="U409" s="26"/>
      <c r="V409" s="26"/>
      <c r="W409" s="20"/>
      <c r="X409" s="20"/>
      <c r="Y409" s="20"/>
      <c r="Z409" s="20"/>
      <c r="AA409" s="20"/>
      <c r="AB409" s="20"/>
      <c r="AC409" s="20"/>
      <c r="AD409" s="20"/>
      <c r="AE409" s="20"/>
    </row>
    <row r="410">
      <c r="A410" s="21">
        <v>10.0</v>
      </c>
      <c r="B410" s="20" t="s">
        <v>1225</v>
      </c>
      <c r="C410" s="20" t="s">
        <v>1564</v>
      </c>
      <c r="I410" s="25" t="s">
        <v>1281</v>
      </c>
      <c r="J410" s="25" t="s">
        <v>1226</v>
      </c>
      <c r="K410" s="25" t="s">
        <v>71</v>
      </c>
      <c r="L410" s="25" t="s">
        <v>292</v>
      </c>
      <c r="M410" s="20" t="s">
        <v>1282</v>
      </c>
      <c r="N410" s="20" t="s">
        <v>1283</v>
      </c>
      <c r="O410" s="20" t="s">
        <v>63</v>
      </c>
      <c r="P410" s="20" t="s">
        <v>52</v>
      </c>
      <c r="Q410" s="26"/>
      <c r="R410" s="26"/>
      <c r="S410" s="26"/>
      <c r="T410" s="22"/>
      <c r="U410" s="26"/>
      <c r="V410" s="26"/>
      <c r="W410" s="20"/>
      <c r="X410" s="20"/>
      <c r="Y410" s="20"/>
      <c r="Z410" s="20"/>
      <c r="AA410" s="20"/>
      <c r="AB410" s="20"/>
      <c r="AC410" s="20"/>
      <c r="AD410" s="20"/>
      <c r="AE410" s="20"/>
    </row>
    <row r="411">
      <c r="A411" s="21">
        <v>10.0</v>
      </c>
      <c r="B411" s="20" t="s">
        <v>1225</v>
      </c>
      <c r="C411" s="20" t="s">
        <v>1564</v>
      </c>
      <c r="I411" s="25" t="s">
        <v>1284</v>
      </c>
      <c r="J411" s="25" t="s">
        <v>1226</v>
      </c>
      <c r="K411" s="25" t="s">
        <v>71</v>
      </c>
      <c r="L411" s="25" t="s">
        <v>292</v>
      </c>
      <c r="M411" s="20" t="s">
        <v>1282</v>
      </c>
      <c r="N411" s="20" t="s">
        <v>1283</v>
      </c>
      <c r="O411" s="20" t="s">
        <v>63</v>
      </c>
      <c r="P411" s="20" t="s">
        <v>52</v>
      </c>
      <c r="Q411" s="26"/>
      <c r="R411" s="26"/>
      <c r="S411" s="26"/>
      <c r="T411" s="22"/>
      <c r="U411" s="26"/>
      <c r="V411" s="26"/>
      <c r="W411" s="20"/>
      <c r="X411" s="20"/>
      <c r="Y411" s="20"/>
      <c r="Z411" s="20"/>
      <c r="AA411" s="20"/>
      <c r="AB411" s="20"/>
      <c r="AC411" s="20"/>
      <c r="AD411" s="20"/>
      <c r="AE411" s="20"/>
    </row>
    <row r="412">
      <c r="A412" s="21">
        <v>11.0</v>
      </c>
      <c r="B412" s="22" t="s">
        <v>962</v>
      </c>
      <c r="C412" s="22" t="s">
        <v>1564</v>
      </c>
      <c r="D412" s="23">
        <v>36.0</v>
      </c>
      <c r="E412" s="23">
        <v>0.0</v>
      </c>
      <c r="F412" s="23">
        <v>1.0</v>
      </c>
      <c r="G412" s="23">
        <v>35.0</v>
      </c>
      <c r="H412" s="24" t="s">
        <v>1696</v>
      </c>
      <c r="I412" s="25" t="s">
        <v>1328</v>
      </c>
      <c r="J412" s="25" t="s">
        <v>1325</v>
      </c>
      <c r="K412" s="25" t="s">
        <v>71</v>
      </c>
      <c r="L412" s="25" t="s">
        <v>226</v>
      </c>
      <c r="M412" s="25" t="s">
        <v>1329</v>
      </c>
      <c r="N412" s="25" t="s">
        <v>1330</v>
      </c>
      <c r="O412" s="25" t="s">
        <v>63</v>
      </c>
      <c r="P412" s="25" t="s">
        <v>52</v>
      </c>
      <c r="Q412" s="26"/>
      <c r="R412" s="26"/>
      <c r="S412" s="26"/>
      <c r="T412" s="22"/>
      <c r="U412" s="26"/>
      <c r="V412" s="26"/>
      <c r="W412" s="20"/>
      <c r="X412" s="20"/>
      <c r="Y412" s="20"/>
      <c r="Z412" s="20"/>
      <c r="AA412" s="20"/>
      <c r="AB412" s="20"/>
      <c r="AC412" s="20"/>
      <c r="AD412" s="20"/>
      <c r="AE412" s="20"/>
    </row>
    <row r="413">
      <c r="A413" s="21">
        <v>11.0</v>
      </c>
      <c r="B413" s="22" t="s">
        <v>962</v>
      </c>
      <c r="C413" s="22" t="s">
        <v>1564</v>
      </c>
      <c r="I413" s="25" t="s">
        <v>1331</v>
      </c>
      <c r="J413" s="25" t="s">
        <v>1325</v>
      </c>
      <c r="K413" s="25" t="s">
        <v>71</v>
      </c>
      <c r="L413" s="25" t="s">
        <v>292</v>
      </c>
      <c r="M413" s="25" t="s">
        <v>1332</v>
      </c>
      <c r="N413" s="25" t="s">
        <v>1333</v>
      </c>
      <c r="O413" s="25" t="s">
        <v>63</v>
      </c>
      <c r="P413" s="25" t="s">
        <v>52</v>
      </c>
      <c r="Q413" s="26"/>
      <c r="R413" s="26"/>
      <c r="S413" s="26"/>
      <c r="T413" s="22"/>
      <c r="U413" s="26"/>
      <c r="V413" s="26"/>
      <c r="W413" s="20"/>
      <c r="X413" s="20"/>
      <c r="Y413" s="20"/>
      <c r="Z413" s="20"/>
      <c r="AA413" s="20"/>
      <c r="AB413" s="20"/>
      <c r="AC413" s="20"/>
      <c r="AD413" s="20"/>
      <c r="AE413" s="20"/>
    </row>
    <row r="414">
      <c r="A414" s="21">
        <v>11.0</v>
      </c>
      <c r="B414" s="22" t="s">
        <v>962</v>
      </c>
      <c r="C414" s="22" t="s">
        <v>1564</v>
      </c>
      <c r="I414" s="25" t="s">
        <v>1335</v>
      </c>
      <c r="J414" s="25" t="s">
        <v>1325</v>
      </c>
      <c r="K414" s="25" t="s">
        <v>71</v>
      </c>
      <c r="L414" s="25" t="s">
        <v>292</v>
      </c>
      <c r="M414" s="25" t="s">
        <v>1336</v>
      </c>
      <c r="N414" s="25" t="s">
        <v>1337</v>
      </c>
      <c r="O414" s="25" t="s">
        <v>63</v>
      </c>
      <c r="P414" s="25" t="s">
        <v>52</v>
      </c>
      <c r="Q414" s="26"/>
      <c r="R414" s="26"/>
      <c r="S414" s="26"/>
      <c r="T414" s="22"/>
      <c r="U414" s="26"/>
      <c r="V414" s="26"/>
      <c r="W414" s="20"/>
      <c r="X414" s="20"/>
      <c r="Y414" s="20"/>
      <c r="Z414" s="20"/>
      <c r="AA414" s="20"/>
      <c r="AB414" s="20"/>
      <c r="AC414" s="20"/>
      <c r="AD414" s="20"/>
      <c r="AE414" s="20"/>
    </row>
    <row r="415">
      <c r="A415" s="21">
        <v>11.0</v>
      </c>
      <c r="B415" s="22" t="s">
        <v>962</v>
      </c>
      <c r="C415" s="22" t="s">
        <v>1564</v>
      </c>
      <c r="I415" s="25" t="s">
        <v>1338</v>
      </c>
      <c r="J415" s="25" t="s">
        <v>1325</v>
      </c>
      <c r="K415" s="25" t="s">
        <v>71</v>
      </c>
      <c r="L415" s="25" t="s">
        <v>292</v>
      </c>
      <c r="M415" s="25" t="s">
        <v>61</v>
      </c>
      <c r="N415" s="25" t="s">
        <v>1339</v>
      </c>
      <c r="O415" s="25" t="s">
        <v>63</v>
      </c>
      <c r="P415" s="25" t="s">
        <v>52</v>
      </c>
      <c r="Q415" s="26"/>
      <c r="R415" s="26"/>
      <c r="S415" s="26"/>
      <c r="T415" s="22"/>
      <c r="U415" s="26"/>
      <c r="V415" s="26"/>
      <c r="W415" s="20"/>
      <c r="X415" s="20"/>
      <c r="Y415" s="20"/>
      <c r="Z415" s="20"/>
      <c r="AA415" s="20"/>
      <c r="AB415" s="20"/>
      <c r="AC415" s="20"/>
      <c r="AD415" s="20"/>
      <c r="AE415" s="20"/>
    </row>
    <row r="416">
      <c r="A416" s="21">
        <v>11.0</v>
      </c>
      <c r="B416" s="22" t="s">
        <v>962</v>
      </c>
      <c r="C416" s="22" t="s">
        <v>1564</v>
      </c>
      <c r="I416" s="25" t="s">
        <v>1139</v>
      </c>
      <c r="J416" s="25" t="s">
        <v>1325</v>
      </c>
      <c r="K416" s="25" t="s">
        <v>67</v>
      </c>
      <c r="L416" s="25" t="s">
        <v>1712</v>
      </c>
      <c r="M416" s="25" t="s">
        <v>1140</v>
      </c>
      <c r="N416" s="25" t="s">
        <v>1327</v>
      </c>
      <c r="O416" s="25" t="s">
        <v>63</v>
      </c>
      <c r="P416" s="25"/>
      <c r="Q416" s="26"/>
      <c r="R416" s="26"/>
      <c r="S416" s="26"/>
      <c r="T416" s="20"/>
      <c r="U416" s="26"/>
      <c r="V416" s="26"/>
      <c r="W416" s="20"/>
      <c r="X416" s="20"/>
      <c r="Y416" s="20"/>
      <c r="Z416" s="20"/>
      <c r="AA416" s="20"/>
      <c r="AB416" s="20"/>
      <c r="AC416" s="20"/>
      <c r="AD416" s="20"/>
      <c r="AE416" s="20"/>
    </row>
    <row r="417">
      <c r="A417" s="21">
        <v>11.0</v>
      </c>
      <c r="B417" s="22" t="s">
        <v>962</v>
      </c>
      <c r="C417" s="22" t="s">
        <v>1564</v>
      </c>
      <c r="I417" s="25" t="s">
        <v>471</v>
      </c>
      <c r="J417" s="25" t="s">
        <v>1325</v>
      </c>
      <c r="K417" s="25" t="s">
        <v>71</v>
      </c>
      <c r="L417" s="25" t="s">
        <v>292</v>
      </c>
      <c r="M417" s="25" t="s">
        <v>1340</v>
      </c>
      <c r="N417" s="25" t="s">
        <v>1341</v>
      </c>
      <c r="O417" s="25" t="s">
        <v>63</v>
      </c>
      <c r="P417" s="25" t="s">
        <v>52</v>
      </c>
      <c r="Q417" s="26"/>
      <c r="R417" s="26"/>
      <c r="S417" s="26"/>
      <c r="T417" s="22"/>
      <c r="U417" s="26"/>
      <c r="V417" s="26"/>
      <c r="W417" s="20"/>
      <c r="X417" s="20"/>
      <c r="Y417" s="20"/>
      <c r="Z417" s="20"/>
      <c r="AA417" s="20"/>
      <c r="AB417" s="20"/>
      <c r="AC417" s="20"/>
      <c r="AD417" s="20"/>
      <c r="AE417" s="20"/>
    </row>
    <row r="418">
      <c r="A418" s="21">
        <v>11.0</v>
      </c>
      <c r="B418" s="22" t="s">
        <v>962</v>
      </c>
      <c r="C418" s="22" t="s">
        <v>1564</v>
      </c>
      <c r="I418" s="25" t="s">
        <v>1342</v>
      </c>
      <c r="J418" s="25" t="s">
        <v>1325</v>
      </c>
      <c r="K418" s="25" t="s">
        <v>71</v>
      </c>
      <c r="L418" s="25" t="s">
        <v>292</v>
      </c>
      <c r="M418" s="25" t="s">
        <v>1343</v>
      </c>
      <c r="N418" s="25" t="s">
        <v>1344</v>
      </c>
      <c r="O418" s="25" t="s">
        <v>63</v>
      </c>
      <c r="P418" s="25" t="s">
        <v>52</v>
      </c>
      <c r="Q418" s="26"/>
      <c r="R418" s="26"/>
      <c r="S418" s="26"/>
      <c r="T418" s="22"/>
      <c r="U418" s="26"/>
      <c r="V418" s="26"/>
      <c r="W418" s="20"/>
      <c r="X418" s="20"/>
      <c r="Y418" s="20"/>
      <c r="Z418" s="20"/>
      <c r="AA418" s="20"/>
      <c r="AB418" s="20"/>
      <c r="AC418" s="20"/>
      <c r="AD418" s="20"/>
      <c r="AE418" s="20"/>
    </row>
    <row r="419">
      <c r="A419" s="21">
        <v>11.0</v>
      </c>
      <c r="B419" s="22" t="s">
        <v>962</v>
      </c>
      <c r="C419" s="22" t="s">
        <v>1564</v>
      </c>
      <c r="I419" s="25" t="s">
        <v>1345</v>
      </c>
      <c r="J419" s="25" t="s">
        <v>1325</v>
      </c>
      <c r="K419" s="25" t="s">
        <v>71</v>
      </c>
      <c r="L419" s="25" t="s">
        <v>292</v>
      </c>
      <c r="M419" s="25" t="s">
        <v>1346</v>
      </c>
      <c r="N419" s="25" t="s">
        <v>1347</v>
      </c>
      <c r="O419" s="25" t="s">
        <v>63</v>
      </c>
      <c r="P419" s="25" t="s">
        <v>52</v>
      </c>
      <c r="Q419" s="26"/>
      <c r="R419" s="26"/>
      <c r="S419" s="26"/>
      <c r="T419" s="22"/>
      <c r="U419" s="26"/>
      <c r="V419" s="26"/>
      <c r="W419" s="20"/>
      <c r="X419" s="20"/>
      <c r="Y419" s="20"/>
      <c r="Z419" s="20"/>
      <c r="AA419" s="20"/>
      <c r="AB419" s="20"/>
      <c r="AC419" s="20"/>
      <c r="AD419" s="20"/>
      <c r="AE419" s="20"/>
    </row>
    <row r="420">
      <c r="A420" s="21">
        <v>11.0</v>
      </c>
      <c r="B420" s="22" t="s">
        <v>962</v>
      </c>
      <c r="C420" s="22" t="s">
        <v>1564</v>
      </c>
      <c r="I420" s="25" t="s">
        <v>1348</v>
      </c>
      <c r="J420" s="25" t="s">
        <v>1325</v>
      </c>
      <c r="K420" s="25" t="s">
        <v>71</v>
      </c>
      <c r="L420" s="25" t="s">
        <v>292</v>
      </c>
      <c r="M420" s="25" t="s">
        <v>1349</v>
      </c>
      <c r="N420" s="25" t="s">
        <v>1350</v>
      </c>
      <c r="O420" s="25" t="s">
        <v>63</v>
      </c>
      <c r="P420" s="25" t="s">
        <v>52</v>
      </c>
      <c r="Q420" s="26"/>
      <c r="R420" s="26"/>
      <c r="S420" s="26"/>
      <c r="T420" s="22"/>
      <c r="U420" s="26"/>
      <c r="V420" s="26"/>
      <c r="W420" s="20"/>
      <c r="X420" s="20"/>
      <c r="Y420" s="20"/>
      <c r="Z420" s="20"/>
      <c r="AA420" s="20"/>
      <c r="AB420" s="20"/>
      <c r="AC420" s="20"/>
      <c r="AD420" s="20"/>
      <c r="AE420" s="20"/>
    </row>
    <row r="421">
      <c r="A421" s="21">
        <v>11.0</v>
      </c>
      <c r="B421" s="22" t="s">
        <v>962</v>
      </c>
      <c r="C421" s="22" t="s">
        <v>1564</v>
      </c>
      <c r="I421" s="25" t="s">
        <v>1351</v>
      </c>
      <c r="J421" s="25" t="s">
        <v>1325</v>
      </c>
      <c r="K421" s="25" t="s">
        <v>71</v>
      </c>
      <c r="L421" s="25" t="s">
        <v>292</v>
      </c>
      <c r="M421" s="25" t="s">
        <v>1352</v>
      </c>
      <c r="N421" s="25" t="s">
        <v>1353</v>
      </c>
      <c r="O421" s="25" t="s">
        <v>63</v>
      </c>
      <c r="P421" s="25" t="s">
        <v>52</v>
      </c>
      <c r="Q421" s="26"/>
      <c r="R421" s="26"/>
      <c r="S421" s="26"/>
      <c r="T421" s="22"/>
      <c r="U421" s="26"/>
      <c r="V421" s="26"/>
      <c r="W421" s="20"/>
      <c r="X421" s="20"/>
      <c r="Y421" s="20"/>
      <c r="Z421" s="20"/>
      <c r="AA421" s="20"/>
      <c r="AB421" s="20"/>
      <c r="AC421" s="20"/>
      <c r="AD421" s="20"/>
      <c r="AE421" s="20"/>
    </row>
    <row r="422">
      <c r="A422" s="21">
        <v>11.0</v>
      </c>
      <c r="B422" s="22" t="s">
        <v>962</v>
      </c>
      <c r="C422" s="22" t="s">
        <v>1564</v>
      </c>
      <c r="I422" s="25" t="s">
        <v>891</v>
      </c>
      <c r="J422" s="25" t="s">
        <v>1325</v>
      </c>
      <c r="K422" s="25" t="s">
        <v>71</v>
      </c>
      <c r="L422" s="25" t="s">
        <v>292</v>
      </c>
      <c r="M422" s="25" t="s">
        <v>1354</v>
      </c>
      <c r="N422" s="25" t="s">
        <v>1355</v>
      </c>
      <c r="O422" s="25" t="s">
        <v>63</v>
      </c>
      <c r="P422" s="25" t="s">
        <v>52</v>
      </c>
      <c r="Q422" s="26"/>
      <c r="R422" s="26"/>
      <c r="S422" s="26"/>
      <c r="T422" s="22"/>
      <c r="U422" s="26"/>
      <c r="V422" s="26"/>
      <c r="W422" s="20"/>
      <c r="X422" s="20"/>
      <c r="Y422" s="20"/>
      <c r="Z422" s="20"/>
      <c r="AA422" s="20"/>
      <c r="AB422" s="20"/>
      <c r="AC422" s="20"/>
      <c r="AD422" s="20"/>
      <c r="AE422" s="20"/>
    </row>
    <row r="423">
      <c r="A423" s="21">
        <v>11.0</v>
      </c>
      <c r="B423" s="22" t="s">
        <v>962</v>
      </c>
      <c r="C423" s="22" t="s">
        <v>1564</v>
      </c>
      <c r="I423" s="25" t="s">
        <v>1356</v>
      </c>
      <c r="J423" s="25" t="s">
        <v>1325</v>
      </c>
      <c r="K423" s="25" t="s">
        <v>71</v>
      </c>
      <c r="L423" s="25" t="s">
        <v>292</v>
      </c>
      <c r="M423" s="25" t="s">
        <v>1357</v>
      </c>
      <c r="N423" s="25" t="s">
        <v>1358</v>
      </c>
      <c r="O423" s="25" t="s">
        <v>63</v>
      </c>
      <c r="P423" s="25" t="s">
        <v>52</v>
      </c>
      <c r="Q423" s="26"/>
      <c r="R423" s="26"/>
      <c r="S423" s="26"/>
      <c r="T423" s="22"/>
      <c r="U423" s="26"/>
      <c r="V423" s="26"/>
      <c r="W423" s="20"/>
      <c r="X423" s="20"/>
      <c r="Y423" s="20"/>
      <c r="Z423" s="20"/>
      <c r="AA423" s="20"/>
      <c r="AB423" s="20"/>
      <c r="AC423" s="20"/>
      <c r="AD423" s="20"/>
      <c r="AE423" s="20"/>
    </row>
    <row r="424">
      <c r="A424" s="21">
        <v>11.0</v>
      </c>
      <c r="B424" s="22" t="s">
        <v>962</v>
      </c>
      <c r="C424" s="22" t="s">
        <v>1564</v>
      </c>
      <c r="I424" s="25" t="s">
        <v>712</v>
      </c>
      <c r="J424" s="25" t="s">
        <v>1325</v>
      </c>
      <c r="K424" s="25" t="s">
        <v>71</v>
      </c>
      <c r="L424" s="25" t="s">
        <v>292</v>
      </c>
      <c r="M424" s="25" t="s">
        <v>1359</v>
      </c>
      <c r="N424" s="25" t="s">
        <v>1361</v>
      </c>
      <c r="O424" s="25" t="s">
        <v>63</v>
      </c>
      <c r="P424" s="25" t="s">
        <v>52</v>
      </c>
      <c r="Q424" s="26"/>
      <c r="R424" s="26"/>
      <c r="S424" s="26"/>
      <c r="T424" s="22"/>
      <c r="U424" s="26"/>
      <c r="V424" s="26"/>
      <c r="W424" s="20"/>
      <c r="X424" s="20"/>
      <c r="Y424" s="20"/>
      <c r="Z424" s="20"/>
      <c r="AA424" s="20"/>
      <c r="AB424" s="20"/>
      <c r="AC424" s="20"/>
      <c r="AD424" s="20"/>
      <c r="AE424" s="20"/>
    </row>
    <row r="425">
      <c r="A425" s="21">
        <v>11.0</v>
      </c>
      <c r="B425" s="22" t="s">
        <v>962</v>
      </c>
      <c r="C425" s="22" t="s">
        <v>1564</v>
      </c>
      <c r="I425" s="25" t="s">
        <v>367</v>
      </c>
      <c r="J425" s="25" t="s">
        <v>1325</v>
      </c>
      <c r="K425" s="25" t="s">
        <v>71</v>
      </c>
      <c r="L425" s="25" t="s">
        <v>292</v>
      </c>
      <c r="M425" s="25" t="s">
        <v>986</v>
      </c>
      <c r="N425" s="25" t="s">
        <v>1362</v>
      </c>
      <c r="O425" s="25" t="s">
        <v>63</v>
      </c>
      <c r="P425" s="25" t="s">
        <v>52</v>
      </c>
      <c r="Q425" s="26"/>
      <c r="R425" s="26"/>
      <c r="S425" s="26"/>
      <c r="T425" s="22"/>
      <c r="U425" s="26"/>
      <c r="V425" s="26"/>
      <c r="W425" s="20"/>
      <c r="X425" s="20"/>
      <c r="Y425" s="20"/>
      <c r="Z425" s="20"/>
      <c r="AA425" s="20"/>
      <c r="AB425" s="20"/>
      <c r="AC425" s="20"/>
      <c r="AD425" s="20"/>
      <c r="AE425" s="20"/>
    </row>
    <row r="426">
      <c r="A426" s="21">
        <v>11.0</v>
      </c>
      <c r="B426" s="22" t="s">
        <v>962</v>
      </c>
      <c r="C426" s="22" t="s">
        <v>1564</v>
      </c>
      <c r="I426" s="25" t="s">
        <v>1363</v>
      </c>
      <c r="J426" s="25" t="s">
        <v>1325</v>
      </c>
      <c r="K426" s="25" t="s">
        <v>71</v>
      </c>
      <c r="L426" s="25" t="s">
        <v>292</v>
      </c>
      <c r="M426" s="25" t="s">
        <v>1364</v>
      </c>
      <c r="N426" s="25" t="s">
        <v>1365</v>
      </c>
      <c r="O426" s="25" t="s">
        <v>63</v>
      </c>
      <c r="P426" s="25" t="s">
        <v>52</v>
      </c>
      <c r="Q426" s="26"/>
      <c r="R426" s="26"/>
      <c r="S426" s="26"/>
      <c r="T426" s="22"/>
      <c r="U426" s="26"/>
      <c r="V426" s="26"/>
      <c r="W426" s="20"/>
      <c r="X426" s="20"/>
      <c r="Y426" s="20"/>
      <c r="Z426" s="20"/>
      <c r="AA426" s="20"/>
      <c r="AB426" s="20"/>
      <c r="AC426" s="20"/>
      <c r="AD426" s="20"/>
      <c r="AE426" s="20"/>
    </row>
    <row r="427">
      <c r="A427" s="21">
        <v>11.0</v>
      </c>
      <c r="B427" s="22" t="s">
        <v>962</v>
      </c>
      <c r="C427" s="22" t="s">
        <v>1564</v>
      </c>
      <c r="I427" s="25" t="s">
        <v>1367</v>
      </c>
      <c r="J427" s="25" t="s">
        <v>1325</v>
      </c>
      <c r="K427" s="25" t="s">
        <v>71</v>
      </c>
      <c r="L427" s="25" t="s">
        <v>292</v>
      </c>
      <c r="M427" s="25" t="s">
        <v>1368</v>
      </c>
      <c r="N427" s="25" t="s">
        <v>1369</v>
      </c>
      <c r="O427" s="25" t="s">
        <v>63</v>
      </c>
      <c r="P427" s="25" t="s">
        <v>52</v>
      </c>
      <c r="Q427" s="26"/>
      <c r="R427" s="26"/>
      <c r="S427" s="26"/>
      <c r="T427" s="22"/>
      <c r="U427" s="26"/>
      <c r="V427" s="26"/>
      <c r="W427" s="20"/>
      <c r="X427" s="20"/>
      <c r="Y427" s="20"/>
      <c r="Z427" s="20"/>
      <c r="AA427" s="20"/>
      <c r="AB427" s="20"/>
      <c r="AC427" s="20"/>
      <c r="AD427" s="20"/>
      <c r="AE427" s="20"/>
    </row>
    <row r="428">
      <c r="A428" s="21">
        <v>11.0</v>
      </c>
      <c r="B428" s="22" t="s">
        <v>962</v>
      </c>
      <c r="C428" s="22" t="s">
        <v>1564</v>
      </c>
      <c r="I428" s="25" t="s">
        <v>1370</v>
      </c>
      <c r="J428" s="25" t="s">
        <v>1325</v>
      </c>
      <c r="K428" s="25" t="s">
        <v>71</v>
      </c>
      <c r="L428" s="25" t="s">
        <v>292</v>
      </c>
      <c r="M428" s="25" t="s">
        <v>1371</v>
      </c>
      <c r="N428" s="25" t="s">
        <v>1372</v>
      </c>
      <c r="O428" s="25" t="s">
        <v>63</v>
      </c>
      <c r="P428" s="25" t="s">
        <v>52</v>
      </c>
      <c r="Q428" s="26"/>
      <c r="R428" s="26"/>
      <c r="S428" s="26"/>
      <c r="T428" s="22"/>
      <c r="U428" s="26"/>
      <c r="V428" s="26"/>
      <c r="W428" s="20"/>
      <c r="X428" s="20"/>
      <c r="Y428" s="20"/>
      <c r="Z428" s="20"/>
      <c r="AA428" s="20"/>
      <c r="AB428" s="20"/>
      <c r="AC428" s="20"/>
      <c r="AD428" s="20"/>
      <c r="AE428" s="20"/>
    </row>
    <row r="429">
      <c r="A429" s="21">
        <v>11.0</v>
      </c>
      <c r="B429" s="20" t="s">
        <v>962</v>
      </c>
      <c r="C429" s="20" t="s">
        <v>1564</v>
      </c>
      <c r="I429" s="25" t="s">
        <v>1373</v>
      </c>
      <c r="J429" s="25" t="s">
        <v>1325</v>
      </c>
      <c r="K429" s="25" t="s">
        <v>71</v>
      </c>
      <c r="L429" s="25" t="s">
        <v>292</v>
      </c>
      <c r="M429" s="20" t="s">
        <v>1374</v>
      </c>
      <c r="N429" s="20" t="s">
        <v>1375</v>
      </c>
      <c r="O429" s="20" t="s">
        <v>63</v>
      </c>
      <c r="P429" s="20" t="s">
        <v>52</v>
      </c>
      <c r="Q429" s="26"/>
      <c r="R429" s="26"/>
      <c r="S429" s="26"/>
      <c r="T429" s="22"/>
      <c r="U429" s="26"/>
      <c r="V429" s="26"/>
      <c r="W429" s="20"/>
      <c r="X429" s="20"/>
      <c r="Y429" s="20"/>
      <c r="Z429" s="20"/>
      <c r="AA429" s="20"/>
      <c r="AB429" s="20"/>
      <c r="AC429" s="20"/>
      <c r="AD429" s="20"/>
      <c r="AE429" s="20"/>
    </row>
    <row r="430">
      <c r="A430" s="21">
        <v>11.0</v>
      </c>
      <c r="B430" s="20" t="s">
        <v>962</v>
      </c>
      <c r="C430" s="20" t="s">
        <v>1564</v>
      </c>
      <c r="I430" s="25" t="s">
        <v>1376</v>
      </c>
      <c r="J430" s="25" t="s">
        <v>1325</v>
      </c>
      <c r="K430" s="25" t="s">
        <v>71</v>
      </c>
      <c r="L430" s="25" t="s">
        <v>292</v>
      </c>
      <c r="M430" s="20" t="s">
        <v>1377</v>
      </c>
      <c r="N430" s="20" t="s">
        <v>1378</v>
      </c>
      <c r="O430" s="20" t="s">
        <v>63</v>
      </c>
      <c r="P430" s="20" t="s">
        <v>52</v>
      </c>
      <c r="Q430" s="26"/>
      <c r="R430" s="26"/>
      <c r="S430" s="26"/>
      <c r="T430" s="22"/>
      <c r="U430" s="26"/>
      <c r="V430" s="26"/>
      <c r="W430" s="20"/>
      <c r="X430" s="20"/>
      <c r="Y430" s="20"/>
      <c r="Z430" s="20"/>
      <c r="AA430" s="20"/>
      <c r="AB430" s="20"/>
      <c r="AC430" s="20"/>
      <c r="AD430" s="20"/>
      <c r="AE430" s="20"/>
    </row>
    <row r="431">
      <c r="A431" s="21">
        <v>11.0</v>
      </c>
      <c r="B431" s="20" t="s">
        <v>962</v>
      </c>
      <c r="C431" s="20" t="s">
        <v>1564</v>
      </c>
      <c r="I431" s="25" t="s">
        <v>1379</v>
      </c>
      <c r="J431" s="25" t="s">
        <v>1325</v>
      </c>
      <c r="K431" s="25" t="s">
        <v>71</v>
      </c>
      <c r="L431" s="25" t="s">
        <v>292</v>
      </c>
      <c r="M431" s="20" t="s">
        <v>1380</v>
      </c>
      <c r="N431" s="20" t="s">
        <v>1381</v>
      </c>
      <c r="O431" s="20" t="s">
        <v>63</v>
      </c>
      <c r="P431" s="20" t="s">
        <v>52</v>
      </c>
      <c r="Q431" s="26"/>
      <c r="R431" s="26"/>
      <c r="S431" s="26"/>
      <c r="T431" s="22"/>
      <c r="U431" s="26"/>
      <c r="V431" s="26"/>
      <c r="W431" s="20"/>
      <c r="X431" s="20"/>
      <c r="Y431" s="20"/>
      <c r="Z431" s="20"/>
      <c r="AA431" s="20"/>
      <c r="AB431" s="20"/>
      <c r="AC431" s="20"/>
      <c r="AD431" s="20"/>
      <c r="AE431" s="20"/>
    </row>
    <row r="432">
      <c r="A432" s="21">
        <v>11.0</v>
      </c>
      <c r="B432" s="20" t="s">
        <v>962</v>
      </c>
      <c r="C432" s="20" t="s">
        <v>1564</v>
      </c>
      <c r="I432" s="25" t="s">
        <v>1382</v>
      </c>
      <c r="J432" s="25" t="s">
        <v>1325</v>
      </c>
      <c r="K432" s="25" t="s">
        <v>71</v>
      </c>
      <c r="L432" s="25" t="s">
        <v>292</v>
      </c>
      <c r="M432" s="20" t="s">
        <v>61</v>
      </c>
      <c r="N432" s="20" t="s">
        <v>1383</v>
      </c>
      <c r="O432" s="20" t="s">
        <v>63</v>
      </c>
      <c r="P432" s="20" t="s">
        <v>52</v>
      </c>
      <c r="Q432" s="26"/>
      <c r="R432" s="26"/>
      <c r="S432" s="26"/>
      <c r="T432" s="22"/>
      <c r="U432" s="26"/>
      <c r="V432" s="26"/>
      <c r="W432" s="20"/>
      <c r="X432" s="20"/>
      <c r="Y432" s="20"/>
      <c r="Z432" s="20"/>
      <c r="AA432" s="20"/>
      <c r="AB432" s="20"/>
      <c r="AC432" s="20"/>
      <c r="AD432" s="20"/>
      <c r="AE432" s="20"/>
    </row>
    <row r="433">
      <c r="A433" s="21">
        <v>11.0</v>
      </c>
      <c r="B433" s="20" t="s">
        <v>962</v>
      </c>
      <c r="C433" s="20" t="s">
        <v>1564</v>
      </c>
      <c r="I433" s="25" t="s">
        <v>1384</v>
      </c>
      <c r="J433" s="25" t="s">
        <v>1325</v>
      </c>
      <c r="K433" s="25" t="s">
        <v>71</v>
      </c>
      <c r="L433" s="25" t="s">
        <v>292</v>
      </c>
      <c r="M433" s="20" t="s">
        <v>1385</v>
      </c>
      <c r="N433" s="20" t="s">
        <v>1386</v>
      </c>
      <c r="O433" s="20" t="s">
        <v>63</v>
      </c>
      <c r="P433" s="20" t="s">
        <v>52</v>
      </c>
      <c r="Q433" s="26"/>
      <c r="R433" s="26"/>
      <c r="S433" s="26"/>
      <c r="T433" s="22"/>
      <c r="U433" s="26"/>
      <c r="V433" s="26"/>
      <c r="W433" s="20"/>
      <c r="X433" s="20"/>
      <c r="Y433" s="20"/>
      <c r="Z433" s="20"/>
      <c r="AA433" s="20"/>
      <c r="AB433" s="20"/>
      <c r="AC433" s="20"/>
      <c r="AD433" s="20"/>
      <c r="AE433" s="20"/>
    </row>
    <row r="434">
      <c r="A434" s="21">
        <v>11.0</v>
      </c>
      <c r="B434" s="20" t="s">
        <v>962</v>
      </c>
      <c r="C434" s="20" t="s">
        <v>1564</v>
      </c>
      <c r="I434" s="25" t="s">
        <v>1387</v>
      </c>
      <c r="J434" s="25" t="s">
        <v>1325</v>
      </c>
      <c r="K434" s="25" t="s">
        <v>71</v>
      </c>
      <c r="L434" s="25" t="s">
        <v>292</v>
      </c>
      <c r="M434" s="20" t="s">
        <v>1388</v>
      </c>
      <c r="N434" s="20" t="s">
        <v>1389</v>
      </c>
      <c r="O434" s="20" t="s">
        <v>63</v>
      </c>
      <c r="P434" s="20" t="s">
        <v>52</v>
      </c>
      <c r="Q434" s="26"/>
      <c r="R434" s="26"/>
      <c r="S434" s="26"/>
      <c r="T434" s="22"/>
      <c r="U434" s="26"/>
      <c r="V434" s="26"/>
      <c r="W434" s="20"/>
      <c r="X434" s="20"/>
      <c r="Y434" s="20"/>
      <c r="Z434" s="20"/>
      <c r="AA434" s="20"/>
      <c r="AB434" s="20"/>
      <c r="AC434" s="20"/>
      <c r="AD434" s="20"/>
      <c r="AE434" s="20"/>
    </row>
    <row r="435">
      <c r="A435" s="21">
        <v>11.0</v>
      </c>
      <c r="B435" s="20" t="s">
        <v>962</v>
      </c>
      <c r="C435" s="20" t="s">
        <v>1564</v>
      </c>
      <c r="I435" s="25" t="s">
        <v>1297</v>
      </c>
      <c r="J435" s="25" t="s">
        <v>1407</v>
      </c>
      <c r="K435" s="25" t="s">
        <v>71</v>
      </c>
      <c r="L435" s="25" t="s">
        <v>1647</v>
      </c>
      <c r="M435" s="20" t="s">
        <v>1408</v>
      </c>
      <c r="N435" s="20" t="s">
        <v>1409</v>
      </c>
      <c r="O435" s="20" t="s">
        <v>63</v>
      </c>
      <c r="P435" s="20" t="s">
        <v>52</v>
      </c>
      <c r="Q435" s="26"/>
      <c r="R435" s="26"/>
      <c r="S435" s="26"/>
      <c r="T435" s="20"/>
      <c r="U435" s="26"/>
      <c r="V435" s="26"/>
      <c r="W435" s="20"/>
      <c r="X435" s="20"/>
      <c r="Y435" s="20"/>
      <c r="Z435" s="20"/>
      <c r="AA435" s="20"/>
      <c r="AB435" s="20"/>
      <c r="AC435" s="20"/>
      <c r="AD435" s="20"/>
      <c r="AE435" s="20"/>
    </row>
    <row r="436">
      <c r="A436" s="21">
        <v>11.0</v>
      </c>
      <c r="B436" s="20" t="s">
        <v>962</v>
      </c>
      <c r="C436" s="20" t="s">
        <v>1564</v>
      </c>
      <c r="I436" s="25" t="s">
        <v>833</v>
      </c>
      <c r="J436" s="25" t="s">
        <v>1325</v>
      </c>
      <c r="K436" s="25" t="s">
        <v>71</v>
      </c>
      <c r="L436" s="25" t="s">
        <v>292</v>
      </c>
      <c r="M436" s="20" t="s">
        <v>1390</v>
      </c>
      <c r="N436" s="20" t="s">
        <v>1391</v>
      </c>
      <c r="O436" s="20" t="s">
        <v>63</v>
      </c>
      <c r="P436" s="20" t="s">
        <v>52</v>
      </c>
      <c r="Q436" s="26"/>
      <c r="R436" s="26"/>
      <c r="S436" s="26"/>
      <c r="T436" s="22"/>
      <c r="U436" s="26"/>
      <c r="V436" s="26"/>
      <c r="W436" s="20"/>
      <c r="X436" s="20"/>
      <c r="Y436" s="20"/>
      <c r="Z436" s="20"/>
      <c r="AA436" s="20"/>
      <c r="AB436" s="20"/>
      <c r="AC436" s="20"/>
      <c r="AD436" s="20"/>
      <c r="AE436" s="20"/>
    </row>
    <row r="437">
      <c r="A437" s="21">
        <v>11.0</v>
      </c>
      <c r="B437" s="20" t="s">
        <v>962</v>
      </c>
      <c r="C437" s="20" t="s">
        <v>1564</v>
      </c>
      <c r="I437" s="25" t="s">
        <v>1392</v>
      </c>
      <c r="J437" s="25" t="s">
        <v>1325</v>
      </c>
      <c r="K437" s="25" t="s">
        <v>71</v>
      </c>
      <c r="L437" s="25" t="s">
        <v>292</v>
      </c>
      <c r="M437" s="20" t="s">
        <v>1393</v>
      </c>
      <c r="N437" s="20" t="s">
        <v>1394</v>
      </c>
      <c r="O437" s="20" t="s">
        <v>63</v>
      </c>
      <c r="P437" s="20" t="s">
        <v>52</v>
      </c>
      <c r="Q437" s="26"/>
      <c r="R437" s="26"/>
      <c r="S437" s="26"/>
      <c r="T437" s="22"/>
      <c r="U437" s="26"/>
      <c r="V437" s="26"/>
      <c r="W437" s="20"/>
      <c r="X437" s="20"/>
      <c r="Y437" s="20"/>
      <c r="Z437" s="20"/>
      <c r="AA437" s="20"/>
      <c r="AB437" s="20"/>
      <c r="AC437" s="20"/>
      <c r="AD437" s="20"/>
      <c r="AE437" s="20"/>
    </row>
    <row r="438">
      <c r="A438" s="21">
        <v>11.0</v>
      </c>
      <c r="B438" s="20" t="s">
        <v>962</v>
      </c>
      <c r="C438" s="20" t="s">
        <v>1564</v>
      </c>
      <c r="I438" s="25" t="s">
        <v>278</v>
      </c>
      <c r="J438" s="25" t="s">
        <v>1325</v>
      </c>
      <c r="K438" s="25" t="s">
        <v>71</v>
      </c>
      <c r="L438" s="25" t="s">
        <v>292</v>
      </c>
      <c r="M438" s="20" t="s">
        <v>1395</v>
      </c>
      <c r="N438" s="20" t="s">
        <v>1396</v>
      </c>
      <c r="O438" s="20" t="s">
        <v>63</v>
      </c>
      <c r="P438" s="20" t="s">
        <v>52</v>
      </c>
      <c r="Q438" s="26"/>
      <c r="R438" s="26"/>
      <c r="S438" s="26"/>
      <c r="T438" s="22"/>
      <c r="U438" s="26"/>
      <c r="V438" s="26"/>
      <c r="W438" s="20"/>
      <c r="X438" s="20"/>
      <c r="Y438" s="20"/>
      <c r="Z438" s="20"/>
      <c r="AA438" s="20"/>
      <c r="AB438" s="20"/>
      <c r="AC438" s="20"/>
      <c r="AD438" s="20"/>
      <c r="AE438" s="20"/>
    </row>
    <row r="439">
      <c r="A439" s="21">
        <v>11.0</v>
      </c>
      <c r="B439" s="20" t="s">
        <v>962</v>
      </c>
      <c r="C439" s="20" t="s">
        <v>1564</v>
      </c>
      <c r="I439" s="25" t="s">
        <v>1397</v>
      </c>
      <c r="J439" s="25" t="s">
        <v>1325</v>
      </c>
      <c r="K439" s="25" t="s">
        <v>71</v>
      </c>
      <c r="L439" s="25" t="s">
        <v>292</v>
      </c>
      <c r="M439" s="20" t="s">
        <v>1398</v>
      </c>
      <c r="N439" s="20" t="s">
        <v>1399</v>
      </c>
      <c r="O439" s="20" t="s">
        <v>63</v>
      </c>
      <c r="P439" s="20" t="s">
        <v>52</v>
      </c>
      <c r="Q439" s="26"/>
      <c r="R439" s="26"/>
      <c r="S439" s="26"/>
      <c r="T439" s="22"/>
      <c r="U439" s="26"/>
      <c r="V439" s="26"/>
      <c r="W439" s="20"/>
      <c r="X439" s="20"/>
      <c r="Y439" s="20"/>
      <c r="Z439" s="20"/>
      <c r="AA439" s="20"/>
      <c r="AB439" s="20"/>
      <c r="AC439" s="20"/>
      <c r="AD439" s="20"/>
      <c r="AE439" s="20"/>
    </row>
    <row r="440">
      <c r="A440" s="21">
        <v>11.0</v>
      </c>
      <c r="B440" s="20" t="s">
        <v>962</v>
      </c>
      <c r="C440" s="20" t="s">
        <v>1564</v>
      </c>
      <c r="I440" s="25" t="s">
        <v>360</v>
      </c>
      <c r="J440" s="25" t="s">
        <v>1325</v>
      </c>
      <c r="K440" s="25" t="s">
        <v>71</v>
      </c>
      <c r="L440" s="25" t="s">
        <v>292</v>
      </c>
      <c r="M440" s="20" t="s">
        <v>1400</v>
      </c>
      <c r="N440" s="20" t="s">
        <v>1401</v>
      </c>
      <c r="O440" s="20" t="s">
        <v>63</v>
      </c>
      <c r="P440" s="20" t="s">
        <v>52</v>
      </c>
      <c r="Q440" s="26"/>
      <c r="R440" s="26"/>
      <c r="S440" s="26"/>
      <c r="T440" s="22"/>
      <c r="U440" s="26"/>
      <c r="V440" s="26"/>
      <c r="W440" s="20"/>
      <c r="X440" s="20"/>
      <c r="Y440" s="20"/>
      <c r="Z440" s="20"/>
      <c r="AA440" s="20"/>
      <c r="AB440" s="20"/>
      <c r="AC440" s="20"/>
      <c r="AD440" s="20"/>
      <c r="AE440" s="20"/>
    </row>
    <row r="441">
      <c r="A441" s="21">
        <v>11.0</v>
      </c>
      <c r="B441" s="20" t="s">
        <v>962</v>
      </c>
      <c r="C441" s="20" t="s">
        <v>1564</v>
      </c>
      <c r="I441" s="25" t="s">
        <v>1402</v>
      </c>
      <c r="J441" s="25" t="s">
        <v>1325</v>
      </c>
      <c r="K441" s="25" t="s">
        <v>71</v>
      </c>
      <c r="L441" s="25" t="s">
        <v>292</v>
      </c>
      <c r="M441" s="20" t="s">
        <v>1403</v>
      </c>
      <c r="N441" s="20" t="s">
        <v>1404</v>
      </c>
      <c r="O441" s="20" t="s">
        <v>63</v>
      </c>
      <c r="P441" s="20" t="s">
        <v>52</v>
      </c>
      <c r="Q441" s="26"/>
      <c r="R441" s="26"/>
      <c r="S441" s="26"/>
      <c r="T441" s="22"/>
      <c r="U441" s="26"/>
      <c r="V441" s="26"/>
      <c r="W441" s="20"/>
      <c r="X441" s="20"/>
      <c r="Y441" s="20"/>
      <c r="Z441" s="20"/>
      <c r="AA441" s="20"/>
      <c r="AB441" s="20"/>
      <c r="AC441" s="20"/>
      <c r="AD441" s="20"/>
      <c r="AE441" s="20"/>
    </row>
    <row r="442">
      <c r="A442" s="21">
        <v>11.0</v>
      </c>
      <c r="B442" s="20" t="s">
        <v>962</v>
      </c>
      <c r="C442" s="20" t="s">
        <v>1564</v>
      </c>
      <c r="I442" s="25" t="s">
        <v>724</v>
      </c>
      <c r="J442" s="25" t="s">
        <v>1407</v>
      </c>
      <c r="K442" s="25" t="s">
        <v>71</v>
      </c>
      <c r="L442" s="25" t="s">
        <v>292</v>
      </c>
      <c r="M442" s="20" t="s">
        <v>61</v>
      </c>
      <c r="N442" s="20" t="s">
        <v>1410</v>
      </c>
      <c r="O442" s="20" t="s">
        <v>63</v>
      </c>
      <c r="P442" s="20" t="s">
        <v>52</v>
      </c>
      <c r="Q442" s="26"/>
      <c r="R442" s="26"/>
      <c r="S442" s="26"/>
      <c r="T442" s="22"/>
      <c r="U442" s="26"/>
      <c r="V442" s="26"/>
      <c r="W442" s="20"/>
      <c r="X442" s="20"/>
      <c r="Y442" s="20"/>
      <c r="Z442" s="20"/>
      <c r="AA442" s="20"/>
      <c r="AB442" s="20"/>
      <c r="AC442" s="20"/>
      <c r="AD442" s="20"/>
      <c r="AE442" s="20"/>
    </row>
    <row r="443">
      <c r="A443" s="21">
        <v>11.0</v>
      </c>
      <c r="B443" s="20" t="s">
        <v>962</v>
      </c>
      <c r="C443" s="20" t="s">
        <v>1564</v>
      </c>
      <c r="I443" s="25" t="s">
        <v>731</v>
      </c>
      <c r="J443" s="25" t="s">
        <v>1407</v>
      </c>
      <c r="K443" s="25" t="s">
        <v>71</v>
      </c>
      <c r="L443" s="25" t="s">
        <v>292</v>
      </c>
      <c r="M443" s="20" t="s">
        <v>1411</v>
      </c>
      <c r="N443" s="20" t="s">
        <v>1412</v>
      </c>
      <c r="O443" s="20" t="s">
        <v>63</v>
      </c>
      <c r="P443" s="20" t="s">
        <v>52</v>
      </c>
      <c r="Q443" s="26"/>
      <c r="R443" s="26"/>
      <c r="S443" s="26"/>
      <c r="T443" s="22"/>
      <c r="U443" s="26"/>
      <c r="V443" s="26"/>
      <c r="W443" s="20"/>
      <c r="X443" s="20"/>
      <c r="Y443" s="20"/>
      <c r="Z443" s="20"/>
      <c r="AA443" s="20"/>
      <c r="AB443" s="20"/>
      <c r="AC443" s="20"/>
      <c r="AD443" s="20"/>
      <c r="AE443" s="20"/>
    </row>
    <row r="444">
      <c r="A444" s="21">
        <v>11.0</v>
      </c>
      <c r="B444" s="20" t="s">
        <v>962</v>
      </c>
      <c r="C444" s="20" t="s">
        <v>1564</v>
      </c>
      <c r="I444" s="25" t="s">
        <v>1413</v>
      </c>
      <c r="J444" s="25" t="s">
        <v>1407</v>
      </c>
      <c r="K444" s="25" t="s">
        <v>71</v>
      </c>
      <c r="L444" s="25" t="s">
        <v>292</v>
      </c>
      <c r="M444" s="20" t="s">
        <v>61</v>
      </c>
      <c r="N444" s="20" t="s">
        <v>1414</v>
      </c>
      <c r="O444" s="20" t="s">
        <v>63</v>
      </c>
      <c r="P444" s="20" t="s">
        <v>52</v>
      </c>
      <c r="Q444" s="26"/>
      <c r="R444" s="26"/>
      <c r="S444" s="26"/>
      <c r="T444" s="22"/>
      <c r="U444" s="26"/>
      <c r="V444" s="26"/>
      <c r="W444" s="20"/>
      <c r="X444" s="20"/>
      <c r="Y444" s="20"/>
      <c r="Z444" s="20"/>
      <c r="AA444" s="20"/>
      <c r="AB444" s="20"/>
      <c r="AC444" s="20"/>
      <c r="AD444" s="20"/>
      <c r="AE444" s="20"/>
    </row>
    <row r="445">
      <c r="A445" s="21">
        <v>11.0</v>
      </c>
      <c r="B445" s="20" t="s">
        <v>962</v>
      </c>
      <c r="C445" s="20" t="s">
        <v>1564</v>
      </c>
      <c r="I445" s="25" t="s">
        <v>1415</v>
      </c>
      <c r="J445" s="25" t="s">
        <v>1407</v>
      </c>
      <c r="K445" s="25" t="s">
        <v>71</v>
      </c>
      <c r="L445" s="25" t="s">
        <v>292</v>
      </c>
      <c r="M445" s="20" t="s">
        <v>61</v>
      </c>
      <c r="N445" s="20" t="s">
        <v>1416</v>
      </c>
      <c r="O445" s="20" t="s">
        <v>63</v>
      </c>
      <c r="P445" s="20" t="s">
        <v>52</v>
      </c>
      <c r="Q445" s="26"/>
      <c r="R445" s="26"/>
      <c r="S445" s="26"/>
      <c r="T445" s="22"/>
      <c r="U445" s="26"/>
      <c r="V445" s="26"/>
      <c r="W445" s="20"/>
      <c r="X445" s="20"/>
      <c r="Y445" s="20"/>
      <c r="Z445" s="20"/>
      <c r="AA445" s="20"/>
      <c r="AB445" s="20"/>
      <c r="AC445" s="20"/>
      <c r="AD445" s="20"/>
      <c r="AE445" s="20"/>
    </row>
    <row r="446">
      <c r="A446" s="21">
        <v>11.0</v>
      </c>
      <c r="B446" s="20" t="s">
        <v>962</v>
      </c>
      <c r="C446" s="20" t="s">
        <v>1564</v>
      </c>
      <c r="I446" s="25" t="s">
        <v>1417</v>
      </c>
      <c r="J446" s="25" t="s">
        <v>1407</v>
      </c>
      <c r="K446" s="25" t="s">
        <v>71</v>
      </c>
      <c r="L446" s="25" t="s">
        <v>292</v>
      </c>
      <c r="M446" s="20" t="s">
        <v>1418</v>
      </c>
      <c r="N446" s="20" t="s">
        <v>1419</v>
      </c>
      <c r="O446" s="20" t="s">
        <v>63</v>
      </c>
      <c r="P446" s="20" t="s">
        <v>52</v>
      </c>
      <c r="Q446" s="26"/>
      <c r="R446" s="26"/>
      <c r="S446" s="26"/>
      <c r="T446" s="22"/>
      <c r="U446" s="26"/>
      <c r="V446" s="26"/>
      <c r="W446" s="20"/>
      <c r="X446" s="20"/>
      <c r="Y446" s="20"/>
      <c r="Z446" s="20"/>
      <c r="AA446" s="20"/>
      <c r="AB446" s="20"/>
      <c r="AC446" s="20"/>
      <c r="AD446" s="20"/>
      <c r="AE446" s="20"/>
    </row>
    <row r="447">
      <c r="A447" s="21">
        <v>11.0</v>
      </c>
      <c r="B447" s="20" t="s">
        <v>962</v>
      </c>
      <c r="C447" s="20" t="s">
        <v>1564</v>
      </c>
      <c r="I447" s="25" t="s">
        <v>1420</v>
      </c>
      <c r="J447" s="25" t="s">
        <v>1325</v>
      </c>
      <c r="K447" s="25" t="s">
        <v>418</v>
      </c>
      <c r="L447" s="25" t="s">
        <v>537</v>
      </c>
      <c r="M447" s="20" t="s">
        <v>415</v>
      </c>
      <c r="N447" s="20" t="s">
        <v>415</v>
      </c>
      <c r="O447" s="20" t="s">
        <v>416</v>
      </c>
      <c r="P447" s="20" t="s">
        <v>52</v>
      </c>
      <c r="Q447" s="26"/>
      <c r="R447" s="26"/>
      <c r="S447" s="26"/>
      <c r="T447" s="20"/>
      <c r="U447" s="26"/>
      <c r="V447" s="26"/>
      <c r="W447" s="20"/>
      <c r="X447" s="20"/>
      <c r="Y447" s="20"/>
      <c r="Z447" s="20"/>
      <c r="AA447" s="20"/>
      <c r="AB447" s="20"/>
      <c r="AC447" s="20"/>
      <c r="AD447" s="20"/>
      <c r="AE447" s="20"/>
    </row>
    <row r="448">
      <c r="A448" s="21">
        <v>11.0</v>
      </c>
      <c r="B448" s="20" t="s">
        <v>962</v>
      </c>
      <c r="C448" s="20" t="s">
        <v>1564</v>
      </c>
      <c r="I448" s="25" t="s">
        <v>1405</v>
      </c>
      <c r="J448" s="25" t="s">
        <v>1325</v>
      </c>
      <c r="K448" s="25" t="s">
        <v>71</v>
      </c>
      <c r="L448" s="25" t="s">
        <v>1809</v>
      </c>
      <c r="M448" s="20" t="s">
        <v>1406</v>
      </c>
      <c r="N448" s="20" t="s">
        <v>1389</v>
      </c>
      <c r="O448" s="20" t="s">
        <v>63</v>
      </c>
      <c r="P448" s="20" t="s">
        <v>52</v>
      </c>
      <c r="Q448" s="26"/>
      <c r="R448" s="26"/>
      <c r="S448" s="26"/>
      <c r="T448" s="20"/>
      <c r="U448" s="26"/>
      <c r="V448" s="26"/>
      <c r="W448" s="20"/>
      <c r="X448" s="20"/>
      <c r="Y448" s="20"/>
      <c r="Z448" s="20"/>
      <c r="AA448" s="20"/>
      <c r="AB448" s="20"/>
      <c r="AC448" s="20"/>
      <c r="AD448" s="20"/>
      <c r="AE448" s="20"/>
    </row>
    <row r="449">
      <c r="A449" s="21">
        <v>11.0</v>
      </c>
      <c r="B449" s="20" t="s">
        <v>962</v>
      </c>
      <c r="C449" s="20" t="s">
        <v>1564</v>
      </c>
      <c r="I449" s="25" t="s">
        <v>1432</v>
      </c>
      <c r="J449" s="25" t="s">
        <v>1407</v>
      </c>
      <c r="K449" s="25" t="s">
        <v>418</v>
      </c>
      <c r="L449" s="25" t="s">
        <v>537</v>
      </c>
      <c r="M449" s="20" t="s">
        <v>415</v>
      </c>
      <c r="N449" s="20" t="s">
        <v>415</v>
      </c>
      <c r="O449" s="20" t="s">
        <v>416</v>
      </c>
      <c r="P449" s="20" t="s">
        <v>52</v>
      </c>
      <c r="Q449" s="26"/>
      <c r="R449" s="26"/>
      <c r="S449" s="26"/>
      <c r="T449" s="20"/>
      <c r="U449" s="26"/>
      <c r="V449" s="26"/>
      <c r="W449" s="20"/>
      <c r="X449" s="20"/>
      <c r="Y449" s="20"/>
      <c r="Z449" s="20"/>
      <c r="AA449" s="20"/>
      <c r="AB449" s="20"/>
      <c r="AC449" s="20"/>
      <c r="AD449" s="20"/>
      <c r="AE449" s="20"/>
    </row>
    <row r="450">
      <c r="A450" s="21">
        <v>11.0</v>
      </c>
      <c r="B450" s="20" t="s">
        <v>962</v>
      </c>
      <c r="C450" s="20" t="s">
        <v>1564</v>
      </c>
      <c r="I450" s="25" t="s">
        <v>1434</v>
      </c>
      <c r="J450" s="25" t="s">
        <v>1407</v>
      </c>
      <c r="K450" s="25" t="s">
        <v>418</v>
      </c>
      <c r="L450" s="25" t="s">
        <v>537</v>
      </c>
      <c r="M450" s="20" t="s">
        <v>415</v>
      </c>
      <c r="N450" s="20" t="s">
        <v>415</v>
      </c>
      <c r="O450" s="20" t="s">
        <v>416</v>
      </c>
      <c r="P450" s="20" t="s">
        <v>52</v>
      </c>
      <c r="Q450" s="26"/>
      <c r="R450" s="26"/>
      <c r="S450" s="26"/>
      <c r="T450" s="20"/>
      <c r="U450" s="26"/>
      <c r="V450" s="26"/>
      <c r="W450" s="20"/>
      <c r="X450" s="20"/>
      <c r="Y450" s="20"/>
      <c r="Z450" s="20"/>
      <c r="AA450" s="20"/>
      <c r="AB450" s="20"/>
      <c r="AC450" s="20"/>
      <c r="AD450" s="20"/>
      <c r="AE450" s="20"/>
    </row>
    <row r="451">
      <c r="A451" s="21">
        <v>11.0</v>
      </c>
      <c r="B451" s="20" t="s">
        <v>962</v>
      </c>
      <c r="C451" s="20" t="s">
        <v>1564</v>
      </c>
      <c r="I451" s="25" t="s">
        <v>1423</v>
      </c>
      <c r="J451" s="25" t="s">
        <v>1325</v>
      </c>
      <c r="K451" s="25" t="s">
        <v>418</v>
      </c>
      <c r="L451" s="25" t="s">
        <v>537</v>
      </c>
      <c r="M451" s="20" t="s">
        <v>415</v>
      </c>
      <c r="N451" s="20" t="s">
        <v>415</v>
      </c>
      <c r="O451" s="20" t="s">
        <v>416</v>
      </c>
      <c r="P451" s="20" t="s">
        <v>52</v>
      </c>
      <c r="Q451" s="26"/>
      <c r="R451" s="26"/>
      <c r="S451" s="26"/>
      <c r="T451" s="20"/>
      <c r="U451" s="26"/>
      <c r="V451" s="26"/>
      <c r="W451" s="20"/>
      <c r="X451" s="20"/>
      <c r="Y451" s="20"/>
      <c r="Z451" s="20"/>
      <c r="AA451" s="20"/>
      <c r="AB451" s="20"/>
      <c r="AC451" s="20"/>
      <c r="AD451" s="20"/>
      <c r="AE451" s="20"/>
    </row>
    <row r="452">
      <c r="A452" s="21">
        <v>11.0</v>
      </c>
      <c r="B452" s="20" t="s">
        <v>962</v>
      </c>
      <c r="C452" s="20" t="s">
        <v>1564</v>
      </c>
      <c r="I452" s="25" t="s">
        <v>1436</v>
      </c>
      <c r="J452" s="25" t="s">
        <v>1407</v>
      </c>
      <c r="K452" s="25" t="s">
        <v>418</v>
      </c>
      <c r="L452" s="25" t="s">
        <v>537</v>
      </c>
      <c r="M452" s="20" t="s">
        <v>415</v>
      </c>
      <c r="N452" s="20" t="s">
        <v>415</v>
      </c>
      <c r="O452" s="20" t="s">
        <v>416</v>
      </c>
      <c r="P452" s="20" t="s">
        <v>52</v>
      </c>
      <c r="Q452" s="26"/>
      <c r="R452" s="26"/>
      <c r="S452" s="26"/>
      <c r="T452" s="20"/>
      <c r="U452" s="26"/>
      <c r="V452" s="26"/>
      <c r="W452" s="20"/>
      <c r="X452" s="20"/>
      <c r="Y452" s="20"/>
      <c r="Z452" s="20"/>
      <c r="AA452" s="20"/>
      <c r="AB452" s="20"/>
      <c r="AC452" s="20"/>
      <c r="AD452" s="20"/>
      <c r="AE452" s="20"/>
    </row>
    <row r="453">
      <c r="A453" s="21">
        <v>11.0</v>
      </c>
      <c r="B453" s="20" t="s">
        <v>962</v>
      </c>
      <c r="C453" s="20" t="s">
        <v>1564</v>
      </c>
      <c r="I453" s="25" t="s">
        <v>1424</v>
      </c>
      <c r="J453" s="25" t="s">
        <v>1325</v>
      </c>
      <c r="K453" s="25" t="s">
        <v>418</v>
      </c>
      <c r="L453" s="25" t="s">
        <v>537</v>
      </c>
      <c r="M453" s="20" t="s">
        <v>415</v>
      </c>
      <c r="N453" s="20" t="s">
        <v>415</v>
      </c>
      <c r="O453" s="20" t="s">
        <v>416</v>
      </c>
      <c r="P453" s="20" t="s">
        <v>52</v>
      </c>
      <c r="Q453" s="26"/>
      <c r="R453" s="26"/>
      <c r="S453" s="26"/>
      <c r="T453" s="20"/>
      <c r="U453" s="26"/>
      <c r="V453" s="26"/>
      <c r="W453" s="20"/>
      <c r="X453" s="20"/>
      <c r="Y453" s="20"/>
      <c r="Z453" s="20"/>
      <c r="AA453" s="20"/>
      <c r="AB453" s="20"/>
      <c r="AC453" s="20"/>
      <c r="AD453" s="20"/>
      <c r="AE453" s="20"/>
    </row>
    <row r="454">
      <c r="A454" s="21">
        <v>11.0</v>
      </c>
      <c r="B454" s="20" t="s">
        <v>962</v>
      </c>
      <c r="C454" s="20" t="s">
        <v>1564</v>
      </c>
      <c r="I454" s="25" t="s">
        <v>1437</v>
      </c>
      <c r="J454" s="25" t="s">
        <v>1407</v>
      </c>
      <c r="K454" s="25" t="s">
        <v>418</v>
      </c>
      <c r="L454" s="25" t="s">
        <v>537</v>
      </c>
      <c r="M454" s="20" t="s">
        <v>415</v>
      </c>
      <c r="N454" s="20" t="s">
        <v>415</v>
      </c>
      <c r="O454" s="20" t="s">
        <v>416</v>
      </c>
      <c r="P454" s="20" t="s">
        <v>52</v>
      </c>
      <c r="Q454" s="26"/>
      <c r="R454" s="26"/>
      <c r="S454" s="26"/>
      <c r="T454" s="20"/>
      <c r="U454" s="26"/>
      <c r="V454" s="26"/>
      <c r="W454" s="20"/>
      <c r="X454" s="20"/>
      <c r="Y454" s="20"/>
      <c r="Z454" s="20"/>
      <c r="AA454" s="20"/>
      <c r="AB454" s="20"/>
      <c r="AC454" s="20"/>
      <c r="AD454" s="20"/>
      <c r="AE454" s="20"/>
    </row>
    <row r="455">
      <c r="A455" s="21">
        <v>11.0</v>
      </c>
      <c r="B455" s="20" t="s">
        <v>962</v>
      </c>
      <c r="C455" s="20" t="s">
        <v>1564</v>
      </c>
      <c r="I455" s="25" t="s">
        <v>1426</v>
      </c>
      <c r="J455" s="25" t="s">
        <v>1325</v>
      </c>
      <c r="K455" s="25" t="s">
        <v>418</v>
      </c>
      <c r="L455" s="25" t="s">
        <v>537</v>
      </c>
      <c r="M455" s="20" t="s">
        <v>415</v>
      </c>
      <c r="N455" s="20" t="s">
        <v>415</v>
      </c>
      <c r="O455" s="20" t="s">
        <v>416</v>
      </c>
      <c r="P455" s="20" t="s">
        <v>52</v>
      </c>
      <c r="Q455" s="26"/>
      <c r="R455" s="26"/>
      <c r="S455" s="26"/>
      <c r="T455" s="20"/>
      <c r="U455" s="26"/>
      <c r="V455" s="26"/>
      <c r="W455" s="20"/>
      <c r="X455" s="20"/>
      <c r="Y455" s="20"/>
      <c r="Z455" s="20"/>
      <c r="AA455" s="20"/>
      <c r="AB455" s="20"/>
      <c r="AC455" s="20"/>
      <c r="AD455" s="20"/>
      <c r="AE455" s="20"/>
    </row>
    <row r="456">
      <c r="A456" s="21">
        <v>11.0</v>
      </c>
      <c r="B456" s="20" t="s">
        <v>962</v>
      </c>
      <c r="C456" s="20" t="s">
        <v>1564</v>
      </c>
      <c r="I456" s="25" t="s">
        <v>1232</v>
      </c>
      <c r="J456" s="25" t="s">
        <v>1325</v>
      </c>
      <c r="K456" s="25" t="s">
        <v>418</v>
      </c>
      <c r="L456" s="25" t="s">
        <v>537</v>
      </c>
      <c r="M456" s="20" t="s">
        <v>415</v>
      </c>
      <c r="N456" s="20" t="s">
        <v>415</v>
      </c>
      <c r="O456" s="20" t="s">
        <v>416</v>
      </c>
      <c r="P456" s="20" t="s">
        <v>52</v>
      </c>
      <c r="Q456" s="26"/>
      <c r="R456" s="26"/>
      <c r="S456" s="26"/>
      <c r="T456" s="20"/>
      <c r="U456" s="26"/>
      <c r="V456" s="26"/>
      <c r="W456" s="20"/>
      <c r="X456" s="20"/>
      <c r="Y456" s="20"/>
      <c r="Z456" s="20"/>
      <c r="AA456" s="20"/>
      <c r="AB456" s="20"/>
      <c r="AC456" s="20"/>
      <c r="AD456" s="20"/>
      <c r="AE456" s="20"/>
    </row>
    <row r="457">
      <c r="A457" s="21">
        <v>11.0</v>
      </c>
      <c r="B457" s="20" t="s">
        <v>962</v>
      </c>
      <c r="C457" s="20" t="s">
        <v>1564</v>
      </c>
      <c r="I457" s="25" t="s">
        <v>1439</v>
      </c>
      <c r="J457" s="25" t="s">
        <v>1407</v>
      </c>
      <c r="K457" s="25" t="s">
        <v>418</v>
      </c>
      <c r="L457" s="25" t="s">
        <v>537</v>
      </c>
      <c r="M457" s="20" t="s">
        <v>415</v>
      </c>
      <c r="N457" s="20" t="s">
        <v>415</v>
      </c>
      <c r="O457" s="20" t="s">
        <v>416</v>
      </c>
      <c r="P457" s="20" t="s">
        <v>52</v>
      </c>
      <c r="Q457" s="26"/>
      <c r="R457" s="26"/>
      <c r="S457" s="26"/>
      <c r="T457" s="20"/>
      <c r="U457" s="26"/>
      <c r="V457" s="26"/>
      <c r="W457" s="20"/>
      <c r="X457" s="20"/>
      <c r="Y457" s="20"/>
      <c r="Z457" s="20"/>
      <c r="AA457" s="20"/>
      <c r="AB457" s="20"/>
      <c r="AC457" s="20"/>
      <c r="AD457" s="20"/>
      <c r="AE457" s="20"/>
    </row>
    <row r="458">
      <c r="A458" s="21">
        <v>11.0</v>
      </c>
      <c r="B458" s="20" t="s">
        <v>962</v>
      </c>
      <c r="C458" s="20" t="s">
        <v>1564</v>
      </c>
      <c r="I458" s="25" t="s">
        <v>1428</v>
      </c>
      <c r="J458" s="25" t="s">
        <v>1325</v>
      </c>
      <c r="K458" s="25" t="s">
        <v>418</v>
      </c>
      <c r="L458" s="25" t="s">
        <v>537</v>
      </c>
      <c r="M458" s="20" t="s">
        <v>415</v>
      </c>
      <c r="N458" s="20" t="s">
        <v>415</v>
      </c>
      <c r="O458" s="20" t="s">
        <v>416</v>
      </c>
      <c r="P458" s="20" t="s">
        <v>52</v>
      </c>
      <c r="Q458" s="26"/>
      <c r="R458" s="26"/>
      <c r="S458" s="26"/>
      <c r="T458" s="20"/>
      <c r="U458" s="26"/>
      <c r="V458" s="26"/>
      <c r="W458" s="20"/>
      <c r="X458" s="20"/>
      <c r="Y458" s="20"/>
      <c r="Z458" s="20"/>
      <c r="AA458" s="20"/>
      <c r="AB458" s="20"/>
      <c r="AC458" s="20"/>
      <c r="AD458" s="20"/>
      <c r="AE458" s="20"/>
    </row>
    <row r="459">
      <c r="A459" s="21">
        <v>11.0</v>
      </c>
      <c r="B459" s="20" t="s">
        <v>962</v>
      </c>
      <c r="C459" s="20" t="s">
        <v>1564</v>
      </c>
      <c r="I459" s="25" t="s">
        <v>1430</v>
      </c>
      <c r="J459" s="25" t="s">
        <v>1325</v>
      </c>
      <c r="K459" s="25" t="s">
        <v>418</v>
      </c>
      <c r="L459" s="25" t="s">
        <v>537</v>
      </c>
      <c r="M459" s="20" t="s">
        <v>415</v>
      </c>
      <c r="N459" s="20" t="s">
        <v>415</v>
      </c>
      <c r="O459" s="20" t="s">
        <v>416</v>
      </c>
      <c r="P459" s="20" t="s">
        <v>52</v>
      </c>
      <c r="Q459" s="26"/>
      <c r="R459" s="26"/>
      <c r="S459" s="26"/>
      <c r="T459" s="20"/>
      <c r="U459" s="26"/>
      <c r="V459" s="26"/>
      <c r="W459" s="20"/>
      <c r="X459" s="20"/>
      <c r="Y459" s="20"/>
      <c r="Z459" s="20"/>
      <c r="AA459" s="20"/>
      <c r="AB459" s="20"/>
      <c r="AC459" s="20"/>
      <c r="AD459" s="20"/>
      <c r="AE459" s="20"/>
    </row>
    <row r="460">
      <c r="A460" s="21">
        <v>11.0</v>
      </c>
      <c r="B460" s="20" t="s">
        <v>962</v>
      </c>
      <c r="C460" s="20" t="s">
        <v>1564</v>
      </c>
      <c r="I460" s="25" t="s">
        <v>1440</v>
      </c>
      <c r="J460" s="25" t="s">
        <v>1407</v>
      </c>
      <c r="K460" s="25" t="s">
        <v>418</v>
      </c>
      <c r="L460" s="25" t="s">
        <v>537</v>
      </c>
      <c r="M460" s="20" t="s">
        <v>415</v>
      </c>
      <c r="N460" s="20" t="s">
        <v>415</v>
      </c>
      <c r="O460" s="20" t="s">
        <v>416</v>
      </c>
      <c r="P460" s="20" t="s">
        <v>52</v>
      </c>
      <c r="Q460" s="26"/>
      <c r="R460" s="26"/>
      <c r="S460" s="26"/>
      <c r="T460" s="20"/>
      <c r="U460" s="26"/>
      <c r="V460" s="26"/>
      <c r="W460" s="20"/>
      <c r="X460" s="20"/>
      <c r="Y460" s="20"/>
      <c r="Z460" s="20"/>
      <c r="AA460" s="20"/>
      <c r="AB460" s="20"/>
      <c r="AC460" s="20"/>
      <c r="AD460" s="20"/>
      <c r="AE460" s="20"/>
    </row>
    <row r="461">
      <c r="A461" s="21">
        <v>11.0</v>
      </c>
      <c r="B461" s="20" t="s">
        <v>962</v>
      </c>
      <c r="C461" s="20" t="s">
        <v>1564</v>
      </c>
      <c r="I461" s="25" t="s">
        <v>1431</v>
      </c>
      <c r="J461" s="25" t="s">
        <v>1325</v>
      </c>
      <c r="K461" s="25" t="s">
        <v>418</v>
      </c>
      <c r="L461" s="25" t="s">
        <v>537</v>
      </c>
      <c r="M461" s="20" t="s">
        <v>415</v>
      </c>
      <c r="N461" s="20" t="s">
        <v>415</v>
      </c>
      <c r="O461" s="20" t="s">
        <v>416</v>
      </c>
      <c r="P461" s="20" t="s">
        <v>52</v>
      </c>
      <c r="Q461" s="26"/>
      <c r="R461" s="26"/>
      <c r="S461" s="26"/>
      <c r="T461" s="20"/>
      <c r="U461" s="26"/>
      <c r="V461" s="26"/>
      <c r="W461" s="20"/>
      <c r="X461" s="20"/>
      <c r="Y461" s="20"/>
      <c r="Z461" s="20"/>
      <c r="AA461" s="20"/>
      <c r="AB461" s="20"/>
      <c r="AC461" s="20"/>
      <c r="AD461" s="20"/>
      <c r="AE461" s="20"/>
    </row>
    <row r="462">
      <c r="A462" s="21">
        <v>12.0</v>
      </c>
      <c r="B462" s="22" t="s">
        <v>375</v>
      </c>
      <c r="C462" s="22" t="s">
        <v>1564</v>
      </c>
      <c r="D462" s="23">
        <v>50.0</v>
      </c>
      <c r="E462" s="23">
        <v>2.0</v>
      </c>
      <c r="F462" s="23">
        <v>15.0</v>
      </c>
      <c r="G462" s="23">
        <v>33.0</v>
      </c>
      <c r="H462" s="24" t="s">
        <v>1845</v>
      </c>
      <c r="I462" s="25" t="s">
        <v>746</v>
      </c>
      <c r="J462" s="25" t="s">
        <v>1441</v>
      </c>
      <c r="K462" s="25" t="s">
        <v>57</v>
      </c>
      <c r="L462" s="25" t="s">
        <v>1847</v>
      </c>
      <c r="M462" s="25" t="s">
        <v>61</v>
      </c>
      <c r="N462" s="25" t="s">
        <v>1442</v>
      </c>
      <c r="O462" s="25" t="s">
        <v>56</v>
      </c>
      <c r="P462" s="25" t="s">
        <v>749</v>
      </c>
      <c r="Q462" s="26"/>
      <c r="R462" s="26"/>
      <c r="S462" s="26"/>
      <c r="T462" s="20"/>
      <c r="U462" s="26"/>
      <c r="V462" s="26"/>
      <c r="W462" s="20"/>
      <c r="X462" s="20"/>
      <c r="Y462" s="20"/>
      <c r="Z462" s="20"/>
      <c r="AA462" s="20"/>
      <c r="AB462" s="20"/>
      <c r="AC462" s="20"/>
      <c r="AD462" s="20"/>
      <c r="AE462" s="20"/>
    </row>
    <row r="463">
      <c r="A463" s="21">
        <v>12.0</v>
      </c>
      <c r="B463" s="22" t="s">
        <v>375</v>
      </c>
      <c r="C463" s="22" t="s">
        <v>1564</v>
      </c>
      <c r="I463" s="25" t="s">
        <v>557</v>
      </c>
      <c r="J463" s="25" t="s">
        <v>1441</v>
      </c>
      <c r="K463" s="25" t="s">
        <v>57</v>
      </c>
      <c r="L463" s="25" t="s">
        <v>1849</v>
      </c>
      <c r="M463" s="25" t="s">
        <v>61</v>
      </c>
      <c r="N463" s="25" t="s">
        <v>1443</v>
      </c>
      <c r="O463" s="25" t="s">
        <v>56</v>
      </c>
      <c r="P463" s="25" t="s">
        <v>749</v>
      </c>
      <c r="Q463" s="26"/>
      <c r="R463" s="26"/>
      <c r="S463" s="26"/>
      <c r="T463" s="20"/>
      <c r="U463" s="26"/>
      <c r="V463" s="26"/>
      <c r="W463" s="20"/>
      <c r="X463" s="20"/>
      <c r="Y463" s="20"/>
      <c r="Z463" s="20"/>
      <c r="AA463" s="20"/>
      <c r="AB463" s="20"/>
      <c r="AC463" s="20"/>
      <c r="AD463" s="20"/>
      <c r="AE463" s="20"/>
    </row>
    <row r="464">
      <c r="A464" s="21">
        <v>12.0</v>
      </c>
      <c r="B464" s="22" t="s">
        <v>375</v>
      </c>
      <c r="C464" s="22" t="s">
        <v>1564</v>
      </c>
      <c r="I464" s="25" t="s">
        <v>734</v>
      </c>
      <c r="J464" s="25" t="s">
        <v>1441</v>
      </c>
      <c r="K464" s="25" t="s">
        <v>67</v>
      </c>
      <c r="L464" s="25" t="s">
        <v>1853</v>
      </c>
      <c r="M464" s="25" t="s">
        <v>61</v>
      </c>
      <c r="N464" s="25" t="s">
        <v>1038</v>
      </c>
      <c r="O464" s="25" t="s">
        <v>63</v>
      </c>
      <c r="P464" s="25" t="s">
        <v>749</v>
      </c>
      <c r="Q464" s="26"/>
      <c r="R464" s="26"/>
      <c r="S464" s="26"/>
      <c r="T464" s="20"/>
      <c r="U464" s="26"/>
      <c r="V464" s="26"/>
      <c r="W464" s="20"/>
      <c r="X464" s="20"/>
      <c r="Y464" s="20"/>
      <c r="Z464" s="20"/>
      <c r="AA464" s="20"/>
      <c r="AB464" s="20"/>
      <c r="AC464" s="20"/>
      <c r="AD464" s="20"/>
      <c r="AE464" s="20"/>
    </row>
    <row r="465">
      <c r="A465" s="21">
        <v>12.0</v>
      </c>
      <c r="B465" s="22" t="s">
        <v>375</v>
      </c>
      <c r="C465" s="22" t="s">
        <v>1564</v>
      </c>
      <c r="I465" s="25" t="s">
        <v>1463</v>
      </c>
      <c r="J465" s="25" t="s">
        <v>1441</v>
      </c>
      <c r="K465" s="25" t="s">
        <v>67</v>
      </c>
      <c r="L465" s="25" t="s">
        <v>1856</v>
      </c>
      <c r="M465" s="25" t="s">
        <v>61</v>
      </c>
      <c r="N465" s="25" t="s">
        <v>1464</v>
      </c>
      <c r="O465" s="25" t="s">
        <v>63</v>
      </c>
      <c r="P465" s="25"/>
      <c r="Q465" s="26"/>
      <c r="R465" s="26"/>
      <c r="S465" s="26"/>
      <c r="T465" s="20"/>
      <c r="U465" s="26"/>
      <c r="V465" s="26"/>
      <c r="W465" s="20"/>
      <c r="X465" s="20"/>
      <c r="Y465" s="20"/>
      <c r="Z465" s="20"/>
      <c r="AA465" s="20"/>
      <c r="AB465" s="20"/>
      <c r="AC465" s="20"/>
      <c r="AD465" s="20"/>
      <c r="AE465" s="20"/>
    </row>
    <row r="466">
      <c r="A466" s="21">
        <v>12.0</v>
      </c>
      <c r="B466" s="22" t="s">
        <v>375</v>
      </c>
      <c r="C466" s="22" t="s">
        <v>1564</v>
      </c>
      <c r="I466" s="25" t="s">
        <v>605</v>
      </c>
      <c r="J466" s="25" t="s">
        <v>1441</v>
      </c>
      <c r="K466" s="25" t="s">
        <v>67</v>
      </c>
      <c r="L466" s="25" t="s">
        <v>1025</v>
      </c>
      <c r="M466" s="25" t="s">
        <v>1445</v>
      </c>
      <c r="N466" s="25" t="s">
        <v>1446</v>
      </c>
      <c r="O466" s="25" t="s">
        <v>56</v>
      </c>
      <c r="P466" s="25" t="s">
        <v>52</v>
      </c>
      <c r="Q466" s="26"/>
      <c r="R466" s="26"/>
      <c r="S466" s="26"/>
      <c r="T466" s="22"/>
      <c r="U466" s="26"/>
      <c r="V466" s="26"/>
      <c r="W466" s="20"/>
      <c r="X466" s="20"/>
      <c r="Y466" s="20"/>
      <c r="Z466" s="20"/>
      <c r="AA466" s="20"/>
      <c r="AB466" s="20"/>
      <c r="AC466" s="20"/>
      <c r="AD466" s="20"/>
      <c r="AE466" s="20"/>
    </row>
    <row r="467">
      <c r="A467" s="21">
        <v>12.0</v>
      </c>
      <c r="B467" s="22" t="s">
        <v>375</v>
      </c>
      <c r="C467" s="22" t="s">
        <v>1564</v>
      </c>
      <c r="I467" s="25" t="s">
        <v>738</v>
      </c>
      <c r="J467" s="25" t="s">
        <v>1441</v>
      </c>
      <c r="K467" s="25" t="s">
        <v>71</v>
      </c>
      <c r="L467" s="25" t="s">
        <v>1865</v>
      </c>
      <c r="M467" s="25" t="s">
        <v>1465</v>
      </c>
      <c r="N467" s="25" t="s">
        <v>1466</v>
      </c>
      <c r="O467" s="25" t="s">
        <v>56</v>
      </c>
      <c r="P467" s="25"/>
      <c r="Q467" s="26"/>
      <c r="R467" s="26"/>
      <c r="S467" s="26"/>
      <c r="T467" s="20"/>
      <c r="U467" s="26"/>
      <c r="V467" s="26"/>
      <c r="W467" s="20"/>
      <c r="X467" s="20"/>
      <c r="Y467" s="20"/>
      <c r="Z467" s="20"/>
      <c r="AA467" s="20"/>
      <c r="AB467" s="20"/>
      <c r="AC467" s="20"/>
      <c r="AD467" s="20"/>
      <c r="AE467" s="20"/>
    </row>
    <row r="468">
      <c r="A468" s="21">
        <v>12.0</v>
      </c>
      <c r="B468" s="22" t="s">
        <v>375</v>
      </c>
      <c r="C468" s="22" t="s">
        <v>1564</v>
      </c>
      <c r="I468" s="25" t="s">
        <v>836</v>
      </c>
      <c r="J468" s="25" t="s">
        <v>1441</v>
      </c>
      <c r="K468" s="25" t="s">
        <v>71</v>
      </c>
      <c r="L468" s="25" t="s">
        <v>1870</v>
      </c>
      <c r="M468" s="25" t="s">
        <v>61</v>
      </c>
      <c r="N468" s="25" t="s">
        <v>1479</v>
      </c>
      <c r="O468" s="25" t="s">
        <v>63</v>
      </c>
      <c r="P468" s="25"/>
      <c r="Q468" s="26"/>
      <c r="R468" s="26"/>
      <c r="S468" s="26"/>
      <c r="T468" s="20"/>
      <c r="U468" s="26"/>
      <c r="V468" s="26"/>
      <c r="W468" s="20"/>
      <c r="X468" s="20"/>
      <c r="Y468" s="20"/>
      <c r="Z468" s="20"/>
      <c r="AA468" s="20"/>
      <c r="AB468" s="20"/>
      <c r="AC468" s="20"/>
      <c r="AD468" s="20"/>
      <c r="AE468" s="20"/>
    </row>
    <row r="469">
      <c r="A469" s="21">
        <v>12.0</v>
      </c>
      <c r="B469" s="22" t="s">
        <v>375</v>
      </c>
      <c r="C469" s="22" t="s">
        <v>1564</v>
      </c>
      <c r="I469" s="25" t="s">
        <v>475</v>
      </c>
      <c r="J469" s="25" t="s">
        <v>1441</v>
      </c>
      <c r="K469" s="25" t="s">
        <v>71</v>
      </c>
      <c r="L469" s="25" t="s">
        <v>1874</v>
      </c>
      <c r="M469" s="25" t="s">
        <v>61</v>
      </c>
      <c r="N469" s="25" t="s">
        <v>786</v>
      </c>
      <c r="O469" s="25" t="s">
        <v>56</v>
      </c>
      <c r="P469" s="25"/>
      <c r="Q469" s="26"/>
      <c r="R469" s="26"/>
      <c r="S469" s="26"/>
      <c r="T469" s="20"/>
      <c r="U469" s="26"/>
      <c r="V469" s="26"/>
      <c r="W469" s="20"/>
      <c r="X469" s="20"/>
      <c r="Y469" s="20"/>
      <c r="Z469" s="20"/>
      <c r="AA469" s="20"/>
      <c r="AB469" s="20"/>
      <c r="AC469" s="20"/>
      <c r="AD469" s="20"/>
      <c r="AE469" s="20"/>
    </row>
    <row r="470">
      <c r="A470" s="21">
        <v>12.0</v>
      </c>
      <c r="B470" s="22" t="s">
        <v>375</v>
      </c>
      <c r="C470" s="22" t="s">
        <v>1564</v>
      </c>
      <c r="I470" s="25" t="s">
        <v>705</v>
      </c>
      <c r="J470" s="25" t="s">
        <v>1441</v>
      </c>
      <c r="K470" s="25" t="s">
        <v>71</v>
      </c>
      <c r="L470" s="25" t="s">
        <v>1865</v>
      </c>
      <c r="M470" s="25" t="s">
        <v>925</v>
      </c>
      <c r="N470" s="25" t="s">
        <v>1467</v>
      </c>
      <c r="O470" s="25" t="s">
        <v>56</v>
      </c>
      <c r="P470" s="25"/>
      <c r="Q470" s="26"/>
      <c r="R470" s="26"/>
      <c r="S470" s="26"/>
      <c r="T470" s="20"/>
      <c r="U470" s="26"/>
      <c r="V470" s="26"/>
      <c r="W470" s="20"/>
      <c r="X470" s="20"/>
      <c r="Y470" s="20"/>
      <c r="Z470" s="20"/>
      <c r="AA470" s="20"/>
      <c r="AB470" s="20"/>
      <c r="AC470" s="20"/>
      <c r="AD470" s="20"/>
      <c r="AE470" s="20"/>
    </row>
    <row r="471">
      <c r="A471" s="21">
        <v>12.0</v>
      </c>
      <c r="B471" s="22" t="s">
        <v>375</v>
      </c>
      <c r="C471" s="22" t="s">
        <v>1564</v>
      </c>
      <c r="I471" s="25" t="s">
        <v>1480</v>
      </c>
      <c r="J471" s="25" t="s">
        <v>1441</v>
      </c>
      <c r="K471" s="25" t="s">
        <v>71</v>
      </c>
      <c r="L471" s="25" t="s">
        <v>1870</v>
      </c>
      <c r="M471" s="25" t="s">
        <v>1481</v>
      </c>
      <c r="N471" s="25" t="s">
        <v>1482</v>
      </c>
      <c r="O471" s="25" t="s">
        <v>63</v>
      </c>
      <c r="P471" s="25"/>
      <c r="Q471" s="26"/>
      <c r="R471" s="26"/>
      <c r="S471" s="26"/>
      <c r="T471" s="20"/>
      <c r="U471" s="26"/>
      <c r="V471" s="26"/>
      <c r="W471" s="20"/>
      <c r="X471" s="20"/>
      <c r="Y471" s="20"/>
      <c r="Z471" s="20"/>
      <c r="AA471" s="20"/>
      <c r="AB471" s="20"/>
      <c r="AC471" s="20"/>
      <c r="AD471" s="20"/>
      <c r="AE471" s="20"/>
    </row>
    <row r="472">
      <c r="A472" s="21">
        <v>12.0</v>
      </c>
      <c r="B472" s="22" t="s">
        <v>375</v>
      </c>
      <c r="C472" s="22" t="s">
        <v>1564</v>
      </c>
      <c r="I472" s="25" t="s">
        <v>314</v>
      </c>
      <c r="J472" s="25" t="s">
        <v>1441</v>
      </c>
      <c r="K472" s="25" t="s">
        <v>71</v>
      </c>
      <c r="L472" s="25" t="s">
        <v>1865</v>
      </c>
      <c r="M472" s="25" t="s">
        <v>927</v>
      </c>
      <c r="N472" s="25" t="s">
        <v>1468</v>
      </c>
      <c r="O472" s="25" t="s">
        <v>56</v>
      </c>
      <c r="P472" s="25"/>
      <c r="Q472" s="26"/>
      <c r="R472" s="26"/>
      <c r="S472" s="26"/>
      <c r="T472" s="20"/>
      <c r="U472" s="26"/>
      <c r="V472" s="26"/>
      <c r="W472" s="20"/>
      <c r="X472" s="20"/>
      <c r="Y472" s="20"/>
      <c r="Z472" s="20"/>
      <c r="AA472" s="20"/>
      <c r="AB472" s="20"/>
      <c r="AC472" s="20"/>
      <c r="AD472" s="20"/>
      <c r="AE472" s="20"/>
    </row>
    <row r="473">
      <c r="A473" s="21">
        <v>12.0</v>
      </c>
      <c r="B473" s="22" t="s">
        <v>375</v>
      </c>
      <c r="C473" s="22" t="s">
        <v>1564</v>
      </c>
      <c r="I473" s="25" t="s">
        <v>1484</v>
      </c>
      <c r="J473" s="25" t="s">
        <v>1441</v>
      </c>
      <c r="K473" s="25" t="s">
        <v>71</v>
      </c>
      <c r="L473" s="25" t="s">
        <v>1870</v>
      </c>
      <c r="M473" s="25" t="s">
        <v>1485</v>
      </c>
      <c r="N473" s="25" t="s">
        <v>1486</v>
      </c>
      <c r="O473" s="25" t="s">
        <v>63</v>
      </c>
      <c r="P473" s="25"/>
      <c r="Q473" s="26"/>
      <c r="R473" s="26"/>
      <c r="S473" s="26"/>
      <c r="T473" s="20"/>
      <c r="U473" s="26"/>
      <c r="V473" s="26"/>
      <c r="W473" s="20"/>
      <c r="X473" s="20"/>
      <c r="Y473" s="20"/>
      <c r="Z473" s="20"/>
      <c r="AA473" s="20"/>
      <c r="AB473" s="20"/>
      <c r="AC473" s="20"/>
      <c r="AD473" s="20"/>
      <c r="AE473" s="20"/>
    </row>
    <row r="474">
      <c r="A474" s="21">
        <v>12.0</v>
      </c>
      <c r="B474" s="22" t="s">
        <v>375</v>
      </c>
      <c r="C474" s="22" t="s">
        <v>1564</v>
      </c>
      <c r="I474" s="25" t="s">
        <v>570</v>
      </c>
      <c r="J474" s="25" t="s">
        <v>1441</v>
      </c>
      <c r="K474" s="25" t="s">
        <v>67</v>
      </c>
      <c r="L474" s="25" t="s">
        <v>1025</v>
      </c>
      <c r="M474" s="25" t="s">
        <v>817</v>
      </c>
      <c r="N474" s="25" t="s">
        <v>818</v>
      </c>
      <c r="O474" s="25" t="s">
        <v>56</v>
      </c>
      <c r="P474" s="25" t="s">
        <v>52</v>
      </c>
      <c r="Q474" s="26"/>
      <c r="R474" s="26"/>
      <c r="S474" s="26"/>
      <c r="T474" s="22"/>
      <c r="U474" s="26"/>
      <c r="V474" s="26"/>
      <c r="W474" s="20"/>
      <c r="X474" s="20"/>
      <c r="Y474" s="20"/>
      <c r="Z474" s="20"/>
      <c r="AA474" s="20"/>
      <c r="AB474" s="20"/>
      <c r="AC474" s="20"/>
      <c r="AD474" s="20"/>
      <c r="AE474" s="20"/>
    </row>
    <row r="475">
      <c r="A475" s="21">
        <v>12.0</v>
      </c>
      <c r="B475" s="22" t="s">
        <v>375</v>
      </c>
      <c r="C475" s="22" t="s">
        <v>1564</v>
      </c>
      <c r="I475" s="25" t="s">
        <v>391</v>
      </c>
      <c r="J475" s="25" t="s">
        <v>1441</v>
      </c>
      <c r="K475" s="25" t="s">
        <v>71</v>
      </c>
      <c r="L475" s="25" t="s">
        <v>1891</v>
      </c>
      <c r="M475" s="25" t="s">
        <v>61</v>
      </c>
      <c r="N475" s="25" t="s">
        <v>1469</v>
      </c>
      <c r="O475" s="25" t="s">
        <v>56</v>
      </c>
      <c r="P475" s="25"/>
      <c r="Q475" s="26"/>
      <c r="R475" s="26"/>
      <c r="S475" s="26"/>
      <c r="T475" s="20"/>
      <c r="U475" s="26"/>
      <c r="V475" s="26"/>
      <c r="W475" s="20"/>
      <c r="X475" s="20"/>
      <c r="Y475" s="20"/>
      <c r="Z475" s="20"/>
      <c r="AA475" s="20"/>
      <c r="AB475" s="20"/>
      <c r="AC475" s="20"/>
      <c r="AD475" s="20"/>
      <c r="AE475" s="20"/>
    </row>
    <row r="476">
      <c r="A476" s="21">
        <v>12.0</v>
      </c>
      <c r="B476" s="22" t="s">
        <v>375</v>
      </c>
      <c r="C476" s="22" t="s">
        <v>1564</v>
      </c>
      <c r="I476" s="25" t="s">
        <v>320</v>
      </c>
      <c r="J476" s="25" t="s">
        <v>1441</v>
      </c>
      <c r="K476" s="25" t="s">
        <v>67</v>
      </c>
      <c r="L476" s="25" t="s">
        <v>1025</v>
      </c>
      <c r="M476" s="25" t="s">
        <v>776</v>
      </c>
      <c r="N476" s="25" t="s">
        <v>946</v>
      </c>
      <c r="O476" s="25" t="s">
        <v>56</v>
      </c>
      <c r="P476" s="25" t="s">
        <v>52</v>
      </c>
      <c r="Q476" s="26"/>
      <c r="R476" s="26"/>
      <c r="S476" s="26"/>
      <c r="T476" s="22"/>
      <c r="U476" s="26"/>
      <c r="V476" s="26"/>
      <c r="W476" s="20"/>
      <c r="X476" s="20"/>
      <c r="Y476" s="20"/>
      <c r="Z476" s="20"/>
      <c r="AA476" s="20"/>
      <c r="AB476" s="20"/>
      <c r="AC476" s="20"/>
      <c r="AD476" s="20"/>
      <c r="AE476" s="20"/>
    </row>
    <row r="477">
      <c r="A477" s="21">
        <v>12.0</v>
      </c>
      <c r="B477" s="22" t="s">
        <v>375</v>
      </c>
      <c r="C477" s="22" t="s">
        <v>1564</v>
      </c>
      <c r="I477" s="25" t="s">
        <v>1487</v>
      </c>
      <c r="J477" s="25" t="s">
        <v>1441</v>
      </c>
      <c r="K477" s="25" t="s">
        <v>71</v>
      </c>
      <c r="L477" s="25" t="s">
        <v>1870</v>
      </c>
      <c r="M477" s="25" t="s">
        <v>1488</v>
      </c>
      <c r="N477" s="25" t="s">
        <v>1489</v>
      </c>
      <c r="O477" s="25" t="s">
        <v>63</v>
      </c>
      <c r="P477" s="25"/>
      <c r="Q477" s="26"/>
      <c r="R477" s="26"/>
      <c r="S477" s="26"/>
      <c r="T477" s="20"/>
      <c r="U477" s="26"/>
      <c r="V477" s="26"/>
      <c r="W477" s="20"/>
      <c r="X477" s="20"/>
      <c r="Y477" s="20"/>
      <c r="Z477" s="20"/>
      <c r="AA477" s="20"/>
      <c r="AB477" s="20"/>
      <c r="AC477" s="20"/>
      <c r="AD477" s="20"/>
      <c r="AE477" s="20"/>
    </row>
    <row r="478">
      <c r="A478" s="21">
        <v>12.0</v>
      </c>
      <c r="B478" s="20" t="s">
        <v>375</v>
      </c>
      <c r="C478" s="20" t="s">
        <v>1564</v>
      </c>
      <c r="I478" s="25" t="s">
        <v>632</v>
      </c>
      <c r="J478" s="25" t="s">
        <v>1441</v>
      </c>
      <c r="K478" s="25" t="s">
        <v>67</v>
      </c>
      <c r="L478" s="25" t="s">
        <v>1133</v>
      </c>
      <c r="M478" s="20" t="s">
        <v>956</v>
      </c>
      <c r="N478" s="20" t="s">
        <v>1447</v>
      </c>
      <c r="O478" s="20" t="s">
        <v>56</v>
      </c>
      <c r="P478" s="20" t="s">
        <v>52</v>
      </c>
      <c r="Q478" s="26"/>
      <c r="R478" s="26"/>
      <c r="S478" s="26"/>
      <c r="T478" s="22"/>
      <c r="U478" s="26"/>
      <c r="V478" s="26"/>
      <c r="W478" s="20"/>
      <c r="X478" s="20"/>
      <c r="Y478" s="20"/>
      <c r="Z478" s="20"/>
      <c r="AA478" s="20"/>
      <c r="AB478" s="20"/>
      <c r="AC478" s="20"/>
      <c r="AD478" s="20"/>
      <c r="AE478" s="20"/>
    </row>
    <row r="479">
      <c r="A479" s="21">
        <v>12.0</v>
      </c>
      <c r="B479" s="20" t="s">
        <v>375</v>
      </c>
      <c r="C479" s="20" t="s">
        <v>1564</v>
      </c>
      <c r="I479" s="25" t="s">
        <v>270</v>
      </c>
      <c r="J479" s="25" t="s">
        <v>1518</v>
      </c>
      <c r="K479" s="25" t="s">
        <v>71</v>
      </c>
      <c r="L479" s="25" t="s">
        <v>1901</v>
      </c>
      <c r="M479" s="20" t="s">
        <v>271</v>
      </c>
      <c r="N479" s="20" t="s">
        <v>272</v>
      </c>
      <c r="O479" s="20" t="s">
        <v>63</v>
      </c>
      <c r="P479" s="20" t="s">
        <v>52</v>
      </c>
      <c r="Q479" s="26"/>
      <c r="R479" s="26"/>
      <c r="S479" s="26"/>
      <c r="T479" s="20"/>
      <c r="U479" s="26"/>
      <c r="V479" s="26"/>
      <c r="W479" s="20"/>
      <c r="X479" s="20"/>
      <c r="Y479" s="20"/>
      <c r="Z479" s="20"/>
      <c r="AA479" s="20"/>
      <c r="AB479" s="20"/>
      <c r="AC479" s="20"/>
      <c r="AD479" s="20"/>
      <c r="AE479" s="20"/>
    </row>
    <row r="480">
      <c r="A480" s="21">
        <v>12.0</v>
      </c>
      <c r="B480" s="20" t="s">
        <v>375</v>
      </c>
      <c r="C480" s="20" t="s">
        <v>1564</v>
      </c>
      <c r="I480" s="25" t="s">
        <v>341</v>
      </c>
      <c r="J480" s="25" t="s">
        <v>1441</v>
      </c>
      <c r="K480" s="25" t="s">
        <v>71</v>
      </c>
      <c r="L480" s="25" t="s">
        <v>1901</v>
      </c>
      <c r="M480" s="20" t="s">
        <v>1490</v>
      </c>
      <c r="N480" s="20" t="s">
        <v>1491</v>
      </c>
      <c r="O480" s="20" t="s">
        <v>63</v>
      </c>
      <c r="P480" s="20" t="s">
        <v>52</v>
      </c>
      <c r="Q480" s="26"/>
      <c r="R480" s="26"/>
      <c r="S480" s="26"/>
      <c r="T480" s="20"/>
      <c r="U480" s="26"/>
      <c r="V480" s="26"/>
      <c r="W480" s="20"/>
      <c r="X480" s="20"/>
      <c r="Y480" s="20"/>
      <c r="Z480" s="20"/>
      <c r="AA480" s="20"/>
      <c r="AB480" s="20"/>
      <c r="AC480" s="20"/>
      <c r="AD480" s="20"/>
      <c r="AE480" s="20"/>
    </row>
    <row r="481">
      <c r="A481" s="21">
        <v>12.0</v>
      </c>
      <c r="B481" s="20" t="s">
        <v>375</v>
      </c>
      <c r="C481" s="20" t="s">
        <v>1564</v>
      </c>
      <c r="I481" s="25" t="s">
        <v>586</v>
      </c>
      <c r="J481" s="25" t="s">
        <v>1441</v>
      </c>
      <c r="K481" s="25" t="s">
        <v>71</v>
      </c>
      <c r="L481" s="25" t="s">
        <v>673</v>
      </c>
      <c r="M481" s="20" t="s">
        <v>866</v>
      </c>
      <c r="N481" s="20" t="s">
        <v>1459</v>
      </c>
      <c r="O481" s="20" t="s">
        <v>56</v>
      </c>
      <c r="P481" s="20" t="s">
        <v>52</v>
      </c>
      <c r="Q481" s="26"/>
      <c r="R481" s="26"/>
      <c r="S481" s="26"/>
      <c r="T481" s="20"/>
      <c r="U481" s="26"/>
      <c r="V481" s="26"/>
      <c r="W481" s="20"/>
      <c r="X481" s="20"/>
      <c r="Y481" s="20"/>
      <c r="Z481" s="20"/>
      <c r="AA481" s="20"/>
      <c r="AB481" s="20"/>
      <c r="AC481" s="20"/>
      <c r="AD481" s="20"/>
      <c r="AE481" s="20"/>
    </row>
    <row r="482">
      <c r="A482" s="21">
        <v>12.0</v>
      </c>
      <c r="B482" s="20" t="s">
        <v>375</v>
      </c>
      <c r="C482" s="20" t="s">
        <v>1564</v>
      </c>
      <c r="I482" s="25" t="s">
        <v>891</v>
      </c>
      <c r="J482" s="25" t="s">
        <v>1441</v>
      </c>
      <c r="K482" s="25" t="s">
        <v>67</v>
      </c>
      <c r="L482" s="25" t="s">
        <v>1133</v>
      </c>
      <c r="M482" s="20" t="s">
        <v>892</v>
      </c>
      <c r="N482" s="20" t="s">
        <v>893</v>
      </c>
      <c r="O482" s="20" t="s">
        <v>56</v>
      </c>
      <c r="P482" s="20" t="s">
        <v>52</v>
      </c>
      <c r="Q482" s="26"/>
      <c r="R482" s="26"/>
      <c r="S482" s="26"/>
      <c r="T482" s="22"/>
      <c r="U482" s="26"/>
      <c r="V482" s="26"/>
      <c r="W482" s="20"/>
      <c r="X482" s="20"/>
      <c r="Y482" s="20"/>
      <c r="Z482" s="20"/>
      <c r="AA482" s="20"/>
      <c r="AB482" s="20"/>
      <c r="AC482" s="20"/>
      <c r="AD482" s="20"/>
      <c r="AE482" s="20"/>
    </row>
    <row r="483">
      <c r="A483" s="21">
        <v>12.0</v>
      </c>
      <c r="B483" s="20" t="s">
        <v>375</v>
      </c>
      <c r="C483" s="20" t="s">
        <v>1564</v>
      </c>
      <c r="I483" s="25" t="s">
        <v>489</v>
      </c>
      <c r="J483" s="25" t="s">
        <v>1441</v>
      </c>
      <c r="K483" s="25" t="s">
        <v>71</v>
      </c>
      <c r="L483" s="25" t="s">
        <v>876</v>
      </c>
      <c r="M483" s="20" t="s">
        <v>1041</v>
      </c>
      <c r="N483" s="20" t="s">
        <v>1042</v>
      </c>
      <c r="O483" s="20" t="s">
        <v>63</v>
      </c>
      <c r="P483" s="20" t="s">
        <v>52</v>
      </c>
      <c r="Q483" s="26"/>
      <c r="R483" s="26"/>
      <c r="S483" s="26"/>
      <c r="T483" s="20"/>
      <c r="U483" s="26"/>
      <c r="V483" s="26"/>
      <c r="W483" s="20"/>
      <c r="X483" s="20"/>
      <c r="Y483" s="20"/>
      <c r="Z483" s="20"/>
      <c r="AA483" s="20"/>
      <c r="AB483" s="20"/>
      <c r="AC483" s="20"/>
      <c r="AD483" s="20"/>
      <c r="AE483" s="20"/>
    </row>
    <row r="484">
      <c r="A484" s="21">
        <v>12.0</v>
      </c>
      <c r="B484" s="20" t="s">
        <v>375</v>
      </c>
      <c r="C484" s="20" t="s">
        <v>1564</v>
      </c>
      <c r="I484" s="25" t="s">
        <v>265</v>
      </c>
      <c r="J484" s="25" t="s">
        <v>1518</v>
      </c>
      <c r="K484" s="25" t="s">
        <v>71</v>
      </c>
      <c r="L484" s="25" t="s">
        <v>715</v>
      </c>
      <c r="M484" s="20" t="s">
        <v>941</v>
      </c>
      <c r="N484" s="20" t="s">
        <v>1519</v>
      </c>
      <c r="O484" s="20" t="s">
        <v>63</v>
      </c>
      <c r="P484" s="20" t="s">
        <v>52</v>
      </c>
      <c r="Q484" s="26"/>
      <c r="R484" s="26"/>
      <c r="S484" s="26"/>
      <c r="T484" s="20"/>
      <c r="U484" s="26"/>
      <c r="V484" s="26"/>
      <c r="W484" s="20"/>
      <c r="X484" s="20"/>
      <c r="Y484" s="20"/>
      <c r="Z484" s="20"/>
      <c r="AA484" s="20"/>
      <c r="AB484" s="20"/>
      <c r="AC484" s="20"/>
      <c r="AD484" s="20"/>
      <c r="AE484" s="20"/>
    </row>
    <row r="485">
      <c r="A485" s="21">
        <v>12.0</v>
      </c>
      <c r="B485" s="20" t="s">
        <v>375</v>
      </c>
      <c r="C485" s="20" t="s">
        <v>1564</v>
      </c>
      <c r="I485" s="25" t="s">
        <v>593</v>
      </c>
      <c r="J485" s="25" t="s">
        <v>1441</v>
      </c>
      <c r="K485" s="25" t="s">
        <v>71</v>
      </c>
      <c r="L485" s="25" t="s">
        <v>1192</v>
      </c>
      <c r="M485" s="20" t="s">
        <v>1492</v>
      </c>
      <c r="N485" s="20" t="s">
        <v>1493</v>
      </c>
      <c r="O485" s="20" t="s">
        <v>63</v>
      </c>
      <c r="P485" s="20" t="s">
        <v>52</v>
      </c>
      <c r="Q485" s="26"/>
      <c r="R485" s="26"/>
      <c r="S485" s="26"/>
      <c r="T485" s="20"/>
      <c r="U485" s="26"/>
      <c r="V485" s="26"/>
      <c r="W485" s="20"/>
      <c r="X485" s="20"/>
      <c r="Y485" s="20"/>
      <c r="Z485" s="20"/>
      <c r="AA485" s="20"/>
      <c r="AB485" s="20"/>
      <c r="AC485" s="20"/>
      <c r="AD485" s="20"/>
      <c r="AE485" s="20"/>
    </row>
    <row r="486">
      <c r="A486" s="21">
        <v>12.0</v>
      </c>
      <c r="B486" s="20" t="s">
        <v>375</v>
      </c>
      <c r="C486" s="20" t="s">
        <v>1564</v>
      </c>
      <c r="I486" s="25" t="s">
        <v>278</v>
      </c>
      <c r="J486" s="25" t="s">
        <v>1441</v>
      </c>
      <c r="K486" s="25" t="s">
        <v>71</v>
      </c>
      <c r="L486" s="25" t="s">
        <v>673</v>
      </c>
      <c r="M486" s="20" t="s">
        <v>1470</v>
      </c>
      <c r="N486" s="20" t="s">
        <v>1459</v>
      </c>
      <c r="O486" s="20" t="s">
        <v>56</v>
      </c>
      <c r="P486" s="20" t="s">
        <v>52</v>
      </c>
      <c r="Q486" s="26"/>
      <c r="R486" s="26"/>
      <c r="S486" s="26"/>
      <c r="T486" s="20"/>
      <c r="U486" s="26"/>
      <c r="V486" s="26"/>
      <c r="W486" s="20"/>
      <c r="X486" s="20"/>
      <c r="Y486" s="20"/>
      <c r="Z486" s="20"/>
      <c r="AA486" s="20"/>
      <c r="AB486" s="20"/>
      <c r="AC486" s="20"/>
      <c r="AD486" s="20"/>
      <c r="AE486" s="20"/>
    </row>
    <row r="487">
      <c r="A487" s="21">
        <v>12.0</v>
      </c>
      <c r="B487" s="20" t="s">
        <v>375</v>
      </c>
      <c r="C487" s="20" t="s">
        <v>1564</v>
      </c>
      <c r="I487" s="25" t="s">
        <v>367</v>
      </c>
      <c r="J487" s="25" t="s">
        <v>1441</v>
      </c>
      <c r="K487" s="25" t="s">
        <v>71</v>
      </c>
      <c r="L487" s="25" t="s">
        <v>715</v>
      </c>
      <c r="M487" s="20" t="s">
        <v>1494</v>
      </c>
      <c r="N487" s="20" t="s">
        <v>1495</v>
      </c>
      <c r="O487" s="20" t="s">
        <v>63</v>
      </c>
      <c r="P487" s="20" t="s">
        <v>52</v>
      </c>
      <c r="Q487" s="26"/>
      <c r="R487" s="26"/>
      <c r="S487" s="26"/>
      <c r="T487" s="20"/>
      <c r="U487" s="26"/>
      <c r="V487" s="26"/>
      <c r="W487" s="20"/>
      <c r="X487" s="20"/>
      <c r="Y487" s="20"/>
      <c r="Z487" s="20"/>
      <c r="AA487" s="20"/>
      <c r="AB487" s="20"/>
      <c r="AC487" s="20"/>
      <c r="AD487" s="20"/>
      <c r="AE487" s="20"/>
    </row>
    <row r="488">
      <c r="A488" s="21">
        <v>12.0</v>
      </c>
      <c r="B488" s="20" t="s">
        <v>375</v>
      </c>
      <c r="C488" s="20" t="s">
        <v>1564</v>
      </c>
      <c r="I488" s="25" t="s">
        <v>283</v>
      </c>
      <c r="J488" s="25" t="s">
        <v>1441</v>
      </c>
      <c r="K488" s="25" t="s">
        <v>67</v>
      </c>
      <c r="L488" s="25" t="s">
        <v>1025</v>
      </c>
      <c r="M488" s="20" t="s">
        <v>960</v>
      </c>
      <c r="N488" s="20" t="s">
        <v>961</v>
      </c>
      <c r="O488" s="20" t="s">
        <v>56</v>
      </c>
      <c r="P488" s="20" t="s">
        <v>52</v>
      </c>
      <c r="Q488" s="26"/>
      <c r="R488" s="26"/>
      <c r="S488" s="26"/>
      <c r="T488" s="22"/>
      <c r="U488" s="26"/>
      <c r="V488" s="26"/>
      <c r="W488" s="20"/>
      <c r="X488" s="20"/>
      <c r="Y488" s="20"/>
      <c r="Z488" s="20"/>
      <c r="AA488" s="20"/>
      <c r="AB488" s="20"/>
      <c r="AC488" s="20"/>
      <c r="AD488" s="20"/>
      <c r="AE488" s="20"/>
    </row>
    <row r="489">
      <c r="A489" s="21">
        <v>12.0</v>
      </c>
      <c r="B489" s="20" t="s">
        <v>375</v>
      </c>
      <c r="C489" s="20" t="s">
        <v>1564</v>
      </c>
      <c r="I489" s="25" t="s">
        <v>495</v>
      </c>
      <c r="J489" s="25" t="s">
        <v>1441</v>
      </c>
      <c r="K489" s="25" t="s">
        <v>71</v>
      </c>
      <c r="L489" s="25" t="s">
        <v>881</v>
      </c>
      <c r="M489" s="20" t="s">
        <v>973</v>
      </c>
      <c r="N489" s="20" t="s">
        <v>1473</v>
      </c>
      <c r="O489" s="20" t="s">
        <v>56</v>
      </c>
      <c r="P489" s="20" t="s">
        <v>52</v>
      </c>
      <c r="Q489" s="26"/>
      <c r="R489" s="26"/>
      <c r="S489" s="26"/>
      <c r="T489" s="20"/>
      <c r="U489" s="26"/>
      <c r="V489" s="26"/>
      <c r="W489" s="20"/>
      <c r="X489" s="20"/>
      <c r="Y489" s="20"/>
      <c r="Z489" s="20"/>
      <c r="AA489" s="20"/>
      <c r="AB489" s="20"/>
      <c r="AC489" s="20"/>
      <c r="AD489" s="20"/>
      <c r="AE489" s="20"/>
    </row>
    <row r="490">
      <c r="A490" s="21">
        <v>12.0</v>
      </c>
      <c r="B490" s="20" t="s">
        <v>375</v>
      </c>
      <c r="C490" s="20" t="s">
        <v>1564</v>
      </c>
      <c r="I490" s="25" t="s">
        <v>501</v>
      </c>
      <c r="J490" s="25" t="s">
        <v>1441</v>
      </c>
      <c r="K490" s="25" t="s">
        <v>71</v>
      </c>
      <c r="L490" s="25" t="s">
        <v>673</v>
      </c>
      <c r="M490" s="20" t="s">
        <v>798</v>
      </c>
      <c r="N490" s="20" t="s">
        <v>1497</v>
      </c>
      <c r="O490" s="20" t="s">
        <v>63</v>
      </c>
      <c r="P490" s="20" t="s">
        <v>52</v>
      </c>
      <c r="Q490" s="26"/>
      <c r="R490" s="26"/>
      <c r="S490" s="26"/>
      <c r="T490" s="20"/>
      <c r="U490" s="26"/>
      <c r="V490" s="26"/>
      <c r="W490" s="20"/>
      <c r="X490" s="20"/>
      <c r="Y490" s="20"/>
      <c r="Z490" s="20"/>
      <c r="AA490" s="20"/>
      <c r="AB490" s="20"/>
      <c r="AC490" s="20"/>
      <c r="AD490" s="20"/>
      <c r="AE490" s="20"/>
    </row>
    <row r="491">
      <c r="A491" s="21">
        <v>12.0</v>
      </c>
      <c r="B491" s="20" t="s">
        <v>375</v>
      </c>
      <c r="C491" s="20" t="s">
        <v>1564</v>
      </c>
      <c r="I491" s="25" t="s">
        <v>1475</v>
      </c>
      <c r="J491" s="25" t="s">
        <v>1441</v>
      </c>
      <c r="K491" s="25" t="s">
        <v>71</v>
      </c>
      <c r="L491" s="25" t="s">
        <v>1921</v>
      </c>
      <c r="M491" s="20" t="s">
        <v>1476</v>
      </c>
      <c r="N491" s="20" t="s">
        <v>1477</v>
      </c>
      <c r="O491" s="20" t="s">
        <v>56</v>
      </c>
      <c r="P491" s="20" t="s">
        <v>52</v>
      </c>
      <c r="Q491" s="26"/>
      <c r="R491" s="26"/>
      <c r="S491" s="26"/>
      <c r="T491" s="20"/>
      <c r="U491" s="26"/>
      <c r="V491" s="26"/>
      <c r="W491" s="20"/>
      <c r="X491" s="20"/>
      <c r="Y491" s="20"/>
      <c r="Z491" s="20"/>
      <c r="AA491" s="20"/>
      <c r="AB491" s="20"/>
      <c r="AC491" s="20"/>
      <c r="AD491" s="20"/>
      <c r="AE491" s="20"/>
    </row>
    <row r="492">
      <c r="A492" s="21">
        <v>12.0</v>
      </c>
      <c r="B492" s="20" t="s">
        <v>375</v>
      </c>
      <c r="C492" s="20" t="s">
        <v>1564</v>
      </c>
      <c r="I492" s="25" t="s">
        <v>1498</v>
      </c>
      <c r="J492" s="25" t="s">
        <v>1441</v>
      </c>
      <c r="K492" s="25" t="s">
        <v>71</v>
      </c>
      <c r="L492" s="25" t="s">
        <v>1921</v>
      </c>
      <c r="M492" s="20" t="s">
        <v>1499</v>
      </c>
      <c r="N492" s="20" t="s">
        <v>1500</v>
      </c>
      <c r="O492" s="20" t="s">
        <v>63</v>
      </c>
      <c r="P492" s="20" t="s">
        <v>52</v>
      </c>
      <c r="Q492" s="26"/>
      <c r="R492" s="26"/>
      <c r="S492" s="26"/>
      <c r="T492" s="20"/>
      <c r="U492" s="26"/>
      <c r="V492" s="26"/>
      <c r="W492" s="20"/>
      <c r="X492" s="20"/>
      <c r="Y492" s="20"/>
      <c r="Z492" s="20"/>
      <c r="AA492" s="20"/>
      <c r="AB492" s="20"/>
      <c r="AC492" s="20"/>
      <c r="AD492" s="20"/>
      <c r="AE492" s="20"/>
    </row>
    <row r="493">
      <c r="A493" s="21">
        <v>12.0</v>
      </c>
      <c r="B493" s="20" t="s">
        <v>375</v>
      </c>
      <c r="C493" s="20" t="s">
        <v>1564</v>
      </c>
      <c r="I493" s="25" t="s">
        <v>1387</v>
      </c>
      <c r="J493" s="25" t="s">
        <v>1441</v>
      </c>
      <c r="K493" s="25" t="s">
        <v>71</v>
      </c>
      <c r="L493" s="25" t="s">
        <v>1921</v>
      </c>
      <c r="M493" s="20" t="s">
        <v>61</v>
      </c>
      <c r="N493" s="20" t="s">
        <v>1501</v>
      </c>
      <c r="O493" s="20" t="s">
        <v>63</v>
      </c>
      <c r="P493" s="20" t="s">
        <v>52</v>
      </c>
      <c r="Q493" s="26"/>
      <c r="R493" s="26"/>
      <c r="S493" s="26"/>
      <c r="T493" s="20"/>
      <c r="U493" s="26"/>
      <c r="V493" s="26"/>
      <c r="W493" s="20"/>
      <c r="X493" s="20"/>
      <c r="Y493" s="20"/>
      <c r="Z493" s="20"/>
      <c r="AA493" s="20"/>
      <c r="AB493" s="20"/>
      <c r="AC493" s="20"/>
      <c r="AD493" s="20"/>
      <c r="AE493" s="20"/>
    </row>
    <row r="494">
      <c r="A494" s="21">
        <v>12.0</v>
      </c>
      <c r="B494" s="20" t="s">
        <v>375</v>
      </c>
      <c r="C494" s="20" t="s">
        <v>1564</v>
      </c>
      <c r="I494" s="25" t="s">
        <v>1448</v>
      </c>
      <c r="J494" s="25" t="s">
        <v>1441</v>
      </c>
      <c r="K494" s="25" t="s">
        <v>67</v>
      </c>
      <c r="L494" s="25" t="s">
        <v>1025</v>
      </c>
      <c r="M494" s="20" t="s">
        <v>1449</v>
      </c>
      <c r="N494" s="20" t="s">
        <v>1450</v>
      </c>
      <c r="O494" s="20" t="s">
        <v>56</v>
      </c>
      <c r="P494" s="20" t="s">
        <v>52</v>
      </c>
      <c r="Q494" s="26"/>
      <c r="R494" s="26"/>
      <c r="S494" s="26"/>
      <c r="T494" s="22"/>
      <c r="U494" s="26"/>
      <c r="V494" s="26"/>
      <c r="W494" s="20"/>
      <c r="X494" s="20"/>
      <c r="Y494" s="20"/>
      <c r="Z494" s="20"/>
      <c r="AA494" s="20"/>
      <c r="AB494" s="20"/>
      <c r="AC494" s="20"/>
      <c r="AD494" s="20"/>
      <c r="AE494" s="20"/>
    </row>
    <row r="495">
      <c r="A495" s="21">
        <v>12.0</v>
      </c>
      <c r="B495" s="20" t="s">
        <v>375</v>
      </c>
      <c r="C495" s="20" t="s">
        <v>1564</v>
      </c>
      <c r="I495" s="25" t="s">
        <v>218</v>
      </c>
      <c r="J495" s="25" t="s">
        <v>1441</v>
      </c>
      <c r="K495" s="25" t="s">
        <v>71</v>
      </c>
      <c r="L495" s="25" t="s">
        <v>1933</v>
      </c>
      <c r="M495" s="20" t="s">
        <v>61</v>
      </c>
      <c r="N495" s="20" t="s">
        <v>1502</v>
      </c>
      <c r="O495" s="20" t="s">
        <v>63</v>
      </c>
      <c r="P495" s="20" t="s">
        <v>52</v>
      </c>
      <c r="Q495" s="26"/>
      <c r="R495" s="26"/>
      <c r="S495" s="26"/>
      <c r="T495" s="20"/>
      <c r="U495" s="26"/>
      <c r="V495" s="26"/>
      <c r="W495" s="20"/>
      <c r="X495" s="20"/>
      <c r="Y495" s="20"/>
      <c r="Z495" s="20"/>
      <c r="AA495" s="20"/>
      <c r="AB495" s="20"/>
      <c r="AC495" s="20"/>
      <c r="AD495" s="20"/>
      <c r="AE495" s="20"/>
    </row>
    <row r="496">
      <c r="A496" s="21">
        <v>12.0</v>
      </c>
      <c r="B496" s="20" t="s">
        <v>375</v>
      </c>
      <c r="C496" s="20" t="s">
        <v>1564</v>
      </c>
      <c r="I496" s="25" t="s">
        <v>894</v>
      </c>
      <c r="J496" s="25" t="s">
        <v>1441</v>
      </c>
      <c r="K496" s="25" t="s">
        <v>67</v>
      </c>
      <c r="L496" s="25" t="s">
        <v>1025</v>
      </c>
      <c r="M496" s="20" t="s">
        <v>895</v>
      </c>
      <c r="N496" s="20" t="s">
        <v>893</v>
      </c>
      <c r="O496" s="20" t="s">
        <v>56</v>
      </c>
      <c r="P496" s="20" t="s">
        <v>52</v>
      </c>
      <c r="Q496" s="26"/>
      <c r="R496" s="26"/>
      <c r="S496" s="26"/>
      <c r="T496" s="22"/>
      <c r="U496" s="26"/>
      <c r="V496" s="26"/>
      <c r="W496" s="20"/>
      <c r="X496" s="20"/>
      <c r="Y496" s="20"/>
      <c r="Z496" s="20"/>
      <c r="AA496" s="20"/>
      <c r="AB496" s="20"/>
      <c r="AC496" s="20"/>
      <c r="AD496" s="20"/>
      <c r="AE496" s="20"/>
    </row>
    <row r="497">
      <c r="A497" s="21">
        <v>12.0</v>
      </c>
      <c r="B497" s="20" t="s">
        <v>375</v>
      </c>
      <c r="C497" s="20" t="s">
        <v>1564</v>
      </c>
      <c r="I497" s="25" t="s">
        <v>75</v>
      </c>
      <c r="J497" s="25" t="s">
        <v>1441</v>
      </c>
      <c r="K497" s="25" t="s">
        <v>71</v>
      </c>
      <c r="L497" s="25" t="s">
        <v>1921</v>
      </c>
      <c r="M497" s="20" t="s">
        <v>1503</v>
      </c>
      <c r="N497" s="20" t="s">
        <v>1504</v>
      </c>
      <c r="O497" s="20" t="s">
        <v>63</v>
      </c>
      <c r="P497" s="20" t="s">
        <v>52</v>
      </c>
      <c r="Q497" s="26"/>
      <c r="R497" s="26"/>
      <c r="S497" s="26"/>
      <c r="T497" s="20"/>
      <c r="U497" s="26"/>
      <c r="V497" s="26"/>
      <c r="W497" s="20"/>
      <c r="X497" s="20"/>
      <c r="Y497" s="20"/>
      <c r="Z497" s="20"/>
      <c r="AA497" s="20"/>
      <c r="AB497" s="20"/>
      <c r="AC497" s="20"/>
      <c r="AD497" s="20"/>
      <c r="AE497" s="20"/>
    </row>
    <row r="498">
      <c r="A498" s="21">
        <v>12.0</v>
      </c>
      <c r="B498" s="20" t="s">
        <v>375</v>
      </c>
      <c r="C498" s="20" t="s">
        <v>1564</v>
      </c>
      <c r="I498" s="25" t="s">
        <v>506</v>
      </c>
      <c r="J498" s="25" t="s">
        <v>1441</v>
      </c>
      <c r="K498" s="25" t="s">
        <v>71</v>
      </c>
      <c r="L498" s="25" t="s">
        <v>709</v>
      </c>
      <c r="M498" s="20" t="s">
        <v>1505</v>
      </c>
      <c r="N498" s="20" t="s">
        <v>1506</v>
      </c>
      <c r="O498" s="20" t="s">
        <v>63</v>
      </c>
      <c r="P498" s="20" t="s">
        <v>52</v>
      </c>
      <c r="Q498" s="26"/>
      <c r="R498" s="26"/>
      <c r="S498" s="26"/>
      <c r="T498" s="20"/>
      <c r="U498" s="26"/>
      <c r="V498" s="26"/>
      <c r="W498" s="20"/>
      <c r="X498" s="20"/>
      <c r="Y498" s="20"/>
      <c r="Z498" s="20"/>
      <c r="AA498" s="20"/>
      <c r="AB498" s="20"/>
      <c r="AC498" s="20"/>
      <c r="AD498" s="20"/>
      <c r="AE498" s="20"/>
    </row>
    <row r="499">
      <c r="A499" s="21">
        <v>12.0</v>
      </c>
      <c r="B499" s="20" t="s">
        <v>375</v>
      </c>
      <c r="C499" s="20" t="s">
        <v>1564</v>
      </c>
      <c r="I499" s="25" t="s">
        <v>672</v>
      </c>
      <c r="J499" s="25" t="s">
        <v>1441</v>
      </c>
      <c r="K499" s="25" t="s">
        <v>67</v>
      </c>
      <c r="L499" s="25" t="s">
        <v>1025</v>
      </c>
      <c r="M499" s="20" t="s">
        <v>1451</v>
      </c>
      <c r="N499" s="20" t="s">
        <v>1452</v>
      </c>
      <c r="O499" s="20" t="s">
        <v>56</v>
      </c>
      <c r="P499" s="20" t="s">
        <v>52</v>
      </c>
      <c r="Q499" s="26"/>
      <c r="R499" s="26"/>
      <c r="S499" s="26"/>
      <c r="T499" s="22"/>
      <c r="U499" s="26"/>
      <c r="V499" s="26"/>
      <c r="W499" s="20"/>
      <c r="X499" s="20"/>
      <c r="Y499" s="20"/>
      <c r="Z499" s="20"/>
      <c r="AA499" s="20"/>
      <c r="AB499" s="20"/>
      <c r="AC499" s="20"/>
      <c r="AD499" s="20"/>
      <c r="AE499" s="20"/>
    </row>
    <row r="500">
      <c r="A500" s="21">
        <v>12.0</v>
      </c>
      <c r="B500" s="20" t="s">
        <v>375</v>
      </c>
      <c r="C500" s="20" t="s">
        <v>1564</v>
      </c>
      <c r="I500" s="25" t="s">
        <v>140</v>
      </c>
      <c r="J500" s="25" t="s">
        <v>1441</v>
      </c>
      <c r="K500" s="25" t="s">
        <v>71</v>
      </c>
      <c r="L500" s="25" t="s">
        <v>1921</v>
      </c>
      <c r="M500" s="20" t="s">
        <v>1507</v>
      </c>
      <c r="N500" s="20" t="s">
        <v>1508</v>
      </c>
      <c r="O500" s="20" t="s">
        <v>63</v>
      </c>
      <c r="P500" s="20" t="s">
        <v>52</v>
      </c>
      <c r="Q500" s="26"/>
      <c r="R500" s="26"/>
      <c r="S500" s="26"/>
      <c r="T500" s="20"/>
      <c r="U500" s="26"/>
      <c r="V500" s="26"/>
      <c r="W500" s="20"/>
      <c r="X500" s="20"/>
      <c r="Y500" s="20"/>
      <c r="Z500" s="20"/>
      <c r="AA500" s="20"/>
      <c r="AB500" s="20"/>
      <c r="AC500" s="20"/>
      <c r="AD500" s="20"/>
      <c r="AE500" s="20"/>
    </row>
    <row r="501">
      <c r="A501" s="21">
        <v>12.0</v>
      </c>
      <c r="B501" s="20" t="s">
        <v>375</v>
      </c>
      <c r="C501" s="20" t="s">
        <v>1564</v>
      </c>
      <c r="I501" s="25" t="s">
        <v>1454</v>
      </c>
      <c r="J501" s="25" t="s">
        <v>1441</v>
      </c>
      <c r="K501" s="25" t="s">
        <v>67</v>
      </c>
      <c r="L501" s="25" t="s">
        <v>1025</v>
      </c>
      <c r="M501" s="20" t="s">
        <v>1455</v>
      </c>
      <c r="N501" s="20" t="s">
        <v>1456</v>
      </c>
      <c r="O501" s="20" t="s">
        <v>56</v>
      </c>
      <c r="P501" s="20" t="s">
        <v>52</v>
      </c>
      <c r="Q501" s="26"/>
      <c r="R501" s="26"/>
      <c r="S501" s="26"/>
      <c r="T501" s="22"/>
      <c r="U501" s="26"/>
      <c r="V501" s="26"/>
      <c r="W501" s="20"/>
      <c r="X501" s="20"/>
      <c r="Y501" s="20"/>
      <c r="Z501" s="20"/>
      <c r="AA501" s="20"/>
      <c r="AB501" s="20"/>
      <c r="AC501" s="20"/>
      <c r="AD501" s="20"/>
      <c r="AE501" s="20"/>
    </row>
    <row r="502">
      <c r="A502" s="21">
        <v>12.0</v>
      </c>
      <c r="B502" s="20" t="s">
        <v>375</v>
      </c>
      <c r="C502" s="20" t="s">
        <v>1564</v>
      </c>
      <c r="I502" s="25" t="s">
        <v>1509</v>
      </c>
      <c r="J502" s="25" t="s">
        <v>1441</v>
      </c>
      <c r="K502" s="25" t="s">
        <v>71</v>
      </c>
      <c r="L502" s="25" t="s">
        <v>1921</v>
      </c>
      <c r="M502" s="20" t="s">
        <v>1510</v>
      </c>
      <c r="N502" s="20" t="s">
        <v>1511</v>
      </c>
      <c r="O502" s="20" t="s">
        <v>63</v>
      </c>
      <c r="P502" s="20" t="s">
        <v>52</v>
      </c>
      <c r="Q502" s="26"/>
      <c r="R502" s="26"/>
      <c r="S502" s="26"/>
      <c r="T502" s="20"/>
      <c r="U502" s="26"/>
      <c r="V502" s="26"/>
      <c r="W502" s="20"/>
      <c r="X502" s="20"/>
      <c r="Y502" s="20"/>
      <c r="Z502" s="20"/>
      <c r="AA502" s="20"/>
      <c r="AB502" s="20"/>
      <c r="AC502" s="20"/>
      <c r="AD502" s="20"/>
      <c r="AE502" s="20"/>
    </row>
    <row r="503">
      <c r="A503" s="21">
        <v>12.0</v>
      </c>
      <c r="B503" s="20" t="s">
        <v>375</v>
      </c>
      <c r="C503" s="20" t="s">
        <v>1564</v>
      </c>
      <c r="I503" s="25" t="s">
        <v>658</v>
      </c>
      <c r="J503" s="25" t="s">
        <v>1441</v>
      </c>
      <c r="K503" s="25" t="s">
        <v>67</v>
      </c>
      <c r="L503" s="25" t="s">
        <v>1025</v>
      </c>
      <c r="M503" s="20" t="s">
        <v>958</v>
      </c>
      <c r="N503" s="20" t="s">
        <v>1457</v>
      </c>
      <c r="O503" s="20" t="s">
        <v>56</v>
      </c>
      <c r="P503" s="20" t="s">
        <v>52</v>
      </c>
      <c r="Q503" s="26"/>
      <c r="R503" s="26"/>
      <c r="S503" s="26"/>
      <c r="T503" s="22"/>
      <c r="U503" s="26"/>
      <c r="V503" s="26"/>
      <c r="W503" s="20"/>
      <c r="X503" s="20"/>
      <c r="Y503" s="20"/>
      <c r="Z503" s="20"/>
      <c r="AA503" s="20"/>
      <c r="AB503" s="20"/>
      <c r="AC503" s="20"/>
      <c r="AD503" s="20"/>
      <c r="AE503" s="20"/>
    </row>
    <row r="504">
      <c r="A504" s="21">
        <v>12.0</v>
      </c>
      <c r="B504" s="20" t="s">
        <v>375</v>
      </c>
      <c r="C504" s="20" t="s">
        <v>1564</v>
      </c>
      <c r="I504" s="25" t="s">
        <v>1512</v>
      </c>
      <c r="J504" s="25" t="s">
        <v>1441</v>
      </c>
      <c r="K504" s="25" t="s">
        <v>71</v>
      </c>
      <c r="L504" s="25" t="s">
        <v>1921</v>
      </c>
      <c r="M504" s="20" t="s">
        <v>1513</v>
      </c>
      <c r="N504" s="20" t="s">
        <v>1514</v>
      </c>
      <c r="O504" s="20" t="s">
        <v>63</v>
      </c>
      <c r="P504" s="20" t="s">
        <v>52</v>
      </c>
      <c r="Q504" s="26"/>
      <c r="R504" s="26"/>
      <c r="S504" s="26"/>
      <c r="T504" s="20"/>
      <c r="U504" s="26"/>
      <c r="V504" s="26"/>
      <c r="W504" s="20"/>
      <c r="X504" s="20"/>
      <c r="Y504" s="20"/>
      <c r="Z504" s="20"/>
      <c r="AA504" s="20"/>
      <c r="AB504" s="20"/>
      <c r="AC504" s="20"/>
      <c r="AD504" s="20"/>
      <c r="AE504" s="20"/>
    </row>
    <row r="505">
      <c r="A505" s="21">
        <v>12.0</v>
      </c>
      <c r="B505" s="20" t="s">
        <v>375</v>
      </c>
      <c r="C505" s="20" t="s">
        <v>1564</v>
      </c>
      <c r="I505" s="25" t="s">
        <v>732</v>
      </c>
      <c r="J505" s="25" t="s">
        <v>1441</v>
      </c>
      <c r="K505" s="25" t="s">
        <v>67</v>
      </c>
      <c r="L505" s="25" t="s">
        <v>1025</v>
      </c>
      <c r="M505" s="20" t="s">
        <v>840</v>
      </c>
      <c r="N505" s="20" t="s">
        <v>1459</v>
      </c>
      <c r="O505" s="20" t="s">
        <v>56</v>
      </c>
      <c r="P505" s="20" t="s">
        <v>52</v>
      </c>
      <c r="Q505" s="26"/>
      <c r="R505" s="26"/>
      <c r="S505" s="26"/>
      <c r="T505" s="22"/>
      <c r="U505" s="26"/>
      <c r="V505" s="26"/>
      <c r="W505" s="20"/>
      <c r="X505" s="20"/>
      <c r="Y505" s="20"/>
      <c r="Z505" s="20"/>
      <c r="AA505" s="20"/>
      <c r="AB505" s="20"/>
      <c r="AC505" s="20"/>
      <c r="AD505" s="20"/>
      <c r="AE505" s="20"/>
    </row>
    <row r="506">
      <c r="A506" s="21">
        <v>12.0</v>
      </c>
      <c r="B506" s="20" t="s">
        <v>375</v>
      </c>
      <c r="C506" s="20" t="s">
        <v>1564</v>
      </c>
      <c r="I506" s="25" t="s">
        <v>535</v>
      </c>
      <c r="J506" s="25" t="s">
        <v>1441</v>
      </c>
      <c r="K506" s="25" t="s">
        <v>71</v>
      </c>
      <c r="L506" s="25" t="s">
        <v>1956</v>
      </c>
      <c r="M506" s="20" t="s">
        <v>1515</v>
      </c>
      <c r="N506" s="20" t="s">
        <v>1516</v>
      </c>
      <c r="O506" s="20" t="s">
        <v>63</v>
      </c>
      <c r="P506" s="20" t="s">
        <v>52</v>
      </c>
      <c r="Q506" s="26"/>
      <c r="R506" s="26"/>
      <c r="S506" s="26"/>
      <c r="T506" s="20"/>
      <c r="U506" s="26"/>
      <c r="V506" s="26"/>
      <c r="W506" s="20"/>
      <c r="X506" s="20"/>
      <c r="Y506" s="20"/>
      <c r="Z506" s="20"/>
      <c r="AA506" s="20"/>
      <c r="AB506" s="20"/>
      <c r="AC506" s="20"/>
      <c r="AD506" s="20"/>
      <c r="AE506" s="20"/>
    </row>
    <row r="507">
      <c r="A507" s="21">
        <v>12.0</v>
      </c>
      <c r="B507" s="20" t="s">
        <v>375</v>
      </c>
      <c r="C507" s="20" t="s">
        <v>1564</v>
      </c>
      <c r="I507" s="25" t="s">
        <v>704</v>
      </c>
      <c r="J507" s="25" t="s">
        <v>1441</v>
      </c>
      <c r="K507" s="25" t="s">
        <v>71</v>
      </c>
      <c r="L507" s="25" t="s">
        <v>910</v>
      </c>
      <c r="M507" s="20" t="s">
        <v>766</v>
      </c>
      <c r="N507" s="20" t="s">
        <v>767</v>
      </c>
      <c r="O507" s="20" t="s">
        <v>63</v>
      </c>
      <c r="P507" s="20" t="s">
        <v>52</v>
      </c>
      <c r="Q507" s="26"/>
      <c r="R507" s="26"/>
      <c r="S507" s="26"/>
      <c r="T507" s="20"/>
      <c r="U507" s="26"/>
      <c r="V507" s="26"/>
      <c r="W507" s="20"/>
      <c r="X507" s="20"/>
      <c r="Y507" s="20"/>
      <c r="Z507" s="20"/>
      <c r="AA507" s="20"/>
      <c r="AB507" s="20"/>
      <c r="AC507" s="20"/>
      <c r="AD507" s="20"/>
      <c r="AE507" s="20"/>
    </row>
    <row r="508">
      <c r="A508" s="21">
        <v>12.0</v>
      </c>
      <c r="B508" s="20" t="s">
        <v>375</v>
      </c>
      <c r="C508" s="20" t="s">
        <v>1564</v>
      </c>
      <c r="I508" s="25" t="s">
        <v>1460</v>
      </c>
      <c r="J508" s="25" t="s">
        <v>1441</v>
      </c>
      <c r="K508" s="25" t="s">
        <v>67</v>
      </c>
      <c r="L508" s="25" t="s">
        <v>1025</v>
      </c>
      <c r="M508" s="20" t="s">
        <v>1461</v>
      </c>
      <c r="N508" s="20" t="s">
        <v>1462</v>
      </c>
      <c r="O508" s="20" t="s">
        <v>56</v>
      </c>
      <c r="P508" s="20" t="s">
        <v>52</v>
      </c>
      <c r="Q508" s="26"/>
      <c r="R508" s="26"/>
      <c r="S508" s="26"/>
      <c r="T508" s="22"/>
      <c r="U508" s="26"/>
      <c r="V508" s="26"/>
      <c r="W508" s="20"/>
      <c r="X508" s="20"/>
      <c r="Y508" s="20"/>
      <c r="Z508" s="20"/>
      <c r="AA508" s="20"/>
      <c r="AB508" s="20"/>
      <c r="AC508" s="20"/>
      <c r="AD508" s="20"/>
      <c r="AE508" s="20"/>
    </row>
    <row r="509">
      <c r="A509" s="21">
        <v>12.0</v>
      </c>
      <c r="B509" s="20" t="s">
        <v>375</v>
      </c>
      <c r="C509" s="20" t="s">
        <v>1564</v>
      </c>
      <c r="I509" s="25" t="s">
        <v>530</v>
      </c>
      <c r="J509" s="25" t="s">
        <v>1441</v>
      </c>
      <c r="K509" s="25" t="s">
        <v>71</v>
      </c>
      <c r="L509" s="25" t="s">
        <v>702</v>
      </c>
      <c r="M509" s="20" t="s">
        <v>804</v>
      </c>
      <c r="N509" s="20" t="s">
        <v>1459</v>
      </c>
      <c r="O509" s="20" t="s">
        <v>56</v>
      </c>
      <c r="P509" s="20" t="s">
        <v>52</v>
      </c>
      <c r="Q509" s="26"/>
      <c r="R509" s="26"/>
      <c r="S509" s="26"/>
      <c r="T509" s="20"/>
      <c r="U509" s="26"/>
      <c r="V509" s="26"/>
      <c r="W509" s="20"/>
      <c r="X509" s="20"/>
      <c r="Y509" s="20"/>
      <c r="Z509" s="20"/>
      <c r="AA509" s="20"/>
      <c r="AB509" s="20"/>
      <c r="AC509" s="20"/>
      <c r="AD509" s="20"/>
      <c r="AE509" s="20"/>
    </row>
    <row r="510">
      <c r="A510" s="21">
        <v>12.0</v>
      </c>
      <c r="B510" s="20" t="s">
        <v>375</v>
      </c>
      <c r="C510" s="20" t="s">
        <v>1564</v>
      </c>
      <c r="I510" s="25" t="s">
        <v>541</v>
      </c>
      <c r="J510" s="25" t="s">
        <v>1441</v>
      </c>
      <c r="K510" s="25" t="s">
        <v>71</v>
      </c>
      <c r="L510" s="25" t="s">
        <v>673</v>
      </c>
      <c r="M510" s="20" t="s">
        <v>61</v>
      </c>
      <c r="N510" s="20" t="s">
        <v>806</v>
      </c>
      <c r="O510" s="20" t="s">
        <v>63</v>
      </c>
      <c r="P510" s="20" t="s">
        <v>52</v>
      </c>
      <c r="Q510" s="26"/>
      <c r="R510" s="26"/>
      <c r="S510" s="26"/>
      <c r="T510" s="20"/>
      <c r="U510" s="26"/>
      <c r="V510" s="26"/>
      <c r="W510" s="20"/>
      <c r="X510" s="20"/>
      <c r="Y510" s="20"/>
      <c r="Z510" s="20"/>
      <c r="AA510" s="20"/>
      <c r="AB510" s="20"/>
      <c r="AC510" s="20"/>
      <c r="AD510" s="20"/>
      <c r="AE510" s="20"/>
    </row>
    <row r="511">
      <c r="A511" s="21">
        <v>12.0</v>
      </c>
      <c r="B511" s="20" t="s">
        <v>375</v>
      </c>
      <c r="C511" s="20" t="s">
        <v>1564</v>
      </c>
      <c r="I511" s="25" t="s">
        <v>296</v>
      </c>
      <c r="J511" s="25" t="s">
        <v>1441</v>
      </c>
      <c r="K511" s="25" t="s">
        <v>71</v>
      </c>
      <c r="L511" s="25" t="s">
        <v>710</v>
      </c>
      <c r="M511" s="20" t="s">
        <v>812</v>
      </c>
      <c r="N511" s="20" t="s">
        <v>813</v>
      </c>
      <c r="O511" s="20" t="s">
        <v>63</v>
      </c>
      <c r="P511" s="20" t="s">
        <v>52</v>
      </c>
      <c r="Q511" s="26"/>
      <c r="R511" s="26"/>
      <c r="S511" s="26"/>
      <c r="T511" s="20"/>
      <c r="U511" s="26"/>
      <c r="V511" s="26"/>
      <c r="W511" s="20"/>
      <c r="X511" s="20"/>
      <c r="Y511" s="20"/>
      <c r="Z511" s="20"/>
      <c r="AA511" s="20"/>
      <c r="AB511" s="20"/>
      <c r="AC511" s="20"/>
      <c r="AD511" s="20"/>
      <c r="AE511" s="20"/>
    </row>
    <row r="512">
      <c r="A512" s="21">
        <v>13.0</v>
      </c>
      <c r="B512" s="22" t="s">
        <v>1520</v>
      </c>
      <c r="C512" s="22" t="s">
        <v>1564</v>
      </c>
      <c r="D512" s="23">
        <v>30.0</v>
      </c>
      <c r="E512" s="23">
        <v>2.0</v>
      </c>
      <c r="F512" s="23">
        <v>3.0</v>
      </c>
      <c r="G512" s="23">
        <v>25.0</v>
      </c>
      <c r="H512" s="24" t="s">
        <v>1978</v>
      </c>
      <c r="I512" s="25" t="s">
        <v>1522</v>
      </c>
      <c r="J512" s="25" t="s">
        <v>1521</v>
      </c>
      <c r="K512" s="25" t="s">
        <v>57</v>
      </c>
      <c r="L512" s="25" t="s">
        <v>1979</v>
      </c>
      <c r="M512" s="25" t="s">
        <v>1523</v>
      </c>
      <c r="N512" s="25" t="s">
        <v>1524</v>
      </c>
      <c r="O512" s="25" t="s">
        <v>63</v>
      </c>
      <c r="P512" s="25"/>
      <c r="Q512" s="26"/>
      <c r="R512" s="26"/>
      <c r="S512" s="26"/>
      <c r="T512" s="20"/>
      <c r="U512" s="26"/>
      <c r="V512" s="26"/>
      <c r="W512" s="20"/>
      <c r="X512" s="20"/>
      <c r="Y512" s="20"/>
      <c r="Z512" s="20"/>
      <c r="AA512" s="20"/>
      <c r="AB512" s="20"/>
      <c r="AC512" s="20"/>
      <c r="AD512" s="20"/>
      <c r="AE512" s="20"/>
    </row>
    <row r="513">
      <c r="A513" s="21">
        <v>13.0</v>
      </c>
      <c r="B513" s="22" t="s">
        <v>1520</v>
      </c>
      <c r="C513" s="22" t="s">
        <v>1564</v>
      </c>
      <c r="I513" s="25" t="s">
        <v>1526</v>
      </c>
      <c r="J513" s="25" t="s">
        <v>1525</v>
      </c>
      <c r="K513" s="25" t="s">
        <v>57</v>
      </c>
      <c r="L513" s="25" t="s">
        <v>1980</v>
      </c>
      <c r="M513" s="25" t="s">
        <v>1527</v>
      </c>
      <c r="N513" s="25" t="s">
        <v>1528</v>
      </c>
      <c r="O513" s="25" t="s">
        <v>63</v>
      </c>
      <c r="P513" s="25"/>
      <c r="Q513" s="26"/>
      <c r="R513" s="26"/>
      <c r="S513" s="26"/>
      <c r="T513" s="20"/>
      <c r="U513" s="26"/>
      <c r="V513" s="26"/>
      <c r="W513" s="20"/>
      <c r="X513" s="20"/>
      <c r="Y513" s="20"/>
      <c r="Z513" s="20"/>
      <c r="AA513" s="20"/>
      <c r="AB513" s="20"/>
      <c r="AC513" s="20"/>
      <c r="AD513" s="20"/>
      <c r="AE513" s="20"/>
    </row>
    <row r="514">
      <c r="A514" s="21">
        <v>13.0</v>
      </c>
      <c r="B514" s="22" t="s">
        <v>1520</v>
      </c>
      <c r="C514" s="22" t="s">
        <v>1564</v>
      </c>
      <c r="I514" s="25" t="s">
        <v>1534</v>
      </c>
      <c r="J514" s="25" t="s">
        <v>1525</v>
      </c>
      <c r="K514" s="25" t="s">
        <v>67</v>
      </c>
      <c r="L514" s="25" t="s">
        <v>1984</v>
      </c>
      <c r="M514" s="25" t="s">
        <v>1535</v>
      </c>
      <c r="N514" s="25" t="s">
        <v>1536</v>
      </c>
      <c r="O514" s="25" t="s">
        <v>63</v>
      </c>
      <c r="P514" s="25"/>
      <c r="Q514" s="26"/>
      <c r="R514" s="26"/>
      <c r="S514" s="26"/>
      <c r="T514" s="20"/>
      <c r="U514" s="26"/>
      <c r="V514" s="26"/>
      <c r="W514" s="20"/>
      <c r="X514" s="20"/>
      <c r="Y514" s="20"/>
      <c r="Z514" s="20"/>
      <c r="AA514" s="20"/>
      <c r="AB514" s="20"/>
      <c r="AC514" s="20"/>
      <c r="AD514" s="20"/>
      <c r="AE514" s="20"/>
    </row>
    <row r="515">
      <c r="A515" s="21">
        <v>13.0</v>
      </c>
      <c r="B515" s="22" t="s">
        <v>1520</v>
      </c>
      <c r="C515" s="22" t="s">
        <v>1564</v>
      </c>
      <c r="I515" s="25" t="s">
        <v>1530</v>
      </c>
      <c r="J515" s="25" t="s">
        <v>1521</v>
      </c>
      <c r="K515" s="25" t="s">
        <v>67</v>
      </c>
      <c r="L515" s="25" t="s">
        <v>1987</v>
      </c>
      <c r="M515" s="25" t="s">
        <v>1531</v>
      </c>
      <c r="N515" s="25" t="s">
        <v>1532</v>
      </c>
      <c r="O515" s="25" t="s">
        <v>63</v>
      </c>
      <c r="P515" s="25"/>
      <c r="Q515" s="26"/>
      <c r="R515" s="26"/>
      <c r="S515" s="26"/>
      <c r="T515" s="20"/>
      <c r="U515" s="26"/>
      <c r="V515" s="26"/>
      <c r="W515" s="20"/>
      <c r="X515" s="20"/>
      <c r="Y515" s="20"/>
      <c r="Z515" s="20"/>
      <c r="AA515" s="20"/>
      <c r="AB515" s="20"/>
      <c r="AC515" s="20"/>
      <c r="AD515" s="20"/>
      <c r="AE515" s="20"/>
    </row>
    <row r="516">
      <c r="A516" s="21">
        <v>13.0</v>
      </c>
      <c r="B516" s="22" t="s">
        <v>1520</v>
      </c>
      <c r="C516" s="22" t="s">
        <v>1564</v>
      </c>
      <c r="I516" s="25" t="s">
        <v>733</v>
      </c>
      <c r="J516" s="25" t="s">
        <v>1525</v>
      </c>
      <c r="K516" s="25" t="s">
        <v>67</v>
      </c>
      <c r="L516" s="25" t="s">
        <v>1988</v>
      </c>
      <c r="M516" s="25" t="s">
        <v>61</v>
      </c>
      <c r="N516" s="25" t="s">
        <v>1529</v>
      </c>
      <c r="O516" s="25" t="s">
        <v>56</v>
      </c>
      <c r="P516" s="25"/>
      <c r="Q516" s="26"/>
      <c r="R516" s="26"/>
      <c r="S516" s="26"/>
      <c r="T516" s="20"/>
      <c r="U516" s="26"/>
      <c r="V516" s="26"/>
      <c r="W516" s="20"/>
      <c r="X516" s="20"/>
      <c r="Y516" s="20"/>
      <c r="Z516" s="20"/>
      <c r="AA516" s="20"/>
      <c r="AB516" s="20"/>
      <c r="AC516" s="20"/>
      <c r="AD516" s="20"/>
      <c r="AE516" s="20"/>
    </row>
    <row r="517">
      <c r="A517" s="21">
        <v>13.0</v>
      </c>
      <c r="B517" s="22" t="s">
        <v>1520</v>
      </c>
      <c r="C517" s="22" t="s">
        <v>1564</v>
      </c>
      <c r="I517" s="25" t="s">
        <v>1439</v>
      </c>
      <c r="J517" s="25" t="s">
        <v>1521</v>
      </c>
      <c r="K517" s="25" t="s">
        <v>71</v>
      </c>
      <c r="L517" s="25" t="s">
        <v>1992</v>
      </c>
      <c r="M517" s="25" t="s">
        <v>61</v>
      </c>
      <c r="N517" s="25" t="s">
        <v>1537</v>
      </c>
      <c r="O517" s="25" t="s">
        <v>63</v>
      </c>
      <c r="P517" s="25"/>
      <c r="Q517" s="26"/>
      <c r="R517" s="26"/>
      <c r="S517" s="26"/>
      <c r="T517" s="20"/>
      <c r="U517" s="26"/>
      <c r="V517" s="26"/>
      <c r="W517" s="20"/>
      <c r="X517" s="20"/>
      <c r="Y517" s="20"/>
      <c r="Z517" s="20"/>
      <c r="AA517" s="20"/>
      <c r="AB517" s="20"/>
      <c r="AC517" s="20"/>
      <c r="AD517" s="20"/>
      <c r="AE517" s="20"/>
    </row>
    <row r="518">
      <c r="A518" s="21">
        <v>13.0</v>
      </c>
      <c r="B518" s="22" t="s">
        <v>1520</v>
      </c>
      <c r="C518" s="22" t="s">
        <v>1564</v>
      </c>
      <c r="I518" s="25" t="s">
        <v>1538</v>
      </c>
      <c r="J518" s="25" t="s">
        <v>1521</v>
      </c>
      <c r="K518" s="25" t="s">
        <v>71</v>
      </c>
      <c r="L518" s="25" t="s">
        <v>1996</v>
      </c>
      <c r="M518" s="25" t="s">
        <v>61</v>
      </c>
      <c r="N518" s="25" t="s">
        <v>1539</v>
      </c>
      <c r="O518" s="25" t="s">
        <v>63</v>
      </c>
      <c r="P518" s="25"/>
      <c r="Q518" s="26"/>
      <c r="R518" s="26"/>
      <c r="S518" s="26"/>
      <c r="T518" s="20"/>
      <c r="U518" s="26"/>
      <c r="V518" s="26"/>
      <c r="W518" s="20"/>
      <c r="X518" s="20"/>
      <c r="Y518" s="20"/>
      <c r="Z518" s="20"/>
      <c r="AA518" s="20"/>
      <c r="AB518" s="20"/>
      <c r="AC518" s="20"/>
      <c r="AD518" s="20"/>
      <c r="AE518" s="20"/>
    </row>
    <row r="519">
      <c r="A519" s="21">
        <v>13.0</v>
      </c>
      <c r="B519" s="22" t="s">
        <v>1520</v>
      </c>
      <c r="C519" s="22" t="s">
        <v>1564</v>
      </c>
      <c r="I519" s="25" t="s">
        <v>1540</v>
      </c>
      <c r="J519" s="25" t="s">
        <v>1521</v>
      </c>
      <c r="K519" s="25" t="s">
        <v>71</v>
      </c>
      <c r="L519" s="25" t="s">
        <v>1992</v>
      </c>
      <c r="M519" s="25" t="s">
        <v>61</v>
      </c>
      <c r="N519" s="25" t="s">
        <v>1541</v>
      </c>
      <c r="O519" s="25" t="s">
        <v>63</v>
      </c>
      <c r="P519" s="25"/>
      <c r="Q519" s="26"/>
      <c r="R519" s="26"/>
      <c r="S519" s="26"/>
      <c r="T519" s="20"/>
      <c r="U519" s="26"/>
      <c r="V519" s="26"/>
      <c r="W519" s="20"/>
      <c r="X519" s="20"/>
      <c r="Y519" s="20"/>
      <c r="Z519" s="20"/>
      <c r="AA519" s="20"/>
      <c r="AB519" s="20"/>
      <c r="AC519" s="20"/>
      <c r="AD519" s="20"/>
      <c r="AE519" s="20"/>
    </row>
    <row r="520">
      <c r="A520" s="21">
        <v>13.0</v>
      </c>
      <c r="B520" s="22" t="s">
        <v>1520</v>
      </c>
      <c r="C520" s="22" t="s">
        <v>1564</v>
      </c>
      <c r="I520" s="25" t="s">
        <v>1584</v>
      </c>
      <c r="J520" s="25" t="s">
        <v>1525</v>
      </c>
      <c r="K520" s="25" t="s">
        <v>71</v>
      </c>
      <c r="L520" s="25" t="s">
        <v>1992</v>
      </c>
      <c r="M520" s="25" t="s">
        <v>61</v>
      </c>
      <c r="N520" s="25" t="s">
        <v>1585</v>
      </c>
      <c r="O520" s="25" t="s">
        <v>63</v>
      </c>
      <c r="P520" s="25"/>
      <c r="Q520" s="26"/>
      <c r="R520" s="26"/>
      <c r="S520" s="26"/>
      <c r="T520" s="20"/>
      <c r="U520" s="26"/>
      <c r="V520" s="26"/>
      <c r="W520" s="20"/>
      <c r="X520" s="20"/>
      <c r="Y520" s="20"/>
      <c r="Z520" s="20"/>
      <c r="AA520" s="20"/>
      <c r="AB520" s="20"/>
      <c r="AC520" s="20"/>
      <c r="AD520" s="20"/>
      <c r="AE520" s="20"/>
    </row>
    <row r="521">
      <c r="A521" s="21">
        <v>13.0</v>
      </c>
      <c r="B521" s="22" t="s">
        <v>1520</v>
      </c>
      <c r="C521" s="22" t="s">
        <v>1564</v>
      </c>
      <c r="I521" s="25" t="s">
        <v>1542</v>
      </c>
      <c r="J521" s="25" t="s">
        <v>1521</v>
      </c>
      <c r="K521" s="25" t="s">
        <v>71</v>
      </c>
      <c r="L521" s="25" t="s">
        <v>1992</v>
      </c>
      <c r="M521" s="25" t="s">
        <v>1543</v>
      </c>
      <c r="N521" s="25" t="s">
        <v>1544</v>
      </c>
      <c r="O521" s="25" t="s">
        <v>63</v>
      </c>
      <c r="P521" s="25"/>
      <c r="Q521" s="26"/>
      <c r="R521" s="26"/>
      <c r="S521" s="26"/>
      <c r="T521" s="20"/>
      <c r="U521" s="26"/>
      <c r="V521" s="26"/>
      <c r="W521" s="20"/>
      <c r="X521" s="20"/>
      <c r="Y521" s="20"/>
      <c r="Z521" s="20"/>
      <c r="AA521" s="20"/>
      <c r="AB521" s="20"/>
      <c r="AC521" s="20"/>
      <c r="AD521" s="20"/>
      <c r="AE521" s="20"/>
    </row>
    <row r="522">
      <c r="A522" s="21">
        <v>13.0</v>
      </c>
      <c r="B522" s="22" t="s">
        <v>1520</v>
      </c>
      <c r="C522" s="22" t="s">
        <v>1564</v>
      </c>
      <c r="I522" s="25" t="s">
        <v>1545</v>
      </c>
      <c r="J522" s="25" t="s">
        <v>1521</v>
      </c>
      <c r="K522" s="25" t="s">
        <v>71</v>
      </c>
      <c r="L522" s="25" t="s">
        <v>1992</v>
      </c>
      <c r="M522" s="25" t="s">
        <v>1546</v>
      </c>
      <c r="N522" s="25" t="s">
        <v>1547</v>
      </c>
      <c r="O522" s="25" t="s">
        <v>63</v>
      </c>
      <c r="P522" s="25"/>
      <c r="Q522" s="26"/>
      <c r="R522" s="26"/>
      <c r="S522" s="26"/>
      <c r="T522" s="20"/>
      <c r="U522" s="26"/>
      <c r="V522" s="26"/>
      <c r="W522" s="20"/>
      <c r="X522" s="20"/>
      <c r="Y522" s="20"/>
      <c r="Z522" s="20"/>
      <c r="AA522" s="20"/>
      <c r="AB522" s="20"/>
      <c r="AC522" s="20"/>
      <c r="AD522" s="20"/>
      <c r="AE522" s="20"/>
    </row>
    <row r="523">
      <c r="A523" s="21">
        <v>13.0</v>
      </c>
      <c r="B523" s="22" t="s">
        <v>1520</v>
      </c>
      <c r="C523" s="22" t="s">
        <v>1564</v>
      </c>
      <c r="I523" s="25" t="s">
        <v>1548</v>
      </c>
      <c r="J523" s="25" t="s">
        <v>1521</v>
      </c>
      <c r="K523" s="25" t="s">
        <v>71</v>
      </c>
      <c r="L523" s="25" t="s">
        <v>1992</v>
      </c>
      <c r="M523" s="25" t="s">
        <v>1549</v>
      </c>
      <c r="N523" s="25" t="s">
        <v>1550</v>
      </c>
      <c r="O523" s="25" t="s">
        <v>63</v>
      </c>
      <c r="P523" s="25"/>
      <c r="Q523" s="26"/>
      <c r="R523" s="26"/>
      <c r="S523" s="26"/>
      <c r="T523" s="20"/>
      <c r="U523" s="26"/>
      <c r="V523" s="26"/>
      <c r="W523" s="20"/>
      <c r="X523" s="20"/>
      <c r="Y523" s="20"/>
      <c r="Z523" s="20"/>
      <c r="AA523" s="20"/>
      <c r="AB523" s="20"/>
      <c r="AC523" s="20"/>
      <c r="AD523" s="20"/>
      <c r="AE523" s="20"/>
    </row>
    <row r="524">
      <c r="A524" s="21">
        <v>13.0</v>
      </c>
      <c r="B524" s="22" t="s">
        <v>1520</v>
      </c>
      <c r="C524" s="22" t="s">
        <v>1564</v>
      </c>
      <c r="I524" s="25" t="s">
        <v>1551</v>
      </c>
      <c r="J524" s="25" t="s">
        <v>1521</v>
      </c>
      <c r="K524" s="25" t="s">
        <v>71</v>
      </c>
      <c r="L524" s="25" t="s">
        <v>1992</v>
      </c>
      <c r="M524" s="25" t="s">
        <v>1552</v>
      </c>
      <c r="N524" s="25" t="s">
        <v>1553</v>
      </c>
      <c r="O524" s="25" t="s">
        <v>63</v>
      </c>
      <c r="P524" s="25"/>
      <c r="Q524" s="26"/>
      <c r="R524" s="26"/>
      <c r="S524" s="26"/>
      <c r="T524" s="20"/>
      <c r="U524" s="26"/>
      <c r="V524" s="26"/>
      <c r="W524" s="20"/>
      <c r="X524" s="20"/>
      <c r="Y524" s="20"/>
      <c r="Z524" s="20"/>
      <c r="AA524" s="20"/>
      <c r="AB524" s="20"/>
      <c r="AC524" s="20"/>
      <c r="AD524" s="20"/>
      <c r="AE524" s="20"/>
    </row>
    <row r="525">
      <c r="A525" s="21">
        <v>13.0</v>
      </c>
      <c r="B525" s="22" t="s">
        <v>1520</v>
      </c>
      <c r="C525" s="22" t="s">
        <v>1564</v>
      </c>
      <c r="I525" s="25" t="s">
        <v>1424</v>
      </c>
      <c r="J525" s="25" t="s">
        <v>1521</v>
      </c>
      <c r="K525" s="25" t="s">
        <v>71</v>
      </c>
      <c r="L525" s="25" t="s">
        <v>1992</v>
      </c>
      <c r="M525" s="25" t="s">
        <v>61</v>
      </c>
      <c r="N525" s="25" t="s">
        <v>1554</v>
      </c>
      <c r="O525" s="25" t="s">
        <v>63</v>
      </c>
      <c r="P525" s="25"/>
      <c r="Q525" s="26"/>
      <c r="R525" s="26"/>
      <c r="S525" s="26"/>
      <c r="T525" s="20"/>
      <c r="U525" s="26"/>
      <c r="V525" s="26"/>
      <c r="W525" s="20"/>
      <c r="X525" s="20"/>
      <c r="Y525" s="20"/>
      <c r="Z525" s="20"/>
      <c r="AA525" s="20"/>
      <c r="AB525" s="20"/>
      <c r="AC525" s="20"/>
      <c r="AD525" s="20"/>
      <c r="AE525" s="20"/>
    </row>
    <row r="526">
      <c r="A526" s="21">
        <v>13.0</v>
      </c>
      <c r="B526" s="22" t="s">
        <v>1520</v>
      </c>
      <c r="C526" s="22" t="s">
        <v>1564</v>
      </c>
      <c r="I526" s="25" t="s">
        <v>1555</v>
      </c>
      <c r="J526" s="25" t="s">
        <v>1521</v>
      </c>
      <c r="K526" s="25" t="s">
        <v>71</v>
      </c>
      <c r="L526" s="25" t="s">
        <v>1992</v>
      </c>
      <c r="M526" s="25" t="s">
        <v>61</v>
      </c>
      <c r="N526" s="25" t="s">
        <v>1556</v>
      </c>
      <c r="O526" s="25" t="s">
        <v>63</v>
      </c>
      <c r="P526" s="25"/>
      <c r="Q526" s="26"/>
      <c r="R526" s="26"/>
      <c r="S526" s="26"/>
      <c r="T526" s="20"/>
      <c r="U526" s="26"/>
      <c r="V526" s="26"/>
      <c r="W526" s="20"/>
      <c r="X526" s="20"/>
      <c r="Y526" s="20"/>
      <c r="Z526" s="20"/>
      <c r="AA526" s="20"/>
      <c r="AB526" s="20"/>
      <c r="AC526" s="20"/>
      <c r="AD526" s="20"/>
      <c r="AE526" s="20"/>
    </row>
    <row r="527">
      <c r="A527" s="21">
        <v>13.0</v>
      </c>
      <c r="B527" s="22" t="s">
        <v>1520</v>
      </c>
      <c r="C527" s="22" t="s">
        <v>1564</v>
      </c>
      <c r="I527" s="25" t="s">
        <v>1557</v>
      </c>
      <c r="J527" s="25" t="s">
        <v>1521</v>
      </c>
      <c r="K527" s="25" t="s">
        <v>71</v>
      </c>
      <c r="L527" s="25" t="s">
        <v>1992</v>
      </c>
      <c r="M527" s="25" t="s">
        <v>1558</v>
      </c>
      <c r="N527" s="25" t="s">
        <v>1547</v>
      </c>
      <c r="O527" s="25" t="s">
        <v>63</v>
      </c>
      <c r="P527" s="25"/>
      <c r="Q527" s="26"/>
      <c r="R527" s="26"/>
      <c r="S527" s="26"/>
      <c r="T527" s="20"/>
      <c r="U527" s="26"/>
      <c r="V527" s="26"/>
      <c r="W527" s="20"/>
      <c r="X527" s="20"/>
      <c r="Y527" s="20"/>
      <c r="Z527" s="20"/>
      <c r="AA527" s="20"/>
      <c r="AB527" s="20"/>
      <c r="AC527" s="20"/>
      <c r="AD527" s="20"/>
      <c r="AE527" s="20"/>
    </row>
    <row r="528">
      <c r="A528" s="21">
        <v>13.0</v>
      </c>
      <c r="B528" s="22" t="s">
        <v>1520</v>
      </c>
      <c r="C528" s="22" t="s">
        <v>1564</v>
      </c>
      <c r="I528" s="25" t="s">
        <v>1417</v>
      </c>
      <c r="J528" s="25" t="s">
        <v>1525</v>
      </c>
      <c r="K528" s="25" t="s">
        <v>71</v>
      </c>
      <c r="L528" s="25" t="s">
        <v>1996</v>
      </c>
      <c r="M528" s="25" t="s">
        <v>1586</v>
      </c>
      <c r="N528" s="25" t="s">
        <v>1528</v>
      </c>
      <c r="O528" s="25" t="s">
        <v>63</v>
      </c>
      <c r="P528" s="25"/>
      <c r="Q528" s="26"/>
      <c r="R528" s="26"/>
      <c r="S528" s="26"/>
      <c r="T528" s="20"/>
      <c r="U528" s="26"/>
      <c r="V528" s="26"/>
      <c r="W528" s="20"/>
      <c r="X528" s="20"/>
      <c r="Y528" s="20"/>
      <c r="Z528" s="20"/>
      <c r="AA528" s="20"/>
      <c r="AB528" s="20"/>
      <c r="AC528" s="20"/>
      <c r="AD528" s="20"/>
      <c r="AE528" s="20"/>
    </row>
    <row r="529">
      <c r="A529" s="21">
        <v>13.0</v>
      </c>
      <c r="B529" s="22" t="s">
        <v>1520</v>
      </c>
      <c r="C529" s="22" t="s">
        <v>1564</v>
      </c>
      <c r="I529" s="25" t="s">
        <v>1300</v>
      </c>
      <c r="J529" s="25" t="s">
        <v>1525</v>
      </c>
      <c r="K529" s="25" t="s">
        <v>71</v>
      </c>
      <c r="L529" s="25" t="s">
        <v>1996</v>
      </c>
      <c r="M529" s="25" t="s">
        <v>1587</v>
      </c>
      <c r="N529" s="25" t="s">
        <v>1588</v>
      </c>
      <c r="O529" s="25" t="s">
        <v>63</v>
      </c>
      <c r="P529" s="25"/>
      <c r="Q529" s="26"/>
      <c r="R529" s="26"/>
      <c r="S529" s="26"/>
      <c r="T529" s="20"/>
      <c r="U529" s="26"/>
      <c r="V529" s="26"/>
      <c r="W529" s="20"/>
      <c r="X529" s="20"/>
      <c r="Y529" s="20"/>
      <c r="Z529" s="20"/>
      <c r="AA529" s="20"/>
      <c r="AB529" s="20"/>
      <c r="AC529" s="20"/>
      <c r="AD529" s="20"/>
      <c r="AE529" s="20"/>
    </row>
    <row r="530">
      <c r="A530" s="21">
        <v>13.0</v>
      </c>
      <c r="B530" s="22" t="s">
        <v>1520</v>
      </c>
      <c r="C530" s="22" t="s">
        <v>1564</v>
      </c>
      <c r="I530" s="25" t="s">
        <v>1559</v>
      </c>
      <c r="J530" s="25" t="s">
        <v>1521</v>
      </c>
      <c r="K530" s="25" t="s">
        <v>71</v>
      </c>
      <c r="L530" s="25" t="s">
        <v>1992</v>
      </c>
      <c r="M530" s="25" t="s">
        <v>61</v>
      </c>
      <c r="N530" s="25" t="s">
        <v>1560</v>
      </c>
      <c r="O530" s="25" t="s">
        <v>63</v>
      </c>
      <c r="P530" s="25"/>
      <c r="Q530" s="26"/>
      <c r="R530" s="26"/>
      <c r="S530" s="26"/>
      <c r="T530" s="20"/>
      <c r="U530" s="26"/>
      <c r="V530" s="26"/>
      <c r="W530" s="20"/>
      <c r="X530" s="20"/>
      <c r="Y530" s="20"/>
      <c r="Z530" s="20"/>
      <c r="AA530" s="20"/>
      <c r="AB530" s="20"/>
      <c r="AC530" s="20"/>
      <c r="AD530" s="20"/>
      <c r="AE530" s="20"/>
    </row>
    <row r="531">
      <c r="A531" s="21">
        <v>13.0</v>
      </c>
      <c r="B531" s="22" t="s">
        <v>1520</v>
      </c>
      <c r="C531" s="22" t="s">
        <v>1564</v>
      </c>
      <c r="I531" s="25" t="s">
        <v>1561</v>
      </c>
      <c r="J531" s="25" t="s">
        <v>1521</v>
      </c>
      <c r="K531" s="25" t="s">
        <v>71</v>
      </c>
      <c r="L531" s="25" t="s">
        <v>1992</v>
      </c>
      <c r="M531" s="25" t="s">
        <v>1562</v>
      </c>
      <c r="N531" s="25" t="s">
        <v>1547</v>
      </c>
      <c r="O531" s="25" t="s">
        <v>63</v>
      </c>
      <c r="P531" s="25"/>
      <c r="Q531" s="26"/>
      <c r="R531" s="26"/>
      <c r="S531" s="26"/>
      <c r="T531" s="20"/>
      <c r="U531" s="26"/>
      <c r="V531" s="26"/>
      <c r="W531" s="20"/>
      <c r="X531" s="20"/>
      <c r="Y531" s="20"/>
      <c r="Z531" s="20"/>
      <c r="AA531" s="20"/>
      <c r="AB531" s="20"/>
      <c r="AC531" s="20"/>
      <c r="AD531" s="20"/>
      <c r="AE531" s="20"/>
    </row>
    <row r="532">
      <c r="A532" s="21">
        <v>13.0</v>
      </c>
      <c r="B532" s="22" t="s">
        <v>1520</v>
      </c>
      <c r="C532" s="22" t="s">
        <v>1564</v>
      </c>
      <c r="I532" s="25" t="s">
        <v>1563</v>
      </c>
      <c r="J532" s="25" t="s">
        <v>1521</v>
      </c>
      <c r="K532" s="25" t="s">
        <v>71</v>
      </c>
      <c r="L532" s="25" t="s">
        <v>1992</v>
      </c>
      <c r="M532" s="25" t="s">
        <v>1565</v>
      </c>
      <c r="N532" s="25" t="s">
        <v>1566</v>
      </c>
      <c r="O532" s="25" t="s">
        <v>63</v>
      </c>
      <c r="P532" s="25"/>
      <c r="Q532" s="26"/>
      <c r="R532" s="26"/>
      <c r="S532" s="26"/>
      <c r="T532" s="20"/>
      <c r="U532" s="26"/>
      <c r="V532" s="26"/>
      <c r="W532" s="20"/>
      <c r="X532" s="20"/>
      <c r="Y532" s="20"/>
      <c r="Z532" s="20"/>
      <c r="AA532" s="20"/>
      <c r="AB532" s="20"/>
      <c r="AC532" s="20"/>
      <c r="AD532" s="20"/>
      <c r="AE532" s="20"/>
    </row>
    <row r="533">
      <c r="A533" s="21">
        <v>13.0</v>
      </c>
      <c r="B533" s="22" t="s">
        <v>1520</v>
      </c>
      <c r="C533" s="22" t="s">
        <v>1564</v>
      </c>
      <c r="I533" s="25" t="s">
        <v>1567</v>
      </c>
      <c r="J533" s="25" t="s">
        <v>1521</v>
      </c>
      <c r="K533" s="25" t="s">
        <v>71</v>
      </c>
      <c r="L533" s="25" t="s">
        <v>1996</v>
      </c>
      <c r="M533" s="25" t="s">
        <v>1568</v>
      </c>
      <c r="N533" s="25" t="s">
        <v>1569</v>
      </c>
      <c r="O533" s="25" t="s">
        <v>63</v>
      </c>
      <c r="P533" s="25"/>
      <c r="Q533" s="26"/>
      <c r="R533" s="26"/>
      <c r="S533" s="26"/>
      <c r="T533" s="20"/>
      <c r="U533" s="26"/>
      <c r="V533" s="26"/>
      <c r="W533" s="20"/>
      <c r="X533" s="20"/>
      <c r="Y533" s="20"/>
      <c r="Z533" s="20"/>
      <c r="AA533" s="20"/>
      <c r="AB533" s="20"/>
      <c r="AC533" s="20"/>
      <c r="AD533" s="20"/>
      <c r="AE533" s="20"/>
    </row>
    <row r="534">
      <c r="A534" s="21">
        <v>13.0</v>
      </c>
      <c r="B534" s="20" t="s">
        <v>1520</v>
      </c>
      <c r="C534" s="20" t="s">
        <v>1564</v>
      </c>
      <c r="I534" s="25" t="s">
        <v>1262</v>
      </c>
      <c r="J534" s="25" t="s">
        <v>1525</v>
      </c>
      <c r="K534" s="25" t="s">
        <v>71</v>
      </c>
      <c r="L534" s="25" t="s">
        <v>2045</v>
      </c>
      <c r="M534" s="20" t="s">
        <v>1263</v>
      </c>
      <c r="N534" s="20" t="s">
        <v>1590</v>
      </c>
      <c r="O534" s="20" t="s">
        <v>63</v>
      </c>
      <c r="P534" s="20" t="s">
        <v>52</v>
      </c>
      <c r="Q534" s="26"/>
      <c r="R534" s="26"/>
      <c r="S534" s="26"/>
      <c r="T534" s="20"/>
      <c r="U534" s="26"/>
      <c r="V534" s="26"/>
      <c r="W534" s="20"/>
      <c r="X534" s="20"/>
      <c r="Y534" s="20"/>
      <c r="Z534" s="20"/>
      <c r="AA534" s="20"/>
      <c r="AB534" s="20"/>
      <c r="AC534" s="20"/>
      <c r="AD534" s="20"/>
      <c r="AE534" s="20"/>
    </row>
    <row r="535">
      <c r="A535" s="21">
        <v>13.0</v>
      </c>
      <c r="B535" s="20" t="s">
        <v>1520</v>
      </c>
      <c r="C535" s="20" t="s">
        <v>1564</v>
      </c>
      <c r="I535" s="25" t="s">
        <v>1297</v>
      </c>
      <c r="J535" s="25" t="s">
        <v>1521</v>
      </c>
      <c r="K535" s="25" t="s">
        <v>71</v>
      </c>
      <c r="L535" s="25" t="s">
        <v>2052</v>
      </c>
      <c r="M535" s="20" t="s">
        <v>1571</v>
      </c>
      <c r="N535" s="20" t="s">
        <v>1572</v>
      </c>
      <c r="O535" s="20" t="s">
        <v>63</v>
      </c>
      <c r="P535" s="20" t="s">
        <v>52</v>
      </c>
      <c r="Q535" s="26"/>
      <c r="R535" s="26"/>
      <c r="S535" s="26"/>
      <c r="T535" s="20"/>
      <c r="U535" s="26"/>
      <c r="V535" s="26"/>
      <c r="W535" s="20"/>
      <c r="X535" s="20"/>
      <c r="Y535" s="20"/>
      <c r="Z535" s="20"/>
      <c r="AA535" s="20"/>
      <c r="AB535" s="20"/>
      <c r="AC535" s="20"/>
      <c r="AD535" s="20"/>
      <c r="AE535" s="20"/>
    </row>
    <row r="536">
      <c r="A536" s="21">
        <v>13.0</v>
      </c>
      <c r="B536" s="20" t="s">
        <v>1520</v>
      </c>
      <c r="C536" s="20" t="s">
        <v>1564</v>
      </c>
      <c r="I536" s="25" t="s">
        <v>1574</v>
      </c>
      <c r="J536" s="25" t="s">
        <v>1521</v>
      </c>
      <c r="K536" s="25" t="s">
        <v>71</v>
      </c>
      <c r="L536" s="25" t="s">
        <v>2055</v>
      </c>
      <c r="M536" s="20" t="s">
        <v>61</v>
      </c>
      <c r="N536" s="20" t="s">
        <v>1575</v>
      </c>
      <c r="O536" s="20" t="s">
        <v>63</v>
      </c>
      <c r="P536" s="20" t="s">
        <v>52</v>
      </c>
      <c r="Q536" s="26"/>
      <c r="R536" s="26"/>
      <c r="S536" s="26"/>
      <c r="T536" s="20"/>
      <c r="U536" s="26"/>
      <c r="V536" s="26"/>
      <c r="W536" s="20"/>
      <c r="X536" s="20"/>
      <c r="Y536" s="20"/>
      <c r="Z536" s="20"/>
      <c r="AA536" s="20"/>
      <c r="AB536" s="20"/>
      <c r="AC536" s="20"/>
      <c r="AD536" s="20"/>
      <c r="AE536" s="20"/>
    </row>
    <row r="537">
      <c r="A537" s="21">
        <v>13.0</v>
      </c>
      <c r="B537" s="20" t="s">
        <v>1520</v>
      </c>
      <c r="C537" s="20" t="s">
        <v>1564</v>
      </c>
      <c r="I537" s="25" t="s">
        <v>1432</v>
      </c>
      <c r="J537" s="25" t="s">
        <v>1525</v>
      </c>
      <c r="K537" s="25" t="s">
        <v>71</v>
      </c>
      <c r="L537" s="25" t="s">
        <v>2057</v>
      </c>
      <c r="M537" s="20" t="s">
        <v>1592</v>
      </c>
      <c r="N537" s="20" t="s">
        <v>1593</v>
      </c>
      <c r="O537" s="20" t="s">
        <v>63</v>
      </c>
      <c r="P537" s="20" t="s">
        <v>52</v>
      </c>
      <c r="Q537" s="26"/>
      <c r="R537" s="26"/>
      <c r="S537" s="26"/>
      <c r="T537" s="20"/>
      <c r="U537" s="26"/>
      <c r="V537" s="26"/>
      <c r="W537" s="20"/>
      <c r="X537" s="20"/>
      <c r="Y537" s="20"/>
      <c r="Z537" s="20"/>
      <c r="AA537" s="20"/>
      <c r="AB537" s="20"/>
      <c r="AC537" s="20"/>
      <c r="AD537" s="20"/>
      <c r="AE537" s="20"/>
    </row>
    <row r="538">
      <c r="A538" s="21">
        <v>13.0</v>
      </c>
      <c r="B538" s="20" t="s">
        <v>1520</v>
      </c>
      <c r="C538" s="20" t="s">
        <v>1564</v>
      </c>
      <c r="I538" s="25" t="s">
        <v>1434</v>
      </c>
      <c r="J538" s="25" t="s">
        <v>1521</v>
      </c>
      <c r="K538" s="25" t="s">
        <v>71</v>
      </c>
      <c r="L538" s="25" t="s">
        <v>2061</v>
      </c>
      <c r="M538" s="20" t="s">
        <v>1576</v>
      </c>
      <c r="N538" s="20" t="s">
        <v>1577</v>
      </c>
      <c r="O538" s="20" t="s">
        <v>63</v>
      </c>
      <c r="P538" s="20" t="s">
        <v>52</v>
      </c>
      <c r="Q538" s="26"/>
      <c r="R538" s="26"/>
      <c r="S538" s="26"/>
      <c r="T538" s="20"/>
      <c r="U538" s="26"/>
      <c r="V538" s="26"/>
      <c r="W538" s="20"/>
      <c r="X538" s="20"/>
      <c r="Y538" s="20"/>
      <c r="Z538" s="20"/>
      <c r="AA538" s="20"/>
      <c r="AB538" s="20"/>
      <c r="AC538" s="20"/>
      <c r="AD538" s="20"/>
      <c r="AE538" s="20"/>
    </row>
    <row r="539">
      <c r="A539" s="21">
        <v>13.0</v>
      </c>
      <c r="B539" s="20" t="s">
        <v>1520</v>
      </c>
      <c r="C539" s="20" t="s">
        <v>1564</v>
      </c>
      <c r="I539" s="25" t="s">
        <v>1423</v>
      </c>
      <c r="J539" s="25" t="s">
        <v>1525</v>
      </c>
      <c r="K539" s="25" t="s">
        <v>71</v>
      </c>
      <c r="L539" s="25" t="s">
        <v>2067</v>
      </c>
      <c r="M539" s="20" t="s">
        <v>1594</v>
      </c>
      <c r="N539" s="20" t="s">
        <v>1595</v>
      </c>
      <c r="O539" s="20" t="s">
        <v>63</v>
      </c>
      <c r="P539" s="20" t="s">
        <v>52</v>
      </c>
      <c r="Q539" s="26"/>
      <c r="R539" s="26"/>
      <c r="S539" s="26"/>
      <c r="T539" s="20"/>
      <c r="U539" s="26"/>
      <c r="V539" s="26"/>
      <c r="W539" s="20"/>
      <c r="X539" s="20"/>
      <c r="Y539" s="20"/>
      <c r="Z539" s="20"/>
      <c r="AA539" s="20"/>
      <c r="AB539" s="20"/>
      <c r="AC539" s="20"/>
      <c r="AD539" s="20"/>
      <c r="AE539" s="20"/>
    </row>
    <row r="540">
      <c r="A540" s="21">
        <v>13.0</v>
      </c>
      <c r="B540" s="20" t="s">
        <v>1520</v>
      </c>
      <c r="C540" s="20" t="s">
        <v>1564</v>
      </c>
      <c r="I540" s="25" t="s">
        <v>1437</v>
      </c>
      <c r="J540" s="25" t="s">
        <v>1521</v>
      </c>
      <c r="K540" s="25" t="s">
        <v>71</v>
      </c>
      <c r="L540" s="25" t="s">
        <v>2071</v>
      </c>
      <c r="M540" s="20" t="s">
        <v>1579</v>
      </c>
      <c r="N540" s="20" t="s">
        <v>1580</v>
      </c>
      <c r="O540" s="20" t="s">
        <v>63</v>
      </c>
      <c r="P540" s="20" t="s">
        <v>52</v>
      </c>
      <c r="Q540" s="26"/>
      <c r="R540" s="26"/>
      <c r="S540" s="26"/>
      <c r="T540" s="20"/>
      <c r="U540" s="26"/>
      <c r="V540" s="26"/>
      <c r="W540" s="20"/>
      <c r="X540" s="20"/>
      <c r="Y540" s="20"/>
      <c r="Z540" s="20"/>
      <c r="AA540" s="20"/>
      <c r="AB540" s="20"/>
      <c r="AC540" s="20"/>
      <c r="AD540" s="20"/>
      <c r="AE540" s="20"/>
    </row>
    <row r="541">
      <c r="A541" s="21">
        <v>13.0</v>
      </c>
      <c r="B541" s="20" t="s">
        <v>1520</v>
      </c>
      <c r="C541" s="20" t="s">
        <v>1564</v>
      </c>
      <c r="I541" s="25" t="s">
        <v>1426</v>
      </c>
      <c r="J541" s="25" t="s">
        <v>1521</v>
      </c>
      <c r="K541" s="25" t="s">
        <v>71</v>
      </c>
      <c r="L541" s="25" t="s">
        <v>2075</v>
      </c>
      <c r="M541" s="20" t="s">
        <v>1581</v>
      </c>
      <c r="N541" s="20" t="s">
        <v>1582</v>
      </c>
      <c r="O541" s="20" t="s">
        <v>63</v>
      </c>
      <c r="P541" s="20" t="s">
        <v>52</v>
      </c>
      <c r="Q541" s="26"/>
      <c r="R541" s="26"/>
      <c r="S541" s="26"/>
      <c r="T541" s="20"/>
      <c r="U541" s="26"/>
      <c r="V541" s="26"/>
      <c r="W541" s="20"/>
      <c r="X541" s="20"/>
      <c r="Y541" s="20"/>
      <c r="Z541" s="20"/>
      <c r="AA541" s="20"/>
      <c r="AB541" s="20"/>
      <c r="AC541" s="20"/>
      <c r="AD541" s="20"/>
      <c r="AE541" s="20"/>
    </row>
    <row r="542">
      <c r="A542" s="21">
        <v>14.0</v>
      </c>
      <c r="B542" s="22" t="s">
        <v>1597</v>
      </c>
      <c r="C542" s="22" t="s">
        <v>1564</v>
      </c>
      <c r="D542" s="23">
        <v>30.0</v>
      </c>
      <c r="E542" s="23">
        <v>3.0</v>
      </c>
      <c r="F542" s="23">
        <v>4.0</v>
      </c>
      <c r="G542" s="23">
        <v>23.0</v>
      </c>
      <c r="H542" s="24" t="s">
        <v>2080</v>
      </c>
      <c r="I542" s="25" t="s">
        <v>85</v>
      </c>
      <c r="J542" s="25" t="s">
        <v>1598</v>
      </c>
      <c r="K542" s="25" t="s">
        <v>57</v>
      </c>
      <c r="L542" s="25" t="s">
        <v>2082</v>
      </c>
      <c r="M542" s="25" t="s">
        <v>1602</v>
      </c>
      <c r="N542" s="25" t="s">
        <v>1603</v>
      </c>
      <c r="O542" s="25" t="s">
        <v>63</v>
      </c>
      <c r="P542" s="25"/>
      <c r="Q542" s="26"/>
      <c r="R542" s="26"/>
      <c r="S542" s="26"/>
      <c r="T542" s="20"/>
      <c r="U542" s="26"/>
      <c r="V542" s="26"/>
      <c r="W542" s="20"/>
      <c r="X542" s="20"/>
      <c r="Y542" s="20"/>
      <c r="Z542" s="20"/>
      <c r="AA542" s="20"/>
      <c r="AB542" s="20"/>
      <c r="AC542" s="20"/>
      <c r="AD542" s="20"/>
      <c r="AE542" s="20"/>
    </row>
    <row r="543">
      <c r="A543" s="21">
        <v>14.0</v>
      </c>
      <c r="B543" s="22" t="s">
        <v>1597</v>
      </c>
      <c r="C543" s="22" t="s">
        <v>1564</v>
      </c>
      <c r="I543" s="25" t="s">
        <v>1605</v>
      </c>
      <c r="J543" s="25" t="s">
        <v>1598</v>
      </c>
      <c r="K543" s="25" t="s">
        <v>67</v>
      </c>
      <c r="L543" s="25" t="s">
        <v>1133</v>
      </c>
      <c r="M543" s="25" t="s">
        <v>1606</v>
      </c>
      <c r="N543" s="25" t="s">
        <v>1607</v>
      </c>
      <c r="O543" s="25" t="s">
        <v>56</v>
      </c>
      <c r="P543" s="25" t="s">
        <v>52</v>
      </c>
      <c r="Q543" s="26"/>
      <c r="R543" s="26"/>
      <c r="S543" s="26"/>
      <c r="T543" s="22"/>
      <c r="U543" s="26"/>
      <c r="V543" s="26"/>
      <c r="W543" s="20"/>
      <c r="X543" s="20"/>
      <c r="Y543" s="20"/>
      <c r="Z543" s="20"/>
      <c r="AA543" s="20"/>
      <c r="AB543" s="20"/>
      <c r="AC543" s="20"/>
      <c r="AD543" s="20"/>
      <c r="AE543" s="20"/>
    </row>
    <row r="544">
      <c r="A544" s="21">
        <v>14.0</v>
      </c>
      <c r="B544" s="22" t="s">
        <v>1597</v>
      </c>
      <c r="C544" s="22" t="s">
        <v>1564</v>
      </c>
      <c r="I544" s="25" t="s">
        <v>1437</v>
      </c>
      <c r="J544" s="25" t="s">
        <v>1598</v>
      </c>
      <c r="K544" s="25" t="s">
        <v>57</v>
      </c>
      <c r="L544" s="25" t="s">
        <v>2088</v>
      </c>
      <c r="M544" s="25" t="s">
        <v>61</v>
      </c>
      <c r="N544" s="25" t="s">
        <v>1599</v>
      </c>
      <c r="O544" s="25" t="s">
        <v>56</v>
      </c>
      <c r="P544" s="25"/>
      <c r="Q544" s="26"/>
      <c r="R544" s="26"/>
      <c r="S544" s="26"/>
      <c r="T544" s="20"/>
      <c r="U544" s="26"/>
      <c r="V544" s="26"/>
      <c r="W544" s="20"/>
      <c r="X544" s="20"/>
      <c r="Y544" s="20"/>
      <c r="Z544" s="20"/>
      <c r="AA544" s="20"/>
      <c r="AB544" s="20"/>
      <c r="AC544" s="20"/>
      <c r="AD544" s="20"/>
      <c r="AE544" s="20"/>
    </row>
    <row r="545">
      <c r="A545" s="21">
        <v>14.0</v>
      </c>
      <c r="B545" s="22" t="s">
        <v>1597</v>
      </c>
      <c r="C545" s="22" t="s">
        <v>1564</v>
      </c>
      <c r="I545" s="25" t="s">
        <v>1426</v>
      </c>
      <c r="J545" s="25" t="s">
        <v>1600</v>
      </c>
      <c r="K545" s="25" t="s">
        <v>57</v>
      </c>
      <c r="L545" s="25" t="s">
        <v>2092</v>
      </c>
      <c r="M545" s="25" t="s">
        <v>1581</v>
      </c>
      <c r="N545" s="25" t="s">
        <v>1601</v>
      </c>
      <c r="O545" s="25" t="s">
        <v>63</v>
      </c>
      <c r="P545" s="25"/>
      <c r="Q545" s="26"/>
      <c r="R545" s="26"/>
      <c r="S545" s="26"/>
      <c r="T545" s="20"/>
      <c r="U545" s="26"/>
      <c r="V545" s="26"/>
      <c r="W545" s="20"/>
      <c r="X545" s="20"/>
      <c r="Y545" s="20"/>
      <c r="Z545" s="20"/>
      <c r="AA545" s="20"/>
      <c r="AB545" s="20"/>
      <c r="AC545" s="20"/>
      <c r="AD545" s="20"/>
      <c r="AE545" s="20"/>
    </row>
    <row r="546">
      <c r="A546" s="21">
        <v>14.0</v>
      </c>
      <c r="B546" s="22" t="s">
        <v>1597</v>
      </c>
      <c r="C546" s="22" t="s">
        <v>1564</v>
      </c>
      <c r="I546" s="25" t="s">
        <v>1574</v>
      </c>
      <c r="J546" s="25" t="s">
        <v>1598</v>
      </c>
      <c r="K546" s="25" t="s">
        <v>67</v>
      </c>
      <c r="L546" s="25" t="s">
        <v>2097</v>
      </c>
      <c r="M546" s="25" t="s">
        <v>1615</v>
      </c>
      <c r="N546" s="25" t="s">
        <v>1616</v>
      </c>
      <c r="O546" s="25" t="s">
        <v>63</v>
      </c>
      <c r="P546" s="25"/>
      <c r="Q546" s="26"/>
      <c r="R546" s="26"/>
      <c r="S546" s="26"/>
      <c r="T546" s="20"/>
      <c r="U546" s="26"/>
      <c r="V546" s="26"/>
      <c r="W546" s="20"/>
      <c r="X546" s="20"/>
      <c r="Y546" s="20"/>
      <c r="Z546" s="20"/>
      <c r="AA546" s="20"/>
      <c r="AB546" s="20"/>
      <c r="AC546" s="20"/>
      <c r="AD546" s="20"/>
      <c r="AE546" s="20"/>
    </row>
    <row r="547">
      <c r="A547" s="21">
        <v>14.0</v>
      </c>
      <c r="B547" s="22" t="s">
        <v>1597</v>
      </c>
      <c r="C547" s="22" t="s">
        <v>1564</v>
      </c>
      <c r="I547" s="25" t="s">
        <v>728</v>
      </c>
      <c r="J547" s="25" t="s">
        <v>1598</v>
      </c>
      <c r="K547" s="25" t="s">
        <v>71</v>
      </c>
      <c r="L547" s="25" t="s">
        <v>2101</v>
      </c>
      <c r="M547" s="25" t="s">
        <v>922</v>
      </c>
      <c r="N547" s="25" t="s">
        <v>1639</v>
      </c>
      <c r="O547" s="25" t="s">
        <v>63</v>
      </c>
      <c r="P547" s="25"/>
      <c r="Q547" s="26"/>
      <c r="R547" s="26"/>
      <c r="S547" s="26"/>
      <c r="T547" s="20"/>
      <c r="U547" s="26"/>
      <c r="V547" s="26"/>
      <c r="W547" s="20"/>
      <c r="X547" s="20"/>
      <c r="Y547" s="20"/>
      <c r="Z547" s="20"/>
      <c r="AA547" s="20"/>
      <c r="AB547" s="20"/>
      <c r="AC547" s="20"/>
      <c r="AD547" s="20"/>
      <c r="AE547" s="20"/>
    </row>
    <row r="548">
      <c r="A548" s="21">
        <v>14.0</v>
      </c>
      <c r="B548" s="22" t="s">
        <v>1597</v>
      </c>
      <c r="C548" s="22" t="s">
        <v>1564</v>
      </c>
      <c r="I548" s="25" t="s">
        <v>623</v>
      </c>
      <c r="J548" s="25" t="s">
        <v>1598</v>
      </c>
      <c r="K548" s="25" t="s">
        <v>71</v>
      </c>
      <c r="L548" s="25" t="s">
        <v>2104</v>
      </c>
      <c r="M548" s="25" t="s">
        <v>1640</v>
      </c>
      <c r="N548" s="25" t="s">
        <v>1642</v>
      </c>
      <c r="O548" s="25" t="s">
        <v>63</v>
      </c>
      <c r="P548" s="25"/>
      <c r="Q548" s="26"/>
      <c r="R548" s="26"/>
      <c r="S548" s="26"/>
      <c r="T548" s="20"/>
      <c r="U548" s="26"/>
      <c r="V548" s="26"/>
      <c r="W548" s="20"/>
      <c r="X548" s="20"/>
      <c r="Y548" s="20"/>
      <c r="Z548" s="20"/>
      <c r="AA548" s="20"/>
      <c r="AB548" s="20"/>
      <c r="AC548" s="20"/>
      <c r="AD548" s="20"/>
      <c r="AE548" s="20"/>
    </row>
    <row r="549">
      <c r="A549" s="21">
        <v>14.0</v>
      </c>
      <c r="B549" s="22" t="s">
        <v>1597</v>
      </c>
      <c r="C549" s="22" t="s">
        <v>1564</v>
      </c>
      <c r="I549" s="25" t="s">
        <v>1643</v>
      </c>
      <c r="J549" s="25" t="s">
        <v>1598</v>
      </c>
      <c r="K549" s="25" t="s">
        <v>71</v>
      </c>
      <c r="L549" s="25" t="s">
        <v>2101</v>
      </c>
      <c r="M549" s="25" t="s">
        <v>1644</v>
      </c>
      <c r="N549" s="25" t="s">
        <v>1645</v>
      </c>
      <c r="O549" s="25" t="s">
        <v>63</v>
      </c>
      <c r="P549" s="25"/>
      <c r="Q549" s="26"/>
      <c r="R549" s="26"/>
      <c r="S549" s="26"/>
      <c r="T549" s="20"/>
      <c r="U549" s="26"/>
      <c r="V549" s="26"/>
      <c r="W549" s="20"/>
      <c r="X549" s="20"/>
      <c r="Y549" s="20"/>
      <c r="Z549" s="20"/>
      <c r="AA549" s="20"/>
      <c r="AB549" s="20"/>
      <c r="AC549" s="20"/>
      <c r="AD549" s="20"/>
      <c r="AE549" s="20"/>
    </row>
    <row r="550">
      <c r="A550" s="21">
        <v>14.0</v>
      </c>
      <c r="B550" s="22" t="s">
        <v>1597</v>
      </c>
      <c r="C550" s="22" t="s">
        <v>1564</v>
      </c>
      <c r="I550" s="25" t="s">
        <v>744</v>
      </c>
      <c r="J550" s="25" t="s">
        <v>1600</v>
      </c>
      <c r="K550" s="25" t="s">
        <v>71</v>
      </c>
      <c r="L550" s="25" t="s">
        <v>2104</v>
      </c>
      <c r="M550" s="25" t="s">
        <v>1621</v>
      </c>
      <c r="N550" s="25" t="s">
        <v>1622</v>
      </c>
      <c r="O550" s="25" t="s">
        <v>63</v>
      </c>
      <c r="P550" s="25"/>
      <c r="Q550" s="26"/>
      <c r="R550" s="26"/>
      <c r="S550" s="26"/>
      <c r="T550" s="20"/>
      <c r="U550" s="26"/>
      <c r="V550" s="26"/>
      <c r="W550" s="20"/>
      <c r="X550" s="20"/>
      <c r="Y550" s="20"/>
      <c r="Z550" s="20"/>
      <c r="AA550" s="20"/>
      <c r="AB550" s="20"/>
      <c r="AC550" s="20"/>
      <c r="AD550" s="20"/>
      <c r="AE550" s="20"/>
    </row>
    <row r="551">
      <c r="A551" s="21">
        <v>14.0</v>
      </c>
      <c r="B551" s="22" t="s">
        <v>1597</v>
      </c>
      <c r="C551" s="22" t="s">
        <v>1564</v>
      </c>
      <c r="I551" s="25" t="s">
        <v>733</v>
      </c>
      <c r="J551" s="25" t="s">
        <v>1600</v>
      </c>
      <c r="K551" s="25" t="s">
        <v>71</v>
      </c>
      <c r="L551" s="25" t="s">
        <v>2104</v>
      </c>
      <c r="M551" s="25" t="s">
        <v>61</v>
      </c>
      <c r="N551" s="25" t="s">
        <v>1623</v>
      </c>
      <c r="O551" s="25" t="s">
        <v>63</v>
      </c>
      <c r="P551" s="25"/>
      <c r="Q551" s="26"/>
      <c r="R551" s="26"/>
      <c r="S551" s="26"/>
      <c r="T551" s="20"/>
      <c r="U551" s="26"/>
      <c r="V551" s="26"/>
      <c r="W551" s="20"/>
      <c r="X551" s="20"/>
      <c r="Y551" s="20"/>
      <c r="Z551" s="20"/>
      <c r="AA551" s="20"/>
      <c r="AB551" s="20"/>
      <c r="AC551" s="20"/>
      <c r="AD551" s="20"/>
      <c r="AE551" s="20"/>
    </row>
    <row r="552">
      <c r="A552" s="21">
        <v>14.0</v>
      </c>
      <c r="B552" s="22" t="s">
        <v>1597</v>
      </c>
      <c r="C552" s="22" t="s">
        <v>1564</v>
      </c>
      <c r="I552" s="25" t="s">
        <v>1624</v>
      </c>
      <c r="J552" s="25" t="s">
        <v>1600</v>
      </c>
      <c r="K552" s="25" t="s">
        <v>71</v>
      </c>
      <c r="L552" s="25" t="s">
        <v>2104</v>
      </c>
      <c r="M552" s="25" t="s">
        <v>61</v>
      </c>
      <c r="N552" s="25" t="s">
        <v>1625</v>
      </c>
      <c r="O552" s="25" t="s">
        <v>63</v>
      </c>
      <c r="P552" s="25"/>
      <c r="Q552" s="26"/>
      <c r="R552" s="26"/>
      <c r="S552" s="26"/>
      <c r="T552" s="20"/>
      <c r="U552" s="26"/>
      <c r="V552" s="26"/>
      <c r="W552" s="20"/>
      <c r="X552" s="20"/>
      <c r="Y552" s="20"/>
      <c r="Z552" s="20"/>
      <c r="AA552" s="20"/>
      <c r="AB552" s="20"/>
      <c r="AC552" s="20"/>
      <c r="AD552" s="20"/>
      <c r="AE552" s="20"/>
    </row>
    <row r="553">
      <c r="A553" s="21">
        <v>14.0</v>
      </c>
      <c r="B553" s="22" t="s">
        <v>1597</v>
      </c>
      <c r="C553" s="22" t="s">
        <v>1564</v>
      </c>
      <c r="I553" s="25" t="s">
        <v>1439</v>
      </c>
      <c r="J553" s="25" t="s">
        <v>1598</v>
      </c>
      <c r="K553" s="25" t="s">
        <v>71</v>
      </c>
      <c r="L553" s="25" t="s">
        <v>2104</v>
      </c>
      <c r="M553" s="25" t="s">
        <v>1646</v>
      </c>
      <c r="N553" s="25" t="s">
        <v>1648</v>
      </c>
      <c r="O553" s="25" t="s">
        <v>63</v>
      </c>
      <c r="P553" s="25"/>
      <c r="Q553" s="26"/>
      <c r="R553" s="26"/>
      <c r="S553" s="26"/>
      <c r="T553" s="20"/>
      <c r="U553" s="26"/>
      <c r="V553" s="26"/>
      <c r="W553" s="20"/>
      <c r="X553" s="20"/>
      <c r="Y553" s="20"/>
      <c r="Z553" s="20"/>
      <c r="AA553" s="20"/>
      <c r="AB553" s="20"/>
      <c r="AC553" s="20"/>
      <c r="AD553" s="20"/>
      <c r="AE553" s="20"/>
    </row>
    <row r="554">
      <c r="A554" s="21">
        <v>14.0</v>
      </c>
      <c r="B554" s="22" t="s">
        <v>1597</v>
      </c>
      <c r="C554" s="22" t="s">
        <v>1564</v>
      </c>
      <c r="I554" s="25" t="s">
        <v>724</v>
      </c>
      <c r="J554" s="25" t="s">
        <v>1600</v>
      </c>
      <c r="K554" s="25" t="s">
        <v>71</v>
      </c>
      <c r="L554" s="25" t="s">
        <v>2104</v>
      </c>
      <c r="M554" s="25" t="s">
        <v>1626</v>
      </c>
      <c r="N554" s="25" t="s">
        <v>1627</v>
      </c>
      <c r="O554" s="25" t="s">
        <v>63</v>
      </c>
      <c r="P554" s="25"/>
      <c r="Q554" s="26"/>
      <c r="R554" s="26"/>
      <c r="S554" s="26"/>
      <c r="T554" s="20"/>
      <c r="U554" s="26"/>
      <c r="V554" s="26"/>
      <c r="W554" s="20"/>
      <c r="X554" s="20"/>
      <c r="Y554" s="20"/>
      <c r="Z554" s="20"/>
      <c r="AA554" s="20"/>
      <c r="AB554" s="20"/>
      <c r="AC554" s="20"/>
      <c r="AD554" s="20"/>
      <c r="AE554" s="20"/>
    </row>
    <row r="555">
      <c r="A555" s="21">
        <v>14.0</v>
      </c>
      <c r="B555" s="22" t="s">
        <v>1597</v>
      </c>
      <c r="C555" s="22" t="s">
        <v>1564</v>
      </c>
      <c r="I555" s="25" t="s">
        <v>1649</v>
      </c>
      <c r="J555" s="25" t="s">
        <v>1598</v>
      </c>
      <c r="K555" s="25" t="s">
        <v>71</v>
      </c>
      <c r="L555" s="25" t="s">
        <v>2119</v>
      </c>
      <c r="M555" s="25" t="s">
        <v>1650</v>
      </c>
      <c r="N555" s="25" t="s">
        <v>1651</v>
      </c>
      <c r="O555" s="25" t="s">
        <v>63</v>
      </c>
      <c r="P555" s="25"/>
      <c r="Q555" s="26"/>
      <c r="R555" s="26"/>
      <c r="S555" s="26"/>
      <c r="T555" s="20"/>
      <c r="U555" s="26"/>
      <c r="V555" s="26"/>
      <c r="W555" s="20"/>
      <c r="X555" s="20"/>
      <c r="Y555" s="20"/>
      <c r="Z555" s="20"/>
      <c r="AA555" s="20"/>
      <c r="AB555" s="20"/>
      <c r="AC555" s="20"/>
      <c r="AD555" s="20"/>
      <c r="AE555" s="20"/>
    </row>
    <row r="556">
      <c r="A556" s="21">
        <v>14.0</v>
      </c>
      <c r="B556" s="22" t="s">
        <v>1597</v>
      </c>
      <c r="C556" s="22" t="s">
        <v>1564</v>
      </c>
      <c r="I556" s="25" t="s">
        <v>1032</v>
      </c>
      <c r="J556" s="25" t="s">
        <v>1598</v>
      </c>
      <c r="K556" s="25" t="s">
        <v>71</v>
      </c>
      <c r="L556" s="25" t="s">
        <v>2104</v>
      </c>
      <c r="M556" s="25" t="s">
        <v>1652</v>
      </c>
      <c r="N556" s="25" t="s">
        <v>1653</v>
      </c>
      <c r="O556" s="25" t="s">
        <v>63</v>
      </c>
      <c r="P556" s="25"/>
      <c r="Q556" s="26"/>
      <c r="R556" s="26"/>
      <c r="S556" s="26"/>
      <c r="T556" s="20"/>
      <c r="U556" s="26"/>
      <c r="V556" s="26"/>
      <c r="W556" s="20"/>
      <c r="X556" s="20"/>
      <c r="Y556" s="20"/>
      <c r="Z556" s="20"/>
      <c r="AA556" s="20"/>
      <c r="AB556" s="20"/>
      <c r="AC556" s="20"/>
      <c r="AD556" s="20"/>
      <c r="AE556" s="20"/>
    </row>
    <row r="557">
      <c r="A557" s="21">
        <v>14.0</v>
      </c>
      <c r="B557" s="22" t="s">
        <v>1597</v>
      </c>
      <c r="C557" s="22" t="s">
        <v>1564</v>
      </c>
      <c r="I557" s="25" t="s">
        <v>1370</v>
      </c>
      <c r="J557" s="25" t="s">
        <v>1600</v>
      </c>
      <c r="K557" s="25" t="s">
        <v>71</v>
      </c>
      <c r="L557" s="25" t="s">
        <v>2125</v>
      </c>
      <c r="M557" s="25" t="s">
        <v>1628</v>
      </c>
      <c r="N557" s="25" t="s">
        <v>1629</v>
      </c>
      <c r="O557" s="25" t="s">
        <v>63</v>
      </c>
      <c r="P557" s="25"/>
      <c r="Q557" s="26"/>
      <c r="R557" s="26"/>
      <c r="S557" s="26"/>
      <c r="T557" s="20"/>
      <c r="U557" s="26"/>
      <c r="V557" s="26"/>
      <c r="W557" s="20"/>
      <c r="X557" s="20"/>
      <c r="Y557" s="20"/>
      <c r="Z557" s="20"/>
      <c r="AA557" s="20"/>
      <c r="AB557" s="20"/>
      <c r="AC557" s="20"/>
      <c r="AD557" s="20"/>
      <c r="AE557" s="20"/>
    </row>
    <row r="558">
      <c r="A558" s="21">
        <v>14.0</v>
      </c>
      <c r="B558" s="22" t="s">
        <v>1597</v>
      </c>
      <c r="C558" s="22" t="s">
        <v>1564</v>
      </c>
      <c r="I558" s="25" t="s">
        <v>1297</v>
      </c>
      <c r="J558" s="25" t="s">
        <v>1598</v>
      </c>
      <c r="K558" s="25" t="s">
        <v>71</v>
      </c>
      <c r="L558" s="25" t="s">
        <v>2104</v>
      </c>
      <c r="M558" s="25" t="s">
        <v>1571</v>
      </c>
      <c r="N558" s="25" t="s">
        <v>1617</v>
      </c>
      <c r="O558" s="25" t="s">
        <v>56</v>
      </c>
      <c r="P558" s="25"/>
      <c r="Q558" s="26"/>
      <c r="R558" s="26"/>
      <c r="S558" s="26"/>
      <c r="T558" s="20"/>
      <c r="U558" s="26"/>
      <c r="V558" s="26"/>
      <c r="W558" s="20"/>
      <c r="X558" s="20"/>
      <c r="Y558" s="20"/>
      <c r="Z558" s="20"/>
      <c r="AA558" s="20"/>
      <c r="AB558" s="20"/>
      <c r="AC558" s="20"/>
      <c r="AD558" s="20"/>
      <c r="AE558" s="20"/>
    </row>
    <row r="559">
      <c r="A559" s="21">
        <v>14.0</v>
      </c>
      <c r="B559" s="22" t="s">
        <v>1597</v>
      </c>
      <c r="C559" s="22" t="s">
        <v>1564</v>
      </c>
      <c r="I559" s="25" t="s">
        <v>1434</v>
      </c>
      <c r="J559" s="25" t="s">
        <v>1600</v>
      </c>
      <c r="K559" s="25" t="s">
        <v>71</v>
      </c>
      <c r="L559" s="25" t="s">
        <v>2104</v>
      </c>
      <c r="M559" s="25" t="s">
        <v>61</v>
      </c>
      <c r="N559" s="25" t="s">
        <v>1630</v>
      </c>
      <c r="O559" s="25" t="s">
        <v>63</v>
      </c>
      <c r="P559" s="25"/>
      <c r="Q559" s="26"/>
      <c r="R559" s="26"/>
      <c r="S559" s="26"/>
      <c r="T559" s="20"/>
      <c r="U559" s="26"/>
      <c r="V559" s="26"/>
      <c r="W559" s="20"/>
      <c r="X559" s="20"/>
      <c r="Y559" s="20"/>
      <c r="Z559" s="20"/>
      <c r="AA559" s="20"/>
      <c r="AB559" s="20"/>
      <c r="AC559" s="20"/>
      <c r="AD559" s="20"/>
      <c r="AE559" s="20"/>
    </row>
    <row r="560">
      <c r="A560" s="21">
        <v>14.0</v>
      </c>
      <c r="B560" s="22" t="s">
        <v>1597</v>
      </c>
      <c r="C560" s="22" t="s">
        <v>1564</v>
      </c>
      <c r="I560" s="25" t="s">
        <v>1631</v>
      </c>
      <c r="J560" s="25" t="s">
        <v>1600</v>
      </c>
      <c r="K560" s="25" t="s">
        <v>71</v>
      </c>
      <c r="L560" s="25" t="s">
        <v>2127</v>
      </c>
      <c r="M560" s="25" t="s">
        <v>61</v>
      </c>
      <c r="N560" s="25" t="s">
        <v>1632</v>
      </c>
      <c r="O560" s="25" t="s">
        <v>63</v>
      </c>
      <c r="P560" s="25"/>
      <c r="Q560" s="26"/>
      <c r="R560" s="26"/>
      <c r="S560" s="26"/>
      <c r="T560" s="20"/>
      <c r="U560" s="26"/>
      <c r="V560" s="26"/>
      <c r="W560" s="20"/>
      <c r="X560" s="20"/>
      <c r="Y560" s="20"/>
      <c r="Z560" s="20"/>
      <c r="AA560" s="20"/>
      <c r="AB560" s="20"/>
      <c r="AC560" s="20"/>
      <c r="AD560" s="20"/>
      <c r="AE560" s="20"/>
    </row>
    <row r="561">
      <c r="A561" s="21">
        <v>14.0</v>
      </c>
      <c r="B561" s="22" t="s">
        <v>1597</v>
      </c>
      <c r="C561" s="22" t="s">
        <v>1564</v>
      </c>
      <c r="I561" s="25" t="s">
        <v>1540</v>
      </c>
      <c r="J561" s="25" t="s">
        <v>1600</v>
      </c>
      <c r="K561" s="25" t="s">
        <v>71</v>
      </c>
      <c r="L561" s="25" t="s">
        <v>2104</v>
      </c>
      <c r="M561" s="25" t="s">
        <v>1634</v>
      </c>
      <c r="N561" s="25" t="s">
        <v>1635</v>
      </c>
      <c r="O561" s="25" t="s">
        <v>63</v>
      </c>
      <c r="P561" s="25"/>
      <c r="Q561" s="26"/>
      <c r="R561" s="26"/>
      <c r="S561" s="26"/>
      <c r="T561" s="20"/>
      <c r="U561" s="26"/>
      <c r="V561" s="26"/>
      <c r="W561" s="20"/>
      <c r="X561" s="20"/>
      <c r="Y561" s="20"/>
      <c r="Z561" s="20"/>
      <c r="AA561" s="20"/>
      <c r="AB561" s="20"/>
      <c r="AC561" s="20"/>
      <c r="AD561" s="20"/>
      <c r="AE561" s="20"/>
    </row>
    <row r="562">
      <c r="A562" s="21">
        <v>14.0</v>
      </c>
      <c r="B562" s="22" t="s">
        <v>1597</v>
      </c>
      <c r="C562" s="22" t="s">
        <v>1564</v>
      </c>
      <c r="I562" s="25" t="s">
        <v>1654</v>
      </c>
      <c r="J562" s="25" t="s">
        <v>1598</v>
      </c>
      <c r="K562" s="25" t="s">
        <v>71</v>
      </c>
      <c r="L562" s="25" t="s">
        <v>2104</v>
      </c>
      <c r="M562" s="25" t="s">
        <v>1655</v>
      </c>
      <c r="N562" s="25" t="s">
        <v>1656</v>
      </c>
      <c r="O562" s="25" t="s">
        <v>63</v>
      </c>
      <c r="P562" s="25"/>
      <c r="Q562" s="26"/>
      <c r="R562" s="26"/>
      <c r="S562" s="26"/>
      <c r="T562" s="20"/>
      <c r="U562" s="26"/>
      <c r="V562" s="26"/>
      <c r="W562" s="20"/>
      <c r="X562" s="20"/>
      <c r="Y562" s="20"/>
      <c r="Z562" s="20"/>
      <c r="AA562" s="20"/>
      <c r="AB562" s="20"/>
      <c r="AC562" s="20"/>
      <c r="AD562" s="20"/>
      <c r="AE562" s="20"/>
    </row>
    <row r="563">
      <c r="A563" s="21">
        <v>14.0</v>
      </c>
      <c r="B563" s="22" t="s">
        <v>1597</v>
      </c>
      <c r="C563" s="22" t="s">
        <v>1564</v>
      </c>
      <c r="I563" s="25" t="s">
        <v>1657</v>
      </c>
      <c r="J563" s="25" t="s">
        <v>1598</v>
      </c>
      <c r="K563" s="25" t="s">
        <v>71</v>
      </c>
      <c r="L563" s="25" t="s">
        <v>2101</v>
      </c>
      <c r="M563" s="25" t="s">
        <v>1562</v>
      </c>
      <c r="N563" s="25" t="s">
        <v>1547</v>
      </c>
      <c r="O563" s="25" t="s">
        <v>63</v>
      </c>
      <c r="P563" s="25"/>
      <c r="Q563" s="26"/>
      <c r="R563" s="26"/>
      <c r="S563" s="26"/>
      <c r="T563" s="20"/>
      <c r="U563" s="26"/>
      <c r="V563" s="26"/>
      <c r="W563" s="20"/>
      <c r="X563" s="20"/>
      <c r="Y563" s="20"/>
      <c r="Z563" s="20"/>
      <c r="AA563" s="20"/>
      <c r="AB563" s="20"/>
      <c r="AC563" s="20"/>
      <c r="AD563" s="20"/>
      <c r="AE563" s="20"/>
    </row>
    <row r="564">
      <c r="A564" s="21">
        <v>14.0</v>
      </c>
      <c r="B564" s="22" t="s">
        <v>1597</v>
      </c>
      <c r="C564" s="22" t="s">
        <v>1564</v>
      </c>
      <c r="I564" s="25" t="s">
        <v>1119</v>
      </c>
      <c r="J564" s="25" t="s">
        <v>1598</v>
      </c>
      <c r="K564" s="25" t="s">
        <v>71</v>
      </c>
      <c r="L564" s="25" t="s">
        <v>2104</v>
      </c>
      <c r="M564" s="25" t="s">
        <v>1658</v>
      </c>
      <c r="N564" s="25" t="s">
        <v>1659</v>
      </c>
      <c r="O564" s="25" t="s">
        <v>63</v>
      </c>
      <c r="P564" s="25"/>
      <c r="Q564" s="26"/>
      <c r="R564" s="26"/>
      <c r="S564" s="26"/>
      <c r="T564" s="20"/>
      <c r="U564" s="26"/>
      <c r="V564" s="26"/>
      <c r="W564" s="20"/>
      <c r="X564" s="20"/>
      <c r="Y564" s="20"/>
      <c r="Z564" s="20"/>
      <c r="AA564" s="20"/>
      <c r="AB564" s="20"/>
      <c r="AC564" s="20"/>
      <c r="AD564" s="20"/>
      <c r="AE564" s="20"/>
    </row>
    <row r="565">
      <c r="A565" s="21">
        <v>14.0</v>
      </c>
      <c r="B565" s="22" t="s">
        <v>1597</v>
      </c>
      <c r="C565" s="22" t="s">
        <v>1564</v>
      </c>
      <c r="I565" s="25" t="s">
        <v>350</v>
      </c>
      <c r="J565" s="25" t="s">
        <v>1600</v>
      </c>
      <c r="K565" s="25" t="s">
        <v>71</v>
      </c>
      <c r="L565" s="25" t="s">
        <v>2104</v>
      </c>
      <c r="M565" s="25" t="s">
        <v>761</v>
      </c>
      <c r="N565" s="25" t="s">
        <v>1636</v>
      </c>
      <c r="O565" s="25" t="s">
        <v>63</v>
      </c>
      <c r="P565" s="25"/>
      <c r="Q565" s="26"/>
      <c r="R565" s="26"/>
      <c r="S565" s="26"/>
      <c r="T565" s="20"/>
      <c r="U565" s="26"/>
      <c r="V565" s="26"/>
      <c r="W565" s="20"/>
      <c r="X565" s="20"/>
      <c r="Y565" s="20"/>
      <c r="Z565" s="20"/>
      <c r="AA565" s="20"/>
      <c r="AB565" s="20"/>
      <c r="AC565" s="20"/>
      <c r="AD565" s="20"/>
      <c r="AE565" s="20"/>
    </row>
    <row r="566">
      <c r="A566" s="21">
        <v>14.0</v>
      </c>
      <c r="B566" s="22" t="s">
        <v>1597</v>
      </c>
      <c r="C566" s="22" t="s">
        <v>1564</v>
      </c>
      <c r="I566" s="25" t="s">
        <v>1608</v>
      </c>
      <c r="J566" s="25" t="s">
        <v>1598</v>
      </c>
      <c r="K566" s="25" t="s">
        <v>67</v>
      </c>
      <c r="L566" s="25" t="s">
        <v>1133</v>
      </c>
      <c r="M566" s="25" t="s">
        <v>1609</v>
      </c>
      <c r="N566" s="25" t="s">
        <v>1610</v>
      </c>
      <c r="O566" s="25" t="s">
        <v>56</v>
      </c>
      <c r="P566" s="25" t="s">
        <v>52</v>
      </c>
      <c r="Q566" s="26"/>
      <c r="R566" s="26"/>
      <c r="S566" s="26"/>
      <c r="T566" s="22"/>
      <c r="U566" s="26"/>
      <c r="V566" s="26"/>
      <c r="W566" s="20"/>
      <c r="X566" s="20"/>
      <c r="Y566" s="20"/>
      <c r="Z566" s="20"/>
      <c r="AA566" s="20"/>
      <c r="AB566" s="20"/>
      <c r="AC566" s="20"/>
      <c r="AD566" s="20"/>
      <c r="AE566" s="20"/>
    </row>
    <row r="567">
      <c r="A567" s="21">
        <v>14.0</v>
      </c>
      <c r="B567" s="22" t="s">
        <v>1597</v>
      </c>
      <c r="C567" s="22" t="s">
        <v>1564</v>
      </c>
      <c r="I567" s="25" t="s">
        <v>1268</v>
      </c>
      <c r="J567" s="25" t="s">
        <v>1600</v>
      </c>
      <c r="K567" s="25" t="s">
        <v>71</v>
      </c>
      <c r="L567" s="25" t="s">
        <v>2104</v>
      </c>
      <c r="M567" s="25" t="s">
        <v>61</v>
      </c>
      <c r="N567" s="25" t="s">
        <v>1637</v>
      </c>
      <c r="O567" s="25" t="s">
        <v>63</v>
      </c>
      <c r="P567" s="25"/>
      <c r="Q567" s="26"/>
      <c r="R567" s="26"/>
      <c r="S567" s="26"/>
      <c r="T567" s="20"/>
      <c r="U567" s="26"/>
      <c r="V567" s="26"/>
      <c r="W567" s="20"/>
      <c r="X567" s="20"/>
      <c r="Y567" s="20"/>
      <c r="Z567" s="20"/>
      <c r="AA567" s="20"/>
      <c r="AB567" s="20"/>
      <c r="AC567" s="20"/>
      <c r="AD567" s="20"/>
      <c r="AE567" s="20"/>
    </row>
    <row r="568">
      <c r="A568" s="21">
        <v>14.0</v>
      </c>
      <c r="B568" s="22" t="s">
        <v>1597</v>
      </c>
      <c r="C568" s="22" t="s">
        <v>1564</v>
      </c>
      <c r="I568" s="25" t="s">
        <v>1143</v>
      </c>
      <c r="J568" s="25" t="s">
        <v>1598</v>
      </c>
      <c r="K568" s="25" t="s">
        <v>71</v>
      </c>
      <c r="L568" s="25" t="s">
        <v>2101</v>
      </c>
      <c r="M568" s="25" t="s">
        <v>1660</v>
      </c>
      <c r="N568" s="25" t="s">
        <v>1661</v>
      </c>
      <c r="O568" s="25" t="s">
        <v>63</v>
      </c>
      <c r="P568" s="25"/>
      <c r="Q568" s="26"/>
      <c r="R568" s="26"/>
      <c r="S568" s="26"/>
      <c r="T568" s="20"/>
      <c r="U568" s="26"/>
      <c r="V568" s="26"/>
      <c r="W568" s="20"/>
      <c r="X568" s="20"/>
      <c r="Y568" s="20"/>
      <c r="Z568" s="20"/>
      <c r="AA568" s="20"/>
      <c r="AB568" s="20"/>
      <c r="AC568" s="20"/>
      <c r="AD568" s="20"/>
      <c r="AE568" s="20"/>
    </row>
    <row r="569">
      <c r="A569" s="21">
        <v>14.0</v>
      </c>
      <c r="B569" s="22" t="s">
        <v>1597</v>
      </c>
      <c r="C569" s="22" t="s">
        <v>1564</v>
      </c>
      <c r="I569" s="25" t="s">
        <v>1618</v>
      </c>
      <c r="J569" s="25" t="s">
        <v>1598</v>
      </c>
      <c r="K569" s="25" t="s">
        <v>71</v>
      </c>
      <c r="L569" s="25" t="s">
        <v>2119</v>
      </c>
      <c r="M569" s="25" t="s">
        <v>1619</v>
      </c>
      <c r="N569" s="25" t="s">
        <v>1620</v>
      </c>
      <c r="O569" s="25" t="s">
        <v>56</v>
      </c>
      <c r="P569" s="25"/>
      <c r="Q569" s="26"/>
      <c r="R569" s="26"/>
      <c r="S569" s="26"/>
      <c r="T569" s="20"/>
      <c r="U569" s="26"/>
      <c r="V569" s="26"/>
      <c r="W569" s="20"/>
      <c r="X569" s="20"/>
      <c r="Y569" s="20"/>
      <c r="Z569" s="20"/>
      <c r="AA569" s="20"/>
      <c r="AB569" s="20"/>
      <c r="AC569" s="20"/>
      <c r="AD569" s="20"/>
      <c r="AE569" s="20"/>
    </row>
    <row r="570">
      <c r="A570" s="21">
        <v>14.0</v>
      </c>
      <c r="B570" s="22" t="s">
        <v>1597</v>
      </c>
      <c r="C570" s="22" t="s">
        <v>1564</v>
      </c>
      <c r="I570" s="25" t="s">
        <v>1168</v>
      </c>
      <c r="J570" s="25" t="s">
        <v>1600</v>
      </c>
      <c r="K570" s="25" t="s">
        <v>71</v>
      </c>
      <c r="L570" s="25" t="s">
        <v>2104</v>
      </c>
      <c r="M570" s="25" t="s">
        <v>61</v>
      </c>
      <c r="N570" s="25" t="s">
        <v>1638</v>
      </c>
      <c r="O570" s="25" t="s">
        <v>63</v>
      </c>
      <c r="P570" s="25"/>
      <c r="Q570" s="26"/>
      <c r="R570" s="26"/>
      <c r="S570" s="26"/>
      <c r="T570" s="20"/>
      <c r="U570" s="26"/>
      <c r="V570" s="26"/>
      <c r="W570" s="20"/>
      <c r="X570" s="20"/>
      <c r="Y570" s="20"/>
      <c r="Z570" s="20"/>
      <c r="AA570" s="20"/>
      <c r="AB570" s="20"/>
      <c r="AC570" s="20"/>
      <c r="AD570" s="20"/>
      <c r="AE570" s="20"/>
    </row>
    <row r="571">
      <c r="A571" s="21">
        <v>14.0</v>
      </c>
      <c r="B571" s="22" t="s">
        <v>1597</v>
      </c>
      <c r="C571" s="22" t="s">
        <v>1564</v>
      </c>
      <c r="I571" s="25" t="s">
        <v>1612</v>
      </c>
      <c r="J571" s="25" t="s">
        <v>1598</v>
      </c>
      <c r="K571" s="25" t="s">
        <v>67</v>
      </c>
      <c r="L571" s="25" t="s">
        <v>1025</v>
      </c>
      <c r="M571" s="25" t="s">
        <v>1613</v>
      </c>
      <c r="N571" s="25" t="s">
        <v>1614</v>
      </c>
      <c r="O571" s="25" t="s">
        <v>56</v>
      </c>
      <c r="P571" s="25" t="s">
        <v>52</v>
      </c>
      <c r="Q571" s="26"/>
      <c r="R571" s="26"/>
      <c r="S571" s="26"/>
      <c r="T571" s="22"/>
      <c r="U571" s="26"/>
      <c r="V571" s="26"/>
      <c r="W571" s="20"/>
      <c r="X571" s="20"/>
      <c r="Y571" s="20"/>
      <c r="Z571" s="20"/>
      <c r="AA571" s="20"/>
      <c r="AB571" s="20"/>
      <c r="AC571" s="20"/>
      <c r="AD571" s="20"/>
      <c r="AE571" s="20"/>
    </row>
    <row r="572">
      <c r="A572" s="21">
        <v>15.0</v>
      </c>
      <c r="B572" s="22" t="s">
        <v>1663</v>
      </c>
      <c r="C572" s="22" t="s">
        <v>1564</v>
      </c>
      <c r="D572" s="23">
        <v>30.0</v>
      </c>
      <c r="E572" s="23">
        <v>2.0</v>
      </c>
      <c r="F572" s="23">
        <v>6.0</v>
      </c>
      <c r="G572" s="23">
        <v>22.0</v>
      </c>
      <c r="H572" s="24" t="s">
        <v>2147</v>
      </c>
      <c r="I572" s="25" t="s">
        <v>1405</v>
      </c>
      <c r="J572" s="25" t="s">
        <v>1664</v>
      </c>
      <c r="K572" s="25" t="s">
        <v>57</v>
      </c>
      <c r="L572" s="25" t="s">
        <v>2148</v>
      </c>
      <c r="M572" s="25" t="s">
        <v>61</v>
      </c>
      <c r="N572" s="25" t="s">
        <v>1668</v>
      </c>
      <c r="O572" s="25" t="s">
        <v>63</v>
      </c>
      <c r="P572" s="25"/>
      <c r="Q572" s="26"/>
      <c r="R572" s="26"/>
      <c r="S572" s="26"/>
      <c r="T572" s="20"/>
      <c r="U572" s="26"/>
      <c r="V572" s="26"/>
      <c r="W572" s="20"/>
      <c r="X572" s="20"/>
      <c r="Y572" s="20"/>
      <c r="Z572" s="20"/>
      <c r="AA572" s="20"/>
      <c r="AB572" s="20"/>
      <c r="AC572" s="20"/>
      <c r="AD572" s="20"/>
      <c r="AE572" s="20"/>
    </row>
    <row r="573">
      <c r="A573" s="21">
        <v>15.0</v>
      </c>
      <c r="B573" s="22" t="s">
        <v>1663</v>
      </c>
      <c r="C573" s="22" t="s">
        <v>1564</v>
      </c>
      <c r="I573" s="25" t="s">
        <v>1665</v>
      </c>
      <c r="J573" s="25" t="s">
        <v>1664</v>
      </c>
      <c r="K573" s="25" t="s">
        <v>57</v>
      </c>
      <c r="L573" s="25" t="s">
        <v>2152</v>
      </c>
      <c r="M573" s="25" t="s">
        <v>1666</v>
      </c>
      <c r="N573" s="25" t="s">
        <v>1667</v>
      </c>
      <c r="O573" s="25" t="s">
        <v>56</v>
      </c>
      <c r="P573" s="25"/>
      <c r="Q573" s="26"/>
      <c r="R573" s="26"/>
      <c r="S573" s="26"/>
      <c r="T573" s="20"/>
      <c r="U573" s="26"/>
      <c r="V573" s="26"/>
      <c r="W573" s="20"/>
      <c r="X573" s="20"/>
      <c r="Y573" s="20"/>
      <c r="Z573" s="20"/>
      <c r="AA573" s="20"/>
      <c r="AB573" s="20"/>
      <c r="AC573" s="20"/>
      <c r="AD573" s="20"/>
      <c r="AE573" s="20"/>
    </row>
    <row r="574">
      <c r="A574" s="21">
        <v>15.0</v>
      </c>
      <c r="B574" s="22" t="s">
        <v>1663</v>
      </c>
      <c r="C574" s="22" t="s">
        <v>1564</v>
      </c>
      <c r="I574" s="25" t="s">
        <v>1649</v>
      </c>
      <c r="J574" s="25" t="s">
        <v>1674</v>
      </c>
      <c r="K574" s="25" t="s">
        <v>67</v>
      </c>
      <c r="L574" s="25" t="s">
        <v>2157</v>
      </c>
      <c r="M574" s="25" t="s">
        <v>1675</v>
      </c>
      <c r="N574" s="25" t="s">
        <v>1676</v>
      </c>
      <c r="O574" s="25" t="s">
        <v>56</v>
      </c>
      <c r="P574" s="25"/>
      <c r="Q574" s="26"/>
      <c r="R574" s="26"/>
      <c r="S574" s="26"/>
      <c r="T574" s="20"/>
      <c r="U574" s="26"/>
      <c r="V574" s="26"/>
      <c r="W574" s="20"/>
      <c r="X574" s="20"/>
      <c r="Y574" s="20"/>
      <c r="Z574" s="20"/>
      <c r="AA574" s="20"/>
      <c r="AB574" s="20"/>
      <c r="AC574" s="20"/>
      <c r="AD574" s="20"/>
      <c r="AE574" s="20"/>
    </row>
    <row r="575">
      <c r="A575" s="21">
        <v>15.0</v>
      </c>
      <c r="B575" s="22" t="s">
        <v>1663</v>
      </c>
      <c r="C575" s="22" t="s">
        <v>1564</v>
      </c>
      <c r="I575" s="25" t="s">
        <v>1677</v>
      </c>
      <c r="J575" s="25" t="s">
        <v>1674</v>
      </c>
      <c r="K575" s="25" t="s">
        <v>67</v>
      </c>
      <c r="L575" s="25" t="s">
        <v>1025</v>
      </c>
      <c r="M575" s="25" t="s">
        <v>1678</v>
      </c>
      <c r="N575" s="25" t="s">
        <v>1679</v>
      </c>
      <c r="O575" s="25" t="s">
        <v>56</v>
      </c>
      <c r="P575" s="25" t="s">
        <v>52</v>
      </c>
      <c r="Q575" s="26"/>
      <c r="R575" s="26"/>
      <c r="S575" s="26"/>
      <c r="T575" s="22"/>
      <c r="U575" s="26"/>
      <c r="V575" s="26"/>
      <c r="W575" s="20"/>
      <c r="X575" s="20"/>
      <c r="Y575" s="20"/>
      <c r="Z575" s="20"/>
      <c r="AA575" s="20"/>
      <c r="AB575" s="20"/>
      <c r="AC575" s="20"/>
      <c r="AD575" s="20"/>
      <c r="AE575" s="20"/>
    </row>
    <row r="576">
      <c r="A576" s="21">
        <v>15.0</v>
      </c>
      <c r="B576" s="22" t="s">
        <v>1663</v>
      </c>
      <c r="C576" s="22" t="s">
        <v>1564</v>
      </c>
      <c r="I576" s="25" t="s">
        <v>1682</v>
      </c>
      <c r="J576" s="25" t="s">
        <v>1674</v>
      </c>
      <c r="K576" s="25" t="s">
        <v>67</v>
      </c>
      <c r="L576" s="25" t="s">
        <v>2161</v>
      </c>
      <c r="M576" s="25" t="s">
        <v>61</v>
      </c>
      <c r="N576" s="25" t="s">
        <v>1683</v>
      </c>
      <c r="O576" s="25" t="s">
        <v>63</v>
      </c>
      <c r="P576" s="25"/>
      <c r="Q576" s="26"/>
      <c r="R576" s="26"/>
      <c r="S576" s="26"/>
      <c r="T576" s="20"/>
      <c r="U576" s="26"/>
      <c r="V576" s="26"/>
      <c r="W576" s="20"/>
      <c r="X576" s="20"/>
      <c r="Y576" s="20"/>
      <c r="Z576" s="20"/>
      <c r="AA576" s="20"/>
      <c r="AB576" s="20"/>
      <c r="AC576" s="20"/>
      <c r="AD576" s="20"/>
      <c r="AE576" s="20"/>
    </row>
    <row r="577">
      <c r="A577" s="21">
        <v>15.0</v>
      </c>
      <c r="B577" s="22" t="s">
        <v>1663</v>
      </c>
      <c r="C577" s="22" t="s">
        <v>1564</v>
      </c>
      <c r="I577" s="25" t="s">
        <v>444</v>
      </c>
      <c r="J577" s="25" t="s">
        <v>1674</v>
      </c>
      <c r="K577" s="25" t="s">
        <v>71</v>
      </c>
      <c r="L577" s="25" t="s">
        <v>2164</v>
      </c>
      <c r="M577" s="25" t="s">
        <v>1727</v>
      </c>
      <c r="N577" s="25" t="s">
        <v>1728</v>
      </c>
      <c r="O577" s="25" t="s">
        <v>63</v>
      </c>
      <c r="P577" s="25"/>
      <c r="Q577" s="26"/>
      <c r="R577" s="26"/>
      <c r="S577" s="26"/>
      <c r="T577" s="20"/>
      <c r="U577" s="26"/>
      <c r="V577" s="26"/>
      <c r="W577" s="20"/>
      <c r="X577" s="20"/>
      <c r="Y577" s="20"/>
      <c r="Z577" s="20"/>
      <c r="AA577" s="20"/>
      <c r="AB577" s="20"/>
      <c r="AC577" s="20"/>
      <c r="AD577" s="20"/>
      <c r="AE577" s="20"/>
    </row>
    <row r="578">
      <c r="A578" s="21">
        <v>15.0</v>
      </c>
      <c r="B578" s="22" t="s">
        <v>1663</v>
      </c>
      <c r="C578" s="22" t="s">
        <v>1564</v>
      </c>
      <c r="I578" s="25" t="s">
        <v>160</v>
      </c>
      <c r="J578" s="25" t="s">
        <v>1674</v>
      </c>
      <c r="K578" s="25" t="s">
        <v>71</v>
      </c>
      <c r="L578" s="25" t="s">
        <v>2164</v>
      </c>
      <c r="M578" s="25" t="s">
        <v>61</v>
      </c>
      <c r="N578" s="25" t="s">
        <v>1686</v>
      </c>
      <c r="O578" s="25" t="s">
        <v>56</v>
      </c>
      <c r="P578" s="25"/>
      <c r="Q578" s="26"/>
      <c r="R578" s="26"/>
      <c r="S578" s="26"/>
      <c r="T578" s="20"/>
      <c r="U578" s="26"/>
      <c r="V578" s="26"/>
      <c r="W578" s="20"/>
      <c r="X578" s="20"/>
      <c r="Y578" s="20"/>
      <c r="Z578" s="20"/>
      <c r="AA578" s="20"/>
      <c r="AB578" s="20"/>
      <c r="AC578" s="20"/>
      <c r="AD578" s="20"/>
      <c r="AE578" s="20"/>
    </row>
    <row r="579">
      <c r="A579" s="21">
        <v>15.0</v>
      </c>
      <c r="B579" s="22" t="s">
        <v>1663</v>
      </c>
      <c r="C579" s="22" t="s">
        <v>1564</v>
      </c>
      <c r="I579" s="25" t="s">
        <v>1687</v>
      </c>
      <c r="J579" s="25" t="s">
        <v>1674</v>
      </c>
      <c r="K579" s="25" t="s">
        <v>71</v>
      </c>
      <c r="L579" s="25" t="s">
        <v>2167</v>
      </c>
      <c r="M579" s="25" t="s">
        <v>1688</v>
      </c>
      <c r="N579" s="25" t="s">
        <v>1689</v>
      </c>
      <c r="O579" s="25" t="s">
        <v>56</v>
      </c>
      <c r="P579" s="25"/>
      <c r="Q579" s="26"/>
      <c r="R579" s="26"/>
      <c r="S579" s="26"/>
      <c r="T579" s="20"/>
      <c r="U579" s="26"/>
      <c r="V579" s="26"/>
      <c r="W579" s="20"/>
      <c r="X579" s="20"/>
      <c r="Y579" s="20"/>
      <c r="Z579" s="20"/>
      <c r="AA579" s="20"/>
      <c r="AB579" s="20"/>
      <c r="AC579" s="20"/>
      <c r="AD579" s="20"/>
      <c r="AE579" s="20"/>
    </row>
    <row r="580">
      <c r="A580" s="21">
        <v>15.0</v>
      </c>
      <c r="B580" s="22" t="s">
        <v>1663</v>
      </c>
      <c r="C580" s="22" t="s">
        <v>1564</v>
      </c>
      <c r="I580" s="25" t="s">
        <v>1669</v>
      </c>
      <c r="J580" s="25" t="s">
        <v>1664</v>
      </c>
      <c r="K580" s="25" t="s">
        <v>67</v>
      </c>
      <c r="L580" s="25" t="s">
        <v>1025</v>
      </c>
      <c r="M580" s="25" t="s">
        <v>1670</v>
      </c>
      <c r="N580" s="25" t="s">
        <v>1671</v>
      </c>
      <c r="O580" s="25" t="s">
        <v>56</v>
      </c>
      <c r="P580" s="25" t="s">
        <v>52</v>
      </c>
      <c r="Q580" s="26"/>
      <c r="R580" s="26"/>
      <c r="S580" s="26"/>
      <c r="T580" s="22"/>
      <c r="U580" s="26"/>
      <c r="V580" s="26"/>
      <c r="W580" s="20"/>
      <c r="X580" s="20"/>
      <c r="Y580" s="20"/>
      <c r="Z580" s="20"/>
      <c r="AA580" s="20"/>
      <c r="AB580" s="20"/>
      <c r="AC580" s="20"/>
      <c r="AD580" s="20"/>
      <c r="AE580" s="20"/>
    </row>
    <row r="581">
      <c r="A581" s="21">
        <v>15.0</v>
      </c>
      <c r="B581" s="22" t="s">
        <v>1663</v>
      </c>
      <c r="C581" s="22" t="s">
        <v>1564</v>
      </c>
      <c r="I581" s="25" t="s">
        <v>1690</v>
      </c>
      <c r="J581" s="25" t="s">
        <v>1674</v>
      </c>
      <c r="K581" s="25" t="s">
        <v>71</v>
      </c>
      <c r="L581" s="25" t="s">
        <v>2172</v>
      </c>
      <c r="M581" s="25" t="s">
        <v>1691</v>
      </c>
      <c r="N581" s="25" t="s">
        <v>1692</v>
      </c>
      <c r="O581" s="25" t="s">
        <v>56</v>
      </c>
      <c r="P581" s="25"/>
      <c r="Q581" s="26"/>
      <c r="R581" s="26"/>
      <c r="S581" s="26"/>
      <c r="T581" s="20"/>
      <c r="U581" s="26"/>
      <c r="V581" s="26"/>
      <c r="W581" s="20"/>
      <c r="X581" s="20"/>
      <c r="Y581" s="20"/>
      <c r="Z581" s="20"/>
      <c r="AA581" s="20"/>
      <c r="AB581" s="20"/>
      <c r="AC581" s="20"/>
      <c r="AD581" s="20"/>
      <c r="AE581" s="20"/>
    </row>
    <row r="582">
      <c r="A582" s="21">
        <v>15.0</v>
      </c>
      <c r="B582" s="22" t="s">
        <v>1663</v>
      </c>
      <c r="C582" s="22" t="s">
        <v>1564</v>
      </c>
      <c r="I582" s="25" t="s">
        <v>1710</v>
      </c>
      <c r="J582" s="25" t="s">
        <v>1664</v>
      </c>
      <c r="K582" s="25" t="s">
        <v>71</v>
      </c>
      <c r="L582" s="25" t="s">
        <v>2173</v>
      </c>
      <c r="M582" s="25" t="s">
        <v>1711</v>
      </c>
      <c r="N582" s="25" t="s">
        <v>1713</v>
      </c>
      <c r="O582" s="25" t="s">
        <v>63</v>
      </c>
      <c r="P582" s="25"/>
      <c r="Q582" s="26"/>
      <c r="R582" s="26"/>
      <c r="S582" s="26"/>
      <c r="T582" s="20"/>
      <c r="U582" s="26"/>
      <c r="V582" s="26"/>
      <c r="W582" s="20"/>
      <c r="X582" s="20"/>
      <c r="Y582" s="20"/>
      <c r="Z582" s="20"/>
      <c r="AA582" s="20"/>
      <c r="AB582" s="20"/>
      <c r="AC582" s="20"/>
      <c r="AD582" s="20"/>
      <c r="AE582" s="20"/>
    </row>
    <row r="583">
      <c r="A583" s="21">
        <v>15.0</v>
      </c>
      <c r="B583" s="22" t="s">
        <v>1663</v>
      </c>
      <c r="C583" s="22" t="s">
        <v>1564</v>
      </c>
      <c r="I583" s="25" t="s">
        <v>1714</v>
      </c>
      <c r="J583" s="25" t="s">
        <v>1664</v>
      </c>
      <c r="K583" s="25" t="s">
        <v>71</v>
      </c>
      <c r="L583" s="25" t="s">
        <v>2172</v>
      </c>
      <c r="M583" s="25" t="s">
        <v>61</v>
      </c>
      <c r="N583" s="25" t="s">
        <v>1715</v>
      </c>
      <c r="O583" s="25" t="s">
        <v>63</v>
      </c>
      <c r="P583" s="25"/>
      <c r="Q583" s="26"/>
      <c r="R583" s="26"/>
      <c r="S583" s="26"/>
      <c r="T583" s="20"/>
      <c r="U583" s="26"/>
      <c r="V583" s="26"/>
      <c r="W583" s="20"/>
      <c r="X583" s="20"/>
      <c r="Y583" s="20"/>
      <c r="Z583" s="20"/>
      <c r="AA583" s="20"/>
      <c r="AB583" s="20"/>
      <c r="AC583" s="20"/>
      <c r="AD583" s="20"/>
      <c r="AE583" s="20"/>
    </row>
    <row r="584">
      <c r="A584" s="21">
        <v>15.0</v>
      </c>
      <c r="B584" s="22" t="s">
        <v>1663</v>
      </c>
      <c r="C584" s="22" t="s">
        <v>1564</v>
      </c>
      <c r="I584" s="25" t="s">
        <v>1693</v>
      </c>
      <c r="J584" s="25" t="s">
        <v>1674</v>
      </c>
      <c r="K584" s="25" t="s">
        <v>71</v>
      </c>
      <c r="L584" s="25" t="s">
        <v>2176</v>
      </c>
      <c r="M584" s="25" t="s">
        <v>1694</v>
      </c>
      <c r="N584" s="25" t="s">
        <v>1695</v>
      </c>
      <c r="O584" s="25" t="s">
        <v>56</v>
      </c>
      <c r="P584" s="25"/>
      <c r="Q584" s="26"/>
      <c r="R584" s="26"/>
      <c r="S584" s="26"/>
      <c r="T584" s="20"/>
      <c r="U584" s="26"/>
      <c r="V584" s="26"/>
      <c r="W584" s="20"/>
      <c r="X584" s="20"/>
      <c r="Y584" s="20"/>
      <c r="Z584" s="20"/>
      <c r="AA584" s="20"/>
      <c r="AB584" s="20"/>
      <c r="AC584" s="20"/>
      <c r="AD584" s="20"/>
      <c r="AE584" s="20"/>
    </row>
    <row r="585">
      <c r="A585" s="21">
        <v>15.0</v>
      </c>
      <c r="B585" s="22" t="s">
        <v>1663</v>
      </c>
      <c r="C585" s="22" t="s">
        <v>1564</v>
      </c>
      <c r="I585" s="25" t="s">
        <v>1436</v>
      </c>
      <c r="J585" s="25" t="s">
        <v>1674</v>
      </c>
      <c r="K585" s="25" t="s">
        <v>71</v>
      </c>
      <c r="L585" s="25" t="s">
        <v>2178</v>
      </c>
      <c r="M585" s="25" t="s">
        <v>1697</v>
      </c>
      <c r="N585" s="25" t="s">
        <v>1698</v>
      </c>
      <c r="O585" s="25" t="s">
        <v>56</v>
      </c>
      <c r="P585" s="25"/>
      <c r="Q585" s="26"/>
      <c r="R585" s="26"/>
      <c r="S585" s="26"/>
      <c r="T585" s="20"/>
      <c r="U585" s="26"/>
      <c r="V585" s="26"/>
      <c r="W585" s="20"/>
      <c r="X585" s="20"/>
      <c r="Y585" s="20"/>
      <c r="Z585" s="20"/>
      <c r="AA585" s="20"/>
      <c r="AB585" s="20"/>
      <c r="AC585" s="20"/>
      <c r="AD585" s="20"/>
      <c r="AE585" s="20"/>
    </row>
    <row r="586">
      <c r="A586" s="21">
        <v>15.0</v>
      </c>
      <c r="B586" s="22" t="s">
        <v>1663</v>
      </c>
      <c r="C586" s="22" t="s">
        <v>1564</v>
      </c>
      <c r="I586" s="25" t="s">
        <v>1716</v>
      </c>
      <c r="J586" s="25" t="s">
        <v>1664</v>
      </c>
      <c r="K586" s="25" t="s">
        <v>71</v>
      </c>
      <c r="L586" s="25" t="s">
        <v>2164</v>
      </c>
      <c r="M586" s="25" t="s">
        <v>1717</v>
      </c>
      <c r="N586" s="25" t="s">
        <v>1718</v>
      </c>
      <c r="O586" s="25" t="s">
        <v>63</v>
      </c>
      <c r="P586" s="25"/>
      <c r="Q586" s="26"/>
      <c r="R586" s="26"/>
      <c r="S586" s="26"/>
      <c r="T586" s="20"/>
      <c r="U586" s="26"/>
      <c r="V586" s="26"/>
      <c r="W586" s="20"/>
      <c r="X586" s="20"/>
      <c r="Y586" s="20"/>
      <c r="Z586" s="20"/>
      <c r="AA586" s="20"/>
      <c r="AB586" s="20"/>
      <c r="AC586" s="20"/>
      <c r="AD586" s="20"/>
      <c r="AE586" s="20"/>
    </row>
    <row r="587">
      <c r="A587" s="21">
        <v>15.0</v>
      </c>
      <c r="B587" s="22" t="s">
        <v>1663</v>
      </c>
      <c r="C587" s="22" t="s">
        <v>1564</v>
      </c>
      <c r="I587" s="25" t="s">
        <v>1729</v>
      </c>
      <c r="J587" s="25" t="s">
        <v>1674</v>
      </c>
      <c r="K587" s="25" t="s">
        <v>71</v>
      </c>
      <c r="L587" s="25" t="s">
        <v>2172</v>
      </c>
      <c r="M587" s="25" t="s">
        <v>1730</v>
      </c>
      <c r="N587" s="25" t="s">
        <v>1731</v>
      </c>
      <c r="O587" s="25" t="s">
        <v>63</v>
      </c>
      <c r="P587" s="25"/>
      <c r="Q587" s="26"/>
      <c r="R587" s="26"/>
      <c r="S587" s="26"/>
      <c r="T587" s="20"/>
      <c r="U587" s="26"/>
      <c r="V587" s="26"/>
      <c r="W587" s="20"/>
      <c r="X587" s="20"/>
      <c r="Y587" s="20"/>
      <c r="Z587" s="20"/>
      <c r="AA587" s="20"/>
      <c r="AB587" s="20"/>
      <c r="AC587" s="20"/>
      <c r="AD587" s="20"/>
      <c r="AE587" s="20"/>
    </row>
    <row r="588">
      <c r="A588" s="21">
        <v>15.0</v>
      </c>
      <c r="B588" s="22" t="s">
        <v>1663</v>
      </c>
      <c r="C588" s="22" t="s">
        <v>1564</v>
      </c>
      <c r="I588" s="25" t="s">
        <v>1732</v>
      </c>
      <c r="J588" s="25" t="s">
        <v>1674</v>
      </c>
      <c r="K588" s="25" t="s">
        <v>71</v>
      </c>
      <c r="L588" s="25" t="s">
        <v>2164</v>
      </c>
      <c r="M588" s="25" t="s">
        <v>1733</v>
      </c>
      <c r="N588" s="25" t="s">
        <v>1734</v>
      </c>
      <c r="O588" s="25" t="s">
        <v>63</v>
      </c>
      <c r="P588" s="25"/>
      <c r="Q588" s="26"/>
      <c r="R588" s="26"/>
      <c r="S588" s="26"/>
      <c r="T588" s="20"/>
      <c r="U588" s="26"/>
      <c r="V588" s="26"/>
      <c r="W588" s="20"/>
      <c r="X588" s="20"/>
      <c r="Y588" s="20"/>
      <c r="Z588" s="20"/>
      <c r="AA588" s="20"/>
      <c r="AB588" s="20"/>
      <c r="AC588" s="20"/>
      <c r="AD588" s="20"/>
      <c r="AE588" s="20"/>
    </row>
    <row r="589">
      <c r="A589" s="21">
        <v>15.0</v>
      </c>
      <c r="B589" s="22" t="s">
        <v>1663</v>
      </c>
      <c r="C589" s="22" t="s">
        <v>1564</v>
      </c>
      <c r="I589" s="25" t="s">
        <v>1699</v>
      </c>
      <c r="J589" s="25" t="s">
        <v>1674</v>
      </c>
      <c r="K589" s="25" t="s">
        <v>71</v>
      </c>
      <c r="L589" s="25" t="s">
        <v>2172</v>
      </c>
      <c r="M589" s="25" t="s">
        <v>61</v>
      </c>
      <c r="N589" s="25" t="s">
        <v>1700</v>
      </c>
      <c r="O589" s="25" t="s">
        <v>56</v>
      </c>
      <c r="P589" s="25"/>
      <c r="Q589" s="26"/>
      <c r="R589" s="26"/>
      <c r="S589" s="26"/>
      <c r="T589" s="20"/>
      <c r="U589" s="26"/>
      <c r="V589" s="26"/>
      <c r="W589" s="20"/>
      <c r="X589" s="20"/>
      <c r="Y589" s="20"/>
      <c r="Z589" s="20"/>
      <c r="AA589" s="20"/>
      <c r="AB589" s="20"/>
      <c r="AC589" s="20"/>
      <c r="AD589" s="20"/>
      <c r="AE589" s="20"/>
    </row>
    <row r="590">
      <c r="A590" s="21">
        <v>15.0</v>
      </c>
      <c r="B590" s="22" t="s">
        <v>1663</v>
      </c>
      <c r="C590" s="22" t="s">
        <v>1564</v>
      </c>
      <c r="I590" s="25" t="s">
        <v>1701</v>
      </c>
      <c r="J590" s="25" t="s">
        <v>1674</v>
      </c>
      <c r="K590" s="25" t="s">
        <v>71</v>
      </c>
      <c r="L590" s="25" t="s">
        <v>2164</v>
      </c>
      <c r="M590" s="25" t="s">
        <v>1702</v>
      </c>
      <c r="N590" s="25" t="s">
        <v>1703</v>
      </c>
      <c r="O590" s="25" t="s">
        <v>56</v>
      </c>
      <c r="P590" s="25"/>
      <c r="Q590" s="26"/>
      <c r="R590" s="26"/>
      <c r="S590" s="26"/>
      <c r="T590" s="20"/>
      <c r="U590" s="26"/>
      <c r="V590" s="26"/>
      <c r="W590" s="20"/>
      <c r="X590" s="20"/>
      <c r="Y590" s="20"/>
      <c r="Z590" s="20"/>
      <c r="AA590" s="20"/>
      <c r="AB590" s="20"/>
      <c r="AC590" s="20"/>
      <c r="AD590" s="20"/>
      <c r="AE590" s="20"/>
    </row>
    <row r="591">
      <c r="A591" s="21">
        <v>15.0</v>
      </c>
      <c r="B591" s="22" t="s">
        <v>1663</v>
      </c>
      <c r="C591" s="22" t="s">
        <v>1564</v>
      </c>
      <c r="I591" s="25" t="s">
        <v>1735</v>
      </c>
      <c r="J591" s="25" t="s">
        <v>1674</v>
      </c>
      <c r="K591" s="25" t="s">
        <v>71</v>
      </c>
      <c r="L591" s="25" t="s">
        <v>2164</v>
      </c>
      <c r="M591" s="25" t="s">
        <v>1736</v>
      </c>
      <c r="N591" s="25" t="s">
        <v>1737</v>
      </c>
      <c r="O591" s="25" t="s">
        <v>63</v>
      </c>
      <c r="P591" s="25"/>
      <c r="Q591" s="26"/>
      <c r="R591" s="26"/>
      <c r="S591" s="26"/>
      <c r="T591" s="20"/>
      <c r="U591" s="26"/>
      <c r="V591" s="26"/>
      <c r="W591" s="20"/>
      <c r="X591" s="20"/>
      <c r="Y591" s="20"/>
      <c r="Z591" s="20"/>
      <c r="AA591" s="20"/>
      <c r="AB591" s="20"/>
      <c r="AC591" s="20"/>
      <c r="AD591" s="20"/>
      <c r="AE591" s="20"/>
    </row>
    <row r="592">
      <c r="A592" s="21">
        <v>15.0</v>
      </c>
      <c r="B592" s="22" t="s">
        <v>1663</v>
      </c>
      <c r="C592" s="22" t="s">
        <v>1564</v>
      </c>
      <c r="I592" s="25" t="s">
        <v>1738</v>
      </c>
      <c r="J592" s="25" t="s">
        <v>1674</v>
      </c>
      <c r="K592" s="25" t="s">
        <v>71</v>
      </c>
      <c r="L592" s="25" t="s">
        <v>2164</v>
      </c>
      <c r="M592" s="25" t="s">
        <v>1739</v>
      </c>
      <c r="N592" s="25" t="s">
        <v>1740</v>
      </c>
      <c r="O592" s="25" t="s">
        <v>63</v>
      </c>
      <c r="P592" s="25"/>
      <c r="Q592" s="26"/>
      <c r="R592" s="26"/>
      <c r="S592" s="26"/>
      <c r="T592" s="20"/>
      <c r="U592" s="26"/>
      <c r="V592" s="26"/>
      <c r="W592" s="20"/>
      <c r="X592" s="20"/>
      <c r="Y592" s="20"/>
      <c r="Z592" s="20"/>
      <c r="AA592" s="20"/>
      <c r="AB592" s="20"/>
      <c r="AC592" s="20"/>
      <c r="AD592" s="20"/>
      <c r="AE592" s="20"/>
    </row>
    <row r="593">
      <c r="A593" s="21">
        <v>15.0</v>
      </c>
      <c r="B593" s="22" t="s">
        <v>1663</v>
      </c>
      <c r="C593" s="22" t="s">
        <v>1564</v>
      </c>
      <c r="I593" s="25" t="s">
        <v>1719</v>
      </c>
      <c r="J593" s="25" t="s">
        <v>1664</v>
      </c>
      <c r="K593" s="25" t="s">
        <v>71</v>
      </c>
      <c r="L593" s="25" t="s">
        <v>2164</v>
      </c>
      <c r="M593" s="25" t="s">
        <v>1720</v>
      </c>
      <c r="N593" s="25" t="s">
        <v>1721</v>
      </c>
      <c r="O593" s="25" t="s">
        <v>63</v>
      </c>
      <c r="P593" s="25"/>
      <c r="Q593" s="26"/>
      <c r="R593" s="26"/>
      <c r="S593" s="26"/>
      <c r="T593" s="20"/>
      <c r="U593" s="26"/>
      <c r="V593" s="26"/>
      <c r="W593" s="20"/>
      <c r="X593" s="20"/>
      <c r="Y593" s="20"/>
      <c r="Z593" s="20"/>
      <c r="AA593" s="20"/>
      <c r="AB593" s="20"/>
      <c r="AC593" s="20"/>
      <c r="AD593" s="20"/>
      <c r="AE593" s="20"/>
    </row>
    <row r="594">
      <c r="A594" s="21">
        <v>15.0</v>
      </c>
      <c r="B594" s="22" t="s">
        <v>1663</v>
      </c>
      <c r="C594" s="22" t="s">
        <v>1564</v>
      </c>
      <c r="I594" s="25" t="s">
        <v>1722</v>
      </c>
      <c r="J594" s="25" t="s">
        <v>1664</v>
      </c>
      <c r="K594" s="25" t="s">
        <v>71</v>
      </c>
      <c r="L594" s="25" t="s">
        <v>2164</v>
      </c>
      <c r="M594" s="25" t="s">
        <v>61</v>
      </c>
      <c r="N594" s="25" t="s">
        <v>1723</v>
      </c>
      <c r="O594" s="25" t="s">
        <v>63</v>
      </c>
      <c r="P594" s="25"/>
      <c r="Q594" s="26"/>
      <c r="R594" s="26"/>
      <c r="S594" s="26"/>
      <c r="T594" s="20"/>
      <c r="U594" s="26"/>
      <c r="V594" s="26"/>
      <c r="W594" s="20"/>
      <c r="X594" s="20"/>
      <c r="Y594" s="20"/>
      <c r="Z594" s="20"/>
      <c r="AA594" s="20"/>
      <c r="AB594" s="20"/>
      <c r="AC594" s="20"/>
      <c r="AD594" s="20"/>
      <c r="AE594" s="20"/>
    </row>
    <row r="595">
      <c r="A595" s="21">
        <v>15.0</v>
      </c>
      <c r="B595" s="22" t="s">
        <v>1663</v>
      </c>
      <c r="C595" s="22" t="s">
        <v>1564</v>
      </c>
      <c r="I595" s="25" t="s">
        <v>50</v>
      </c>
      <c r="J595" s="25" t="s">
        <v>1664</v>
      </c>
      <c r="K595" s="25" t="s">
        <v>71</v>
      </c>
      <c r="L595" s="25" t="s">
        <v>2164</v>
      </c>
      <c r="M595" s="25" t="s">
        <v>1684</v>
      </c>
      <c r="N595" s="25" t="s">
        <v>1685</v>
      </c>
      <c r="O595" s="25" t="s">
        <v>56</v>
      </c>
      <c r="P595" s="25"/>
      <c r="Q595" s="26"/>
      <c r="R595" s="26"/>
      <c r="S595" s="26"/>
      <c r="T595" s="20"/>
      <c r="U595" s="26"/>
      <c r="V595" s="26"/>
      <c r="W595" s="20"/>
      <c r="X595" s="20"/>
      <c r="Y595" s="20"/>
      <c r="Z595" s="20"/>
      <c r="AA595" s="20"/>
      <c r="AB595" s="20"/>
      <c r="AC595" s="20"/>
      <c r="AD595" s="20"/>
      <c r="AE595" s="20"/>
    </row>
    <row r="596">
      <c r="A596" s="21">
        <v>15.0</v>
      </c>
      <c r="B596" s="22" t="s">
        <v>1663</v>
      </c>
      <c r="C596" s="22" t="s">
        <v>1564</v>
      </c>
      <c r="I596" s="25" t="s">
        <v>96</v>
      </c>
      <c r="J596" s="25" t="s">
        <v>1674</v>
      </c>
      <c r="K596" s="25" t="s">
        <v>71</v>
      </c>
      <c r="L596" s="25" t="s">
        <v>2164</v>
      </c>
      <c r="M596" s="25" t="s">
        <v>61</v>
      </c>
      <c r="N596" s="25" t="s">
        <v>97</v>
      </c>
      <c r="O596" s="25" t="s">
        <v>63</v>
      </c>
      <c r="P596" s="25"/>
      <c r="Q596" s="26"/>
      <c r="R596" s="26"/>
      <c r="S596" s="26"/>
      <c r="T596" s="20"/>
      <c r="U596" s="26"/>
      <c r="V596" s="26"/>
      <c r="W596" s="20"/>
      <c r="X596" s="20"/>
      <c r="Y596" s="20"/>
      <c r="Z596" s="20"/>
      <c r="AA596" s="20"/>
      <c r="AB596" s="20"/>
      <c r="AC596" s="20"/>
      <c r="AD596" s="20"/>
      <c r="AE596" s="20"/>
    </row>
    <row r="597">
      <c r="A597" s="21">
        <v>15.0</v>
      </c>
      <c r="B597" s="22" t="s">
        <v>1663</v>
      </c>
      <c r="C597" s="22" t="s">
        <v>1564</v>
      </c>
      <c r="I597" s="25" t="s">
        <v>91</v>
      </c>
      <c r="J597" s="25" t="s">
        <v>1664</v>
      </c>
      <c r="K597" s="25" t="s">
        <v>67</v>
      </c>
      <c r="L597" s="25" t="s">
        <v>1025</v>
      </c>
      <c r="M597" s="25" t="s">
        <v>1672</v>
      </c>
      <c r="N597" s="25" t="s">
        <v>1673</v>
      </c>
      <c r="O597" s="25" t="s">
        <v>56</v>
      </c>
      <c r="P597" s="25" t="s">
        <v>52</v>
      </c>
      <c r="Q597" s="26"/>
      <c r="R597" s="26"/>
      <c r="S597" s="26"/>
      <c r="T597" s="22"/>
      <c r="U597" s="26"/>
      <c r="V597" s="26"/>
      <c r="W597" s="20"/>
      <c r="X597" s="20"/>
      <c r="Y597" s="20"/>
      <c r="Z597" s="20"/>
      <c r="AA597" s="20"/>
      <c r="AB597" s="20"/>
      <c r="AC597" s="20"/>
      <c r="AD597" s="20"/>
      <c r="AE597" s="20"/>
    </row>
    <row r="598">
      <c r="A598" s="21">
        <v>15.0</v>
      </c>
      <c r="B598" s="22" t="s">
        <v>1663</v>
      </c>
      <c r="C598" s="22" t="s">
        <v>1564</v>
      </c>
      <c r="I598" s="25" t="s">
        <v>1159</v>
      </c>
      <c r="J598" s="25" t="s">
        <v>1674</v>
      </c>
      <c r="K598" s="25" t="s">
        <v>67</v>
      </c>
      <c r="L598" s="25" t="s">
        <v>1025</v>
      </c>
      <c r="M598" s="25" t="s">
        <v>1680</v>
      </c>
      <c r="N598" s="25" t="s">
        <v>1681</v>
      </c>
      <c r="O598" s="25" t="s">
        <v>56</v>
      </c>
      <c r="P598" s="25" t="s">
        <v>52</v>
      </c>
      <c r="Q598" s="26"/>
      <c r="R598" s="26"/>
      <c r="S598" s="26"/>
      <c r="T598" s="22"/>
      <c r="U598" s="26"/>
      <c r="V598" s="26"/>
      <c r="W598" s="20"/>
      <c r="X598" s="20"/>
      <c r="Y598" s="20"/>
      <c r="Z598" s="20"/>
      <c r="AA598" s="20"/>
      <c r="AB598" s="20"/>
      <c r="AC598" s="20"/>
      <c r="AD598" s="20"/>
      <c r="AE598" s="20"/>
    </row>
    <row r="599">
      <c r="A599" s="21">
        <v>15.0</v>
      </c>
      <c r="B599" s="22" t="s">
        <v>1663</v>
      </c>
      <c r="C599" s="22" t="s">
        <v>1564</v>
      </c>
      <c r="I599" s="25" t="s">
        <v>1704</v>
      </c>
      <c r="J599" s="25" t="s">
        <v>1674</v>
      </c>
      <c r="K599" s="25" t="s">
        <v>71</v>
      </c>
      <c r="L599" s="25" t="s">
        <v>2173</v>
      </c>
      <c r="M599" s="25" t="s">
        <v>1705</v>
      </c>
      <c r="N599" s="25" t="s">
        <v>1706</v>
      </c>
      <c r="O599" s="25" t="s">
        <v>56</v>
      </c>
      <c r="P599" s="25"/>
      <c r="Q599" s="26"/>
      <c r="R599" s="26"/>
      <c r="S599" s="26"/>
      <c r="T599" s="20"/>
      <c r="U599" s="26"/>
      <c r="V599" s="26"/>
      <c r="W599" s="20"/>
      <c r="X599" s="20"/>
      <c r="Y599" s="20"/>
      <c r="Z599" s="20"/>
      <c r="AA599" s="20"/>
      <c r="AB599" s="20"/>
      <c r="AC599" s="20"/>
      <c r="AD599" s="20"/>
      <c r="AE599" s="20"/>
    </row>
    <row r="600">
      <c r="A600" s="21">
        <v>15.0</v>
      </c>
      <c r="B600" s="22" t="s">
        <v>1663</v>
      </c>
      <c r="C600" s="22" t="s">
        <v>1564</v>
      </c>
      <c r="I600" s="25" t="s">
        <v>1707</v>
      </c>
      <c r="J600" s="25" t="s">
        <v>1674</v>
      </c>
      <c r="K600" s="25" t="s">
        <v>71</v>
      </c>
      <c r="L600" s="25" t="s">
        <v>2192</v>
      </c>
      <c r="M600" s="25" t="s">
        <v>1708</v>
      </c>
      <c r="N600" s="25" t="s">
        <v>1709</v>
      </c>
      <c r="O600" s="25" t="s">
        <v>56</v>
      </c>
      <c r="P600" s="25"/>
      <c r="Q600" s="26"/>
      <c r="R600" s="26"/>
      <c r="S600" s="26"/>
      <c r="T600" s="20"/>
      <c r="U600" s="26"/>
      <c r="V600" s="26"/>
      <c r="W600" s="20"/>
      <c r="X600" s="20"/>
      <c r="Y600" s="20"/>
      <c r="Z600" s="20"/>
      <c r="AA600" s="20"/>
      <c r="AB600" s="20"/>
      <c r="AC600" s="20"/>
      <c r="AD600" s="20"/>
      <c r="AE600" s="20"/>
    </row>
    <row r="601">
      <c r="A601" s="21">
        <v>15.0</v>
      </c>
      <c r="B601" s="22" t="s">
        <v>1663</v>
      </c>
      <c r="C601" s="22" t="s">
        <v>1564</v>
      </c>
      <c r="I601" s="25" t="s">
        <v>1724</v>
      </c>
      <c r="J601" s="25" t="s">
        <v>1664</v>
      </c>
      <c r="K601" s="25" t="s">
        <v>71</v>
      </c>
      <c r="L601" s="25" t="s">
        <v>2164</v>
      </c>
      <c r="M601" s="25" t="s">
        <v>1725</v>
      </c>
      <c r="N601" s="25" t="s">
        <v>1726</v>
      </c>
      <c r="O601" s="25" t="s">
        <v>63</v>
      </c>
      <c r="P601" s="25"/>
      <c r="Q601" s="26"/>
      <c r="R601" s="26"/>
      <c r="S601" s="26"/>
      <c r="T601" s="20"/>
      <c r="U601" s="26"/>
      <c r="V601" s="26"/>
      <c r="W601" s="20"/>
      <c r="X601" s="20"/>
      <c r="Y601" s="20"/>
      <c r="Z601" s="20"/>
      <c r="AA601" s="20"/>
      <c r="AB601" s="20"/>
      <c r="AC601" s="20"/>
      <c r="AD601" s="20"/>
      <c r="AE601" s="20"/>
    </row>
    <row r="602">
      <c r="A602" s="21">
        <v>16.0</v>
      </c>
      <c r="B602" s="22" t="s">
        <v>1741</v>
      </c>
      <c r="C602" s="22" t="s">
        <v>1564</v>
      </c>
      <c r="D602" s="23">
        <v>30.0</v>
      </c>
      <c r="E602" s="23">
        <v>3.0</v>
      </c>
      <c r="F602" s="23">
        <v>1.0</v>
      </c>
      <c r="G602" s="23">
        <v>26.0</v>
      </c>
      <c r="H602" s="24" t="s">
        <v>2197</v>
      </c>
      <c r="I602" s="25" t="s">
        <v>1563</v>
      </c>
      <c r="J602" s="25" t="s">
        <v>1745</v>
      </c>
      <c r="K602" s="25" t="s">
        <v>57</v>
      </c>
      <c r="L602" s="25" t="s">
        <v>2198</v>
      </c>
      <c r="M602" s="25" t="s">
        <v>1565</v>
      </c>
      <c r="N602" s="25" t="s">
        <v>1746</v>
      </c>
      <c r="O602" s="25" t="s">
        <v>63</v>
      </c>
      <c r="P602" s="25"/>
      <c r="Q602" s="26"/>
      <c r="R602" s="26"/>
      <c r="S602" s="26"/>
      <c r="T602" s="20"/>
      <c r="U602" s="26"/>
      <c r="V602" s="26"/>
      <c r="W602" s="20"/>
      <c r="X602" s="20"/>
      <c r="Y602" s="20"/>
      <c r="Z602" s="20"/>
      <c r="AA602" s="20"/>
      <c r="AB602" s="20"/>
      <c r="AC602" s="20"/>
      <c r="AD602" s="20"/>
      <c r="AE602" s="20"/>
    </row>
    <row r="603">
      <c r="A603" s="21">
        <v>16.0</v>
      </c>
      <c r="B603" s="22" t="s">
        <v>1741</v>
      </c>
      <c r="C603" s="22" t="s">
        <v>1564</v>
      </c>
      <c r="I603" s="25" t="s">
        <v>1351</v>
      </c>
      <c r="J603" s="25" t="s">
        <v>1749</v>
      </c>
      <c r="K603" s="25" t="s">
        <v>71</v>
      </c>
      <c r="L603" s="25" t="s">
        <v>226</v>
      </c>
      <c r="M603" s="25" t="s">
        <v>1753</v>
      </c>
      <c r="N603" s="25" t="s">
        <v>1754</v>
      </c>
      <c r="O603" s="25" t="s">
        <v>63</v>
      </c>
      <c r="P603" s="25" t="s">
        <v>52</v>
      </c>
      <c r="Q603" s="26"/>
      <c r="R603" s="26"/>
      <c r="S603" s="26"/>
      <c r="T603" s="22"/>
      <c r="U603" s="26"/>
      <c r="V603" s="26"/>
      <c r="W603" s="20"/>
      <c r="X603" s="20"/>
      <c r="Y603" s="20"/>
      <c r="Z603" s="20"/>
      <c r="AA603" s="20"/>
      <c r="AB603" s="20"/>
      <c r="AC603" s="20"/>
      <c r="AD603" s="20"/>
      <c r="AE603" s="20"/>
    </row>
    <row r="604">
      <c r="A604" s="21">
        <v>16.0</v>
      </c>
      <c r="B604" s="22" t="s">
        <v>1741</v>
      </c>
      <c r="C604" s="22" t="s">
        <v>1564</v>
      </c>
      <c r="I604" s="25" t="s">
        <v>1534</v>
      </c>
      <c r="J604" s="25" t="s">
        <v>1742</v>
      </c>
      <c r="K604" s="25" t="s">
        <v>57</v>
      </c>
      <c r="L604" s="25" t="s">
        <v>2205</v>
      </c>
      <c r="M604" s="25" t="s">
        <v>1743</v>
      </c>
      <c r="N604" s="25" t="s">
        <v>1744</v>
      </c>
      <c r="O604" s="25" t="s">
        <v>63</v>
      </c>
      <c r="P604" s="25"/>
      <c r="Q604" s="26"/>
      <c r="R604" s="26"/>
      <c r="S604" s="26"/>
      <c r="T604" s="20"/>
      <c r="U604" s="26"/>
      <c r="V604" s="26"/>
      <c r="W604" s="20"/>
      <c r="X604" s="20"/>
      <c r="Y604" s="20"/>
      <c r="Z604" s="20"/>
      <c r="AA604" s="20"/>
      <c r="AB604" s="20"/>
      <c r="AC604" s="20"/>
      <c r="AD604" s="20"/>
      <c r="AE604" s="20"/>
    </row>
    <row r="605">
      <c r="A605" s="21">
        <v>16.0</v>
      </c>
      <c r="B605" s="22" t="s">
        <v>1741</v>
      </c>
      <c r="C605" s="22" t="s">
        <v>1564</v>
      </c>
      <c r="I605" s="25" t="s">
        <v>1747</v>
      </c>
      <c r="J605" s="25" t="s">
        <v>1745</v>
      </c>
      <c r="K605" s="25" t="s">
        <v>57</v>
      </c>
      <c r="L605" s="25" t="s">
        <v>2208</v>
      </c>
      <c r="M605" s="25" t="s">
        <v>61</v>
      </c>
      <c r="N605" s="25" t="s">
        <v>1748</v>
      </c>
      <c r="O605" s="25" t="s">
        <v>63</v>
      </c>
      <c r="P605" s="25"/>
      <c r="Q605" s="26"/>
      <c r="R605" s="26"/>
      <c r="S605" s="26"/>
      <c r="T605" s="20"/>
      <c r="U605" s="26"/>
      <c r="V605" s="26"/>
      <c r="W605" s="20"/>
      <c r="X605" s="20"/>
      <c r="Y605" s="20"/>
      <c r="Z605" s="20"/>
      <c r="AA605" s="20"/>
      <c r="AB605" s="20"/>
      <c r="AC605" s="20"/>
      <c r="AD605" s="20"/>
      <c r="AE605" s="20"/>
    </row>
    <row r="606">
      <c r="A606" s="21">
        <v>16.0</v>
      </c>
      <c r="B606" s="22" t="s">
        <v>1741</v>
      </c>
      <c r="C606" s="22" t="s">
        <v>1564</v>
      </c>
      <c r="I606" s="25" t="s">
        <v>1750</v>
      </c>
      <c r="J606" s="25" t="s">
        <v>1749</v>
      </c>
      <c r="K606" s="25" t="s">
        <v>67</v>
      </c>
      <c r="L606" s="25" t="s">
        <v>2211</v>
      </c>
      <c r="M606" s="25" t="s">
        <v>1751</v>
      </c>
      <c r="N606" s="25" t="s">
        <v>1752</v>
      </c>
      <c r="O606" s="25" t="s">
        <v>56</v>
      </c>
      <c r="P606" s="25"/>
      <c r="Q606" s="26"/>
      <c r="R606" s="26"/>
      <c r="S606" s="26"/>
      <c r="T606" s="20"/>
      <c r="U606" s="26"/>
      <c r="V606" s="26"/>
      <c r="W606" s="20"/>
      <c r="X606" s="20"/>
      <c r="Y606" s="20"/>
      <c r="Z606" s="20"/>
      <c r="AA606" s="20"/>
      <c r="AB606" s="20"/>
      <c r="AC606" s="20"/>
      <c r="AD606" s="20"/>
      <c r="AE606" s="20"/>
    </row>
    <row r="607">
      <c r="A607" s="21">
        <v>16.0</v>
      </c>
      <c r="B607" s="22" t="s">
        <v>1741</v>
      </c>
      <c r="C607" s="22" t="s">
        <v>1564</v>
      </c>
      <c r="I607" s="25" t="s">
        <v>1769</v>
      </c>
      <c r="J607" s="25" t="s">
        <v>1745</v>
      </c>
      <c r="K607" s="25" t="s">
        <v>71</v>
      </c>
      <c r="L607" s="25" t="s">
        <v>2218</v>
      </c>
      <c r="M607" s="25" t="s">
        <v>1770</v>
      </c>
      <c r="N607" s="25" t="s">
        <v>1771</v>
      </c>
      <c r="O607" s="25" t="s">
        <v>63</v>
      </c>
      <c r="P607" s="25"/>
      <c r="Q607" s="26"/>
      <c r="R607" s="26"/>
      <c r="S607" s="26"/>
      <c r="T607" s="20"/>
      <c r="U607" s="26"/>
      <c r="V607" s="26"/>
      <c r="W607" s="20"/>
      <c r="X607" s="20"/>
      <c r="Y607" s="20"/>
      <c r="Z607" s="20"/>
      <c r="AA607" s="20"/>
      <c r="AB607" s="20"/>
      <c r="AC607" s="20"/>
      <c r="AD607" s="20"/>
      <c r="AE607" s="20"/>
    </row>
    <row r="608">
      <c r="A608" s="21">
        <v>16.0</v>
      </c>
      <c r="B608" s="22" t="s">
        <v>1741</v>
      </c>
      <c r="C608" s="22" t="s">
        <v>1564</v>
      </c>
      <c r="I608" s="25" t="s">
        <v>1428</v>
      </c>
      <c r="J608" s="25" t="s">
        <v>1749</v>
      </c>
      <c r="K608" s="25" t="s">
        <v>71</v>
      </c>
      <c r="L608" s="25" t="s">
        <v>2220</v>
      </c>
      <c r="M608" s="25" t="s">
        <v>1755</v>
      </c>
      <c r="N608" s="25" t="s">
        <v>1756</v>
      </c>
      <c r="O608" s="25" t="s">
        <v>63</v>
      </c>
      <c r="P608" s="25"/>
      <c r="Q608" s="26"/>
      <c r="R608" s="26"/>
      <c r="S608" s="26"/>
      <c r="T608" s="20"/>
      <c r="U608" s="26"/>
      <c r="V608" s="26"/>
      <c r="W608" s="20"/>
      <c r="X608" s="20"/>
      <c r="Y608" s="20"/>
      <c r="Z608" s="20"/>
      <c r="AA608" s="20"/>
      <c r="AB608" s="20"/>
      <c r="AC608" s="20"/>
      <c r="AD608" s="20"/>
      <c r="AE608" s="20"/>
    </row>
    <row r="609">
      <c r="A609" s="21">
        <v>16.0</v>
      </c>
      <c r="B609" s="22" t="s">
        <v>1741</v>
      </c>
      <c r="C609" s="22" t="s">
        <v>1564</v>
      </c>
      <c r="I609" s="25" t="s">
        <v>723</v>
      </c>
      <c r="J609" s="25" t="s">
        <v>1749</v>
      </c>
      <c r="K609" s="25" t="s">
        <v>71</v>
      </c>
      <c r="L609" s="25" t="s">
        <v>2222</v>
      </c>
      <c r="M609" s="25" t="s">
        <v>874</v>
      </c>
      <c r="N609" s="25" t="s">
        <v>1095</v>
      </c>
      <c r="O609" s="25" t="s">
        <v>63</v>
      </c>
      <c r="P609" s="25"/>
      <c r="Q609" s="26"/>
      <c r="R609" s="26"/>
      <c r="S609" s="26"/>
      <c r="T609" s="20"/>
      <c r="U609" s="26"/>
      <c r="V609" s="26"/>
      <c r="W609" s="20"/>
      <c r="X609" s="20"/>
      <c r="Y609" s="20"/>
      <c r="Z609" s="20"/>
      <c r="AA609" s="20"/>
      <c r="AB609" s="20"/>
      <c r="AC609" s="20"/>
      <c r="AD609" s="20"/>
      <c r="AE609" s="20"/>
    </row>
    <row r="610">
      <c r="A610" s="21">
        <v>16.0</v>
      </c>
      <c r="B610" s="22" t="s">
        <v>1741</v>
      </c>
      <c r="C610" s="22" t="s">
        <v>1564</v>
      </c>
      <c r="I610" s="25" t="s">
        <v>1342</v>
      </c>
      <c r="J610" s="25" t="s">
        <v>1745</v>
      </c>
      <c r="K610" s="25" t="s">
        <v>71</v>
      </c>
      <c r="L610" s="25" t="s">
        <v>2220</v>
      </c>
      <c r="M610" s="25" t="s">
        <v>1772</v>
      </c>
      <c r="N610" s="25" t="s">
        <v>1773</v>
      </c>
      <c r="O610" s="25" t="s">
        <v>63</v>
      </c>
      <c r="P610" s="25"/>
      <c r="Q610" s="26"/>
      <c r="R610" s="26"/>
      <c r="S610" s="26"/>
      <c r="T610" s="20"/>
      <c r="U610" s="26"/>
      <c r="V610" s="26"/>
      <c r="W610" s="20"/>
      <c r="X610" s="20"/>
      <c r="Y610" s="20"/>
      <c r="Z610" s="20"/>
      <c r="AA610" s="20"/>
      <c r="AB610" s="20"/>
      <c r="AC610" s="20"/>
      <c r="AD610" s="20"/>
      <c r="AE610" s="20"/>
    </row>
    <row r="611">
      <c r="A611" s="21">
        <v>16.0</v>
      </c>
      <c r="B611" s="22" t="s">
        <v>1741</v>
      </c>
      <c r="C611" s="22" t="s">
        <v>1564</v>
      </c>
      <c r="I611" s="25" t="s">
        <v>1538</v>
      </c>
      <c r="J611" s="25" t="s">
        <v>1745</v>
      </c>
      <c r="K611" s="25" t="s">
        <v>71</v>
      </c>
      <c r="L611" s="25" t="s">
        <v>2218</v>
      </c>
      <c r="M611" s="25" t="s">
        <v>1774</v>
      </c>
      <c r="N611" s="25" t="s">
        <v>1775</v>
      </c>
      <c r="O611" s="25" t="s">
        <v>63</v>
      </c>
      <c r="P611" s="25"/>
      <c r="Q611" s="26"/>
      <c r="R611" s="26"/>
      <c r="S611" s="26"/>
      <c r="T611" s="20"/>
      <c r="U611" s="26"/>
      <c r="V611" s="26"/>
      <c r="W611" s="20"/>
      <c r="X611" s="20"/>
      <c r="Y611" s="20"/>
      <c r="Z611" s="20"/>
      <c r="AA611" s="20"/>
      <c r="AB611" s="20"/>
      <c r="AC611" s="20"/>
      <c r="AD611" s="20"/>
      <c r="AE611" s="20"/>
    </row>
    <row r="612">
      <c r="A612" s="21">
        <v>16.0</v>
      </c>
      <c r="B612" s="22" t="s">
        <v>1741</v>
      </c>
      <c r="C612" s="22" t="s">
        <v>1564</v>
      </c>
      <c r="I612" s="25" t="s">
        <v>737</v>
      </c>
      <c r="J612" s="25" t="s">
        <v>1749</v>
      </c>
      <c r="K612" s="25" t="s">
        <v>71</v>
      </c>
      <c r="L612" s="25" t="s">
        <v>2218</v>
      </c>
      <c r="M612" s="25" t="s">
        <v>1757</v>
      </c>
      <c r="N612" s="25" t="s">
        <v>1758</v>
      </c>
      <c r="O612" s="25" t="s">
        <v>63</v>
      </c>
      <c r="P612" s="25"/>
      <c r="Q612" s="26"/>
      <c r="R612" s="26"/>
      <c r="S612" s="26"/>
      <c r="T612" s="20"/>
      <c r="U612" s="26"/>
      <c r="V612" s="26"/>
      <c r="W612" s="20"/>
      <c r="X612" s="20"/>
      <c r="Y612" s="20"/>
      <c r="Z612" s="20"/>
      <c r="AA612" s="20"/>
      <c r="AB612" s="20"/>
      <c r="AC612" s="20"/>
      <c r="AD612" s="20"/>
      <c r="AE612" s="20"/>
    </row>
    <row r="613">
      <c r="A613" s="21">
        <v>16.0</v>
      </c>
      <c r="B613" s="22" t="s">
        <v>1741</v>
      </c>
      <c r="C613" s="22" t="s">
        <v>1564</v>
      </c>
      <c r="I613" s="25" t="s">
        <v>1440</v>
      </c>
      <c r="J613" s="25" t="s">
        <v>1745</v>
      </c>
      <c r="K613" s="25" t="s">
        <v>71</v>
      </c>
      <c r="L613" s="25" t="s">
        <v>2220</v>
      </c>
      <c r="M613" s="25" t="s">
        <v>1776</v>
      </c>
      <c r="N613" s="25" t="s">
        <v>1777</v>
      </c>
      <c r="O613" s="25" t="s">
        <v>63</v>
      </c>
      <c r="P613" s="25"/>
      <c r="Q613" s="26"/>
      <c r="R613" s="26"/>
      <c r="S613" s="26"/>
      <c r="T613" s="20"/>
      <c r="U613" s="26"/>
      <c r="V613" s="26"/>
      <c r="W613" s="20"/>
      <c r="X613" s="20"/>
      <c r="Y613" s="20"/>
      <c r="Z613" s="20"/>
      <c r="AA613" s="20"/>
      <c r="AB613" s="20"/>
      <c r="AC613" s="20"/>
      <c r="AD613" s="20"/>
      <c r="AE613" s="20"/>
    </row>
    <row r="614">
      <c r="A614" s="21">
        <v>16.0</v>
      </c>
      <c r="B614" s="22" t="s">
        <v>1741</v>
      </c>
      <c r="C614" s="22" t="s">
        <v>1564</v>
      </c>
      <c r="I614" s="25" t="s">
        <v>1759</v>
      </c>
      <c r="J614" s="25" t="s">
        <v>1749</v>
      </c>
      <c r="K614" s="25" t="s">
        <v>71</v>
      </c>
      <c r="L614" s="25" t="s">
        <v>2218</v>
      </c>
      <c r="M614" s="25" t="s">
        <v>1760</v>
      </c>
      <c r="N614" s="25" t="s">
        <v>1761</v>
      </c>
      <c r="O614" s="25" t="s">
        <v>63</v>
      </c>
      <c r="P614" s="25"/>
      <c r="Q614" s="26"/>
      <c r="R614" s="26"/>
      <c r="S614" s="26"/>
      <c r="T614" s="20"/>
      <c r="U614" s="26"/>
      <c r="V614" s="26"/>
      <c r="W614" s="20"/>
      <c r="X614" s="20"/>
      <c r="Y614" s="20"/>
      <c r="Z614" s="20"/>
      <c r="AA614" s="20"/>
      <c r="AB614" s="20"/>
      <c r="AC614" s="20"/>
      <c r="AD614" s="20"/>
      <c r="AE614" s="20"/>
    </row>
    <row r="615">
      <c r="A615" s="21">
        <v>16.0</v>
      </c>
      <c r="B615" s="22" t="s">
        <v>1741</v>
      </c>
      <c r="C615" s="22" t="s">
        <v>1564</v>
      </c>
      <c r="I615" s="25" t="s">
        <v>1432</v>
      </c>
      <c r="J615" s="25" t="s">
        <v>1745</v>
      </c>
      <c r="K615" s="25" t="s">
        <v>71</v>
      </c>
      <c r="L615" s="25" t="s">
        <v>2235</v>
      </c>
      <c r="M615" s="25" t="s">
        <v>61</v>
      </c>
      <c r="N615" s="25" t="s">
        <v>1778</v>
      </c>
      <c r="O615" s="25" t="s">
        <v>63</v>
      </c>
      <c r="P615" s="25"/>
      <c r="Q615" s="26"/>
      <c r="R615" s="26"/>
      <c r="S615" s="26"/>
      <c r="T615" s="20"/>
      <c r="U615" s="26"/>
      <c r="V615" s="26"/>
      <c r="W615" s="20"/>
      <c r="X615" s="20"/>
      <c r="Y615" s="20"/>
      <c r="Z615" s="20"/>
      <c r="AA615" s="20"/>
      <c r="AB615" s="20"/>
      <c r="AC615" s="20"/>
      <c r="AD615" s="20"/>
      <c r="AE615" s="20"/>
    </row>
    <row r="616">
      <c r="A616" s="21">
        <v>16.0</v>
      </c>
      <c r="B616" s="22" t="s">
        <v>1741</v>
      </c>
      <c r="C616" s="22" t="s">
        <v>1564</v>
      </c>
      <c r="I616" s="25" t="s">
        <v>1253</v>
      </c>
      <c r="J616" s="25" t="s">
        <v>1749</v>
      </c>
      <c r="K616" s="25" t="s">
        <v>71</v>
      </c>
      <c r="L616" s="25" t="s">
        <v>292</v>
      </c>
      <c r="M616" s="25" t="s">
        <v>1762</v>
      </c>
      <c r="N616" s="25" t="s">
        <v>1763</v>
      </c>
      <c r="O616" s="25" t="s">
        <v>63</v>
      </c>
      <c r="P616" s="25" t="s">
        <v>52</v>
      </c>
      <c r="Q616" s="26"/>
      <c r="R616" s="26"/>
      <c r="S616" s="26"/>
      <c r="T616" s="22"/>
      <c r="U616" s="26"/>
      <c r="V616" s="26"/>
      <c r="W616" s="20"/>
      <c r="X616" s="20"/>
      <c r="Y616" s="20"/>
      <c r="Z616" s="20"/>
      <c r="AA616" s="20"/>
      <c r="AB616" s="20"/>
      <c r="AC616" s="20"/>
      <c r="AD616" s="20"/>
      <c r="AE616" s="20"/>
    </row>
    <row r="617">
      <c r="A617" s="21">
        <v>16.0</v>
      </c>
      <c r="B617" s="22" t="s">
        <v>1741</v>
      </c>
      <c r="C617" s="22" t="s">
        <v>1564</v>
      </c>
      <c r="I617" s="25" t="s">
        <v>1338</v>
      </c>
      <c r="J617" s="25" t="s">
        <v>1745</v>
      </c>
      <c r="K617" s="25" t="s">
        <v>71</v>
      </c>
      <c r="L617" s="25" t="s">
        <v>292</v>
      </c>
      <c r="M617" s="25" t="s">
        <v>1779</v>
      </c>
      <c r="N617" s="25" t="s">
        <v>1780</v>
      </c>
      <c r="O617" s="25" t="s">
        <v>63</v>
      </c>
      <c r="P617" s="25" t="s">
        <v>52</v>
      </c>
      <c r="Q617" s="26"/>
      <c r="R617" s="26"/>
      <c r="S617" s="26"/>
      <c r="T617" s="22"/>
      <c r="U617" s="26"/>
      <c r="V617" s="26"/>
      <c r="W617" s="20"/>
      <c r="X617" s="20"/>
      <c r="Y617" s="20"/>
      <c r="Z617" s="20"/>
      <c r="AA617" s="20"/>
      <c r="AB617" s="20"/>
      <c r="AC617" s="20"/>
      <c r="AD617" s="20"/>
      <c r="AE617" s="20"/>
    </row>
    <row r="618">
      <c r="A618" s="21">
        <v>16.0</v>
      </c>
      <c r="B618" s="22" t="s">
        <v>1741</v>
      </c>
      <c r="C618" s="22" t="s">
        <v>1564</v>
      </c>
      <c r="I618" s="25" t="s">
        <v>1781</v>
      </c>
      <c r="J618" s="25" t="s">
        <v>1745</v>
      </c>
      <c r="K618" s="25" t="s">
        <v>71</v>
      </c>
      <c r="L618" s="25" t="s">
        <v>2220</v>
      </c>
      <c r="M618" s="25" t="s">
        <v>61</v>
      </c>
      <c r="N618" s="25" t="s">
        <v>1782</v>
      </c>
      <c r="O618" s="25" t="s">
        <v>63</v>
      </c>
      <c r="P618" s="25"/>
      <c r="Q618" s="26"/>
      <c r="R618" s="26"/>
      <c r="S618" s="26"/>
      <c r="T618" s="20"/>
      <c r="U618" s="26"/>
      <c r="V618" s="26"/>
      <c r="W618" s="20"/>
      <c r="X618" s="20"/>
      <c r="Y618" s="20"/>
      <c r="Z618" s="20"/>
      <c r="AA618" s="20"/>
      <c r="AB618" s="20"/>
      <c r="AC618" s="20"/>
      <c r="AD618" s="20"/>
      <c r="AE618" s="20"/>
    </row>
    <row r="619">
      <c r="A619" s="21">
        <v>16.0</v>
      </c>
      <c r="B619" s="22" t="s">
        <v>1741</v>
      </c>
      <c r="C619" s="22" t="s">
        <v>1564</v>
      </c>
      <c r="I619" s="25" t="s">
        <v>1783</v>
      </c>
      <c r="J619" s="25" t="s">
        <v>1745</v>
      </c>
      <c r="K619" s="25" t="s">
        <v>71</v>
      </c>
      <c r="L619" s="25" t="s">
        <v>292</v>
      </c>
      <c r="M619" s="25" t="s">
        <v>1784</v>
      </c>
      <c r="N619" s="25" t="s">
        <v>1785</v>
      </c>
      <c r="O619" s="25" t="s">
        <v>63</v>
      </c>
      <c r="P619" s="25" t="s">
        <v>52</v>
      </c>
      <c r="Q619" s="26"/>
      <c r="R619" s="26"/>
      <c r="S619" s="26"/>
      <c r="T619" s="22"/>
      <c r="U619" s="26"/>
      <c r="V619" s="26"/>
      <c r="W619" s="20"/>
      <c r="X619" s="20"/>
      <c r="Y619" s="20"/>
      <c r="Z619" s="20"/>
      <c r="AA619" s="20"/>
      <c r="AB619" s="20"/>
      <c r="AC619" s="20"/>
      <c r="AD619" s="20"/>
      <c r="AE619" s="20"/>
    </row>
    <row r="620">
      <c r="A620" s="21">
        <v>16.0</v>
      </c>
      <c r="B620" s="22" t="s">
        <v>1741</v>
      </c>
      <c r="C620" s="22" t="s">
        <v>1564</v>
      </c>
      <c r="I620" s="25" t="s">
        <v>1262</v>
      </c>
      <c r="J620" s="25" t="s">
        <v>1742</v>
      </c>
      <c r="K620" s="25" t="s">
        <v>71</v>
      </c>
      <c r="L620" s="25" t="s">
        <v>2251</v>
      </c>
      <c r="M620" s="25" t="s">
        <v>1767</v>
      </c>
      <c r="N620" s="25" t="s">
        <v>1768</v>
      </c>
      <c r="O620" s="25" t="s">
        <v>63</v>
      </c>
      <c r="P620" s="25"/>
      <c r="Q620" s="26"/>
      <c r="R620" s="26"/>
      <c r="S620" s="26"/>
      <c r="T620" s="20"/>
      <c r="U620" s="26"/>
      <c r="V620" s="26"/>
      <c r="W620" s="20"/>
      <c r="X620" s="20"/>
      <c r="Y620" s="20"/>
      <c r="Z620" s="20"/>
      <c r="AA620" s="20"/>
      <c r="AB620" s="20"/>
      <c r="AC620" s="20"/>
      <c r="AD620" s="20"/>
      <c r="AE620" s="20"/>
    </row>
    <row r="621">
      <c r="A621" s="21">
        <v>16.0</v>
      </c>
      <c r="B621" s="22" t="s">
        <v>1741</v>
      </c>
      <c r="C621" s="22" t="s">
        <v>1564</v>
      </c>
      <c r="I621" s="25" t="s">
        <v>1303</v>
      </c>
      <c r="J621" s="25" t="s">
        <v>1745</v>
      </c>
      <c r="K621" s="25" t="s">
        <v>71</v>
      </c>
      <c r="L621" s="25" t="s">
        <v>2218</v>
      </c>
      <c r="M621" s="25" t="s">
        <v>1786</v>
      </c>
      <c r="N621" s="25" t="s">
        <v>1787</v>
      </c>
      <c r="O621" s="25" t="s">
        <v>63</v>
      </c>
      <c r="P621" s="25"/>
      <c r="Q621" s="26"/>
      <c r="R621" s="26"/>
      <c r="S621" s="26"/>
      <c r="T621" s="20"/>
      <c r="U621" s="26"/>
      <c r="V621" s="26"/>
      <c r="W621" s="20"/>
      <c r="X621" s="20"/>
      <c r="Y621" s="20"/>
      <c r="Z621" s="20"/>
      <c r="AA621" s="20"/>
      <c r="AB621" s="20"/>
      <c r="AC621" s="20"/>
      <c r="AD621" s="20"/>
      <c r="AE621" s="20"/>
    </row>
    <row r="622">
      <c r="A622" s="21">
        <v>16.0</v>
      </c>
      <c r="B622" s="22" t="s">
        <v>1741</v>
      </c>
      <c r="C622" s="22" t="s">
        <v>1564</v>
      </c>
      <c r="I622" s="25" t="s">
        <v>1788</v>
      </c>
      <c r="J622" s="25" t="s">
        <v>1745</v>
      </c>
      <c r="K622" s="25" t="s">
        <v>71</v>
      </c>
      <c r="L622" s="25" t="s">
        <v>292</v>
      </c>
      <c r="M622" s="25" t="s">
        <v>1789</v>
      </c>
      <c r="N622" s="25" t="s">
        <v>1790</v>
      </c>
      <c r="O622" s="25" t="s">
        <v>63</v>
      </c>
      <c r="P622" s="25" t="s">
        <v>52</v>
      </c>
      <c r="Q622" s="26"/>
      <c r="R622" s="26"/>
      <c r="S622" s="26"/>
      <c r="T622" s="22"/>
      <c r="U622" s="26"/>
      <c r="V622" s="26"/>
      <c r="W622" s="20"/>
      <c r="X622" s="20"/>
      <c r="Y622" s="20"/>
      <c r="Z622" s="20"/>
      <c r="AA622" s="20"/>
      <c r="AB622" s="20"/>
      <c r="AC622" s="20"/>
      <c r="AD622" s="20"/>
      <c r="AE622" s="20"/>
    </row>
    <row r="623">
      <c r="A623" s="21">
        <v>16.0</v>
      </c>
      <c r="B623" s="22" t="s">
        <v>1741</v>
      </c>
      <c r="C623" s="22" t="s">
        <v>1564</v>
      </c>
      <c r="I623" s="25" t="s">
        <v>1258</v>
      </c>
      <c r="J623" s="25" t="s">
        <v>1745</v>
      </c>
      <c r="K623" s="25" t="s">
        <v>71</v>
      </c>
      <c r="L623" s="25" t="s">
        <v>2220</v>
      </c>
      <c r="M623" s="25" t="s">
        <v>1791</v>
      </c>
      <c r="N623" s="25" t="s">
        <v>1792</v>
      </c>
      <c r="O623" s="25" t="s">
        <v>63</v>
      </c>
      <c r="P623" s="25"/>
      <c r="Q623" s="26"/>
      <c r="R623" s="26"/>
      <c r="S623" s="26"/>
      <c r="T623" s="20"/>
      <c r="U623" s="26"/>
      <c r="V623" s="26"/>
      <c r="W623" s="20"/>
      <c r="X623" s="20"/>
      <c r="Y623" s="20"/>
      <c r="Z623" s="20"/>
      <c r="AA623" s="20"/>
      <c r="AB623" s="20"/>
      <c r="AC623" s="20"/>
      <c r="AD623" s="20"/>
      <c r="AE623" s="20"/>
    </row>
    <row r="624">
      <c r="A624" s="21">
        <v>16.0</v>
      </c>
      <c r="B624" s="22" t="s">
        <v>1741</v>
      </c>
      <c r="C624" s="22" t="s">
        <v>1564</v>
      </c>
      <c r="I624" s="25" t="s">
        <v>1793</v>
      </c>
      <c r="J624" s="25" t="s">
        <v>1745</v>
      </c>
      <c r="K624" s="25" t="s">
        <v>71</v>
      </c>
      <c r="L624" s="25" t="s">
        <v>292</v>
      </c>
      <c r="M624" s="25" t="s">
        <v>1794</v>
      </c>
      <c r="N624" s="25" t="s">
        <v>1795</v>
      </c>
      <c r="O624" s="25" t="s">
        <v>63</v>
      </c>
      <c r="P624" s="25" t="s">
        <v>52</v>
      </c>
      <c r="Q624" s="26"/>
      <c r="R624" s="26"/>
      <c r="S624" s="26"/>
      <c r="T624" s="22"/>
      <c r="U624" s="26"/>
      <c r="V624" s="26"/>
      <c r="W624" s="20"/>
      <c r="X624" s="20"/>
      <c r="Y624" s="20"/>
      <c r="Z624" s="20"/>
      <c r="AA624" s="20"/>
      <c r="AB624" s="20"/>
      <c r="AC624" s="20"/>
      <c r="AD624" s="20"/>
      <c r="AE624" s="20"/>
    </row>
    <row r="625">
      <c r="A625" s="21">
        <v>16.0</v>
      </c>
      <c r="B625" s="20" t="s">
        <v>1741</v>
      </c>
      <c r="C625" s="20" t="s">
        <v>1564</v>
      </c>
      <c r="I625" s="25" t="s">
        <v>1612</v>
      </c>
      <c r="J625" s="25" t="s">
        <v>1745</v>
      </c>
      <c r="K625" s="25" t="s">
        <v>71</v>
      </c>
      <c r="L625" s="25" t="s">
        <v>2220</v>
      </c>
      <c r="M625" s="20" t="s">
        <v>1613</v>
      </c>
      <c r="N625" s="20" t="s">
        <v>1796</v>
      </c>
      <c r="O625" s="20" t="s">
        <v>63</v>
      </c>
      <c r="P625" s="20"/>
      <c r="Q625" s="26"/>
      <c r="R625" s="26"/>
      <c r="S625" s="26"/>
      <c r="T625" s="20"/>
      <c r="U625" s="26"/>
      <c r="V625" s="26"/>
      <c r="W625" s="20"/>
      <c r="X625" s="20"/>
      <c r="Y625" s="20"/>
      <c r="Z625" s="20"/>
      <c r="AA625" s="20"/>
      <c r="AB625" s="20"/>
      <c r="AC625" s="20"/>
      <c r="AD625" s="20"/>
      <c r="AE625" s="20"/>
    </row>
    <row r="626">
      <c r="A626" s="21">
        <v>16.0</v>
      </c>
      <c r="B626" s="20" t="s">
        <v>1741</v>
      </c>
      <c r="C626" s="20" t="s">
        <v>1564</v>
      </c>
      <c r="I626" s="25" t="s">
        <v>1797</v>
      </c>
      <c r="J626" s="25" t="s">
        <v>1745</v>
      </c>
      <c r="K626" s="25" t="s">
        <v>71</v>
      </c>
      <c r="L626" s="25" t="s">
        <v>292</v>
      </c>
      <c r="M626" s="20" t="s">
        <v>1798</v>
      </c>
      <c r="N626" s="20" t="s">
        <v>1799</v>
      </c>
      <c r="O626" s="20" t="s">
        <v>63</v>
      </c>
      <c r="P626" s="20" t="s">
        <v>52</v>
      </c>
      <c r="Q626" s="26"/>
      <c r="R626" s="26"/>
      <c r="S626" s="26"/>
      <c r="T626" s="22"/>
      <c r="U626" s="26"/>
      <c r="V626" s="26"/>
      <c r="W626" s="20"/>
      <c r="X626" s="20"/>
      <c r="Y626" s="20"/>
      <c r="Z626" s="20"/>
      <c r="AA626" s="20"/>
      <c r="AB626" s="20"/>
      <c r="AC626" s="20"/>
      <c r="AD626" s="20"/>
      <c r="AE626" s="20"/>
    </row>
    <row r="627">
      <c r="A627" s="21">
        <v>16.0</v>
      </c>
      <c r="B627" s="20" t="s">
        <v>1741</v>
      </c>
      <c r="C627" s="20" t="s">
        <v>1564</v>
      </c>
      <c r="I627" s="25" t="s">
        <v>1764</v>
      </c>
      <c r="J627" s="25" t="s">
        <v>1749</v>
      </c>
      <c r="K627" s="25" t="s">
        <v>71</v>
      </c>
      <c r="L627" s="25" t="s">
        <v>2220</v>
      </c>
      <c r="M627" s="20" t="s">
        <v>1765</v>
      </c>
      <c r="N627" s="20" t="s">
        <v>1766</v>
      </c>
      <c r="O627" s="20" t="s">
        <v>63</v>
      </c>
      <c r="P627" s="20"/>
      <c r="Q627" s="26"/>
      <c r="R627" s="26"/>
      <c r="S627" s="26"/>
      <c r="T627" s="20"/>
      <c r="U627" s="26"/>
      <c r="V627" s="26"/>
      <c r="W627" s="20"/>
      <c r="X627" s="20"/>
      <c r="Y627" s="20"/>
      <c r="Z627" s="20"/>
      <c r="AA627" s="20"/>
      <c r="AB627" s="20"/>
      <c r="AC627" s="20"/>
      <c r="AD627" s="20"/>
      <c r="AE627" s="20"/>
    </row>
    <row r="628">
      <c r="A628" s="21">
        <v>16.0</v>
      </c>
      <c r="B628" s="20" t="s">
        <v>1741</v>
      </c>
      <c r="C628" s="20" t="s">
        <v>1564</v>
      </c>
      <c r="I628" s="25" t="s">
        <v>1800</v>
      </c>
      <c r="J628" s="25" t="s">
        <v>1745</v>
      </c>
      <c r="K628" s="25" t="s">
        <v>71</v>
      </c>
      <c r="L628" s="25" t="s">
        <v>2235</v>
      </c>
      <c r="M628" s="20" t="s">
        <v>1801</v>
      </c>
      <c r="N628" s="20" t="s">
        <v>1802</v>
      </c>
      <c r="O628" s="20" t="s">
        <v>63</v>
      </c>
      <c r="P628" s="20"/>
      <c r="Q628" s="26"/>
      <c r="R628" s="26"/>
      <c r="S628" s="26"/>
      <c r="T628" s="20"/>
      <c r="U628" s="26"/>
      <c r="V628" s="26"/>
      <c r="W628" s="20"/>
      <c r="X628" s="20"/>
      <c r="Y628" s="20"/>
      <c r="Z628" s="20"/>
      <c r="AA628" s="20"/>
      <c r="AB628" s="20"/>
      <c r="AC628" s="20"/>
      <c r="AD628" s="20"/>
      <c r="AE628" s="20"/>
    </row>
    <row r="629">
      <c r="A629" s="21">
        <v>16.0</v>
      </c>
      <c r="B629" s="20" t="s">
        <v>1741</v>
      </c>
      <c r="C629" s="20" t="s">
        <v>1564</v>
      </c>
      <c r="I629" s="25" t="s">
        <v>1803</v>
      </c>
      <c r="J629" s="25" t="s">
        <v>1745</v>
      </c>
      <c r="K629" s="25" t="s">
        <v>71</v>
      </c>
      <c r="L629" s="25" t="s">
        <v>2220</v>
      </c>
      <c r="M629" s="20" t="s">
        <v>61</v>
      </c>
      <c r="N629" s="20" t="s">
        <v>1804</v>
      </c>
      <c r="O629" s="20" t="s">
        <v>63</v>
      </c>
      <c r="P629" s="20"/>
      <c r="Q629" s="26"/>
      <c r="R629" s="26"/>
      <c r="S629" s="26"/>
      <c r="T629" s="20"/>
      <c r="U629" s="26"/>
      <c r="V629" s="26"/>
      <c r="W629" s="20"/>
      <c r="X629" s="20"/>
      <c r="Y629" s="20"/>
      <c r="Z629" s="20"/>
      <c r="AA629" s="20"/>
      <c r="AB629" s="20"/>
      <c r="AC629" s="20"/>
      <c r="AD629" s="20"/>
      <c r="AE629" s="20"/>
    </row>
    <row r="630">
      <c r="A630" s="21">
        <v>16.0</v>
      </c>
      <c r="B630" s="20" t="s">
        <v>1741</v>
      </c>
      <c r="C630" s="20" t="s">
        <v>1564</v>
      </c>
      <c r="I630" s="25" t="s">
        <v>1805</v>
      </c>
      <c r="J630" s="25" t="s">
        <v>1745</v>
      </c>
      <c r="K630" s="25" t="s">
        <v>71</v>
      </c>
      <c r="L630" s="25" t="s">
        <v>2220</v>
      </c>
      <c r="M630" s="20" t="s">
        <v>61</v>
      </c>
      <c r="N630" s="20" t="s">
        <v>1806</v>
      </c>
      <c r="O630" s="20" t="s">
        <v>63</v>
      </c>
      <c r="P630" s="20"/>
      <c r="Q630" s="26"/>
      <c r="R630" s="26"/>
      <c r="S630" s="26"/>
      <c r="T630" s="20"/>
      <c r="U630" s="26"/>
      <c r="V630" s="26"/>
      <c r="W630" s="20"/>
      <c r="X630" s="20"/>
      <c r="Y630" s="20"/>
      <c r="Z630" s="20"/>
      <c r="AA630" s="20"/>
      <c r="AB630" s="20"/>
      <c r="AC630" s="20"/>
      <c r="AD630" s="20"/>
      <c r="AE630" s="20"/>
    </row>
    <row r="631">
      <c r="A631" s="21">
        <v>16.0</v>
      </c>
      <c r="B631" s="20" t="s">
        <v>1741</v>
      </c>
      <c r="C631" s="20" t="s">
        <v>1564</v>
      </c>
      <c r="I631" s="25" t="s">
        <v>1807</v>
      </c>
      <c r="J631" s="25" t="s">
        <v>1745</v>
      </c>
      <c r="K631" s="25" t="s">
        <v>71</v>
      </c>
      <c r="L631" s="25" t="s">
        <v>2220</v>
      </c>
      <c r="M631" s="20" t="s">
        <v>1808</v>
      </c>
      <c r="N631" s="20" t="s">
        <v>1810</v>
      </c>
      <c r="O631" s="20" t="s">
        <v>63</v>
      </c>
      <c r="P631" s="20"/>
      <c r="Q631" s="26"/>
      <c r="R631" s="26"/>
      <c r="S631" s="26"/>
      <c r="T631" s="20"/>
      <c r="U631" s="26"/>
      <c r="V631" s="26"/>
      <c r="W631" s="20"/>
      <c r="X631" s="20"/>
      <c r="Y631" s="20"/>
      <c r="Z631" s="20"/>
      <c r="AA631" s="20"/>
      <c r="AB631" s="20"/>
      <c r="AC631" s="20"/>
      <c r="AD631" s="20"/>
      <c r="AE631" s="20"/>
    </row>
    <row r="632">
      <c r="A632" s="21">
        <v>17.0</v>
      </c>
      <c r="B632" s="20" t="s">
        <v>1608</v>
      </c>
      <c r="C632" s="20" t="s">
        <v>1564</v>
      </c>
      <c r="D632" s="35">
        <v>30.0</v>
      </c>
      <c r="E632" s="35">
        <v>2.0</v>
      </c>
      <c r="F632" s="35">
        <v>3.0</v>
      </c>
      <c r="G632" s="35">
        <v>25.0</v>
      </c>
      <c r="H632" s="36" t="s">
        <v>2272</v>
      </c>
      <c r="I632" s="25" t="s">
        <v>1812</v>
      </c>
      <c r="J632" s="25" t="s">
        <v>1811</v>
      </c>
      <c r="K632" s="25" t="s">
        <v>57</v>
      </c>
      <c r="L632" s="25" t="s">
        <v>2273</v>
      </c>
      <c r="M632" s="20" t="s">
        <v>1813</v>
      </c>
      <c r="N632" s="20" t="s">
        <v>1814</v>
      </c>
      <c r="O632" s="20" t="s">
        <v>56</v>
      </c>
      <c r="P632" s="20"/>
      <c r="Q632" s="26"/>
      <c r="R632" s="26"/>
      <c r="S632" s="26"/>
      <c r="T632" s="20"/>
      <c r="U632" s="26"/>
      <c r="V632" s="26"/>
      <c r="W632" s="20"/>
      <c r="X632" s="20"/>
      <c r="Y632" s="20"/>
      <c r="Z632" s="20"/>
      <c r="AA632" s="20"/>
      <c r="AB632" s="20"/>
      <c r="AC632" s="20"/>
      <c r="AD632" s="20"/>
      <c r="AE632" s="20"/>
    </row>
    <row r="633">
      <c r="A633" s="21">
        <v>17.0</v>
      </c>
      <c r="B633" s="20" t="s">
        <v>1608</v>
      </c>
      <c r="C633" s="20" t="s">
        <v>1564</v>
      </c>
      <c r="I633" s="25" t="s">
        <v>1699</v>
      </c>
      <c r="J633" s="25" t="s">
        <v>1815</v>
      </c>
      <c r="K633" s="25" t="s">
        <v>57</v>
      </c>
      <c r="L633" s="25" t="s">
        <v>2274</v>
      </c>
      <c r="M633" s="20" t="s">
        <v>61</v>
      </c>
      <c r="N633" s="20" t="s">
        <v>1816</v>
      </c>
      <c r="O633" s="20" t="s">
        <v>63</v>
      </c>
      <c r="P633" s="20"/>
      <c r="Q633" s="26"/>
      <c r="R633" s="26"/>
      <c r="S633" s="26"/>
      <c r="T633" s="20"/>
      <c r="U633" s="26"/>
      <c r="V633" s="26"/>
      <c r="W633" s="20"/>
      <c r="X633" s="20"/>
      <c r="Y633" s="20"/>
      <c r="Z633" s="20"/>
      <c r="AA633" s="20"/>
      <c r="AB633" s="20"/>
      <c r="AC633" s="20"/>
      <c r="AD633" s="20"/>
      <c r="AE633" s="20"/>
    </row>
    <row r="634">
      <c r="A634" s="21">
        <v>17.0</v>
      </c>
      <c r="B634" s="20" t="s">
        <v>1608</v>
      </c>
      <c r="C634" s="20" t="s">
        <v>1564</v>
      </c>
      <c r="I634" s="25" t="s">
        <v>1817</v>
      </c>
      <c r="J634" s="25" t="s">
        <v>1815</v>
      </c>
      <c r="K634" s="25" t="s">
        <v>67</v>
      </c>
      <c r="L634" s="25" t="s">
        <v>2277</v>
      </c>
      <c r="M634" s="20" t="s">
        <v>1818</v>
      </c>
      <c r="N634" s="20" t="s">
        <v>1819</v>
      </c>
      <c r="O634" s="20" t="s">
        <v>63</v>
      </c>
      <c r="P634" s="20"/>
      <c r="Q634" s="26"/>
      <c r="R634" s="26"/>
      <c r="S634" s="26"/>
      <c r="T634" s="20"/>
      <c r="U634" s="26"/>
      <c r="V634" s="26"/>
      <c r="W634" s="20"/>
      <c r="X634" s="20"/>
      <c r="Y634" s="20"/>
      <c r="Z634" s="20"/>
      <c r="AA634" s="20"/>
      <c r="AB634" s="20"/>
      <c r="AC634" s="20"/>
      <c r="AD634" s="20"/>
      <c r="AE634" s="20"/>
    </row>
    <row r="635">
      <c r="A635" s="21">
        <v>17.0</v>
      </c>
      <c r="B635" s="20" t="s">
        <v>1608</v>
      </c>
      <c r="C635" s="20" t="s">
        <v>1564</v>
      </c>
      <c r="I635" s="25" t="s">
        <v>1820</v>
      </c>
      <c r="J635" s="25" t="s">
        <v>1815</v>
      </c>
      <c r="K635" s="25" t="s">
        <v>67</v>
      </c>
      <c r="L635" s="25" t="s">
        <v>2278</v>
      </c>
      <c r="M635" s="20" t="s">
        <v>1821</v>
      </c>
      <c r="N635" s="20" t="s">
        <v>1822</v>
      </c>
      <c r="O635" s="20" t="s">
        <v>63</v>
      </c>
      <c r="P635" s="20"/>
      <c r="Q635" s="26"/>
      <c r="R635" s="26"/>
      <c r="S635" s="26"/>
      <c r="T635" s="20"/>
      <c r="U635" s="26"/>
      <c r="V635" s="26"/>
      <c r="W635" s="20"/>
      <c r="X635" s="20"/>
      <c r="Y635" s="20"/>
      <c r="Z635" s="20"/>
      <c r="AA635" s="20"/>
      <c r="AB635" s="20"/>
      <c r="AC635" s="20"/>
      <c r="AD635" s="20"/>
      <c r="AE635" s="20"/>
    </row>
    <row r="636">
      <c r="A636" s="21">
        <v>17.0</v>
      </c>
      <c r="B636" s="20" t="s">
        <v>1608</v>
      </c>
      <c r="C636" s="20" t="s">
        <v>1564</v>
      </c>
      <c r="I636" s="25" t="s">
        <v>1823</v>
      </c>
      <c r="J636" s="25" t="s">
        <v>1815</v>
      </c>
      <c r="K636" s="25" t="s">
        <v>67</v>
      </c>
      <c r="L636" s="25" t="s">
        <v>2280</v>
      </c>
      <c r="M636" s="20" t="s">
        <v>1824</v>
      </c>
      <c r="N636" s="20" t="s">
        <v>1825</v>
      </c>
      <c r="O636" s="20" t="s">
        <v>63</v>
      </c>
      <c r="P636" s="20"/>
      <c r="Q636" s="26"/>
      <c r="R636" s="26"/>
      <c r="S636" s="26"/>
      <c r="T636" s="20"/>
      <c r="U636" s="26"/>
      <c r="V636" s="26"/>
      <c r="W636" s="20"/>
      <c r="X636" s="20"/>
      <c r="Y636" s="20"/>
      <c r="Z636" s="20"/>
      <c r="AA636" s="20"/>
      <c r="AB636" s="20"/>
      <c r="AC636" s="20"/>
      <c r="AD636" s="20"/>
      <c r="AE636" s="20"/>
    </row>
    <row r="637">
      <c r="A637" s="21">
        <v>17.0</v>
      </c>
      <c r="B637" s="20" t="s">
        <v>1608</v>
      </c>
      <c r="C637" s="20" t="s">
        <v>1564</v>
      </c>
      <c r="I637" s="25" t="s">
        <v>1826</v>
      </c>
      <c r="J637" s="25" t="s">
        <v>1815</v>
      </c>
      <c r="K637" s="25" t="s">
        <v>71</v>
      </c>
      <c r="L637" s="25" t="s">
        <v>292</v>
      </c>
      <c r="M637" s="20" t="s">
        <v>1827</v>
      </c>
      <c r="N637" s="20" t="s">
        <v>1828</v>
      </c>
      <c r="O637" s="20" t="s">
        <v>63</v>
      </c>
      <c r="P637" s="20" t="s">
        <v>52</v>
      </c>
      <c r="Q637" s="26"/>
      <c r="R637" s="26"/>
      <c r="S637" s="26"/>
      <c r="T637" s="22"/>
      <c r="U637" s="26"/>
      <c r="V637" s="26"/>
      <c r="W637" s="20"/>
      <c r="X637" s="20"/>
      <c r="Y637" s="20"/>
      <c r="Z637" s="20"/>
      <c r="AA637" s="20"/>
      <c r="AB637" s="20"/>
      <c r="AC637" s="20"/>
      <c r="AD637" s="20"/>
      <c r="AE637" s="20"/>
    </row>
    <row r="638">
      <c r="A638" s="21">
        <v>17.0</v>
      </c>
      <c r="B638" s="20" t="s">
        <v>1608</v>
      </c>
      <c r="C638" s="20" t="s">
        <v>1564</v>
      </c>
      <c r="I638" s="25" t="s">
        <v>1764</v>
      </c>
      <c r="J638" s="25" t="s">
        <v>1815</v>
      </c>
      <c r="K638" s="25" t="s">
        <v>71</v>
      </c>
      <c r="L638" s="25" t="s">
        <v>292</v>
      </c>
      <c r="M638" s="20" t="s">
        <v>1829</v>
      </c>
      <c r="N638" s="20" t="s">
        <v>1830</v>
      </c>
      <c r="O638" s="20" t="s">
        <v>63</v>
      </c>
      <c r="P638" s="20" t="s">
        <v>52</v>
      </c>
      <c r="Q638" s="26"/>
      <c r="R638" s="26"/>
      <c r="S638" s="26"/>
      <c r="T638" s="22"/>
      <c r="U638" s="26"/>
      <c r="V638" s="26"/>
      <c r="W638" s="20"/>
      <c r="X638" s="20"/>
      <c r="Y638" s="20"/>
      <c r="Z638" s="20"/>
      <c r="AA638" s="20"/>
      <c r="AB638" s="20"/>
      <c r="AC638" s="20"/>
      <c r="AD638" s="20"/>
      <c r="AE638" s="20"/>
    </row>
    <row r="639">
      <c r="A639" s="21">
        <v>17.0</v>
      </c>
      <c r="B639" s="20" t="s">
        <v>1608</v>
      </c>
      <c r="C639" s="20" t="s">
        <v>1564</v>
      </c>
      <c r="I639" s="25" t="s">
        <v>1605</v>
      </c>
      <c r="J639" s="25" t="s">
        <v>1815</v>
      </c>
      <c r="K639" s="25" t="s">
        <v>71</v>
      </c>
      <c r="L639" s="25" t="s">
        <v>292</v>
      </c>
      <c r="M639" s="20" t="s">
        <v>1831</v>
      </c>
      <c r="N639" s="20" t="s">
        <v>1832</v>
      </c>
      <c r="O639" s="20" t="s">
        <v>63</v>
      </c>
      <c r="P639" s="20" t="s">
        <v>52</v>
      </c>
      <c r="Q639" s="26"/>
      <c r="R639" s="26"/>
      <c r="S639" s="26"/>
      <c r="T639" s="22"/>
      <c r="U639" s="26"/>
      <c r="V639" s="26"/>
      <c r="W639" s="20"/>
      <c r="X639" s="20"/>
      <c r="Y639" s="20"/>
      <c r="Z639" s="20"/>
      <c r="AA639" s="20"/>
      <c r="AB639" s="20"/>
      <c r="AC639" s="20"/>
      <c r="AD639" s="20"/>
      <c r="AE639" s="20"/>
    </row>
    <row r="640">
      <c r="A640" s="21">
        <v>17.0</v>
      </c>
      <c r="B640" s="20" t="s">
        <v>1608</v>
      </c>
      <c r="C640" s="20" t="s">
        <v>1564</v>
      </c>
      <c r="I640" s="25" t="s">
        <v>1833</v>
      </c>
      <c r="J640" s="25" t="s">
        <v>1815</v>
      </c>
      <c r="K640" s="25" t="s">
        <v>71</v>
      </c>
      <c r="L640" s="25" t="s">
        <v>2287</v>
      </c>
      <c r="M640" s="20" t="s">
        <v>1834</v>
      </c>
      <c r="N640" s="20" t="s">
        <v>1835</v>
      </c>
      <c r="O640" s="20" t="s">
        <v>63</v>
      </c>
      <c r="P640" s="20"/>
      <c r="Q640" s="26"/>
      <c r="R640" s="26"/>
      <c r="S640" s="26"/>
      <c r="T640" s="20"/>
      <c r="U640" s="26"/>
      <c r="V640" s="26"/>
      <c r="W640" s="20"/>
      <c r="X640" s="20"/>
      <c r="Y640" s="20"/>
      <c r="Z640" s="20"/>
      <c r="AA640" s="20"/>
      <c r="AB640" s="20"/>
      <c r="AC640" s="20"/>
      <c r="AD640" s="20"/>
      <c r="AE640" s="20"/>
    </row>
    <row r="641">
      <c r="A641" s="21">
        <v>17.0</v>
      </c>
      <c r="B641" s="20" t="s">
        <v>1608</v>
      </c>
      <c r="C641" s="20" t="s">
        <v>1564</v>
      </c>
      <c r="I641" s="25" t="s">
        <v>1836</v>
      </c>
      <c r="J641" s="25" t="s">
        <v>1815</v>
      </c>
      <c r="K641" s="25" t="s">
        <v>71</v>
      </c>
      <c r="L641" s="25" t="s">
        <v>292</v>
      </c>
      <c r="M641" s="20" t="s">
        <v>1837</v>
      </c>
      <c r="N641" s="20" t="s">
        <v>1838</v>
      </c>
      <c r="O641" s="20" t="s">
        <v>63</v>
      </c>
      <c r="P641" s="20" t="s">
        <v>52</v>
      </c>
      <c r="Q641" s="26"/>
      <c r="R641" s="26"/>
      <c r="S641" s="26"/>
      <c r="T641" s="22"/>
      <c r="U641" s="26"/>
      <c r="V641" s="26"/>
      <c r="W641" s="20"/>
      <c r="X641" s="20"/>
      <c r="Y641" s="20"/>
      <c r="Z641" s="20"/>
      <c r="AA641" s="20"/>
      <c r="AB641" s="20"/>
      <c r="AC641" s="20"/>
      <c r="AD641" s="20"/>
      <c r="AE641" s="20"/>
    </row>
    <row r="642">
      <c r="A642" s="21">
        <v>17.0</v>
      </c>
      <c r="B642" s="20" t="s">
        <v>1608</v>
      </c>
      <c r="C642" s="20" t="s">
        <v>1564</v>
      </c>
      <c r="I642" s="25" t="s">
        <v>1839</v>
      </c>
      <c r="J642" s="25" t="s">
        <v>1815</v>
      </c>
      <c r="K642" s="25" t="s">
        <v>71</v>
      </c>
      <c r="L642" s="25" t="s">
        <v>292</v>
      </c>
      <c r="M642" s="20" t="s">
        <v>1840</v>
      </c>
      <c r="N642" s="20" t="s">
        <v>1841</v>
      </c>
      <c r="O642" s="20" t="s">
        <v>63</v>
      </c>
      <c r="P642" s="20" t="s">
        <v>52</v>
      </c>
      <c r="Q642" s="26"/>
      <c r="R642" s="26"/>
      <c r="S642" s="26"/>
      <c r="T642" s="22"/>
      <c r="U642" s="26"/>
      <c r="V642" s="26"/>
      <c r="W642" s="20"/>
      <c r="X642" s="20"/>
      <c r="Y642" s="20"/>
      <c r="Z642" s="20"/>
      <c r="AA642" s="20"/>
      <c r="AB642" s="20"/>
      <c r="AC642" s="20"/>
      <c r="AD642" s="20"/>
      <c r="AE642" s="20"/>
    </row>
    <row r="643">
      <c r="A643" s="21">
        <v>17.0</v>
      </c>
      <c r="B643" s="20" t="s">
        <v>1608</v>
      </c>
      <c r="C643" s="20" t="s">
        <v>1564</v>
      </c>
      <c r="I643" s="25" t="s">
        <v>1584</v>
      </c>
      <c r="J643" s="25" t="s">
        <v>1815</v>
      </c>
      <c r="K643" s="25" t="s">
        <v>71</v>
      </c>
      <c r="L643" s="25" t="s">
        <v>2289</v>
      </c>
      <c r="M643" s="20" t="s">
        <v>61</v>
      </c>
      <c r="N643" s="20" t="s">
        <v>1842</v>
      </c>
      <c r="O643" s="20" t="s">
        <v>63</v>
      </c>
      <c r="P643" s="20"/>
      <c r="Q643" s="26"/>
      <c r="R643" s="26"/>
      <c r="S643" s="26"/>
      <c r="T643" s="20"/>
      <c r="U643" s="26"/>
      <c r="V643" s="26"/>
      <c r="W643" s="20"/>
      <c r="X643" s="20"/>
      <c r="Y643" s="20"/>
      <c r="Z643" s="20"/>
      <c r="AA643" s="20"/>
      <c r="AB643" s="20"/>
      <c r="AC643" s="20"/>
      <c r="AD643" s="20"/>
      <c r="AE643" s="20"/>
    </row>
    <row r="644">
      <c r="A644" s="21">
        <v>17.0</v>
      </c>
      <c r="B644" s="20" t="s">
        <v>1608</v>
      </c>
      <c r="C644" s="20" t="s">
        <v>1564</v>
      </c>
      <c r="I644" s="25" t="s">
        <v>1843</v>
      </c>
      <c r="J644" s="25" t="s">
        <v>1815</v>
      </c>
      <c r="K644" s="25" t="s">
        <v>71</v>
      </c>
      <c r="L644" s="25" t="s">
        <v>2287</v>
      </c>
      <c r="M644" s="20" t="s">
        <v>1844</v>
      </c>
      <c r="N644" s="20" t="s">
        <v>1846</v>
      </c>
      <c r="O644" s="20" t="s">
        <v>63</v>
      </c>
      <c r="P644" s="20"/>
      <c r="Q644" s="26"/>
      <c r="R644" s="26"/>
      <c r="S644" s="26"/>
      <c r="T644" s="20"/>
      <c r="U644" s="26"/>
      <c r="V644" s="26"/>
      <c r="W644" s="20"/>
      <c r="X644" s="20"/>
      <c r="Y644" s="20"/>
      <c r="Z644" s="20"/>
      <c r="AA644" s="20"/>
      <c r="AB644" s="20"/>
      <c r="AC644" s="20"/>
      <c r="AD644" s="20"/>
      <c r="AE644" s="20"/>
    </row>
    <row r="645">
      <c r="A645" s="21">
        <v>17.0</v>
      </c>
      <c r="B645" s="20" t="s">
        <v>1608</v>
      </c>
      <c r="C645" s="20" t="s">
        <v>1564</v>
      </c>
      <c r="I645" s="25" t="s">
        <v>1710</v>
      </c>
      <c r="J645" s="25" t="s">
        <v>1815</v>
      </c>
      <c r="K645" s="25" t="s">
        <v>71</v>
      </c>
      <c r="L645" s="25" t="s">
        <v>2287</v>
      </c>
      <c r="M645" s="20" t="s">
        <v>1711</v>
      </c>
      <c r="N645" s="20" t="s">
        <v>1848</v>
      </c>
      <c r="O645" s="20" t="s">
        <v>63</v>
      </c>
      <c r="P645" s="20"/>
      <c r="Q645" s="26"/>
      <c r="R645" s="26"/>
      <c r="S645" s="26"/>
      <c r="T645" s="20"/>
      <c r="U645" s="26"/>
      <c r="V645" s="26"/>
      <c r="W645" s="20"/>
      <c r="X645" s="20"/>
      <c r="Y645" s="20"/>
      <c r="Z645" s="20"/>
      <c r="AA645" s="20"/>
      <c r="AB645" s="20"/>
      <c r="AC645" s="20"/>
      <c r="AD645" s="20"/>
      <c r="AE645" s="20"/>
    </row>
    <row r="646">
      <c r="A646" s="21">
        <v>17.0</v>
      </c>
      <c r="B646" s="20" t="s">
        <v>1608</v>
      </c>
      <c r="C646" s="20" t="s">
        <v>1564</v>
      </c>
      <c r="I646" s="25" t="s">
        <v>1618</v>
      </c>
      <c r="J646" s="25" t="s">
        <v>1815</v>
      </c>
      <c r="K646" s="25" t="s">
        <v>71</v>
      </c>
      <c r="L646" s="25" t="s">
        <v>2290</v>
      </c>
      <c r="M646" s="20" t="s">
        <v>61</v>
      </c>
      <c r="N646" s="20" t="s">
        <v>1850</v>
      </c>
      <c r="O646" s="20" t="s">
        <v>63</v>
      </c>
      <c r="P646" s="20"/>
      <c r="Q646" s="26"/>
      <c r="R646" s="26"/>
      <c r="S646" s="26"/>
      <c r="T646" s="20"/>
      <c r="U646" s="26"/>
      <c r="V646" s="26"/>
      <c r="W646" s="20"/>
      <c r="X646" s="20"/>
      <c r="Y646" s="20"/>
      <c r="Z646" s="20"/>
      <c r="AA646" s="20"/>
      <c r="AB646" s="20"/>
      <c r="AC646" s="20"/>
      <c r="AD646" s="20"/>
      <c r="AE646" s="20"/>
    </row>
    <row r="647">
      <c r="A647" s="21">
        <v>17.0</v>
      </c>
      <c r="B647" s="20" t="s">
        <v>1608</v>
      </c>
      <c r="C647" s="20" t="s">
        <v>1564</v>
      </c>
      <c r="I647" s="25" t="s">
        <v>1168</v>
      </c>
      <c r="J647" s="25" t="s">
        <v>1815</v>
      </c>
      <c r="K647" s="25" t="s">
        <v>71</v>
      </c>
      <c r="L647" s="25" t="s">
        <v>292</v>
      </c>
      <c r="M647" s="20" t="s">
        <v>1851</v>
      </c>
      <c r="N647" s="20" t="s">
        <v>1852</v>
      </c>
      <c r="O647" s="20" t="s">
        <v>63</v>
      </c>
      <c r="P647" s="20" t="s">
        <v>52</v>
      </c>
      <c r="Q647" s="26"/>
      <c r="R647" s="26"/>
      <c r="S647" s="26"/>
      <c r="T647" s="22"/>
      <c r="U647" s="26"/>
      <c r="V647" s="26"/>
      <c r="W647" s="20"/>
      <c r="X647" s="20"/>
      <c r="Y647" s="20"/>
      <c r="Z647" s="20"/>
      <c r="AA647" s="20"/>
      <c r="AB647" s="20"/>
      <c r="AC647" s="20"/>
      <c r="AD647" s="20"/>
      <c r="AE647" s="20"/>
    </row>
    <row r="648">
      <c r="A648" s="21">
        <v>17.0</v>
      </c>
      <c r="B648" s="20" t="s">
        <v>1608</v>
      </c>
      <c r="C648" s="20" t="s">
        <v>1564</v>
      </c>
      <c r="I648" s="25" t="s">
        <v>231</v>
      </c>
      <c r="J648" s="25" t="s">
        <v>1815</v>
      </c>
      <c r="K648" s="25" t="s">
        <v>71</v>
      </c>
      <c r="L648" s="25" t="s">
        <v>292</v>
      </c>
      <c r="M648" s="20" t="s">
        <v>1854</v>
      </c>
      <c r="N648" s="20" t="s">
        <v>1855</v>
      </c>
      <c r="O648" s="20" t="s">
        <v>63</v>
      </c>
      <c r="P648" s="20" t="s">
        <v>52</v>
      </c>
      <c r="Q648" s="26"/>
      <c r="R648" s="26"/>
      <c r="S648" s="26"/>
      <c r="T648" s="22"/>
      <c r="U648" s="26"/>
      <c r="V648" s="26"/>
      <c r="W648" s="20"/>
      <c r="X648" s="20"/>
      <c r="Y648" s="20"/>
      <c r="Z648" s="20"/>
      <c r="AA648" s="20"/>
      <c r="AB648" s="20"/>
      <c r="AC648" s="20"/>
      <c r="AD648" s="20"/>
      <c r="AE648" s="20"/>
    </row>
    <row r="649">
      <c r="A649" s="21">
        <v>17.0</v>
      </c>
      <c r="B649" s="20" t="s">
        <v>1608</v>
      </c>
      <c r="C649" s="20" t="s">
        <v>1564</v>
      </c>
      <c r="I649" s="25" t="s">
        <v>1857</v>
      </c>
      <c r="J649" s="25" t="s">
        <v>1815</v>
      </c>
      <c r="K649" s="25" t="s">
        <v>71</v>
      </c>
      <c r="L649" s="25" t="s">
        <v>292</v>
      </c>
      <c r="M649" s="20" t="s">
        <v>1858</v>
      </c>
      <c r="N649" s="20" t="s">
        <v>1859</v>
      </c>
      <c r="O649" s="20" t="s">
        <v>63</v>
      </c>
      <c r="P649" s="20" t="s">
        <v>52</v>
      </c>
      <c r="Q649" s="26"/>
      <c r="R649" s="26"/>
      <c r="S649" s="26"/>
      <c r="T649" s="22"/>
      <c r="U649" s="26"/>
      <c r="V649" s="26"/>
      <c r="W649" s="20"/>
      <c r="X649" s="20"/>
      <c r="Y649" s="20"/>
      <c r="Z649" s="20"/>
      <c r="AA649" s="20"/>
      <c r="AB649" s="20"/>
      <c r="AC649" s="20"/>
      <c r="AD649" s="20"/>
      <c r="AE649" s="20"/>
    </row>
    <row r="650">
      <c r="A650" s="21">
        <v>17.0</v>
      </c>
      <c r="B650" s="20" t="s">
        <v>1608</v>
      </c>
      <c r="C650" s="20" t="s">
        <v>1564</v>
      </c>
      <c r="I650" s="25" t="s">
        <v>1860</v>
      </c>
      <c r="J650" s="25" t="s">
        <v>1815</v>
      </c>
      <c r="K650" s="25" t="s">
        <v>71</v>
      </c>
      <c r="L650" s="25" t="s">
        <v>2287</v>
      </c>
      <c r="M650" s="20" t="s">
        <v>1861</v>
      </c>
      <c r="N650" s="20" t="s">
        <v>1862</v>
      </c>
      <c r="O650" s="20" t="s">
        <v>63</v>
      </c>
      <c r="P650" s="20"/>
      <c r="Q650" s="26"/>
      <c r="R650" s="26"/>
      <c r="S650" s="26"/>
      <c r="T650" s="20"/>
      <c r="U650" s="26"/>
      <c r="V650" s="26"/>
      <c r="W650" s="20"/>
      <c r="X650" s="20"/>
      <c r="Y650" s="20"/>
      <c r="Z650" s="20"/>
      <c r="AA650" s="20"/>
      <c r="AB650" s="20"/>
      <c r="AC650" s="20"/>
      <c r="AD650" s="20"/>
      <c r="AE650" s="20"/>
    </row>
    <row r="651">
      <c r="A651" s="21">
        <v>17.0</v>
      </c>
      <c r="B651" s="20" t="s">
        <v>1608</v>
      </c>
      <c r="C651" s="20" t="s">
        <v>1564</v>
      </c>
      <c r="I651" s="25" t="s">
        <v>1265</v>
      </c>
      <c r="J651" s="25" t="s">
        <v>1815</v>
      </c>
      <c r="K651" s="25" t="s">
        <v>71</v>
      </c>
      <c r="L651" s="25" t="s">
        <v>2289</v>
      </c>
      <c r="M651" s="20" t="s">
        <v>1863</v>
      </c>
      <c r="N651" s="20" t="s">
        <v>1864</v>
      </c>
      <c r="O651" s="20" t="s">
        <v>63</v>
      </c>
      <c r="P651" s="20"/>
      <c r="Q651" s="26"/>
      <c r="R651" s="26"/>
      <c r="S651" s="26"/>
      <c r="T651" s="20"/>
      <c r="U651" s="26"/>
      <c r="V651" s="26"/>
      <c r="W651" s="20"/>
      <c r="X651" s="20"/>
      <c r="Y651" s="20"/>
      <c r="Z651" s="20"/>
      <c r="AA651" s="20"/>
      <c r="AB651" s="20"/>
      <c r="AC651" s="20"/>
      <c r="AD651" s="20"/>
      <c r="AE651" s="20"/>
    </row>
    <row r="652">
      <c r="A652" s="21">
        <v>17.0</v>
      </c>
      <c r="B652" s="20" t="s">
        <v>1608</v>
      </c>
      <c r="C652" s="20" t="s">
        <v>1564</v>
      </c>
      <c r="I652" s="25" t="s">
        <v>1643</v>
      </c>
      <c r="J652" s="25" t="s">
        <v>1815</v>
      </c>
      <c r="K652" s="25" t="s">
        <v>71</v>
      </c>
      <c r="L652" s="25" t="s">
        <v>292</v>
      </c>
      <c r="M652" s="20" t="s">
        <v>1866</v>
      </c>
      <c r="N652" s="20" t="s">
        <v>1867</v>
      </c>
      <c r="O652" s="20" t="s">
        <v>63</v>
      </c>
      <c r="P652" s="20" t="s">
        <v>52</v>
      </c>
      <c r="Q652" s="26"/>
      <c r="R652" s="26"/>
      <c r="S652" s="26"/>
      <c r="T652" s="22"/>
      <c r="U652" s="26"/>
      <c r="V652" s="26"/>
      <c r="W652" s="20"/>
      <c r="X652" s="20"/>
      <c r="Y652" s="20"/>
      <c r="Z652" s="20"/>
      <c r="AA652" s="20"/>
      <c r="AB652" s="20"/>
      <c r="AC652" s="20"/>
      <c r="AD652" s="20"/>
      <c r="AE652" s="20"/>
    </row>
    <row r="653">
      <c r="A653" s="21">
        <v>17.0</v>
      </c>
      <c r="B653" s="20" t="s">
        <v>1608</v>
      </c>
      <c r="C653" s="20" t="s">
        <v>1564</v>
      </c>
      <c r="I653" s="25" t="s">
        <v>1677</v>
      </c>
      <c r="J653" s="25" t="s">
        <v>1815</v>
      </c>
      <c r="K653" s="25" t="s">
        <v>71</v>
      </c>
      <c r="L653" s="25" t="s">
        <v>292</v>
      </c>
      <c r="M653" s="20" t="s">
        <v>1868</v>
      </c>
      <c r="N653" s="20" t="s">
        <v>1869</v>
      </c>
      <c r="O653" s="20" t="s">
        <v>63</v>
      </c>
      <c r="P653" s="20" t="s">
        <v>52</v>
      </c>
      <c r="Q653" s="26"/>
      <c r="R653" s="26"/>
      <c r="S653" s="26"/>
      <c r="T653" s="22"/>
      <c r="U653" s="26"/>
      <c r="V653" s="26"/>
      <c r="W653" s="20"/>
      <c r="X653" s="20"/>
      <c r="Y653" s="20"/>
      <c r="Z653" s="20"/>
      <c r="AA653" s="20"/>
      <c r="AB653" s="20"/>
      <c r="AC653" s="20"/>
      <c r="AD653" s="20"/>
      <c r="AE653" s="20"/>
    </row>
    <row r="654">
      <c r="A654" s="21">
        <v>17.0</v>
      </c>
      <c r="B654" s="20" t="s">
        <v>1608</v>
      </c>
      <c r="C654" s="20" t="s">
        <v>1564</v>
      </c>
      <c r="I654" s="25" t="s">
        <v>1871</v>
      </c>
      <c r="J654" s="25" t="s">
        <v>1815</v>
      </c>
      <c r="K654" s="25" t="s">
        <v>71</v>
      </c>
      <c r="L654" s="25" t="s">
        <v>2287</v>
      </c>
      <c r="M654" s="20" t="s">
        <v>1872</v>
      </c>
      <c r="N654" s="20" t="s">
        <v>1873</v>
      </c>
      <c r="O654" s="20" t="s">
        <v>63</v>
      </c>
      <c r="P654" s="20"/>
      <c r="Q654" s="26"/>
      <c r="R654" s="26"/>
      <c r="S654" s="26"/>
      <c r="T654" s="20"/>
      <c r="U654" s="26"/>
      <c r="V654" s="26"/>
      <c r="W654" s="20"/>
      <c r="X654" s="20"/>
      <c r="Y654" s="20"/>
      <c r="Z654" s="20"/>
      <c r="AA654" s="20"/>
      <c r="AB654" s="20"/>
      <c r="AC654" s="20"/>
      <c r="AD654" s="20"/>
      <c r="AE654" s="20"/>
    </row>
    <row r="655">
      <c r="A655" s="21">
        <v>17.0</v>
      </c>
      <c r="B655" s="20" t="s">
        <v>1608</v>
      </c>
      <c r="C655" s="20" t="s">
        <v>1564</v>
      </c>
      <c r="I655" s="25" t="s">
        <v>1875</v>
      </c>
      <c r="J655" s="25" t="s">
        <v>1815</v>
      </c>
      <c r="K655" s="25" t="s">
        <v>71</v>
      </c>
      <c r="L655" s="25" t="s">
        <v>292</v>
      </c>
      <c r="M655" s="20" t="s">
        <v>1876</v>
      </c>
      <c r="N655" s="20" t="s">
        <v>1877</v>
      </c>
      <c r="O655" s="20" t="s">
        <v>63</v>
      </c>
      <c r="P655" s="20" t="s">
        <v>52</v>
      </c>
      <c r="Q655" s="26"/>
      <c r="R655" s="26"/>
      <c r="S655" s="26"/>
      <c r="T655" s="22"/>
      <c r="U655" s="26"/>
      <c r="V655" s="26"/>
      <c r="W655" s="20"/>
      <c r="X655" s="20"/>
      <c r="Y655" s="20"/>
      <c r="Z655" s="20"/>
      <c r="AA655" s="20"/>
      <c r="AB655" s="20"/>
      <c r="AC655" s="20"/>
      <c r="AD655" s="20"/>
      <c r="AE655" s="20"/>
    </row>
    <row r="656">
      <c r="A656" s="21">
        <v>17.0</v>
      </c>
      <c r="B656" s="20" t="s">
        <v>1608</v>
      </c>
      <c r="C656" s="20" t="s">
        <v>1564</v>
      </c>
      <c r="I656" s="25" t="s">
        <v>1878</v>
      </c>
      <c r="J656" s="25" t="s">
        <v>1815</v>
      </c>
      <c r="K656" s="25" t="s">
        <v>71</v>
      </c>
      <c r="L656" s="25" t="s">
        <v>2314</v>
      </c>
      <c r="M656" s="20" t="s">
        <v>1879</v>
      </c>
      <c r="N656" s="20" t="s">
        <v>1880</v>
      </c>
      <c r="O656" s="20" t="s">
        <v>63</v>
      </c>
      <c r="P656" s="20"/>
      <c r="Q656" s="26"/>
      <c r="R656" s="26"/>
      <c r="S656" s="26"/>
      <c r="T656" s="20"/>
      <c r="U656" s="26"/>
      <c r="V656" s="26"/>
      <c r="W656" s="20"/>
      <c r="X656" s="20"/>
      <c r="Y656" s="20"/>
      <c r="Z656" s="20"/>
      <c r="AA656" s="20"/>
      <c r="AB656" s="20"/>
      <c r="AC656" s="20"/>
      <c r="AD656" s="20"/>
      <c r="AE656" s="20"/>
    </row>
    <row r="657">
      <c r="A657" s="21">
        <v>17.0</v>
      </c>
      <c r="B657" s="20" t="s">
        <v>1608</v>
      </c>
      <c r="C657" s="20" t="s">
        <v>1564</v>
      </c>
      <c r="I657" s="25" t="s">
        <v>1881</v>
      </c>
      <c r="J657" s="25" t="s">
        <v>1815</v>
      </c>
      <c r="K657" s="25" t="s">
        <v>71</v>
      </c>
      <c r="L657" s="25" t="s">
        <v>2287</v>
      </c>
      <c r="M657" s="20" t="s">
        <v>1882</v>
      </c>
      <c r="N657" s="20" t="s">
        <v>1883</v>
      </c>
      <c r="O657" s="20" t="s">
        <v>63</v>
      </c>
      <c r="P657" s="20"/>
      <c r="Q657" s="26"/>
      <c r="R657" s="26"/>
      <c r="S657" s="26"/>
      <c r="T657" s="20"/>
      <c r="U657" s="26"/>
      <c r="V657" s="26"/>
      <c r="W657" s="20"/>
      <c r="X657" s="20"/>
      <c r="Y657" s="20"/>
      <c r="Z657" s="20"/>
      <c r="AA657" s="20"/>
      <c r="AB657" s="20"/>
      <c r="AC657" s="20"/>
      <c r="AD657" s="20"/>
      <c r="AE657" s="20"/>
    </row>
    <row r="658">
      <c r="A658" s="21">
        <v>17.0</v>
      </c>
      <c r="B658" s="20" t="s">
        <v>1608</v>
      </c>
      <c r="C658" s="20" t="s">
        <v>1564</v>
      </c>
      <c r="I658" s="25" t="s">
        <v>1884</v>
      </c>
      <c r="J658" s="25" t="s">
        <v>1815</v>
      </c>
      <c r="K658" s="25" t="s">
        <v>71</v>
      </c>
      <c r="L658" s="25" t="s">
        <v>292</v>
      </c>
      <c r="M658" s="20" t="s">
        <v>1885</v>
      </c>
      <c r="N658" s="20" t="s">
        <v>1886</v>
      </c>
      <c r="O658" s="20" t="s">
        <v>63</v>
      </c>
      <c r="P658" s="20" t="s">
        <v>52</v>
      </c>
      <c r="Q658" s="26"/>
      <c r="R658" s="26"/>
      <c r="S658" s="26"/>
      <c r="T658" s="22"/>
      <c r="U658" s="26"/>
      <c r="V658" s="26"/>
      <c r="W658" s="20"/>
      <c r="X658" s="20"/>
      <c r="Y658" s="20"/>
      <c r="Z658" s="20"/>
      <c r="AA658" s="20"/>
      <c r="AB658" s="20"/>
      <c r="AC658" s="20"/>
      <c r="AD658" s="20"/>
      <c r="AE658" s="20"/>
    </row>
    <row r="659">
      <c r="A659" s="21">
        <v>17.0</v>
      </c>
      <c r="B659" s="20" t="s">
        <v>1608</v>
      </c>
      <c r="C659" s="20" t="s">
        <v>1564</v>
      </c>
      <c r="I659" s="25" t="s">
        <v>1887</v>
      </c>
      <c r="J659" s="25" t="s">
        <v>1815</v>
      </c>
      <c r="K659" s="25" t="s">
        <v>71</v>
      </c>
      <c r="L659" s="25" t="s">
        <v>2325</v>
      </c>
      <c r="M659" s="20" t="s">
        <v>1888</v>
      </c>
      <c r="N659" s="20" t="s">
        <v>1889</v>
      </c>
      <c r="O659" s="20" t="s">
        <v>63</v>
      </c>
      <c r="P659" s="20"/>
      <c r="Q659" s="26"/>
      <c r="R659" s="26"/>
      <c r="S659" s="26"/>
      <c r="T659" s="20"/>
      <c r="U659" s="26"/>
      <c r="V659" s="26"/>
      <c r="W659" s="20"/>
      <c r="X659" s="20"/>
      <c r="Y659" s="20"/>
      <c r="Z659" s="20"/>
      <c r="AA659" s="20"/>
      <c r="AB659" s="20"/>
      <c r="AC659" s="20"/>
      <c r="AD659" s="20"/>
      <c r="AE659" s="20"/>
    </row>
    <row r="660">
      <c r="A660" s="21">
        <v>17.0</v>
      </c>
      <c r="B660" s="20" t="s">
        <v>1608</v>
      </c>
      <c r="C660" s="20" t="s">
        <v>1564</v>
      </c>
      <c r="I660" s="25" t="s">
        <v>1563</v>
      </c>
      <c r="J660" s="25" t="s">
        <v>1815</v>
      </c>
      <c r="K660" s="25" t="s">
        <v>71</v>
      </c>
      <c r="L660" s="25" t="s">
        <v>2331</v>
      </c>
      <c r="M660" s="20" t="s">
        <v>1565</v>
      </c>
      <c r="N660" s="20" t="s">
        <v>1566</v>
      </c>
      <c r="O660" s="20" t="s">
        <v>63</v>
      </c>
      <c r="P660" s="20" t="s">
        <v>52</v>
      </c>
      <c r="Q660" s="26"/>
      <c r="R660" s="26"/>
      <c r="S660" s="26"/>
      <c r="T660" s="20"/>
      <c r="U660" s="26"/>
      <c r="V660" s="26"/>
      <c r="W660" s="20"/>
      <c r="X660" s="20"/>
      <c r="Y660" s="20"/>
      <c r="Z660" s="20"/>
      <c r="AA660" s="20"/>
      <c r="AB660" s="20"/>
      <c r="AC660" s="20"/>
      <c r="AD660" s="20"/>
      <c r="AE660" s="20"/>
    </row>
    <row r="661">
      <c r="A661" s="21">
        <v>17.0</v>
      </c>
      <c r="B661" s="20" t="s">
        <v>1608</v>
      </c>
      <c r="C661" s="20" t="s">
        <v>1564</v>
      </c>
      <c r="I661" s="25" t="s">
        <v>1788</v>
      </c>
      <c r="J661" s="25" t="s">
        <v>1815</v>
      </c>
      <c r="K661" s="25" t="s">
        <v>71</v>
      </c>
      <c r="L661" s="25" t="s">
        <v>2335</v>
      </c>
      <c r="M661" s="20" t="s">
        <v>1789</v>
      </c>
      <c r="N661" s="20" t="s">
        <v>1890</v>
      </c>
      <c r="O661" s="20" t="s">
        <v>63</v>
      </c>
      <c r="P661" s="20" t="s">
        <v>52</v>
      </c>
      <c r="Q661" s="26"/>
      <c r="R661" s="26"/>
      <c r="S661" s="26"/>
      <c r="T661" s="20"/>
      <c r="U661" s="26"/>
      <c r="V661" s="26"/>
      <c r="W661" s="20"/>
      <c r="X661" s="20"/>
      <c r="Y661" s="20"/>
      <c r="Z661" s="20"/>
      <c r="AA661" s="20"/>
      <c r="AB661" s="20"/>
      <c r="AC661" s="20"/>
      <c r="AD661" s="20"/>
      <c r="AE661" s="20"/>
    </row>
    <row r="662">
      <c r="A662" s="21">
        <v>18.0</v>
      </c>
      <c r="B662" s="20" t="s">
        <v>1618</v>
      </c>
      <c r="C662" s="20" t="s">
        <v>1564</v>
      </c>
      <c r="D662" s="35">
        <v>30.0</v>
      </c>
      <c r="E662" s="35">
        <v>1.0</v>
      </c>
      <c r="F662" s="35">
        <v>2.0</v>
      </c>
      <c r="G662" s="35">
        <v>27.0</v>
      </c>
      <c r="H662" s="36" t="s">
        <v>2339</v>
      </c>
      <c r="I662" s="25" t="s">
        <v>1878</v>
      </c>
      <c r="J662" s="25" t="s">
        <v>1892</v>
      </c>
      <c r="K662" s="25" t="s">
        <v>57</v>
      </c>
      <c r="L662" s="25" t="s">
        <v>2341</v>
      </c>
      <c r="M662" s="20" t="s">
        <v>1879</v>
      </c>
      <c r="N662" s="20" t="s">
        <v>1880</v>
      </c>
      <c r="O662" s="20" t="s">
        <v>63</v>
      </c>
      <c r="P662" s="20"/>
      <c r="Q662" s="26"/>
      <c r="R662" s="26"/>
      <c r="S662" s="26"/>
      <c r="T662" s="20"/>
      <c r="U662" s="26"/>
      <c r="V662" s="26"/>
      <c r="W662" s="20"/>
      <c r="X662" s="20"/>
      <c r="Y662" s="20"/>
      <c r="Z662" s="20"/>
      <c r="AA662" s="20"/>
      <c r="AB662" s="20"/>
      <c r="AC662" s="20"/>
      <c r="AD662" s="20"/>
      <c r="AE662" s="20"/>
    </row>
    <row r="663">
      <c r="A663" s="21">
        <v>18.0</v>
      </c>
      <c r="B663" s="20" t="s">
        <v>1618</v>
      </c>
      <c r="C663" s="20" t="s">
        <v>1564</v>
      </c>
      <c r="I663" s="25" t="s">
        <v>1836</v>
      </c>
      <c r="J663" s="25" t="s">
        <v>1892</v>
      </c>
      <c r="K663" s="25" t="s">
        <v>71</v>
      </c>
      <c r="L663" s="25" t="s">
        <v>292</v>
      </c>
      <c r="M663" s="20" t="s">
        <v>1899</v>
      </c>
      <c r="N663" s="20" t="s">
        <v>1614</v>
      </c>
      <c r="O663" s="20" t="s">
        <v>63</v>
      </c>
      <c r="P663" s="20" t="s">
        <v>52</v>
      </c>
      <c r="Q663" s="26"/>
      <c r="R663" s="26"/>
      <c r="S663" s="26"/>
      <c r="T663" s="22"/>
      <c r="U663" s="26"/>
      <c r="V663" s="26"/>
      <c r="W663" s="20"/>
      <c r="X663" s="20"/>
      <c r="Y663" s="20"/>
      <c r="Z663" s="20"/>
      <c r="AA663" s="20"/>
      <c r="AB663" s="20"/>
      <c r="AC663" s="20"/>
      <c r="AD663" s="20"/>
      <c r="AE663" s="20"/>
    </row>
    <row r="664">
      <c r="A664" s="21">
        <v>18.0</v>
      </c>
      <c r="B664" s="20" t="s">
        <v>1618</v>
      </c>
      <c r="C664" s="20" t="s">
        <v>1564</v>
      </c>
      <c r="I664" s="25" t="s">
        <v>1894</v>
      </c>
      <c r="J664" s="25" t="s">
        <v>1893</v>
      </c>
      <c r="K664" s="25" t="s">
        <v>67</v>
      </c>
      <c r="L664" s="25" t="s">
        <v>2350</v>
      </c>
      <c r="M664" s="20" t="s">
        <v>61</v>
      </c>
      <c r="N664" s="20" t="s">
        <v>1895</v>
      </c>
      <c r="O664" s="20" t="s">
        <v>63</v>
      </c>
      <c r="P664" s="20"/>
      <c r="Q664" s="26"/>
      <c r="R664" s="26"/>
      <c r="S664" s="26"/>
      <c r="T664" s="20"/>
      <c r="U664" s="26"/>
      <c r="V664" s="26"/>
      <c r="W664" s="20"/>
      <c r="X664" s="20"/>
      <c r="Y664" s="20"/>
      <c r="Z664" s="20"/>
      <c r="AA664" s="20"/>
      <c r="AB664" s="20"/>
      <c r="AC664" s="20"/>
      <c r="AD664" s="20"/>
      <c r="AE664" s="20"/>
    </row>
    <row r="665">
      <c r="A665" s="21">
        <v>18.0</v>
      </c>
      <c r="B665" s="20" t="s">
        <v>1618</v>
      </c>
      <c r="C665" s="20" t="s">
        <v>1564</v>
      </c>
      <c r="I665" s="25" t="s">
        <v>1896</v>
      </c>
      <c r="J665" s="25" t="s">
        <v>1893</v>
      </c>
      <c r="K665" s="25" t="s">
        <v>67</v>
      </c>
      <c r="L665" s="25" t="s">
        <v>2354</v>
      </c>
      <c r="M665" s="20" t="s">
        <v>1897</v>
      </c>
      <c r="N665" s="20" t="s">
        <v>1898</v>
      </c>
      <c r="O665" s="20" t="s">
        <v>63</v>
      </c>
      <c r="P665" s="20"/>
      <c r="Q665" s="26"/>
      <c r="R665" s="26"/>
      <c r="S665" s="26"/>
      <c r="T665" s="20"/>
      <c r="U665" s="26"/>
      <c r="V665" s="26"/>
      <c r="W665" s="20"/>
      <c r="X665" s="20"/>
      <c r="Y665" s="20"/>
      <c r="Z665" s="20"/>
      <c r="AA665" s="20"/>
      <c r="AB665" s="20"/>
      <c r="AC665" s="20"/>
      <c r="AD665" s="20"/>
      <c r="AE665" s="20"/>
    </row>
    <row r="666">
      <c r="A666" s="21">
        <v>18.0</v>
      </c>
      <c r="B666" s="20" t="s">
        <v>1618</v>
      </c>
      <c r="C666" s="20" t="s">
        <v>1564</v>
      </c>
      <c r="I666" s="25" t="s">
        <v>1437</v>
      </c>
      <c r="J666" s="25" t="s">
        <v>1892</v>
      </c>
      <c r="K666" s="25" t="s">
        <v>71</v>
      </c>
      <c r="L666" s="25" t="s">
        <v>292</v>
      </c>
      <c r="M666" s="20" t="s">
        <v>1579</v>
      </c>
      <c r="N666" s="20" t="s">
        <v>1900</v>
      </c>
      <c r="O666" s="20" t="s">
        <v>63</v>
      </c>
      <c r="P666" s="20" t="s">
        <v>52</v>
      </c>
      <c r="Q666" s="26"/>
      <c r="R666" s="26"/>
      <c r="S666" s="26"/>
      <c r="T666" s="22"/>
      <c r="U666" s="26"/>
      <c r="V666" s="26"/>
      <c r="W666" s="20"/>
      <c r="X666" s="20"/>
      <c r="Y666" s="20"/>
      <c r="Z666" s="20"/>
      <c r="AA666" s="20"/>
      <c r="AB666" s="20"/>
      <c r="AC666" s="20"/>
      <c r="AD666" s="20"/>
      <c r="AE666" s="20"/>
    </row>
    <row r="667">
      <c r="A667" s="21">
        <v>18.0</v>
      </c>
      <c r="B667" s="20" t="s">
        <v>1618</v>
      </c>
      <c r="C667" s="20" t="s">
        <v>1564</v>
      </c>
      <c r="I667" s="25" t="s">
        <v>1902</v>
      </c>
      <c r="J667" s="25" t="s">
        <v>1892</v>
      </c>
      <c r="K667" s="25" t="s">
        <v>71</v>
      </c>
      <c r="L667" s="25" t="s">
        <v>292</v>
      </c>
      <c r="M667" s="20" t="s">
        <v>1903</v>
      </c>
      <c r="N667" s="20" t="s">
        <v>1904</v>
      </c>
      <c r="O667" s="20" t="s">
        <v>63</v>
      </c>
      <c r="P667" s="20" t="s">
        <v>52</v>
      </c>
      <c r="Q667" s="26"/>
      <c r="R667" s="26"/>
      <c r="S667" s="26"/>
      <c r="T667" s="22"/>
      <c r="U667" s="26"/>
      <c r="V667" s="26"/>
      <c r="W667" s="20"/>
      <c r="X667" s="20"/>
      <c r="Y667" s="20"/>
      <c r="Z667" s="20"/>
      <c r="AA667" s="20"/>
      <c r="AB667" s="20"/>
      <c r="AC667" s="20"/>
      <c r="AD667" s="20"/>
      <c r="AE667" s="20"/>
    </row>
    <row r="668">
      <c r="A668" s="21">
        <v>18.0</v>
      </c>
      <c r="B668" s="20" t="s">
        <v>1618</v>
      </c>
      <c r="C668" s="20" t="s">
        <v>1564</v>
      </c>
      <c r="I668" s="25" t="s">
        <v>1612</v>
      </c>
      <c r="J668" s="25" t="s">
        <v>1892</v>
      </c>
      <c r="K668" s="25" t="s">
        <v>71</v>
      </c>
      <c r="L668" s="25" t="s">
        <v>292</v>
      </c>
      <c r="M668" s="20" t="s">
        <v>1613</v>
      </c>
      <c r="N668" s="20" t="s">
        <v>1614</v>
      </c>
      <c r="O668" s="20" t="s">
        <v>63</v>
      </c>
      <c r="P668" s="20" t="s">
        <v>52</v>
      </c>
      <c r="Q668" s="26"/>
      <c r="R668" s="26"/>
      <c r="S668" s="26"/>
      <c r="T668" s="22"/>
      <c r="U668" s="26"/>
      <c r="V668" s="26"/>
      <c r="W668" s="20"/>
      <c r="X668" s="20"/>
      <c r="Y668" s="20"/>
      <c r="Z668" s="20"/>
      <c r="AA668" s="20"/>
      <c r="AB668" s="20"/>
      <c r="AC668" s="20"/>
      <c r="AD668" s="20"/>
      <c r="AE668" s="20"/>
    </row>
    <row r="669">
      <c r="A669" s="21">
        <v>18.0</v>
      </c>
      <c r="B669" s="20" t="s">
        <v>1618</v>
      </c>
      <c r="C669" s="20" t="s">
        <v>1564</v>
      </c>
      <c r="I669" s="25" t="s">
        <v>1905</v>
      </c>
      <c r="J669" s="25" t="s">
        <v>1892</v>
      </c>
      <c r="K669" s="25" t="s">
        <v>71</v>
      </c>
      <c r="L669" s="25" t="s">
        <v>292</v>
      </c>
      <c r="M669" s="20" t="s">
        <v>61</v>
      </c>
      <c r="N669" s="20" t="s">
        <v>1906</v>
      </c>
      <c r="O669" s="20" t="s">
        <v>63</v>
      </c>
      <c r="P669" s="20" t="s">
        <v>52</v>
      </c>
      <c r="Q669" s="26"/>
      <c r="R669" s="26"/>
      <c r="S669" s="26"/>
      <c r="T669" s="22"/>
      <c r="U669" s="26"/>
      <c r="V669" s="26"/>
      <c r="W669" s="20"/>
      <c r="X669" s="20"/>
      <c r="Y669" s="20"/>
      <c r="Z669" s="20"/>
      <c r="AA669" s="20"/>
      <c r="AB669" s="20"/>
      <c r="AC669" s="20"/>
      <c r="AD669" s="20"/>
      <c r="AE669" s="20"/>
    </row>
    <row r="670">
      <c r="A670" s="21">
        <v>18.0</v>
      </c>
      <c r="B670" s="20" t="s">
        <v>1618</v>
      </c>
      <c r="C670" s="20" t="s">
        <v>1564</v>
      </c>
      <c r="I670" s="25" t="s">
        <v>1839</v>
      </c>
      <c r="J670" s="25" t="s">
        <v>1892</v>
      </c>
      <c r="K670" s="25" t="s">
        <v>71</v>
      </c>
      <c r="L670" s="25" t="s">
        <v>292</v>
      </c>
      <c r="M670" s="20" t="s">
        <v>1840</v>
      </c>
      <c r="N670" s="20" t="s">
        <v>1841</v>
      </c>
      <c r="O670" s="20" t="s">
        <v>63</v>
      </c>
      <c r="P670" s="20" t="s">
        <v>52</v>
      </c>
      <c r="Q670" s="26"/>
      <c r="R670" s="26"/>
      <c r="S670" s="26"/>
      <c r="T670" s="22"/>
      <c r="U670" s="26"/>
      <c r="V670" s="26"/>
      <c r="W670" s="20"/>
      <c r="X670" s="20"/>
      <c r="Y670" s="20"/>
      <c r="Z670" s="20"/>
      <c r="AA670" s="20"/>
      <c r="AB670" s="20"/>
      <c r="AC670" s="20"/>
      <c r="AD670" s="20"/>
      <c r="AE670" s="20"/>
    </row>
    <row r="671">
      <c r="A671" s="21">
        <v>18.0</v>
      </c>
      <c r="B671" s="20" t="s">
        <v>1618</v>
      </c>
      <c r="C671" s="20" t="s">
        <v>1564</v>
      </c>
      <c r="I671" s="25" t="s">
        <v>1643</v>
      </c>
      <c r="J671" s="25" t="s">
        <v>1892</v>
      </c>
      <c r="K671" s="25" t="s">
        <v>71</v>
      </c>
      <c r="L671" s="25" t="s">
        <v>292</v>
      </c>
      <c r="M671" s="20" t="s">
        <v>1866</v>
      </c>
      <c r="N671" s="20" t="s">
        <v>1867</v>
      </c>
      <c r="O671" s="20" t="s">
        <v>63</v>
      </c>
      <c r="P671" s="20" t="s">
        <v>52</v>
      </c>
      <c r="Q671" s="26"/>
      <c r="R671" s="26"/>
      <c r="S671" s="26"/>
      <c r="T671" s="22"/>
      <c r="U671" s="26"/>
      <c r="V671" s="26"/>
      <c r="W671" s="20"/>
      <c r="X671" s="20"/>
      <c r="Y671" s="20"/>
      <c r="Z671" s="20"/>
      <c r="AA671" s="20"/>
      <c r="AB671" s="20"/>
      <c r="AC671" s="20"/>
      <c r="AD671" s="20"/>
      <c r="AE671" s="20"/>
    </row>
    <row r="672">
      <c r="A672" s="21">
        <v>18.0</v>
      </c>
      <c r="B672" s="20" t="s">
        <v>1618</v>
      </c>
      <c r="C672" s="20" t="s">
        <v>1564</v>
      </c>
      <c r="I672" s="25" t="s">
        <v>1812</v>
      </c>
      <c r="J672" s="25" t="s">
        <v>1893</v>
      </c>
      <c r="K672" s="25" t="s">
        <v>71</v>
      </c>
      <c r="L672" s="25" t="s">
        <v>2314</v>
      </c>
      <c r="M672" s="20" t="s">
        <v>1813</v>
      </c>
      <c r="N672" s="20" t="s">
        <v>1938</v>
      </c>
      <c r="O672" s="20" t="s">
        <v>63</v>
      </c>
      <c r="P672" s="20"/>
      <c r="Q672" s="26"/>
      <c r="R672" s="26"/>
      <c r="S672" s="26"/>
      <c r="T672" s="20"/>
      <c r="U672" s="26"/>
      <c r="V672" s="26"/>
      <c r="W672" s="20"/>
      <c r="X672" s="20"/>
      <c r="Y672" s="20"/>
      <c r="Z672" s="20"/>
      <c r="AA672" s="20"/>
      <c r="AB672" s="20"/>
      <c r="AC672" s="20"/>
      <c r="AD672" s="20"/>
      <c r="AE672" s="20"/>
    </row>
    <row r="673">
      <c r="A673" s="21">
        <v>18.0</v>
      </c>
      <c r="B673" s="20" t="s">
        <v>1618</v>
      </c>
      <c r="C673" s="20" t="s">
        <v>1564</v>
      </c>
      <c r="I673" s="25" t="s">
        <v>1288</v>
      </c>
      <c r="J673" s="25" t="s">
        <v>1892</v>
      </c>
      <c r="K673" s="25" t="s">
        <v>71</v>
      </c>
      <c r="L673" s="25" t="s">
        <v>292</v>
      </c>
      <c r="M673" s="20" t="s">
        <v>1907</v>
      </c>
      <c r="N673" s="20" t="s">
        <v>1908</v>
      </c>
      <c r="O673" s="20" t="s">
        <v>63</v>
      </c>
      <c r="P673" s="20" t="s">
        <v>52</v>
      </c>
      <c r="Q673" s="26"/>
      <c r="R673" s="26"/>
      <c r="S673" s="26"/>
      <c r="T673" s="22"/>
      <c r="U673" s="26"/>
      <c r="V673" s="26"/>
      <c r="W673" s="20"/>
      <c r="X673" s="20"/>
      <c r="Y673" s="20"/>
      <c r="Z673" s="20"/>
      <c r="AA673" s="20"/>
      <c r="AB673" s="20"/>
      <c r="AC673" s="20"/>
      <c r="AD673" s="20"/>
      <c r="AE673" s="20"/>
    </row>
    <row r="674">
      <c r="A674" s="21">
        <v>18.0</v>
      </c>
      <c r="B674" s="20" t="s">
        <v>1618</v>
      </c>
      <c r="C674" s="20" t="s">
        <v>1564</v>
      </c>
      <c r="I674" s="25" t="s">
        <v>1699</v>
      </c>
      <c r="J674" s="25" t="s">
        <v>1892</v>
      </c>
      <c r="K674" s="25" t="s">
        <v>71</v>
      </c>
      <c r="L674" s="25" t="s">
        <v>2325</v>
      </c>
      <c r="M674" s="20" t="s">
        <v>61</v>
      </c>
      <c r="N674" s="20" t="s">
        <v>1816</v>
      </c>
      <c r="O674" s="20" t="s">
        <v>63</v>
      </c>
      <c r="P674" s="20"/>
      <c r="Q674" s="26"/>
      <c r="R674" s="26"/>
      <c r="S674" s="26"/>
      <c r="T674" s="20"/>
      <c r="U674" s="26"/>
      <c r="V674" s="26"/>
      <c r="W674" s="20"/>
      <c r="X674" s="20"/>
      <c r="Y674" s="20"/>
      <c r="Z674" s="20"/>
      <c r="AA674" s="20"/>
      <c r="AB674" s="20"/>
      <c r="AC674" s="20"/>
      <c r="AD674" s="20"/>
      <c r="AE674" s="20"/>
    </row>
    <row r="675">
      <c r="A675" s="21">
        <v>18.0</v>
      </c>
      <c r="B675" s="20" t="s">
        <v>1618</v>
      </c>
      <c r="C675" s="20" t="s">
        <v>1564</v>
      </c>
      <c r="I675" s="25" t="s">
        <v>1522</v>
      </c>
      <c r="J675" s="25" t="s">
        <v>1892</v>
      </c>
      <c r="K675" s="25" t="s">
        <v>71</v>
      </c>
      <c r="L675" s="25" t="s">
        <v>292</v>
      </c>
      <c r="M675" s="20" t="s">
        <v>1909</v>
      </c>
      <c r="N675" s="20" t="s">
        <v>1910</v>
      </c>
      <c r="O675" s="20" t="s">
        <v>63</v>
      </c>
      <c r="P675" s="20" t="s">
        <v>52</v>
      </c>
      <c r="Q675" s="26"/>
      <c r="R675" s="26"/>
      <c r="S675" s="26"/>
      <c r="T675" s="22"/>
      <c r="U675" s="26"/>
      <c r="V675" s="26"/>
      <c r="W675" s="20"/>
      <c r="X675" s="20"/>
      <c r="Y675" s="20"/>
      <c r="Z675" s="20"/>
      <c r="AA675" s="20"/>
      <c r="AB675" s="20"/>
      <c r="AC675" s="20"/>
      <c r="AD675" s="20"/>
      <c r="AE675" s="20"/>
    </row>
    <row r="676">
      <c r="A676" s="21">
        <v>18.0</v>
      </c>
      <c r="B676" s="20" t="s">
        <v>1618</v>
      </c>
      <c r="C676" s="20" t="s">
        <v>1564</v>
      </c>
      <c r="I676" s="25" t="s">
        <v>1887</v>
      </c>
      <c r="J676" s="25" t="s">
        <v>1892</v>
      </c>
      <c r="K676" s="25" t="s">
        <v>71</v>
      </c>
      <c r="L676" s="25" t="s">
        <v>2325</v>
      </c>
      <c r="M676" s="20" t="s">
        <v>1911</v>
      </c>
      <c r="N676" s="20" t="s">
        <v>1912</v>
      </c>
      <c r="O676" s="20" t="s">
        <v>63</v>
      </c>
      <c r="P676" s="20"/>
      <c r="Q676" s="26"/>
      <c r="R676" s="26"/>
      <c r="S676" s="26"/>
      <c r="T676" s="20"/>
      <c r="U676" s="26"/>
      <c r="V676" s="26"/>
      <c r="W676" s="20"/>
      <c r="X676" s="20"/>
      <c r="Y676" s="20"/>
      <c r="Z676" s="20"/>
      <c r="AA676" s="20"/>
      <c r="AB676" s="20"/>
      <c r="AC676" s="20"/>
      <c r="AD676" s="20"/>
      <c r="AE676" s="20"/>
    </row>
    <row r="677">
      <c r="A677" s="21">
        <v>18.0</v>
      </c>
      <c r="B677" s="20" t="s">
        <v>1618</v>
      </c>
      <c r="C677" s="20" t="s">
        <v>1564</v>
      </c>
      <c r="I677" s="25" t="s">
        <v>1584</v>
      </c>
      <c r="J677" s="25" t="s">
        <v>1892</v>
      </c>
      <c r="K677" s="25" t="s">
        <v>71</v>
      </c>
      <c r="L677" s="25" t="s">
        <v>2384</v>
      </c>
      <c r="M677" s="20" t="s">
        <v>1913</v>
      </c>
      <c r="N677" s="20" t="s">
        <v>1914</v>
      </c>
      <c r="O677" s="20" t="s">
        <v>63</v>
      </c>
      <c r="P677" s="20" t="s">
        <v>52</v>
      </c>
      <c r="Q677" s="26"/>
      <c r="R677" s="26"/>
      <c r="S677" s="26"/>
      <c r="T677" s="20"/>
      <c r="U677" s="26"/>
      <c r="V677" s="26"/>
      <c r="W677" s="20"/>
      <c r="X677" s="20"/>
      <c r="Y677" s="20"/>
      <c r="Z677" s="20"/>
      <c r="AA677" s="20"/>
      <c r="AB677" s="20"/>
      <c r="AC677" s="20"/>
      <c r="AD677" s="20"/>
      <c r="AE677" s="20"/>
    </row>
    <row r="678">
      <c r="A678" s="21">
        <v>18.0</v>
      </c>
      <c r="B678" s="20" t="s">
        <v>1618</v>
      </c>
      <c r="C678" s="20" t="s">
        <v>1564</v>
      </c>
      <c r="I678" s="25" t="s">
        <v>1119</v>
      </c>
      <c r="J678" s="25" t="s">
        <v>1892</v>
      </c>
      <c r="K678" s="25" t="s">
        <v>71</v>
      </c>
      <c r="L678" s="25" t="s">
        <v>292</v>
      </c>
      <c r="M678" s="20" t="s">
        <v>1915</v>
      </c>
      <c r="N678" s="20" t="s">
        <v>1916</v>
      </c>
      <c r="O678" s="20" t="s">
        <v>63</v>
      </c>
      <c r="P678" s="20" t="s">
        <v>52</v>
      </c>
      <c r="Q678" s="26"/>
      <c r="R678" s="26"/>
      <c r="S678" s="26"/>
      <c r="T678" s="22"/>
      <c r="U678" s="26"/>
      <c r="V678" s="26"/>
      <c r="W678" s="20"/>
      <c r="X678" s="20"/>
      <c r="Y678" s="20"/>
      <c r="Z678" s="20"/>
      <c r="AA678" s="20"/>
      <c r="AB678" s="20"/>
      <c r="AC678" s="20"/>
      <c r="AD678" s="20"/>
      <c r="AE678" s="20"/>
    </row>
    <row r="679">
      <c r="A679" s="21">
        <v>18.0</v>
      </c>
      <c r="B679" s="20" t="s">
        <v>1618</v>
      </c>
      <c r="C679" s="20" t="s">
        <v>1564</v>
      </c>
      <c r="I679" s="25" t="s">
        <v>1563</v>
      </c>
      <c r="J679" s="25" t="s">
        <v>1892</v>
      </c>
      <c r="K679" s="25" t="s">
        <v>71</v>
      </c>
      <c r="L679" s="25" t="s">
        <v>2331</v>
      </c>
      <c r="M679" s="20" t="s">
        <v>1917</v>
      </c>
      <c r="N679" s="20" t="s">
        <v>1918</v>
      </c>
      <c r="O679" s="20" t="s">
        <v>63</v>
      </c>
      <c r="P679" s="20" t="s">
        <v>52</v>
      </c>
      <c r="Q679" s="26"/>
      <c r="R679" s="26"/>
      <c r="S679" s="26"/>
      <c r="T679" s="20"/>
      <c r="U679" s="26"/>
      <c r="V679" s="26"/>
      <c r="W679" s="20"/>
      <c r="X679" s="20"/>
      <c r="Y679" s="20"/>
      <c r="Z679" s="20"/>
      <c r="AA679" s="20"/>
      <c r="AB679" s="20"/>
      <c r="AC679" s="20"/>
      <c r="AD679" s="20"/>
      <c r="AE679" s="20"/>
    </row>
    <row r="680">
      <c r="A680" s="21">
        <v>18.0</v>
      </c>
      <c r="B680" s="20" t="s">
        <v>1618</v>
      </c>
      <c r="C680" s="20" t="s">
        <v>1564</v>
      </c>
      <c r="I680" s="25" t="s">
        <v>1608</v>
      </c>
      <c r="J680" s="25" t="s">
        <v>1893</v>
      </c>
      <c r="K680" s="25" t="s">
        <v>71</v>
      </c>
      <c r="L680" s="25" t="s">
        <v>2393</v>
      </c>
      <c r="M680" s="20" t="s">
        <v>1939</v>
      </c>
      <c r="N680" s="20" t="s">
        <v>1940</v>
      </c>
      <c r="O680" s="20" t="s">
        <v>63</v>
      </c>
      <c r="P680" s="20" t="s">
        <v>52</v>
      </c>
      <c r="Q680" s="26"/>
      <c r="R680" s="26"/>
      <c r="S680" s="26"/>
      <c r="T680" s="20"/>
      <c r="U680" s="26"/>
      <c r="V680" s="26"/>
      <c r="W680" s="20"/>
      <c r="X680" s="20"/>
      <c r="Y680" s="20"/>
      <c r="Z680" s="20"/>
      <c r="AA680" s="20"/>
      <c r="AB680" s="20"/>
      <c r="AC680" s="20"/>
      <c r="AD680" s="20"/>
      <c r="AE680" s="20"/>
    </row>
    <row r="681">
      <c r="A681" s="21">
        <v>18.0</v>
      </c>
      <c r="B681" s="20" t="s">
        <v>1618</v>
      </c>
      <c r="C681" s="20" t="s">
        <v>1564</v>
      </c>
      <c r="I681" s="25" t="s">
        <v>1542</v>
      </c>
      <c r="J681" s="25" t="s">
        <v>1892</v>
      </c>
      <c r="K681" s="25" t="s">
        <v>71</v>
      </c>
      <c r="L681" s="25" t="s">
        <v>2394</v>
      </c>
      <c r="M681" s="20" t="s">
        <v>1562</v>
      </c>
      <c r="N681" s="20" t="s">
        <v>1547</v>
      </c>
      <c r="O681" s="20" t="s">
        <v>63</v>
      </c>
      <c r="P681" s="20" t="s">
        <v>52</v>
      </c>
      <c r="Q681" s="26"/>
      <c r="R681" s="26"/>
      <c r="S681" s="26"/>
      <c r="T681" s="20"/>
      <c r="U681" s="26"/>
      <c r="V681" s="26"/>
      <c r="W681" s="20"/>
      <c r="X681" s="20"/>
      <c r="Y681" s="20"/>
      <c r="Z681" s="20"/>
      <c r="AA681" s="20"/>
      <c r="AB681" s="20"/>
      <c r="AC681" s="20"/>
      <c r="AD681" s="20"/>
      <c r="AE681" s="20"/>
    </row>
    <row r="682">
      <c r="A682" s="21">
        <v>18.0</v>
      </c>
      <c r="B682" s="20" t="s">
        <v>1618</v>
      </c>
      <c r="C682" s="20" t="s">
        <v>1564</v>
      </c>
      <c r="I682" s="25" t="s">
        <v>1788</v>
      </c>
      <c r="J682" s="25" t="s">
        <v>1892</v>
      </c>
      <c r="K682" s="25" t="s">
        <v>71</v>
      </c>
      <c r="L682" s="25" t="s">
        <v>2335</v>
      </c>
      <c r="M682" s="20" t="s">
        <v>1919</v>
      </c>
      <c r="N682" s="20" t="s">
        <v>1920</v>
      </c>
      <c r="O682" s="20" t="s">
        <v>63</v>
      </c>
      <c r="P682" s="20" t="s">
        <v>52</v>
      </c>
      <c r="Q682" s="26"/>
      <c r="R682" s="26"/>
      <c r="S682" s="26"/>
      <c r="T682" s="20"/>
      <c r="U682" s="26"/>
      <c r="V682" s="26"/>
      <c r="W682" s="20"/>
      <c r="X682" s="20"/>
      <c r="Y682" s="20"/>
      <c r="Z682" s="20"/>
      <c r="AA682" s="20"/>
      <c r="AB682" s="20"/>
      <c r="AC682" s="20"/>
      <c r="AD682" s="20"/>
      <c r="AE682" s="20"/>
    </row>
    <row r="683">
      <c r="A683" s="21">
        <v>18.0</v>
      </c>
      <c r="B683" s="20" t="s">
        <v>1618</v>
      </c>
      <c r="C683" s="20" t="s">
        <v>1564</v>
      </c>
      <c r="I683" s="25" t="s">
        <v>1555</v>
      </c>
      <c r="J683" s="25" t="s">
        <v>1892</v>
      </c>
      <c r="K683" s="25" t="s">
        <v>71</v>
      </c>
      <c r="L683" s="25" t="s">
        <v>2394</v>
      </c>
      <c r="M683" s="20" t="s">
        <v>1922</v>
      </c>
      <c r="N683" s="20" t="s">
        <v>1923</v>
      </c>
      <c r="O683" s="20" t="s">
        <v>63</v>
      </c>
      <c r="P683" s="20" t="s">
        <v>52</v>
      </c>
      <c r="Q683" s="26"/>
      <c r="R683" s="26"/>
      <c r="S683" s="26"/>
      <c r="T683" s="20"/>
      <c r="U683" s="26"/>
      <c r="V683" s="26"/>
      <c r="W683" s="20"/>
      <c r="X683" s="20"/>
      <c r="Y683" s="20"/>
      <c r="Z683" s="20"/>
      <c r="AA683" s="20"/>
      <c r="AB683" s="20"/>
      <c r="AC683" s="20"/>
      <c r="AD683" s="20"/>
      <c r="AE683" s="20"/>
    </row>
    <row r="684">
      <c r="A684" s="21">
        <v>18.0</v>
      </c>
      <c r="B684" s="20" t="s">
        <v>1618</v>
      </c>
      <c r="C684" s="20" t="s">
        <v>1564</v>
      </c>
      <c r="I684" s="25" t="s">
        <v>1800</v>
      </c>
      <c r="J684" s="25" t="s">
        <v>1892</v>
      </c>
      <c r="K684" s="25" t="s">
        <v>71</v>
      </c>
      <c r="L684" s="25" t="s">
        <v>2400</v>
      </c>
      <c r="M684" s="20" t="s">
        <v>1924</v>
      </c>
      <c r="N684" s="20" t="s">
        <v>1925</v>
      </c>
      <c r="O684" s="20" t="s">
        <v>63</v>
      </c>
      <c r="P684" s="20" t="s">
        <v>52</v>
      </c>
      <c r="Q684" s="26"/>
      <c r="R684" s="26"/>
      <c r="S684" s="26"/>
      <c r="T684" s="20"/>
      <c r="U684" s="26"/>
      <c r="V684" s="26"/>
      <c r="W684" s="20"/>
      <c r="X684" s="20"/>
      <c r="Y684" s="20"/>
      <c r="Z684" s="20"/>
      <c r="AA684" s="20"/>
      <c r="AB684" s="20"/>
      <c r="AC684" s="20"/>
      <c r="AD684" s="20"/>
      <c r="AE684" s="20"/>
    </row>
    <row r="685">
      <c r="A685" s="21">
        <v>18.0</v>
      </c>
      <c r="B685" s="20" t="s">
        <v>1618</v>
      </c>
      <c r="C685" s="20" t="s">
        <v>1564</v>
      </c>
      <c r="I685" s="25" t="s">
        <v>1926</v>
      </c>
      <c r="J685" s="25" t="s">
        <v>1892</v>
      </c>
      <c r="K685" s="25" t="s">
        <v>71</v>
      </c>
      <c r="L685" s="25" t="s">
        <v>292</v>
      </c>
      <c r="M685" s="20" t="s">
        <v>1927</v>
      </c>
      <c r="N685" s="20" t="s">
        <v>1928</v>
      </c>
      <c r="O685" s="20" t="s">
        <v>63</v>
      </c>
      <c r="P685" s="20" t="s">
        <v>52</v>
      </c>
      <c r="Q685" s="26"/>
      <c r="R685" s="26"/>
      <c r="S685" s="26"/>
      <c r="T685" s="22"/>
      <c r="U685" s="26"/>
      <c r="V685" s="26"/>
      <c r="W685" s="20"/>
      <c r="X685" s="20"/>
      <c r="Y685" s="20"/>
      <c r="Z685" s="20"/>
      <c r="AA685" s="20"/>
      <c r="AB685" s="20"/>
      <c r="AC685" s="20"/>
      <c r="AD685" s="20"/>
      <c r="AE685" s="20"/>
    </row>
    <row r="686">
      <c r="A686" s="21">
        <v>18.0</v>
      </c>
      <c r="B686" s="20" t="s">
        <v>1618</v>
      </c>
      <c r="C686" s="20" t="s">
        <v>1564</v>
      </c>
      <c r="I686" s="25" t="s">
        <v>1265</v>
      </c>
      <c r="J686" s="25" t="s">
        <v>1892</v>
      </c>
      <c r="K686" s="25" t="s">
        <v>71</v>
      </c>
      <c r="L686" s="25" t="s">
        <v>2401</v>
      </c>
      <c r="M686" s="20" t="s">
        <v>1863</v>
      </c>
      <c r="N686" s="20" t="s">
        <v>1864</v>
      </c>
      <c r="O686" s="20" t="s">
        <v>63</v>
      </c>
      <c r="P686" s="20" t="s">
        <v>52</v>
      </c>
      <c r="Q686" s="26"/>
      <c r="R686" s="26"/>
      <c r="S686" s="26"/>
      <c r="T686" s="20"/>
      <c r="U686" s="26"/>
      <c r="V686" s="26"/>
      <c r="W686" s="20"/>
      <c r="X686" s="20"/>
      <c r="Y686" s="20"/>
      <c r="Z686" s="20"/>
      <c r="AA686" s="20"/>
      <c r="AB686" s="20"/>
      <c r="AC686" s="20"/>
      <c r="AD686" s="20"/>
      <c r="AE686" s="20"/>
    </row>
    <row r="687">
      <c r="A687" s="21">
        <v>18.0</v>
      </c>
      <c r="B687" s="20" t="s">
        <v>1618</v>
      </c>
      <c r="C687" s="20" t="s">
        <v>1564</v>
      </c>
      <c r="I687" s="25" t="s">
        <v>1704</v>
      </c>
      <c r="J687" s="25" t="s">
        <v>1892</v>
      </c>
      <c r="K687" s="25" t="s">
        <v>71</v>
      </c>
      <c r="L687" s="25" t="s">
        <v>292</v>
      </c>
      <c r="M687" s="20" t="s">
        <v>1929</v>
      </c>
      <c r="N687" s="20" t="s">
        <v>1930</v>
      </c>
      <c r="O687" s="20" t="s">
        <v>63</v>
      </c>
      <c r="P687" s="20" t="s">
        <v>52</v>
      </c>
      <c r="Q687" s="26"/>
      <c r="R687" s="26"/>
      <c r="S687" s="26"/>
      <c r="T687" s="22"/>
      <c r="U687" s="26"/>
      <c r="V687" s="26"/>
      <c r="W687" s="20"/>
      <c r="X687" s="20"/>
      <c r="Y687" s="20"/>
      <c r="Z687" s="20"/>
      <c r="AA687" s="20"/>
      <c r="AB687" s="20"/>
      <c r="AC687" s="20"/>
      <c r="AD687" s="20"/>
      <c r="AE687" s="20"/>
    </row>
    <row r="688">
      <c r="A688" s="21">
        <v>18.0</v>
      </c>
      <c r="B688" s="20" t="s">
        <v>1618</v>
      </c>
      <c r="C688" s="20" t="s">
        <v>1564</v>
      </c>
      <c r="I688" s="25" t="s">
        <v>1272</v>
      </c>
      <c r="J688" s="25" t="s">
        <v>1892</v>
      </c>
      <c r="K688" s="25" t="s">
        <v>71</v>
      </c>
      <c r="L688" s="25" t="s">
        <v>1641</v>
      </c>
      <c r="M688" s="20" t="s">
        <v>1931</v>
      </c>
      <c r="N688" s="20" t="s">
        <v>1932</v>
      </c>
      <c r="O688" s="20" t="s">
        <v>63</v>
      </c>
      <c r="P688" s="20" t="s">
        <v>52</v>
      </c>
      <c r="Q688" s="26"/>
      <c r="R688" s="26"/>
      <c r="S688" s="26"/>
      <c r="T688" s="20"/>
      <c r="U688" s="26"/>
      <c r="V688" s="26"/>
      <c r="W688" s="20"/>
      <c r="X688" s="20"/>
      <c r="Y688" s="20"/>
      <c r="Z688" s="20"/>
      <c r="AA688" s="20"/>
      <c r="AB688" s="20"/>
      <c r="AC688" s="20"/>
      <c r="AD688" s="20"/>
      <c r="AE688" s="20"/>
    </row>
    <row r="689">
      <c r="A689" s="21">
        <v>18.0</v>
      </c>
      <c r="B689" s="20" t="s">
        <v>1618</v>
      </c>
      <c r="C689" s="20" t="s">
        <v>1564</v>
      </c>
      <c r="I689" s="25" t="s">
        <v>1750</v>
      </c>
      <c r="J689" s="25" t="s">
        <v>1892</v>
      </c>
      <c r="K689" s="25" t="s">
        <v>71</v>
      </c>
      <c r="L689" s="25" t="s">
        <v>2402</v>
      </c>
      <c r="M689" s="20" t="s">
        <v>1751</v>
      </c>
      <c r="N689" s="20" t="s">
        <v>1934</v>
      </c>
      <c r="O689" s="20" t="s">
        <v>63</v>
      </c>
      <c r="P689" s="20" t="s">
        <v>52</v>
      </c>
      <c r="Q689" s="26"/>
      <c r="R689" s="26"/>
      <c r="S689" s="26"/>
      <c r="T689" s="20"/>
      <c r="U689" s="26"/>
      <c r="V689" s="26"/>
      <c r="W689" s="20"/>
      <c r="X689" s="20"/>
      <c r="Y689" s="20"/>
      <c r="Z689" s="20"/>
      <c r="AA689" s="20"/>
      <c r="AB689" s="20"/>
      <c r="AC689" s="20"/>
      <c r="AD689" s="20"/>
      <c r="AE689" s="20"/>
    </row>
    <row r="690">
      <c r="A690" s="21">
        <v>18.0</v>
      </c>
      <c r="B690" s="20" t="s">
        <v>1618</v>
      </c>
      <c r="C690" s="20" t="s">
        <v>1564</v>
      </c>
      <c r="I690" s="25" t="s">
        <v>1935</v>
      </c>
      <c r="J690" s="25" t="s">
        <v>1892</v>
      </c>
      <c r="K690" s="25" t="s">
        <v>71</v>
      </c>
      <c r="L690" s="25" t="s">
        <v>226</v>
      </c>
      <c r="M690" s="20" t="s">
        <v>1936</v>
      </c>
      <c r="N690" s="20" t="s">
        <v>1937</v>
      </c>
      <c r="O690" s="20" t="s">
        <v>63</v>
      </c>
      <c r="P690" s="20" t="s">
        <v>52</v>
      </c>
      <c r="Q690" s="26"/>
      <c r="R690" s="26"/>
      <c r="S690" s="26"/>
      <c r="T690" s="22"/>
      <c r="U690" s="26"/>
      <c r="V690" s="26"/>
      <c r="W690" s="20"/>
      <c r="X690" s="20"/>
      <c r="Y690" s="20"/>
      <c r="Z690" s="20"/>
      <c r="AA690" s="20"/>
      <c r="AB690" s="20"/>
      <c r="AC690" s="20"/>
      <c r="AD690" s="20"/>
      <c r="AE690" s="20"/>
    </row>
    <row r="691">
      <c r="A691" s="21">
        <v>18.0</v>
      </c>
      <c r="B691" s="20" t="s">
        <v>1618</v>
      </c>
      <c r="C691" s="20" t="s">
        <v>1564</v>
      </c>
      <c r="I691" s="25" t="s">
        <v>1297</v>
      </c>
      <c r="J691" s="25" t="s">
        <v>1892</v>
      </c>
      <c r="K691" s="25" t="s">
        <v>71</v>
      </c>
      <c r="L691" s="25" t="s">
        <v>1647</v>
      </c>
      <c r="M691" s="20" t="s">
        <v>1571</v>
      </c>
      <c r="N691" s="20" t="s">
        <v>1572</v>
      </c>
      <c r="O691" s="20" t="s">
        <v>63</v>
      </c>
      <c r="P691" s="20" t="s">
        <v>52</v>
      </c>
      <c r="Q691" s="26"/>
      <c r="R691" s="26"/>
      <c r="S691" s="26"/>
      <c r="T691" s="20"/>
      <c r="U691" s="26"/>
      <c r="V691" s="26"/>
      <c r="W691" s="20"/>
      <c r="X691" s="20"/>
      <c r="Y691" s="20"/>
      <c r="Z691" s="20"/>
      <c r="AA691" s="20"/>
      <c r="AB691" s="20"/>
      <c r="AC691" s="20"/>
      <c r="AD691" s="20"/>
      <c r="AE691" s="20"/>
    </row>
    <row r="692">
      <c r="A692" s="21">
        <v>19.0</v>
      </c>
      <c r="B692" s="20" t="s">
        <v>1297</v>
      </c>
      <c r="C692" s="20" t="s">
        <v>1564</v>
      </c>
      <c r="D692" s="35">
        <v>30.0</v>
      </c>
      <c r="E692" s="35">
        <v>2.0</v>
      </c>
      <c r="F692" s="35">
        <v>7.0</v>
      </c>
      <c r="G692" s="35">
        <v>21.0</v>
      </c>
      <c r="H692" s="36" t="s">
        <v>2405</v>
      </c>
      <c r="I692" s="25" t="s">
        <v>1538</v>
      </c>
      <c r="J692" s="25" t="s">
        <v>1941</v>
      </c>
      <c r="K692" s="25" t="s">
        <v>57</v>
      </c>
      <c r="L692" s="25" t="s">
        <v>2406</v>
      </c>
      <c r="M692" s="20" t="s">
        <v>1774</v>
      </c>
      <c r="N692" s="20" t="s">
        <v>1942</v>
      </c>
      <c r="O692" s="20" t="s">
        <v>56</v>
      </c>
      <c r="P692" s="20"/>
      <c r="Q692" s="26"/>
      <c r="R692" s="26"/>
      <c r="S692" s="26"/>
      <c r="T692" s="20"/>
      <c r="U692" s="26"/>
      <c r="V692" s="26"/>
      <c r="W692" s="20"/>
      <c r="X692" s="20"/>
      <c r="Y692" s="20"/>
      <c r="Z692" s="20"/>
      <c r="AA692" s="20"/>
      <c r="AB692" s="20"/>
      <c r="AC692" s="20"/>
      <c r="AD692" s="20"/>
      <c r="AE692" s="20"/>
    </row>
    <row r="693">
      <c r="A693" s="21">
        <v>19.0</v>
      </c>
      <c r="B693" s="20" t="s">
        <v>1297</v>
      </c>
      <c r="C693" s="20" t="s">
        <v>1564</v>
      </c>
      <c r="I693" s="25" t="s">
        <v>1253</v>
      </c>
      <c r="J693" s="25" t="s">
        <v>1941</v>
      </c>
      <c r="K693" s="25" t="s">
        <v>57</v>
      </c>
      <c r="L693" s="25" t="s">
        <v>2407</v>
      </c>
      <c r="M693" s="20" t="s">
        <v>1943</v>
      </c>
      <c r="N693" s="20" t="s">
        <v>1944</v>
      </c>
      <c r="O693" s="20" t="s">
        <v>56</v>
      </c>
      <c r="P693" s="20"/>
      <c r="Q693" s="26"/>
      <c r="R693" s="26"/>
      <c r="S693" s="26"/>
      <c r="T693" s="20"/>
      <c r="U693" s="26"/>
      <c r="V693" s="26"/>
      <c r="W693" s="20"/>
      <c r="X693" s="20"/>
      <c r="Y693" s="20"/>
      <c r="Z693" s="20"/>
      <c r="AA693" s="20"/>
      <c r="AB693" s="20"/>
      <c r="AC693" s="20"/>
      <c r="AD693" s="20"/>
      <c r="AE693" s="20"/>
    </row>
    <row r="694">
      <c r="A694" s="21">
        <v>19.0</v>
      </c>
      <c r="B694" s="20" t="s">
        <v>1297</v>
      </c>
      <c r="C694" s="20" t="s">
        <v>1564</v>
      </c>
      <c r="I694" s="25" t="s">
        <v>1788</v>
      </c>
      <c r="J694" s="25" t="s">
        <v>1941</v>
      </c>
      <c r="K694" s="25" t="s">
        <v>67</v>
      </c>
      <c r="L694" s="25" t="s">
        <v>2412</v>
      </c>
      <c r="M694" s="20" t="s">
        <v>1919</v>
      </c>
      <c r="N694" s="20" t="s">
        <v>1957</v>
      </c>
      <c r="O694" s="20" t="s">
        <v>63</v>
      </c>
      <c r="P694" s="20"/>
      <c r="Q694" s="26"/>
      <c r="R694" s="26"/>
      <c r="S694" s="26"/>
      <c r="T694" s="20"/>
      <c r="U694" s="26"/>
      <c r="V694" s="26"/>
      <c r="W694" s="20"/>
      <c r="X694" s="20"/>
      <c r="Y694" s="20"/>
      <c r="Z694" s="20"/>
      <c r="AA694" s="20"/>
      <c r="AB694" s="20"/>
      <c r="AC694" s="20"/>
      <c r="AD694" s="20"/>
      <c r="AE694" s="20"/>
    </row>
    <row r="695">
      <c r="A695" s="21">
        <v>19.0</v>
      </c>
      <c r="B695" s="20" t="s">
        <v>1297</v>
      </c>
      <c r="C695" s="20" t="s">
        <v>1564</v>
      </c>
      <c r="I695" s="25" t="s">
        <v>327</v>
      </c>
      <c r="J695" s="25" t="s">
        <v>1941</v>
      </c>
      <c r="K695" s="25" t="s">
        <v>67</v>
      </c>
      <c r="L695" s="25" t="s">
        <v>1988</v>
      </c>
      <c r="M695" s="20" t="s">
        <v>1949</v>
      </c>
      <c r="N695" s="20" t="s">
        <v>1950</v>
      </c>
      <c r="O695" s="20" t="s">
        <v>56</v>
      </c>
      <c r="P695" s="20"/>
      <c r="Q695" s="26"/>
      <c r="R695" s="26"/>
      <c r="S695" s="26"/>
      <c r="T695" s="20"/>
      <c r="U695" s="26"/>
      <c r="V695" s="26"/>
      <c r="W695" s="20"/>
      <c r="X695" s="20"/>
      <c r="Y695" s="20"/>
      <c r="Z695" s="20"/>
      <c r="AA695" s="20"/>
      <c r="AB695" s="20"/>
      <c r="AC695" s="20"/>
      <c r="AD695" s="20"/>
      <c r="AE695" s="20"/>
    </row>
    <row r="696">
      <c r="A696" s="21">
        <v>19.0</v>
      </c>
      <c r="B696" s="20" t="s">
        <v>1297</v>
      </c>
      <c r="C696" s="20" t="s">
        <v>1564</v>
      </c>
      <c r="I696" s="25" t="s">
        <v>561</v>
      </c>
      <c r="J696" s="25" t="s">
        <v>1941</v>
      </c>
      <c r="K696" s="25" t="s">
        <v>67</v>
      </c>
      <c r="L696" s="25" t="s">
        <v>1025</v>
      </c>
      <c r="M696" s="20" t="s">
        <v>814</v>
      </c>
      <c r="N696" s="20" t="s">
        <v>1951</v>
      </c>
      <c r="O696" s="20" t="s">
        <v>56</v>
      </c>
      <c r="P696" s="20" t="s">
        <v>52</v>
      </c>
      <c r="Q696" s="26"/>
      <c r="R696" s="26"/>
      <c r="S696" s="26"/>
      <c r="T696" s="22"/>
      <c r="U696" s="26"/>
      <c r="V696" s="26"/>
      <c r="W696" s="20"/>
      <c r="X696" s="20"/>
      <c r="Y696" s="20"/>
      <c r="Z696" s="20"/>
      <c r="AA696" s="20"/>
      <c r="AB696" s="20"/>
      <c r="AC696" s="20"/>
      <c r="AD696" s="20"/>
      <c r="AE696" s="20"/>
    </row>
    <row r="697">
      <c r="A697" s="21">
        <v>19.0</v>
      </c>
      <c r="B697" s="20" t="s">
        <v>1297</v>
      </c>
      <c r="C697" s="20" t="s">
        <v>1564</v>
      </c>
      <c r="I697" s="25" t="s">
        <v>1952</v>
      </c>
      <c r="J697" s="25" t="s">
        <v>1941</v>
      </c>
      <c r="K697" s="25" t="s">
        <v>67</v>
      </c>
      <c r="L697" s="25" t="s">
        <v>1025</v>
      </c>
      <c r="M697" s="20" t="s">
        <v>1953</v>
      </c>
      <c r="N697" s="20" t="s">
        <v>1954</v>
      </c>
      <c r="O697" s="20" t="s">
        <v>56</v>
      </c>
      <c r="P697" s="20" t="s">
        <v>52</v>
      </c>
      <c r="Q697" s="26"/>
      <c r="R697" s="26"/>
      <c r="S697" s="26"/>
      <c r="T697" s="22"/>
      <c r="U697" s="26"/>
      <c r="V697" s="26"/>
      <c r="W697" s="20"/>
      <c r="X697" s="20"/>
      <c r="Y697" s="20"/>
      <c r="Z697" s="20"/>
      <c r="AA697" s="20"/>
      <c r="AB697" s="20"/>
      <c r="AC697" s="20"/>
      <c r="AD697" s="20"/>
      <c r="AE697" s="20"/>
    </row>
    <row r="698">
      <c r="A698" s="21">
        <v>19.0</v>
      </c>
      <c r="B698" s="20" t="s">
        <v>1297</v>
      </c>
      <c r="C698" s="20" t="s">
        <v>1564</v>
      </c>
      <c r="I698" s="25" t="s">
        <v>737</v>
      </c>
      <c r="J698" s="25" t="s">
        <v>1941</v>
      </c>
      <c r="K698" s="25" t="s">
        <v>71</v>
      </c>
      <c r="L698" s="25" t="s">
        <v>2423</v>
      </c>
      <c r="M698" s="20" t="s">
        <v>1958</v>
      </c>
      <c r="N698" s="20" t="s">
        <v>1959</v>
      </c>
      <c r="O698" s="20" t="s">
        <v>56</v>
      </c>
      <c r="P698" s="20"/>
      <c r="Q698" s="26"/>
      <c r="R698" s="26"/>
      <c r="S698" s="26"/>
      <c r="T698" s="20"/>
      <c r="U698" s="26"/>
      <c r="V698" s="26"/>
      <c r="W698" s="20"/>
      <c r="X698" s="20"/>
      <c r="Y698" s="20"/>
      <c r="Z698" s="20"/>
      <c r="AA698" s="20"/>
      <c r="AB698" s="20"/>
      <c r="AC698" s="20"/>
      <c r="AD698" s="20"/>
      <c r="AE698" s="20"/>
    </row>
    <row r="699">
      <c r="A699" s="21">
        <v>19.0</v>
      </c>
      <c r="B699" s="20" t="s">
        <v>1297</v>
      </c>
      <c r="C699" s="20" t="s">
        <v>1564</v>
      </c>
      <c r="I699" s="25" t="s">
        <v>1833</v>
      </c>
      <c r="J699" s="25" t="s">
        <v>1941</v>
      </c>
      <c r="K699" s="25" t="s">
        <v>71</v>
      </c>
      <c r="L699" s="25" t="s">
        <v>2430</v>
      </c>
      <c r="M699" s="20" t="s">
        <v>1982</v>
      </c>
      <c r="N699" s="20" t="s">
        <v>1983</v>
      </c>
      <c r="O699" s="20" t="s">
        <v>63</v>
      </c>
      <c r="P699" s="20"/>
      <c r="Q699" s="26"/>
      <c r="R699" s="26"/>
      <c r="S699" s="26"/>
      <c r="T699" s="20"/>
      <c r="U699" s="26"/>
      <c r="V699" s="26"/>
      <c r="W699" s="20"/>
      <c r="X699" s="20"/>
      <c r="Y699" s="20"/>
      <c r="Z699" s="20"/>
      <c r="AA699" s="20"/>
      <c r="AB699" s="20"/>
      <c r="AC699" s="20"/>
      <c r="AD699" s="20"/>
      <c r="AE699" s="20"/>
    </row>
    <row r="700">
      <c r="A700" s="21">
        <v>19.0</v>
      </c>
      <c r="B700" s="20" t="s">
        <v>1297</v>
      </c>
      <c r="C700" s="20" t="s">
        <v>1564</v>
      </c>
      <c r="I700" s="25" t="s">
        <v>1431</v>
      </c>
      <c r="J700" s="25" t="s">
        <v>1941</v>
      </c>
      <c r="K700" s="25" t="s">
        <v>71</v>
      </c>
      <c r="L700" s="25" t="s">
        <v>2430</v>
      </c>
      <c r="M700" s="20" t="s">
        <v>1985</v>
      </c>
      <c r="N700" s="20" t="s">
        <v>1986</v>
      </c>
      <c r="O700" s="20" t="s">
        <v>63</v>
      </c>
      <c r="P700" s="20"/>
      <c r="Q700" s="26"/>
      <c r="R700" s="26"/>
      <c r="S700" s="26"/>
      <c r="T700" s="20"/>
      <c r="U700" s="26"/>
      <c r="V700" s="26"/>
      <c r="W700" s="20"/>
      <c r="X700" s="20"/>
      <c r="Y700" s="20"/>
      <c r="Z700" s="20"/>
      <c r="AA700" s="20"/>
      <c r="AB700" s="20"/>
      <c r="AC700" s="20"/>
      <c r="AD700" s="20"/>
      <c r="AE700" s="20"/>
    </row>
    <row r="701">
      <c r="A701" s="21">
        <v>19.0</v>
      </c>
      <c r="B701" s="20" t="s">
        <v>1297</v>
      </c>
      <c r="C701" s="20" t="s">
        <v>1564</v>
      </c>
      <c r="I701" s="25" t="s">
        <v>1817</v>
      </c>
      <c r="J701" s="25" t="s">
        <v>1941</v>
      </c>
      <c r="K701" s="25" t="s">
        <v>71</v>
      </c>
      <c r="L701" s="25" t="s">
        <v>2430</v>
      </c>
      <c r="M701" s="20" t="s">
        <v>1982</v>
      </c>
      <c r="N701" s="20" t="s">
        <v>1983</v>
      </c>
      <c r="O701" s="20" t="s">
        <v>63</v>
      </c>
      <c r="P701" s="20"/>
      <c r="Q701" s="26"/>
      <c r="R701" s="26"/>
      <c r="S701" s="26"/>
      <c r="T701" s="20"/>
      <c r="U701" s="26"/>
      <c r="V701" s="26"/>
      <c r="W701" s="20"/>
      <c r="X701" s="20"/>
      <c r="Y701" s="20"/>
      <c r="Z701" s="20"/>
      <c r="AA701" s="20"/>
      <c r="AB701" s="20"/>
      <c r="AC701" s="20"/>
      <c r="AD701" s="20"/>
      <c r="AE701" s="20"/>
    </row>
    <row r="702">
      <c r="A702" s="21">
        <v>19.0</v>
      </c>
      <c r="B702" s="20" t="s">
        <v>1297</v>
      </c>
      <c r="C702" s="20" t="s">
        <v>1564</v>
      </c>
      <c r="I702" s="25" t="s">
        <v>1960</v>
      </c>
      <c r="J702" s="25" t="s">
        <v>1945</v>
      </c>
      <c r="K702" s="25" t="s">
        <v>71</v>
      </c>
      <c r="L702" s="25" t="s">
        <v>2430</v>
      </c>
      <c r="M702" s="20" t="s">
        <v>1961</v>
      </c>
      <c r="N702" s="20" t="s">
        <v>1962</v>
      </c>
      <c r="O702" s="20" t="s">
        <v>63</v>
      </c>
      <c r="P702" s="20"/>
      <c r="Q702" s="26"/>
      <c r="R702" s="26"/>
      <c r="S702" s="26"/>
      <c r="T702" s="20"/>
      <c r="U702" s="26"/>
      <c r="V702" s="26"/>
      <c r="W702" s="20"/>
      <c r="X702" s="20"/>
      <c r="Y702" s="20"/>
      <c r="Z702" s="20"/>
      <c r="AA702" s="20"/>
      <c r="AB702" s="20"/>
      <c r="AC702" s="20"/>
      <c r="AD702" s="20"/>
      <c r="AE702" s="20"/>
    </row>
    <row r="703">
      <c r="A703" s="21">
        <v>19.0</v>
      </c>
      <c r="B703" s="20" t="s">
        <v>1297</v>
      </c>
      <c r="C703" s="20" t="s">
        <v>1564</v>
      </c>
      <c r="I703" s="25" t="s">
        <v>1989</v>
      </c>
      <c r="J703" s="25" t="s">
        <v>1941</v>
      </c>
      <c r="K703" s="25" t="s">
        <v>71</v>
      </c>
      <c r="L703" s="25" t="s">
        <v>2444</v>
      </c>
      <c r="M703" s="20" t="s">
        <v>1990</v>
      </c>
      <c r="N703" s="20" t="s">
        <v>1991</v>
      </c>
      <c r="O703" s="20" t="s">
        <v>63</v>
      </c>
      <c r="P703" s="20"/>
      <c r="Q703" s="26"/>
      <c r="R703" s="26"/>
      <c r="S703" s="26"/>
      <c r="T703" s="20"/>
      <c r="U703" s="26"/>
      <c r="V703" s="26"/>
      <c r="W703" s="20"/>
      <c r="X703" s="20"/>
      <c r="Y703" s="20"/>
      <c r="Z703" s="20"/>
      <c r="AA703" s="20"/>
      <c r="AB703" s="20"/>
      <c r="AC703" s="20"/>
      <c r="AD703" s="20"/>
      <c r="AE703" s="20"/>
    </row>
    <row r="704">
      <c r="A704" s="21">
        <v>19.0</v>
      </c>
      <c r="B704" s="20" t="s">
        <v>1297</v>
      </c>
      <c r="C704" s="20" t="s">
        <v>1564</v>
      </c>
      <c r="I704" s="25" t="s">
        <v>1993</v>
      </c>
      <c r="J704" s="25" t="s">
        <v>1941</v>
      </c>
      <c r="K704" s="25" t="s">
        <v>71</v>
      </c>
      <c r="L704" s="25" t="s">
        <v>2430</v>
      </c>
      <c r="M704" s="20" t="s">
        <v>1994</v>
      </c>
      <c r="N704" s="20" t="s">
        <v>1995</v>
      </c>
      <c r="O704" s="20" t="s">
        <v>63</v>
      </c>
      <c r="P704" s="20"/>
      <c r="Q704" s="26"/>
      <c r="R704" s="26"/>
      <c r="S704" s="26"/>
      <c r="T704" s="20"/>
      <c r="U704" s="26"/>
      <c r="V704" s="26"/>
      <c r="W704" s="20"/>
      <c r="X704" s="20"/>
      <c r="Y704" s="20"/>
      <c r="Z704" s="20"/>
      <c r="AA704" s="20"/>
      <c r="AB704" s="20"/>
      <c r="AC704" s="20"/>
      <c r="AD704" s="20"/>
      <c r="AE704" s="20"/>
    </row>
    <row r="705">
      <c r="A705" s="21">
        <v>19.0</v>
      </c>
      <c r="B705" s="20" t="s">
        <v>1297</v>
      </c>
      <c r="C705" s="20" t="s">
        <v>1564</v>
      </c>
      <c r="I705" s="25" t="s">
        <v>1823</v>
      </c>
      <c r="J705" s="25" t="s">
        <v>1941</v>
      </c>
      <c r="K705" s="25" t="s">
        <v>71</v>
      </c>
      <c r="L705" s="25" t="s">
        <v>2430</v>
      </c>
      <c r="M705" s="20" t="s">
        <v>1824</v>
      </c>
      <c r="N705" s="20" t="s">
        <v>1825</v>
      </c>
      <c r="O705" s="20" t="s">
        <v>63</v>
      </c>
      <c r="P705" s="20"/>
      <c r="Q705" s="26"/>
      <c r="R705" s="26"/>
      <c r="S705" s="26"/>
      <c r="T705" s="20"/>
      <c r="U705" s="26"/>
      <c r="V705" s="26"/>
      <c r="W705" s="20"/>
      <c r="X705" s="20"/>
      <c r="Y705" s="20"/>
      <c r="Z705" s="20"/>
      <c r="AA705" s="20"/>
      <c r="AB705" s="20"/>
      <c r="AC705" s="20"/>
      <c r="AD705" s="20"/>
      <c r="AE705" s="20"/>
    </row>
    <row r="706">
      <c r="A706" s="21">
        <v>19.0</v>
      </c>
      <c r="B706" s="20" t="s">
        <v>1297</v>
      </c>
      <c r="C706" s="20" t="s">
        <v>1564</v>
      </c>
      <c r="I706" s="25" t="s">
        <v>1236</v>
      </c>
      <c r="J706" s="25" t="s">
        <v>1945</v>
      </c>
      <c r="K706" s="25" t="s">
        <v>71</v>
      </c>
      <c r="L706" s="25" t="s">
        <v>2444</v>
      </c>
      <c r="M706" s="20" t="s">
        <v>1963</v>
      </c>
      <c r="N706" s="20" t="s">
        <v>1964</v>
      </c>
      <c r="O706" s="20" t="s">
        <v>63</v>
      </c>
      <c r="P706" s="20"/>
      <c r="Q706" s="26"/>
      <c r="R706" s="26"/>
      <c r="S706" s="26"/>
      <c r="T706" s="20"/>
      <c r="U706" s="26"/>
      <c r="V706" s="26"/>
      <c r="W706" s="20"/>
      <c r="X706" s="20"/>
      <c r="Y706" s="20"/>
      <c r="Z706" s="20"/>
      <c r="AA706" s="20"/>
      <c r="AB706" s="20"/>
      <c r="AC706" s="20"/>
      <c r="AD706" s="20"/>
      <c r="AE706" s="20"/>
    </row>
    <row r="707">
      <c r="A707" s="21">
        <v>19.0</v>
      </c>
      <c r="B707" s="20" t="s">
        <v>1297</v>
      </c>
      <c r="C707" s="20" t="s">
        <v>1564</v>
      </c>
      <c r="I707" s="25" t="s">
        <v>1997</v>
      </c>
      <c r="J707" s="25" t="s">
        <v>1941</v>
      </c>
      <c r="K707" s="25" t="s">
        <v>71</v>
      </c>
      <c r="L707" s="25" t="s">
        <v>2430</v>
      </c>
      <c r="M707" s="20" t="s">
        <v>1998</v>
      </c>
      <c r="N707" s="20" t="s">
        <v>1999</v>
      </c>
      <c r="O707" s="20" t="s">
        <v>63</v>
      </c>
      <c r="P707" s="20"/>
      <c r="Q707" s="26"/>
      <c r="R707" s="26"/>
      <c r="S707" s="26"/>
      <c r="T707" s="20"/>
      <c r="U707" s="26"/>
      <c r="V707" s="26"/>
      <c r="W707" s="20"/>
      <c r="X707" s="20"/>
      <c r="Y707" s="20"/>
      <c r="Z707" s="20"/>
      <c r="AA707" s="20"/>
      <c r="AB707" s="20"/>
      <c r="AC707" s="20"/>
      <c r="AD707" s="20"/>
      <c r="AE707" s="20"/>
    </row>
    <row r="708">
      <c r="A708" s="21">
        <v>19.0</v>
      </c>
      <c r="B708" s="20" t="s">
        <v>1297</v>
      </c>
      <c r="C708" s="20" t="s">
        <v>1564</v>
      </c>
      <c r="I708" s="25" t="s">
        <v>1228</v>
      </c>
      <c r="J708" s="25" t="s">
        <v>1945</v>
      </c>
      <c r="K708" s="25" t="s">
        <v>71</v>
      </c>
      <c r="L708" s="25" t="s">
        <v>2444</v>
      </c>
      <c r="M708" s="20" t="s">
        <v>1965</v>
      </c>
      <c r="N708" s="20" t="s">
        <v>1964</v>
      </c>
      <c r="O708" s="20" t="s">
        <v>63</v>
      </c>
      <c r="P708" s="20"/>
      <c r="Q708" s="26"/>
      <c r="R708" s="26"/>
      <c r="S708" s="26"/>
      <c r="T708" s="20"/>
      <c r="U708" s="26"/>
      <c r="V708" s="26"/>
      <c r="W708" s="20"/>
      <c r="X708" s="20"/>
      <c r="Y708" s="20"/>
      <c r="Z708" s="20"/>
      <c r="AA708" s="20"/>
      <c r="AB708" s="20"/>
      <c r="AC708" s="20"/>
      <c r="AD708" s="20"/>
      <c r="AE708" s="20"/>
    </row>
    <row r="709">
      <c r="A709" s="21">
        <v>19.0</v>
      </c>
      <c r="B709" s="20" t="s">
        <v>1297</v>
      </c>
      <c r="C709" s="20" t="s">
        <v>1564</v>
      </c>
      <c r="I709" s="25" t="s">
        <v>2000</v>
      </c>
      <c r="J709" s="25" t="s">
        <v>1941</v>
      </c>
      <c r="K709" s="25" t="s">
        <v>71</v>
      </c>
      <c r="L709" s="25" t="s">
        <v>2430</v>
      </c>
      <c r="M709" s="20" t="s">
        <v>2001</v>
      </c>
      <c r="N709" s="20" t="s">
        <v>2002</v>
      </c>
      <c r="O709" s="20" t="s">
        <v>63</v>
      </c>
      <c r="P709" s="20"/>
      <c r="Q709" s="26"/>
      <c r="R709" s="26"/>
      <c r="S709" s="26"/>
      <c r="T709" s="20"/>
      <c r="U709" s="26"/>
      <c r="V709" s="26"/>
      <c r="W709" s="20"/>
      <c r="X709" s="20"/>
      <c r="Y709" s="20"/>
      <c r="Z709" s="20"/>
      <c r="AA709" s="20"/>
      <c r="AB709" s="20"/>
      <c r="AC709" s="20"/>
      <c r="AD709" s="20"/>
      <c r="AE709" s="20"/>
    </row>
    <row r="710">
      <c r="A710" s="21">
        <v>19.0</v>
      </c>
      <c r="B710" s="20" t="s">
        <v>1297</v>
      </c>
      <c r="C710" s="20" t="s">
        <v>1564</v>
      </c>
      <c r="I710" s="25" t="s">
        <v>1966</v>
      </c>
      <c r="J710" s="25" t="s">
        <v>1945</v>
      </c>
      <c r="K710" s="25" t="s">
        <v>71</v>
      </c>
      <c r="L710" s="25" t="s">
        <v>2430</v>
      </c>
      <c r="M710" s="20" t="s">
        <v>1967</v>
      </c>
      <c r="N710" s="20" t="s">
        <v>1968</v>
      </c>
      <c r="O710" s="20" t="s">
        <v>63</v>
      </c>
      <c r="P710" s="20"/>
      <c r="Q710" s="26"/>
      <c r="R710" s="26"/>
      <c r="S710" s="26"/>
      <c r="T710" s="20"/>
      <c r="U710" s="26"/>
      <c r="V710" s="26"/>
      <c r="W710" s="20"/>
      <c r="X710" s="20"/>
      <c r="Y710" s="20"/>
      <c r="Z710" s="20"/>
      <c r="AA710" s="20"/>
      <c r="AB710" s="20"/>
      <c r="AC710" s="20"/>
      <c r="AD710" s="20"/>
      <c r="AE710" s="20"/>
    </row>
    <row r="711">
      <c r="A711" s="21">
        <v>19.0</v>
      </c>
      <c r="B711" s="20" t="s">
        <v>1297</v>
      </c>
      <c r="C711" s="20" t="s">
        <v>1564</v>
      </c>
      <c r="I711" s="25" t="s">
        <v>2003</v>
      </c>
      <c r="J711" s="25" t="s">
        <v>1941</v>
      </c>
      <c r="K711" s="25" t="s">
        <v>71</v>
      </c>
      <c r="L711" s="25" t="s">
        <v>2430</v>
      </c>
      <c r="M711" s="20" t="s">
        <v>1982</v>
      </c>
      <c r="N711" s="20" t="s">
        <v>1983</v>
      </c>
      <c r="O711" s="20" t="s">
        <v>63</v>
      </c>
      <c r="P711" s="20"/>
      <c r="Q711" s="26"/>
      <c r="R711" s="26"/>
      <c r="S711" s="26"/>
      <c r="T711" s="20"/>
      <c r="U711" s="26"/>
      <c r="V711" s="26"/>
      <c r="W711" s="20"/>
      <c r="X711" s="20"/>
      <c r="Y711" s="20"/>
      <c r="Z711" s="20"/>
      <c r="AA711" s="20"/>
      <c r="AB711" s="20"/>
      <c r="AC711" s="20"/>
      <c r="AD711" s="20"/>
      <c r="AE711" s="20"/>
    </row>
    <row r="712">
      <c r="A712" s="21">
        <v>19.0</v>
      </c>
      <c r="B712" s="20" t="s">
        <v>1297</v>
      </c>
      <c r="C712" s="20" t="s">
        <v>1564</v>
      </c>
      <c r="I712" s="25" t="s">
        <v>1969</v>
      </c>
      <c r="J712" s="25" t="s">
        <v>1945</v>
      </c>
      <c r="K712" s="25" t="s">
        <v>71</v>
      </c>
      <c r="L712" s="25" t="s">
        <v>2430</v>
      </c>
      <c r="M712" s="20" t="s">
        <v>1970</v>
      </c>
      <c r="N712" s="20" t="s">
        <v>1971</v>
      </c>
      <c r="O712" s="20" t="s">
        <v>63</v>
      </c>
      <c r="P712" s="20"/>
      <c r="Q712" s="26"/>
      <c r="R712" s="26"/>
      <c r="S712" s="26"/>
      <c r="T712" s="20"/>
      <c r="U712" s="26"/>
      <c r="V712" s="26"/>
      <c r="W712" s="20"/>
      <c r="X712" s="20"/>
      <c r="Y712" s="20"/>
      <c r="Z712" s="20"/>
      <c r="AA712" s="20"/>
      <c r="AB712" s="20"/>
      <c r="AC712" s="20"/>
      <c r="AD712" s="20"/>
      <c r="AE712" s="20"/>
    </row>
    <row r="713">
      <c r="A713" s="21">
        <v>19.0</v>
      </c>
      <c r="B713" s="20" t="s">
        <v>1297</v>
      </c>
      <c r="C713" s="20" t="s">
        <v>1564</v>
      </c>
      <c r="I713" s="25" t="s">
        <v>1820</v>
      </c>
      <c r="J713" s="25" t="s">
        <v>1941</v>
      </c>
      <c r="K713" s="25" t="s">
        <v>71</v>
      </c>
      <c r="L713" s="25" t="s">
        <v>2430</v>
      </c>
      <c r="M713" s="20" t="s">
        <v>2004</v>
      </c>
      <c r="N713" s="20" t="s">
        <v>2005</v>
      </c>
      <c r="O713" s="20" t="s">
        <v>63</v>
      </c>
      <c r="P713" s="20"/>
      <c r="Q713" s="26"/>
      <c r="R713" s="26"/>
      <c r="S713" s="26"/>
      <c r="T713" s="20"/>
      <c r="U713" s="26"/>
      <c r="V713" s="26"/>
      <c r="W713" s="20"/>
      <c r="X713" s="20"/>
      <c r="Y713" s="20"/>
      <c r="Z713" s="20"/>
      <c r="AA713" s="20"/>
      <c r="AB713" s="20"/>
      <c r="AC713" s="20"/>
      <c r="AD713" s="20"/>
      <c r="AE713" s="20"/>
    </row>
    <row r="714">
      <c r="A714" s="21">
        <v>19.0</v>
      </c>
      <c r="B714" s="20" t="s">
        <v>1297</v>
      </c>
      <c r="C714" s="20" t="s">
        <v>1564</v>
      </c>
      <c r="I714" s="25" t="s">
        <v>1972</v>
      </c>
      <c r="J714" s="25" t="s">
        <v>1945</v>
      </c>
      <c r="K714" s="25" t="s">
        <v>71</v>
      </c>
      <c r="L714" s="25" t="s">
        <v>2430</v>
      </c>
      <c r="M714" s="20" t="s">
        <v>1973</v>
      </c>
      <c r="N714" s="20" t="s">
        <v>1974</v>
      </c>
      <c r="O714" s="20" t="s">
        <v>63</v>
      </c>
      <c r="P714" s="20"/>
      <c r="Q714" s="26"/>
      <c r="R714" s="26"/>
      <c r="S714" s="26"/>
      <c r="T714" s="20"/>
      <c r="U714" s="26"/>
      <c r="V714" s="26"/>
      <c r="W714" s="20"/>
      <c r="X714" s="20"/>
      <c r="Y714" s="20"/>
      <c r="Z714" s="20"/>
      <c r="AA714" s="20"/>
      <c r="AB714" s="20"/>
      <c r="AC714" s="20"/>
      <c r="AD714" s="20"/>
      <c r="AE714" s="20"/>
    </row>
    <row r="715">
      <c r="A715" s="21">
        <v>19.0</v>
      </c>
      <c r="B715" s="20" t="s">
        <v>1297</v>
      </c>
      <c r="C715" s="20" t="s">
        <v>1564</v>
      </c>
      <c r="I715" s="25" t="s">
        <v>1975</v>
      </c>
      <c r="J715" s="25" t="s">
        <v>1945</v>
      </c>
      <c r="K715" s="25" t="s">
        <v>71</v>
      </c>
      <c r="L715" s="25" t="s">
        <v>2430</v>
      </c>
      <c r="M715" s="20" t="s">
        <v>1976</v>
      </c>
      <c r="N715" s="20" t="s">
        <v>1977</v>
      </c>
      <c r="O715" s="20" t="s">
        <v>63</v>
      </c>
      <c r="P715" s="20"/>
      <c r="Q715" s="26"/>
      <c r="R715" s="26"/>
      <c r="S715" s="26"/>
      <c r="T715" s="20"/>
      <c r="U715" s="26"/>
      <c r="V715" s="26"/>
      <c r="W715" s="20"/>
      <c r="X715" s="20"/>
      <c r="Y715" s="20"/>
      <c r="Z715" s="20"/>
      <c r="AA715" s="20"/>
      <c r="AB715" s="20"/>
      <c r="AC715" s="20"/>
      <c r="AD715" s="20"/>
      <c r="AE715" s="20"/>
    </row>
    <row r="716">
      <c r="A716" s="21">
        <v>19.0</v>
      </c>
      <c r="B716" s="20" t="s">
        <v>1297</v>
      </c>
      <c r="C716" s="20" t="s">
        <v>1564</v>
      </c>
      <c r="I716" s="25" t="s">
        <v>2006</v>
      </c>
      <c r="J716" s="25" t="s">
        <v>1941</v>
      </c>
      <c r="K716" s="25" t="s">
        <v>71</v>
      </c>
      <c r="L716" s="25" t="s">
        <v>2430</v>
      </c>
      <c r="M716" s="20" t="s">
        <v>61</v>
      </c>
      <c r="N716" s="20" t="s">
        <v>2007</v>
      </c>
      <c r="O716" s="20" t="s">
        <v>63</v>
      </c>
      <c r="P716" s="20"/>
      <c r="Q716" s="26"/>
      <c r="R716" s="26"/>
      <c r="S716" s="26"/>
      <c r="T716" s="20"/>
      <c r="U716" s="26"/>
      <c r="V716" s="26"/>
      <c r="W716" s="20"/>
      <c r="X716" s="20"/>
      <c r="Y716" s="20"/>
      <c r="Z716" s="20"/>
      <c r="AA716" s="20"/>
      <c r="AB716" s="20"/>
      <c r="AC716" s="20"/>
      <c r="AD716" s="20"/>
      <c r="AE716" s="20"/>
    </row>
    <row r="717">
      <c r="A717" s="21">
        <v>19.0</v>
      </c>
      <c r="B717" s="20" t="s">
        <v>1297</v>
      </c>
      <c r="C717" s="20" t="s">
        <v>1564</v>
      </c>
      <c r="I717" s="25" t="s">
        <v>1574</v>
      </c>
      <c r="J717" s="25" t="s">
        <v>1945</v>
      </c>
      <c r="K717" s="25" t="s">
        <v>71</v>
      </c>
      <c r="L717" s="25" t="s">
        <v>2430</v>
      </c>
      <c r="M717" s="20" t="s">
        <v>61</v>
      </c>
      <c r="N717" s="20" t="s">
        <v>1575</v>
      </c>
      <c r="O717" s="20" t="s">
        <v>63</v>
      </c>
      <c r="P717" s="20"/>
      <c r="Q717" s="26"/>
      <c r="R717" s="26"/>
      <c r="S717" s="26"/>
      <c r="T717" s="20"/>
      <c r="U717" s="26"/>
      <c r="V717" s="26"/>
      <c r="W717" s="20"/>
      <c r="X717" s="20"/>
      <c r="Y717" s="20"/>
      <c r="Z717" s="20"/>
      <c r="AA717" s="20"/>
      <c r="AB717" s="20"/>
      <c r="AC717" s="20"/>
      <c r="AD717" s="20"/>
      <c r="AE717" s="20"/>
    </row>
    <row r="718">
      <c r="A718" s="21">
        <v>19.0</v>
      </c>
      <c r="B718" s="20" t="s">
        <v>1297</v>
      </c>
      <c r="C718" s="20" t="s">
        <v>1564</v>
      </c>
      <c r="I718" s="25" t="s">
        <v>91</v>
      </c>
      <c r="J718" s="25" t="s">
        <v>1941</v>
      </c>
      <c r="K718" s="25" t="s">
        <v>67</v>
      </c>
      <c r="L718" s="25" t="s">
        <v>1025</v>
      </c>
      <c r="M718" s="20" t="s">
        <v>1672</v>
      </c>
      <c r="N718" s="20" t="s">
        <v>1955</v>
      </c>
      <c r="O718" s="20" t="s">
        <v>56</v>
      </c>
      <c r="P718" s="20" t="s">
        <v>52</v>
      </c>
      <c r="Q718" s="26"/>
      <c r="R718" s="26"/>
      <c r="S718" s="26"/>
      <c r="T718" s="22"/>
      <c r="U718" s="26"/>
      <c r="V718" s="26"/>
      <c r="W718" s="20"/>
      <c r="X718" s="20"/>
      <c r="Y718" s="20"/>
      <c r="Z718" s="20"/>
      <c r="AA718" s="20"/>
      <c r="AB718" s="20"/>
      <c r="AC718" s="20"/>
      <c r="AD718" s="20"/>
      <c r="AE718" s="20"/>
    </row>
    <row r="719">
      <c r="A719" s="21">
        <v>19.0</v>
      </c>
      <c r="B719" s="20" t="s">
        <v>1297</v>
      </c>
      <c r="C719" s="20" t="s">
        <v>1564</v>
      </c>
      <c r="I719" s="25" t="s">
        <v>1946</v>
      </c>
      <c r="J719" s="25" t="s">
        <v>1945</v>
      </c>
      <c r="K719" s="25" t="s">
        <v>67</v>
      </c>
      <c r="L719" s="25" t="s">
        <v>1133</v>
      </c>
      <c r="M719" s="20" t="s">
        <v>1947</v>
      </c>
      <c r="N719" s="20" t="s">
        <v>1948</v>
      </c>
      <c r="O719" s="20" t="s">
        <v>56</v>
      </c>
      <c r="P719" s="20" t="s">
        <v>52</v>
      </c>
      <c r="Q719" s="26"/>
      <c r="R719" s="26"/>
      <c r="S719" s="26"/>
      <c r="T719" s="22"/>
      <c r="U719" s="26"/>
      <c r="V719" s="26"/>
      <c r="W719" s="20"/>
      <c r="X719" s="20"/>
      <c r="Y719" s="20"/>
      <c r="Z719" s="20"/>
      <c r="AA719" s="20"/>
      <c r="AB719" s="20"/>
      <c r="AC719" s="20"/>
      <c r="AD719" s="20"/>
      <c r="AE719" s="20"/>
    </row>
    <row r="720">
      <c r="A720" s="21">
        <v>19.0</v>
      </c>
      <c r="B720" s="20" t="s">
        <v>1297</v>
      </c>
      <c r="C720" s="20" t="s">
        <v>1564</v>
      </c>
      <c r="I720" s="25" t="s">
        <v>1249</v>
      </c>
      <c r="J720" s="25" t="s">
        <v>1945</v>
      </c>
      <c r="K720" s="25" t="s">
        <v>71</v>
      </c>
      <c r="L720" s="25" t="s">
        <v>2444</v>
      </c>
      <c r="M720" s="20" t="s">
        <v>1250</v>
      </c>
      <c r="N720" s="20" t="s">
        <v>1981</v>
      </c>
      <c r="O720" s="20" t="s">
        <v>63</v>
      </c>
      <c r="P720" s="20"/>
      <c r="Q720" s="26"/>
      <c r="R720" s="26"/>
      <c r="S720" s="26"/>
      <c r="T720" s="20"/>
      <c r="U720" s="26"/>
      <c r="V720" s="26"/>
      <c r="W720" s="20"/>
      <c r="X720" s="20"/>
      <c r="Y720" s="20"/>
      <c r="Z720" s="20"/>
      <c r="AA720" s="20"/>
      <c r="AB720" s="20"/>
      <c r="AC720" s="20"/>
      <c r="AD720" s="20"/>
      <c r="AE720" s="20"/>
    </row>
    <row r="721">
      <c r="A721" s="21">
        <v>19.0</v>
      </c>
      <c r="B721" s="20" t="s">
        <v>1297</v>
      </c>
      <c r="C721" s="20" t="s">
        <v>1564</v>
      </c>
      <c r="I721" s="25" t="s">
        <v>1303</v>
      </c>
      <c r="J721" s="25" t="s">
        <v>1945</v>
      </c>
      <c r="K721" s="25" t="s">
        <v>67</v>
      </c>
      <c r="L721" s="25" t="s">
        <v>1025</v>
      </c>
      <c r="M721" s="20" t="s">
        <v>1304</v>
      </c>
      <c r="N721" s="20" t="s">
        <v>1305</v>
      </c>
      <c r="O721" s="20" t="s">
        <v>56</v>
      </c>
      <c r="P721" s="20" t="s">
        <v>52</v>
      </c>
      <c r="Q721" s="26"/>
      <c r="R721" s="26"/>
      <c r="S721" s="26"/>
      <c r="T721" s="22"/>
      <c r="U721" s="26"/>
      <c r="V721" s="26"/>
      <c r="W721" s="20"/>
      <c r="X721" s="20"/>
      <c r="Y721" s="20"/>
      <c r="Z721" s="20"/>
      <c r="AA721" s="20"/>
      <c r="AB721" s="20"/>
      <c r="AC721" s="20"/>
      <c r="AD721" s="20"/>
      <c r="AE721" s="20"/>
    </row>
    <row r="722">
      <c r="A722" s="21">
        <v>20.0</v>
      </c>
      <c r="B722" s="20" t="s">
        <v>2008</v>
      </c>
      <c r="C722" s="20" t="s">
        <v>1564</v>
      </c>
      <c r="D722" s="35">
        <v>30.0</v>
      </c>
      <c r="E722" s="35">
        <v>1.0</v>
      </c>
      <c r="F722" s="35">
        <v>8.0</v>
      </c>
      <c r="G722" s="35">
        <v>21.0</v>
      </c>
      <c r="H722" s="36" t="s">
        <v>2480</v>
      </c>
      <c r="I722" s="25" t="s">
        <v>1463</v>
      </c>
      <c r="J722" s="25" t="s">
        <v>2009</v>
      </c>
      <c r="K722" s="25" t="s">
        <v>57</v>
      </c>
      <c r="L722" s="25" t="s">
        <v>2482</v>
      </c>
      <c r="M722" s="20" t="s">
        <v>2010</v>
      </c>
      <c r="N722" s="20" t="s">
        <v>2011</v>
      </c>
      <c r="O722" s="20" t="s">
        <v>56</v>
      </c>
      <c r="P722" s="20"/>
      <c r="Q722" s="26"/>
      <c r="R722" s="26"/>
      <c r="S722" s="26"/>
      <c r="T722" s="20"/>
      <c r="U722" s="26"/>
      <c r="V722" s="26"/>
      <c r="W722" s="20"/>
      <c r="X722" s="20"/>
      <c r="Y722" s="20"/>
      <c r="Z722" s="20"/>
      <c r="AA722" s="20"/>
      <c r="AB722" s="20"/>
      <c r="AC722" s="20"/>
      <c r="AD722" s="20"/>
      <c r="AE722" s="20"/>
    </row>
    <row r="723">
      <c r="A723" s="21">
        <v>20.0</v>
      </c>
      <c r="B723" s="20" t="s">
        <v>2008</v>
      </c>
      <c r="C723" s="20" t="s">
        <v>1564</v>
      </c>
      <c r="I723" s="25" t="s">
        <v>1012</v>
      </c>
      <c r="J723" s="25" t="s">
        <v>2009</v>
      </c>
      <c r="K723" s="25" t="s">
        <v>67</v>
      </c>
      <c r="L723" s="25" t="s">
        <v>2486</v>
      </c>
      <c r="M723" s="20" t="s">
        <v>1013</v>
      </c>
      <c r="N723" s="20" t="s">
        <v>2012</v>
      </c>
      <c r="O723" s="20" t="s">
        <v>56</v>
      </c>
      <c r="P723" s="20"/>
      <c r="Q723" s="26"/>
      <c r="R723" s="26"/>
      <c r="S723" s="26"/>
      <c r="T723" s="20"/>
      <c r="U723" s="26"/>
      <c r="V723" s="26"/>
      <c r="W723" s="20"/>
      <c r="X723" s="20"/>
      <c r="Y723" s="20"/>
      <c r="Z723" s="20"/>
      <c r="AA723" s="20"/>
      <c r="AB723" s="20"/>
      <c r="AC723" s="20"/>
      <c r="AD723" s="20"/>
      <c r="AE723" s="20"/>
    </row>
    <row r="724">
      <c r="A724" s="21">
        <v>20.0</v>
      </c>
      <c r="B724" s="20" t="s">
        <v>2008</v>
      </c>
      <c r="C724" s="20" t="s">
        <v>1564</v>
      </c>
      <c r="I724" s="25" t="s">
        <v>2024</v>
      </c>
      <c r="J724" s="25" t="s">
        <v>2009</v>
      </c>
      <c r="K724" s="25" t="s">
        <v>67</v>
      </c>
      <c r="L724" s="25" t="s">
        <v>2494</v>
      </c>
      <c r="M724" s="20" t="s">
        <v>61</v>
      </c>
      <c r="N724" s="20" t="s">
        <v>2025</v>
      </c>
      <c r="O724" s="20" t="s">
        <v>63</v>
      </c>
      <c r="P724" s="20"/>
      <c r="Q724" s="26"/>
      <c r="R724" s="26"/>
      <c r="S724" s="26"/>
      <c r="T724" s="20"/>
      <c r="U724" s="26"/>
      <c r="V724" s="26"/>
      <c r="W724" s="20"/>
      <c r="X724" s="20"/>
      <c r="Y724" s="20"/>
      <c r="Z724" s="20"/>
      <c r="AA724" s="20"/>
      <c r="AB724" s="20"/>
      <c r="AC724" s="20"/>
      <c r="AD724" s="20"/>
      <c r="AE724" s="20"/>
    </row>
    <row r="725">
      <c r="A725" s="21">
        <v>20.0</v>
      </c>
      <c r="B725" s="20" t="s">
        <v>2008</v>
      </c>
      <c r="C725" s="20" t="s">
        <v>1564</v>
      </c>
      <c r="I725" s="25" t="s">
        <v>605</v>
      </c>
      <c r="J725" s="25" t="s">
        <v>2009</v>
      </c>
      <c r="K725" s="25" t="s">
        <v>67</v>
      </c>
      <c r="L725" s="25" t="s">
        <v>2496</v>
      </c>
      <c r="M725" s="20" t="s">
        <v>2026</v>
      </c>
      <c r="N725" s="20" t="s">
        <v>2027</v>
      </c>
      <c r="O725" s="20" t="s">
        <v>63</v>
      </c>
      <c r="P725" s="20"/>
      <c r="Q725" s="26"/>
      <c r="R725" s="26"/>
      <c r="S725" s="26"/>
      <c r="T725" s="20"/>
      <c r="U725" s="26"/>
      <c r="V725" s="26"/>
      <c r="W725" s="20"/>
      <c r="X725" s="20"/>
      <c r="Y725" s="20"/>
      <c r="Z725" s="20"/>
      <c r="AA725" s="20"/>
      <c r="AB725" s="20"/>
      <c r="AC725" s="20"/>
      <c r="AD725" s="20"/>
      <c r="AE725" s="20"/>
    </row>
    <row r="726">
      <c r="A726" s="21">
        <v>20.0</v>
      </c>
      <c r="B726" s="20" t="s">
        <v>2008</v>
      </c>
      <c r="C726" s="20" t="s">
        <v>1564</v>
      </c>
      <c r="I726" s="25" t="s">
        <v>1171</v>
      </c>
      <c r="J726" s="25" t="s">
        <v>2009</v>
      </c>
      <c r="K726" s="25" t="s">
        <v>67</v>
      </c>
      <c r="L726" s="25" t="s">
        <v>2499</v>
      </c>
      <c r="M726" s="20" t="s">
        <v>2028</v>
      </c>
      <c r="N726" s="20" t="s">
        <v>2029</v>
      </c>
      <c r="O726" s="20" t="s">
        <v>63</v>
      </c>
      <c r="P726" s="20"/>
      <c r="Q726" s="26"/>
      <c r="R726" s="26"/>
      <c r="S726" s="26"/>
      <c r="T726" s="20"/>
      <c r="U726" s="26"/>
      <c r="V726" s="26"/>
      <c r="W726" s="20"/>
      <c r="X726" s="20"/>
      <c r="Y726" s="20"/>
      <c r="Z726" s="20"/>
      <c r="AA726" s="20"/>
      <c r="AB726" s="20"/>
      <c r="AC726" s="20"/>
      <c r="AD726" s="20"/>
      <c r="AE726" s="20"/>
    </row>
    <row r="727">
      <c r="A727" s="21">
        <v>20.0</v>
      </c>
      <c r="B727" s="20" t="s">
        <v>2008</v>
      </c>
      <c r="C727" s="20" t="s">
        <v>1564</v>
      </c>
      <c r="I727" s="25" t="s">
        <v>2013</v>
      </c>
      <c r="J727" s="25" t="s">
        <v>2009</v>
      </c>
      <c r="K727" s="25" t="s">
        <v>67</v>
      </c>
      <c r="L727" s="25" t="s">
        <v>1025</v>
      </c>
      <c r="M727" s="20" t="s">
        <v>2014</v>
      </c>
      <c r="N727" s="20" t="s">
        <v>2015</v>
      </c>
      <c r="O727" s="20" t="s">
        <v>56</v>
      </c>
      <c r="P727" s="20" t="s">
        <v>52</v>
      </c>
      <c r="Q727" s="26"/>
      <c r="R727" s="26"/>
      <c r="S727" s="26"/>
      <c r="T727" s="22"/>
      <c r="U727" s="26"/>
      <c r="V727" s="26"/>
      <c r="W727" s="20"/>
      <c r="X727" s="20"/>
      <c r="Y727" s="20"/>
      <c r="Z727" s="20"/>
      <c r="AA727" s="20"/>
      <c r="AB727" s="20"/>
      <c r="AC727" s="20"/>
      <c r="AD727" s="20"/>
      <c r="AE727" s="20"/>
    </row>
    <row r="728">
      <c r="A728" s="21">
        <v>20.0</v>
      </c>
      <c r="B728" s="20" t="s">
        <v>2008</v>
      </c>
      <c r="C728" s="20" t="s">
        <v>1564</v>
      </c>
      <c r="I728" s="25" t="s">
        <v>2036</v>
      </c>
      <c r="J728" s="25" t="s">
        <v>2009</v>
      </c>
      <c r="K728" s="25" t="s">
        <v>71</v>
      </c>
      <c r="L728" s="25" t="s">
        <v>2501</v>
      </c>
      <c r="M728" s="20" t="s">
        <v>2037</v>
      </c>
      <c r="N728" s="20" t="s">
        <v>2038</v>
      </c>
      <c r="O728" s="20" t="s">
        <v>63</v>
      </c>
      <c r="P728" s="20"/>
      <c r="Q728" s="26"/>
      <c r="R728" s="26"/>
      <c r="S728" s="26"/>
      <c r="T728" s="20"/>
      <c r="U728" s="26"/>
      <c r="V728" s="26"/>
      <c r="W728" s="20"/>
      <c r="X728" s="20"/>
      <c r="Y728" s="20"/>
      <c r="Z728" s="20"/>
      <c r="AA728" s="20"/>
      <c r="AB728" s="20"/>
      <c r="AC728" s="20"/>
      <c r="AD728" s="20"/>
      <c r="AE728" s="20"/>
    </row>
    <row r="729">
      <c r="A729" s="21">
        <v>20.0</v>
      </c>
      <c r="B729" s="20" t="s">
        <v>2008</v>
      </c>
      <c r="C729" s="20" t="s">
        <v>1564</v>
      </c>
      <c r="I729" s="25" t="s">
        <v>2016</v>
      </c>
      <c r="J729" s="25" t="s">
        <v>2009</v>
      </c>
      <c r="K729" s="25" t="s">
        <v>67</v>
      </c>
      <c r="L729" s="25" t="s">
        <v>1025</v>
      </c>
      <c r="M729" s="20" t="s">
        <v>2017</v>
      </c>
      <c r="N729" s="20" t="s">
        <v>2018</v>
      </c>
      <c r="O729" s="20" t="s">
        <v>56</v>
      </c>
      <c r="P729" s="20" t="s">
        <v>52</v>
      </c>
      <c r="Q729" s="26"/>
      <c r="R729" s="26"/>
      <c r="S729" s="26"/>
      <c r="T729" s="22"/>
      <c r="U729" s="26"/>
      <c r="V729" s="26"/>
      <c r="W729" s="20"/>
      <c r="X729" s="20"/>
      <c r="Y729" s="20"/>
      <c r="Z729" s="20"/>
      <c r="AA729" s="20"/>
      <c r="AB729" s="20"/>
      <c r="AC729" s="20"/>
      <c r="AD729" s="20"/>
      <c r="AE729" s="20"/>
    </row>
    <row r="730">
      <c r="A730" s="21">
        <v>20.0</v>
      </c>
      <c r="B730" s="20" t="s">
        <v>2008</v>
      </c>
      <c r="C730" s="20" t="s">
        <v>1564</v>
      </c>
      <c r="I730" s="25" t="s">
        <v>2039</v>
      </c>
      <c r="J730" s="25" t="s">
        <v>2009</v>
      </c>
      <c r="K730" s="25" t="s">
        <v>71</v>
      </c>
      <c r="L730" s="25" t="s">
        <v>2501</v>
      </c>
      <c r="M730" s="20" t="s">
        <v>2040</v>
      </c>
      <c r="N730" s="20" t="s">
        <v>2041</v>
      </c>
      <c r="O730" s="20" t="s">
        <v>63</v>
      </c>
      <c r="P730" s="20"/>
      <c r="Q730" s="26"/>
      <c r="R730" s="26"/>
      <c r="S730" s="26"/>
      <c r="T730" s="20"/>
      <c r="U730" s="26"/>
      <c r="V730" s="26"/>
      <c r="W730" s="20"/>
      <c r="X730" s="20"/>
      <c r="Y730" s="20"/>
      <c r="Z730" s="20"/>
      <c r="AA730" s="20"/>
      <c r="AB730" s="20"/>
      <c r="AC730" s="20"/>
      <c r="AD730" s="20"/>
      <c r="AE730" s="20"/>
    </row>
    <row r="731">
      <c r="A731" s="21">
        <v>20.0</v>
      </c>
      <c r="B731" s="20" t="s">
        <v>2008</v>
      </c>
      <c r="C731" s="20" t="s">
        <v>1564</v>
      </c>
      <c r="I731" s="25" t="s">
        <v>2042</v>
      </c>
      <c r="J731" s="25" t="s">
        <v>2009</v>
      </c>
      <c r="K731" s="25" t="s">
        <v>71</v>
      </c>
      <c r="L731" s="25" t="s">
        <v>2501</v>
      </c>
      <c r="M731" s="20" t="s">
        <v>2043</v>
      </c>
      <c r="N731" s="20" t="s">
        <v>2044</v>
      </c>
      <c r="O731" s="20" t="s">
        <v>63</v>
      </c>
      <c r="P731" s="20"/>
      <c r="Q731" s="26"/>
      <c r="R731" s="26"/>
      <c r="S731" s="26"/>
      <c r="T731" s="20"/>
      <c r="U731" s="26"/>
      <c r="V731" s="26"/>
      <c r="W731" s="20"/>
      <c r="X731" s="20"/>
      <c r="Y731" s="20"/>
      <c r="Z731" s="20"/>
      <c r="AA731" s="20"/>
      <c r="AB731" s="20"/>
      <c r="AC731" s="20"/>
      <c r="AD731" s="20"/>
      <c r="AE731" s="20"/>
    </row>
    <row r="732">
      <c r="A732" s="21">
        <v>20.0</v>
      </c>
      <c r="B732" s="20" t="s">
        <v>2008</v>
      </c>
      <c r="C732" s="20" t="s">
        <v>1564</v>
      </c>
      <c r="I732" s="25" t="s">
        <v>2019</v>
      </c>
      <c r="J732" s="25" t="s">
        <v>2009</v>
      </c>
      <c r="K732" s="25" t="s">
        <v>67</v>
      </c>
      <c r="L732" s="25" t="s">
        <v>1025</v>
      </c>
      <c r="M732" s="20" t="s">
        <v>2020</v>
      </c>
      <c r="N732" s="20" t="s">
        <v>2021</v>
      </c>
      <c r="O732" s="20" t="s">
        <v>56</v>
      </c>
      <c r="P732" s="20" t="s">
        <v>52</v>
      </c>
      <c r="Q732" s="26"/>
      <c r="R732" s="26"/>
      <c r="S732" s="26"/>
      <c r="T732" s="22"/>
      <c r="U732" s="26"/>
      <c r="V732" s="26"/>
      <c r="W732" s="20"/>
      <c r="X732" s="20"/>
      <c r="Y732" s="20"/>
      <c r="Z732" s="20"/>
      <c r="AA732" s="20"/>
      <c r="AB732" s="20"/>
      <c r="AC732" s="20"/>
      <c r="AD732" s="20"/>
      <c r="AE732" s="20"/>
    </row>
    <row r="733">
      <c r="A733" s="21">
        <v>20.0</v>
      </c>
      <c r="B733" s="20" t="s">
        <v>2008</v>
      </c>
      <c r="C733" s="20" t="s">
        <v>1564</v>
      </c>
      <c r="I733" s="25" t="s">
        <v>2046</v>
      </c>
      <c r="J733" s="25" t="s">
        <v>2009</v>
      </c>
      <c r="K733" s="25" t="s">
        <v>71</v>
      </c>
      <c r="L733" s="25" t="s">
        <v>2501</v>
      </c>
      <c r="M733" s="20" t="s">
        <v>2047</v>
      </c>
      <c r="N733" s="20" t="s">
        <v>2048</v>
      </c>
      <c r="O733" s="20" t="s">
        <v>63</v>
      </c>
      <c r="P733" s="20"/>
      <c r="Q733" s="26"/>
      <c r="R733" s="26"/>
      <c r="S733" s="26"/>
      <c r="T733" s="20"/>
      <c r="U733" s="26"/>
      <c r="V733" s="26"/>
      <c r="W733" s="20"/>
      <c r="X733" s="20"/>
      <c r="Y733" s="20"/>
      <c r="Z733" s="20"/>
      <c r="AA733" s="20"/>
      <c r="AB733" s="20"/>
      <c r="AC733" s="20"/>
      <c r="AD733" s="20"/>
      <c r="AE733" s="20"/>
    </row>
    <row r="734">
      <c r="A734" s="21">
        <v>20.0</v>
      </c>
      <c r="B734" s="20" t="s">
        <v>2008</v>
      </c>
      <c r="C734" s="20" t="s">
        <v>1564</v>
      </c>
      <c r="I734" s="25" t="s">
        <v>1665</v>
      </c>
      <c r="J734" s="25" t="s">
        <v>2009</v>
      </c>
      <c r="K734" s="25" t="s">
        <v>67</v>
      </c>
      <c r="L734" s="25" t="s">
        <v>1025</v>
      </c>
      <c r="M734" s="20" t="s">
        <v>2022</v>
      </c>
      <c r="N734" s="20" t="s">
        <v>2023</v>
      </c>
      <c r="O734" s="20" t="s">
        <v>56</v>
      </c>
      <c r="P734" s="20" t="s">
        <v>52</v>
      </c>
      <c r="Q734" s="26"/>
      <c r="R734" s="26"/>
      <c r="S734" s="26"/>
      <c r="T734" s="22"/>
      <c r="U734" s="26"/>
      <c r="V734" s="26"/>
      <c r="W734" s="20"/>
      <c r="X734" s="20"/>
      <c r="Y734" s="20"/>
      <c r="Z734" s="20"/>
      <c r="AA734" s="20"/>
      <c r="AB734" s="20"/>
      <c r="AC734" s="20"/>
      <c r="AD734" s="20"/>
      <c r="AE734" s="20"/>
    </row>
    <row r="735">
      <c r="A735" s="21">
        <v>20.0</v>
      </c>
      <c r="B735" s="20" t="s">
        <v>2008</v>
      </c>
      <c r="C735" s="20" t="s">
        <v>1564</v>
      </c>
      <c r="I735" s="25" t="s">
        <v>2049</v>
      </c>
      <c r="J735" s="25" t="s">
        <v>2009</v>
      </c>
      <c r="K735" s="25" t="s">
        <v>71</v>
      </c>
      <c r="L735" s="25" t="s">
        <v>2501</v>
      </c>
      <c r="M735" s="20" t="s">
        <v>2050</v>
      </c>
      <c r="N735" s="20" t="s">
        <v>2051</v>
      </c>
      <c r="O735" s="20" t="s">
        <v>63</v>
      </c>
      <c r="P735" s="20"/>
      <c r="Q735" s="26"/>
      <c r="R735" s="26"/>
      <c r="S735" s="26"/>
      <c r="T735" s="20"/>
      <c r="U735" s="26"/>
      <c r="V735" s="26"/>
      <c r="W735" s="20"/>
      <c r="X735" s="20"/>
      <c r="Y735" s="20"/>
      <c r="Z735" s="20"/>
      <c r="AA735" s="20"/>
      <c r="AB735" s="20"/>
      <c r="AC735" s="20"/>
      <c r="AD735" s="20"/>
      <c r="AE735" s="20"/>
    </row>
    <row r="736">
      <c r="A736" s="21">
        <v>20.0</v>
      </c>
      <c r="B736" s="20" t="s">
        <v>2008</v>
      </c>
      <c r="C736" s="20" t="s">
        <v>1564</v>
      </c>
      <c r="I736" s="25" t="s">
        <v>2053</v>
      </c>
      <c r="J736" s="25" t="s">
        <v>2009</v>
      </c>
      <c r="K736" s="25" t="s">
        <v>71</v>
      </c>
      <c r="L736" s="25" t="s">
        <v>2501</v>
      </c>
      <c r="M736" s="20" t="s">
        <v>1406</v>
      </c>
      <c r="N736" s="20" t="s">
        <v>2054</v>
      </c>
      <c r="O736" s="20" t="s">
        <v>63</v>
      </c>
      <c r="P736" s="20"/>
      <c r="Q736" s="26"/>
      <c r="R736" s="26"/>
      <c r="S736" s="26"/>
      <c r="T736" s="20"/>
      <c r="U736" s="26"/>
      <c r="V736" s="26"/>
      <c r="W736" s="20"/>
      <c r="X736" s="20"/>
      <c r="Y736" s="20"/>
      <c r="Z736" s="20"/>
      <c r="AA736" s="20"/>
      <c r="AB736" s="20"/>
      <c r="AC736" s="20"/>
      <c r="AD736" s="20"/>
      <c r="AE736" s="20"/>
    </row>
    <row r="737">
      <c r="A737" s="21">
        <v>20.0</v>
      </c>
      <c r="B737" s="20" t="s">
        <v>2008</v>
      </c>
      <c r="C737" s="20" t="s">
        <v>1564</v>
      </c>
      <c r="I737" s="25" t="s">
        <v>1522</v>
      </c>
      <c r="J737" s="25" t="s">
        <v>2009</v>
      </c>
      <c r="K737" s="25" t="s">
        <v>71</v>
      </c>
      <c r="L737" s="25" t="s">
        <v>292</v>
      </c>
      <c r="M737" s="20" t="s">
        <v>1523</v>
      </c>
      <c r="N737" s="20" t="s">
        <v>2056</v>
      </c>
      <c r="O737" s="20" t="s">
        <v>63</v>
      </c>
      <c r="P737" s="20" t="s">
        <v>52</v>
      </c>
      <c r="Q737" s="26"/>
      <c r="R737" s="26"/>
      <c r="S737" s="26"/>
      <c r="T737" s="22"/>
      <c r="U737" s="26"/>
      <c r="V737" s="26"/>
      <c r="W737" s="20"/>
      <c r="X737" s="20"/>
      <c r="Y737" s="20"/>
      <c r="Z737" s="20"/>
      <c r="AA737" s="20"/>
      <c r="AB737" s="20"/>
      <c r="AC737" s="20"/>
      <c r="AD737" s="20"/>
      <c r="AE737" s="20"/>
    </row>
    <row r="738">
      <c r="A738" s="21">
        <v>20.0</v>
      </c>
      <c r="B738" s="20" t="s">
        <v>2008</v>
      </c>
      <c r="C738" s="20" t="s">
        <v>1564</v>
      </c>
      <c r="I738" s="25" t="s">
        <v>2058</v>
      </c>
      <c r="J738" s="25" t="s">
        <v>2009</v>
      </c>
      <c r="K738" s="25" t="s">
        <v>71</v>
      </c>
      <c r="L738" s="25" t="s">
        <v>292</v>
      </c>
      <c r="M738" s="20" t="s">
        <v>2059</v>
      </c>
      <c r="N738" s="20" t="s">
        <v>2060</v>
      </c>
      <c r="O738" s="20" t="s">
        <v>63</v>
      </c>
      <c r="P738" s="20" t="s">
        <v>52</v>
      </c>
      <c r="Q738" s="26"/>
      <c r="R738" s="26"/>
      <c r="S738" s="26"/>
      <c r="T738" s="22"/>
      <c r="U738" s="26"/>
      <c r="V738" s="26"/>
      <c r="W738" s="20"/>
      <c r="X738" s="20"/>
      <c r="Y738" s="20"/>
      <c r="Z738" s="20"/>
      <c r="AA738" s="20"/>
      <c r="AB738" s="20"/>
      <c r="AC738" s="20"/>
      <c r="AD738" s="20"/>
      <c r="AE738" s="20"/>
    </row>
    <row r="739">
      <c r="A739" s="21">
        <v>20.0</v>
      </c>
      <c r="B739" s="20" t="s">
        <v>2008</v>
      </c>
      <c r="C739" s="20" t="s">
        <v>1564</v>
      </c>
      <c r="I739" s="25" t="s">
        <v>2062</v>
      </c>
      <c r="J739" s="25" t="s">
        <v>2009</v>
      </c>
      <c r="K739" s="25" t="s">
        <v>71</v>
      </c>
      <c r="L739" s="25" t="s">
        <v>2501</v>
      </c>
      <c r="M739" s="20" t="s">
        <v>2063</v>
      </c>
      <c r="N739" s="20" t="s">
        <v>2064</v>
      </c>
      <c r="O739" s="20" t="s">
        <v>63</v>
      </c>
      <c r="P739" s="20"/>
      <c r="Q739" s="26"/>
      <c r="R739" s="26"/>
      <c r="S739" s="26"/>
      <c r="T739" s="20"/>
      <c r="U739" s="26"/>
      <c r="V739" s="26"/>
      <c r="W739" s="20"/>
      <c r="X739" s="20"/>
      <c r="Y739" s="20"/>
      <c r="Z739" s="20"/>
      <c r="AA739" s="20"/>
      <c r="AB739" s="20"/>
      <c r="AC739" s="20"/>
      <c r="AD739" s="20"/>
      <c r="AE739" s="20"/>
    </row>
    <row r="740">
      <c r="A740" s="21">
        <v>20.0</v>
      </c>
      <c r="B740" s="20" t="s">
        <v>2008</v>
      </c>
      <c r="C740" s="20" t="s">
        <v>1564</v>
      </c>
      <c r="I740" s="25" t="s">
        <v>2065</v>
      </c>
      <c r="J740" s="25" t="s">
        <v>2009</v>
      </c>
      <c r="K740" s="25" t="s">
        <v>71</v>
      </c>
      <c r="L740" s="25" t="s">
        <v>2538</v>
      </c>
      <c r="M740" s="20" t="s">
        <v>61</v>
      </c>
      <c r="N740" s="20" t="s">
        <v>2066</v>
      </c>
      <c r="O740" s="20" t="s">
        <v>63</v>
      </c>
      <c r="P740" s="20"/>
      <c r="Q740" s="26"/>
      <c r="R740" s="26"/>
      <c r="S740" s="26"/>
      <c r="T740" s="20"/>
      <c r="U740" s="26"/>
      <c r="V740" s="26"/>
      <c r="W740" s="20"/>
      <c r="X740" s="20"/>
      <c r="Y740" s="20"/>
      <c r="Z740" s="20"/>
      <c r="AA740" s="20"/>
      <c r="AB740" s="20"/>
      <c r="AC740" s="20"/>
      <c r="AD740" s="20"/>
      <c r="AE740" s="20"/>
    </row>
    <row r="741">
      <c r="A741" s="21">
        <v>20.0</v>
      </c>
      <c r="B741" s="20" t="s">
        <v>2008</v>
      </c>
      <c r="C741" s="20" t="s">
        <v>1564</v>
      </c>
      <c r="I741" s="25" t="s">
        <v>2068</v>
      </c>
      <c r="J741" s="25" t="s">
        <v>2009</v>
      </c>
      <c r="K741" s="25" t="s">
        <v>71</v>
      </c>
      <c r="L741" s="25" t="s">
        <v>2501</v>
      </c>
      <c r="M741" s="20" t="s">
        <v>2069</v>
      </c>
      <c r="N741" s="20" t="s">
        <v>2070</v>
      </c>
      <c r="O741" s="20" t="s">
        <v>63</v>
      </c>
      <c r="P741" s="20"/>
      <c r="Q741" s="26"/>
      <c r="R741" s="26"/>
      <c r="S741" s="26"/>
      <c r="T741" s="20"/>
      <c r="U741" s="26"/>
      <c r="V741" s="26"/>
      <c r="W741" s="20"/>
      <c r="X741" s="20"/>
      <c r="Y741" s="20"/>
      <c r="Z741" s="20"/>
      <c r="AA741" s="20"/>
      <c r="AB741" s="20"/>
      <c r="AC741" s="20"/>
      <c r="AD741" s="20"/>
      <c r="AE741" s="20"/>
    </row>
    <row r="742">
      <c r="A742" s="21">
        <v>20.0</v>
      </c>
      <c r="B742" s="20" t="s">
        <v>2008</v>
      </c>
      <c r="C742" s="20" t="s">
        <v>1564</v>
      </c>
      <c r="I742" s="25" t="s">
        <v>2031</v>
      </c>
      <c r="J742" s="25" t="s">
        <v>2030</v>
      </c>
      <c r="K742" s="25" t="s">
        <v>71</v>
      </c>
      <c r="L742" s="25" t="s">
        <v>2501</v>
      </c>
      <c r="M742" s="20" t="s">
        <v>2032</v>
      </c>
      <c r="N742" s="20" t="s">
        <v>2033</v>
      </c>
      <c r="O742" s="20" t="s">
        <v>63</v>
      </c>
      <c r="P742" s="20"/>
      <c r="Q742" s="26"/>
      <c r="R742" s="26"/>
      <c r="S742" s="26"/>
      <c r="T742" s="20"/>
      <c r="U742" s="26"/>
      <c r="V742" s="26"/>
      <c r="W742" s="20"/>
      <c r="X742" s="20"/>
      <c r="Y742" s="20"/>
      <c r="Z742" s="20"/>
      <c r="AA742" s="20"/>
      <c r="AB742" s="20"/>
      <c r="AC742" s="20"/>
      <c r="AD742" s="20"/>
      <c r="AE742" s="20"/>
    </row>
    <row r="743">
      <c r="A743" s="21">
        <v>20.0</v>
      </c>
      <c r="B743" s="20" t="s">
        <v>2008</v>
      </c>
      <c r="C743" s="20" t="s">
        <v>1564</v>
      </c>
      <c r="I743" s="25" t="s">
        <v>2072</v>
      </c>
      <c r="J743" s="25" t="s">
        <v>2009</v>
      </c>
      <c r="K743" s="25" t="s">
        <v>71</v>
      </c>
      <c r="L743" s="25" t="s">
        <v>2501</v>
      </c>
      <c r="M743" s="20" t="s">
        <v>2073</v>
      </c>
      <c r="N743" s="20" t="s">
        <v>2074</v>
      </c>
      <c r="O743" s="20" t="s">
        <v>63</v>
      </c>
      <c r="P743" s="20"/>
      <c r="Q743" s="26"/>
      <c r="R743" s="26"/>
      <c r="S743" s="26"/>
      <c r="T743" s="20"/>
      <c r="U743" s="26"/>
      <c r="V743" s="26"/>
      <c r="W743" s="20"/>
      <c r="X743" s="20"/>
      <c r="Y743" s="20"/>
      <c r="Z743" s="20"/>
      <c r="AA743" s="20"/>
      <c r="AB743" s="20"/>
      <c r="AC743" s="20"/>
      <c r="AD743" s="20"/>
      <c r="AE743" s="20"/>
    </row>
    <row r="744">
      <c r="A744" s="21">
        <v>20.0</v>
      </c>
      <c r="B744" s="20" t="s">
        <v>2008</v>
      </c>
      <c r="C744" s="20" t="s">
        <v>1564</v>
      </c>
      <c r="I744" s="25" t="s">
        <v>2076</v>
      </c>
      <c r="J744" s="25" t="s">
        <v>2009</v>
      </c>
      <c r="K744" s="25" t="s">
        <v>71</v>
      </c>
      <c r="L744" s="25" t="s">
        <v>2552</v>
      </c>
      <c r="M744" s="20" t="s">
        <v>2077</v>
      </c>
      <c r="N744" s="20" t="s">
        <v>2078</v>
      </c>
      <c r="O744" s="20" t="s">
        <v>63</v>
      </c>
      <c r="P744" s="20"/>
      <c r="Q744" s="26"/>
      <c r="R744" s="26"/>
      <c r="S744" s="26"/>
      <c r="T744" s="20"/>
      <c r="U744" s="26"/>
      <c r="V744" s="26"/>
      <c r="W744" s="20"/>
      <c r="X744" s="20"/>
      <c r="Y744" s="20"/>
      <c r="Z744" s="20"/>
      <c r="AA744" s="20"/>
      <c r="AB744" s="20"/>
      <c r="AC744" s="20"/>
      <c r="AD744" s="20"/>
      <c r="AE744" s="20"/>
    </row>
    <row r="745">
      <c r="A745" s="21">
        <v>20.0</v>
      </c>
      <c r="B745" s="20" t="s">
        <v>2008</v>
      </c>
      <c r="C745" s="20" t="s">
        <v>1564</v>
      </c>
      <c r="I745" s="25" t="s">
        <v>1878</v>
      </c>
      <c r="J745" s="25" t="s">
        <v>2030</v>
      </c>
      <c r="K745" s="25" t="s">
        <v>71</v>
      </c>
      <c r="L745" s="25" t="s">
        <v>2501</v>
      </c>
      <c r="M745" s="20" t="s">
        <v>2034</v>
      </c>
      <c r="N745" s="20" t="s">
        <v>2035</v>
      </c>
      <c r="O745" s="20" t="s">
        <v>63</v>
      </c>
      <c r="P745" s="20"/>
      <c r="Q745" s="26"/>
      <c r="R745" s="26"/>
      <c r="S745" s="26"/>
      <c r="T745" s="20"/>
      <c r="U745" s="26"/>
      <c r="V745" s="26"/>
      <c r="W745" s="20"/>
      <c r="X745" s="20"/>
      <c r="Y745" s="20"/>
      <c r="Z745" s="20"/>
      <c r="AA745" s="20"/>
      <c r="AB745" s="20"/>
      <c r="AC745" s="20"/>
      <c r="AD745" s="20"/>
      <c r="AE745" s="20"/>
    </row>
    <row r="746">
      <c r="A746" s="21">
        <v>20.0</v>
      </c>
      <c r="B746" s="20" t="s">
        <v>2008</v>
      </c>
      <c r="C746" s="20" t="s">
        <v>1564</v>
      </c>
      <c r="I746" s="25" t="s">
        <v>1367</v>
      </c>
      <c r="J746" s="25" t="s">
        <v>2009</v>
      </c>
      <c r="K746" s="25" t="s">
        <v>71</v>
      </c>
      <c r="L746" s="25" t="s">
        <v>2501</v>
      </c>
      <c r="M746" s="20" t="s">
        <v>2079</v>
      </c>
      <c r="N746" s="20" t="s">
        <v>2081</v>
      </c>
      <c r="O746" s="20" t="s">
        <v>63</v>
      </c>
      <c r="P746" s="20"/>
      <c r="Q746" s="26"/>
      <c r="R746" s="26"/>
      <c r="S746" s="26"/>
      <c r="T746" s="20"/>
      <c r="U746" s="26"/>
      <c r="V746" s="26"/>
      <c r="W746" s="20"/>
      <c r="X746" s="20"/>
      <c r="Y746" s="20"/>
      <c r="Z746" s="20"/>
      <c r="AA746" s="20"/>
      <c r="AB746" s="20"/>
      <c r="AC746" s="20"/>
      <c r="AD746" s="20"/>
      <c r="AE746" s="20"/>
    </row>
    <row r="747">
      <c r="A747" s="21">
        <v>20.0</v>
      </c>
      <c r="B747" s="20" t="s">
        <v>2008</v>
      </c>
      <c r="C747" s="20" t="s">
        <v>1564</v>
      </c>
      <c r="I747" s="25" t="s">
        <v>2083</v>
      </c>
      <c r="J747" s="25" t="s">
        <v>2009</v>
      </c>
      <c r="K747" s="25" t="s">
        <v>71</v>
      </c>
      <c r="L747" s="25" t="s">
        <v>292</v>
      </c>
      <c r="M747" s="20" t="s">
        <v>2084</v>
      </c>
      <c r="N747" s="20" t="s">
        <v>2085</v>
      </c>
      <c r="O747" s="20" t="s">
        <v>63</v>
      </c>
      <c r="P747" s="20" t="s">
        <v>52</v>
      </c>
      <c r="Q747" s="26"/>
      <c r="R747" s="26"/>
      <c r="S747" s="26"/>
      <c r="T747" s="22"/>
      <c r="U747" s="26"/>
      <c r="V747" s="26"/>
      <c r="W747" s="20"/>
      <c r="X747" s="20"/>
      <c r="Y747" s="20"/>
      <c r="Z747" s="20"/>
      <c r="AA747" s="20"/>
      <c r="AB747" s="20"/>
      <c r="AC747" s="20"/>
      <c r="AD747" s="20"/>
      <c r="AE747" s="20"/>
    </row>
    <row r="748">
      <c r="A748" s="21">
        <v>20.0</v>
      </c>
      <c r="B748" s="20" t="s">
        <v>2008</v>
      </c>
      <c r="C748" s="20" t="s">
        <v>1564</v>
      </c>
      <c r="I748" s="25" t="s">
        <v>1509</v>
      </c>
      <c r="J748" s="25" t="s">
        <v>2009</v>
      </c>
      <c r="K748" s="25" t="s">
        <v>71</v>
      </c>
      <c r="L748" s="25" t="s">
        <v>2552</v>
      </c>
      <c r="M748" s="20" t="s">
        <v>2086</v>
      </c>
      <c r="N748" s="20" t="s">
        <v>2087</v>
      </c>
      <c r="O748" s="20" t="s">
        <v>63</v>
      </c>
      <c r="P748" s="20"/>
      <c r="Q748" s="26"/>
      <c r="R748" s="26"/>
      <c r="S748" s="26"/>
      <c r="T748" s="20"/>
      <c r="U748" s="26"/>
      <c r="V748" s="26"/>
      <c r="W748" s="20"/>
      <c r="X748" s="20"/>
      <c r="Y748" s="20"/>
      <c r="Z748" s="20"/>
      <c r="AA748" s="20"/>
      <c r="AB748" s="20"/>
      <c r="AC748" s="20"/>
      <c r="AD748" s="20"/>
      <c r="AE748" s="20"/>
    </row>
    <row r="749">
      <c r="A749" s="21">
        <v>20.0</v>
      </c>
      <c r="B749" s="20" t="s">
        <v>2008</v>
      </c>
      <c r="C749" s="20" t="s">
        <v>1564</v>
      </c>
      <c r="I749" s="25" t="s">
        <v>1315</v>
      </c>
      <c r="J749" s="25" t="s">
        <v>2009</v>
      </c>
      <c r="K749" s="25" t="s">
        <v>71</v>
      </c>
      <c r="L749" s="25" t="s">
        <v>2501</v>
      </c>
      <c r="M749" s="20" t="s">
        <v>2089</v>
      </c>
      <c r="N749" s="20" t="s">
        <v>2090</v>
      </c>
      <c r="O749" s="20" t="s">
        <v>63</v>
      </c>
      <c r="P749" s="20"/>
      <c r="Q749" s="26"/>
      <c r="R749" s="26"/>
      <c r="S749" s="26"/>
      <c r="T749" s="20"/>
      <c r="U749" s="26"/>
      <c r="V749" s="26"/>
      <c r="W749" s="20"/>
      <c r="X749" s="20"/>
      <c r="Y749" s="20"/>
      <c r="Z749" s="20"/>
      <c r="AA749" s="20"/>
      <c r="AB749" s="20"/>
      <c r="AC749" s="20"/>
      <c r="AD749" s="20"/>
      <c r="AE749" s="20"/>
    </row>
    <row r="750">
      <c r="A750" s="21">
        <v>20.0</v>
      </c>
      <c r="B750" s="20" t="s">
        <v>2008</v>
      </c>
      <c r="C750" s="20" t="s">
        <v>1564</v>
      </c>
      <c r="I750" s="25" t="s">
        <v>2091</v>
      </c>
      <c r="J750" s="25" t="s">
        <v>2009</v>
      </c>
      <c r="K750" s="25" t="s">
        <v>71</v>
      </c>
      <c r="L750" s="25" t="s">
        <v>292</v>
      </c>
      <c r="M750" s="20" t="s">
        <v>2093</v>
      </c>
      <c r="N750" s="20" t="s">
        <v>2094</v>
      </c>
      <c r="O750" s="20" t="s">
        <v>63</v>
      </c>
      <c r="P750" s="20" t="s">
        <v>52</v>
      </c>
      <c r="Q750" s="26"/>
      <c r="R750" s="26"/>
      <c r="S750" s="26"/>
      <c r="T750" s="22"/>
      <c r="U750" s="26"/>
      <c r="V750" s="26"/>
      <c r="W750" s="20"/>
      <c r="X750" s="20"/>
      <c r="Y750" s="20"/>
      <c r="Z750" s="20"/>
      <c r="AA750" s="20"/>
      <c r="AB750" s="20"/>
      <c r="AC750" s="20"/>
      <c r="AD750" s="20"/>
      <c r="AE750" s="20"/>
    </row>
    <row r="751">
      <c r="A751" s="21">
        <v>20.0</v>
      </c>
      <c r="B751" s="20" t="s">
        <v>2008</v>
      </c>
      <c r="C751" s="20" t="s">
        <v>1564</v>
      </c>
      <c r="I751" s="25" t="s">
        <v>2095</v>
      </c>
      <c r="J751" s="25" t="s">
        <v>2009</v>
      </c>
      <c r="K751" s="25" t="s">
        <v>71</v>
      </c>
      <c r="L751" s="25" t="s">
        <v>2501</v>
      </c>
      <c r="M751" s="20" t="s">
        <v>2096</v>
      </c>
      <c r="N751" s="20" t="s">
        <v>2098</v>
      </c>
      <c r="O751" s="20" t="s">
        <v>63</v>
      </c>
      <c r="P751" s="20"/>
      <c r="Q751" s="26"/>
      <c r="R751" s="26"/>
      <c r="S751" s="26"/>
      <c r="T751" s="20"/>
      <c r="U751" s="26"/>
      <c r="V751" s="26"/>
      <c r="W751" s="20"/>
      <c r="X751" s="20"/>
      <c r="Y751" s="20"/>
      <c r="Z751" s="20"/>
      <c r="AA751" s="20"/>
      <c r="AB751" s="20"/>
      <c r="AC751" s="20"/>
      <c r="AD751" s="20"/>
      <c r="AE751" s="20"/>
    </row>
    <row r="752">
      <c r="A752" s="21">
        <v>21.0</v>
      </c>
      <c r="B752" s="20" t="s">
        <v>1545</v>
      </c>
      <c r="C752" s="20" t="s">
        <v>1564</v>
      </c>
      <c r="D752" s="35">
        <v>30.0</v>
      </c>
      <c r="E752" s="35">
        <v>4.0</v>
      </c>
      <c r="F752" s="35">
        <v>1.0</v>
      </c>
      <c r="G752" s="35">
        <v>25.0</v>
      </c>
      <c r="H752" s="36" t="s">
        <v>2578</v>
      </c>
      <c r="I752" s="25" t="s">
        <v>1657</v>
      </c>
      <c r="J752" s="25" t="s">
        <v>2102</v>
      </c>
      <c r="K752" s="25" t="s">
        <v>57</v>
      </c>
      <c r="L752" s="25" t="s">
        <v>2579</v>
      </c>
      <c r="M752" s="20" t="s">
        <v>1562</v>
      </c>
      <c r="N752" s="20" t="s">
        <v>2103</v>
      </c>
      <c r="O752" s="20" t="s">
        <v>63</v>
      </c>
      <c r="P752" s="20"/>
      <c r="Q752" s="26"/>
      <c r="R752" s="26"/>
      <c r="S752" s="26"/>
      <c r="T752" s="20"/>
      <c r="U752" s="26"/>
      <c r="V752" s="26"/>
      <c r="W752" s="20"/>
      <c r="X752" s="20"/>
      <c r="Y752" s="20"/>
      <c r="Z752" s="20"/>
      <c r="AA752" s="20"/>
      <c r="AB752" s="20"/>
      <c r="AC752" s="20"/>
      <c r="AD752" s="20"/>
      <c r="AE752" s="20"/>
    </row>
    <row r="753">
      <c r="A753" s="21">
        <v>21.0</v>
      </c>
      <c r="B753" s="20" t="s">
        <v>1545</v>
      </c>
      <c r="C753" s="20" t="s">
        <v>1564</v>
      </c>
      <c r="I753" s="25" t="s">
        <v>1559</v>
      </c>
      <c r="J753" s="25" t="s">
        <v>2102</v>
      </c>
      <c r="K753" s="25" t="s">
        <v>57</v>
      </c>
      <c r="L753" s="25" t="s">
        <v>2584</v>
      </c>
      <c r="M753" s="20" t="s">
        <v>1558</v>
      </c>
      <c r="N753" s="20" t="s">
        <v>2105</v>
      </c>
      <c r="O753" s="20" t="s">
        <v>63</v>
      </c>
      <c r="P753" s="20"/>
      <c r="Q753" s="26"/>
      <c r="R753" s="26"/>
      <c r="S753" s="26"/>
      <c r="T753" s="20"/>
      <c r="U753" s="26"/>
      <c r="V753" s="26"/>
      <c r="W753" s="20"/>
      <c r="X753" s="20"/>
      <c r="Y753" s="20"/>
      <c r="Z753" s="20"/>
      <c r="AA753" s="20"/>
      <c r="AB753" s="20"/>
      <c r="AC753" s="20"/>
      <c r="AD753" s="20"/>
      <c r="AE753" s="20"/>
    </row>
    <row r="754">
      <c r="A754" s="21">
        <v>21.0</v>
      </c>
      <c r="B754" s="20" t="s">
        <v>1545</v>
      </c>
      <c r="C754" s="20" t="s">
        <v>1564</v>
      </c>
      <c r="I754" s="25" t="s">
        <v>1555</v>
      </c>
      <c r="J754" s="25" t="s">
        <v>2099</v>
      </c>
      <c r="K754" s="25" t="s">
        <v>57</v>
      </c>
      <c r="L754" s="25" t="s">
        <v>2588</v>
      </c>
      <c r="M754" s="20" t="s">
        <v>61</v>
      </c>
      <c r="N754" s="20" t="s">
        <v>2100</v>
      </c>
      <c r="O754" s="20" t="s">
        <v>56</v>
      </c>
      <c r="P754" s="20"/>
      <c r="Q754" s="26"/>
      <c r="R754" s="26"/>
      <c r="S754" s="26"/>
      <c r="T754" s="20"/>
      <c r="U754" s="26"/>
      <c r="V754" s="26"/>
      <c r="W754" s="20"/>
      <c r="X754" s="20"/>
      <c r="Y754" s="20"/>
      <c r="Z754" s="20"/>
      <c r="AA754" s="20"/>
      <c r="AB754" s="20"/>
      <c r="AC754" s="20"/>
      <c r="AD754" s="20"/>
      <c r="AE754" s="20"/>
    </row>
    <row r="755">
      <c r="A755" s="21">
        <v>21.0</v>
      </c>
      <c r="B755" s="20" t="s">
        <v>1545</v>
      </c>
      <c r="C755" s="20" t="s">
        <v>1564</v>
      </c>
      <c r="I755" s="25" t="s">
        <v>1584</v>
      </c>
      <c r="J755" s="25" t="s">
        <v>2102</v>
      </c>
      <c r="K755" s="25" t="s">
        <v>57</v>
      </c>
      <c r="L755" s="25" t="s">
        <v>2593</v>
      </c>
      <c r="M755" s="20" t="s">
        <v>2106</v>
      </c>
      <c r="N755" s="20" t="s">
        <v>2107</v>
      </c>
      <c r="O755" s="20" t="s">
        <v>63</v>
      </c>
      <c r="P755" s="20"/>
      <c r="Q755" s="26"/>
      <c r="R755" s="26"/>
      <c r="S755" s="26"/>
      <c r="T755" s="20"/>
      <c r="U755" s="26"/>
      <c r="V755" s="26"/>
      <c r="W755" s="20"/>
      <c r="X755" s="20"/>
      <c r="Y755" s="20"/>
      <c r="Z755" s="20"/>
      <c r="AA755" s="20"/>
      <c r="AB755" s="20"/>
      <c r="AC755" s="20"/>
      <c r="AD755" s="20"/>
      <c r="AE755" s="20"/>
    </row>
    <row r="756">
      <c r="A756" s="21">
        <v>21.0</v>
      </c>
      <c r="B756" s="20" t="s">
        <v>1545</v>
      </c>
      <c r="C756" s="20" t="s">
        <v>1564</v>
      </c>
      <c r="I756" s="25" t="s">
        <v>2108</v>
      </c>
      <c r="J756" s="25" t="s">
        <v>2102</v>
      </c>
      <c r="K756" s="25" t="s">
        <v>67</v>
      </c>
      <c r="L756" s="25" t="s">
        <v>2599</v>
      </c>
      <c r="M756" s="20" t="s">
        <v>61</v>
      </c>
      <c r="N756" s="20" t="s">
        <v>2109</v>
      </c>
      <c r="O756" s="20" t="s">
        <v>63</v>
      </c>
      <c r="P756" s="20"/>
      <c r="Q756" s="26"/>
      <c r="R756" s="26"/>
      <c r="S756" s="26"/>
      <c r="T756" s="20"/>
      <c r="U756" s="26"/>
      <c r="V756" s="26"/>
      <c r="W756" s="20"/>
      <c r="X756" s="20"/>
      <c r="Y756" s="20"/>
      <c r="Z756" s="20"/>
      <c r="AA756" s="20"/>
      <c r="AB756" s="20"/>
      <c r="AC756" s="20"/>
      <c r="AD756" s="20"/>
      <c r="AE756" s="20"/>
    </row>
    <row r="757">
      <c r="A757" s="21">
        <v>21.0</v>
      </c>
      <c r="B757" s="20" t="s">
        <v>1545</v>
      </c>
      <c r="C757" s="20" t="s">
        <v>1564</v>
      </c>
      <c r="I757" s="25" t="s">
        <v>1439</v>
      </c>
      <c r="J757" s="25" t="s">
        <v>2102</v>
      </c>
      <c r="K757" s="25" t="s">
        <v>71</v>
      </c>
      <c r="L757" s="25" t="s">
        <v>2604</v>
      </c>
      <c r="M757" s="20" t="s">
        <v>2120</v>
      </c>
      <c r="N757" s="20" t="s">
        <v>2121</v>
      </c>
      <c r="O757" s="20" t="s">
        <v>63</v>
      </c>
      <c r="P757" s="20"/>
      <c r="Q757" s="26"/>
      <c r="R757" s="26"/>
      <c r="S757" s="26"/>
      <c r="T757" s="20"/>
      <c r="U757" s="26"/>
      <c r="V757" s="26"/>
      <c r="W757" s="20"/>
      <c r="X757" s="20"/>
      <c r="Y757" s="20"/>
      <c r="Z757" s="20"/>
      <c r="AA757" s="20"/>
      <c r="AB757" s="20"/>
      <c r="AC757" s="20"/>
      <c r="AD757" s="20"/>
      <c r="AE757" s="20"/>
    </row>
    <row r="758">
      <c r="A758" s="21">
        <v>21.0</v>
      </c>
      <c r="B758" s="20" t="s">
        <v>1545</v>
      </c>
      <c r="C758" s="20" t="s">
        <v>1564</v>
      </c>
      <c r="I758" s="25" t="s">
        <v>2122</v>
      </c>
      <c r="J758" s="25" t="s">
        <v>2102</v>
      </c>
      <c r="K758" s="25" t="s">
        <v>71</v>
      </c>
      <c r="L758" s="25" t="s">
        <v>2606</v>
      </c>
      <c r="M758" s="20" t="s">
        <v>2123</v>
      </c>
      <c r="N758" s="20" t="s">
        <v>2124</v>
      </c>
      <c r="O758" s="20" t="s">
        <v>63</v>
      </c>
      <c r="P758" s="20"/>
      <c r="Q758" s="26"/>
      <c r="R758" s="26"/>
      <c r="S758" s="26"/>
      <c r="T758" s="20"/>
      <c r="U758" s="26"/>
      <c r="V758" s="26"/>
      <c r="W758" s="20"/>
      <c r="X758" s="20"/>
      <c r="Y758" s="20"/>
      <c r="Z758" s="20"/>
      <c r="AA758" s="20"/>
      <c r="AB758" s="20"/>
      <c r="AC758" s="20"/>
      <c r="AD758" s="20"/>
      <c r="AE758" s="20"/>
    </row>
    <row r="759">
      <c r="A759" s="21">
        <v>21.0</v>
      </c>
      <c r="B759" s="20" t="s">
        <v>1545</v>
      </c>
      <c r="C759" s="20" t="s">
        <v>1564</v>
      </c>
      <c r="I759" s="25" t="s">
        <v>1857</v>
      </c>
      <c r="J759" s="25" t="s">
        <v>2102</v>
      </c>
      <c r="K759" s="25" t="s">
        <v>71</v>
      </c>
      <c r="L759" s="25" t="s">
        <v>292</v>
      </c>
      <c r="M759" s="20" t="s">
        <v>1858</v>
      </c>
      <c r="N759" s="20" t="s">
        <v>2126</v>
      </c>
      <c r="O759" s="20" t="s">
        <v>63</v>
      </c>
      <c r="P759" s="20" t="s">
        <v>52</v>
      </c>
      <c r="Q759" s="26"/>
      <c r="R759" s="26"/>
      <c r="S759" s="26"/>
      <c r="T759" s="22"/>
      <c r="U759" s="26"/>
      <c r="V759" s="26"/>
      <c r="W759" s="20"/>
      <c r="X759" s="20"/>
      <c r="Y759" s="20"/>
      <c r="Z759" s="20"/>
      <c r="AA759" s="20"/>
      <c r="AB759" s="20"/>
      <c r="AC759" s="20"/>
      <c r="AD759" s="20"/>
      <c r="AE759" s="20"/>
    </row>
    <row r="760">
      <c r="A760" s="21">
        <v>21.0</v>
      </c>
      <c r="B760" s="20" t="s">
        <v>1545</v>
      </c>
      <c r="C760" s="20" t="s">
        <v>1564</v>
      </c>
      <c r="I760" s="25" t="s">
        <v>1542</v>
      </c>
      <c r="J760" s="25" t="s">
        <v>2099</v>
      </c>
      <c r="K760" s="25" t="s">
        <v>71</v>
      </c>
      <c r="L760" s="25" t="s">
        <v>2613</v>
      </c>
      <c r="M760" s="20" t="s">
        <v>61</v>
      </c>
      <c r="N760" s="20" t="s">
        <v>2110</v>
      </c>
      <c r="O760" s="20" t="s">
        <v>63</v>
      </c>
      <c r="P760" s="20"/>
      <c r="Q760" s="26"/>
      <c r="R760" s="26"/>
      <c r="S760" s="26"/>
      <c r="T760" s="20"/>
      <c r="U760" s="26"/>
      <c r="V760" s="26"/>
      <c r="W760" s="20"/>
      <c r="X760" s="20"/>
      <c r="Y760" s="20"/>
      <c r="Z760" s="20"/>
      <c r="AA760" s="20"/>
      <c r="AB760" s="20"/>
      <c r="AC760" s="20"/>
      <c r="AD760" s="20"/>
      <c r="AE760" s="20"/>
    </row>
    <row r="761">
      <c r="A761" s="21">
        <v>21.0</v>
      </c>
      <c r="B761" s="20" t="s">
        <v>1545</v>
      </c>
      <c r="C761" s="20" t="s">
        <v>1564</v>
      </c>
      <c r="I761" s="25" t="s">
        <v>1548</v>
      </c>
      <c r="J761" s="25" t="s">
        <v>2099</v>
      </c>
      <c r="K761" s="25" t="s">
        <v>71</v>
      </c>
      <c r="L761" s="25" t="s">
        <v>2617</v>
      </c>
      <c r="M761" s="20" t="s">
        <v>2111</v>
      </c>
      <c r="N761" s="20" t="s">
        <v>2112</v>
      </c>
      <c r="O761" s="20" t="s">
        <v>63</v>
      </c>
      <c r="P761" s="20"/>
      <c r="Q761" s="26"/>
      <c r="R761" s="26"/>
      <c r="S761" s="26"/>
      <c r="T761" s="20"/>
      <c r="U761" s="26"/>
      <c r="V761" s="26"/>
      <c r="W761" s="20"/>
      <c r="X761" s="20"/>
      <c r="Y761" s="20"/>
      <c r="Z761" s="20"/>
      <c r="AA761" s="20"/>
      <c r="AB761" s="20"/>
      <c r="AC761" s="20"/>
      <c r="AD761" s="20"/>
      <c r="AE761" s="20"/>
    </row>
    <row r="762">
      <c r="A762" s="21">
        <v>21.0</v>
      </c>
      <c r="B762" s="20" t="s">
        <v>1545</v>
      </c>
      <c r="C762" s="20" t="s">
        <v>1564</v>
      </c>
      <c r="I762" s="25" t="s">
        <v>1551</v>
      </c>
      <c r="J762" s="25" t="s">
        <v>2099</v>
      </c>
      <c r="K762" s="25" t="s">
        <v>71</v>
      </c>
      <c r="L762" s="25" t="s">
        <v>2621</v>
      </c>
      <c r="M762" s="20" t="s">
        <v>2113</v>
      </c>
      <c r="N762" s="20" t="s">
        <v>2114</v>
      </c>
      <c r="O762" s="20" t="s">
        <v>63</v>
      </c>
      <c r="P762" s="20"/>
      <c r="Q762" s="26"/>
      <c r="R762" s="26"/>
      <c r="S762" s="26"/>
      <c r="T762" s="20"/>
      <c r="U762" s="26"/>
      <c r="V762" s="26"/>
      <c r="W762" s="20"/>
      <c r="X762" s="20"/>
      <c r="Y762" s="20"/>
      <c r="Z762" s="20"/>
      <c r="AA762" s="20"/>
      <c r="AB762" s="20"/>
      <c r="AC762" s="20"/>
      <c r="AD762" s="20"/>
      <c r="AE762" s="20"/>
    </row>
    <row r="763">
      <c r="A763" s="21">
        <v>21.0</v>
      </c>
      <c r="B763" s="20" t="s">
        <v>1545</v>
      </c>
      <c r="C763" s="20" t="s">
        <v>1564</v>
      </c>
      <c r="I763" s="25" t="s">
        <v>1561</v>
      </c>
      <c r="J763" s="25" t="s">
        <v>2099</v>
      </c>
      <c r="K763" s="25" t="s">
        <v>71</v>
      </c>
      <c r="L763" s="25" t="s">
        <v>2617</v>
      </c>
      <c r="M763" s="20" t="s">
        <v>2115</v>
      </c>
      <c r="N763" s="20" t="s">
        <v>2116</v>
      </c>
      <c r="O763" s="20" t="s">
        <v>63</v>
      </c>
      <c r="P763" s="20"/>
      <c r="Q763" s="26"/>
      <c r="R763" s="26"/>
      <c r="S763" s="26"/>
      <c r="T763" s="20"/>
      <c r="U763" s="26"/>
      <c r="V763" s="26"/>
      <c r="W763" s="20"/>
      <c r="X763" s="20"/>
      <c r="Y763" s="20"/>
      <c r="Z763" s="20"/>
      <c r="AA763" s="20"/>
      <c r="AB763" s="20"/>
      <c r="AC763" s="20"/>
      <c r="AD763" s="20"/>
      <c r="AE763" s="20"/>
    </row>
    <row r="764">
      <c r="A764" s="21">
        <v>21.0</v>
      </c>
      <c r="B764" s="20" t="s">
        <v>1545</v>
      </c>
      <c r="C764" s="20" t="s">
        <v>1564</v>
      </c>
      <c r="I764" s="25" t="s">
        <v>1563</v>
      </c>
      <c r="J764" s="25" t="s">
        <v>2102</v>
      </c>
      <c r="K764" s="25" t="s">
        <v>71</v>
      </c>
      <c r="L764" s="25" t="s">
        <v>2331</v>
      </c>
      <c r="M764" s="20" t="s">
        <v>1917</v>
      </c>
      <c r="N764" s="20" t="s">
        <v>1918</v>
      </c>
      <c r="O764" s="20" t="s">
        <v>63</v>
      </c>
      <c r="P764" s="20" t="s">
        <v>52</v>
      </c>
      <c r="Q764" s="26"/>
      <c r="R764" s="26"/>
      <c r="S764" s="26"/>
      <c r="T764" s="20"/>
      <c r="U764" s="26"/>
      <c r="V764" s="26"/>
      <c r="W764" s="20"/>
      <c r="X764" s="20"/>
      <c r="Y764" s="20"/>
      <c r="Z764" s="20"/>
      <c r="AA764" s="20"/>
      <c r="AB764" s="20"/>
      <c r="AC764" s="20"/>
      <c r="AD764" s="20"/>
      <c r="AE764" s="20"/>
    </row>
    <row r="765">
      <c r="A765" s="21">
        <v>21.0</v>
      </c>
      <c r="B765" s="20" t="s">
        <v>1545</v>
      </c>
      <c r="C765" s="20" t="s">
        <v>1564</v>
      </c>
      <c r="I765" s="25" t="s">
        <v>1800</v>
      </c>
      <c r="J765" s="25" t="s">
        <v>2102</v>
      </c>
      <c r="K765" s="25" t="s">
        <v>71</v>
      </c>
      <c r="L765" s="25" t="s">
        <v>2400</v>
      </c>
      <c r="M765" s="20" t="s">
        <v>1924</v>
      </c>
      <c r="N765" s="20" t="s">
        <v>1925</v>
      </c>
      <c r="O765" s="20" t="s">
        <v>63</v>
      </c>
      <c r="P765" s="20" t="s">
        <v>52</v>
      </c>
      <c r="Q765" s="26"/>
      <c r="R765" s="26"/>
      <c r="S765" s="26"/>
      <c r="T765" s="20"/>
      <c r="U765" s="26"/>
      <c r="V765" s="26"/>
      <c r="W765" s="20"/>
      <c r="X765" s="20"/>
      <c r="Y765" s="20"/>
      <c r="Z765" s="20"/>
      <c r="AA765" s="20"/>
      <c r="AB765" s="20"/>
      <c r="AC765" s="20"/>
      <c r="AD765" s="20"/>
      <c r="AE765" s="20"/>
    </row>
    <row r="766">
      <c r="A766" s="21">
        <v>21.0</v>
      </c>
      <c r="B766" s="20" t="s">
        <v>1545</v>
      </c>
      <c r="C766" s="20" t="s">
        <v>1564</v>
      </c>
      <c r="I766" s="25" t="s">
        <v>1649</v>
      </c>
      <c r="J766" s="25" t="s">
        <v>2102</v>
      </c>
      <c r="K766" s="25" t="s">
        <v>71</v>
      </c>
      <c r="L766" s="25" t="s">
        <v>292</v>
      </c>
      <c r="M766" s="20" t="s">
        <v>2128</v>
      </c>
      <c r="N766" s="20" t="s">
        <v>2129</v>
      </c>
      <c r="O766" s="20" t="s">
        <v>63</v>
      </c>
      <c r="P766" s="20" t="s">
        <v>52</v>
      </c>
      <c r="Q766" s="26"/>
      <c r="R766" s="26"/>
      <c r="S766" s="26"/>
      <c r="T766" s="22"/>
      <c r="U766" s="26"/>
      <c r="V766" s="26"/>
      <c r="W766" s="20"/>
      <c r="X766" s="20"/>
      <c r="Y766" s="20"/>
      <c r="Z766" s="20"/>
      <c r="AA766" s="20"/>
      <c r="AB766" s="20"/>
      <c r="AC766" s="20"/>
      <c r="AD766" s="20"/>
      <c r="AE766" s="20"/>
    </row>
    <row r="767">
      <c r="A767" s="21">
        <v>21.0</v>
      </c>
      <c r="B767" s="20" t="s">
        <v>1545</v>
      </c>
      <c r="C767" s="20" t="s">
        <v>1564</v>
      </c>
      <c r="I767" s="25" t="s">
        <v>728</v>
      </c>
      <c r="J767" s="25" t="s">
        <v>2102</v>
      </c>
      <c r="K767" s="25" t="s">
        <v>71</v>
      </c>
      <c r="L767" s="25" t="s">
        <v>292</v>
      </c>
      <c r="M767" s="20" t="s">
        <v>922</v>
      </c>
      <c r="N767" s="20" t="s">
        <v>1639</v>
      </c>
      <c r="O767" s="20" t="s">
        <v>63</v>
      </c>
      <c r="P767" s="20" t="s">
        <v>52</v>
      </c>
      <c r="Q767" s="26"/>
      <c r="R767" s="26"/>
      <c r="S767" s="26"/>
      <c r="T767" s="22"/>
      <c r="U767" s="26"/>
      <c r="V767" s="26"/>
      <c r="W767" s="20"/>
      <c r="X767" s="20"/>
      <c r="Y767" s="20"/>
      <c r="Z767" s="20"/>
      <c r="AA767" s="20"/>
      <c r="AB767" s="20"/>
      <c r="AC767" s="20"/>
      <c r="AD767" s="20"/>
      <c r="AE767" s="20"/>
    </row>
    <row r="768">
      <c r="A768" s="21">
        <v>21.0</v>
      </c>
      <c r="B768" s="20" t="s">
        <v>1545</v>
      </c>
      <c r="C768" s="20" t="s">
        <v>1564</v>
      </c>
      <c r="I768" s="25" t="s">
        <v>1129</v>
      </c>
      <c r="J768" s="25" t="s">
        <v>2102</v>
      </c>
      <c r="K768" s="25" t="s">
        <v>71</v>
      </c>
      <c r="L768" s="25" t="s">
        <v>292</v>
      </c>
      <c r="M768" s="20" t="s">
        <v>2130</v>
      </c>
      <c r="N768" s="20" t="s">
        <v>2131</v>
      </c>
      <c r="O768" s="20" t="s">
        <v>63</v>
      </c>
      <c r="P768" s="20" t="s">
        <v>52</v>
      </c>
      <c r="Q768" s="26"/>
      <c r="R768" s="26"/>
      <c r="S768" s="26"/>
      <c r="T768" s="22"/>
      <c r="U768" s="26"/>
      <c r="V768" s="26"/>
      <c r="W768" s="20"/>
      <c r="X768" s="20"/>
      <c r="Y768" s="20"/>
      <c r="Z768" s="20"/>
      <c r="AA768" s="20"/>
      <c r="AB768" s="20"/>
      <c r="AC768" s="20"/>
      <c r="AD768" s="20"/>
      <c r="AE768" s="20"/>
    </row>
    <row r="769">
      <c r="A769" s="21">
        <v>21.0</v>
      </c>
      <c r="B769" s="20" t="s">
        <v>1545</v>
      </c>
      <c r="C769" s="20" t="s">
        <v>1564</v>
      </c>
      <c r="I769" s="25" t="s">
        <v>1134</v>
      </c>
      <c r="J769" s="25" t="s">
        <v>2102</v>
      </c>
      <c r="K769" s="25" t="s">
        <v>71</v>
      </c>
      <c r="L769" s="25" t="s">
        <v>292</v>
      </c>
      <c r="M769" s="20" t="s">
        <v>1135</v>
      </c>
      <c r="N769" s="20" t="s">
        <v>2132</v>
      </c>
      <c r="O769" s="20" t="s">
        <v>63</v>
      </c>
      <c r="P769" s="20" t="s">
        <v>52</v>
      </c>
      <c r="Q769" s="26"/>
      <c r="R769" s="26"/>
      <c r="S769" s="26"/>
      <c r="T769" s="22"/>
      <c r="U769" s="26"/>
      <c r="V769" s="26"/>
      <c r="W769" s="20"/>
      <c r="X769" s="20"/>
      <c r="Y769" s="20"/>
      <c r="Z769" s="20"/>
      <c r="AA769" s="20"/>
      <c r="AB769" s="20"/>
      <c r="AC769" s="20"/>
      <c r="AD769" s="20"/>
      <c r="AE769" s="20"/>
    </row>
    <row r="770">
      <c r="A770" s="21">
        <v>21.0</v>
      </c>
      <c r="B770" s="20" t="s">
        <v>1545</v>
      </c>
      <c r="C770" s="20" t="s">
        <v>1564</v>
      </c>
      <c r="I770" s="25" t="s">
        <v>721</v>
      </c>
      <c r="J770" s="25" t="s">
        <v>2102</v>
      </c>
      <c r="K770" s="25" t="s">
        <v>71</v>
      </c>
      <c r="L770" s="25" t="s">
        <v>292</v>
      </c>
      <c r="M770" s="20" t="s">
        <v>917</v>
      </c>
      <c r="N770" s="20" t="s">
        <v>2133</v>
      </c>
      <c r="O770" s="20" t="s">
        <v>63</v>
      </c>
      <c r="P770" s="20" t="s">
        <v>52</v>
      </c>
      <c r="Q770" s="26"/>
      <c r="R770" s="26"/>
      <c r="S770" s="26"/>
      <c r="T770" s="22"/>
      <c r="U770" s="26"/>
      <c r="V770" s="26"/>
      <c r="W770" s="20"/>
      <c r="X770" s="20"/>
      <c r="Y770" s="20"/>
      <c r="Z770" s="20"/>
      <c r="AA770" s="20"/>
      <c r="AB770" s="20"/>
      <c r="AC770" s="20"/>
      <c r="AD770" s="20"/>
      <c r="AE770" s="20"/>
    </row>
    <row r="771">
      <c r="A771" s="21">
        <v>21.0</v>
      </c>
      <c r="B771" s="20" t="s">
        <v>1545</v>
      </c>
      <c r="C771" s="20" t="s">
        <v>1564</v>
      </c>
      <c r="I771" s="25" t="s">
        <v>1032</v>
      </c>
      <c r="J771" s="25" t="s">
        <v>2102</v>
      </c>
      <c r="K771" s="25" t="s">
        <v>71</v>
      </c>
      <c r="L771" s="25" t="s">
        <v>292</v>
      </c>
      <c r="M771" s="20" t="s">
        <v>1652</v>
      </c>
      <c r="N771" s="20" t="s">
        <v>2132</v>
      </c>
      <c r="O771" s="20" t="s">
        <v>63</v>
      </c>
      <c r="P771" s="20" t="s">
        <v>52</v>
      </c>
      <c r="Q771" s="26"/>
      <c r="R771" s="26"/>
      <c r="S771" s="26"/>
      <c r="T771" s="22"/>
      <c r="U771" s="26"/>
      <c r="V771" s="26"/>
      <c r="W771" s="20"/>
      <c r="X771" s="20"/>
      <c r="Y771" s="20"/>
      <c r="Z771" s="20"/>
      <c r="AA771" s="20"/>
      <c r="AB771" s="20"/>
      <c r="AC771" s="20"/>
      <c r="AD771" s="20"/>
      <c r="AE771" s="20"/>
    </row>
    <row r="772">
      <c r="A772" s="21">
        <v>21.0</v>
      </c>
      <c r="B772" s="20" t="s">
        <v>1545</v>
      </c>
      <c r="C772" s="20" t="s">
        <v>1564</v>
      </c>
      <c r="I772" s="25" t="s">
        <v>1557</v>
      </c>
      <c r="J772" s="25" t="s">
        <v>2099</v>
      </c>
      <c r="K772" s="25" t="s">
        <v>71</v>
      </c>
      <c r="L772" s="25" t="s">
        <v>2642</v>
      </c>
      <c r="M772" s="20" t="s">
        <v>2117</v>
      </c>
      <c r="N772" s="20" t="s">
        <v>2118</v>
      </c>
      <c r="O772" s="20" t="s">
        <v>63</v>
      </c>
      <c r="P772" s="20" t="s">
        <v>52</v>
      </c>
      <c r="Q772" s="26"/>
      <c r="R772" s="26"/>
      <c r="S772" s="26"/>
      <c r="T772" s="20"/>
      <c r="U772" s="26"/>
      <c r="V772" s="26"/>
      <c r="W772" s="20"/>
      <c r="X772" s="20"/>
      <c r="Y772" s="20"/>
      <c r="Z772" s="20"/>
      <c r="AA772" s="20"/>
      <c r="AB772" s="20"/>
      <c r="AC772" s="20"/>
      <c r="AD772" s="20"/>
      <c r="AE772" s="20"/>
    </row>
    <row r="773">
      <c r="A773" s="21">
        <v>21.0</v>
      </c>
      <c r="B773" s="20" t="s">
        <v>1545</v>
      </c>
      <c r="C773" s="20" t="s">
        <v>1564</v>
      </c>
      <c r="I773" s="25" t="s">
        <v>2134</v>
      </c>
      <c r="J773" s="25" t="s">
        <v>2102</v>
      </c>
      <c r="K773" s="25" t="s">
        <v>71</v>
      </c>
      <c r="L773" s="25" t="s">
        <v>2645</v>
      </c>
      <c r="M773" s="20" t="s">
        <v>2135</v>
      </c>
      <c r="N773" s="20" t="s">
        <v>2136</v>
      </c>
      <c r="O773" s="20" t="s">
        <v>63</v>
      </c>
      <c r="P773" s="20" t="s">
        <v>52</v>
      </c>
      <c r="Q773" s="26"/>
      <c r="R773" s="26"/>
      <c r="S773" s="26"/>
      <c r="T773" s="20"/>
      <c r="U773" s="26"/>
      <c r="V773" s="26"/>
      <c r="W773" s="20"/>
      <c r="X773" s="20"/>
      <c r="Y773" s="20"/>
      <c r="Z773" s="20"/>
      <c r="AA773" s="20"/>
      <c r="AB773" s="20"/>
      <c r="AC773" s="20"/>
      <c r="AD773" s="20"/>
      <c r="AE773" s="20"/>
    </row>
    <row r="774">
      <c r="A774" s="21">
        <v>21.0</v>
      </c>
      <c r="B774" s="20" t="s">
        <v>1545</v>
      </c>
      <c r="C774" s="20" t="s">
        <v>1564</v>
      </c>
      <c r="I774" s="25" t="s">
        <v>1520</v>
      </c>
      <c r="J774" s="25" t="s">
        <v>2102</v>
      </c>
      <c r="K774" s="25" t="s">
        <v>71</v>
      </c>
      <c r="L774" s="25" t="s">
        <v>2642</v>
      </c>
      <c r="M774" s="20" t="s">
        <v>2137</v>
      </c>
      <c r="N774" s="20" t="s">
        <v>2138</v>
      </c>
      <c r="O774" s="20" t="s">
        <v>63</v>
      </c>
      <c r="P774" s="20" t="s">
        <v>52</v>
      </c>
      <c r="Q774" s="26"/>
      <c r="R774" s="26"/>
      <c r="S774" s="26"/>
      <c r="T774" s="20"/>
      <c r="U774" s="26"/>
      <c r="V774" s="26"/>
      <c r="W774" s="20"/>
      <c r="X774" s="20"/>
      <c r="Y774" s="20"/>
      <c r="Z774" s="20"/>
      <c r="AA774" s="20"/>
      <c r="AB774" s="20"/>
      <c r="AC774" s="20"/>
      <c r="AD774" s="20"/>
      <c r="AE774" s="20"/>
    </row>
    <row r="775">
      <c r="A775" s="21">
        <v>21.0</v>
      </c>
      <c r="B775" s="20" t="s">
        <v>1545</v>
      </c>
      <c r="C775" s="20" t="s">
        <v>1564</v>
      </c>
      <c r="I775" s="25" t="s">
        <v>1839</v>
      </c>
      <c r="J775" s="25" t="s">
        <v>2102</v>
      </c>
      <c r="K775" s="25" t="s">
        <v>71</v>
      </c>
      <c r="L775" s="25" t="s">
        <v>292</v>
      </c>
      <c r="M775" s="20" t="s">
        <v>2139</v>
      </c>
      <c r="N775" s="20" t="s">
        <v>2140</v>
      </c>
      <c r="O775" s="20" t="s">
        <v>63</v>
      </c>
      <c r="P775" s="20" t="s">
        <v>52</v>
      </c>
      <c r="Q775" s="26"/>
      <c r="R775" s="26"/>
      <c r="S775" s="26"/>
      <c r="T775" s="22"/>
      <c r="U775" s="26"/>
      <c r="V775" s="26"/>
      <c r="W775" s="20"/>
      <c r="X775" s="20"/>
      <c r="Y775" s="20"/>
      <c r="Z775" s="20"/>
      <c r="AA775" s="20"/>
      <c r="AB775" s="20"/>
      <c r="AC775" s="20"/>
      <c r="AD775" s="20"/>
      <c r="AE775" s="20"/>
    </row>
    <row r="776">
      <c r="A776" s="21">
        <v>21.0</v>
      </c>
      <c r="B776" s="20" t="s">
        <v>1545</v>
      </c>
      <c r="C776" s="20" t="s">
        <v>1564</v>
      </c>
      <c r="I776" s="25" t="s">
        <v>1643</v>
      </c>
      <c r="J776" s="25" t="s">
        <v>2102</v>
      </c>
      <c r="K776" s="25" t="s">
        <v>71</v>
      </c>
      <c r="L776" s="25" t="s">
        <v>292</v>
      </c>
      <c r="M776" s="20" t="s">
        <v>2141</v>
      </c>
      <c r="N776" s="20" t="s">
        <v>2142</v>
      </c>
      <c r="O776" s="20" t="s">
        <v>63</v>
      </c>
      <c r="P776" s="20" t="s">
        <v>52</v>
      </c>
      <c r="Q776" s="26"/>
      <c r="R776" s="26"/>
      <c r="S776" s="26"/>
      <c r="T776" s="22"/>
      <c r="U776" s="26"/>
      <c r="V776" s="26"/>
      <c r="W776" s="20"/>
      <c r="X776" s="20"/>
      <c r="Y776" s="20"/>
      <c r="Z776" s="20"/>
      <c r="AA776" s="20"/>
      <c r="AB776" s="20"/>
      <c r="AC776" s="20"/>
      <c r="AD776" s="20"/>
      <c r="AE776" s="20"/>
    </row>
    <row r="777">
      <c r="A777" s="21">
        <v>21.0</v>
      </c>
      <c r="B777" s="20" t="s">
        <v>1545</v>
      </c>
      <c r="C777" s="20" t="s">
        <v>1564</v>
      </c>
      <c r="I777" s="25" t="s">
        <v>341</v>
      </c>
      <c r="J777" s="25" t="s">
        <v>2102</v>
      </c>
      <c r="K777" s="25" t="s">
        <v>71</v>
      </c>
      <c r="L777" s="25" t="s">
        <v>292</v>
      </c>
      <c r="M777" s="20" t="s">
        <v>1136</v>
      </c>
      <c r="N777" s="20" t="s">
        <v>1137</v>
      </c>
      <c r="O777" s="20" t="s">
        <v>63</v>
      </c>
      <c r="P777" s="20" t="s">
        <v>52</v>
      </c>
      <c r="Q777" s="26"/>
      <c r="R777" s="26"/>
      <c r="S777" s="26"/>
      <c r="T777" s="22"/>
      <c r="U777" s="26"/>
      <c r="V777" s="26"/>
      <c r="W777" s="20"/>
      <c r="X777" s="20"/>
      <c r="Y777" s="20"/>
      <c r="Z777" s="20"/>
      <c r="AA777" s="20"/>
      <c r="AB777" s="20"/>
      <c r="AC777" s="20"/>
      <c r="AD777" s="20"/>
      <c r="AE777" s="20"/>
    </row>
    <row r="778">
      <c r="A778" s="21">
        <v>21.0</v>
      </c>
      <c r="B778" s="20" t="s">
        <v>1545</v>
      </c>
      <c r="C778" s="20" t="s">
        <v>1564</v>
      </c>
      <c r="I778" s="25" t="s">
        <v>1405</v>
      </c>
      <c r="J778" s="25" t="s">
        <v>2102</v>
      </c>
      <c r="K778" s="25" t="s">
        <v>71</v>
      </c>
      <c r="L778" s="25" t="s">
        <v>1809</v>
      </c>
      <c r="M778" s="20" t="s">
        <v>2143</v>
      </c>
      <c r="N778" s="20" t="s">
        <v>2144</v>
      </c>
      <c r="O778" s="20" t="s">
        <v>63</v>
      </c>
      <c r="P778" s="20" t="s">
        <v>52</v>
      </c>
      <c r="Q778" s="26"/>
      <c r="R778" s="26"/>
      <c r="S778" s="26"/>
      <c r="T778" s="20"/>
      <c r="U778" s="26"/>
      <c r="V778" s="26"/>
      <c r="W778" s="20"/>
      <c r="X778" s="20"/>
      <c r="Y778" s="20"/>
      <c r="Z778" s="20"/>
      <c r="AA778" s="20"/>
      <c r="AB778" s="20"/>
      <c r="AC778" s="20"/>
      <c r="AD778" s="20"/>
      <c r="AE778" s="20"/>
    </row>
    <row r="779">
      <c r="A779" s="21">
        <v>21.0</v>
      </c>
      <c r="B779" s="20" t="s">
        <v>1545</v>
      </c>
      <c r="C779" s="20" t="s">
        <v>1564</v>
      </c>
      <c r="I779" s="25" t="s">
        <v>274</v>
      </c>
      <c r="J779" s="25" t="s">
        <v>2102</v>
      </c>
      <c r="K779" s="25" t="s">
        <v>71</v>
      </c>
      <c r="L779" s="25" t="s">
        <v>292</v>
      </c>
      <c r="M779" s="20" t="s">
        <v>2145</v>
      </c>
      <c r="N779" s="20" t="s">
        <v>2146</v>
      </c>
      <c r="O779" s="20" t="s">
        <v>63</v>
      </c>
      <c r="P779" s="20" t="s">
        <v>52</v>
      </c>
      <c r="Q779" s="26"/>
      <c r="R779" s="26"/>
      <c r="S779" s="26"/>
      <c r="T779" s="22"/>
      <c r="U779" s="26"/>
      <c r="V779" s="26"/>
      <c r="W779" s="20"/>
      <c r="X779" s="20"/>
      <c r="Y779" s="20"/>
      <c r="Z779" s="20"/>
      <c r="AA779" s="20"/>
      <c r="AB779" s="20"/>
      <c r="AC779" s="20"/>
      <c r="AD779" s="20"/>
      <c r="AE779" s="20"/>
    </row>
    <row r="780">
      <c r="A780" s="21">
        <v>21.0</v>
      </c>
      <c r="B780" s="20" t="s">
        <v>1545</v>
      </c>
      <c r="C780" s="20" t="s">
        <v>1564</v>
      </c>
      <c r="I780" s="25" t="s">
        <v>1783</v>
      </c>
      <c r="J780" s="25" t="s">
        <v>2102</v>
      </c>
      <c r="K780" s="25" t="s">
        <v>71</v>
      </c>
      <c r="L780" s="25" t="s">
        <v>292</v>
      </c>
      <c r="M780" s="20" t="s">
        <v>2149</v>
      </c>
      <c r="N780" s="20" t="s">
        <v>2150</v>
      </c>
      <c r="O780" s="20" t="s">
        <v>63</v>
      </c>
      <c r="P780" s="20" t="s">
        <v>52</v>
      </c>
      <c r="Q780" s="26"/>
      <c r="R780" s="26"/>
      <c r="S780" s="26"/>
      <c r="T780" s="22"/>
      <c r="U780" s="26"/>
      <c r="V780" s="26"/>
      <c r="W780" s="20"/>
      <c r="X780" s="20"/>
      <c r="Y780" s="20"/>
      <c r="Z780" s="20"/>
      <c r="AA780" s="20"/>
      <c r="AB780" s="20"/>
      <c r="AC780" s="20"/>
      <c r="AD780" s="20"/>
      <c r="AE780" s="20"/>
    </row>
    <row r="781">
      <c r="A781" s="21">
        <v>21.0</v>
      </c>
      <c r="B781" s="20" t="s">
        <v>1545</v>
      </c>
      <c r="C781" s="20" t="s">
        <v>1564</v>
      </c>
      <c r="I781" s="25" t="s">
        <v>270</v>
      </c>
      <c r="J781" s="25" t="s">
        <v>2102</v>
      </c>
      <c r="K781" s="25" t="s">
        <v>71</v>
      </c>
      <c r="L781" s="25" t="s">
        <v>292</v>
      </c>
      <c r="M781" s="20" t="s">
        <v>2151</v>
      </c>
      <c r="N781" s="20" t="s">
        <v>2153</v>
      </c>
      <c r="O781" s="20" t="s">
        <v>63</v>
      </c>
      <c r="P781" s="20" t="s">
        <v>52</v>
      </c>
      <c r="Q781" s="26"/>
      <c r="R781" s="26"/>
      <c r="S781" s="26"/>
      <c r="T781" s="22"/>
      <c r="U781" s="26"/>
      <c r="V781" s="26"/>
      <c r="W781" s="20"/>
      <c r="X781" s="20"/>
      <c r="Y781" s="20"/>
      <c r="Z781" s="20"/>
      <c r="AA781" s="20"/>
      <c r="AB781" s="20"/>
      <c r="AC781" s="20"/>
      <c r="AD781" s="20"/>
      <c r="AE781" s="20"/>
    </row>
    <row r="782">
      <c r="A782" s="21">
        <v>22.0</v>
      </c>
      <c r="B782" s="20" t="s">
        <v>391</v>
      </c>
      <c r="C782" s="20" t="s">
        <v>1564</v>
      </c>
      <c r="D782" s="35">
        <v>30.0</v>
      </c>
      <c r="E782" s="35">
        <v>2.0</v>
      </c>
      <c r="F782" s="35">
        <v>3.0</v>
      </c>
      <c r="G782" s="35">
        <v>25.0</v>
      </c>
      <c r="H782" s="36" t="s">
        <v>2670</v>
      </c>
      <c r="I782" s="25" t="s">
        <v>475</v>
      </c>
      <c r="J782" s="25" t="s">
        <v>2154</v>
      </c>
      <c r="K782" s="25" t="s">
        <v>57</v>
      </c>
      <c r="L782" s="25" t="s">
        <v>2673</v>
      </c>
      <c r="M782" s="20" t="s">
        <v>2155</v>
      </c>
      <c r="N782" s="20" t="s">
        <v>2156</v>
      </c>
      <c r="O782" s="20" t="s">
        <v>56</v>
      </c>
      <c r="P782" s="20"/>
      <c r="Q782" s="26"/>
      <c r="R782" s="26"/>
      <c r="S782" s="26"/>
      <c r="T782" s="20"/>
      <c r="U782" s="26"/>
      <c r="V782" s="26"/>
      <c r="W782" s="20"/>
      <c r="X782" s="20"/>
      <c r="Y782" s="20"/>
      <c r="Z782" s="20"/>
      <c r="AA782" s="20"/>
      <c r="AB782" s="20"/>
      <c r="AC782" s="20"/>
      <c r="AD782" s="20"/>
      <c r="AE782" s="20"/>
    </row>
    <row r="783">
      <c r="A783" s="21">
        <v>22.0</v>
      </c>
      <c r="B783" s="20" t="s">
        <v>391</v>
      </c>
      <c r="C783" s="20" t="s">
        <v>1564</v>
      </c>
      <c r="I783" s="25" t="s">
        <v>734</v>
      </c>
      <c r="J783" s="25" t="s">
        <v>2158</v>
      </c>
      <c r="K783" s="25" t="s">
        <v>57</v>
      </c>
      <c r="L783" s="25" t="s">
        <v>2676</v>
      </c>
      <c r="M783" s="20" t="s">
        <v>2159</v>
      </c>
      <c r="N783" s="20" t="s">
        <v>2160</v>
      </c>
      <c r="O783" s="20" t="s">
        <v>63</v>
      </c>
      <c r="P783" s="25" t="s">
        <v>749</v>
      </c>
      <c r="Q783" s="26"/>
      <c r="R783" s="26"/>
      <c r="S783" s="26"/>
      <c r="T783" s="20"/>
      <c r="U783" s="26"/>
      <c r="V783" s="26"/>
      <c r="W783" s="20"/>
      <c r="X783" s="20"/>
      <c r="Y783" s="20"/>
      <c r="Z783" s="20"/>
      <c r="AA783" s="20"/>
      <c r="AB783" s="20"/>
      <c r="AC783" s="20"/>
      <c r="AD783" s="20"/>
      <c r="AE783" s="20"/>
    </row>
    <row r="784">
      <c r="A784" s="21">
        <v>22.0</v>
      </c>
      <c r="B784" s="20" t="s">
        <v>391</v>
      </c>
      <c r="C784" s="20" t="s">
        <v>1564</v>
      </c>
      <c r="I784" s="25" t="s">
        <v>744</v>
      </c>
      <c r="J784" s="25" t="s">
        <v>2166</v>
      </c>
      <c r="K784" s="25" t="s">
        <v>67</v>
      </c>
      <c r="L784" s="25" t="s">
        <v>2679</v>
      </c>
      <c r="M784" s="20" t="s">
        <v>2168</v>
      </c>
      <c r="N784" s="20" t="s">
        <v>2169</v>
      </c>
      <c r="O784" s="20" t="s">
        <v>63</v>
      </c>
      <c r="P784" s="20"/>
      <c r="Q784" s="26"/>
      <c r="R784" s="26"/>
      <c r="S784" s="26"/>
      <c r="T784" s="20"/>
      <c r="U784" s="26"/>
      <c r="V784" s="26"/>
      <c r="W784" s="20"/>
      <c r="X784" s="20"/>
      <c r="Y784" s="20"/>
      <c r="Z784" s="20"/>
      <c r="AA784" s="20"/>
      <c r="AB784" s="20"/>
      <c r="AC784" s="20"/>
      <c r="AD784" s="20"/>
      <c r="AE784" s="20"/>
    </row>
    <row r="785">
      <c r="A785" s="21">
        <v>22.0</v>
      </c>
      <c r="B785" s="20" t="s">
        <v>391</v>
      </c>
      <c r="C785" s="20" t="s">
        <v>1564</v>
      </c>
      <c r="I785" s="25" t="s">
        <v>557</v>
      </c>
      <c r="J785" s="25" t="s">
        <v>2158</v>
      </c>
      <c r="K785" s="25" t="s">
        <v>67</v>
      </c>
      <c r="L785" s="25" t="s">
        <v>2683</v>
      </c>
      <c r="M785" s="20" t="s">
        <v>2162</v>
      </c>
      <c r="N785" s="20" t="s">
        <v>2163</v>
      </c>
      <c r="O785" s="20" t="s">
        <v>63</v>
      </c>
      <c r="P785" s="25" t="s">
        <v>749</v>
      </c>
      <c r="Q785" s="26"/>
      <c r="R785" s="26"/>
      <c r="S785" s="26"/>
      <c r="T785" s="20"/>
      <c r="U785" s="26"/>
      <c r="V785" s="26"/>
      <c r="W785" s="20"/>
      <c r="X785" s="20"/>
      <c r="Y785" s="20"/>
      <c r="Z785" s="20"/>
      <c r="AA785" s="20"/>
      <c r="AB785" s="20"/>
      <c r="AC785" s="20"/>
      <c r="AD785" s="20"/>
      <c r="AE785" s="20"/>
    </row>
    <row r="786">
      <c r="A786" s="21">
        <v>22.0</v>
      </c>
      <c r="B786" s="20" t="s">
        <v>391</v>
      </c>
      <c r="C786" s="20" t="s">
        <v>1564</v>
      </c>
      <c r="I786" s="25" t="s">
        <v>746</v>
      </c>
      <c r="J786" s="25" t="s">
        <v>2158</v>
      </c>
      <c r="K786" s="25" t="s">
        <v>67</v>
      </c>
      <c r="L786" s="25" t="s">
        <v>2689</v>
      </c>
      <c r="M786" s="20" t="s">
        <v>2165</v>
      </c>
      <c r="N786" s="20" t="s">
        <v>2163</v>
      </c>
      <c r="O786" s="20" t="s">
        <v>63</v>
      </c>
      <c r="P786" s="25" t="s">
        <v>749</v>
      </c>
      <c r="Q786" s="26"/>
      <c r="R786" s="26"/>
      <c r="S786" s="26"/>
      <c r="T786" s="20"/>
      <c r="U786" s="26"/>
      <c r="V786" s="26"/>
      <c r="W786" s="20"/>
      <c r="X786" s="20"/>
      <c r="Y786" s="20"/>
      <c r="Z786" s="20"/>
      <c r="AA786" s="20"/>
      <c r="AB786" s="20"/>
      <c r="AC786" s="20"/>
      <c r="AD786" s="20"/>
      <c r="AE786" s="20"/>
    </row>
    <row r="787">
      <c r="A787" s="21">
        <v>22.0</v>
      </c>
      <c r="B787" s="20" t="s">
        <v>391</v>
      </c>
      <c r="C787" s="20" t="s">
        <v>1564</v>
      </c>
      <c r="I787" s="25" t="s">
        <v>738</v>
      </c>
      <c r="J787" s="25" t="s">
        <v>2154</v>
      </c>
      <c r="K787" s="25" t="s">
        <v>71</v>
      </c>
      <c r="L787" s="25" t="s">
        <v>1865</v>
      </c>
      <c r="M787" s="20" t="s">
        <v>2180</v>
      </c>
      <c r="N787" s="20" t="s">
        <v>1030</v>
      </c>
      <c r="O787" s="20" t="s">
        <v>63</v>
      </c>
      <c r="P787" s="20"/>
      <c r="Q787" s="26"/>
      <c r="R787" s="26"/>
      <c r="S787" s="26"/>
      <c r="T787" s="20"/>
      <c r="U787" s="26"/>
      <c r="V787" s="26"/>
      <c r="W787" s="20"/>
      <c r="X787" s="20"/>
      <c r="Y787" s="20"/>
      <c r="Z787" s="20"/>
      <c r="AA787" s="20"/>
      <c r="AB787" s="20"/>
      <c r="AC787" s="20"/>
      <c r="AD787" s="20"/>
      <c r="AE787" s="20"/>
    </row>
    <row r="788">
      <c r="A788" s="21">
        <v>22.0</v>
      </c>
      <c r="B788" s="20" t="s">
        <v>391</v>
      </c>
      <c r="C788" s="20" t="s">
        <v>1564</v>
      </c>
      <c r="I788" s="25" t="s">
        <v>247</v>
      </c>
      <c r="J788" s="25" t="s">
        <v>2154</v>
      </c>
      <c r="K788" s="25" t="s">
        <v>71</v>
      </c>
      <c r="L788" s="25" t="s">
        <v>1210</v>
      </c>
      <c r="M788" s="20" t="s">
        <v>61</v>
      </c>
      <c r="N788" s="20" t="s">
        <v>783</v>
      </c>
      <c r="O788" s="20" t="s">
        <v>63</v>
      </c>
      <c r="P788" s="25" t="s">
        <v>253</v>
      </c>
      <c r="Q788" s="26"/>
      <c r="R788" s="26"/>
      <c r="S788" s="26"/>
      <c r="T788" s="20"/>
      <c r="U788" s="26"/>
      <c r="V788" s="26"/>
      <c r="W788" s="20"/>
      <c r="X788" s="20"/>
      <c r="Y788" s="20"/>
      <c r="Z788" s="20"/>
      <c r="AA788" s="20"/>
      <c r="AB788" s="20"/>
      <c r="AC788" s="20"/>
      <c r="AD788" s="20"/>
      <c r="AE788" s="20"/>
    </row>
    <row r="789">
      <c r="A789" s="21">
        <v>22.0</v>
      </c>
      <c r="B789" s="20" t="s">
        <v>391</v>
      </c>
      <c r="C789" s="20" t="s">
        <v>1564</v>
      </c>
      <c r="I789" s="25" t="s">
        <v>257</v>
      </c>
      <c r="J789" s="25" t="s">
        <v>2166</v>
      </c>
      <c r="K789" s="25" t="s">
        <v>71</v>
      </c>
      <c r="L789" s="25" t="s">
        <v>2701</v>
      </c>
      <c r="M789" s="20" t="s">
        <v>61</v>
      </c>
      <c r="N789" s="20" t="s">
        <v>259</v>
      </c>
      <c r="O789" s="20" t="s">
        <v>63</v>
      </c>
      <c r="P789" s="20"/>
      <c r="Q789" s="26"/>
      <c r="R789" s="26"/>
      <c r="S789" s="26"/>
      <c r="T789" s="20"/>
      <c r="U789" s="26"/>
      <c r="V789" s="26"/>
      <c r="W789" s="20"/>
      <c r="X789" s="20"/>
      <c r="Y789" s="20"/>
      <c r="Z789" s="20"/>
      <c r="AA789" s="20"/>
      <c r="AB789" s="20"/>
      <c r="AC789" s="20"/>
      <c r="AD789" s="20"/>
      <c r="AE789" s="20"/>
    </row>
    <row r="790">
      <c r="A790" s="21">
        <v>22.0</v>
      </c>
      <c r="B790" s="20" t="s">
        <v>391</v>
      </c>
      <c r="C790" s="20" t="s">
        <v>1564</v>
      </c>
      <c r="I790" s="25" t="s">
        <v>544</v>
      </c>
      <c r="J790" s="25" t="s">
        <v>2154</v>
      </c>
      <c r="K790" s="25" t="s">
        <v>71</v>
      </c>
      <c r="L790" s="25" t="s">
        <v>528</v>
      </c>
      <c r="M790" s="20" t="s">
        <v>2181</v>
      </c>
      <c r="N790" s="20" t="s">
        <v>2182</v>
      </c>
      <c r="O790" s="20" t="s">
        <v>63</v>
      </c>
      <c r="P790" s="20"/>
      <c r="Q790" s="26"/>
      <c r="R790" s="26"/>
      <c r="S790" s="26"/>
      <c r="T790" s="20"/>
      <c r="U790" s="26"/>
      <c r="V790" s="26"/>
      <c r="W790" s="20"/>
      <c r="X790" s="20"/>
      <c r="Y790" s="20"/>
      <c r="Z790" s="20"/>
      <c r="AA790" s="20"/>
      <c r="AB790" s="20"/>
      <c r="AC790" s="20"/>
      <c r="AD790" s="20"/>
      <c r="AE790" s="20"/>
    </row>
    <row r="791">
      <c r="A791" s="21">
        <v>22.0</v>
      </c>
      <c r="B791" s="20" t="s">
        <v>391</v>
      </c>
      <c r="C791" s="20" t="s">
        <v>1564</v>
      </c>
      <c r="I791" s="25" t="s">
        <v>705</v>
      </c>
      <c r="J791" s="25" t="s">
        <v>2154</v>
      </c>
      <c r="K791" s="25" t="s">
        <v>71</v>
      </c>
      <c r="L791" s="25" t="s">
        <v>1865</v>
      </c>
      <c r="M791" s="20" t="s">
        <v>778</v>
      </c>
      <c r="N791" s="20" t="s">
        <v>1030</v>
      </c>
      <c r="O791" s="20" t="s">
        <v>63</v>
      </c>
      <c r="P791" s="20"/>
      <c r="Q791" s="26"/>
      <c r="R791" s="26"/>
      <c r="S791" s="26"/>
      <c r="T791" s="20"/>
      <c r="U791" s="26"/>
      <c r="V791" s="26"/>
      <c r="W791" s="20"/>
      <c r="X791" s="20"/>
      <c r="Y791" s="20"/>
      <c r="Z791" s="20"/>
      <c r="AA791" s="20"/>
      <c r="AB791" s="20"/>
      <c r="AC791" s="20"/>
      <c r="AD791" s="20"/>
      <c r="AE791" s="20"/>
    </row>
    <row r="792">
      <c r="A792" s="21">
        <v>22.0</v>
      </c>
      <c r="B792" s="20" t="s">
        <v>391</v>
      </c>
      <c r="C792" s="20" t="s">
        <v>1564</v>
      </c>
      <c r="I792" s="25" t="s">
        <v>2053</v>
      </c>
      <c r="J792" s="25" t="s">
        <v>2158</v>
      </c>
      <c r="K792" s="25" t="s">
        <v>71</v>
      </c>
      <c r="L792" s="25" t="s">
        <v>292</v>
      </c>
      <c r="M792" s="20" t="s">
        <v>2170</v>
      </c>
      <c r="N792" s="20" t="s">
        <v>2171</v>
      </c>
      <c r="O792" s="20" t="s">
        <v>63</v>
      </c>
      <c r="P792" s="20" t="s">
        <v>52</v>
      </c>
      <c r="Q792" s="26"/>
      <c r="R792" s="26"/>
      <c r="S792" s="26"/>
      <c r="T792" s="22"/>
      <c r="U792" s="26"/>
      <c r="V792" s="26"/>
      <c r="W792" s="20"/>
      <c r="X792" s="20"/>
      <c r="Y792" s="20"/>
      <c r="Z792" s="20"/>
      <c r="AA792" s="20"/>
      <c r="AB792" s="20"/>
      <c r="AC792" s="20"/>
      <c r="AD792" s="20"/>
      <c r="AE792" s="20"/>
    </row>
    <row r="793">
      <c r="A793" s="21">
        <v>22.0</v>
      </c>
      <c r="B793" s="20" t="s">
        <v>391</v>
      </c>
      <c r="C793" s="20" t="s">
        <v>1564</v>
      </c>
      <c r="I793" s="25" t="s">
        <v>314</v>
      </c>
      <c r="J793" s="25" t="s">
        <v>2154</v>
      </c>
      <c r="K793" s="25" t="s">
        <v>71</v>
      </c>
      <c r="L793" s="25" t="s">
        <v>1865</v>
      </c>
      <c r="M793" s="20" t="s">
        <v>316</v>
      </c>
      <c r="N793" s="20" t="s">
        <v>2183</v>
      </c>
      <c r="O793" s="20" t="s">
        <v>63</v>
      </c>
      <c r="P793" s="20"/>
      <c r="Q793" s="26"/>
      <c r="R793" s="26"/>
      <c r="S793" s="26"/>
      <c r="T793" s="20"/>
      <c r="U793" s="26"/>
      <c r="V793" s="26"/>
      <c r="W793" s="20"/>
      <c r="X793" s="20"/>
      <c r="Y793" s="20"/>
      <c r="Z793" s="20"/>
      <c r="AA793" s="20"/>
      <c r="AB793" s="20"/>
      <c r="AC793" s="20"/>
      <c r="AD793" s="20"/>
      <c r="AE793" s="20"/>
    </row>
    <row r="794">
      <c r="A794" s="21">
        <v>22.0</v>
      </c>
      <c r="B794" s="20" t="s">
        <v>391</v>
      </c>
      <c r="C794" s="20" t="s">
        <v>1564</v>
      </c>
      <c r="I794" s="25" t="s">
        <v>593</v>
      </c>
      <c r="J794" s="25" t="s">
        <v>2154</v>
      </c>
      <c r="K794" s="25" t="s">
        <v>71</v>
      </c>
      <c r="L794" s="25" t="s">
        <v>1210</v>
      </c>
      <c r="M794" s="20" t="s">
        <v>61</v>
      </c>
      <c r="N794" s="20" t="s">
        <v>792</v>
      </c>
      <c r="O794" s="20" t="s">
        <v>63</v>
      </c>
      <c r="P794" s="20"/>
      <c r="Q794" s="26"/>
      <c r="R794" s="26"/>
      <c r="S794" s="26"/>
      <c r="T794" s="20"/>
      <c r="U794" s="26"/>
      <c r="V794" s="26"/>
      <c r="W794" s="20"/>
      <c r="X794" s="20"/>
      <c r="Y794" s="20"/>
      <c r="Z794" s="20"/>
      <c r="AA794" s="20"/>
      <c r="AB794" s="20"/>
      <c r="AC794" s="20"/>
      <c r="AD794" s="20"/>
      <c r="AE794" s="20"/>
    </row>
    <row r="795">
      <c r="A795" s="21">
        <v>22.0</v>
      </c>
      <c r="B795" s="20" t="s">
        <v>391</v>
      </c>
      <c r="C795" s="20" t="s">
        <v>1564</v>
      </c>
      <c r="I795" s="25" t="s">
        <v>605</v>
      </c>
      <c r="J795" s="25" t="s">
        <v>2154</v>
      </c>
      <c r="K795" s="25" t="s">
        <v>71</v>
      </c>
      <c r="L795" s="25" t="s">
        <v>528</v>
      </c>
      <c r="M795" s="20" t="s">
        <v>759</v>
      </c>
      <c r="N795" s="20" t="s">
        <v>2184</v>
      </c>
      <c r="O795" s="20" t="s">
        <v>63</v>
      </c>
      <c r="P795" s="25" t="s">
        <v>253</v>
      </c>
      <c r="Q795" s="26"/>
      <c r="R795" s="26"/>
      <c r="S795" s="26"/>
      <c r="T795" s="20"/>
      <c r="U795" s="26"/>
      <c r="V795" s="26"/>
      <c r="W795" s="20"/>
      <c r="X795" s="20"/>
      <c r="Y795" s="20"/>
      <c r="Z795" s="20"/>
      <c r="AA795" s="20"/>
      <c r="AB795" s="20"/>
      <c r="AC795" s="20"/>
      <c r="AD795" s="20"/>
      <c r="AE795" s="20"/>
    </row>
    <row r="796">
      <c r="A796" s="21">
        <v>22.0</v>
      </c>
      <c r="B796" s="20" t="s">
        <v>391</v>
      </c>
      <c r="C796" s="20" t="s">
        <v>1564</v>
      </c>
      <c r="I796" s="25" t="s">
        <v>375</v>
      </c>
      <c r="J796" s="25" t="s">
        <v>2158</v>
      </c>
      <c r="K796" s="25" t="s">
        <v>71</v>
      </c>
      <c r="L796" s="25" t="s">
        <v>2716</v>
      </c>
      <c r="M796" s="20" t="s">
        <v>1051</v>
      </c>
      <c r="N796" s="20" t="s">
        <v>2174</v>
      </c>
      <c r="O796" s="20" t="s">
        <v>63</v>
      </c>
      <c r="P796" s="25" t="s">
        <v>253</v>
      </c>
      <c r="Q796" s="26"/>
      <c r="R796" s="26"/>
      <c r="S796" s="26"/>
      <c r="T796" s="20"/>
      <c r="U796" s="26"/>
      <c r="V796" s="26"/>
      <c r="W796" s="20"/>
      <c r="X796" s="20"/>
      <c r="Y796" s="20"/>
      <c r="Z796" s="20"/>
      <c r="AA796" s="20"/>
      <c r="AB796" s="20"/>
      <c r="AC796" s="20"/>
      <c r="AD796" s="20"/>
      <c r="AE796" s="20"/>
    </row>
    <row r="797">
      <c r="A797" s="21">
        <v>22.0</v>
      </c>
      <c r="B797" s="20" t="s">
        <v>391</v>
      </c>
      <c r="C797" s="20" t="s">
        <v>1564</v>
      </c>
      <c r="I797" s="25" t="s">
        <v>350</v>
      </c>
      <c r="J797" s="25" t="s">
        <v>2154</v>
      </c>
      <c r="K797" s="25" t="s">
        <v>71</v>
      </c>
      <c r="L797" s="25" t="s">
        <v>2716</v>
      </c>
      <c r="M797" s="20" t="s">
        <v>761</v>
      </c>
      <c r="N797" s="20" t="s">
        <v>2184</v>
      </c>
      <c r="O797" s="20" t="s">
        <v>63</v>
      </c>
      <c r="P797" s="20"/>
      <c r="Q797" s="26"/>
      <c r="R797" s="26"/>
      <c r="S797" s="26"/>
      <c r="T797" s="20"/>
      <c r="U797" s="26"/>
      <c r="V797" s="26"/>
      <c r="W797" s="20"/>
      <c r="X797" s="20"/>
      <c r="Y797" s="20"/>
      <c r="Z797" s="20"/>
      <c r="AA797" s="20"/>
      <c r="AB797" s="20"/>
      <c r="AC797" s="20"/>
      <c r="AD797" s="20"/>
      <c r="AE797" s="20"/>
    </row>
    <row r="798">
      <c r="A798" s="21">
        <v>22.0</v>
      </c>
      <c r="B798" s="20" t="s">
        <v>391</v>
      </c>
      <c r="C798" s="20" t="s">
        <v>1564</v>
      </c>
      <c r="I798" s="25" t="s">
        <v>218</v>
      </c>
      <c r="J798" s="25" t="s">
        <v>2154</v>
      </c>
      <c r="K798" s="25" t="s">
        <v>71</v>
      </c>
      <c r="L798" s="25" t="s">
        <v>528</v>
      </c>
      <c r="M798" s="20" t="s">
        <v>2185</v>
      </c>
      <c r="N798" s="20" t="s">
        <v>2186</v>
      </c>
      <c r="O798" s="20" t="s">
        <v>63</v>
      </c>
      <c r="P798" s="20"/>
      <c r="Q798" s="26"/>
      <c r="R798" s="26"/>
      <c r="S798" s="26"/>
      <c r="T798" s="20"/>
      <c r="U798" s="26"/>
      <c r="V798" s="26"/>
      <c r="W798" s="20"/>
      <c r="X798" s="20"/>
      <c r="Y798" s="20"/>
      <c r="Z798" s="20"/>
      <c r="AA798" s="20"/>
      <c r="AB798" s="20"/>
      <c r="AC798" s="20"/>
      <c r="AD798" s="20"/>
      <c r="AE798" s="20"/>
    </row>
    <row r="799">
      <c r="A799" s="21">
        <v>22.0</v>
      </c>
      <c r="B799" s="20" t="s">
        <v>391</v>
      </c>
      <c r="C799" s="20" t="s">
        <v>1564</v>
      </c>
      <c r="I799" s="25" t="s">
        <v>222</v>
      </c>
      <c r="J799" s="25" t="s">
        <v>2154</v>
      </c>
      <c r="K799" s="25" t="s">
        <v>71</v>
      </c>
      <c r="L799" s="25" t="s">
        <v>528</v>
      </c>
      <c r="M799" s="20" t="s">
        <v>2187</v>
      </c>
      <c r="N799" s="20" t="s">
        <v>2188</v>
      </c>
      <c r="O799" s="20" t="s">
        <v>63</v>
      </c>
      <c r="P799" s="20"/>
      <c r="Q799" s="26"/>
      <c r="R799" s="26"/>
      <c r="S799" s="26"/>
      <c r="T799" s="20"/>
      <c r="U799" s="26"/>
      <c r="V799" s="26"/>
      <c r="W799" s="20"/>
      <c r="X799" s="20"/>
      <c r="Y799" s="20"/>
      <c r="Z799" s="20"/>
      <c r="AA799" s="20"/>
      <c r="AB799" s="20"/>
      <c r="AC799" s="20"/>
      <c r="AD799" s="20"/>
      <c r="AE799" s="20"/>
    </row>
    <row r="800">
      <c r="A800" s="21">
        <v>22.0</v>
      </c>
      <c r="B800" s="20" t="s">
        <v>391</v>
      </c>
      <c r="C800" s="20" t="s">
        <v>1564</v>
      </c>
      <c r="I800" s="25" t="s">
        <v>302</v>
      </c>
      <c r="J800" s="25" t="s">
        <v>2166</v>
      </c>
      <c r="K800" s="25" t="s">
        <v>71</v>
      </c>
      <c r="L800" s="25" t="s">
        <v>292</v>
      </c>
      <c r="M800" s="20" t="s">
        <v>61</v>
      </c>
      <c r="N800" s="20" t="s">
        <v>303</v>
      </c>
      <c r="O800" s="20" t="s">
        <v>63</v>
      </c>
      <c r="P800" s="20" t="s">
        <v>52</v>
      </c>
      <c r="Q800" s="26"/>
      <c r="R800" s="26"/>
      <c r="S800" s="26"/>
      <c r="T800" s="22"/>
      <c r="U800" s="26"/>
      <c r="V800" s="26"/>
      <c r="W800" s="20"/>
      <c r="X800" s="20"/>
      <c r="Y800" s="20"/>
      <c r="Z800" s="20"/>
      <c r="AA800" s="20"/>
      <c r="AB800" s="20"/>
      <c r="AC800" s="20"/>
      <c r="AD800" s="20"/>
      <c r="AE800" s="20"/>
    </row>
    <row r="801">
      <c r="A801" s="21">
        <v>22.0</v>
      </c>
      <c r="B801" s="20" t="s">
        <v>391</v>
      </c>
      <c r="C801" s="20" t="s">
        <v>1564</v>
      </c>
      <c r="I801" s="25" t="s">
        <v>274</v>
      </c>
      <c r="J801" s="25" t="s">
        <v>2154</v>
      </c>
      <c r="K801" s="25" t="s">
        <v>71</v>
      </c>
      <c r="L801" s="25" t="s">
        <v>292</v>
      </c>
      <c r="M801" s="20" t="s">
        <v>61</v>
      </c>
      <c r="N801" s="20" t="s">
        <v>275</v>
      </c>
      <c r="O801" s="20" t="s">
        <v>63</v>
      </c>
      <c r="P801" s="20" t="s">
        <v>52</v>
      </c>
      <c r="Q801" s="26"/>
      <c r="R801" s="26"/>
      <c r="S801" s="26"/>
      <c r="T801" s="22"/>
      <c r="U801" s="26"/>
      <c r="V801" s="26"/>
      <c r="W801" s="20"/>
      <c r="X801" s="20"/>
      <c r="Y801" s="20"/>
      <c r="Z801" s="20"/>
      <c r="AA801" s="20"/>
      <c r="AB801" s="20"/>
      <c r="AC801" s="20"/>
      <c r="AD801" s="20"/>
      <c r="AE801" s="20"/>
    </row>
    <row r="802">
      <c r="A802" s="21">
        <v>22.0</v>
      </c>
      <c r="B802" s="20" t="s">
        <v>391</v>
      </c>
      <c r="C802" s="20" t="s">
        <v>1564</v>
      </c>
      <c r="I802" s="25" t="s">
        <v>586</v>
      </c>
      <c r="J802" s="25" t="s">
        <v>2154</v>
      </c>
      <c r="K802" s="25" t="s">
        <v>71</v>
      </c>
      <c r="L802" s="25" t="s">
        <v>673</v>
      </c>
      <c r="M802" s="20" t="s">
        <v>998</v>
      </c>
      <c r="N802" s="20" t="s">
        <v>2189</v>
      </c>
      <c r="O802" s="20" t="s">
        <v>63</v>
      </c>
      <c r="P802" s="20" t="s">
        <v>52</v>
      </c>
      <c r="Q802" s="26"/>
      <c r="R802" s="26"/>
      <c r="S802" s="26"/>
      <c r="T802" s="20"/>
      <c r="U802" s="26"/>
      <c r="V802" s="26"/>
      <c r="W802" s="20"/>
      <c r="X802" s="20"/>
      <c r="Y802" s="20"/>
      <c r="Z802" s="20"/>
      <c r="AA802" s="20"/>
      <c r="AB802" s="20"/>
      <c r="AC802" s="20"/>
      <c r="AD802" s="20"/>
      <c r="AE802" s="20"/>
    </row>
    <row r="803">
      <c r="A803" s="21">
        <v>22.0</v>
      </c>
      <c r="B803" s="20" t="s">
        <v>391</v>
      </c>
      <c r="C803" s="20" t="s">
        <v>1564</v>
      </c>
      <c r="I803" s="25" t="s">
        <v>731</v>
      </c>
      <c r="J803" s="25" t="s">
        <v>2154</v>
      </c>
      <c r="K803" s="25" t="s">
        <v>71</v>
      </c>
      <c r="L803" s="25" t="s">
        <v>292</v>
      </c>
      <c r="M803" s="20" t="s">
        <v>2190</v>
      </c>
      <c r="N803" s="20" t="s">
        <v>2191</v>
      </c>
      <c r="O803" s="20" t="s">
        <v>63</v>
      </c>
      <c r="P803" s="20" t="s">
        <v>52</v>
      </c>
      <c r="Q803" s="26"/>
      <c r="R803" s="26"/>
      <c r="S803" s="26"/>
      <c r="T803" s="22"/>
      <c r="U803" s="26"/>
      <c r="V803" s="26"/>
      <c r="W803" s="20"/>
      <c r="X803" s="20"/>
      <c r="Y803" s="20"/>
      <c r="Z803" s="20"/>
      <c r="AA803" s="20"/>
      <c r="AB803" s="20"/>
      <c r="AC803" s="20"/>
      <c r="AD803" s="20"/>
      <c r="AE803" s="20"/>
    </row>
    <row r="804">
      <c r="A804" s="21">
        <v>22.0</v>
      </c>
      <c r="B804" s="20" t="s">
        <v>391</v>
      </c>
      <c r="C804" s="20" t="s">
        <v>1564</v>
      </c>
      <c r="I804" s="25" t="s">
        <v>334</v>
      </c>
      <c r="J804" s="25" t="s">
        <v>2154</v>
      </c>
      <c r="K804" s="25" t="s">
        <v>71</v>
      </c>
      <c r="L804" s="25" t="s">
        <v>292</v>
      </c>
      <c r="M804" s="20" t="s">
        <v>61</v>
      </c>
      <c r="N804" s="20" t="s">
        <v>1007</v>
      </c>
      <c r="O804" s="20" t="s">
        <v>63</v>
      </c>
      <c r="P804" s="20" t="s">
        <v>52</v>
      </c>
      <c r="Q804" s="26"/>
      <c r="R804" s="26"/>
      <c r="S804" s="26"/>
      <c r="T804" s="22"/>
      <c r="U804" s="26"/>
      <c r="V804" s="26"/>
      <c r="W804" s="20"/>
      <c r="X804" s="20"/>
      <c r="Y804" s="20"/>
      <c r="Z804" s="20"/>
      <c r="AA804" s="20"/>
      <c r="AB804" s="20"/>
      <c r="AC804" s="20"/>
      <c r="AD804" s="20"/>
      <c r="AE804" s="20"/>
    </row>
    <row r="805">
      <c r="A805" s="21">
        <v>22.0</v>
      </c>
      <c r="B805" s="20" t="s">
        <v>391</v>
      </c>
      <c r="C805" s="20" t="s">
        <v>1564</v>
      </c>
      <c r="I805" s="25" t="s">
        <v>836</v>
      </c>
      <c r="J805" s="25" t="s">
        <v>2158</v>
      </c>
      <c r="K805" s="25" t="s">
        <v>71</v>
      </c>
      <c r="L805" s="25" t="s">
        <v>2736</v>
      </c>
      <c r="M805" s="20" t="s">
        <v>2175</v>
      </c>
      <c r="N805" s="20" t="s">
        <v>2177</v>
      </c>
      <c r="O805" s="20" t="s">
        <v>63</v>
      </c>
      <c r="P805" s="20" t="s">
        <v>52</v>
      </c>
      <c r="Q805" s="26"/>
      <c r="R805" s="26"/>
      <c r="S805" s="26"/>
      <c r="T805" s="20"/>
      <c r="U805" s="26"/>
      <c r="V805" s="26"/>
      <c r="W805" s="20"/>
      <c r="X805" s="20"/>
      <c r="Y805" s="20"/>
      <c r="Z805" s="20"/>
      <c r="AA805" s="20"/>
      <c r="AB805" s="20"/>
      <c r="AC805" s="20"/>
      <c r="AD805" s="20"/>
      <c r="AE805" s="20"/>
    </row>
    <row r="806">
      <c r="A806" s="21">
        <v>22.0</v>
      </c>
      <c r="B806" s="20" t="s">
        <v>391</v>
      </c>
      <c r="C806" s="20" t="s">
        <v>1564</v>
      </c>
      <c r="I806" s="25" t="s">
        <v>265</v>
      </c>
      <c r="J806" s="25" t="s">
        <v>2154</v>
      </c>
      <c r="K806" s="25" t="s">
        <v>71</v>
      </c>
      <c r="L806" s="25" t="s">
        <v>715</v>
      </c>
      <c r="M806" s="20" t="s">
        <v>266</v>
      </c>
      <c r="N806" s="20" t="s">
        <v>2183</v>
      </c>
      <c r="O806" s="20" t="s">
        <v>63</v>
      </c>
      <c r="P806" s="20" t="s">
        <v>52</v>
      </c>
      <c r="Q806" s="26"/>
      <c r="R806" s="26"/>
      <c r="S806" s="26"/>
      <c r="T806" s="20"/>
      <c r="U806" s="26"/>
      <c r="V806" s="26"/>
      <c r="W806" s="20"/>
      <c r="X806" s="20"/>
      <c r="Y806" s="20"/>
      <c r="Z806" s="20"/>
      <c r="AA806" s="20"/>
      <c r="AB806" s="20"/>
      <c r="AC806" s="20"/>
      <c r="AD806" s="20"/>
      <c r="AE806" s="20"/>
    </row>
    <row r="807">
      <c r="A807" s="21">
        <v>22.0</v>
      </c>
      <c r="B807" s="20" t="s">
        <v>391</v>
      </c>
      <c r="C807" s="20" t="s">
        <v>1564</v>
      </c>
      <c r="I807" s="25" t="s">
        <v>278</v>
      </c>
      <c r="J807" s="25" t="s">
        <v>2158</v>
      </c>
      <c r="K807" s="25" t="s">
        <v>71</v>
      </c>
      <c r="L807" s="25" t="s">
        <v>673</v>
      </c>
      <c r="M807" s="20" t="s">
        <v>1470</v>
      </c>
      <c r="N807" s="20" t="s">
        <v>1459</v>
      </c>
      <c r="O807" s="20" t="s">
        <v>63</v>
      </c>
      <c r="P807" s="20" t="s">
        <v>52</v>
      </c>
      <c r="Q807" s="26"/>
      <c r="R807" s="26"/>
      <c r="S807" s="26"/>
      <c r="T807" s="20"/>
      <c r="U807" s="26"/>
      <c r="V807" s="26"/>
      <c r="W807" s="20"/>
      <c r="X807" s="20"/>
      <c r="Y807" s="20"/>
      <c r="Z807" s="20"/>
      <c r="AA807" s="20"/>
      <c r="AB807" s="20"/>
      <c r="AC807" s="20"/>
      <c r="AD807" s="20"/>
      <c r="AE807" s="20"/>
    </row>
    <row r="808">
      <c r="A808" s="21">
        <v>22.0</v>
      </c>
      <c r="B808" s="20" t="s">
        <v>391</v>
      </c>
      <c r="C808" s="20" t="s">
        <v>1564</v>
      </c>
      <c r="I808" s="25" t="s">
        <v>495</v>
      </c>
      <c r="J808" s="25" t="s">
        <v>2158</v>
      </c>
      <c r="K808" s="25" t="s">
        <v>71</v>
      </c>
      <c r="L808" s="25" t="s">
        <v>881</v>
      </c>
      <c r="M808" s="20" t="s">
        <v>973</v>
      </c>
      <c r="N808" s="20" t="s">
        <v>2179</v>
      </c>
      <c r="O808" s="20" t="s">
        <v>63</v>
      </c>
      <c r="P808" s="20" t="s">
        <v>52</v>
      </c>
      <c r="Q808" s="26"/>
      <c r="R808" s="26"/>
      <c r="S808" s="26"/>
      <c r="T808" s="20"/>
      <c r="U808" s="26"/>
      <c r="V808" s="26"/>
      <c r="W808" s="20"/>
      <c r="X808" s="20"/>
      <c r="Y808" s="20"/>
      <c r="Z808" s="20"/>
      <c r="AA808" s="20"/>
      <c r="AB808" s="20"/>
      <c r="AC808" s="20"/>
      <c r="AD808" s="20"/>
      <c r="AE808" s="20"/>
    </row>
    <row r="809">
      <c r="A809" s="21">
        <v>22.0</v>
      </c>
      <c r="B809" s="20" t="s">
        <v>391</v>
      </c>
      <c r="C809" s="20" t="s">
        <v>1564</v>
      </c>
      <c r="I809" s="25" t="s">
        <v>658</v>
      </c>
      <c r="J809" s="25" t="s">
        <v>2154</v>
      </c>
      <c r="K809" s="25" t="s">
        <v>71</v>
      </c>
      <c r="L809" s="25" t="s">
        <v>292</v>
      </c>
      <c r="M809" s="20" t="s">
        <v>2193</v>
      </c>
      <c r="N809" s="20" t="s">
        <v>1030</v>
      </c>
      <c r="O809" s="20" t="s">
        <v>63</v>
      </c>
      <c r="P809" s="20" t="s">
        <v>52</v>
      </c>
      <c r="Q809" s="26"/>
      <c r="R809" s="26"/>
      <c r="S809" s="26"/>
      <c r="T809" s="22"/>
      <c r="U809" s="26"/>
      <c r="V809" s="26"/>
      <c r="W809" s="20"/>
      <c r="X809" s="20"/>
      <c r="Y809" s="20"/>
      <c r="Z809" s="20"/>
      <c r="AA809" s="20"/>
      <c r="AB809" s="20"/>
      <c r="AC809" s="20"/>
      <c r="AD809" s="20"/>
      <c r="AE809" s="20"/>
    </row>
    <row r="810">
      <c r="A810" s="21">
        <v>22.0</v>
      </c>
      <c r="B810" s="20" t="s">
        <v>391</v>
      </c>
      <c r="C810" s="20" t="s">
        <v>1564</v>
      </c>
      <c r="I810" s="25" t="s">
        <v>1475</v>
      </c>
      <c r="J810" s="25" t="s">
        <v>2158</v>
      </c>
      <c r="K810" s="25" t="s">
        <v>71</v>
      </c>
      <c r="L810" s="25" t="s">
        <v>1921</v>
      </c>
      <c r="M810" s="20" t="s">
        <v>1476</v>
      </c>
      <c r="N810" s="20" t="s">
        <v>1477</v>
      </c>
      <c r="O810" s="20" t="s">
        <v>63</v>
      </c>
      <c r="P810" s="20" t="s">
        <v>52</v>
      </c>
      <c r="Q810" s="26"/>
      <c r="R810" s="26"/>
      <c r="S810" s="26"/>
      <c r="T810" s="20"/>
      <c r="U810" s="26"/>
      <c r="V810" s="26"/>
      <c r="W810" s="20"/>
      <c r="X810" s="20"/>
      <c r="Y810" s="20"/>
      <c r="Z810" s="20"/>
      <c r="AA810" s="20"/>
      <c r="AB810" s="20"/>
      <c r="AC810" s="20"/>
      <c r="AD810" s="20"/>
      <c r="AE810" s="20"/>
    </row>
    <row r="811">
      <c r="A811" s="21">
        <v>22.0</v>
      </c>
      <c r="B811" s="20" t="s">
        <v>391</v>
      </c>
      <c r="C811" s="20" t="s">
        <v>1564</v>
      </c>
      <c r="I811" s="25" t="s">
        <v>965</v>
      </c>
      <c r="J811" s="25" t="s">
        <v>2154</v>
      </c>
      <c r="K811" s="25" t="s">
        <v>71</v>
      </c>
      <c r="L811" s="25" t="s">
        <v>292</v>
      </c>
      <c r="M811" s="20" t="s">
        <v>966</v>
      </c>
      <c r="N811" s="20" t="s">
        <v>2194</v>
      </c>
      <c r="O811" s="20" t="s">
        <v>63</v>
      </c>
      <c r="P811" s="20" t="s">
        <v>52</v>
      </c>
      <c r="Q811" s="26"/>
      <c r="R811" s="26"/>
      <c r="S811" s="26"/>
      <c r="T811" s="22"/>
      <c r="U811" s="26"/>
      <c r="V811" s="26"/>
      <c r="W811" s="20"/>
      <c r="X811" s="20"/>
      <c r="Y811" s="20"/>
      <c r="Z811" s="20"/>
      <c r="AA811" s="20"/>
      <c r="AB811" s="20"/>
      <c r="AC811" s="20"/>
      <c r="AD811" s="20"/>
      <c r="AE811" s="20"/>
    </row>
    <row r="812">
      <c r="A812" s="21">
        <v>23.0</v>
      </c>
      <c r="B812" s="20" t="s">
        <v>2195</v>
      </c>
      <c r="C812" s="20" t="s">
        <v>1564</v>
      </c>
      <c r="D812" s="35">
        <v>30.0</v>
      </c>
      <c r="E812" s="35">
        <v>2.0</v>
      </c>
      <c r="F812" s="35">
        <v>7.0</v>
      </c>
      <c r="G812" s="35">
        <v>21.0</v>
      </c>
      <c r="H812" s="36" t="s">
        <v>2758</v>
      </c>
      <c r="I812" s="25" t="s">
        <v>1434</v>
      </c>
      <c r="J812" s="25" t="s">
        <v>2196</v>
      </c>
      <c r="K812" s="25" t="s">
        <v>57</v>
      </c>
      <c r="L812" s="25" t="s">
        <v>2762</v>
      </c>
      <c r="M812" s="20" t="s">
        <v>1576</v>
      </c>
      <c r="N812" s="20" t="s">
        <v>1577</v>
      </c>
      <c r="O812" s="20" t="s">
        <v>63</v>
      </c>
      <c r="P812" s="20"/>
      <c r="Q812" s="26"/>
      <c r="R812" s="26"/>
      <c r="S812" s="26"/>
      <c r="T812" s="20"/>
      <c r="U812" s="26"/>
      <c r="V812" s="26"/>
      <c r="W812" s="20"/>
      <c r="X812" s="20"/>
      <c r="Y812" s="20"/>
      <c r="Z812" s="20"/>
      <c r="AA812" s="20"/>
      <c r="AB812" s="20"/>
      <c r="AC812" s="20"/>
      <c r="AD812" s="20"/>
      <c r="AE812" s="20"/>
    </row>
    <row r="813">
      <c r="A813" s="21">
        <v>23.0</v>
      </c>
      <c r="B813" s="20" t="s">
        <v>2195</v>
      </c>
      <c r="C813" s="20" t="s">
        <v>1564</v>
      </c>
      <c r="I813" s="25" t="s">
        <v>1143</v>
      </c>
      <c r="J813" s="25" t="s">
        <v>2201</v>
      </c>
      <c r="K813" s="25" t="s">
        <v>67</v>
      </c>
      <c r="L813" s="25" t="s">
        <v>1025</v>
      </c>
      <c r="M813" s="20" t="s">
        <v>2202</v>
      </c>
      <c r="N813" s="20" t="s">
        <v>2203</v>
      </c>
      <c r="O813" s="20" t="s">
        <v>56</v>
      </c>
      <c r="P813" s="20" t="s">
        <v>52</v>
      </c>
      <c r="Q813" s="26"/>
      <c r="R813" s="26"/>
      <c r="S813" s="26"/>
      <c r="T813" s="22"/>
      <c r="U813" s="26"/>
      <c r="V813" s="26"/>
      <c r="W813" s="20"/>
      <c r="X813" s="20"/>
      <c r="Y813" s="20"/>
      <c r="Z813" s="20"/>
      <c r="AA813" s="20"/>
      <c r="AB813" s="20"/>
      <c r="AC813" s="20"/>
      <c r="AD813" s="20"/>
      <c r="AE813" s="20"/>
    </row>
    <row r="814">
      <c r="A814" s="21">
        <v>23.0</v>
      </c>
      <c r="B814" s="20" t="s">
        <v>2195</v>
      </c>
      <c r="C814" s="20" t="s">
        <v>1564</v>
      </c>
      <c r="I814" s="25" t="s">
        <v>1902</v>
      </c>
      <c r="J814" s="25" t="s">
        <v>2196</v>
      </c>
      <c r="K814" s="25" t="s">
        <v>57</v>
      </c>
      <c r="L814" s="25" t="s">
        <v>2768</v>
      </c>
      <c r="M814" s="20" t="s">
        <v>2199</v>
      </c>
      <c r="N814" s="20" t="s">
        <v>2200</v>
      </c>
      <c r="O814" s="20" t="s">
        <v>63</v>
      </c>
      <c r="P814" s="20"/>
      <c r="Q814" s="26"/>
      <c r="R814" s="26"/>
      <c r="S814" s="26"/>
      <c r="T814" s="20"/>
      <c r="U814" s="26"/>
      <c r="V814" s="26"/>
      <c r="W814" s="20"/>
      <c r="X814" s="20"/>
      <c r="Y814" s="20"/>
      <c r="Z814" s="20"/>
      <c r="AA814" s="20"/>
      <c r="AB814" s="20"/>
      <c r="AC814" s="20"/>
      <c r="AD814" s="20"/>
      <c r="AE814" s="20"/>
    </row>
    <row r="815">
      <c r="A815" s="21">
        <v>23.0</v>
      </c>
      <c r="B815" s="20" t="s">
        <v>2195</v>
      </c>
      <c r="C815" s="20" t="s">
        <v>1564</v>
      </c>
      <c r="I815" s="25" t="s">
        <v>2204</v>
      </c>
      <c r="J815" s="25" t="s">
        <v>2201</v>
      </c>
      <c r="K815" s="25" t="s">
        <v>67</v>
      </c>
      <c r="L815" s="25" t="s">
        <v>2772</v>
      </c>
      <c r="M815" s="20" t="s">
        <v>2206</v>
      </c>
      <c r="N815" s="20" t="s">
        <v>2207</v>
      </c>
      <c r="O815" s="20" t="s">
        <v>56</v>
      </c>
      <c r="P815" s="20"/>
      <c r="Q815" s="26"/>
      <c r="R815" s="26"/>
      <c r="S815" s="26"/>
      <c r="T815" s="20"/>
      <c r="U815" s="26"/>
      <c r="V815" s="26"/>
      <c r="W815" s="20"/>
      <c r="X815" s="20"/>
      <c r="Y815" s="20"/>
      <c r="Z815" s="20"/>
      <c r="AA815" s="20"/>
      <c r="AB815" s="20"/>
      <c r="AC815" s="20"/>
      <c r="AD815" s="20"/>
      <c r="AE815" s="20"/>
    </row>
    <row r="816">
      <c r="A816" s="21">
        <v>23.0</v>
      </c>
      <c r="B816" s="20" t="s">
        <v>2195</v>
      </c>
      <c r="C816" s="20" t="s">
        <v>1564</v>
      </c>
      <c r="I816" s="25" t="s">
        <v>1168</v>
      </c>
      <c r="J816" s="25" t="s">
        <v>2196</v>
      </c>
      <c r="K816" s="25" t="s">
        <v>67</v>
      </c>
      <c r="L816" s="25" t="s">
        <v>2776</v>
      </c>
      <c r="M816" s="20" t="s">
        <v>1307</v>
      </c>
      <c r="N816" s="20" t="s">
        <v>2223</v>
      </c>
      <c r="O816" s="20" t="s">
        <v>63</v>
      </c>
      <c r="P816" s="20"/>
      <c r="Q816" s="26"/>
      <c r="R816" s="26"/>
      <c r="S816" s="26"/>
      <c r="T816" s="20"/>
      <c r="U816" s="26"/>
      <c r="V816" s="26"/>
      <c r="W816" s="20"/>
      <c r="X816" s="20"/>
      <c r="Y816" s="20"/>
      <c r="Z816" s="20"/>
      <c r="AA816" s="20"/>
      <c r="AB816" s="20"/>
      <c r="AC816" s="20"/>
      <c r="AD816" s="20"/>
      <c r="AE816" s="20"/>
    </row>
    <row r="817">
      <c r="A817" s="21">
        <v>23.0</v>
      </c>
      <c r="B817" s="20" t="s">
        <v>2195</v>
      </c>
      <c r="C817" s="20" t="s">
        <v>1564</v>
      </c>
      <c r="I817" s="25" t="s">
        <v>2236</v>
      </c>
      <c r="J817" s="25" t="s">
        <v>2201</v>
      </c>
      <c r="K817" s="25" t="s">
        <v>71</v>
      </c>
      <c r="L817" s="25" t="s">
        <v>2779</v>
      </c>
      <c r="M817" s="20" t="s">
        <v>2237</v>
      </c>
      <c r="N817" s="20" t="s">
        <v>2238</v>
      </c>
      <c r="O817" s="20" t="s">
        <v>63</v>
      </c>
      <c r="P817" s="20"/>
      <c r="Q817" s="26"/>
      <c r="R817" s="26"/>
      <c r="S817" s="26"/>
      <c r="T817" s="20"/>
      <c r="U817" s="26"/>
      <c r="V817" s="26"/>
      <c r="W817" s="20"/>
      <c r="X817" s="20"/>
      <c r="Y817" s="20"/>
      <c r="Z817" s="20"/>
      <c r="AA817" s="20"/>
      <c r="AB817" s="20"/>
      <c r="AC817" s="20"/>
      <c r="AD817" s="20"/>
      <c r="AE817" s="20"/>
    </row>
    <row r="818">
      <c r="A818" s="21">
        <v>23.0</v>
      </c>
      <c r="B818" s="20" t="s">
        <v>2195</v>
      </c>
      <c r="C818" s="20" t="s">
        <v>1564</v>
      </c>
      <c r="I818" s="25" t="s">
        <v>1597</v>
      </c>
      <c r="J818" s="25" t="s">
        <v>2201</v>
      </c>
      <c r="K818" s="25" t="s">
        <v>67</v>
      </c>
      <c r="L818" s="25" t="s">
        <v>1025</v>
      </c>
      <c r="M818" s="20" t="s">
        <v>2209</v>
      </c>
      <c r="N818" s="20" t="s">
        <v>2210</v>
      </c>
      <c r="O818" s="20" t="s">
        <v>56</v>
      </c>
      <c r="P818" s="20" t="s">
        <v>52</v>
      </c>
      <c r="Q818" s="26"/>
      <c r="R818" s="26"/>
      <c r="S818" s="26"/>
      <c r="T818" s="22"/>
      <c r="U818" s="26"/>
      <c r="V818" s="26"/>
      <c r="W818" s="20"/>
      <c r="X818" s="20"/>
      <c r="Y818" s="20"/>
      <c r="Z818" s="20"/>
      <c r="AA818" s="20"/>
      <c r="AB818" s="20"/>
      <c r="AC818" s="20"/>
      <c r="AD818" s="20"/>
      <c r="AE818" s="20"/>
    </row>
    <row r="819">
      <c r="A819" s="21">
        <v>23.0</v>
      </c>
      <c r="B819" s="20" t="s">
        <v>2195</v>
      </c>
      <c r="C819" s="20" t="s">
        <v>1564</v>
      </c>
      <c r="I819" s="25" t="s">
        <v>733</v>
      </c>
      <c r="J819" s="25" t="s">
        <v>2201</v>
      </c>
      <c r="K819" s="25" t="s">
        <v>71</v>
      </c>
      <c r="L819" s="25" t="s">
        <v>2790</v>
      </c>
      <c r="M819" s="20" t="s">
        <v>2224</v>
      </c>
      <c r="N819" s="20" t="s">
        <v>2225</v>
      </c>
      <c r="O819" s="20" t="s">
        <v>56</v>
      </c>
      <c r="P819" s="20"/>
      <c r="Q819" s="26"/>
      <c r="R819" s="26"/>
      <c r="S819" s="26"/>
      <c r="T819" s="20"/>
      <c r="U819" s="26"/>
      <c r="V819" s="26"/>
      <c r="W819" s="20"/>
      <c r="X819" s="20"/>
      <c r="Y819" s="20"/>
      <c r="Z819" s="20"/>
      <c r="AA819" s="20"/>
      <c r="AB819" s="20"/>
      <c r="AC819" s="20"/>
      <c r="AD819" s="20"/>
      <c r="AE819" s="20"/>
    </row>
    <row r="820">
      <c r="A820" s="21">
        <v>23.0</v>
      </c>
      <c r="B820" s="20" t="s">
        <v>2195</v>
      </c>
      <c r="C820" s="20" t="s">
        <v>1564</v>
      </c>
      <c r="I820" s="25" t="s">
        <v>2239</v>
      </c>
      <c r="J820" s="25" t="s">
        <v>2201</v>
      </c>
      <c r="K820" s="25" t="s">
        <v>71</v>
      </c>
      <c r="L820" s="25" t="s">
        <v>2779</v>
      </c>
      <c r="M820" s="20" t="s">
        <v>2240</v>
      </c>
      <c r="N820" s="20" t="s">
        <v>2241</v>
      </c>
      <c r="O820" s="20" t="s">
        <v>63</v>
      </c>
      <c r="P820" s="20"/>
      <c r="Q820" s="26"/>
      <c r="R820" s="26"/>
      <c r="S820" s="26"/>
      <c r="T820" s="20"/>
      <c r="U820" s="26"/>
      <c r="V820" s="26"/>
      <c r="W820" s="20"/>
      <c r="X820" s="20"/>
      <c r="Y820" s="20"/>
      <c r="Z820" s="20"/>
      <c r="AA820" s="20"/>
      <c r="AB820" s="20"/>
      <c r="AC820" s="20"/>
      <c r="AD820" s="20"/>
      <c r="AE820" s="20"/>
    </row>
    <row r="821">
      <c r="A821" s="21">
        <v>23.0</v>
      </c>
      <c r="B821" s="20" t="s">
        <v>2195</v>
      </c>
      <c r="C821" s="20" t="s">
        <v>1564</v>
      </c>
      <c r="I821" s="25" t="s">
        <v>1817</v>
      </c>
      <c r="J821" s="25" t="s">
        <v>2196</v>
      </c>
      <c r="K821" s="25" t="s">
        <v>71</v>
      </c>
      <c r="L821" s="25" t="s">
        <v>2779</v>
      </c>
      <c r="M821" s="20" t="s">
        <v>1818</v>
      </c>
      <c r="N821" s="20" t="s">
        <v>1819</v>
      </c>
      <c r="O821" s="20" t="s">
        <v>63</v>
      </c>
      <c r="P821" s="20"/>
      <c r="Q821" s="26"/>
      <c r="R821" s="26"/>
      <c r="S821" s="26"/>
      <c r="T821" s="20"/>
      <c r="U821" s="26"/>
      <c r="V821" s="26"/>
      <c r="W821" s="20"/>
      <c r="X821" s="20"/>
      <c r="Y821" s="20"/>
      <c r="Z821" s="20"/>
      <c r="AA821" s="20"/>
      <c r="AB821" s="20"/>
      <c r="AC821" s="20"/>
      <c r="AD821" s="20"/>
      <c r="AE821" s="20"/>
    </row>
    <row r="822">
      <c r="A822" s="21">
        <v>23.0</v>
      </c>
      <c r="B822" s="20" t="s">
        <v>2195</v>
      </c>
      <c r="C822" s="20" t="s">
        <v>1564</v>
      </c>
      <c r="I822" s="25" t="s">
        <v>1379</v>
      </c>
      <c r="J822" s="25" t="s">
        <v>2196</v>
      </c>
      <c r="K822" s="25" t="s">
        <v>67</v>
      </c>
      <c r="L822" s="25" t="s">
        <v>1025</v>
      </c>
      <c r="M822" s="20" t="s">
        <v>2219</v>
      </c>
      <c r="N822" s="20" t="s">
        <v>2221</v>
      </c>
      <c r="O822" s="20" t="s">
        <v>56</v>
      </c>
      <c r="P822" s="20" t="s">
        <v>52</v>
      </c>
      <c r="Q822" s="26"/>
      <c r="R822" s="26"/>
      <c r="S822" s="26"/>
      <c r="T822" s="22"/>
      <c r="U822" s="26"/>
      <c r="V822" s="26"/>
      <c r="W822" s="20"/>
      <c r="X822" s="20"/>
      <c r="Y822" s="20"/>
      <c r="Z822" s="20"/>
      <c r="AA822" s="20"/>
      <c r="AB822" s="20"/>
      <c r="AC822" s="20"/>
      <c r="AD822" s="20"/>
      <c r="AE822" s="20"/>
    </row>
    <row r="823">
      <c r="A823" s="21">
        <v>23.0</v>
      </c>
      <c r="B823" s="20" t="s">
        <v>2195</v>
      </c>
      <c r="C823" s="20" t="s">
        <v>1564</v>
      </c>
      <c r="I823" s="25" t="s">
        <v>1540</v>
      </c>
      <c r="J823" s="25" t="s">
        <v>2201</v>
      </c>
      <c r="K823" s="25" t="s">
        <v>71</v>
      </c>
      <c r="L823" s="25" t="s">
        <v>2808</v>
      </c>
      <c r="M823" s="20" t="s">
        <v>2226</v>
      </c>
      <c r="N823" s="20" t="s">
        <v>2227</v>
      </c>
      <c r="O823" s="20" t="s">
        <v>56</v>
      </c>
      <c r="P823" s="20"/>
      <c r="Q823" s="26"/>
      <c r="R823" s="26"/>
      <c r="S823" s="26"/>
      <c r="T823" s="20"/>
      <c r="U823" s="26"/>
      <c r="V823" s="26"/>
      <c r="W823" s="20"/>
      <c r="X823" s="20"/>
      <c r="Y823" s="20"/>
      <c r="Z823" s="20"/>
      <c r="AA823" s="20"/>
      <c r="AB823" s="20"/>
      <c r="AC823" s="20"/>
      <c r="AD823" s="20"/>
      <c r="AE823" s="20"/>
    </row>
    <row r="824">
      <c r="A824" s="21">
        <v>23.0</v>
      </c>
      <c r="B824" s="20" t="s">
        <v>2195</v>
      </c>
      <c r="C824" s="20" t="s">
        <v>1564</v>
      </c>
      <c r="I824" s="25" t="s">
        <v>1423</v>
      </c>
      <c r="J824" s="25" t="s">
        <v>2201</v>
      </c>
      <c r="K824" s="25" t="s">
        <v>71</v>
      </c>
      <c r="L824" s="25" t="s">
        <v>2808</v>
      </c>
      <c r="M824" s="20" t="s">
        <v>2228</v>
      </c>
      <c r="N824" s="20" t="s">
        <v>2229</v>
      </c>
      <c r="O824" s="20" t="s">
        <v>56</v>
      </c>
      <c r="P824" s="20"/>
      <c r="Q824" s="26"/>
      <c r="R824" s="26"/>
      <c r="S824" s="26"/>
      <c r="T824" s="20"/>
      <c r="U824" s="26"/>
      <c r="V824" s="26"/>
      <c r="W824" s="20"/>
      <c r="X824" s="20"/>
      <c r="Y824" s="20"/>
      <c r="Z824" s="20"/>
      <c r="AA824" s="20"/>
      <c r="AB824" s="20"/>
      <c r="AC824" s="20"/>
      <c r="AD824" s="20"/>
      <c r="AE824" s="20"/>
    </row>
    <row r="825">
      <c r="A825" s="21">
        <v>23.0</v>
      </c>
      <c r="B825" s="20" t="s">
        <v>2195</v>
      </c>
      <c r="C825" s="20" t="s">
        <v>1564</v>
      </c>
      <c r="I825" s="25" t="s">
        <v>1836</v>
      </c>
      <c r="J825" s="25" t="s">
        <v>2201</v>
      </c>
      <c r="K825" s="25" t="s">
        <v>71</v>
      </c>
      <c r="L825" s="25" t="s">
        <v>2815</v>
      </c>
      <c r="M825" s="20" t="s">
        <v>2242</v>
      </c>
      <c r="N825" s="20" t="s">
        <v>2243</v>
      </c>
      <c r="O825" s="20" t="s">
        <v>63</v>
      </c>
      <c r="P825" s="20"/>
      <c r="Q825" s="26"/>
      <c r="R825" s="26"/>
      <c r="S825" s="26"/>
      <c r="T825" s="20"/>
      <c r="U825" s="26"/>
      <c r="V825" s="26"/>
      <c r="W825" s="20"/>
      <c r="X825" s="20"/>
      <c r="Y825" s="20"/>
      <c r="Z825" s="20"/>
      <c r="AA825" s="20"/>
      <c r="AB825" s="20"/>
      <c r="AC825" s="20"/>
      <c r="AD825" s="20"/>
      <c r="AE825" s="20"/>
    </row>
    <row r="826">
      <c r="A826" s="21">
        <v>23.0</v>
      </c>
      <c r="B826" s="20" t="s">
        <v>2195</v>
      </c>
      <c r="C826" s="20" t="s">
        <v>1564</v>
      </c>
      <c r="I826" s="25" t="s">
        <v>1750</v>
      </c>
      <c r="J826" s="25" t="s">
        <v>2196</v>
      </c>
      <c r="K826" s="25" t="s">
        <v>71</v>
      </c>
      <c r="L826" s="25" t="s">
        <v>2779</v>
      </c>
      <c r="M826" s="20" t="s">
        <v>2260</v>
      </c>
      <c r="N826" s="20" t="s">
        <v>2261</v>
      </c>
      <c r="O826" s="20" t="s">
        <v>63</v>
      </c>
      <c r="P826" s="20"/>
      <c r="Q826" s="26"/>
      <c r="R826" s="26"/>
      <c r="S826" s="26"/>
      <c r="T826" s="20"/>
      <c r="U826" s="26"/>
      <c r="V826" s="26"/>
      <c r="W826" s="20"/>
      <c r="X826" s="20"/>
      <c r="Y826" s="20"/>
      <c r="Z826" s="20"/>
      <c r="AA826" s="20"/>
      <c r="AB826" s="20"/>
      <c r="AC826" s="20"/>
      <c r="AD826" s="20"/>
      <c r="AE826" s="20"/>
    </row>
    <row r="827">
      <c r="A827" s="21">
        <v>23.0</v>
      </c>
      <c r="B827" s="20" t="s">
        <v>2195</v>
      </c>
      <c r="C827" s="20" t="s">
        <v>1564</v>
      </c>
      <c r="I827" s="25" t="s">
        <v>2212</v>
      </c>
      <c r="J827" s="25" t="s">
        <v>2201</v>
      </c>
      <c r="K827" s="25" t="s">
        <v>67</v>
      </c>
      <c r="L827" s="25" t="s">
        <v>1025</v>
      </c>
      <c r="M827" s="20" t="s">
        <v>2213</v>
      </c>
      <c r="N827" s="20" t="s">
        <v>2214</v>
      </c>
      <c r="O827" s="20" t="s">
        <v>56</v>
      </c>
      <c r="P827" s="20" t="s">
        <v>52</v>
      </c>
      <c r="Q827" s="26"/>
      <c r="R827" s="26"/>
      <c r="S827" s="26"/>
      <c r="T827" s="22"/>
      <c r="U827" s="26"/>
      <c r="V827" s="26"/>
      <c r="W827" s="20"/>
      <c r="X827" s="20"/>
      <c r="Y827" s="20"/>
      <c r="Z827" s="20"/>
      <c r="AA827" s="20"/>
      <c r="AB827" s="20"/>
      <c r="AC827" s="20"/>
      <c r="AD827" s="20"/>
      <c r="AE827" s="20"/>
    </row>
    <row r="828">
      <c r="A828" s="21">
        <v>23.0</v>
      </c>
      <c r="B828" s="20" t="s">
        <v>2195</v>
      </c>
      <c r="C828" s="20" t="s">
        <v>1564</v>
      </c>
      <c r="I828" s="25" t="s">
        <v>1997</v>
      </c>
      <c r="J828" s="25" t="s">
        <v>2201</v>
      </c>
      <c r="K828" s="25" t="s">
        <v>71</v>
      </c>
      <c r="L828" s="25" t="s">
        <v>2827</v>
      </c>
      <c r="M828" s="20" t="s">
        <v>2244</v>
      </c>
      <c r="N828" s="20" t="s">
        <v>2245</v>
      </c>
      <c r="O828" s="20" t="s">
        <v>63</v>
      </c>
      <c r="P828" s="20"/>
      <c r="Q828" s="26"/>
      <c r="R828" s="26"/>
      <c r="S828" s="26"/>
      <c r="T828" s="20"/>
      <c r="U828" s="26"/>
      <c r="V828" s="26"/>
      <c r="W828" s="20"/>
      <c r="X828" s="20"/>
      <c r="Y828" s="20"/>
      <c r="Z828" s="20"/>
      <c r="AA828" s="20"/>
      <c r="AB828" s="20"/>
      <c r="AC828" s="20"/>
      <c r="AD828" s="20"/>
      <c r="AE828" s="20"/>
    </row>
    <row r="829">
      <c r="A829" s="21">
        <v>23.0</v>
      </c>
      <c r="B829" s="20" t="s">
        <v>2195</v>
      </c>
      <c r="C829" s="20" t="s">
        <v>1564</v>
      </c>
      <c r="I829" s="25" t="s">
        <v>2262</v>
      </c>
      <c r="J829" s="25" t="s">
        <v>2196</v>
      </c>
      <c r="K829" s="25" t="s">
        <v>71</v>
      </c>
      <c r="L829" s="25" t="s">
        <v>2779</v>
      </c>
      <c r="M829" s="20" t="s">
        <v>2263</v>
      </c>
      <c r="N829" s="20" t="s">
        <v>2264</v>
      </c>
      <c r="O829" s="20" t="s">
        <v>63</v>
      </c>
      <c r="P829" s="20"/>
      <c r="Q829" s="26"/>
      <c r="R829" s="26"/>
      <c r="S829" s="26"/>
      <c r="T829" s="20"/>
      <c r="U829" s="26"/>
      <c r="V829" s="26"/>
      <c r="W829" s="20"/>
      <c r="X829" s="20"/>
      <c r="Y829" s="20"/>
      <c r="Z829" s="20"/>
      <c r="AA829" s="20"/>
      <c r="AB829" s="20"/>
      <c r="AC829" s="20"/>
      <c r="AD829" s="20"/>
      <c r="AE829" s="20"/>
    </row>
    <row r="830">
      <c r="A830" s="21">
        <v>23.0</v>
      </c>
      <c r="B830" s="20" t="s">
        <v>2195</v>
      </c>
      <c r="C830" s="20" t="s">
        <v>1564</v>
      </c>
      <c r="I830" s="25" t="s">
        <v>1253</v>
      </c>
      <c r="J830" s="25" t="s">
        <v>2196</v>
      </c>
      <c r="K830" s="25" t="s">
        <v>71</v>
      </c>
      <c r="L830" s="25" t="s">
        <v>2779</v>
      </c>
      <c r="M830" s="20" t="s">
        <v>2265</v>
      </c>
      <c r="N830" s="20" t="s">
        <v>2266</v>
      </c>
      <c r="O830" s="20" t="s">
        <v>63</v>
      </c>
      <c r="P830" s="20"/>
      <c r="Q830" s="26"/>
      <c r="R830" s="26"/>
      <c r="S830" s="26"/>
      <c r="T830" s="20"/>
      <c r="U830" s="26"/>
      <c r="V830" s="26"/>
      <c r="W830" s="20"/>
      <c r="X830" s="20"/>
      <c r="Y830" s="20"/>
      <c r="Z830" s="20"/>
      <c r="AA830" s="20"/>
      <c r="AB830" s="20"/>
      <c r="AC830" s="20"/>
      <c r="AD830" s="20"/>
      <c r="AE830" s="20"/>
    </row>
    <row r="831">
      <c r="A831" s="21">
        <v>23.0</v>
      </c>
      <c r="B831" s="20" t="s">
        <v>2195</v>
      </c>
      <c r="C831" s="20" t="s">
        <v>1564</v>
      </c>
      <c r="I831" s="25" t="s">
        <v>2246</v>
      </c>
      <c r="J831" s="25" t="s">
        <v>2201</v>
      </c>
      <c r="K831" s="25" t="s">
        <v>71</v>
      </c>
      <c r="L831" s="25" t="s">
        <v>2808</v>
      </c>
      <c r="M831" s="20" t="s">
        <v>2247</v>
      </c>
      <c r="N831" s="20" t="s">
        <v>2248</v>
      </c>
      <c r="O831" s="20" t="s">
        <v>63</v>
      </c>
      <c r="P831" s="20"/>
      <c r="Q831" s="26"/>
      <c r="R831" s="26"/>
      <c r="S831" s="26"/>
      <c r="T831" s="20"/>
      <c r="U831" s="26"/>
      <c r="V831" s="26"/>
      <c r="W831" s="20"/>
      <c r="X831" s="20"/>
      <c r="Y831" s="20"/>
      <c r="Z831" s="20"/>
      <c r="AA831" s="20"/>
      <c r="AB831" s="20"/>
      <c r="AC831" s="20"/>
      <c r="AD831" s="20"/>
      <c r="AE831" s="20"/>
    </row>
    <row r="832">
      <c r="A832" s="21">
        <v>23.0</v>
      </c>
      <c r="B832" s="20" t="s">
        <v>2195</v>
      </c>
      <c r="C832" s="20" t="s">
        <v>1564</v>
      </c>
      <c r="I832" s="25" t="s">
        <v>1139</v>
      </c>
      <c r="J832" s="25" t="s">
        <v>2201</v>
      </c>
      <c r="K832" s="25" t="s">
        <v>71</v>
      </c>
      <c r="L832" s="25" t="s">
        <v>2779</v>
      </c>
      <c r="M832" s="20" t="s">
        <v>2249</v>
      </c>
      <c r="N832" s="20" t="s">
        <v>2250</v>
      </c>
      <c r="O832" s="20" t="s">
        <v>63</v>
      </c>
      <c r="P832" s="20"/>
      <c r="Q832" s="26"/>
      <c r="R832" s="26"/>
      <c r="S832" s="26"/>
      <c r="T832" s="20"/>
      <c r="U832" s="26"/>
      <c r="V832" s="26"/>
      <c r="W832" s="20"/>
      <c r="X832" s="20"/>
      <c r="Y832" s="20"/>
      <c r="Z832" s="20"/>
      <c r="AA832" s="20"/>
      <c r="AB832" s="20"/>
      <c r="AC832" s="20"/>
      <c r="AD832" s="20"/>
      <c r="AE832" s="20"/>
    </row>
    <row r="833">
      <c r="A833" s="21">
        <v>23.0</v>
      </c>
      <c r="B833" s="20" t="s">
        <v>2195</v>
      </c>
      <c r="C833" s="20" t="s">
        <v>1564</v>
      </c>
      <c r="I833" s="25" t="s">
        <v>2215</v>
      </c>
      <c r="J833" s="25" t="s">
        <v>2201</v>
      </c>
      <c r="K833" s="25" t="s">
        <v>67</v>
      </c>
      <c r="L833" s="25" t="s">
        <v>1025</v>
      </c>
      <c r="M833" s="20" t="s">
        <v>2216</v>
      </c>
      <c r="N833" s="20" t="s">
        <v>2217</v>
      </c>
      <c r="O833" s="20" t="s">
        <v>56</v>
      </c>
      <c r="P833" s="20" t="s">
        <v>52</v>
      </c>
      <c r="Q833" s="26"/>
      <c r="R833" s="26"/>
      <c r="S833" s="26"/>
      <c r="T833" s="22"/>
      <c r="U833" s="26"/>
      <c r="V833" s="26"/>
      <c r="W833" s="20"/>
      <c r="X833" s="20"/>
      <c r="Y833" s="20"/>
      <c r="Z833" s="20"/>
      <c r="AA833" s="20"/>
      <c r="AB833" s="20"/>
      <c r="AC833" s="20"/>
      <c r="AD833" s="20"/>
      <c r="AE833" s="20"/>
    </row>
    <row r="834">
      <c r="A834" s="21">
        <v>23.0</v>
      </c>
      <c r="B834" s="20" t="s">
        <v>2195</v>
      </c>
      <c r="C834" s="20" t="s">
        <v>1564</v>
      </c>
      <c r="I834" s="25" t="s">
        <v>1783</v>
      </c>
      <c r="J834" s="25" t="s">
        <v>2196</v>
      </c>
      <c r="K834" s="25" t="s">
        <v>71</v>
      </c>
      <c r="L834" s="25" t="s">
        <v>2845</v>
      </c>
      <c r="M834" s="20" t="s">
        <v>2267</v>
      </c>
      <c r="N834" s="20" t="s">
        <v>1577</v>
      </c>
      <c r="O834" s="20" t="s">
        <v>63</v>
      </c>
      <c r="P834" s="20"/>
      <c r="Q834" s="26"/>
      <c r="R834" s="26"/>
      <c r="S834" s="26"/>
      <c r="T834" s="20"/>
      <c r="U834" s="26"/>
      <c r="V834" s="26"/>
      <c r="W834" s="20"/>
      <c r="X834" s="20"/>
      <c r="Y834" s="20"/>
      <c r="Z834" s="20"/>
      <c r="AA834" s="20"/>
      <c r="AB834" s="20"/>
      <c r="AC834" s="20"/>
      <c r="AD834" s="20"/>
      <c r="AE834" s="20"/>
    </row>
    <row r="835">
      <c r="A835" s="21">
        <v>23.0</v>
      </c>
      <c r="B835" s="20" t="s">
        <v>2195</v>
      </c>
      <c r="C835" s="20" t="s">
        <v>1564</v>
      </c>
      <c r="I835" s="25" t="s">
        <v>2091</v>
      </c>
      <c r="J835" s="25" t="s">
        <v>2201</v>
      </c>
      <c r="K835" s="25" t="s">
        <v>71</v>
      </c>
      <c r="L835" s="25" t="s">
        <v>2848</v>
      </c>
      <c r="M835" s="20" t="s">
        <v>2252</v>
      </c>
      <c r="N835" s="20" t="s">
        <v>2253</v>
      </c>
      <c r="O835" s="20" t="s">
        <v>63</v>
      </c>
      <c r="P835" s="20"/>
      <c r="Q835" s="26"/>
      <c r="R835" s="26"/>
      <c r="S835" s="26"/>
      <c r="T835" s="20"/>
      <c r="U835" s="26"/>
      <c r="V835" s="26"/>
      <c r="W835" s="20"/>
      <c r="X835" s="20"/>
      <c r="Y835" s="20"/>
      <c r="Z835" s="20"/>
      <c r="AA835" s="20"/>
      <c r="AB835" s="20"/>
      <c r="AC835" s="20"/>
      <c r="AD835" s="20"/>
      <c r="AE835" s="20"/>
    </row>
    <row r="836">
      <c r="A836" s="21">
        <v>23.0</v>
      </c>
      <c r="B836" s="20" t="s">
        <v>2195</v>
      </c>
      <c r="C836" s="20" t="s">
        <v>1564</v>
      </c>
      <c r="I836" s="25" t="s">
        <v>2254</v>
      </c>
      <c r="J836" s="25" t="s">
        <v>2201</v>
      </c>
      <c r="K836" s="25" t="s">
        <v>71</v>
      </c>
      <c r="L836" s="25" t="s">
        <v>2779</v>
      </c>
      <c r="M836" s="20" t="s">
        <v>2255</v>
      </c>
      <c r="N836" s="20" t="s">
        <v>2250</v>
      </c>
      <c r="O836" s="20" t="s">
        <v>63</v>
      </c>
      <c r="P836" s="20"/>
      <c r="Q836" s="26"/>
      <c r="R836" s="26"/>
      <c r="S836" s="26"/>
      <c r="T836" s="20"/>
      <c r="U836" s="26"/>
      <c r="V836" s="26"/>
      <c r="W836" s="20"/>
      <c r="X836" s="20"/>
      <c r="Y836" s="20"/>
      <c r="Z836" s="20"/>
      <c r="AA836" s="20"/>
      <c r="AB836" s="20"/>
      <c r="AC836" s="20"/>
      <c r="AD836" s="20"/>
      <c r="AE836" s="20"/>
    </row>
    <row r="837">
      <c r="A837" s="21">
        <v>23.0</v>
      </c>
      <c r="B837" s="20" t="s">
        <v>2195</v>
      </c>
      <c r="C837" s="20" t="s">
        <v>1564</v>
      </c>
      <c r="I837" s="25" t="s">
        <v>1272</v>
      </c>
      <c r="J837" s="25" t="s">
        <v>2201</v>
      </c>
      <c r="K837" s="25" t="s">
        <v>71</v>
      </c>
      <c r="L837" s="25" t="s">
        <v>2779</v>
      </c>
      <c r="M837" s="20" t="s">
        <v>2230</v>
      </c>
      <c r="N837" s="20" t="s">
        <v>2207</v>
      </c>
      <c r="O837" s="20" t="s">
        <v>56</v>
      </c>
      <c r="P837" s="20"/>
      <c r="Q837" s="26"/>
      <c r="R837" s="26"/>
      <c r="S837" s="26"/>
      <c r="T837" s="20"/>
      <c r="U837" s="26"/>
      <c r="V837" s="26"/>
      <c r="W837" s="20"/>
      <c r="X837" s="20"/>
      <c r="Y837" s="20"/>
      <c r="Z837" s="20"/>
      <c r="AA837" s="20"/>
      <c r="AB837" s="20"/>
      <c r="AC837" s="20"/>
      <c r="AD837" s="20"/>
      <c r="AE837" s="20"/>
    </row>
    <row r="838">
      <c r="A838" s="21">
        <v>23.0</v>
      </c>
      <c r="B838" s="20" t="s">
        <v>2195</v>
      </c>
      <c r="C838" s="20" t="s">
        <v>1564</v>
      </c>
      <c r="I838" s="25" t="s">
        <v>1669</v>
      </c>
      <c r="J838" s="25" t="s">
        <v>2201</v>
      </c>
      <c r="K838" s="25" t="s">
        <v>71</v>
      </c>
      <c r="L838" s="25" t="s">
        <v>2815</v>
      </c>
      <c r="M838" s="20" t="s">
        <v>2231</v>
      </c>
      <c r="N838" s="20" t="s">
        <v>2232</v>
      </c>
      <c r="O838" s="20" t="s">
        <v>56</v>
      </c>
      <c r="P838" s="20"/>
      <c r="Q838" s="26"/>
      <c r="R838" s="26"/>
      <c r="S838" s="26"/>
      <c r="T838" s="20"/>
      <c r="U838" s="26"/>
      <c r="V838" s="26"/>
      <c r="W838" s="20"/>
      <c r="X838" s="20"/>
      <c r="Y838" s="20"/>
      <c r="Z838" s="20"/>
      <c r="AA838" s="20"/>
      <c r="AB838" s="20"/>
      <c r="AC838" s="20"/>
      <c r="AD838" s="20"/>
      <c r="AE838" s="20"/>
    </row>
    <row r="839">
      <c r="A839" s="21">
        <v>23.0</v>
      </c>
      <c r="B839" s="20" t="s">
        <v>2195</v>
      </c>
      <c r="C839" s="20" t="s">
        <v>1564</v>
      </c>
      <c r="I839" s="25" t="s">
        <v>1975</v>
      </c>
      <c r="J839" s="25" t="s">
        <v>2201</v>
      </c>
      <c r="K839" s="25" t="s">
        <v>71</v>
      </c>
      <c r="L839" s="25" t="s">
        <v>2779</v>
      </c>
      <c r="M839" s="20" t="s">
        <v>2233</v>
      </c>
      <c r="N839" s="20" t="s">
        <v>2234</v>
      </c>
      <c r="O839" s="20" t="s">
        <v>56</v>
      </c>
      <c r="P839" s="20"/>
      <c r="Q839" s="26"/>
      <c r="R839" s="26"/>
      <c r="S839" s="26"/>
      <c r="T839" s="20"/>
      <c r="U839" s="26"/>
      <c r="V839" s="26"/>
      <c r="W839" s="20"/>
      <c r="X839" s="20"/>
      <c r="Y839" s="20"/>
      <c r="Z839" s="20"/>
      <c r="AA839" s="20"/>
      <c r="AB839" s="20"/>
      <c r="AC839" s="20"/>
      <c r="AD839" s="20"/>
      <c r="AE839" s="20"/>
    </row>
    <row r="840">
      <c r="A840" s="21">
        <v>23.0</v>
      </c>
      <c r="B840" s="20" t="s">
        <v>2195</v>
      </c>
      <c r="C840" s="20" t="s">
        <v>1564</v>
      </c>
      <c r="I840" s="25" t="s">
        <v>1232</v>
      </c>
      <c r="J840" s="25" t="s">
        <v>2201</v>
      </c>
      <c r="K840" s="25" t="s">
        <v>71</v>
      </c>
      <c r="L840" s="25" t="s">
        <v>2779</v>
      </c>
      <c r="M840" s="20" t="s">
        <v>2256</v>
      </c>
      <c r="N840" s="20" t="s">
        <v>2257</v>
      </c>
      <c r="O840" s="20" t="s">
        <v>63</v>
      </c>
      <c r="P840" s="20"/>
      <c r="Q840" s="26"/>
      <c r="R840" s="26"/>
      <c r="S840" s="26"/>
      <c r="T840" s="20"/>
      <c r="U840" s="26"/>
      <c r="V840" s="26"/>
      <c r="W840" s="20"/>
      <c r="X840" s="20"/>
      <c r="Y840" s="20"/>
      <c r="Z840" s="20"/>
      <c r="AA840" s="20"/>
      <c r="AB840" s="20"/>
      <c r="AC840" s="20"/>
      <c r="AD840" s="20"/>
      <c r="AE840" s="20"/>
    </row>
    <row r="841">
      <c r="A841" s="21">
        <v>23.0</v>
      </c>
      <c r="B841" s="20" t="s">
        <v>2195</v>
      </c>
      <c r="C841" s="20" t="s">
        <v>1564</v>
      </c>
      <c r="I841" s="25" t="s">
        <v>2258</v>
      </c>
      <c r="J841" s="25" t="s">
        <v>2201</v>
      </c>
      <c r="K841" s="25" t="s">
        <v>71</v>
      </c>
      <c r="L841" s="25" t="s">
        <v>2848</v>
      </c>
      <c r="M841" s="20" t="s">
        <v>61</v>
      </c>
      <c r="N841" s="20" t="s">
        <v>2259</v>
      </c>
      <c r="O841" s="20" t="s">
        <v>63</v>
      </c>
      <c r="P841" s="20"/>
      <c r="Q841" s="26"/>
      <c r="R841" s="26"/>
      <c r="S841" s="26"/>
      <c r="T841" s="20"/>
      <c r="U841" s="26"/>
      <c r="V841" s="26"/>
      <c r="W841" s="20"/>
      <c r="X841" s="20"/>
      <c r="Y841" s="20"/>
      <c r="Z841" s="20"/>
      <c r="AA841" s="20"/>
      <c r="AB841" s="20"/>
      <c r="AC841" s="20"/>
      <c r="AD841" s="20"/>
      <c r="AE841" s="20"/>
    </row>
    <row r="842">
      <c r="A842" s="21">
        <v>24.0</v>
      </c>
      <c r="B842" s="20" t="s">
        <v>350</v>
      </c>
      <c r="C842" s="20" t="s">
        <v>1564</v>
      </c>
      <c r="D842" s="35">
        <v>30.0</v>
      </c>
      <c r="E842" s="35">
        <v>1.0</v>
      </c>
      <c r="F842" s="35">
        <v>8.0</v>
      </c>
      <c r="G842" s="35">
        <v>21.0</v>
      </c>
      <c r="H842" s="36" t="s">
        <v>2863</v>
      </c>
      <c r="I842" s="25" t="s">
        <v>605</v>
      </c>
      <c r="J842" s="25" t="s">
        <v>1441</v>
      </c>
      <c r="K842" s="25" t="s">
        <v>57</v>
      </c>
      <c r="L842" s="25" t="s">
        <v>2864</v>
      </c>
      <c r="M842" s="20" t="s">
        <v>1445</v>
      </c>
      <c r="N842" s="20" t="s">
        <v>1446</v>
      </c>
      <c r="O842" s="20" t="s">
        <v>56</v>
      </c>
      <c r="P842" s="25" t="s">
        <v>749</v>
      </c>
      <c r="Q842" s="26"/>
      <c r="R842" s="26"/>
      <c r="S842" s="26"/>
      <c r="T842" s="20"/>
      <c r="U842" s="26"/>
      <c r="V842" s="26"/>
      <c r="W842" s="20"/>
      <c r="X842" s="20"/>
      <c r="Y842" s="20"/>
      <c r="Z842" s="20"/>
      <c r="AA842" s="20"/>
      <c r="AB842" s="20"/>
      <c r="AC842" s="20"/>
      <c r="AD842" s="20"/>
      <c r="AE842" s="20"/>
    </row>
    <row r="843">
      <c r="A843" s="21">
        <v>24.0</v>
      </c>
      <c r="B843" s="20" t="s">
        <v>350</v>
      </c>
      <c r="C843" s="20" t="s">
        <v>1564</v>
      </c>
      <c r="I843" s="25" t="s">
        <v>475</v>
      </c>
      <c r="J843" s="25" t="s">
        <v>2268</v>
      </c>
      <c r="K843" s="25" t="s">
        <v>67</v>
      </c>
      <c r="L843" s="25" t="s">
        <v>2865</v>
      </c>
      <c r="M843" s="20" t="s">
        <v>2155</v>
      </c>
      <c r="N843" s="20" t="s">
        <v>2156</v>
      </c>
      <c r="O843" s="20" t="s">
        <v>56</v>
      </c>
      <c r="P843" s="20"/>
      <c r="Q843" s="26"/>
      <c r="R843" s="26"/>
      <c r="S843" s="26"/>
      <c r="T843" s="20"/>
      <c r="U843" s="26"/>
      <c r="V843" s="26"/>
      <c r="W843" s="20"/>
      <c r="X843" s="20"/>
      <c r="Y843" s="20"/>
      <c r="Z843" s="20"/>
      <c r="AA843" s="20"/>
      <c r="AB843" s="20"/>
      <c r="AC843" s="20"/>
      <c r="AD843" s="20"/>
      <c r="AE843" s="20"/>
    </row>
    <row r="844">
      <c r="A844" s="21">
        <v>24.0</v>
      </c>
      <c r="B844" s="20" t="s">
        <v>350</v>
      </c>
      <c r="C844" s="20" t="s">
        <v>1564</v>
      </c>
      <c r="I844" s="25" t="s">
        <v>658</v>
      </c>
      <c r="J844" s="25" t="s">
        <v>2268</v>
      </c>
      <c r="K844" s="25" t="s">
        <v>67</v>
      </c>
      <c r="L844" s="25" t="s">
        <v>1025</v>
      </c>
      <c r="M844" s="20" t="s">
        <v>2269</v>
      </c>
      <c r="N844" s="20" t="s">
        <v>2270</v>
      </c>
      <c r="O844" s="20" t="s">
        <v>56</v>
      </c>
      <c r="P844" s="20" t="s">
        <v>52</v>
      </c>
      <c r="Q844" s="26"/>
      <c r="R844" s="26"/>
      <c r="S844" s="26"/>
      <c r="T844" s="22"/>
      <c r="U844" s="26"/>
      <c r="V844" s="26"/>
      <c r="W844" s="20"/>
      <c r="X844" s="20"/>
      <c r="Y844" s="20"/>
      <c r="Z844" s="20"/>
      <c r="AA844" s="20"/>
      <c r="AB844" s="20"/>
      <c r="AC844" s="20"/>
      <c r="AD844" s="20"/>
      <c r="AE844" s="20"/>
    </row>
    <row r="845">
      <c r="A845" s="21">
        <v>24.0</v>
      </c>
      <c r="B845" s="20" t="s">
        <v>350</v>
      </c>
      <c r="C845" s="20" t="s">
        <v>1564</v>
      </c>
      <c r="I845" s="25" t="s">
        <v>1463</v>
      </c>
      <c r="J845" s="25" t="s">
        <v>1441</v>
      </c>
      <c r="K845" s="25" t="s">
        <v>67</v>
      </c>
      <c r="L845" s="25" t="s">
        <v>2868</v>
      </c>
      <c r="M845" s="20" t="s">
        <v>61</v>
      </c>
      <c r="N845" s="20" t="s">
        <v>1464</v>
      </c>
      <c r="O845" s="20" t="s">
        <v>63</v>
      </c>
      <c r="P845" s="20"/>
      <c r="Q845" s="26"/>
      <c r="R845" s="26"/>
      <c r="S845" s="26"/>
      <c r="T845" s="20"/>
      <c r="U845" s="26"/>
      <c r="V845" s="26"/>
      <c r="W845" s="20"/>
      <c r="X845" s="20"/>
      <c r="Y845" s="20"/>
      <c r="Z845" s="20"/>
      <c r="AA845" s="20"/>
      <c r="AB845" s="20"/>
      <c r="AC845" s="20"/>
      <c r="AD845" s="20"/>
      <c r="AE845" s="20"/>
    </row>
    <row r="846">
      <c r="A846" s="21">
        <v>24.0</v>
      </c>
      <c r="B846" s="20" t="s">
        <v>350</v>
      </c>
      <c r="C846" s="20" t="s">
        <v>1564</v>
      </c>
      <c r="I846" s="25" t="s">
        <v>738</v>
      </c>
      <c r="J846" s="25" t="s">
        <v>2268</v>
      </c>
      <c r="K846" s="25" t="s">
        <v>71</v>
      </c>
      <c r="L846" s="25" t="s">
        <v>1865</v>
      </c>
      <c r="M846" s="20" t="s">
        <v>2279</v>
      </c>
      <c r="N846" s="20" t="s">
        <v>2270</v>
      </c>
      <c r="O846" s="20" t="s">
        <v>56</v>
      </c>
      <c r="P846" s="20"/>
      <c r="Q846" s="26"/>
      <c r="R846" s="26"/>
      <c r="S846" s="26"/>
      <c r="T846" s="20"/>
      <c r="U846" s="26"/>
      <c r="V846" s="26"/>
      <c r="W846" s="20"/>
      <c r="X846" s="20"/>
      <c r="Y846" s="20"/>
      <c r="Z846" s="20"/>
      <c r="AA846" s="20"/>
      <c r="AB846" s="20"/>
      <c r="AC846" s="20"/>
      <c r="AD846" s="20"/>
      <c r="AE846" s="20"/>
    </row>
    <row r="847">
      <c r="A847" s="21">
        <v>24.0</v>
      </c>
      <c r="B847" s="20" t="s">
        <v>350</v>
      </c>
      <c r="C847" s="20" t="s">
        <v>1564</v>
      </c>
      <c r="I847" s="25" t="s">
        <v>746</v>
      </c>
      <c r="J847" s="25" t="s">
        <v>2268</v>
      </c>
      <c r="K847" s="25" t="s">
        <v>71</v>
      </c>
      <c r="L847" s="25" t="s">
        <v>1874</v>
      </c>
      <c r="M847" s="20" t="s">
        <v>61</v>
      </c>
      <c r="N847" s="20" t="s">
        <v>2281</v>
      </c>
      <c r="O847" s="20" t="s">
        <v>56</v>
      </c>
      <c r="P847" s="25" t="s">
        <v>253</v>
      </c>
      <c r="Q847" s="26"/>
      <c r="R847" s="26"/>
      <c r="S847" s="26"/>
      <c r="T847" s="20"/>
      <c r="U847" s="26"/>
      <c r="V847" s="26"/>
      <c r="W847" s="20"/>
      <c r="X847" s="20"/>
      <c r="Y847" s="20"/>
      <c r="Z847" s="20"/>
      <c r="AA847" s="20"/>
      <c r="AB847" s="20"/>
      <c r="AC847" s="20"/>
      <c r="AD847" s="20"/>
      <c r="AE847" s="20"/>
    </row>
    <row r="848">
      <c r="A848" s="21">
        <v>24.0</v>
      </c>
      <c r="B848" s="20" t="s">
        <v>350</v>
      </c>
      <c r="C848" s="20" t="s">
        <v>1564</v>
      </c>
      <c r="I848" s="25" t="s">
        <v>557</v>
      </c>
      <c r="J848" s="25" t="s">
        <v>1441</v>
      </c>
      <c r="K848" s="25" t="s">
        <v>71</v>
      </c>
      <c r="L848" s="25" t="s">
        <v>1874</v>
      </c>
      <c r="M848" s="20" t="s">
        <v>61</v>
      </c>
      <c r="N848" s="20" t="s">
        <v>1443</v>
      </c>
      <c r="O848" s="20" t="s">
        <v>56</v>
      </c>
      <c r="P848" s="25" t="s">
        <v>253</v>
      </c>
      <c r="Q848" s="26"/>
      <c r="R848" s="26"/>
      <c r="S848" s="26"/>
      <c r="T848" s="20"/>
      <c r="U848" s="26"/>
      <c r="V848" s="26"/>
      <c r="W848" s="20"/>
      <c r="X848" s="20"/>
      <c r="Y848" s="20"/>
      <c r="Z848" s="20"/>
      <c r="AA848" s="20"/>
      <c r="AB848" s="20"/>
      <c r="AC848" s="20"/>
      <c r="AD848" s="20"/>
      <c r="AE848" s="20"/>
    </row>
    <row r="849">
      <c r="A849" s="21">
        <v>24.0</v>
      </c>
      <c r="B849" s="20" t="s">
        <v>350</v>
      </c>
      <c r="C849" s="20" t="s">
        <v>1564</v>
      </c>
      <c r="I849" s="25" t="s">
        <v>705</v>
      </c>
      <c r="J849" s="25" t="s">
        <v>2268</v>
      </c>
      <c r="K849" s="25" t="s">
        <v>71</v>
      </c>
      <c r="L849" s="25" t="s">
        <v>1865</v>
      </c>
      <c r="M849" s="20" t="s">
        <v>61</v>
      </c>
      <c r="N849" s="20" t="s">
        <v>2282</v>
      </c>
      <c r="O849" s="20" t="s">
        <v>56</v>
      </c>
      <c r="P849" s="20"/>
      <c r="Q849" s="26"/>
      <c r="R849" s="26"/>
      <c r="S849" s="26"/>
      <c r="T849" s="20"/>
      <c r="U849" s="26"/>
      <c r="V849" s="26"/>
      <c r="W849" s="20"/>
      <c r="X849" s="20"/>
      <c r="Y849" s="20"/>
      <c r="Z849" s="20"/>
      <c r="AA849" s="20"/>
      <c r="AB849" s="20"/>
      <c r="AC849" s="20"/>
      <c r="AD849" s="20"/>
      <c r="AE849" s="20"/>
    </row>
    <row r="850">
      <c r="A850" s="21">
        <v>24.0</v>
      </c>
      <c r="B850" s="20" t="s">
        <v>350</v>
      </c>
      <c r="C850" s="20" t="s">
        <v>1564</v>
      </c>
      <c r="I850" s="25" t="s">
        <v>1480</v>
      </c>
      <c r="J850" s="25" t="s">
        <v>2268</v>
      </c>
      <c r="K850" s="25" t="s">
        <v>71</v>
      </c>
      <c r="L850" s="25" t="s">
        <v>1870</v>
      </c>
      <c r="M850" s="20" t="s">
        <v>2283</v>
      </c>
      <c r="N850" s="20" t="s">
        <v>2284</v>
      </c>
      <c r="O850" s="20" t="s">
        <v>56</v>
      </c>
      <c r="P850" s="20"/>
      <c r="Q850" s="26"/>
      <c r="R850" s="26"/>
      <c r="S850" s="26"/>
      <c r="T850" s="20"/>
      <c r="U850" s="26"/>
      <c r="V850" s="26"/>
      <c r="W850" s="20"/>
      <c r="X850" s="20"/>
      <c r="Y850" s="20"/>
      <c r="Z850" s="20"/>
      <c r="AA850" s="20"/>
      <c r="AB850" s="20"/>
      <c r="AC850" s="20"/>
      <c r="AD850" s="20"/>
      <c r="AE850" s="20"/>
    </row>
    <row r="851">
      <c r="A851" s="21">
        <v>24.0</v>
      </c>
      <c r="B851" s="20" t="s">
        <v>350</v>
      </c>
      <c r="C851" s="20" t="s">
        <v>1564</v>
      </c>
      <c r="I851" s="25" t="s">
        <v>570</v>
      </c>
      <c r="J851" s="25" t="s">
        <v>1441</v>
      </c>
      <c r="K851" s="25" t="s">
        <v>67</v>
      </c>
      <c r="L851" s="25" t="s">
        <v>1133</v>
      </c>
      <c r="M851" s="20" t="s">
        <v>817</v>
      </c>
      <c r="N851" s="20" t="s">
        <v>818</v>
      </c>
      <c r="O851" s="20" t="s">
        <v>56</v>
      </c>
      <c r="P851" s="20" t="s">
        <v>52</v>
      </c>
      <c r="Q851" s="26"/>
      <c r="R851" s="26"/>
      <c r="S851" s="26"/>
      <c r="T851" s="22"/>
      <c r="U851" s="26"/>
      <c r="V851" s="26"/>
      <c r="W851" s="20"/>
      <c r="X851" s="20"/>
      <c r="Y851" s="20"/>
      <c r="Z851" s="20"/>
      <c r="AA851" s="20"/>
      <c r="AB851" s="20"/>
      <c r="AC851" s="20"/>
      <c r="AD851" s="20"/>
      <c r="AE851" s="20"/>
    </row>
    <row r="852">
      <c r="A852" s="21">
        <v>24.0</v>
      </c>
      <c r="B852" s="20" t="s">
        <v>350</v>
      </c>
      <c r="C852" s="20" t="s">
        <v>1564</v>
      </c>
      <c r="I852" s="25" t="s">
        <v>1484</v>
      </c>
      <c r="J852" s="25" t="s">
        <v>2286</v>
      </c>
      <c r="K852" s="25" t="s">
        <v>71</v>
      </c>
      <c r="L852" s="25" t="s">
        <v>1870</v>
      </c>
      <c r="M852" s="20" t="s">
        <v>1485</v>
      </c>
      <c r="N852" s="20" t="s">
        <v>1486</v>
      </c>
      <c r="O852" s="20" t="s">
        <v>63</v>
      </c>
      <c r="P852" s="20"/>
      <c r="Q852" s="26"/>
      <c r="R852" s="26"/>
      <c r="S852" s="26"/>
      <c r="T852" s="20"/>
      <c r="U852" s="26"/>
      <c r="V852" s="26"/>
      <c r="W852" s="20"/>
      <c r="X852" s="20"/>
      <c r="Y852" s="20"/>
      <c r="Z852" s="20"/>
      <c r="AA852" s="20"/>
      <c r="AB852" s="20"/>
      <c r="AC852" s="20"/>
      <c r="AD852" s="20"/>
      <c r="AE852" s="20"/>
    </row>
    <row r="853">
      <c r="A853" s="21">
        <v>24.0</v>
      </c>
      <c r="B853" s="20" t="s">
        <v>350</v>
      </c>
      <c r="C853" s="20" t="s">
        <v>1564</v>
      </c>
      <c r="I853" s="25" t="s">
        <v>734</v>
      </c>
      <c r="J853" s="25" t="s">
        <v>1441</v>
      </c>
      <c r="K853" s="25" t="s">
        <v>71</v>
      </c>
      <c r="L853" s="25" t="s">
        <v>2886</v>
      </c>
      <c r="M853" s="20" t="s">
        <v>61</v>
      </c>
      <c r="N853" s="20" t="s">
        <v>1038</v>
      </c>
      <c r="O853" s="20" t="s">
        <v>63</v>
      </c>
      <c r="P853" s="25" t="s">
        <v>253</v>
      </c>
      <c r="Q853" s="26"/>
      <c r="R853" s="26"/>
      <c r="S853" s="26"/>
      <c r="T853" s="20"/>
      <c r="U853" s="26"/>
      <c r="V853" s="26"/>
      <c r="W853" s="20"/>
      <c r="X853" s="20"/>
      <c r="Y853" s="20"/>
      <c r="Z853" s="20"/>
      <c r="AA853" s="20"/>
      <c r="AB853" s="20"/>
      <c r="AC853" s="20"/>
      <c r="AD853" s="20"/>
      <c r="AE853" s="20"/>
    </row>
    <row r="854">
      <c r="A854" s="21">
        <v>24.0</v>
      </c>
      <c r="B854" s="20" t="s">
        <v>350</v>
      </c>
      <c r="C854" s="20" t="s">
        <v>1564</v>
      </c>
      <c r="I854" s="25" t="s">
        <v>375</v>
      </c>
      <c r="J854" s="25" t="s">
        <v>1441</v>
      </c>
      <c r="K854" s="25" t="s">
        <v>71</v>
      </c>
      <c r="L854" s="25" t="s">
        <v>2892</v>
      </c>
      <c r="M854" s="20" t="s">
        <v>61</v>
      </c>
      <c r="N854" s="20" t="s">
        <v>2275</v>
      </c>
      <c r="O854" s="20" t="s">
        <v>56</v>
      </c>
      <c r="P854" s="25" t="s">
        <v>253</v>
      </c>
      <c r="Q854" s="26"/>
      <c r="R854" s="26"/>
      <c r="S854" s="26"/>
      <c r="T854" s="20"/>
      <c r="U854" s="26"/>
      <c r="V854" s="26"/>
      <c r="W854" s="20"/>
      <c r="X854" s="20"/>
      <c r="Y854" s="20"/>
      <c r="Z854" s="20"/>
      <c r="AA854" s="20"/>
      <c r="AB854" s="20"/>
      <c r="AC854" s="20"/>
      <c r="AD854" s="20"/>
      <c r="AE854" s="20"/>
    </row>
    <row r="855">
      <c r="A855" s="21">
        <v>24.0</v>
      </c>
      <c r="B855" s="20" t="s">
        <v>350</v>
      </c>
      <c r="C855" s="20" t="s">
        <v>1564</v>
      </c>
      <c r="I855" s="25" t="s">
        <v>320</v>
      </c>
      <c r="J855" s="25" t="s">
        <v>1441</v>
      </c>
      <c r="K855" s="25" t="s">
        <v>67</v>
      </c>
      <c r="L855" s="25" t="s">
        <v>1025</v>
      </c>
      <c r="M855" s="20" t="s">
        <v>776</v>
      </c>
      <c r="N855" s="20" t="s">
        <v>946</v>
      </c>
      <c r="O855" s="20" t="s">
        <v>56</v>
      </c>
      <c r="P855" s="20" t="s">
        <v>52</v>
      </c>
      <c r="Q855" s="26"/>
      <c r="R855" s="26"/>
      <c r="S855" s="26"/>
      <c r="T855" s="22"/>
      <c r="U855" s="26"/>
      <c r="V855" s="26"/>
      <c r="W855" s="20"/>
      <c r="X855" s="20"/>
      <c r="Y855" s="20"/>
      <c r="Z855" s="20"/>
      <c r="AA855" s="20"/>
      <c r="AB855" s="20"/>
      <c r="AC855" s="20"/>
      <c r="AD855" s="20"/>
      <c r="AE855" s="20"/>
    </row>
    <row r="856">
      <c r="A856" s="21">
        <v>24.0</v>
      </c>
      <c r="B856" s="20" t="s">
        <v>350</v>
      </c>
      <c r="C856" s="20" t="s">
        <v>1564</v>
      </c>
      <c r="I856" s="25" t="s">
        <v>722</v>
      </c>
      <c r="J856" s="25" t="s">
        <v>2268</v>
      </c>
      <c r="K856" s="25" t="s">
        <v>67</v>
      </c>
      <c r="L856" s="25" t="s">
        <v>1133</v>
      </c>
      <c r="M856" s="20" t="s">
        <v>896</v>
      </c>
      <c r="N856" s="20" t="s">
        <v>2271</v>
      </c>
      <c r="O856" s="20" t="s">
        <v>56</v>
      </c>
      <c r="P856" s="20" t="s">
        <v>52</v>
      </c>
      <c r="Q856" s="26"/>
      <c r="R856" s="26"/>
      <c r="S856" s="26"/>
      <c r="T856" s="22"/>
      <c r="U856" s="26"/>
      <c r="V856" s="26"/>
      <c r="W856" s="20"/>
      <c r="X856" s="20"/>
      <c r="Y856" s="20"/>
      <c r="Z856" s="20"/>
      <c r="AA856" s="20"/>
      <c r="AB856" s="20"/>
      <c r="AC856" s="20"/>
      <c r="AD856" s="20"/>
      <c r="AE856" s="20"/>
    </row>
    <row r="857">
      <c r="A857" s="21">
        <v>24.0</v>
      </c>
      <c r="B857" s="20" t="s">
        <v>350</v>
      </c>
      <c r="C857" s="20" t="s">
        <v>1564</v>
      </c>
      <c r="I857" s="25" t="s">
        <v>632</v>
      </c>
      <c r="J857" s="25" t="s">
        <v>1441</v>
      </c>
      <c r="K857" s="25" t="s">
        <v>67</v>
      </c>
      <c r="L857" s="25" t="s">
        <v>1025</v>
      </c>
      <c r="M857" s="20" t="s">
        <v>956</v>
      </c>
      <c r="N857" s="20" t="s">
        <v>1447</v>
      </c>
      <c r="O857" s="20" t="s">
        <v>56</v>
      </c>
      <c r="P857" s="20" t="s">
        <v>52</v>
      </c>
      <c r="Q857" s="26"/>
      <c r="R857" s="26"/>
      <c r="S857" s="26"/>
      <c r="T857" s="22"/>
      <c r="U857" s="26"/>
      <c r="V857" s="26"/>
      <c r="W857" s="20"/>
      <c r="X857" s="20"/>
      <c r="Y857" s="20"/>
      <c r="Z857" s="20"/>
      <c r="AA857" s="20"/>
      <c r="AB857" s="20"/>
      <c r="AC857" s="20"/>
      <c r="AD857" s="20"/>
      <c r="AE857" s="20"/>
    </row>
    <row r="858">
      <c r="A858" s="21">
        <v>24.0</v>
      </c>
      <c r="B858" s="20" t="s">
        <v>350</v>
      </c>
      <c r="C858" s="20" t="s">
        <v>1564</v>
      </c>
      <c r="I858" s="25" t="s">
        <v>1487</v>
      </c>
      <c r="J858" s="25" t="s">
        <v>1441</v>
      </c>
      <c r="K858" s="25" t="s">
        <v>71</v>
      </c>
      <c r="L858" s="25" t="s">
        <v>1870</v>
      </c>
      <c r="M858" s="20" t="s">
        <v>1488</v>
      </c>
      <c r="N858" s="20" t="s">
        <v>1489</v>
      </c>
      <c r="O858" s="20" t="s">
        <v>63</v>
      </c>
      <c r="P858" s="20"/>
      <c r="Q858" s="26"/>
      <c r="R858" s="26"/>
      <c r="S858" s="26"/>
      <c r="T858" s="20"/>
      <c r="U858" s="26"/>
      <c r="V858" s="26"/>
      <c r="W858" s="20"/>
      <c r="X858" s="20"/>
      <c r="Y858" s="20"/>
      <c r="Z858" s="20"/>
      <c r="AA858" s="20"/>
      <c r="AB858" s="20"/>
      <c r="AC858" s="20"/>
      <c r="AD858" s="20"/>
      <c r="AE858" s="20"/>
    </row>
    <row r="859">
      <c r="A859" s="21">
        <v>24.0</v>
      </c>
      <c r="B859" s="20" t="s">
        <v>350</v>
      </c>
      <c r="C859" s="20" t="s">
        <v>1564</v>
      </c>
      <c r="I859" s="25" t="s">
        <v>270</v>
      </c>
      <c r="J859" s="25" t="s">
        <v>1441</v>
      </c>
      <c r="K859" s="25" t="s">
        <v>71</v>
      </c>
      <c r="L859" s="25" t="s">
        <v>1901</v>
      </c>
      <c r="M859" s="20" t="s">
        <v>61</v>
      </c>
      <c r="N859" s="20" t="s">
        <v>2288</v>
      </c>
      <c r="O859" s="20" t="s">
        <v>63</v>
      </c>
      <c r="P859" s="20" t="s">
        <v>52</v>
      </c>
      <c r="Q859" s="26"/>
      <c r="R859" s="26"/>
      <c r="S859" s="26"/>
      <c r="T859" s="20"/>
      <c r="U859" s="26"/>
      <c r="V859" s="26"/>
      <c r="W859" s="20"/>
      <c r="X859" s="20"/>
      <c r="Y859" s="20"/>
      <c r="Z859" s="20"/>
      <c r="AA859" s="20"/>
      <c r="AB859" s="20"/>
      <c r="AC859" s="20"/>
      <c r="AD859" s="20"/>
      <c r="AE859" s="20"/>
    </row>
    <row r="860">
      <c r="A860" s="21">
        <v>24.0</v>
      </c>
      <c r="B860" s="20" t="s">
        <v>350</v>
      </c>
      <c r="C860" s="20" t="s">
        <v>1564</v>
      </c>
      <c r="I860" s="25" t="s">
        <v>341</v>
      </c>
      <c r="J860" s="25" t="s">
        <v>1441</v>
      </c>
      <c r="K860" s="25" t="s">
        <v>71</v>
      </c>
      <c r="L860" s="25" t="s">
        <v>1901</v>
      </c>
      <c r="M860" s="20" t="s">
        <v>1490</v>
      </c>
      <c r="N860" s="20" t="s">
        <v>1491</v>
      </c>
      <c r="O860" s="20" t="s">
        <v>63</v>
      </c>
      <c r="P860" s="20" t="s">
        <v>52</v>
      </c>
      <c r="Q860" s="26"/>
      <c r="R860" s="26"/>
      <c r="S860" s="26"/>
      <c r="T860" s="20"/>
      <c r="U860" s="26"/>
      <c r="V860" s="26"/>
      <c r="W860" s="20"/>
      <c r="X860" s="20"/>
      <c r="Y860" s="20"/>
      <c r="Z860" s="20"/>
      <c r="AA860" s="20"/>
      <c r="AB860" s="20"/>
      <c r="AC860" s="20"/>
      <c r="AD860" s="20"/>
      <c r="AE860" s="20"/>
    </row>
    <row r="861">
      <c r="A861" s="21">
        <v>24.0</v>
      </c>
      <c r="B861" s="20" t="s">
        <v>350</v>
      </c>
      <c r="C861" s="20" t="s">
        <v>1564</v>
      </c>
      <c r="I861" s="25" t="s">
        <v>222</v>
      </c>
      <c r="J861" s="25" t="s">
        <v>1441</v>
      </c>
      <c r="K861" s="25" t="s">
        <v>71</v>
      </c>
      <c r="L861" s="25" t="s">
        <v>673</v>
      </c>
      <c r="M861" s="20" t="s">
        <v>61</v>
      </c>
      <c r="N861" s="20" t="s">
        <v>2276</v>
      </c>
      <c r="O861" s="20" t="s">
        <v>56</v>
      </c>
      <c r="P861" s="20" t="s">
        <v>52</v>
      </c>
      <c r="Q861" s="26"/>
      <c r="R861" s="26"/>
      <c r="S861" s="26"/>
      <c r="T861" s="20"/>
      <c r="U861" s="26"/>
      <c r="V861" s="26"/>
      <c r="W861" s="20"/>
      <c r="X861" s="20"/>
      <c r="Y861" s="20"/>
      <c r="Z861" s="20"/>
      <c r="AA861" s="20"/>
      <c r="AB861" s="20"/>
      <c r="AC861" s="20"/>
      <c r="AD861" s="20"/>
      <c r="AE861" s="20"/>
    </row>
    <row r="862">
      <c r="A862" s="21">
        <v>24.0</v>
      </c>
      <c r="B862" s="20" t="s">
        <v>350</v>
      </c>
      <c r="C862" s="20" t="s">
        <v>1564</v>
      </c>
      <c r="I862" s="25" t="s">
        <v>586</v>
      </c>
      <c r="J862" s="25" t="s">
        <v>2268</v>
      </c>
      <c r="K862" s="25" t="s">
        <v>71</v>
      </c>
      <c r="L862" s="25" t="s">
        <v>673</v>
      </c>
      <c r="M862" s="20" t="s">
        <v>866</v>
      </c>
      <c r="N862" s="20" t="s">
        <v>2285</v>
      </c>
      <c r="O862" s="20" t="s">
        <v>56</v>
      </c>
      <c r="P862" s="20" t="s">
        <v>52</v>
      </c>
      <c r="Q862" s="26"/>
      <c r="R862" s="26"/>
      <c r="S862" s="26"/>
      <c r="T862" s="20"/>
      <c r="U862" s="26"/>
      <c r="V862" s="26"/>
      <c r="W862" s="20"/>
      <c r="X862" s="20"/>
      <c r="Y862" s="20"/>
      <c r="Z862" s="20"/>
      <c r="AA862" s="20"/>
      <c r="AB862" s="20"/>
      <c r="AC862" s="20"/>
      <c r="AD862" s="20"/>
      <c r="AE862" s="20"/>
    </row>
    <row r="863">
      <c r="A863" s="21">
        <v>24.0</v>
      </c>
      <c r="B863" s="20" t="s">
        <v>350</v>
      </c>
      <c r="C863" s="20" t="s">
        <v>1564</v>
      </c>
      <c r="I863" s="25" t="s">
        <v>489</v>
      </c>
      <c r="J863" s="25" t="s">
        <v>1441</v>
      </c>
      <c r="K863" s="25" t="s">
        <v>71</v>
      </c>
      <c r="L863" s="25" t="s">
        <v>876</v>
      </c>
      <c r="M863" s="20" t="s">
        <v>1041</v>
      </c>
      <c r="N863" s="20" t="s">
        <v>1042</v>
      </c>
      <c r="O863" s="20" t="s">
        <v>63</v>
      </c>
      <c r="P863" s="20" t="s">
        <v>52</v>
      </c>
      <c r="Q863" s="26"/>
      <c r="R863" s="26"/>
      <c r="S863" s="26"/>
      <c r="T863" s="20"/>
      <c r="U863" s="26"/>
      <c r="V863" s="26"/>
      <c r="W863" s="20"/>
      <c r="X863" s="20"/>
      <c r="Y863" s="20"/>
      <c r="Z863" s="20"/>
      <c r="AA863" s="20"/>
      <c r="AB863" s="20"/>
      <c r="AC863" s="20"/>
      <c r="AD863" s="20"/>
      <c r="AE863" s="20"/>
    </row>
    <row r="864">
      <c r="A864" s="21">
        <v>24.0</v>
      </c>
      <c r="B864" s="20" t="s">
        <v>350</v>
      </c>
      <c r="C864" s="20" t="s">
        <v>1564</v>
      </c>
      <c r="I864" s="25" t="s">
        <v>836</v>
      </c>
      <c r="J864" s="25" t="s">
        <v>1441</v>
      </c>
      <c r="K864" s="25" t="s">
        <v>71</v>
      </c>
      <c r="L864" s="25" t="s">
        <v>2736</v>
      </c>
      <c r="M864" s="20" t="s">
        <v>61</v>
      </c>
      <c r="N864" s="20" t="s">
        <v>1479</v>
      </c>
      <c r="O864" s="20" t="s">
        <v>63</v>
      </c>
      <c r="P864" s="20" t="s">
        <v>52</v>
      </c>
      <c r="Q864" s="26"/>
      <c r="R864" s="26"/>
      <c r="S864" s="26"/>
      <c r="T864" s="20"/>
      <c r="U864" s="26"/>
      <c r="V864" s="26"/>
      <c r="W864" s="20"/>
      <c r="X864" s="20"/>
      <c r="Y864" s="20"/>
      <c r="Z864" s="20"/>
      <c r="AA864" s="20"/>
      <c r="AB864" s="20"/>
      <c r="AC864" s="20"/>
      <c r="AD864" s="20"/>
      <c r="AE864" s="20"/>
    </row>
    <row r="865">
      <c r="A865" s="21">
        <v>24.0</v>
      </c>
      <c r="B865" s="20" t="s">
        <v>350</v>
      </c>
      <c r="C865" s="20" t="s">
        <v>1564</v>
      </c>
      <c r="I865" s="25" t="s">
        <v>265</v>
      </c>
      <c r="J865" s="25" t="s">
        <v>2268</v>
      </c>
      <c r="K865" s="25" t="s">
        <v>71</v>
      </c>
      <c r="L865" s="25" t="s">
        <v>715</v>
      </c>
      <c r="M865" s="20" t="s">
        <v>2291</v>
      </c>
      <c r="N865" s="20" t="s">
        <v>2292</v>
      </c>
      <c r="O865" s="20" t="s">
        <v>63</v>
      </c>
      <c r="P865" s="20" t="s">
        <v>52</v>
      </c>
      <c r="Q865" s="26"/>
      <c r="R865" s="26"/>
      <c r="S865" s="26"/>
      <c r="T865" s="20"/>
      <c r="U865" s="26"/>
      <c r="V865" s="26"/>
      <c r="W865" s="20"/>
      <c r="X865" s="20"/>
      <c r="Y865" s="20"/>
      <c r="Z865" s="20"/>
      <c r="AA865" s="20"/>
      <c r="AB865" s="20"/>
      <c r="AC865" s="20"/>
      <c r="AD865" s="20"/>
      <c r="AE865" s="20"/>
    </row>
    <row r="866">
      <c r="A866" s="21">
        <v>24.0</v>
      </c>
      <c r="B866" s="20" t="s">
        <v>350</v>
      </c>
      <c r="C866" s="20" t="s">
        <v>1564</v>
      </c>
      <c r="I866" s="25" t="s">
        <v>593</v>
      </c>
      <c r="J866" s="25" t="s">
        <v>1441</v>
      </c>
      <c r="K866" s="25" t="s">
        <v>71</v>
      </c>
      <c r="L866" s="25" t="s">
        <v>1192</v>
      </c>
      <c r="M866" s="20" t="s">
        <v>1492</v>
      </c>
      <c r="N866" s="20" t="s">
        <v>1493</v>
      </c>
      <c r="O866" s="20" t="s">
        <v>63</v>
      </c>
      <c r="P866" s="20" t="s">
        <v>52</v>
      </c>
      <c r="Q866" s="26"/>
      <c r="R866" s="26"/>
      <c r="S866" s="26"/>
      <c r="T866" s="20"/>
      <c r="U866" s="26"/>
      <c r="V866" s="26"/>
      <c r="W866" s="20"/>
      <c r="X866" s="20"/>
      <c r="Y866" s="20"/>
      <c r="Z866" s="20"/>
      <c r="AA866" s="20"/>
      <c r="AB866" s="20"/>
      <c r="AC866" s="20"/>
      <c r="AD866" s="20"/>
      <c r="AE866" s="20"/>
    </row>
    <row r="867">
      <c r="A867" s="21">
        <v>24.0</v>
      </c>
      <c r="B867" s="20" t="s">
        <v>350</v>
      </c>
      <c r="C867" s="20" t="s">
        <v>1564</v>
      </c>
      <c r="I867" s="25" t="s">
        <v>367</v>
      </c>
      <c r="J867" s="25" t="s">
        <v>2268</v>
      </c>
      <c r="K867" s="25" t="s">
        <v>71</v>
      </c>
      <c r="L867" s="25" t="s">
        <v>715</v>
      </c>
      <c r="M867" s="20" t="s">
        <v>986</v>
      </c>
      <c r="N867" s="20" t="s">
        <v>987</v>
      </c>
      <c r="O867" s="20" t="s">
        <v>63</v>
      </c>
      <c r="P867" s="20" t="s">
        <v>52</v>
      </c>
      <c r="Q867" s="26"/>
      <c r="R867" s="26"/>
      <c r="S867" s="26"/>
      <c r="T867" s="20"/>
      <c r="U867" s="26"/>
      <c r="V867" s="26"/>
      <c r="W867" s="20"/>
      <c r="X867" s="20"/>
      <c r="Y867" s="20"/>
      <c r="Z867" s="20"/>
      <c r="AA867" s="20"/>
      <c r="AB867" s="20"/>
      <c r="AC867" s="20"/>
      <c r="AD867" s="20"/>
      <c r="AE867" s="20"/>
    </row>
    <row r="868">
      <c r="A868" s="21">
        <v>24.0</v>
      </c>
      <c r="B868" s="20" t="s">
        <v>350</v>
      </c>
      <c r="C868" s="20" t="s">
        <v>1564</v>
      </c>
      <c r="I868" s="25" t="s">
        <v>278</v>
      </c>
      <c r="J868" s="25" t="s">
        <v>1441</v>
      </c>
      <c r="K868" s="25" t="s">
        <v>71</v>
      </c>
      <c r="L868" s="25" t="s">
        <v>673</v>
      </c>
      <c r="M868" s="20" t="s">
        <v>1470</v>
      </c>
      <c r="N868" s="20" t="s">
        <v>1459</v>
      </c>
      <c r="O868" s="20" t="s">
        <v>56</v>
      </c>
      <c r="P868" s="20" t="s">
        <v>52</v>
      </c>
      <c r="Q868" s="26"/>
      <c r="R868" s="26"/>
      <c r="S868" s="26"/>
      <c r="T868" s="20"/>
      <c r="U868" s="26"/>
      <c r="V868" s="26"/>
      <c r="W868" s="20"/>
      <c r="X868" s="20"/>
      <c r="Y868" s="20"/>
      <c r="Z868" s="20"/>
      <c r="AA868" s="20"/>
      <c r="AB868" s="20"/>
      <c r="AC868" s="20"/>
      <c r="AD868" s="20"/>
      <c r="AE868" s="20"/>
    </row>
    <row r="869">
      <c r="A869" s="21">
        <v>24.0</v>
      </c>
      <c r="B869" s="20" t="s">
        <v>350</v>
      </c>
      <c r="C869" s="20" t="s">
        <v>1564</v>
      </c>
      <c r="I869" s="25" t="s">
        <v>891</v>
      </c>
      <c r="J869" s="25" t="s">
        <v>1441</v>
      </c>
      <c r="K869" s="25" t="s">
        <v>67</v>
      </c>
      <c r="L869" s="25" t="s">
        <v>1025</v>
      </c>
      <c r="M869" s="20" t="s">
        <v>892</v>
      </c>
      <c r="N869" s="20" t="s">
        <v>893</v>
      </c>
      <c r="O869" s="20" t="s">
        <v>56</v>
      </c>
      <c r="P869" s="20" t="s">
        <v>52</v>
      </c>
      <c r="Q869" s="26"/>
      <c r="R869" s="26"/>
      <c r="S869" s="26"/>
      <c r="T869" s="22"/>
      <c r="U869" s="26"/>
      <c r="V869" s="26"/>
      <c r="W869" s="20"/>
      <c r="X869" s="20"/>
      <c r="Y869" s="20"/>
      <c r="Z869" s="20"/>
      <c r="AA869" s="20"/>
      <c r="AB869" s="20"/>
      <c r="AC869" s="20"/>
      <c r="AD869" s="20"/>
      <c r="AE869" s="20"/>
    </row>
    <row r="870">
      <c r="A870" s="21">
        <v>24.0</v>
      </c>
      <c r="B870" s="20" t="s">
        <v>350</v>
      </c>
      <c r="C870" s="20" t="s">
        <v>1564</v>
      </c>
      <c r="I870" s="25" t="s">
        <v>495</v>
      </c>
      <c r="J870" s="25" t="s">
        <v>1441</v>
      </c>
      <c r="K870" s="25" t="s">
        <v>71</v>
      </c>
      <c r="L870" s="25" t="s">
        <v>881</v>
      </c>
      <c r="M870" s="20" t="s">
        <v>973</v>
      </c>
      <c r="N870" s="20" t="s">
        <v>1473</v>
      </c>
      <c r="O870" s="20" t="s">
        <v>56</v>
      </c>
      <c r="P870" s="20" t="s">
        <v>52</v>
      </c>
      <c r="Q870" s="26"/>
      <c r="R870" s="26"/>
      <c r="S870" s="26"/>
      <c r="T870" s="20"/>
      <c r="U870" s="26"/>
      <c r="V870" s="26"/>
      <c r="W870" s="20"/>
      <c r="X870" s="20"/>
      <c r="Y870" s="20"/>
      <c r="Z870" s="20"/>
      <c r="AA870" s="20"/>
      <c r="AB870" s="20"/>
      <c r="AC870" s="20"/>
      <c r="AD870" s="20"/>
      <c r="AE870" s="20"/>
    </row>
    <row r="871">
      <c r="A871" s="21">
        <v>24.0</v>
      </c>
      <c r="B871" s="20" t="s">
        <v>350</v>
      </c>
      <c r="C871" s="20" t="s">
        <v>1564</v>
      </c>
      <c r="I871" s="25" t="s">
        <v>501</v>
      </c>
      <c r="J871" s="25" t="s">
        <v>1441</v>
      </c>
      <c r="K871" s="25" t="s">
        <v>71</v>
      </c>
      <c r="L871" s="25" t="s">
        <v>673</v>
      </c>
      <c r="M871" s="20" t="s">
        <v>798</v>
      </c>
      <c r="N871" s="20" t="s">
        <v>1497</v>
      </c>
      <c r="O871" s="20" t="s">
        <v>63</v>
      </c>
      <c r="P871" s="20" t="s">
        <v>52</v>
      </c>
      <c r="Q871" s="26"/>
      <c r="R871" s="26"/>
      <c r="S871" s="26"/>
      <c r="T871" s="20"/>
      <c r="U871" s="26"/>
      <c r="V871" s="26"/>
      <c r="W871" s="20"/>
      <c r="X871" s="20"/>
      <c r="Y871" s="20"/>
      <c r="Z871" s="20"/>
      <c r="AA871" s="20"/>
      <c r="AB871" s="20"/>
      <c r="AC871" s="20"/>
      <c r="AD871" s="20"/>
      <c r="AE871" s="20"/>
    </row>
    <row r="872">
      <c r="A872" s="21">
        <v>25.0</v>
      </c>
      <c r="B872" s="20" t="s">
        <v>1966</v>
      </c>
      <c r="C872" s="20" t="s">
        <v>1564</v>
      </c>
      <c r="D872" s="35">
        <v>30.0</v>
      </c>
      <c r="E872" s="35">
        <v>1.0</v>
      </c>
      <c r="F872" s="35">
        <v>6.0</v>
      </c>
      <c r="G872" s="35">
        <v>23.0</v>
      </c>
      <c r="H872" s="36" t="s">
        <v>2927</v>
      </c>
      <c r="I872" s="25" t="s">
        <v>2300</v>
      </c>
      <c r="J872" s="25" t="s">
        <v>2293</v>
      </c>
      <c r="K872" s="25" t="s">
        <v>67</v>
      </c>
      <c r="L872" s="25" t="s">
        <v>1133</v>
      </c>
      <c r="M872" s="20" t="s">
        <v>2301</v>
      </c>
      <c r="N872" s="20" t="s">
        <v>2302</v>
      </c>
      <c r="O872" s="20" t="s">
        <v>56</v>
      </c>
      <c r="P872" s="20" t="s">
        <v>52</v>
      </c>
      <c r="Q872" s="26"/>
      <c r="R872" s="26"/>
      <c r="S872" s="26"/>
      <c r="T872" s="22"/>
      <c r="U872" s="26"/>
      <c r="V872" s="26"/>
      <c r="W872" s="20"/>
      <c r="X872" s="20"/>
      <c r="Y872" s="20"/>
      <c r="Z872" s="20"/>
      <c r="AA872" s="20"/>
      <c r="AB872" s="20"/>
      <c r="AC872" s="20"/>
      <c r="AD872" s="20"/>
      <c r="AE872" s="20"/>
    </row>
    <row r="873">
      <c r="A873" s="21">
        <v>25.0</v>
      </c>
      <c r="B873" s="20" t="s">
        <v>1966</v>
      </c>
      <c r="C873" s="20" t="s">
        <v>1564</v>
      </c>
      <c r="I873" s="25" t="s">
        <v>2083</v>
      </c>
      <c r="J873" s="25" t="s">
        <v>2293</v>
      </c>
      <c r="K873" s="25" t="s">
        <v>67</v>
      </c>
      <c r="L873" s="25" t="s">
        <v>1133</v>
      </c>
      <c r="M873" s="20" t="s">
        <v>2303</v>
      </c>
      <c r="N873" s="20" t="s">
        <v>2304</v>
      </c>
      <c r="O873" s="20" t="s">
        <v>56</v>
      </c>
      <c r="P873" s="20" t="s">
        <v>52</v>
      </c>
      <c r="Q873" s="26"/>
      <c r="R873" s="26"/>
      <c r="S873" s="26"/>
      <c r="T873" s="22"/>
      <c r="U873" s="26"/>
      <c r="V873" s="26"/>
      <c r="W873" s="20"/>
      <c r="X873" s="20"/>
      <c r="Y873" s="20"/>
      <c r="Z873" s="20"/>
      <c r="AA873" s="20"/>
      <c r="AB873" s="20"/>
      <c r="AC873" s="20"/>
      <c r="AD873" s="20"/>
      <c r="AE873" s="20"/>
    </row>
    <row r="874">
      <c r="A874" s="21">
        <v>25.0</v>
      </c>
      <c r="B874" s="20" t="s">
        <v>1966</v>
      </c>
      <c r="C874" s="20" t="s">
        <v>1564</v>
      </c>
      <c r="I874" s="25" t="s">
        <v>1993</v>
      </c>
      <c r="J874" s="25" t="s">
        <v>2293</v>
      </c>
      <c r="K874" s="25" t="s">
        <v>57</v>
      </c>
      <c r="L874" s="25" t="s">
        <v>2933</v>
      </c>
      <c r="M874" s="20" t="s">
        <v>2294</v>
      </c>
      <c r="N874" s="20" t="s">
        <v>2295</v>
      </c>
      <c r="O874" s="20" t="s">
        <v>56</v>
      </c>
      <c r="P874" s="20"/>
      <c r="Q874" s="26"/>
      <c r="R874" s="26"/>
      <c r="S874" s="26"/>
      <c r="T874" s="20"/>
      <c r="U874" s="26"/>
      <c r="V874" s="26"/>
      <c r="W874" s="20"/>
      <c r="X874" s="20"/>
      <c r="Y874" s="20"/>
      <c r="Z874" s="20"/>
      <c r="AA874" s="20"/>
      <c r="AB874" s="20"/>
      <c r="AC874" s="20"/>
      <c r="AD874" s="20"/>
      <c r="AE874" s="20"/>
    </row>
    <row r="875">
      <c r="A875" s="21">
        <v>25.0</v>
      </c>
      <c r="B875" s="20" t="s">
        <v>1966</v>
      </c>
      <c r="C875" s="20" t="s">
        <v>1564</v>
      </c>
      <c r="I875" s="25" t="s">
        <v>658</v>
      </c>
      <c r="J875" s="25" t="s">
        <v>2296</v>
      </c>
      <c r="K875" s="25" t="s">
        <v>67</v>
      </c>
      <c r="L875" s="25" t="s">
        <v>1025</v>
      </c>
      <c r="M875" s="20" t="s">
        <v>61</v>
      </c>
      <c r="N875" s="20" t="s">
        <v>2297</v>
      </c>
      <c r="O875" s="20" t="s">
        <v>56</v>
      </c>
      <c r="P875" s="20" t="s">
        <v>52</v>
      </c>
      <c r="Q875" s="26"/>
      <c r="R875" s="26"/>
      <c r="S875" s="26"/>
      <c r="T875" s="22"/>
      <c r="U875" s="26"/>
      <c r="V875" s="26"/>
      <c r="W875" s="20"/>
      <c r="X875" s="20"/>
      <c r="Y875" s="20"/>
      <c r="Z875" s="20"/>
      <c r="AA875" s="20"/>
      <c r="AB875" s="20"/>
      <c r="AC875" s="20"/>
      <c r="AD875" s="20"/>
      <c r="AE875" s="20"/>
    </row>
    <row r="876">
      <c r="A876" s="21">
        <v>25.0</v>
      </c>
      <c r="B876" s="20" t="s">
        <v>1966</v>
      </c>
      <c r="C876" s="20" t="s">
        <v>1564</v>
      </c>
      <c r="I876" s="25" t="s">
        <v>1975</v>
      </c>
      <c r="J876" s="25" t="s">
        <v>2293</v>
      </c>
      <c r="K876" s="25" t="s">
        <v>67</v>
      </c>
      <c r="L876" s="25" t="s">
        <v>1025</v>
      </c>
      <c r="M876" s="20" t="s">
        <v>1976</v>
      </c>
      <c r="N876" s="20" t="s">
        <v>2305</v>
      </c>
      <c r="O876" s="20" t="s">
        <v>56</v>
      </c>
      <c r="P876" s="20" t="s">
        <v>52</v>
      </c>
      <c r="Q876" s="26"/>
      <c r="R876" s="26"/>
      <c r="S876" s="26"/>
      <c r="T876" s="22"/>
      <c r="U876" s="26"/>
      <c r="V876" s="26"/>
      <c r="W876" s="20"/>
      <c r="X876" s="20"/>
      <c r="Y876" s="20"/>
      <c r="Z876" s="20"/>
      <c r="AA876" s="20"/>
      <c r="AB876" s="20"/>
      <c r="AC876" s="20"/>
      <c r="AD876" s="20"/>
      <c r="AE876" s="20"/>
    </row>
    <row r="877">
      <c r="A877" s="21">
        <v>25.0</v>
      </c>
      <c r="B877" s="20" t="s">
        <v>1966</v>
      </c>
      <c r="C877" s="20" t="s">
        <v>1564</v>
      </c>
      <c r="I877" s="25" t="s">
        <v>2309</v>
      </c>
      <c r="J877" s="25" t="s">
        <v>2308</v>
      </c>
      <c r="K877" s="25" t="s">
        <v>71</v>
      </c>
      <c r="L877" s="25" t="s">
        <v>2938</v>
      </c>
      <c r="M877" s="20" t="s">
        <v>2310</v>
      </c>
      <c r="N877" s="20" t="s">
        <v>2311</v>
      </c>
      <c r="O877" s="20" t="s">
        <v>63</v>
      </c>
      <c r="P877" s="20"/>
      <c r="Q877" s="26"/>
      <c r="R877" s="26"/>
      <c r="S877" s="26"/>
      <c r="T877" s="20"/>
      <c r="U877" s="26"/>
      <c r="V877" s="26"/>
      <c r="W877" s="20"/>
      <c r="X877" s="20"/>
      <c r="Y877" s="20"/>
      <c r="Z877" s="20"/>
      <c r="AA877" s="20"/>
      <c r="AB877" s="20"/>
      <c r="AC877" s="20"/>
      <c r="AD877" s="20"/>
      <c r="AE877" s="20"/>
    </row>
    <row r="878">
      <c r="A878" s="21">
        <v>25.0</v>
      </c>
      <c r="B878" s="20" t="s">
        <v>1966</v>
      </c>
      <c r="C878" s="20" t="s">
        <v>1564</v>
      </c>
      <c r="I878" s="25" t="s">
        <v>2236</v>
      </c>
      <c r="J878" s="25" t="s">
        <v>2308</v>
      </c>
      <c r="K878" s="25" t="s">
        <v>71</v>
      </c>
      <c r="L878" s="25" t="s">
        <v>2938</v>
      </c>
      <c r="M878" s="20" t="s">
        <v>2312</v>
      </c>
      <c r="N878" s="20" t="s">
        <v>2313</v>
      </c>
      <c r="O878" s="20" t="s">
        <v>63</v>
      </c>
      <c r="P878" s="20"/>
      <c r="Q878" s="26"/>
      <c r="R878" s="26"/>
      <c r="S878" s="26"/>
      <c r="T878" s="20"/>
      <c r="U878" s="26"/>
      <c r="V878" s="26"/>
      <c r="W878" s="20"/>
      <c r="X878" s="20"/>
      <c r="Y878" s="20"/>
      <c r="Z878" s="20"/>
      <c r="AA878" s="20"/>
      <c r="AB878" s="20"/>
      <c r="AC878" s="20"/>
      <c r="AD878" s="20"/>
      <c r="AE878" s="20"/>
    </row>
    <row r="879">
      <c r="A879" s="21">
        <v>25.0</v>
      </c>
      <c r="B879" s="20" t="s">
        <v>1966</v>
      </c>
      <c r="C879" s="20" t="s">
        <v>1564</v>
      </c>
      <c r="I879" s="25" t="s">
        <v>451</v>
      </c>
      <c r="J879" s="25" t="s">
        <v>2308</v>
      </c>
      <c r="K879" s="25" t="s">
        <v>71</v>
      </c>
      <c r="L879" s="25" t="s">
        <v>2938</v>
      </c>
      <c r="M879" s="20" t="s">
        <v>2315</v>
      </c>
      <c r="N879" s="20" t="s">
        <v>2316</v>
      </c>
      <c r="O879" s="20" t="s">
        <v>63</v>
      </c>
      <c r="P879" s="20"/>
      <c r="Q879" s="26"/>
      <c r="R879" s="26"/>
      <c r="S879" s="26"/>
      <c r="T879" s="20"/>
      <c r="U879" s="26"/>
      <c r="V879" s="26"/>
      <c r="W879" s="20"/>
      <c r="X879" s="20"/>
      <c r="Y879" s="20"/>
      <c r="Z879" s="20"/>
      <c r="AA879" s="20"/>
      <c r="AB879" s="20"/>
      <c r="AC879" s="20"/>
      <c r="AD879" s="20"/>
      <c r="AE879" s="20"/>
    </row>
    <row r="880">
      <c r="A880" s="21">
        <v>25.0</v>
      </c>
      <c r="B880" s="20" t="s">
        <v>1966</v>
      </c>
      <c r="C880" s="20" t="s">
        <v>1564</v>
      </c>
      <c r="I880" s="25" t="s">
        <v>1420</v>
      </c>
      <c r="J880" s="25" t="s">
        <v>2296</v>
      </c>
      <c r="K880" s="25" t="s">
        <v>71</v>
      </c>
      <c r="L880" s="25" t="s">
        <v>2938</v>
      </c>
      <c r="M880" s="20" t="s">
        <v>2337</v>
      </c>
      <c r="N880" s="20" t="s">
        <v>2338</v>
      </c>
      <c r="O880" s="20" t="s">
        <v>63</v>
      </c>
      <c r="P880" s="20"/>
      <c r="Q880" s="26"/>
      <c r="R880" s="26"/>
      <c r="S880" s="26"/>
      <c r="T880" s="20"/>
      <c r="U880" s="26"/>
      <c r="V880" s="26"/>
      <c r="W880" s="20"/>
      <c r="X880" s="20"/>
      <c r="Y880" s="20"/>
      <c r="Z880" s="20"/>
      <c r="AA880" s="20"/>
      <c r="AB880" s="20"/>
      <c r="AC880" s="20"/>
      <c r="AD880" s="20"/>
      <c r="AE880" s="20"/>
    </row>
    <row r="881">
      <c r="A881" s="21">
        <v>25.0</v>
      </c>
      <c r="B881" s="20" t="s">
        <v>1966</v>
      </c>
      <c r="C881" s="20" t="s">
        <v>1564</v>
      </c>
      <c r="I881" s="25" t="s">
        <v>2340</v>
      </c>
      <c r="J881" s="25" t="s">
        <v>2296</v>
      </c>
      <c r="K881" s="25" t="s">
        <v>71</v>
      </c>
      <c r="L881" s="25" t="s">
        <v>2938</v>
      </c>
      <c r="M881" s="20" t="s">
        <v>2342</v>
      </c>
      <c r="N881" s="20" t="s">
        <v>2343</v>
      </c>
      <c r="O881" s="20" t="s">
        <v>63</v>
      </c>
      <c r="P881" s="20"/>
      <c r="Q881" s="26"/>
      <c r="R881" s="26"/>
      <c r="S881" s="26"/>
      <c r="T881" s="20"/>
      <c r="U881" s="26"/>
      <c r="V881" s="26"/>
      <c r="W881" s="20"/>
      <c r="X881" s="20"/>
      <c r="Y881" s="20"/>
      <c r="Z881" s="20"/>
      <c r="AA881" s="20"/>
      <c r="AB881" s="20"/>
      <c r="AC881" s="20"/>
      <c r="AD881" s="20"/>
      <c r="AE881" s="20"/>
    </row>
    <row r="882">
      <c r="A882" s="21">
        <v>25.0</v>
      </c>
      <c r="B882" s="20" t="s">
        <v>1966</v>
      </c>
      <c r="C882" s="20" t="s">
        <v>1564</v>
      </c>
      <c r="I882" s="25" t="s">
        <v>2215</v>
      </c>
      <c r="J882" s="25" t="s">
        <v>2293</v>
      </c>
      <c r="K882" s="25" t="s">
        <v>71</v>
      </c>
      <c r="L882" s="25" t="s">
        <v>2938</v>
      </c>
      <c r="M882" s="20" t="s">
        <v>2355</v>
      </c>
      <c r="N882" s="20" t="s">
        <v>2356</v>
      </c>
      <c r="O882" s="20" t="s">
        <v>63</v>
      </c>
      <c r="P882" s="20"/>
      <c r="Q882" s="26"/>
      <c r="R882" s="26"/>
      <c r="S882" s="26"/>
      <c r="T882" s="20"/>
      <c r="U882" s="26"/>
      <c r="V882" s="26"/>
      <c r="W882" s="20"/>
      <c r="X882" s="20"/>
      <c r="Y882" s="20"/>
      <c r="Z882" s="20"/>
      <c r="AA882" s="20"/>
      <c r="AB882" s="20"/>
      <c r="AC882" s="20"/>
      <c r="AD882" s="20"/>
      <c r="AE882" s="20"/>
    </row>
    <row r="883">
      <c r="A883" s="21">
        <v>25.0</v>
      </c>
      <c r="B883" s="20" t="s">
        <v>1966</v>
      </c>
      <c r="C883" s="20" t="s">
        <v>1564</v>
      </c>
      <c r="I883" s="25" t="s">
        <v>1428</v>
      </c>
      <c r="J883" s="25" t="s">
        <v>2308</v>
      </c>
      <c r="K883" s="25" t="s">
        <v>71</v>
      </c>
      <c r="L883" s="25" t="s">
        <v>2938</v>
      </c>
      <c r="M883" s="20" t="s">
        <v>2317</v>
      </c>
      <c r="N883" s="20" t="s">
        <v>2318</v>
      </c>
      <c r="O883" s="20" t="s">
        <v>63</v>
      </c>
      <c r="P883" s="20"/>
      <c r="Q883" s="26"/>
      <c r="R883" s="26"/>
      <c r="S883" s="26"/>
      <c r="T883" s="20"/>
      <c r="U883" s="26"/>
      <c r="V883" s="26"/>
      <c r="W883" s="20"/>
      <c r="X883" s="20"/>
      <c r="Y883" s="20"/>
      <c r="Z883" s="20"/>
      <c r="AA883" s="20"/>
      <c r="AB883" s="20"/>
      <c r="AC883" s="20"/>
      <c r="AD883" s="20"/>
      <c r="AE883" s="20"/>
    </row>
    <row r="884">
      <c r="A884" s="21">
        <v>25.0</v>
      </c>
      <c r="B884" s="20" t="s">
        <v>1966</v>
      </c>
      <c r="C884" s="20" t="s">
        <v>1564</v>
      </c>
      <c r="I884" s="25" t="s">
        <v>1430</v>
      </c>
      <c r="J884" s="25" t="s">
        <v>2293</v>
      </c>
      <c r="K884" s="25" t="s">
        <v>71</v>
      </c>
      <c r="L884" s="25" t="s">
        <v>2951</v>
      </c>
      <c r="M884" s="20" t="s">
        <v>2357</v>
      </c>
      <c r="N884" s="20" t="s">
        <v>2358</v>
      </c>
      <c r="O884" s="20" t="s">
        <v>63</v>
      </c>
      <c r="P884" s="20"/>
      <c r="Q884" s="26"/>
      <c r="R884" s="26"/>
      <c r="S884" s="26"/>
      <c r="T884" s="20"/>
      <c r="U884" s="26"/>
      <c r="V884" s="26"/>
      <c r="W884" s="20"/>
      <c r="X884" s="20"/>
      <c r="Y884" s="20"/>
      <c r="Z884" s="20"/>
      <c r="AA884" s="20"/>
      <c r="AB884" s="20"/>
      <c r="AC884" s="20"/>
      <c r="AD884" s="20"/>
      <c r="AE884" s="20"/>
    </row>
    <row r="885">
      <c r="A885" s="21">
        <v>25.0</v>
      </c>
      <c r="B885" s="20" t="s">
        <v>1966</v>
      </c>
      <c r="C885" s="20" t="s">
        <v>1564</v>
      </c>
      <c r="I885" s="25" t="s">
        <v>2359</v>
      </c>
      <c r="J885" s="25" t="s">
        <v>2293</v>
      </c>
      <c r="K885" s="25" t="s">
        <v>71</v>
      </c>
      <c r="L885" s="25" t="s">
        <v>2938</v>
      </c>
      <c r="M885" s="20" t="s">
        <v>2360</v>
      </c>
      <c r="N885" s="20" t="s">
        <v>2361</v>
      </c>
      <c r="O885" s="20" t="s">
        <v>63</v>
      </c>
      <c r="P885" s="20"/>
      <c r="Q885" s="26"/>
      <c r="R885" s="26"/>
      <c r="S885" s="26"/>
      <c r="T885" s="20"/>
      <c r="U885" s="26"/>
      <c r="V885" s="26"/>
      <c r="W885" s="20"/>
      <c r="X885" s="20"/>
      <c r="Y885" s="20"/>
      <c r="Z885" s="20"/>
      <c r="AA885" s="20"/>
      <c r="AB885" s="20"/>
      <c r="AC885" s="20"/>
      <c r="AD885" s="20"/>
      <c r="AE885" s="20"/>
    </row>
    <row r="886">
      <c r="A886" s="21">
        <v>25.0</v>
      </c>
      <c r="B886" s="20" t="s">
        <v>1966</v>
      </c>
      <c r="C886" s="20" t="s">
        <v>1564</v>
      </c>
      <c r="I886" s="25" t="s">
        <v>2362</v>
      </c>
      <c r="J886" s="25" t="s">
        <v>2293</v>
      </c>
      <c r="K886" s="25" t="s">
        <v>71</v>
      </c>
      <c r="L886" s="25" t="s">
        <v>2430</v>
      </c>
      <c r="M886" s="20" t="s">
        <v>2363</v>
      </c>
      <c r="N886" s="20" t="s">
        <v>2364</v>
      </c>
      <c r="O886" s="20" t="s">
        <v>63</v>
      </c>
      <c r="P886" s="20"/>
      <c r="Q886" s="26"/>
      <c r="R886" s="26"/>
      <c r="S886" s="26"/>
      <c r="T886" s="20"/>
      <c r="U886" s="26"/>
      <c r="V886" s="26"/>
      <c r="W886" s="20"/>
      <c r="X886" s="20"/>
      <c r="Y886" s="20"/>
      <c r="Z886" s="20"/>
      <c r="AA886" s="20"/>
      <c r="AB886" s="20"/>
      <c r="AC886" s="20"/>
      <c r="AD886" s="20"/>
      <c r="AE886" s="20"/>
    </row>
    <row r="887">
      <c r="A887" s="21">
        <v>25.0</v>
      </c>
      <c r="B887" s="20" t="s">
        <v>1966</v>
      </c>
      <c r="C887" s="20" t="s">
        <v>1564</v>
      </c>
      <c r="I887" s="25" t="s">
        <v>1538</v>
      </c>
      <c r="J887" s="25" t="s">
        <v>2293</v>
      </c>
      <c r="K887" s="25" t="s">
        <v>71</v>
      </c>
      <c r="L887" s="25" t="s">
        <v>2956</v>
      </c>
      <c r="M887" s="20" t="s">
        <v>61</v>
      </c>
      <c r="N887" s="20" t="s">
        <v>1539</v>
      </c>
      <c r="O887" s="20" t="s">
        <v>63</v>
      </c>
      <c r="P887" s="20"/>
      <c r="Q887" s="26"/>
      <c r="R887" s="26"/>
      <c r="S887" s="26"/>
      <c r="T887" s="20"/>
      <c r="U887" s="26"/>
      <c r="V887" s="26"/>
      <c r="W887" s="20"/>
      <c r="X887" s="20"/>
      <c r="Y887" s="20"/>
      <c r="Z887" s="20"/>
      <c r="AA887" s="20"/>
      <c r="AB887" s="20"/>
      <c r="AC887" s="20"/>
      <c r="AD887" s="20"/>
      <c r="AE887" s="20"/>
    </row>
    <row r="888">
      <c r="A888" s="21">
        <v>25.0</v>
      </c>
      <c r="B888" s="20" t="s">
        <v>1966</v>
      </c>
      <c r="C888" s="20" t="s">
        <v>1564</v>
      </c>
      <c r="I888" s="25" t="s">
        <v>2319</v>
      </c>
      <c r="J888" s="25" t="s">
        <v>2308</v>
      </c>
      <c r="K888" s="25" t="s">
        <v>71</v>
      </c>
      <c r="L888" s="25" t="s">
        <v>2938</v>
      </c>
      <c r="M888" s="20" t="s">
        <v>2320</v>
      </c>
      <c r="N888" s="20" t="s">
        <v>2321</v>
      </c>
      <c r="O888" s="20" t="s">
        <v>63</v>
      </c>
      <c r="P888" s="20"/>
      <c r="Q888" s="26"/>
      <c r="R888" s="26"/>
      <c r="S888" s="26"/>
      <c r="T888" s="20"/>
      <c r="U888" s="26"/>
      <c r="V888" s="26"/>
      <c r="W888" s="20"/>
      <c r="X888" s="20"/>
      <c r="Y888" s="20"/>
      <c r="Z888" s="20"/>
      <c r="AA888" s="20"/>
      <c r="AB888" s="20"/>
      <c r="AC888" s="20"/>
      <c r="AD888" s="20"/>
      <c r="AE888" s="20"/>
    </row>
    <row r="889">
      <c r="A889" s="21">
        <v>25.0</v>
      </c>
      <c r="B889" s="20" t="s">
        <v>1966</v>
      </c>
      <c r="C889" s="20" t="s">
        <v>1564</v>
      </c>
      <c r="I889" s="25" t="s">
        <v>2322</v>
      </c>
      <c r="J889" s="25" t="s">
        <v>2308</v>
      </c>
      <c r="K889" s="25" t="s">
        <v>71</v>
      </c>
      <c r="L889" s="25" t="s">
        <v>2938</v>
      </c>
      <c r="M889" s="20" t="s">
        <v>2323</v>
      </c>
      <c r="N889" s="20" t="s">
        <v>2324</v>
      </c>
      <c r="O889" s="20" t="s">
        <v>63</v>
      </c>
      <c r="P889" s="20"/>
      <c r="Q889" s="26"/>
      <c r="R889" s="26"/>
      <c r="S889" s="26"/>
      <c r="T889" s="20"/>
      <c r="U889" s="26"/>
      <c r="V889" s="26"/>
      <c r="W889" s="20"/>
      <c r="X889" s="20"/>
      <c r="Y889" s="20"/>
      <c r="Z889" s="20"/>
      <c r="AA889" s="20"/>
      <c r="AB889" s="20"/>
      <c r="AC889" s="20"/>
      <c r="AD889" s="20"/>
      <c r="AE889" s="20"/>
    </row>
    <row r="890">
      <c r="A890" s="21">
        <v>25.0</v>
      </c>
      <c r="B890" s="20" t="s">
        <v>1966</v>
      </c>
      <c r="C890" s="20" t="s">
        <v>1564</v>
      </c>
      <c r="I890" s="25" t="s">
        <v>1522</v>
      </c>
      <c r="J890" s="25" t="s">
        <v>2293</v>
      </c>
      <c r="K890" s="25" t="s">
        <v>67</v>
      </c>
      <c r="L890" s="25" t="s">
        <v>1025</v>
      </c>
      <c r="M890" s="20" t="s">
        <v>2306</v>
      </c>
      <c r="N890" s="20" t="s">
        <v>2307</v>
      </c>
      <c r="O890" s="20" t="s">
        <v>56</v>
      </c>
      <c r="P890" s="20" t="s">
        <v>52</v>
      </c>
      <c r="Q890" s="26"/>
      <c r="R890" s="26"/>
      <c r="S890" s="26"/>
      <c r="T890" s="22"/>
      <c r="U890" s="26"/>
      <c r="V890" s="26"/>
      <c r="W890" s="20"/>
      <c r="X890" s="20"/>
      <c r="Y890" s="20"/>
      <c r="Z890" s="20"/>
      <c r="AA890" s="20"/>
      <c r="AB890" s="20"/>
      <c r="AC890" s="20"/>
      <c r="AD890" s="20"/>
      <c r="AE890" s="20"/>
    </row>
    <row r="891">
      <c r="A891" s="21">
        <v>25.0</v>
      </c>
      <c r="B891" s="20" t="s">
        <v>1966</v>
      </c>
      <c r="C891" s="20" t="s">
        <v>1564</v>
      </c>
      <c r="I891" s="25" t="s">
        <v>737</v>
      </c>
      <c r="J891" s="25" t="s">
        <v>2308</v>
      </c>
      <c r="K891" s="25" t="s">
        <v>71</v>
      </c>
      <c r="L891" s="25" t="s">
        <v>2951</v>
      </c>
      <c r="M891" s="20" t="s">
        <v>2326</v>
      </c>
      <c r="N891" s="20" t="s">
        <v>2327</v>
      </c>
      <c r="O891" s="20" t="s">
        <v>63</v>
      </c>
      <c r="P891" s="20"/>
      <c r="Q891" s="26"/>
      <c r="R891" s="26"/>
      <c r="S891" s="26"/>
      <c r="T891" s="20"/>
      <c r="U891" s="26"/>
      <c r="V891" s="26"/>
      <c r="W891" s="20"/>
      <c r="X891" s="20"/>
      <c r="Y891" s="20"/>
      <c r="Z891" s="20"/>
      <c r="AA891" s="20"/>
      <c r="AB891" s="20"/>
      <c r="AC891" s="20"/>
      <c r="AD891" s="20"/>
      <c r="AE891" s="20"/>
    </row>
    <row r="892">
      <c r="A892" s="21">
        <v>25.0</v>
      </c>
      <c r="B892" s="20" t="s">
        <v>1966</v>
      </c>
      <c r="C892" s="20" t="s">
        <v>1564</v>
      </c>
      <c r="I892" s="25" t="s">
        <v>2344</v>
      </c>
      <c r="J892" s="25" t="s">
        <v>2296</v>
      </c>
      <c r="K892" s="25" t="s">
        <v>71</v>
      </c>
      <c r="L892" s="25" t="s">
        <v>2938</v>
      </c>
      <c r="M892" s="20" t="s">
        <v>2345</v>
      </c>
      <c r="N892" s="20" t="s">
        <v>2346</v>
      </c>
      <c r="O892" s="20" t="s">
        <v>63</v>
      </c>
      <c r="P892" s="20"/>
      <c r="Q892" s="26"/>
      <c r="R892" s="26"/>
      <c r="S892" s="26"/>
      <c r="T892" s="20"/>
      <c r="U892" s="26"/>
      <c r="V892" s="26"/>
      <c r="W892" s="20"/>
      <c r="X892" s="20"/>
      <c r="Y892" s="20"/>
      <c r="Z892" s="20"/>
      <c r="AA892" s="20"/>
      <c r="AB892" s="20"/>
      <c r="AC892" s="20"/>
      <c r="AD892" s="20"/>
      <c r="AE892" s="20"/>
    </row>
    <row r="893">
      <c r="A893" s="21">
        <v>25.0</v>
      </c>
      <c r="B893" s="20" t="s">
        <v>1966</v>
      </c>
      <c r="C893" s="20" t="s">
        <v>1564</v>
      </c>
      <c r="I893" s="25" t="s">
        <v>2328</v>
      </c>
      <c r="J893" s="25" t="s">
        <v>2308</v>
      </c>
      <c r="K893" s="25" t="s">
        <v>71</v>
      </c>
      <c r="L893" s="25" t="s">
        <v>2938</v>
      </c>
      <c r="M893" s="20" t="s">
        <v>2329</v>
      </c>
      <c r="N893" s="20" t="s">
        <v>2330</v>
      </c>
      <c r="O893" s="20" t="s">
        <v>63</v>
      </c>
      <c r="P893" s="20"/>
      <c r="Q893" s="26"/>
      <c r="R893" s="26"/>
      <c r="S893" s="26"/>
      <c r="T893" s="20"/>
      <c r="U893" s="26"/>
      <c r="V893" s="26"/>
      <c r="W893" s="20"/>
      <c r="X893" s="20"/>
      <c r="Y893" s="20"/>
      <c r="Z893" s="20"/>
      <c r="AA893" s="20"/>
      <c r="AB893" s="20"/>
      <c r="AC893" s="20"/>
      <c r="AD893" s="20"/>
      <c r="AE893" s="20"/>
    </row>
    <row r="894">
      <c r="A894" s="21">
        <v>25.0</v>
      </c>
      <c r="B894" s="20" t="s">
        <v>1966</v>
      </c>
      <c r="C894" s="20" t="s">
        <v>1564</v>
      </c>
      <c r="I894" s="25" t="s">
        <v>2332</v>
      </c>
      <c r="J894" s="25" t="s">
        <v>2308</v>
      </c>
      <c r="K894" s="25" t="s">
        <v>71</v>
      </c>
      <c r="L894" s="25" t="s">
        <v>2938</v>
      </c>
      <c r="M894" s="20" t="s">
        <v>2333</v>
      </c>
      <c r="N894" s="20" t="s">
        <v>2334</v>
      </c>
      <c r="O894" s="20" t="s">
        <v>63</v>
      </c>
      <c r="P894" s="20"/>
      <c r="Q894" s="26"/>
      <c r="R894" s="26"/>
      <c r="S894" s="26"/>
      <c r="T894" s="20"/>
      <c r="U894" s="26"/>
      <c r="V894" s="26"/>
      <c r="W894" s="20"/>
      <c r="X894" s="20"/>
      <c r="Y894" s="20"/>
      <c r="Z894" s="20"/>
      <c r="AA894" s="20"/>
      <c r="AB894" s="20"/>
      <c r="AC894" s="20"/>
      <c r="AD894" s="20"/>
      <c r="AE894" s="20"/>
    </row>
    <row r="895">
      <c r="A895" s="21">
        <v>25.0</v>
      </c>
      <c r="B895" s="20" t="s">
        <v>1966</v>
      </c>
      <c r="C895" s="20" t="s">
        <v>1564</v>
      </c>
      <c r="I895" s="25" t="s">
        <v>1440</v>
      </c>
      <c r="J895" s="25" t="s">
        <v>2308</v>
      </c>
      <c r="K895" s="25" t="s">
        <v>71</v>
      </c>
      <c r="L895" s="25" t="s">
        <v>2938</v>
      </c>
      <c r="M895" s="20" t="s">
        <v>1776</v>
      </c>
      <c r="N895" s="20" t="s">
        <v>2336</v>
      </c>
      <c r="O895" s="20" t="s">
        <v>63</v>
      </c>
      <c r="P895" s="20"/>
      <c r="Q895" s="26"/>
      <c r="R895" s="26"/>
      <c r="S895" s="26"/>
      <c r="T895" s="20"/>
      <c r="U895" s="26"/>
      <c r="V895" s="26"/>
      <c r="W895" s="20"/>
      <c r="X895" s="20"/>
      <c r="Y895" s="20"/>
      <c r="Z895" s="20"/>
      <c r="AA895" s="20"/>
      <c r="AB895" s="20"/>
      <c r="AC895" s="20"/>
      <c r="AD895" s="20"/>
      <c r="AE895" s="20"/>
    </row>
    <row r="896">
      <c r="A896" s="21">
        <v>25.0</v>
      </c>
      <c r="B896" s="20" t="s">
        <v>1966</v>
      </c>
      <c r="C896" s="20" t="s">
        <v>1564</v>
      </c>
      <c r="I896" s="25" t="s">
        <v>2347</v>
      </c>
      <c r="J896" s="25" t="s">
        <v>2296</v>
      </c>
      <c r="K896" s="25" t="s">
        <v>71</v>
      </c>
      <c r="L896" s="25" t="s">
        <v>2938</v>
      </c>
      <c r="M896" s="20" t="s">
        <v>2348</v>
      </c>
      <c r="N896" s="20" t="s">
        <v>2349</v>
      </c>
      <c r="O896" s="20" t="s">
        <v>63</v>
      </c>
      <c r="P896" s="20"/>
      <c r="Q896" s="26"/>
      <c r="R896" s="26"/>
      <c r="S896" s="26"/>
      <c r="T896" s="20"/>
      <c r="U896" s="26"/>
      <c r="V896" s="26"/>
      <c r="W896" s="20"/>
      <c r="X896" s="20"/>
      <c r="Y896" s="20"/>
      <c r="Z896" s="20"/>
      <c r="AA896" s="20"/>
      <c r="AB896" s="20"/>
      <c r="AC896" s="20"/>
      <c r="AD896" s="20"/>
      <c r="AE896" s="20"/>
    </row>
    <row r="897">
      <c r="A897" s="21">
        <v>25.0</v>
      </c>
      <c r="B897" s="20" t="s">
        <v>1966</v>
      </c>
      <c r="C897" s="20" t="s">
        <v>1564</v>
      </c>
      <c r="I897" s="25" t="s">
        <v>1833</v>
      </c>
      <c r="J897" s="25" t="s">
        <v>2293</v>
      </c>
      <c r="K897" s="25" t="s">
        <v>71</v>
      </c>
      <c r="L897" s="25" t="s">
        <v>2430</v>
      </c>
      <c r="M897" s="20" t="s">
        <v>2365</v>
      </c>
      <c r="N897" s="20" t="s">
        <v>2366</v>
      </c>
      <c r="O897" s="20" t="s">
        <v>63</v>
      </c>
      <c r="P897" s="20"/>
      <c r="Q897" s="26"/>
      <c r="R897" s="26"/>
      <c r="S897" s="26"/>
      <c r="T897" s="20"/>
      <c r="U897" s="26"/>
      <c r="V897" s="26"/>
      <c r="W897" s="20"/>
      <c r="X897" s="20"/>
      <c r="Y897" s="20"/>
      <c r="Z897" s="20"/>
      <c r="AA897" s="20"/>
      <c r="AB897" s="20"/>
      <c r="AC897" s="20"/>
      <c r="AD897" s="20"/>
      <c r="AE897" s="20"/>
    </row>
    <row r="898">
      <c r="A898" s="21">
        <v>25.0</v>
      </c>
      <c r="B898" s="20" t="s">
        <v>1966</v>
      </c>
      <c r="C898" s="20" t="s">
        <v>1564</v>
      </c>
      <c r="I898" s="25" t="s">
        <v>1297</v>
      </c>
      <c r="J898" s="25" t="s">
        <v>2293</v>
      </c>
      <c r="K898" s="25" t="s">
        <v>71</v>
      </c>
      <c r="L898" s="25" t="s">
        <v>2430</v>
      </c>
      <c r="M898" s="20" t="s">
        <v>2367</v>
      </c>
      <c r="N898" s="20" t="s">
        <v>2368</v>
      </c>
      <c r="O898" s="20" t="s">
        <v>63</v>
      </c>
      <c r="P898" s="20"/>
      <c r="Q898" s="26"/>
      <c r="R898" s="26"/>
      <c r="S898" s="26"/>
      <c r="T898" s="20"/>
      <c r="U898" s="26"/>
      <c r="V898" s="26"/>
      <c r="W898" s="20"/>
      <c r="X898" s="20"/>
      <c r="Y898" s="20"/>
      <c r="Z898" s="20"/>
      <c r="AA898" s="20"/>
      <c r="AB898" s="20"/>
      <c r="AC898" s="20"/>
      <c r="AD898" s="20"/>
      <c r="AE898" s="20"/>
    </row>
    <row r="899">
      <c r="A899" s="21">
        <v>25.0</v>
      </c>
      <c r="B899" s="20" t="s">
        <v>1966</v>
      </c>
      <c r="C899" s="20" t="s">
        <v>1564</v>
      </c>
      <c r="I899" s="25" t="s">
        <v>2351</v>
      </c>
      <c r="J899" s="25" t="s">
        <v>2296</v>
      </c>
      <c r="K899" s="25" t="s">
        <v>71</v>
      </c>
      <c r="L899" s="25" t="s">
        <v>2938</v>
      </c>
      <c r="M899" s="20" t="s">
        <v>2352</v>
      </c>
      <c r="N899" s="20" t="s">
        <v>2353</v>
      </c>
      <c r="O899" s="20" t="s">
        <v>63</v>
      </c>
      <c r="P899" s="20"/>
      <c r="Q899" s="26"/>
      <c r="R899" s="26"/>
      <c r="S899" s="26"/>
      <c r="T899" s="20"/>
      <c r="U899" s="26"/>
      <c r="V899" s="26"/>
      <c r="W899" s="20"/>
      <c r="X899" s="20"/>
      <c r="Y899" s="20"/>
      <c r="Z899" s="20"/>
      <c r="AA899" s="20"/>
      <c r="AB899" s="20"/>
      <c r="AC899" s="20"/>
      <c r="AD899" s="20"/>
      <c r="AE899" s="20"/>
    </row>
    <row r="900">
      <c r="A900" s="21">
        <v>25.0</v>
      </c>
      <c r="B900" s="20" t="s">
        <v>1966</v>
      </c>
      <c r="C900" s="20" t="s">
        <v>1564</v>
      </c>
      <c r="I900" s="25" t="s">
        <v>1405</v>
      </c>
      <c r="J900" s="25" t="s">
        <v>2296</v>
      </c>
      <c r="K900" s="25" t="s">
        <v>67</v>
      </c>
      <c r="L900" s="25" t="s">
        <v>1025</v>
      </c>
      <c r="M900" s="20" t="s">
        <v>2298</v>
      </c>
      <c r="N900" s="20" t="s">
        <v>2299</v>
      </c>
      <c r="O900" s="20" t="s">
        <v>56</v>
      </c>
      <c r="P900" s="20" t="s">
        <v>52</v>
      </c>
      <c r="Q900" s="26"/>
      <c r="R900" s="26"/>
      <c r="S900" s="26"/>
      <c r="T900" s="22"/>
      <c r="U900" s="26"/>
      <c r="V900" s="26"/>
      <c r="W900" s="20"/>
      <c r="X900" s="20"/>
      <c r="Y900" s="20"/>
      <c r="Z900" s="20"/>
      <c r="AA900" s="20"/>
      <c r="AB900" s="20"/>
      <c r="AC900" s="20"/>
      <c r="AD900" s="20"/>
      <c r="AE900" s="20"/>
    </row>
    <row r="901">
      <c r="A901" s="21">
        <v>25.0</v>
      </c>
      <c r="B901" s="20" t="s">
        <v>1966</v>
      </c>
      <c r="C901" s="20" t="s">
        <v>1564</v>
      </c>
      <c r="I901" s="25" t="s">
        <v>1960</v>
      </c>
      <c r="J901" s="25" t="s">
        <v>2293</v>
      </c>
      <c r="K901" s="25" t="s">
        <v>71</v>
      </c>
      <c r="L901" s="25" t="s">
        <v>2430</v>
      </c>
      <c r="M901" s="20" t="s">
        <v>2369</v>
      </c>
      <c r="N901" s="20" t="s">
        <v>2370</v>
      </c>
      <c r="O901" s="20" t="s">
        <v>63</v>
      </c>
      <c r="P901" s="20"/>
      <c r="Q901" s="26"/>
      <c r="R901" s="26"/>
      <c r="S901" s="26"/>
      <c r="T901" s="20"/>
      <c r="U901" s="26"/>
      <c r="V901" s="26"/>
      <c r="W901" s="20"/>
      <c r="X901" s="20"/>
      <c r="Y901" s="20"/>
      <c r="Z901" s="20"/>
      <c r="AA901" s="20"/>
      <c r="AB901" s="20"/>
      <c r="AC901" s="20"/>
      <c r="AD901" s="20"/>
      <c r="AE901" s="20"/>
    </row>
    <row r="902">
      <c r="A902" s="21">
        <v>26.0</v>
      </c>
      <c r="B902" s="20" t="s">
        <v>1905</v>
      </c>
      <c r="C902" s="20" t="s">
        <v>1564</v>
      </c>
      <c r="D902" s="35">
        <v>14.0</v>
      </c>
      <c r="E902" s="35">
        <v>3.0</v>
      </c>
      <c r="F902" s="35">
        <v>1.0</v>
      </c>
      <c r="G902" s="35">
        <v>10.0</v>
      </c>
      <c r="H902" s="36" t="s">
        <v>2974</v>
      </c>
      <c r="I902" s="25" t="s">
        <v>1612</v>
      </c>
      <c r="J902" s="25" t="s">
        <v>2375</v>
      </c>
      <c r="K902" s="25" t="s">
        <v>57</v>
      </c>
      <c r="L902" s="25" t="s">
        <v>2976</v>
      </c>
      <c r="M902" s="20" t="s">
        <v>1613</v>
      </c>
      <c r="N902" s="20" t="s">
        <v>1796</v>
      </c>
      <c r="O902" s="20" t="s">
        <v>63</v>
      </c>
      <c r="P902" s="20"/>
      <c r="Q902" s="26"/>
      <c r="R902" s="26"/>
      <c r="S902" s="26"/>
      <c r="T902" s="20"/>
      <c r="U902" s="26"/>
      <c r="V902" s="26"/>
      <c r="W902" s="20"/>
      <c r="X902" s="20"/>
      <c r="Y902" s="20"/>
      <c r="Z902" s="20"/>
      <c r="AA902" s="20"/>
      <c r="AB902" s="20"/>
      <c r="AC902" s="20"/>
      <c r="AD902" s="20"/>
      <c r="AE902" s="20"/>
    </row>
    <row r="903">
      <c r="A903" s="21">
        <v>26.0</v>
      </c>
      <c r="B903" s="20" t="s">
        <v>1905</v>
      </c>
      <c r="C903" s="20" t="s">
        <v>1564</v>
      </c>
      <c r="I903" s="25" t="s">
        <v>1437</v>
      </c>
      <c r="J903" s="25" t="s">
        <v>2375</v>
      </c>
      <c r="K903" s="25" t="s">
        <v>71</v>
      </c>
      <c r="L903" s="25" t="s">
        <v>292</v>
      </c>
      <c r="M903" s="20" t="s">
        <v>1579</v>
      </c>
      <c r="N903" s="20" t="s">
        <v>1900</v>
      </c>
      <c r="O903" s="20" t="s">
        <v>63</v>
      </c>
      <c r="P903" s="20" t="s">
        <v>52</v>
      </c>
      <c r="Q903" s="26"/>
      <c r="R903" s="26"/>
      <c r="S903" s="26"/>
      <c r="T903" s="22"/>
      <c r="U903" s="26"/>
      <c r="V903" s="26"/>
      <c r="W903" s="20"/>
      <c r="X903" s="20"/>
      <c r="Y903" s="20"/>
      <c r="Z903" s="20"/>
      <c r="AA903" s="20"/>
      <c r="AB903" s="20"/>
      <c r="AC903" s="20"/>
      <c r="AD903" s="20"/>
      <c r="AE903" s="20"/>
    </row>
    <row r="904">
      <c r="A904" s="21">
        <v>26.0</v>
      </c>
      <c r="B904" s="20" t="s">
        <v>1905</v>
      </c>
      <c r="C904" s="20" t="s">
        <v>1564</v>
      </c>
      <c r="I904" s="25" t="s">
        <v>1379</v>
      </c>
      <c r="J904" s="25" t="s">
        <v>2375</v>
      </c>
      <c r="K904" s="25" t="s">
        <v>57</v>
      </c>
      <c r="L904" s="25" t="s">
        <v>2980</v>
      </c>
      <c r="M904" s="20" t="s">
        <v>2376</v>
      </c>
      <c r="N904" s="20" t="s">
        <v>2377</v>
      </c>
      <c r="O904" s="20" t="s">
        <v>63</v>
      </c>
      <c r="P904" s="20"/>
      <c r="Q904" s="26"/>
      <c r="R904" s="26"/>
      <c r="S904" s="26"/>
      <c r="T904" s="20"/>
      <c r="U904" s="26"/>
      <c r="V904" s="26"/>
      <c r="W904" s="20"/>
      <c r="X904" s="20"/>
      <c r="Y904" s="20"/>
      <c r="Z904" s="20"/>
      <c r="AA904" s="20"/>
      <c r="AB904" s="20"/>
      <c r="AC904" s="20"/>
      <c r="AD904" s="20"/>
      <c r="AE904" s="20"/>
    </row>
    <row r="905">
      <c r="A905" s="21">
        <v>26.0</v>
      </c>
      <c r="B905" s="20" t="s">
        <v>1905</v>
      </c>
      <c r="C905" s="20" t="s">
        <v>1564</v>
      </c>
      <c r="I905" s="25" t="s">
        <v>2372</v>
      </c>
      <c r="J905" s="25" t="s">
        <v>2371</v>
      </c>
      <c r="K905" s="25" t="s">
        <v>57</v>
      </c>
      <c r="L905" s="25" t="s">
        <v>2981</v>
      </c>
      <c r="M905" s="20" t="s">
        <v>2373</v>
      </c>
      <c r="N905" s="20" t="s">
        <v>2374</v>
      </c>
      <c r="O905" s="20" t="s">
        <v>63</v>
      </c>
      <c r="P905" s="20"/>
      <c r="Q905" s="26"/>
      <c r="R905" s="26"/>
      <c r="S905" s="26"/>
      <c r="T905" s="20"/>
      <c r="U905" s="26"/>
      <c r="V905" s="26"/>
      <c r="W905" s="20"/>
      <c r="X905" s="20"/>
      <c r="Y905" s="20"/>
      <c r="Z905" s="20"/>
      <c r="AA905" s="20"/>
      <c r="AB905" s="20"/>
      <c r="AC905" s="20"/>
      <c r="AD905" s="20"/>
      <c r="AE905" s="20"/>
    </row>
    <row r="906">
      <c r="A906" s="21">
        <v>26.0</v>
      </c>
      <c r="B906" s="20" t="s">
        <v>1905</v>
      </c>
      <c r="C906" s="20" t="s">
        <v>1564</v>
      </c>
      <c r="I906" s="25" t="s">
        <v>1894</v>
      </c>
      <c r="J906" s="25" t="s">
        <v>2375</v>
      </c>
      <c r="K906" s="25" t="s">
        <v>67</v>
      </c>
      <c r="L906" s="25" t="s">
        <v>2983</v>
      </c>
      <c r="M906" s="20" t="s">
        <v>2378</v>
      </c>
      <c r="N906" s="20" t="s">
        <v>2379</v>
      </c>
      <c r="O906" s="20" t="s">
        <v>63</v>
      </c>
      <c r="P906" s="20"/>
      <c r="Q906" s="26"/>
      <c r="R906" s="26"/>
      <c r="S906" s="26"/>
      <c r="T906" s="20"/>
      <c r="U906" s="26"/>
      <c r="V906" s="26"/>
      <c r="W906" s="20"/>
      <c r="X906" s="20"/>
      <c r="Y906" s="20"/>
      <c r="Z906" s="20"/>
      <c r="AA906" s="20"/>
      <c r="AB906" s="20"/>
      <c r="AC906" s="20"/>
      <c r="AD906" s="20"/>
      <c r="AE906" s="20"/>
    </row>
    <row r="907">
      <c r="A907" s="21">
        <v>26.0</v>
      </c>
      <c r="B907" s="20" t="s">
        <v>1905</v>
      </c>
      <c r="C907" s="20" t="s">
        <v>1564</v>
      </c>
      <c r="I907" s="25" t="s">
        <v>1597</v>
      </c>
      <c r="J907" s="25" t="s">
        <v>2375</v>
      </c>
      <c r="K907" s="25" t="s">
        <v>71</v>
      </c>
      <c r="L907" s="25" t="s">
        <v>292</v>
      </c>
      <c r="M907" s="20" t="s">
        <v>2209</v>
      </c>
      <c r="N907" s="20" t="s">
        <v>2379</v>
      </c>
      <c r="O907" s="20" t="s">
        <v>63</v>
      </c>
      <c r="P907" s="20" t="s">
        <v>52</v>
      </c>
      <c r="Q907" s="26"/>
      <c r="R907" s="26"/>
      <c r="S907" s="26"/>
      <c r="T907" s="22"/>
      <c r="U907" s="26"/>
      <c r="V907" s="26"/>
      <c r="W907" s="20"/>
      <c r="X907" s="20"/>
      <c r="Y907" s="20"/>
      <c r="Z907" s="20"/>
      <c r="AA907" s="20"/>
      <c r="AB907" s="20"/>
      <c r="AC907" s="20"/>
      <c r="AD907" s="20"/>
      <c r="AE907" s="20"/>
    </row>
    <row r="908">
      <c r="A908" s="21">
        <v>26.0</v>
      </c>
      <c r="B908" s="20" t="s">
        <v>1905</v>
      </c>
      <c r="C908" s="20" t="s">
        <v>1564</v>
      </c>
      <c r="I908" s="25" t="s">
        <v>734</v>
      </c>
      <c r="J908" s="25" t="s">
        <v>2371</v>
      </c>
      <c r="K908" s="25" t="s">
        <v>71</v>
      </c>
      <c r="L908" s="25" t="s">
        <v>2986</v>
      </c>
      <c r="M908" s="20" t="s">
        <v>61</v>
      </c>
      <c r="N908" s="20" t="s">
        <v>2380</v>
      </c>
      <c r="O908" s="20" t="s">
        <v>63</v>
      </c>
      <c r="P908" s="25" t="s">
        <v>253</v>
      </c>
      <c r="Q908" s="26"/>
      <c r="R908" s="26"/>
      <c r="S908" s="26"/>
      <c r="T908" s="20"/>
      <c r="U908" s="26"/>
      <c r="V908" s="26"/>
      <c r="W908" s="20"/>
      <c r="X908" s="20"/>
      <c r="Y908" s="20"/>
      <c r="Z908" s="20"/>
      <c r="AA908" s="20"/>
      <c r="AB908" s="20"/>
      <c r="AC908" s="20"/>
      <c r="AD908" s="20"/>
      <c r="AE908" s="20"/>
    </row>
    <row r="909">
      <c r="A909" s="21">
        <v>26.0</v>
      </c>
      <c r="B909" s="20" t="s">
        <v>1905</v>
      </c>
      <c r="C909" s="20" t="s">
        <v>1564</v>
      </c>
      <c r="I909" s="25" t="s">
        <v>2395</v>
      </c>
      <c r="J909" s="25" t="s">
        <v>2375</v>
      </c>
      <c r="K909" s="25" t="s">
        <v>71</v>
      </c>
      <c r="L909" s="25" t="s">
        <v>292</v>
      </c>
      <c r="M909" s="20" t="s">
        <v>2396</v>
      </c>
      <c r="N909" s="20" t="s">
        <v>2397</v>
      </c>
      <c r="O909" s="20" t="s">
        <v>63</v>
      </c>
      <c r="P909" s="20" t="s">
        <v>52</v>
      </c>
      <c r="Q909" s="26"/>
      <c r="R909" s="26"/>
      <c r="S909" s="26"/>
      <c r="T909" s="22"/>
      <c r="U909" s="26"/>
      <c r="V909" s="26"/>
      <c r="W909" s="20"/>
      <c r="X909" s="20"/>
      <c r="Y909" s="20"/>
      <c r="Z909" s="20"/>
      <c r="AA909" s="20"/>
      <c r="AB909" s="20"/>
      <c r="AC909" s="20"/>
      <c r="AD909" s="20"/>
      <c r="AE909" s="20"/>
    </row>
    <row r="910">
      <c r="A910" s="21">
        <v>26.0</v>
      </c>
      <c r="B910" s="20" t="s">
        <v>1905</v>
      </c>
      <c r="C910" s="20" t="s">
        <v>1564</v>
      </c>
      <c r="I910" s="25" t="s">
        <v>2398</v>
      </c>
      <c r="J910" s="25" t="s">
        <v>2375</v>
      </c>
      <c r="K910" s="25" t="s">
        <v>71</v>
      </c>
      <c r="L910" s="25" t="s">
        <v>292</v>
      </c>
      <c r="M910" s="20" t="s">
        <v>61</v>
      </c>
      <c r="N910" s="20" t="s">
        <v>2399</v>
      </c>
      <c r="O910" s="20" t="s">
        <v>63</v>
      </c>
      <c r="P910" s="20" t="s">
        <v>52</v>
      </c>
      <c r="Q910" s="26"/>
      <c r="R910" s="26"/>
      <c r="S910" s="26"/>
      <c r="T910" s="22"/>
      <c r="U910" s="26"/>
      <c r="V910" s="26"/>
      <c r="W910" s="20"/>
      <c r="X910" s="20"/>
      <c r="Y910" s="20"/>
      <c r="Z910" s="20"/>
      <c r="AA910" s="20"/>
      <c r="AB910" s="20"/>
      <c r="AC910" s="20"/>
      <c r="AD910" s="20"/>
      <c r="AE910" s="20"/>
    </row>
    <row r="911">
      <c r="A911" s="21">
        <v>26.0</v>
      </c>
      <c r="B911" s="20" t="s">
        <v>1905</v>
      </c>
      <c r="C911" s="20" t="s">
        <v>1564</v>
      </c>
      <c r="I911" s="25" t="s">
        <v>2381</v>
      </c>
      <c r="J911" s="25" t="s">
        <v>2371</v>
      </c>
      <c r="K911" s="25" t="s">
        <v>71</v>
      </c>
      <c r="L911" s="25" t="s">
        <v>292</v>
      </c>
      <c r="M911" s="20" t="s">
        <v>2382</v>
      </c>
      <c r="N911" s="20" t="s">
        <v>2383</v>
      </c>
      <c r="O911" s="20" t="s">
        <v>63</v>
      </c>
      <c r="P911" s="20" t="s">
        <v>52</v>
      </c>
      <c r="Q911" s="26"/>
      <c r="R911" s="26"/>
      <c r="S911" s="26"/>
      <c r="T911" s="22"/>
      <c r="U911" s="26"/>
      <c r="V911" s="26"/>
      <c r="W911" s="20"/>
      <c r="X911" s="20"/>
      <c r="Y911" s="20"/>
      <c r="Z911" s="20"/>
      <c r="AA911" s="20"/>
      <c r="AB911" s="20"/>
      <c r="AC911" s="20"/>
      <c r="AD911" s="20"/>
      <c r="AE911" s="20"/>
    </row>
    <row r="912">
      <c r="A912" s="21">
        <v>26.0</v>
      </c>
      <c r="B912" s="20" t="s">
        <v>1905</v>
      </c>
      <c r="C912" s="20" t="s">
        <v>1564</v>
      </c>
      <c r="I912" s="25" t="s">
        <v>2385</v>
      </c>
      <c r="J912" s="25" t="s">
        <v>2371</v>
      </c>
      <c r="K912" s="25" t="s">
        <v>71</v>
      </c>
      <c r="L912" s="25" t="s">
        <v>292</v>
      </c>
      <c r="M912" s="20" t="s">
        <v>2386</v>
      </c>
      <c r="N912" s="20" t="s">
        <v>2387</v>
      </c>
      <c r="O912" s="20" t="s">
        <v>63</v>
      </c>
      <c r="P912" s="20" t="s">
        <v>52</v>
      </c>
      <c r="Q912" s="26"/>
      <c r="R912" s="26"/>
      <c r="S912" s="26"/>
      <c r="T912" s="22"/>
      <c r="U912" s="26"/>
      <c r="V912" s="26"/>
      <c r="W912" s="20"/>
      <c r="X912" s="20"/>
      <c r="Y912" s="20"/>
      <c r="Z912" s="20"/>
      <c r="AA912" s="20"/>
      <c r="AB912" s="20"/>
      <c r="AC912" s="20"/>
      <c r="AD912" s="20"/>
      <c r="AE912" s="20"/>
    </row>
    <row r="913">
      <c r="A913" s="21">
        <v>26.0</v>
      </c>
      <c r="B913" s="20" t="s">
        <v>1905</v>
      </c>
      <c r="C913" s="20" t="s">
        <v>1564</v>
      </c>
      <c r="I913" s="25" t="s">
        <v>2246</v>
      </c>
      <c r="J913" s="25" t="s">
        <v>2371</v>
      </c>
      <c r="K913" s="25" t="s">
        <v>71</v>
      </c>
      <c r="L913" s="25" t="s">
        <v>292</v>
      </c>
      <c r="M913" s="20" t="s">
        <v>2388</v>
      </c>
      <c r="N913" s="20" t="s">
        <v>2389</v>
      </c>
      <c r="O913" s="20" t="s">
        <v>63</v>
      </c>
      <c r="P913" s="20" t="s">
        <v>52</v>
      </c>
      <c r="Q913" s="26"/>
      <c r="R913" s="26"/>
      <c r="S913" s="26"/>
      <c r="T913" s="22"/>
      <c r="U913" s="26"/>
      <c r="V913" s="26"/>
      <c r="W913" s="20"/>
      <c r="X913" s="20"/>
      <c r="Y913" s="20"/>
      <c r="Z913" s="20"/>
      <c r="AA913" s="20"/>
      <c r="AB913" s="20"/>
      <c r="AC913" s="20"/>
      <c r="AD913" s="20"/>
      <c r="AE913" s="20"/>
    </row>
    <row r="914">
      <c r="A914" s="21">
        <v>26.0</v>
      </c>
      <c r="B914" s="20" t="s">
        <v>1905</v>
      </c>
      <c r="C914" s="20" t="s">
        <v>1564</v>
      </c>
      <c r="I914" s="25" t="s">
        <v>1574</v>
      </c>
      <c r="J914" s="25" t="s">
        <v>2403</v>
      </c>
      <c r="K914" s="25" t="s">
        <v>418</v>
      </c>
      <c r="L914" s="25" t="s">
        <v>537</v>
      </c>
      <c r="M914" s="20" t="s">
        <v>415</v>
      </c>
      <c r="N914" s="20" t="s">
        <v>415</v>
      </c>
      <c r="O914" s="20" t="s">
        <v>416</v>
      </c>
      <c r="P914" s="20"/>
      <c r="Q914" s="26"/>
      <c r="R914" s="26"/>
      <c r="S914" s="26"/>
      <c r="T914" s="20"/>
      <c r="U914" s="26"/>
      <c r="V914" s="26"/>
      <c r="W914" s="20"/>
      <c r="X914" s="20"/>
      <c r="Y914" s="20"/>
      <c r="Z914" s="20"/>
      <c r="AA914" s="20"/>
      <c r="AB914" s="20"/>
      <c r="AC914" s="20"/>
      <c r="AD914" s="20"/>
      <c r="AE914" s="20"/>
    </row>
    <row r="915">
      <c r="A915" s="21">
        <v>26.0</v>
      </c>
      <c r="B915" s="20" t="s">
        <v>1905</v>
      </c>
      <c r="C915" s="20" t="s">
        <v>1564</v>
      </c>
      <c r="I915" s="25" t="s">
        <v>1293</v>
      </c>
      <c r="J915" s="25" t="s">
        <v>2371</v>
      </c>
      <c r="K915" s="25" t="s">
        <v>71</v>
      </c>
      <c r="L915" s="25" t="s">
        <v>2999</v>
      </c>
      <c r="M915" s="20" t="s">
        <v>61</v>
      </c>
      <c r="N915" s="20" t="s">
        <v>2390</v>
      </c>
      <c r="O915" s="20" t="s">
        <v>63</v>
      </c>
      <c r="P915" s="20"/>
      <c r="Q915" s="26"/>
      <c r="R915" s="26"/>
      <c r="S915" s="26"/>
      <c r="T915" s="20"/>
      <c r="U915" s="26"/>
      <c r="V915" s="26"/>
      <c r="W915" s="20"/>
      <c r="X915" s="20"/>
      <c r="Y915" s="20"/>
      <c r="Z915" s="20"/>
      <c r="AA915" s="20"/>
      <c r="AB915" s="20"/>
      <c r="AC915" s="20"/>
      <c r="AD915" s="20"/>
      <c r="AE915" s="20"/>
    </row>
    <row r="916">
      <c r="A916" s="21">
        <v>26.0</v>
      </c>
      <c r="B916" s="20" t="s">
        <v>1905</v>
      </c>
      <c r="C916" s="20" t="s">
        <v>1564</v>
      </c>
      <c r="I916" s="25" t="s">
        <v>1563</v>
      </c>
      <c r="J916" s="25" t="s">
        <v>2375</v>
      </c>
      <c r="K916" s="25" t="s">
        <v>418</v>
      </c>
      <c r="L916" s="25" t="s">
        <v>537</v>
      </c>
      <c r="M916" s="20" t="s">
        <v>415</v>
      </c>
      <c r="N916" s="20" t="s">
        <v>415</v>
      </c>
      <c r="O916" s="20" t="s">
        <v>416</v>
      </c>
      <c r="P916" s="20" t="s">
        <v>52</v>
      </c>
      <c r="Q916" s="26"/>
      <c r="R916" s="26"/>
      <c r="S916" s="26"/>
      <c r="T916" s="20"/>
      <c r="U916" s="26"/>
      <c r="V916" s="26"/>
      <c r="W916" s="20"/>
      <c r="X916" s="20"/>
      <c r="Y916" s="20"/>
      <c r="Z916" s="20"/>
      <c r="AA916" s="20"/>
      <c r="AB916" s="20"/>
      <c r="AC916" s="20"/>
      <c r="AD916" s="20"/>
      <c r="AE916" s="20"/>
    </row>
    <row r="917">
      <c r="A917" s="21">
        <v>26.0</v>
      </c>
      <c r="B917" s="20" t="s">
        <v>1905</v>
      </c>
      <c r="C917" s="20" t="s">
        <v>1564</v>
      </c>
      <c r="I917" s="25" t="s">
        <v>1800</v>
      </c>
      <c r="J917" s="25" t="s">
        <v>2403</v>
      </c>
      <c r="K917" s="25" t="s">
        <v>418</v>
      </c>
      <c r="L917" s="25" t="s">
        <v>537</v>
      </c>
      <c r="M917" s="20" t="s">
        <v>415</v>
      </c>
      <c r="N917" s="20" t="s">
        <v>415</v>
      </c>
      <c r="O917" s="20" t="s">
        <v>416</v>
      </c>
      <c r="P917" s="20" t="s">
        <v>52</v>
      </c>
      <c r="Q917" s="26"/>
      <c r="R917" s="26"/>
      <c r="S917" s="26"/>
      <c r="T917" s="20"/>
      <c r="U917" s="26"/>
      <c r="V917" s="26"/>
      <c r="W917" s="20"/>
      <c r="X917" s="20"/>
      <c r="Y917" s="20"/>
      <c r="Z917" s="20"/>
      <c r="AA917" s="20"/>
      <c r="AB917" s="20"/>
      <c r="AC917" s="20"/>
      <c r="AD917" s="20"/>
      <c r="AE917" s="20"/>
    </row>
    <row r="918">
      <c r="A918" s="21">
        <v>26.0</v>
      </c>
      <c r="B918" s="20" t="s">
        <v>1905</v>
      </c>
      <c r="C918" s="20" t="s">
        <v>1564</v>
      </c>
      <c r="I918" s="25" t="s">
        <v>1262</v>
      </c>
      <c r="J918" s="25" t="s">
        <v>2403</v>
      </c>
      <c r="K918" s="25" t="s">
        <v>418</v>
      </c>
      <c r="L918" s="25" t="s">
        <v>537</v>
      </c>
      <c r="M918" s="20" t="s">
        <v>415</v>
      </c>
      <c r="N918" s="20" t="s">
        <v>415</v>
      </c>
      <c r="O918" s="20" t="s">
        <v>416</v>
      </c>
      <c r="P918" s="20" t="s">
        <v>52</v>
      </c>
      <c r="Q918" s="26"/>
      <c r="R918" s="26"/>
      <c r="S918" s="26"/>
      <c r="T918" s="20"/>
      <c r="U918" s="26"/>
      <c r="V918" s="26"/>
      <c r="W918" s="20"/>
      <c r="X918" s="20"/>
      <c r="Y918" s="20"/>
      <c r="Z918" s="20"/>
      <c r="AA918" s="20"/>
      <c r="AB918" s="20"/>
      <c r="AC918" s="20"/>
      <c r="AD918" s="20"/>
      <c r="AE918" s="20"/>
    </row>
    <row r="919">
      <c r="A919" s="21">
        <v>26.0</v>
      </c>
      <c r="B919" s="20" t="s">
        <v>1905</v>
      </c>
      <c r="C919" s="20" t="s">
        <v>1564</v>
      </c>
      <c r="I919" s="25" t="s">
        <v>1272</v>
      </c>
      <c r="J919" s="25" t="s">
        <v>2371</v>
      </c>
      <c r="K919" s="25" t="s">
        <v>418</v>
      </c>
      <c r="L919" s="25" t="s">
        <v>537</v>
      </c>
      <c r="M919" s="20" t="s">
        <v>415</v>
      </c>
      <c r="N919" s="20" t="s">
        <v>415</v>
      </c>
      <c r="O919" s="20" t="s">
        <v>416</v>
      </c>
      <c r="P919" s="20" t="s">
        <v>52</v>
      </c>
      <c r="Q919" s="26"/>
      <c r="R919" s="26"/>
      <c r="S919" s="26"/>
      <c r="T919" s="20"/>
      <c r="U919" s="26"/>
      <c r="V919" s="26"/>
      <c r="W919" s="20"/>
      <c r="X919" s="20"/>
      <c r="Y919" s="20"/>
      <c r="Z919" s="20"/>
      <c r="AA919" s="20"/>
      <c r="AB919" s="20"/>
      <c r="AC919" s="20"/>
      <c r="AD919" s="20"/>
      <c r="AE919" s="20"/>
    </row>
    <row r="920">
      <c r="A920" s="21">
        <v>26.0</v>
      </c>
      <c r="B920" s="20" t="s">
        <v>1905</v>
      </c>
      <c r="C920" s="20" t="s">
        <v>1564</v>
      </c>
      <c r="I920" s="25" t="s">
        <v>1750</v>
      </c>
      <c r="J920" s="25" t="s">
        <v>2375</v>
      </c>
      <c r="K920" s="25" t="s">
        <v>418</v>
      </c>
      <c r="L920" s="25" t="s">
        <v>537</v>
      </c>
      <c r="M920" s="20" t="s">
        <v>415</v>
      </c>
      <c r="N920" s="20" t="s">
        <v>415</v>
      </c>
      <c r="O920" s="20" t="s">
        <v>416</v>
      </c>
      <c r="P920" s="20" t="s">
        <v>52</v>
      </c>
      <c r="Q920" s="26"/>
      <c r="R920" s="26"/>
      <c r="S920" s="26"/>
      <c r="T920" s="20"/>
      <c r="U920" s="26"/>
      <c r="V920" s="26"/>
      <c r="W920" s="20"/>
      <c r="X920" s="20"/>
      <c r="Y920" s="20"/>
      <c r="Z920" s="20"/>
      <c r="AA920" s="20"/>
      <c r="AB920" s="20"/>
      <c r="AC920" s="20"/>
      <c r="AD920" s="20"/>
      <c r="AE920" s="20"/>
    </row>
    <row r="921">
      <c r="A921" s="21">
        <v>26.0</v>
      </c>
      <c r="B921" s="20" t="s">
        <v>1905</v>
      </c>
      <c r="C921" s="20" t="s">
        <v>1564</v>
      </c>
      <c r="I921" s="25" t="s">
        <v>1764</v>
      </c>
      <c r="J921" s="25" t="s">
        <v>2371</v>
      </c>
      <c r="K921" s="25" t="s">
        <v>418</v>
      </c>
      <c r="L921" s="25" t="s">
        <v>537</v>
      </c>
      <c r="M921" s="20" t="s">
        <v>415</v>
      </c>
      <c r="N921" s="20" t="s">
        <v>415</v>
      </c>
      <c r="O921" s="20" t="s">
        <v>416</v>
      </c>
      <c r="P921" s="20" t="s">
        <v>52</v>
      </c>
      <c r="Q921" s="26"/>
      <c r="R921" s="26"/>
      <c r="S921" s="26"/>
      <c r="T921" s="20"/>
      <c r="U921" s="26"/>
      <c r="V921" s="26"/>
      <c r="W921" s="20"/>
      <c r="X921" s="20"/>
      <c r="Y921" s="20"/>
      <c r="Z921" s="20"/>
      <c r="AA921" s="20"/>
      <c r="AB921" s="20"/>
      <c r="AC921" s="20"/>
      <c r="AD921" s="20"/>
      <c r="AE921" s="20"/>
    </row>
    <row r="922">
      <c r="A922" s="21">
        <v>26.0</v>
      </c>
      <c r="B922" s="20" t="s">
        <v>1905</v>
      </c>
      <c r="C922" s="20" t="s">
        <v>1564</v>
      </c>
      <c r="I922" s="25" t="s">
        <v>1297</v>
      </c>
      <c r="J922" s="25" t="s">
        <v>2375</v>
      </c>
      <c r="K922" s="25" t="s">
        <v>418</v>
      </c>
      <c r="L922" s="25" t="s">
        <v>537</v>
      </c>
      <c r="M922" s="20" t="s">
        <v>415</v>
      </c>
      <c r="N922" s="20" t="s">
        <v>415</v>
      </c>
      <c r="O922" s="20" t="s">
        <v>416</v>
      </c>
      <c r="P922" s="20" t="s">
        <v>52</v>
      </c>
      <c r="Q922" s="26"/>
      <c r="R922" s="26"/>
      <c r="S922" s="26"/>
      <c r="T922" s="20"/>
      <c r="U922" s="26"/>
      <c r="V922" s="26"/>
      <c r="W922" s="20"/>
      <c r="X922" s="20"/>
      <c r="Y922" s="20"/>
      <c r="Z922" s="20"/>
      <c r="AA922" s="20"/>
      <c r="AB922" s="20"/>
      <c r="AC922" s="20"/>
      <c r="AD922" s="20"/>
      <c r="AE922" s="20"/>
    </row>
    <row r="923">
      <c r="A923" s="21">
        <v>26.0</v>
      </c>
      <c r="B923" s="20" t="s">
        <v>1905</v>
      </c>
      <c r="C923" s="20" t="s">
        <v>1564</v>
      </c>
      <c r="I923" s="25" t="s">
        <v>1584</v>
      </c>
      <c r="J923" s="25" t="s">
        <v>2371</v>
      </c>
      <c r="K923" s="25" t="s">
        <v>71</v>
      </c>
      <c r="L923" s="25" t="s">
        <v>3009</v>
      </c>
      <c r="M923" s="20" t="s">
        <v>2391</v>
      </c>
      <c r="N923" s="20" t="s">
        <v>2392</v>
      </c>
      <c r="O923" s="20" t="s">
        <v>63</v>
      </c>
      <c r="P923" s="20" t="s">
        <v>52</v>
      </c>
      <c r="Q923" s="26"/>
      <c r="R923" s="26"/>
      <c r="S923" s="26"/>
      <c r="T923" s="20"/>
      <c r="U923" s="26"/>
      <c r="V923" s="26"/>
      <c r="W923" s="20"/>
      <c r="X923" s="20"/>
      <c r="Y923" s="20"/>
      <c r="Z923" s="20"/>
      <c r="AA923" s="20"/>
      <c r="AB923" s="20"/>
      <c r="AC923" s="20"/>
      <c r="AD923" s="20"/>
      <c r="AE923" s="20"/>
    </row>
    <row r="924">
      <c r="A924" s="21">
        <v>26.0</v>
      </c>
      <c r="B924" s="20" t="s">
        <v>1905</v>
      </c>
      <c r="C924" s="20" t="s">
        <v>1564</v>
      </c>
      <c r="I924" s="25" t="s">
        <v>2404</v>
      </c>
      <c r="J924" s="25" t="s">
        <v>2403</v>
      </c>
      <c r="K924" s="25" t="s">
        <v>418</v>
      </c>
      <c r="L924" s="25" t="s">
        <v>537</v>
      </c>
      <c r="M924" s="20" t="s">
        <v>415</v>
      </c>
      <c r="N924" s="20" t="s">
        <v>415</v>
      </c>
      <c r="O924" s="20" t="s">
        <v>416</v>
      </c>
      <c r="P924" s="20" t="s">
        <v>52</v>
      </c>
      <c r="Q924" s="26"/>
      <c r="R924" s="26"/>
      <c r="S924" s="26"/>
      <c r="T924" s="20"/>
      <c r="U924" s="26"/>
      <c r="V924" s="26"/>
      <c r="W924" s="20"/>
      <c r="X924" s="20"/>
      <c r="Y924" s="20"/>
      <c r="Z924" s="20"/>
      <c r="AA924" s="20"/>
      <c r="AB924" s="20"/>
      <c r="AC924" s="20"/>
      <c r="AD924" s="20"/>
      <c r="AE924" s="20"/>
    </row>
    <row r="925">
      <c r="A925" s="21">
        <v>26.0</v>
      </c>
      <c r="B925" s="20" t="s">
        <v>1905</v>
      </c>
      <c r="C925" s="20" t="s">
        <v>1564</v>
      </c>
      <c r="I925" s="25" t="s">
        <v>1557</v>
      </c>
      <c r="J925" s="25" t="s">
        <v>2403</v>
      </c>
      <c r="K925" s="25" t="s">
        <v>418</v>
      </c>
      <c r="L925" s="25" t="s">
        <v>537</v>
      </c>
      <c r="M925" s="20" t="s">
        <v>415</v>
      </c>
      <c r="N925" s="20" t="s">
        <v>415</v>
      </c>
      <c r="O925" s="20" t="s">
        <v>416</v>
      </c>
      <c r="P925" s="20" t="s">
        <v>52</v>
      </c>
      <c r="Q925" s="26"/>
      <c r="R925" s="26"/>
      <c r="S925" s="26"/>
      <c r="T925" s="20"/>
      <c r="U925" s="26"/>
      <c r="V925" s="26"/>
      <c r="W925" s="20"/>
      <c r="X925" s="20"/>
      <c r="Y925" s="20"/>
      <c r="Z925" s="20"/>
      <c r="AA925" s="20"/>
      <c r="AB925" s="20"/>
      <c r="AC925" s="20"/>
      <c r="AD925" s="20"/>
      <c r="AE925" s="20"/>
    </row>
    <row r="926">
      <c r="A926" s="21">
        <v>26.0</v>
      </c>
      <c r="B926" s="20" t="s">
        <v>1905</v>
      </c>
      <c r="C926" s="20" t="s">
        <v>1564</v>
      </c>
      <c r="I926" s="25" t="s">
        <v>2134</v>
      </c>
      <c r="J926" s="25" t="s">
        <v>2403</v>
      </c>
      <c r="K926" s="25" t="s">
        <v>418</v>
      </c>
      <c r="L926" s="25" t="s">
        <v>537</v>
      </c>
      <c r="M926" s="20" t="s">
        <v>415</v>
      </c>
      <c r="N926" s="20" t="s">
        <v>415</v>
      </c>
      <c r="O926" s="20" t="s">
        <v>416</v>
      </c>
      <c r="P926" s="20" t="s">
        <v>52</v>
      </c>
      <c r="Q926" s="26"/>
      <c r="R926" s="26"/>
      <c r="S926" s="26"/>
      <c r="T926" s="20"/>
      <c r="U926" s="26"/>
      <c r="V926" s="26"/>
      <c r="W926" s="20"/>
      <c r="X926" s="20"/>
      <c r="Y926" s="20"/>
      <c r="Z926" s="20"/>
      <c r="AA926" s="20"/>
      <c r="AB926" s="20"/>
      <c r="AC926" s="20"/>
      <c r="AD926" s="20"/>
      <c r="AE926" s="20"/>
    </row>
    <row r="927">
      <c r="A927" s="21">
        <v>26.0</v>
      </c>
      <c r="B927" s="20" t="s">
        <v>1905</v>
      </c>
      <c r="C927" s="20" t="s">
        <v>1564</v>
      </c>
      <c r="I927" s="25" t="s">
        <v>1520</v>
      </c>
      <c r="J927" s="25" t="s">
        <v>2371</v>
      </c>
      <c r="K927" s="25" t="s">
        <v>418</v>
      </c>
      <c r="L927" s="25" t="s">
        <v>537</v>
      </c>
      <c r="M927" s="20" t="s">
        <v>415</v>
      </c>
      <c r="N927" s="20" t="s">
        <v>415</v>
      </c>
      <c r="O927" s="20" t="s">
        <v>416</v>
      </c>
      <c r="P927" s="20" t="s">
        <v>52</v>
      </c>
      <c r="Q927" s="26"/>
      <c r="R927" s="26"/>
      <c r="S927" s="26"/>
      <c r="T927" s="20"/>
      <c r="U927" s="26"/>
      <c r="V927" s="26"/>
      <c r="W927" s="20"/>
      <c r="X927" s="20"/>
      <c r="Y927" s="20"/>
      <c r="Z927" s="20"/>
      <c r="AA927" s="20"/>
      <c r="AB927" s="20"/>
      <c r="AC927" s="20"/>
      <c r="AD927" s="20"/>
      <c r="AE927" s="20"/>
    </row>
    <row r="928">
      <c r="A928" s="21">
        <v>26.0</v>
      </c>
      <c r="B928" s="20" t="s">
        <v>1905</v>
      </c>
      <c r="C928" s="20" t="s">
        <v>1564</v>
      </c>
      <c r="I928" s="25" t="s">
        <v>1232</v>
      </c>
      <c r="J928" s="25" t="s">
        <v>2371</v>
      </c>
      <c r="K928" s="25" t="s">
        <v>418</v>
      </c>
      <c r="L928" s="25" t="s">
        <v>537</v>
      </c>
      <c r="M928" s="20" t="s">
        <v>415</v>
      </c>
      <c r="N928" s="20" t="s">
        <v>415</v>
      </c>
      <c r="O928" s="20" t="s">
        <v>416</v>
      </c>
      <c r="P928" s="20" t="s">
        <v>52</v>
      </c>
      <c r="Q928" s="26"/>
      <c r="R928" s="26"/>
      <c r="S928" s="26"/>
      <c r="T928" s="20"/>
      <c r="U928" s="26"/>
      <c r="V928" s="26"/>
      <c r="W928" s="20"/>
      <c r="X928" s="20"/>
      <c r="Y928" s="20"/>
      <c r="Z928" s="20"/>
      <c r="AA928" s="20"/>
      <c r="AB928" s="20"/>
      <c r="AC928" s="20"/>
      <c r="AD928" s="20"/>
      <c r="AE928" s="20"/>
    </row>
    <row r="929">
      <c r="A929" s="21">
        <v>26.0</v>
      </c>
      <c r="B929" s="20" t="s">
        <v>1905</v>
      </c>
      <c r="C929" s="20" t="s">
        <v>1564</v>
      </c>
      <c r="I929" s="25" t="s">
        <v>1522</v>
      </c>
      <c r="J929" s="25" t="s">
        <v>2375</v>
      </c>
      <c r="K929" s="25" t="s">
        <v>418</v>
      </c>
      <c r="L929" s="25" t="s">
        <v>537</v>
      </c>
      <c r="M929" s="20" t="s">
        <v>415</v>
      </c>
      <c r="N929" s="20" t="s">
        <v>415</v>
      </c>
      <c r="O929" s="20" t="s">
        <v>416</v>
      </c>
      <c r="P929" s="20" t="s">
        <v>52</v>
      </c>
      <c r="Q929" s="26"/>
      <c r="R929" s="26"/>
      <c r="S929" s="26"/>
      <c r="T929" s="20"/>
      <c r="U929" s="26"/>
      <c r="V929" s="26"/>
      <c r="W929" s="20"/>
      <c r="X929" s="20"/>
      <c r="Y929" s="20"/>
      <c r="Z929" s="20"/>
      <c r="AA929" s="20"/>
      <c r="AB929" s="20"/>
      <c r="AC929" s="20"/>
      <c r="AD929" s="20"/>
      <c r="AE929" s="20"/>
    </row>
    <row r="930">
      <c r="A930" s="21">
        <v>26.0</v>
      </c>
      <c r="B930" s="20" t="s">
        <v>1905</v>
      </c>
      <c r="C930" s="20" t="s">
        <v>1564</v>
      </c>
      <c r="I930" s="25" t="s">
        <v>2236</v>
      </c>
      <c r="J930" s="25" t="s">
        <v>2375</v>
      </c>
      <c r="K930" s="25" t="s">
        <v>418</v>
      </c>
      <c r="L930" s="25" t="s">
        <v>537</v>
      </c>
      <c r="M930" s="20" t="s">
        <v>415</v>
      </c>
      <c r="N930" s="20" t="s">
        <v>415</v>
      </c>
      <c r="O930" s="20" t="s">
        <v>416</v>
      </c>
      <c r="P930" s="20" t="s">
        <v>52</v>
      </c>
      <c r="Q930" s="26"/>
      <c r="R930" s="26"/>
      <c r="S930" s="26"/>
      <c r="T930" s="20"/>
      <c r="U930" s="26"/>
      <c r="V930" s="26"/>
      <c r="W930" s="20"/>
      <c r="X930" s="20"/>
      <c r="Y930" s="20"/>
      <c r="Z930" s="20"/>
      <c r="AA930" s="20"/>
      <c r="AB930" s="20"/>
      <c r="AC930" s="20"/>
      <c r="AD930" s="20"/>
      <c r="AE930" s="20"/>
    </row>
    <row r="931">
      <c r="A931" s="21">
        <v>26.0</v>
      </c>
      <c r="B931" s="20" t="s">
        <v>1905</v>
      </c>
      <c r="C931" s="20" t="s">
        <v>1564</v>
      </c>
      <c r="I931" s="25" t="s">
        <v>1420</v>
      </c>
      <c r="J931" s="25" t="s">
        <v>2403</v>
      </c>
      <c r="K931" s="25" t="s">
        <v>418</v>
      </c>
      <c r="L931" s="25" t="s">
        <v>537</v>
      </c>
      <c r="M931" s="20" t="s">
        <v>415</v>
      </c>
      <c r="N931" s="20" t="s">
        <v>415</v>
      </c>
      <c r="O931" s="20" t="s">
        <v>416</v>
      </c>
      <c r="P931" s="20" t="s">
        <v>52</v>
      </c>
      <c r="Q931" s="26"/>
      <c r="R931" s="26"/>
      <c r="S931" s="26"/>
      <c r="T931" s="20"/>
      <c r="U931" s="26"/>
      <c r="V931" s="26"/>
      <c r="W931" s="20"/>
      <c r="X931" s="20"/>
      <c r="Y931" s="20"/>
      <c r="Z931" s="20"/>
      <c r="AA931" s="20"/>
      <c r="AB931" s="20"/>
      <c r="AC931" s="20"/>
      <c r="AD931" s="20"/>
      <c r="AE931" s="20"/>
    </row>
    <row r="932">
      <c r="A932" s="21">
        <v>27.0</v>
      </c>
      <c r="B932" s="20" t="s">
        <v>433</v>
      </c>
      <c r="C932" s="20" t="s">
        <v>1564</v>
      </c>
      <c r="D932" s="35">
        <v>22.0</v>
      </c>
      <c r="E932" s="35">
        <v>2.0</v>
      </c>
      <c r="F932" s="35">
        <v>7.0</v>
      </c>
      <c r="G932" s="35">
        <v>13.0</v>
      </c>
      <c r="H932" s="36" t="s">
        <v>3021</v>
      </c>
      <c r="I932" s="25" t="s">
        <v>2414</v>
      </c>
      <c r="J932" s="25" t="s">
        <v>2413</v>
      </c>
      <c r="K932" s="25" t="s">
        <v>57</v>
      </c>
      <c r="L932" s="25" t="s">
        <v>3025</v>
      </c>
      <c r="M932" s="20" t="s">
        <v>2415</v>
      </c>
      <c r="N932" s="20" t="s">
        <v>2416</v>
      </c>
      <c r="O932" s="20" t="s">
        <v>56</v>
      </c>
      <c r="P932" s="20"/>
      <c r="Q932" s="26"/>
      <c r="R932" s="26"/>
      <c r="S932" s="26"/>
      <c r="T932" s="20"/>
      <c r="U932" s="26"/>
      <c r="V932" s="26"/>
      <c r="W932" s="20"/>
      <c r="X932" s="20"/>
      <c r="Y932" s="20"/>
      <c r="Z932" s="20"/>
      <c r="AA932" s="20"/>
      <c r="AB932" s="20"/>
      <c r="AC932" s="20"/>
      <c r="AD932" s="20"/>
      <c r="AE932" s="20"/>
    </row>
    <row r="933">
      <c r="A933" s="21">
        <v>27.0</v>
      </c>
      <c r="B933" s="20" t="s">
        <v>433</v>
      </c>
      <c r="C933" s="20" t="s">
        <v>1564</v>
      </c>
      <c r="I933" s="25" t="s">
        <v>2409</v>
      </c>
      <c r="J933" s="25" t="s">
        <v>2408</v>
      </c>
      <c r="K933" s="25" t="s">
        <v>57</v>
      </c>
      <c r="L933" s="25" t="s">
        <v>3028</v>
      </c>
      <c r="M933" s="20" t="s">
        <v>2410</v>
      </c>
      <c r="N933" s="20" t="s">
        <v>2411</v>
      </c>
      <c r="O933" s="20" t="s">
        <v>56</v>
      </c>
      <c r="P933" s="20"/>
      <c r="Q933" s="26"/>
      <c r="R933" s="26"/>
      <c r="S933" s="26"/>
      <c r="T933" s="20"/>
      <c r="U933" s="26"/>
      <c r="V933" s="26"/>
      <c r="W933" s="20"/>
      <c r="X933" s="20"/>
      <c r="Y933" s="20"/>
      <c r="Z933" s="20"/>
      <c r="AA933" s="20"/>
      <c r="AB933" s="20"/>
      <c r="AC933" s="20"/>
      <c r="AD933" s="20"/>
      <c r="AE933" s="20"/>
    </row>
    <row r="934">
      <c r="A934" s="21">
        <v>27.0</v>
      </c>
      <c r="B934" s="20" t="s">
        <v>433</v>
      </c>
      <c r="C934" s="20" t="s">
        <v>1564</v>
      </c>
      <c r="I934" s="25" t="s">
        <v>2417</v>
      </c>
      <c r="J934" s="25" t="s">
        <v>2408</v>
      </c>
      <c r="K934" s="25" t="s">
        <v>67</v>
      </c>
      <c r="L934" s="25" t="s">
        <v>1133</v>
      </c>
      <c r="M934" s="20" t="s">
        <v>2418</v>
      </c>
      <c r="N934" s="20" t="s">
        <v>2419</v>
      </c>
      <c r="O934" s="20" t="s">
        <v>56</v>
      </c>
      <c r="P934" s="20" t="s">
        <v>52</v>
      </c>
      <c r="Q934" s="26"/>
      <c r="R934" s="26"/>
      <c r="S934" s="26"/>
      <c r="T934" s="22"/>
      <c r="U934" s="26"/>
      <c r="V934" s="26"/>
      <c r="W934" s="20"/>
      <c r="X934" s="20"/>
      <c r="Y934" s="20"/>
      <c r="Z934" s="20"/>
      <c r="AA934" s="20"/>
      <c r="AB934" s="20"/>
      <c r="AC934" s="20"/>
      <c r="AD934" s="20"/>
      <c r="AE934" s="20"/>
    </row>
    <row r="935">
      <c r="A935" s="21">
        <v>27.0</v>
      </c>
      <c r="B935" s="20" t="s">
        <v>433</v>
      </c>
      <c r="C935" s="20" t="s">
        <v>1564</v>
      </c>
      <c r="I935" s="25" t="s">
        <v>2344</v>
      </c>
      <c r="J935" s="25" t="s">
        <v>2408</v>
      </c>
      <c r="K935" s="25" t="s">
        <v>67</v>
      </c>
      <c r="L935" s="25" t="s">
        <v>1025</v>
      </c>
      <c r="M935" s="20" t="s">
        <v>2420</v>
      </c>
      <c r="N935" s="20" t="s">
        <v>2421</v>
      </c>
      <c r="O935" s="20" t="s">
        <v>56</v>
      </c>
      <c r="P935" s="20" t="s">
        <v>52</v>
      </c>
      <c r="Q935" s="26"/>
      <c r="R935" s="26"/>
      <c r="S935" s="26"/>
      <c r="T935" s="22"/>
      <c r="U935" s="26"/>
      <c r="V935" s="26"/>
      <c r="W935" s="20"/>
      <c r="X935" s="20"/>
      <c r="Y935" s="20"/>
      <c r="Z935" s="20"/>
      <c r="AA935" s="20"/>
      <c r="AB935" s="20"/>
      <c r="AC935" s="20"/>
      <c r="AD935" s="20"/>
      <c r="AE935" s="20"/>
    </row>
    <row r="936">
      <c r="A936" s="21">
        <v>27.0</v>
      </c>
      <c r="B936" s="20" t="s">
        <v>433</v>
      </c>
      <c r="C936" s="20" t="s">
        <v>1564</v>
      </c>
      <c r="I936" s="25" t="s">
        <v>2432</v>
      </c>
      <c r="J936" s="25" t="s">
        <v>2431</v>
      </c>
      <c r="K936" s="25" t="s">
        <v>67</v>
      </c>
      <c r="L936" s="25" t="s">
        <v>1133</v>
      </c>
      <c r="M936" s="20" t="s">
        <v>2433</v>
      </c>
      <c r="N936" s="20" t="s">
        <v>2434</v>
      </c>
      <c r="O936" s="20" t="s">
        <v>56</v>
      </c>
      <c r="P936" s="20" t="s">
        <v>52</v>
      </c>
      <c r="Q936" s="26"/>
      <c r="R936" s="26"/>
      <c r="S936" s="26"/>
      <c r="T936" s="22"/>
      <c r="U936" s="26"/>
      <c r="V936" s="26"/>
      <c r="W936" s="20"/>
      <c r="X936" s="20"/>
      <c r="Y936" s="20"/>
      <c r="Z936" s="20"/>
      <c r="AA936" s="20"/>
      <c r="AB936" s="20"/>
      <c r="AC936" s="20"/>
      <c r="AD936" s="20"/>
      <c r="AE936" s="20"/>
    </row>
    <row r="937">
      <c r="A937" s="21">
        <v>27.0</v>
      </c>
      <c r="B937" s="20" t="s">
        <v>433</v>
      </c>
      <c r="C937" s="20" t="s">
        <v>1564</v>
      </c>
      <c r="I937" s="25" t="s">
        <v>2019</v>
      </c>
      <c r="J937" s="25" t="s">
        <v>2408</v>
      </c>
      <c r="K937" s="25" t="s">
        <v>67</v>
      </c>
      <c r="L937" s="25" t="s">
        <v>1025</v>
      </c>
      <c r="M937" s="20" t="s">
        <v>2020</v>
      </c>
      <c r="N937" s="20" t="s">
        <v>2422</v>
      </c>
      <c r="O937" s="20" t="s">
        <v>56</v>
      </c>
      <c r="P937" s="20" t="s">
        <v>52</v>
      </c>
      <c r="Q937" s="26"/>
      <c r="R937" s="26"/>
      <c r="S937" s="26"/>
      <c r="T937" s="22"/>
      <c r="U937" s="26"/>
      <c r="V937" s="26"/>
      <c r="W937" s="20"/>
      <c r="X937" s="20"/>
      <c r="Y937" s="20"/>
      <c r="Z937" s="20"/>
      <c r="AA937" s="20"/>
      <c r="AB937" s="20"/>
      <c r="AC937" s="20"/>
      <c r="AD937" s="20"/>
      <c r="AE937" s="20"/>
    </row>
    <row r="938">
      <c r="A938" s="21">
        <v>27.0</v>
      </c>
      <c r="B938" s="20" t="s">
        <v>433</v>
      </c>
      <c r="C938" s="20" t="s">
        <v>1564</v>
      </c>
      <c r="I938" s="25" t="s">
        <v>2435</v>
      </c>
      <c r="J938" s="25" t="s">
        <v>2431</v>
      </c>
      <c r="K938" s="25" t="s">
        <v>67</v>
      </c>
      <c r="L938" s="25" t="s">
        <v>1025</v>
      </c>
      <c r="M938" s="20" t="s">
        <v>2436</v>
      </c>
      <c r="N938" s="20" t="s">
        <v>2437</v>
      </c>
      <c r="O938" s="20" t="s">
        <v>56</v>
      </c>
      <c r="P938" s="20" t="s">
        <v>52</v>
      </c>
      <c r="Q938" s="26"/>
      <c r="R938" s="26"/>
      <c r="S938" s="26"/>
      <c r="T938" s="22"/>
      <c r="U938" s="26"/>
      <c r="V938" s="26"/>
      <c r="W938" s="20"/>
      <c r="X938" s="20"/>
      <c r="Y938" s="20"/>
      <c r="Z938" s="20"/>
      <c r="AA938" s="20"/>
      <c r="AB938" s="20"/>
      <c r="AC938" s="20"/>
      <c r="AD938" s="20"/>
      <c r="AE938" s="20"/>
    </row>
    <row r="939">
      <c r="A939" s="21">
        <v>27.0</v>
      </c>
      <c r="B939" s="20" t="s">
        <v>433</v>
      </c>
      <c r="C939" s="20" t="s">
        <v>1564</v>
      </c>
      <c r="I939" s="25" t="s">
        <v>2427</v>
      </c>
      <c r="J939" s="25" t="s">
        <v>2413</v>
      </c>
      <c r="K939" s="25" t="s">
        <v>67</v>
      </c>
      <c r="L939" s="25" t="s">
        <v>1025</v>
      </c>
      <c r="M939" s="20" t="s">
        <v>2428</v>
      </c>
      <c r="N939" s="20" t="s">
        <v>2429</v>
      </c>
      <c r="O939" s="20" t="s">
        <v>56</v>
      </c>
      <c r="P939" s="20" t="s">
        <v>52</v>
      </c>
      <c r="Q939" s="26"/>
      <c r="R939" s="26"/>
      <c r="S939" s="26"/>
      <c r="T939" s="22"/>
      <c r="U939" s="26"/>
      <c r="V939" s="26"/>
      <c r="W939" s="20"/>
      <c r="X939" s="20"/>
      <c r="Y939" s="20"/>
      <c r="Z939" s="20"/>
      <c r="AA939" s="20"/>
      <c r="AB939" s="20"/>
      <c r="AC939" s="20"/>
      <c r="AD939" s="20"/>
      <c r="AE939" s="20"/>
    </row>
    <row r="940">
      <c r="A940" s="21">
        <v>27.0</v>
      </c>
      <c r="B940" s="20" t="s">
        <v>433</v>
      </c>
      <c r="C940" s="20" t="s">
        <v>1564</v>
      </c>
      <c r="I940" s="25" t="s">
        <v>2424</v>
      </c>
      <c r="J940" s="25" t="s">
        <v>2408</v>
      </c>
      <c r="K940" s="25" t="s">
        <v>67</v>
      </c>
      <c r="L940" s="25" t="s">
        <v>1025</v>
      </c>
      <c r="M940" s="20" t="s">
        <v>2425</v>
      </c>
      <c r="N940" s="20" t="s">
        <v>2426</v>
      </c>
      <c r="O940" s="20" t="s">
        <v>56</v>
      </c>
      <c r="P940" s="20" t="s">
        <v>52</v>
      </c>
      <c r="Q940" s="26"/>
      <c r="R940" s="26"/>
      <c r="S940" s="26"/>
      <c r="T940" s="22"/>
      <c r="U940" s="26"/>
      <c r="V940" s="26"/>
      <c r="W940" s="20"/>
      <c r="X940" s="20"/>
      <c r="Y940" s="20"/>
      <c r="Z940" s="20"/>
      <c r="AA940" s="20"/>
      <c r="AB940" s="20"/>
      <c r="AC940" s="20"/>
      <c r="AD940" s="20"/>
      <c r="AE940" s="20"/>
    </row>
    <row r="941">
      <c r="A941" s="21">
        <v>27.0</v>
      </c>
      <c r="B941" s="20" t="s">
        <v>433</v>
      </c>
      <c r="C941" s="20" t="s">
        <v>1564</v>
      </c>
      <c r="I941" s="25" t="s">
        <v>2441</v>
      </c>
      <c r="J941" s="25" t="s">
        <v>2413</v>
      </c>
      <c r="K941" s="25" t="s">
        <v>71</v>
      </c>
      <c r="L941" s="25" t="s">
        <v>292</v>
      </c>
      <c r="M941" s="20" t="s">
        <v>2442</v>
      </c>
      <c r="N941" s="20" t="s">
        <v>2443</v>
      </c>
      <c r="O941" s="20" t="s">
        <v>63</v>
      </c>
      <c r="P941" s="20" t="s">
        <v>52</v>
      </c>
      <c r="Q941" s="26"/>
      <c r="R941" s="26"/>
      <c r="S941" s="26"/>
      <c r="T941" s="22"/>
      <c r="U941" s="26"/>
      <c r="V941" s="26"/>
      <c r="W941" s="20"/>
      <c r="X941" s="20"/>
      <c r="Y941" s="20"/>
      <c r="Z941" s="20"/>
      <c r="AA941" s="20"/>
      <c r="AB941" s="20"/>
      <c r="AC941" s="20"/>
      <c r="AD941" s="20"/>
      <c r="AE941" s="20"/>
    </row>
    <row r="942">
      <c r="A942" s="21">
        <v>27.0</v>
      </c>
      <c r="B942" s="20" t="s">
        <v>433</v>
      </c>
      <c r="C942" s="20" t="s">
        <v>1564</v>
      </c>
      <c r="I942" s="25" t="s">
        <v>2458</v>
      </c>
      <c r="J942" s="25" t="s">
        <v>2431</v>
      </c>
      <c r="K942" s="25" t="s">
        <v>71</v>
      </c>
      <c r="L942" s="25" t="s">
        <v>292</v>
      </c>
      <c r="M942" s="20" t="s">
        <v>2459</v>
      </c>
      <c r="N942" s="20" t="s">
        <v>2460</v>
      </c>
      <c r="O942" s="20" t="s">
        <v>63</v>
      </c>
      <c r="P942" s="20" t="s">
        <v>52</v>
      </c>
      <c r="Q942" s="26"/>
      <c r="R942" s="26"/>
      <c r="S942" s="26"/>
      <c r="T942" s="22"/>
      <c r="U942" s="26"/>
      <c r="V942" s="26"/>
      <c r="W942" s="20"/>
      <c r="X942" s="20"/>
      <c r="Y942" s="20"/>
      <c r="Z942" s="20"/>
      <c r="AA942" s="20"/>
      <c r="AB942" s="20"/>
      <c r="AC942" s="20"/>
      <c r="AD942" s="20"/>
      <c r="AE942" s="20"/>
    </row>
    <row r="943">
      <c r="A943" s="21">
        <v>27.0</v>
      </c>
      <c r="B943" s="20" t="s">
        <v>433</v>
      </c>
      <c r="C943" s="20" t="s">
        <v>1564</v>
      </c>
      <c r="I943" s="25" t="s">
        <v>2445</v>
      </c>
      <c r="J943" s="25" t="s">
        <v>2413</v>
      </c>
      <c r="K943" s="25" t="s">
        <v>71</v>
      </c>
      <c r="L943" s="25" t="s">
        <v>3060</v>
      </c>
      <c r="M943" s="20" t="s">
        <v>61</v>
      </c>
      <c r="N943" s="20" t="s">
        <v>2446</v>
      </c>
      <c r="O943" s="20" t="s">
        <v>63</v>
      </c>
      <c r="P943" s="20"/>
      <c r="Q943" s="26"/>
      <c r="R943" s="26"/>
      <c r="S943" s="26"/>
      <c r="T943" s="20"/>
      <c r="U943" s="26"/>
      <c r="V943" s="26"/>
      <c r="W943" s="20"/>
      <c r="X943" s="20"/>
      <c r="Y943" s="20"/>
      <c r="Z943" s="20"/>
      <c r="AA943" s="20"/>
      <c r="AB943" s="20"/>
      <c r="AC943" s="20"/>
      <c r="AD943" s="20"/>
      <c r="AE943" s="20"/>
    </row>
    <row r="944">
      <c r="A944" s="21">
        <v>27.0</v>
      </c>
      <c r="B944" s="20" t="s">
        <v>433</v>
      </c>
      <c r="C944" s="20" t="s">
        <v>1564</v>
      </c>
      <c r="I944" s="25" t="s">
        <v>2461</v>
      </c>
      <c r="J944" s="25" t="s">
        <v>2431</v>
      </c>
      <c r="K944" s="25" t="s">
        <v>71</v>
      </c>
      <c r="L944" s="25" t="s">
        <v>292</v>
      </c>
      <c r="M944" s="20" t="s">
        <v>2462</v>
      </c>
      <c r="N944" s="20" t="s">
        <v>2463</v>
      </c>
      <c r="O944" s="20" t="s">
        <v>63</v>
      </c>
      <c r="P944" s="20" t="s">
        <v>52</v>
      </c>
      <c r="Q944" s="26"/>
      <c r="R944" s="26"/>
      <c r="S944" s="26"/>
      <c r="T944" s="22"/>
      <c r="U944" s="26"/>
      <c r="V944" s="26"/>
      <c r="W944" s="20"/>
      <c r="X944" s="20"/>
      <c r="Y944" s="20"/>
      <c r="Z944" s="20"/>
      <c r="AA944" s="20"/>
      <c r="AB944" s="20"/>
      <c r="AC944" s="20"/>
      <c r="AD944" s="20"/>
      <c r="AE944" s="20"/>
    </row>
    <row r="945">
      <c r="A945" s="21">
        <v>27.0</v>
      </c>
      <c r="B945" s="20" t="s">
        <v>433</v>
      </c>
      <c r="C945" s="20" t="s">
        <v>1564</v>
      </c>
      <c r="I945" s="25" t="s">
        <v>2447</v>
      </c>
      <c r="J945" s="25" t="s">
        <v>2413</v>
      </c>
      <c r="K945" s="25" t="s">
        <v>71</v>
      </c>
      <c r="L945" s="25" t="s">
        <v>292</v>
      </c>
      <c r="M945" s="20" t="s">
        <v>2448</v>
      </c>
      <c r="N945" s="20" t="s">
        <v>2449</v>
      </c>
      <c r="O945" s="20" t="s">
        <v>63</v>
      </c>
      <c r="P945" s="20" t="s">
        <v>52</v>
      </c>
      <c r="Q945" s="26"/>
      <c r="R945" s="26"/>
      <c r="S945" s="26"/>
      <c r="T945" s="22"/>
      <c r="U945" s="26"/>
      <c r="V945" s="26"/>
      <c r="W945" s="20"/>
      <c r="X945" s="20"/>
      <c r="Y945" s="20"/>
      <c r="Z945" s="20"/>
      <c r="AA945" s="20"/>
      <c r="AB945" s="20"/>
      <c r="AC945" s="20"/>
      <c r="AD945" s="20"/>
      <c r="AE945" s="20"/>
    </row>
    <row r="946">
      <c r="A946" s="21">
        <v>27.0</v>
      </c>
      <c r="B946" s="20" t="s">
        <v>433</v>
      </c>
      <c r="C946" s="20" t="s">
        <v>1564</v>
      </c>
      <c r="I946" s="25" t="s">
        <v>2016</v>
      </c>
      <c r="J946" s="25" t="s">
        <v>2431</v>
      </c>
      <c r="K946" s="25" t="s">
        <v>71</v>
      </c>
      <c r="L946" s="25" t="s">
        <v>292</v>
      </c>
      <c r="M946" s="20" t="s">
        <v>2464</v>
      </c>
      <c r="N946" s="20" t="s">
        <v>2465</v>
      </c>
      <c r="O946" s="20" t="s">
        <v>63</v>
      </c>
      <c r="P946" s="20" t="s">
        <v>52</v>
      </c>
      <c r="Q946" s="26"/>
      <c r="R946" s="26"/>
      <c r="S946" s="26"/>
      <c r="T946" s="22"/>
      <c r="U946" s="26"/>
      <c r="V946" s="26"/>
      <c r="W946" s="20"/>
      <c r="X946" s="20"/>
      <c r="Y946" s="20"/>
      <c r="Z946" s="20"/>
      <c r="AA946" s="20"/>
      <c r="AB946" s="20"/>
      <c r="AC946" s="20"/>
      <c r="AD946" s="20"/>
      <c r="AE946" s="20"/>
    </row>
    <row r="947">
      <c r="A947" s="21">
        <v>27.0</v>
      </c>
      <c r="B947" s="20" t="s">
        <v>433</v>
      </c>
      <c r="C947" s="20" t="s">
        <v>1564</v>
      </c>
      <c r="I947" s="25" t="s">
        <v>2450</v>
      </c>
      <c r="J947" s="25" t="s">
        <v>2413</v>
      </c>
      <c r="K947" s="25" t="s">
        <v>71</v>
      </c>
      <c r="L947" s="25" t="s">
        <v>292</v>
      </c>
      <c r="M947" s="20" t="s">
        <v>2451</v>
      </c>
      <c r="N947" s="20" t="s">
        <v>2443</v>
      </c>
      <c r="O947" s="20" t="s">
        <v>63</v>
      </c>
      <c r="P947" s="20" t="s">
        <v>52</v>
      </c>
      <c r="Q947" s="26"/>
      <c r="R947" s="26"/>
      <c r="S947" s="26"/>
      <c r="T947" s="22"/>
      <c r="U947" s="26"/>
      <c r="V947" s="26"/>
      <c r="W947" s="20"/>
      <c r="X947" s="20"/>
      <c r="Y947" s="20"/>
      <c r="Z947" s="20"/>
      <c r="AA947" s="20"/>
      <c r="AB947" s="20"/>
      <c r="AC947" s="20"/>
      <c r="AD947" s="20"/>
      <c r="AE947" s="20"/>
    </row>
    <row r="948">
      <c r="A948" s="21">
        <v>27.0</v>
      </c>
      <c r="B948" s="20" t="s">
        <v>433</v>
      </c>
      <c r="C948" s="20" t="s">
        <v>1564</v>
      </c>
      <c r="I948" s="25" t="s">
        <v>2466</v>
      </c>
      <c r="J948" s="25" t="s">
        <v>2431</v>
      </c>
      <c r="K948" s="25" t="s">
        <v>71</v>
      </c>
      <c r="L948" s="25" t="s">
        <v>292</v>
      </c>
      <c r="M948" s="20" t="s">
        <v>2467</v>
      </c>
      <c r="N948" s="20" t="s">
        <v>2468</v>
      </c>
      <c r="O948" s="20" t="s">
        <v>63</v>
      </c>
      <c r="P948" s="20" t="s">
        <v>52</v>
      </c>
      <c r="Q948" s="26"/>
      <c r="R948" s="26"/>
      <c r="S948" s="26"/>
      <c r="T948" s="22"/>
      <c r="U948" s="26"/>
      <c r="V948" s="26"/>
      <c r="W948" s="20"/>
      <c r="X948" s="20"/>
      <c r="Y948" s="20"/>
      <c r="Z948" s="20"/>
      <c r="AA948" s="20"/>
      <c r="AB948" s="20"/>
      <c r="AC948" s="20"/>
      <c r="AD948" s="20"/>
      <c r="AE948" s="20"/>
    </row>
    <row r="949">
      <c r="A949" s="21">
        <v>27.0</v>
      </c>
      <c r="B949" s="20" t="s">
        <v>433</v>
      </c>
      <c r="C949" s="20" t="s">
        <v>1564</v>
      </c>
      <c r="I949" s="25" t="s">
        <v>2452</v>
      </c>
      <c r="J949" s="25" t="s">
        <v>2413</v>
      </c>
      <c r="K949" s="25" t="s">
        <v>71</v>
      </c>
      <c r="L949" s="25" t="s">
        <v>292</v>
      </c>
      <c r="M949" s="20" t="s">
        <v>2453</v>
      </c>
      <c r="N949" s="20" t="s">
        <v>2454</v>
      </c>
      <c r="O949" s="20" t="s">
        <v>63</v>
      </c>
      <c r="P949" s="20" t="s">
        <v>52</v>
      </c>
      <c r="Q949" s="26"/>
      <c r="R949" s="26"/>
      <c r="S949" s="26"/>
      <c r="T949" s="22"/>
      <c r="U949" s="26"/>
      <c r="V949" s="26"/>
      <c r="W949" s="20"/>
      <c r="X949" s="20"/>
      <c r="Y949" s="20"/>
      <c r="Z949" s="20"/>
      <c r="AA949" s="20"/>
      <c r="AB949" s="20"/>
      <c r="AC949" s="20"/>
      <c r="AD949" s="20"/>
      <c r="AE949" s="20"/>
    </row>
    <row r="950">
      <c r="A950" s="21">
        <v>27.0</v>
      </c>
      <c r="B950" s="20" t="s">
        <v>433</v>
      </c>
      <c r="C950" s="20" t="s">
        <v>1564</v>
      </c>
      <c r="I950" s="25" t="s">
        <v>2469</v>
      </c>
      <c r="J950" s="25" t="s">
        <v>2431</v>
      </c>
      <c r="K950" s="25" t="s">
        <v>71</v>
      </c>
      <c r="L950" s="25" t="s">
        <v>3067</v>
      </c>
      <c r="M950" s="20" t="s">
        <v>2470</v>
      </c>
      <c r="N950" s="20" t="s">
        <v>2471</v>
      </c>
      <c r="O950" s="20" t="s">
        <v>63</v>
      </c>
      <c r="P950" s="20"/>
      <c r="Q950" s="26"/>
      <c r="R950" s="26"/>
      <c r="S950" s="26"/>
      <c r="T950" s="20"/>
      <c r="U950" s="26"/>
      <c r="V950" s="26"/>
      <c r="W950" s="20"/>
      <c r="X950" s="20"/>
      <c r="Y950" s="20"/>
      <c r="Z950" s="20"/>
      <c r="AA950" s="20"/>
      <c r="AB950" s="20"/>
      <c r="AC950" s="20"/>
      <c r="AD950" s="20"/>
      <c r="AE950" s="20"/>
    </row>
    <row r="951">
      <c r="A951" s="21">
        <v>27.0</v>
      </c>
      <c r="B951" s="20" t="s">
        <v>433</v>
      </c>
      <c r="C951" s="20" t="s">
        <v>1564</v>
      </c>
      <c r="I951" s="25" t="s">
        <v>2455</v>
      </c>
      <c r="J951" s="25" t="s">
        <v>2413</v>
      </c>
      <c r="K951" s="25" t="s">
        <v>71</v>
      </c>
      <c r="L951" s="25" t="s">
        <v>292</v>
      </c>
      <c r="M951" s="20" t="s">
        <v>2456</v>
      </c>
      <c r="N951" s="20" t="s">
        <v>2457</v>
      </c>
      <c r="O951" s="20" t="s">
        <v>63</v>
      </c>
      <c r="P951" s="20" t="s">
        <v>52</v>
      </c>
      <c r="Q951" s="26"/>
      <c r="R951" s="26"/>
      <c r="S951" s="26"/>
      <c r="T951" s="22"/>
      <c r="U951" s="26"/>
      <c r="V951" s="26"/>
      <c r="W951" s="20"/>
      <c r="X951" s="20"/>
      <c r="Y951" s="20"/>
      <c r="Z951" s="20"/>
      <c r="AA951" s="20"/>
      <c r="AB951" s="20"/>
      <c r="AC951" s="20"/>
      <c r="AD951" s="20"/>
      <c r="AE951" s="20"/>
    </row>
    <row r="952">
      <c r="A952" s="21">
        <v>27.0</v>
      </c>
      <c r="B952" s="20" t="s">
        <v>433</v>
      </c>
      <c r="C952" s="20" t="s">
        <v>1564</v>
      </c>
      <c r="I952" s="25" t="s">
        <v>2042</v>
      </c>
      <c r="J952" s="25" t="s">
        <v>2431</v>
      </c>
      <c r="K952" s="25" t="s">
        <v>418</v>
      </c>
      <c r="L952" s="25" t="s">
        <v>537</v>
      </c>
      <c r="M952" s="20" t="s">
        <v>415</v>
      </c>
      <c r="N952" s="20" t="s">
        <v>415</v>
      </c>
      <c r="O952" s="20" t="s">
        <v>416</v>
      </c>
      <c r="P952" s="20"/>
      <c r="Q952" s="26"/>
      <c r="R952" s="26"/>
      <c r="S952" s="26"/>
      <c r="T952" s="20"/>
      <c r="U952" s="26"/>
      <c r="V952" s="26"/>
      <c r="W952" s="20"/>
      <c r="X952" s="20"/>
      <c r="Y952" s="20"/>
      <c r="Z952" s="20"/>
      <c r="AA952" s="20"/>
      <c r="AB952" s="20"/>
      <c r="AC952" s="20"/>
      <c r="AD952" s="20"/>
      <c r="AE952" s="20"/>
    </row>
    <row r="953">
      <c r="A953" s="21">
        <v>27.0</v>
      </c>
      <c r="B953" s="20" t="s">
        <v>433</v>
      </c>
      <c r="C953" s="20" t="s">
        <v>1564</v>
      </c>
      <c r="I953" s="25" t="s">
        <v>2475</v>
      </c>
      <c r="J953" s="25" t="s">
        <v>2408</v>
      </c>
      <c r="K953" s="25" t="s">
        <v>418</v>
      </c>
      <c r="L953" s="25" t="s">
        <v>537</v>
      </c>
      <c r="M953" s="20" t="s">
        <v>415</v>
      </c>
      <c r="N953" s="20" t="s">
        <v>415</v>
      </c>
      <c r="O953" s="20" t="s">
        <v>416</v>
      </c>
      <c r="P953" s="20"/>
      <c r="Q953" s="26"/>
      <c r="R953" s="26"/>
      <c r="S953" s="26"/>
      <c r="T953" s="20"/>
      <c r="U953" s="26"/>
      <c r="V953" s="26"/>
      <c r="W953" s="20"/>
      <c r="X953" s="20"/>
      <c r="Y953" s="20"/>
      <c r="Z953" s="20"/>
      <c r="AA953" s="20"/>
      <c r="AB953" s="20"/>
      <c r="AC953" s="20"/>
      <c r="AD953" s="20"/>
      <c r="AE953" s="20"/>
    </row>
    <row r="954">
      <c r="A954" s="21">
        <v>27.0</v>
      </c>
      <c r="B954" s="20" t="s">
        <v>433</v>
      </c>
      <c r="C954" s="20" t="s">
        <v>1564</v>
      </c>
      <c r="I954" s="25" t="s">
        <v>2477</v>
      </c>
      <c r="J954" s="25" t="s">
        <v>2413</v>
      </c>
      <c r="K954" s="25" t="s">
        <v>418</v>
      </c>
      <c r="L954" s="25" t="s">
        <v>537</v>
      </c>
      <c r="M954" s="20" t="s">
        <v>415</v>
      </c>
      <c r="N954" s="20" t="s">
        <v>415</v>
      </c>
      <c r="O954" s="20" t="s">
        <v>416</v>
      </c>
      <c r="P954" s="20"/>
      <c r="Q954" s="26"/>
      <c r="R954" s="26"/>
      <c r="S954" s="26"/>
      <c r="T954" s="20"/>
      <c r="U954" s="26"/>
      <c r="V954" s="26"/>
      <c r="W954" s="20"/>
      <c r="X954" s="20"/>
      <c r="Y954" s="20"/>
      <c r="Z954" s="20"/>
      <c r="AA954" s="20"/>
      <c r="AB954" s="20"/>
      <c r="AC954" s="20"/>
      <c r="AD954" s="20"/>
      <c r="AE954" s="20"/>
    </row>
    <row r="955">
      <c r="A955" s="21">
        <v>27.0</v>
      </c>
      <c r="B955" s="20" t="s">
        <v>433</v>
      </c>
      <c r="C955" s="20" t="s">
        <v>1564</v>
      </c>
      <c r="I955" s="25" t="s">
        <v>2476</v>
      </c>
      <c r="J955" s="25" t="s">
        <v>2408</v>
      </c>
      <c r="K955" s="25" t="s">
        <v>418</v>
      </c>
      <c r="L955" s="25" t="s">
        <v>537</v>
      </c>
      <c r="M955" s="20" t="s">
        <v>415</v>
      </c>
      <c r="N955" s="20" t="s">
        <v>415</v>
      </c>
      <c r="O955" s="20" t="s">
        <v>416</v>
      </c>
      <c r="P955" s="20"/>
      <c r="Q955" s="26"/>
      <c r="R955" s="26"/>
      <c r="S955" s="26"/>
      <c r="T955" s="20"/>
      <c r="U955" s="26"/>
      <c r="V955" s="26"/>
      <c r="W955" s="20"/>
      <c r="X955" s="20"/>
      <c r="Y955" s="20"/>
      <c r="Z955" s="20"/>
      <c r="AA955" s="20"/>
      <c r="AB955" s="20"/>
      <c r="AC955" s="20"/>
      <c r="AD955" s="20"/>
      <c r="AE955" s="20"/>
    </row>
    <row r="956">
      <c r="A956" s="21">
        <v>27.0</v>
      </c>
      <c r="B956" s="20" t="s">
        <v>433</v>
      </c>
      <c r="C956" s="20" t="s">
        <v>1564</v>
      </c>
      <c r="I956" s="25" t="s">
        <v>2479</v>
      </c>
      <c r="J956" s="25" t="s">
        <v>2431</v>
      </c>
      <c r="K956" s="25" t="s">
        <v>418</v>
      </c>
      <c r="L956" s="25" t="s">
        <v>537</v>
      </c>
      <c r="M956" s="20" t="s">
        <v>415</v>
      </c>
      <c r="N956" s="20" t="s">
        <v>415</v>
      </c>
      <c r="O956" s="20" t="s">
        <v>416</v>
      </c>
      <c r="P956" s="20"/>
      <c r="Q956" s="26"/>
      <c r="R956" s="26"/>
      <c r="S956" s="26"/>
      <c r="T956" s="20"/>
      <c r="U956" s="26"/>
      <c r="V956" s="26"/>
      <c r="W956" s="20"/>
      <c r="X956" s="20"/>
      <c r="Y956" s="20"/>
      <c r="Z956" s="20"/>
      <c r="AA956" s="20"/>
      <c r="AB956" s="20"/>
      <c r="AC956" s="20"/>
      <c r="AD956" s="20"/>
      <c r="AE956" s="20"/>
    </row>
    <row r="957">
      <c r="A957" s="21">
        <v>27.0</v>
      </c>
      <c r="B957" s="20" t="s">
        <v>433</v>
      </c>
      <c r="C957" s="20" t="s">
        <v>1564</v>
      </c>
      <c r="I957" s="25" t="s">
        <v>2478</v>
      </c>
      <c r="J957" s="25" t="s">
        <v>2413</v>
      </c>
      <c r="K957" s="25" t="s">
        <v>418</v>
      </c>
      <c r="L957" s="25" t="s">
        <v>537</v>
      </c>
      <c r="M957" s="20" t="s">
        <v>415</v>
      </c>
      <c r="N957" s="20" t="s">
        <v>415</v>
      </c>
      <c r="O957" s="20" t="s">
        <v>416</v>
      </c>
      <c r="P957" s="20"/>
      <c r="Q957" s="26"/>
      <c r="R957" s="26"/>
      <c r="S957" s="26"/>
      <c r="T957" s="20"/>
      <c r="U957" s="26"/>
      <c r="V957" s="26"/>
      <c r="W957" s="20"/>
      <c r="X957" s="20"/>
      <c r="Y957" s="20"/>
      <c r="Z957" s="20"/>
      <c r="AA957" s="20"/>
      <c r="AB957" s="20"/>
      <c r="AC957" s="20"/>
      <c r="AD957" s="20"/>
      <c r="AE957" s="20"/>
    </row>
    <row r="958">
      <c r="A958" s="21">
        <v>27.0</v>
      </c>
      <c r="B958" s="20" t="s">
        <v>433</v>
      </c>
      <c r="C958" s="20" t="s">
        <v>1564</v>
      </c>
      <c r="I958" s="25" t="s">
        <v>2438</v>
      </c>
      <c r="J958" s="25" t="s">
        <v>2431</v>
      </c>
      <c r="K958" s="25" t="s">
        <v>71</v>
      </c>
      <c r="L958" s="25" t="s">
        <v>3087</v>
      </c>
      <c r="M958" s="20" t="s">
        <v>2439</v>
      </c>
      <c r="N958" s="20" t="s">
        <v>2440</v>
      </c>
      <c r="O958" s="20" t="s">
        <v>56</v>
      </c>
      <c r="P958" s="20"/>
      <c r="Q958" s="26"/>
      <c r="R958" s="26"/>
      <c r="S958" s="26"/>
      <c r="T958" s="20"/>
      <c r="U958" s="26"/>
      <c r="V958" s="26"/>
      <c r="W958" s="20"/>
      <c r="X958" s="20"/>
      <c r="Y958" s="20"/>
      <c r="Z958" s="20"/>
      <c r="AA958" s="20"/>
      <c r="AB958" s="20"/>
      <c r="AC958" s="20"/>
      <c r="AD958" s="20"/>
      <c r="AE958" s="20"/>
    </row>
    <row r="959">
      <c r="A959" s="21">
        <v>27.0</v>
      </c>
      <c r="B959" s="20" t="s">
        <v>433</v>
      </c>
      <c r="C959" s="20" t="s">
        <v>1564</v>
      </c>
      <c r="I959" s="25" t="s">
        <v>2481</v>
      </c>
      <c r="J959" s="25" t="s">
        <v>2431</v>
      </c>
      <c r="K959" s="25" t="s">
        <v>418</v>
      </c>
      <c r="L959" s="25" t="s">
        <v>537</v>
      </c>
      <c r="M959" s="20" t="s">
        <v>415</v>
      </c>
      <c r="N959" s="20" t="s">
        <v>415</v>
      </c>
      <c r="O959" s="20" t="s">
        <v>416</v>
      </c>
      <c r="P959" s="20"/>
      <c r="Q959" s="26"/>
      <c r="R959" s="26"/>
      <c r="S959" s="26"/>
      <c r="T959" s="20"/>
      <c r="U959" s="26"/>
      <c r="V959" s="26"/>
      <c r="W959" s="20"/>
      <c r="X959" s="20"/>
      <c r="Y959" s="20"/>
      <c r="Z959" s="20"/>
      <c r="AA959" s="20"/>
      <c r="AB959" s="20"/>
      <c r="AC959" s="20"/>
      <c r="AD959" s="20"/>
      <c r="AE959" s="20"/>
    </row>
    <row r="960">
      <c r="A960" s="21">
        <v>27.0</v>
      </c>
      <c r="B960" s="20" t="s">
        <v>433</v>
      </c>
      <c r="C960" s="20" t="s">
        <v>1564</v>
      </c>
      <c r="I960" s="25" t="s">
        <v>1253</v>
      </c>
      <c r="J960" s="25" t="s">
        <v>2413</v>
      </c>
      <c r="K960" s="25" t="s">
        <v>418</v>
      </c>
      <c r="L960" s="25" t="s">
        <v>537</v>
      </c>
      <c r="M960" s="20" t="s">
        <v>415</v>
      </c>
      <c r="N960" s="20" t="s">
        <v>415</v>
      </c>
      <c r="O960" s="20" t="s">
        <v>416</v>
      </c>
      <c r="P960" s="20"/>
      <c r="Q960" s="26"/>
      <c r="R960" s="26"/>
      <c r="S960" s="26"/>
      <c r="T960" s="20"/>
      <c r="U960" s="26"/>
      <c r="V960" s="26"/>
      <c r="W960" s="20"/>
      <c r="X960" s="20"/>
      <c r="Y960" s="20"/>
      <c r="Z960" s="20"/>
      <c r="AA960" s="20"/>
      <c r="AB960" s="20"/>
      <c r="AC960" s="20"/>
      <c r="AD960" s="20"/>
      <c r="AE960" s="20"/>
    </row>
    <row r="961">
      <c r="A961" s="21">
        <v>27.0</v>
      </c>
      <c r="B961" s="20" t="s">
        <v>433</v>
      </c>
      <c r="C961" s="20" t="s">
        <v>1564</v>
      </c>
      <c r="I961" s="25" t="s">
        <v>2472</v>
      </c>
      <c r="J961" s="25" t="s">
        <v>2431</v>
      </c>
      <c r="K961" s="25" t="s">
        <v>71</v>
      </c>
      <c r="L961" s="25" t="s">
        <v>3092</v>
      </c>
      <c r="M961" s="20" t="s">
        <v>2473</v>
      </c>
      <c r="N961" s="20" t="s">
        <v>2474</v>
      </c>
      <c r="O961" s="20" t="s">
        <v>63</v>
      </c>
      <c r="P961" s="20"/>
      <c r="Q961" s="26"/>
      <c r="R961" s="26"/>
      <c r="S961" s="26"/>
      <c r="T961" s="20"/>
      <c r="U961" s="26"/>
      <c r="V961" s="26"/>
      <c r="W961" s="20"/>
      <c r="X961" s="20"/>
      <c r="Y961" s="20"/>
      <c r="Z961" s="20"/>
      <c r="AA961" s="20"/>
      <c r="AB961" s="20"/>
      <c r="AC961" s="20"/>
      <c r="AD961" s="20"/>
      <c r="AE961" s="20"/>
    </row>
    <row r="962">
      <c r="A962" s="21">
        <v>28.0</v>
      </c>
      <c r="B962" s="20" t="s">
        <v>2091</v>
      </c>
      <c r="C962" s="20" t="s">
        <v>3094</v>
      </c>
      <c r="D962" s="35">
        <v>200.0</v>
      </c>
      <c r="E962" s="35">
        <v>3.0</v>
      </c>
      <c r="F962" s="35">
        <v>2.0</v>
      </c>
      <c r="G962" s="35">
        <v>195.0</v>
      </c>
      <c r="H962" s="36" t="s">
        <v>3097</v>
      </c>
      <c r="I962" s="25" t="s">
        <v>2484</v>
      </c>
      <c r="J962" s="25" t="s">
        <v>2483</v>
      </c>
      <c r="K962" s="25" t="s">
        <v>57</v>
      </c>
      <c r="L962" s="25" t="s">
        <v>3099</v>
      </c>
      <c r="M962" s="20" t="s">
        <v>61</v>
      </c>
      <c r="N962" s="20" t="s">
        <v>2485</v>
      </c>
      <c r="O962" s="20" t="s">
        <v>56</v>
      </c>
      <c r="P962" s="20"/>
      <c r="Q962" s="26"/>
      <c r="R962" s="26"/>
      <c r="S962" s="26"/>
      <c r="T962" s="20"/>
      <c r="U962" s="26"/>
      <c r="V962" s="26"/>
      <c r="W962" s="20"/>
      <c r="X962" s="20"/>
      <c r="Y962" s="20"/>
      <c r="Z962" s="20"/>
      <c r="AA962" s="20"/>
      <c r="AB962" s="20"/>
      <c r="AC962" s="20"/>
      <c r="AD962" s="20"/>
      <c r="AE962" s="20"/>
    </row>
    <row r="963">
      <c r="A963" s="21">
        <v>28.0</v>
      </c>
      <c r="B963" s="20" t="s">
        <v>2091</v>
      </c>
      <c r="C963" s="20" t="s">
        <v>3094</v>
      </c>
      <c r="I963" s="25" t="s">
        <v>2492</v>
      </c>
      <c r="J963" s="25" t="s">
        <v>2491</v>
      </c>
      <c r="K963" s="25" t="s">
        <v>57</v>
      </c>
      <c r="L963" s="25" t="s">
        <v>3101</v>
      </c>
      <c r="M963" s="20" t="s">
        <v>2493</v>
      </c>
      <c r="N963" s="20" t="s">
        <v>2495</v>
      </c>
      <c r="O963" s="20" t="s">
        <v>56</v>
      </c>
      <c r="P963" s="20"/>
      <c r="Q963" s="26"/>
      <c r="R963" s="26"/>
      <c r="S963" s="26"/>
      <c r="T963" s="20"/>
      <c r="U963" s="26"/>
      <c r="V963" s="26"/>
      <c r="W963" s="20"/>
      <c r="X963" s="20"/>
      <c r="Y963" s="20"/>
      <c r="Z963" s="20"/>
      <c r="AA963" s="20"/>
      <c r="AB963" s="20"/>
      <c r="AC963" s="20"/>
      <c r="AD963" s="20"/>
      <c r="AE963" s="20"/>
    </row>
    <row r="964">
      <c r="A964" s="21">
        <v>28.0</v>
      </c>
      <c r="B964" s="20" t="s">
        <v>2091</v>
      </c>
      <c r="C964" s="20" t="s">
        <v>3094</v>
      </c>
      <c r="I964" s="25" t="s">
        <v>2488</v>
      </c>
      <c r="J964" s="25" t="s">
        <v>2487</v>
      </c>
      <c r="K964" s="25" t="s">
        <v>57</v>
      </c>
      <c r="L964" s="25" t="s">
        <v>3104</v>
      </c>
      <c r="M964" s="20" t="s">
        <v>2489</v>
      </c>
      <c r="N964" s="20" t="s">
        <v>2490</v>
      </c>
      <c r="O964" s="20" t="s">
        <v>56</v>
      </c>
      <c r="P964" s="20"/>
      <c r="Q964" s="26"/>
      <c r="R964" s="26"/>
      <c r="S964" s="26"/>
      <c r="T964" s="20"/>
      <c r="U964" s="26"/>
      <c r="V964" s="26"/>
      <c r="W964" s="20"/>
      <c r="X964" s="20"/>
      <c r="Y964" s="20"/>
      <c r="Z964" s="20"/>
      <c r="AA964" s="20"/>
      <c r="AB964" s="20"/>
      <c r="AC964" s="20"/>
      <c r="AD964" s="20"/>
      <c r="AE964" s="20"/>
    </row>
    <row r="965">
      <c r="A965" s="21">
        <v>28.0</v>
      </c>
      <c r="B965" s="20" t="s">
        <v>2091</v>
      </c>
      <c r="C965" s="20" t="s">
        <v>3094</v>
      </c>
      <c r="I965" s="25" t="s">
        <v>2497</v>
      </c>
      <c r="J965" s="25" t="s">
        <v>2483</v>
      </c>
      <c r="K965" s="25" t="s">
        <v>67</v>
      </c>
      <c r="L965" s="25" t="s">
        <v>3105</v>
      </c>
      <c r="M965" s="20" t="s">
        <v>2498</v>
      </c>
      <c r="N965" s="20" t="s">
        <v>2500</v>
      </c>
      <c r="O965" s="20" t="s">
        <v>63</v>
      </c>
      <c r="P965" s="20"/>
      <c r="Q965" s="26"/>
      <c r="R965" s="26"/>
      <c r="S965" s="26"/>
      <c r="T965" s="20"/>
      <c r="U965" s="26"/>
      <c r="V965" s="26"/>
      <c r="W965" s="20"/>
      <c r="X965" s="20"/>
      <c r="Y965" s="20"/>
      <c r="Z965" s="20"/>
      <c r="AA965" s="20"/>
      <c r="AB965" s="20"/>
      <c r="AC965" s="20"/>
      <c r="AD965" s="20"/>
      <c r="AE965" s="20"/>
    </row>
    <row r="966">
      <c r="A966" s="21">
        <v>28.0</v>
      </c>
      <c r="B966" s="20" t="s">
        <v>2091</v>
      </c>
      <c r="C966" s="20" t="s">
        <v>3094</v>
      </c>
      <c r="I966" s="25" t="s">
        <v>2502</v>
      </c>
      <c r="J966" s="25" t="s">
        <v>2491</v>
      </c>
      <c r="K966" s="25" t="s">
        <v>67</v>
      </c>
      <c r="L966" s="25" t="s">
        <v>3107</v>
      </c>
      <c r="M966" s="20" t="s">
        <v>2503</v>
      </c>
      <c r="N966" s="20" t="s">
        <v>2504</v>
      </c>
      <c r="O966" s="20" t="s">
        <v>63</v>
      </c>
      <c r="P966" s="20"/>
      <c r="Q966" s="26"/>
      <c r="R966" s="26"/>
      <c r="S966" s="26"/>
      <c r="T966" s="20"/>
      <c r="U966" s="26"/>
      <c r="V966" s="26"/>
      <c r="W966" s="20"/>
      <c r="X966" s="20"/>
      <c r="Y966" s="20"/>
      <c r="Z966" s="20"/>
      <c r="AA966" s="20"/>
      <c r="AB966" s="20"/>
      <c r="AC966" s="20"/>
      <c r="AD966" s="20"/>
      <c r="AE966" s="20"/>
    </row>
    <row r="967">
      <c r="A967" s="21">
        <v>28.0</v>
      </c>
      <c r="B967" s="20" t="s">
        <v>2091</v>
      </c>
      <c r="C967" s="20" t="s">
        <v>3094</v>
      </c>
      <c r="I967" s="25" t="s">
        <v>2517</v>
      </c>
      <c r="J967" s="25" t="s">
        <v>2483</v>
      </c>
      <c r="K967" s="25" t="s">
        <v>71</v>
      </c>
      <c r="L967" s="25" t="s">
        <v>292</v>
      </c>
      <c r="M967" s="20" t="s">
        <v>2518</v>
      </c>
      <c r="N967" s="20" t="s">
        <v>2519</v>
      </c>
      <c r="O967" s="20" t="s">
        <v>63</v>
      </c>
      <c r="P967" s="20" t="s">
        <v>52</v>
      </c>
      <c r="Q967" s="26"/>
      <c r="R967" s="26"/>
      <c r="S967" s="26"/>
      <c r="T967" s="22"/>
      <c r="U967" s="26"/>
      <c r="V967" s="26"/>
      <c r="W967" s="20"/>
      <c r="X967" s="20"/>
      <c r="Y967" s="20"/>
      <c r="Z967" s="20"/>
      <c r="AA967" s="20"/>
      <c r="AB967" s="20"/>
      <c r="AC967" s="20"/>
      <c r="AD967" s="20"/>
      <c r="AE967" s="20"/>
    </row>
    <row r="968">
      <c r="A968" s="21">
        <v>28.0</v>
      </c>
      <c r="B968" s="20" t="s">
        <v>2091</v>
      </c>
      <c r="C968" s="20" t="s">
        <v>3094</v>
      </c>
      <c r="I968" s="25" t="s">
        <v>2508</v>
      </c>
      <c r="J968" s="25" t="s">
        <v>2487</v>
      </c>
      <c r="K968" s="25" t="s">
        <v>71</v>
      </c>
      <c r="L968" s="25" t="s">
        <v>3111</v>
      </c>
      <c r="M968" s="20" t="s">
        <v>2509</v>
      </c>
      <c r="N968" s="20" t="s">
        <v>2510</v>
      </c>
      <c r="O968" s="20" t="s">
        <v>56</v>
      </c>
      <c r="P968" s="20"/>
      <c r="Q968" s="26"/>
      <c r="R968" s="26"/>
      <c r="S968" s="26"/>
      <c r="T968" s="20"/>
      <c r="U968" s="26"/>
      <c r="V968" s="26"/>
      <c r="W968" s="20"/>
      <c r="X968" s="20"/>
      <c r="Y968" s="20"/>
      <c r="Z968" s="20"/>
      <c r="AA968" s="20"/>
      <c r="AB968" s="20"/>
      <c r="AC968" s="20"/>
      <c r="AD968" s="20"/>
      <c r="AE968" s="20"/>
    </row>
    <row r="969">
      <c r="A969" s="21">
        <v>28.0</v>
      </c>
      <c r="B969" s="20" t="s">
        <v>2091</v>
      </c>
      <c r="C969" s="20" t="s">
        <v>3094</v>
      </c>
      <c r="I969" s="25" t="s">
        <v>2511</v>
      </c>
      <c r="J969" s="25" t="s">
        <v>2487</v>
      </c>
      <c r="K969" s="25" t="s">
        <v>71</v>
      </c>
      <c r="L969" s="25" t="s">
        <v>3112</v>
      </c>
      <c r="M969" s="20" t="s">
        <v>2512</v>
      </c>
      <c r="N969" s="20" t="s">
        <v>2510</v>
      </c>
      <c r="O969" s="20" t="s">
        <v>56</v>
      </c>
      <c r="P969" s="20"/>
      <c r="Q969" s="26"/>
      <c r="R969" s="26"/>
      <c r="S969" s="26"/>
      <c r="T969" s="20"/>
      <c r="U969" s="26"/>
      <c r="V969" s="26"/>
      <c r="W969" s="20"/>
      <c r="X969" s="20"/>
      <c r="Y969" s="20"/>
      <c r="Z969" s="20"/>
      <c r="AA969" s="20"/>
      <c r="AB969" s="20"/>
      <c r="AC969" s="20"/>
      <c r="AD969" s="20"/>
      <c r="AE969" s="20"/>
    </row>
    <row r="970">
      <c r="A970" s="21">
        <v>28.0</v>
      </c>
      <c r="B970" s="20" t="s">
        <v>2091</v>
      </c>
      <c r="C970" s="20" t="s">
        <v>3094</v>
      </c>
      <c r="I970" s="25" t="s">
        <v>2513</v>
      </c>
      <c r="J970" s="25" t="s">
        <v>2487</v>
      </c>
      <c r="K970" s="25" t="s">
        <v>71</v>
      </c>
      <c r="L970" s="25" t="s">
        <v>3112</v>
      </c>
      <c r="M970" s="20" t="s">
        <v>2514</v>
      </c>
      <c r="N970" s="20" t="s">
        <v>2510</v>
      </c>
      <c r="O970" s="20" t="s">
        <v>56</v>
      </c>
      <c r="P970" s="20"/>
      <c r="Q970" s="26"/>
      <c r="R970" s="26"/>
      <c r="S970" s="26"/>
      <c r="T970" s="20"/>
      <c r="U970" s="26"/>
      <c r="V970" s="26"/>
      <c r="W970" s="20"/>
      <c r="X970" s="20"/>
      <c r="Y970" s="20"/>
      <c r="Z970" s="20"/>
      <c r="AA970" s="20"/>
      <c r="AB970" s="20"/>
      <c r="AC970" s="20"/>
      <c r="AD970" s="20"/>
      <c r="AE970" s="20"/>
    </row>
    <row r="971">
      <c r="A971" s="21">
        <v>28.0</v>
      </c>
      <c r="B971" s="20" t="s">
        <v>2091</v>
      </c>
      <c r="C971" s="20" t="s">
        <v>3094</v>
      </c>
      <c r="I971" s="25" t="s">
        <v>2019</v>
      </c>
      <c r="J971" s="25" t="s">
        <v>2487</v>
      </c>
      <c r="K971" s="25" t="s">
        <v>71</v>
      </c>
      <c r="L971" s="25" t="s">
        <v>3117</v>
      </c>
      <c r="M971" s="20" t="s">
        <v>2560</v>
      </c>
      <c r="N971" s="20" t="s">
        <v>2561</v>
      </c>
      <c r="O971" s="20" t="s">
        <v>63</v>
      </c>
      <c r="P971" s="20"/>
      <c r="Q971" s="26"/>
      <c r="R971" s="26"/>
      <c r="S971" s="26"/>
      <c r="T971" s="20"/>
      <c r="U971" s="26"/>
      <c r="V971" s="26"/>
      <c r="W971" s="20"/>
      <c r="X971" s="20"/>
      <c r="Y971" s="20"/>
      <c r="Z971" s="20"/>
      <c r="AA971" s="20"/>
      <c r="AB971" s="20"/>
      <c r="AC971" s="20"/>
      <c r="AD971" s="20"/>
      <c r="AE971" s="20"/>
    </row>
    <row r="972">
      <c r="A972" s="21">
        <v>28.0</v>
      </c>
      <c r="B972" s="20" t="s">
        <v>2091</v>
      </c>
      <c r="C972" s="20" t="s">
        <v>3094</v>
      </c>
      <c r="I972" s="25" t="s">
        <v>2520</v>
      </c>
      <c r="J972" s="25" t="s">
        <v>2483</v>
      </c>
      <c r="K972" s="25" t="s">
        <v>71</v>
      </c>
      <c r="L972" s="25" t="s">
        <v>3117</v>
      </c>
      <c r="M972" s="20" t="s">
        <v>2521</v>
      </c>
      <c r="N972" s="20" t="s">
        <v>2522</v>
      </c>
      <c r="O972" s="20" t="s">
        <v>63</v>
      </c>
      <c r="P972" s="20"/>
      <c r="Q972" s="26"/>
      <c r="R972" s="26"/>
      <c r="S972" s="26"/>
      <c r="T972" s="20"/>
      <c r="U972" s="26"/>
      <c r="V972" s="26"/>
      <c r="W972" s="20"/>
      <c r="X972" s="20"/>
      <c r="Y972" s="20"/>
      <c r="Z972" s="20"/>
      <c r="AA972" s="20"/>
      <c r="AB972" s="20"/>
      <c r="AC972" s="20"/>
      <c r="AD972" s="20"/>
      <c r="AE972" s="20"/>
    </row>
    <row r="973">
      <c r="A973" s="21">
        <v>28.0</v>
      </c>
      <c r="B973" s="20" t="s">
        <v>2091</v>
      </c>
      <c r="C973" s="20" t="s">
        <v>3094</v>
      </c>
      <c r="I973" s="25" t="s">
        <v>2523</v>
      </c>
      <c r="J973" s="25" t="s">
        <v>2483</v>
      </c>
      <c r="K973" s="25" t="s">
        <v>71</v>
      </c>
      <c r="L973" s="25" t="s">
        <v>3112</v>
      </c>
      <c r="M973" s="20" t="s">
        <v>2524</v>
      </c>
      <c r="N973" s="20" t="s">
        <v>2525</v>
      </c>
      <c r="O973" s="20" t="s">
        <v>63</v>
      </c>
      <c r="P973" s="20"/>
      <c r="Q973" s="26"/>
      <c r="R973" s="26"/>
      <c r="S973" s="26"/>
      <c r="T973" s="20"/>
      <c r="U973" s="26"/>
      <c r="V973" s="26"/>
      <c r="W973" s="20"/>
      <c r="X973" s="20"/>
      <c r="Y973" s="20"/>
      <c r="Z973" s="20"/>
      <c r="AA973" s="20"/>
      <c r="AB973" s="20"/>
      <c r="AC973" s="20"/>
      <c r="AD973" s="20"/>
      <c r="AE973" s="20"/>
    </row>
    <row r="974">
      <c r="A974" s="21">
        <v>28.0</v>
      </c>
      <c r="B974" s="20" t="s">
        <v>2091</v>
      </c>
      <c r="C974" s="20" t="s">
        <v>3094</v>
      </c>
      <c r="I974" s="25" t="s">
        <v>2878</v>
      </c>
      <c r="J974" s="25" t="s">
        <v>2491</v>
      </c>
      <c r="K974" s="25" t="s">
        <v>71</v>
      </c>
      <c r="L974" s="25" t="s">
        <v>3112</v>
      </c>
      <c r="M974" s="20" t="s">
        <v>2879</v>
      </c>
      <c r="N974" s="20" t="s">
        <v>2880</v>
      </c>
      <c r="O974" s="20" t="s">
        <v>63</v>
      </c>
      <c r="P974" s="20"/>
      <c r="Q974" s="26"/>
      <c r="R974" s="26"/>
      <c r="S974" s="26"/>
      <c r="T974" s="20"/>
      <c r="U974" s="26"/>
      <c r="V974" s="26"/>
      <c r="W974" s="20"/>
      <c r="X974" s="20"/>
      <c r="Y974" s="20"/>
      <c r="Z974" s="20"/>
      <c r="AA974" s="20"/>
      <c r="AB974" s="20"/>
      <c r="AC974" s="20"/>
      <c r="AD974" s="20"/>
      <c r="AE974" s="20"/>
    </row>
    <row r="975">
      <c r="A975" s="21">
        <v>28.0</v>
      </c>
      <c r="B975" s="20" t="s">
        <v>2091</v>
      </c>
      <c r="C975" s="20" t="s">
        <v>3094</v>
      </c>
      <c r="I975" s="25" t="s">
        <v>2395</v>
      </c>
      <c r="J975" s="25" t="s">
        <v>2483</v>
      </c>
      <c r="K975" s="25" t="s">
        <v>71</v>
      </c>
      <c r="L975" s="25" t="s">
        <v>3121</v>
      </c>
      <c r="M975" s="20" t="s">
        <v>2526</v>
      </c>
      <c r="N975" s="20" t="s">
        <v>2527</v>
      </c>
      <c r="O975" s="20" t="s">
        <v>63</v>
      </c>
      <c r="P975" s="20"/>
      <c r="Q975" s="26"/>
      <c r="R975" s="26"/>
      <c r="S975" s="26"/>
      <c r="T975" s="20"/>
      <c r="U975" s="26"/>
      <c r="V975" s="26"/>
      <c r="W975" s="20"/>
      <c r="X975" s="20"/>
      <c r="Y975" s="20"/>
      <c r="Z975" s="20"/>
      <c r="AA975" s="20"/>
      <c r="AB975" s="20"/>
      <c r="AC975" s="20"/>
      <c r="AD975" s="20"/>
      <c r="AE975" s="20"/>
    </row>
    <row r="976">
      <c r="A976" s="21">
        <v>28.0</v>
      </c>
      <c r="B976" s="20" t="s">
        <v>2091</v>
      </c>
      <c r="C976" s="20" t="s">
        <v>3094</v>
      </c>
      <c r="I976" s="25" t="s">
        <v>2046</v>
      </c>
      <c r="J976" s="25" t="s">
        <v>2483</v>
      </c>
      <c r="K976" s="25" t="s">
        <v>71</v>
      </c>
      <c r="L976" s="25" t="s">
        <v>292</v>
      </c>
      <c r="M976" s="20" t="s">
        <v>2047</v>
      </c>
      <c r="N976" s="20" t="s">
        <v>2528</v>
      </c>
      <c r="O976" s="20" t="s">
        <v>63</v>
      </c>
      <c r="P976" s="20" t="s">
        <v>52</v>
      </c>
      <c r="Q976" s="26"/>
      <c r="R976" s="26"/>
      <c r="S976" s="26"/>
      <c r="T976" s="22"/>
      <c r="U976" s="26"/>
      <c r="V976" s="26"/>
      <c r="W976" s="20"/>
      <c r="X976" s="20"/>
      <c r="Y976" s="20"/>
      <c r="Z976" s="20"/>
      <c r="AA976" s="20"/>
      <c r="AB976" s="20"/>
      <c r="AC976" s="20"/>
      <c r="AD976" s="20"/>
      <c r="AE976" s="20"/>
    </row>
    <row r="977">
      <c r="A977" s="21">
        <v>28.0</v>
      </c>
      <c r="B977" s="20" t="s">
        <v>2091</v>
      </c>
      <c r="C977" s="20" t="s">
        <v>3094</v>
      </c>
      <c r="I977" s="25" t="s">
        <v>1162</v>
      </c>
      <c r="J977" s="25" t="s">
        <v>2487</v>
      </c>
      <c r="K977" s="25" t="s">
        <v>71</v>
      </c>
      <c r="L977" s="25" t="s">
        <v>3111</v>
      </c>
      <c r="M977" s="20" t="s">
        <v>2562</v>
      </c>
      <c r="N977" s="20" t="s">
        <v>2563</v>
      </c>
      <c r="O977" s="20" t="s">
        <v>63</v>
      </c>
      <c r="P977" s="20"/>
      <c r="Q977" s="26"/>
      <c r="R977" s="26"/>
      <c r="S977" s="26"/>
      <c r="T977" s="20"/>
      <c r="U977" s="26"/>
      <c r="V977" s="26"/>
      <c r="W977" s="20"/>
      <c r="X977" s="20"/>
      <c r="Y977" s="20"/>
      <c r="Z977" s="20"/>
      <c r="AA977" s="20"/>
      <c r="AB977" s="20"/>
      <c r="AC977" s="20"/>
      <c r="AD977" s="20"/>
      <c r="AE977" s="20"/>
    </row>
    <row r="978">
      <c r="A978" s="21">
        <v>28.0</v>
      </c>
      <c r="B978" s="20" t="s">
        <v>2091</v>
      </c>
      <c r="C978" s="20" t="s">
        <v>3094</v>
      </c>
      <c r="I978" s="25" t="s">
        <v>2529</v>
      </c>
      <c r="J978" s="25" t="s">
        <v>2483</v>
      </c>
      <c r="K978" s="25" t="s">
        <v>71</v>
      </c>
      <c r="L978" s="25" t="s">
        <v>3112</v>
      </c>
      <c r="M978" s="20" t="s">
        <v>2530</v>
      </c>
      <c r="N978" s="20" t="s">
        <v>2531</v>
      </c>
      <c r="O978" s="20" t="s">
        <v>63</v>
      </c>
      <c r="P978" s="20"/>
      <c r="Q978" s="26"/>
      <c r="R978" s="26"/>
      <c r="S978" s="26"/>
      <c r="T978" s="20"/>
      <c r="U978" s="26"/>
      <c r="V978" s="26"/>
      <c r="W978" s="20"/>
      <c r="X978" s="20"/>
      <c r="Y978" s="20"/>
      <c r="Z978" s="20"/>
      <c r="AA978" s="20"/>
      <c r="AB978" s="20"/>
      <c r="AC978" s="20"/>
      <c r="AD978" s="20"/>
      <c r="AE978" s="20"/>
    </row>
    <row r="979">
      <c r="A979" s="21">
        <v>28.0</v>
      </c>
      <c r="B979" s="20" t="s">
        <v>2091</v>
      </c>
      <c r="C979" s="20" t="s">
        <v>3094</v>
      </c>
      <c r="I979" s="25" t="s">
        <v>2532</v>
      </c>
      <c r="J979" s="25" t="s">
        <v>2483</v>
      </c>
      <c r="K979" s="25" t="s">
        <v>71</v>
      </c>
      <c r="L979" s="25" t="s">
        <v>3129</v>
      </c>
      <c r="M979" s="20" t="s">
        <v>2533</v>
      </c>
      <c r="N979" s="20" t="s">
        <v>2534</v>
      </c>
      <c r="O979" s="20" t="s">
        <v>63</v>
      </c>
      <c r="P979" s="20"/>
      <c r="Q979" s="26"/>
      <c r="R979" s="26"/>
      <c r="S979" s="26"/>
      <c r="T979" s="20"/>
      <c r="U979" s="26"/>
      <c r="V979" s="26"/>
      <c r="W979" s="20"/>
      <c r="X979" s="20"/>
      <c r="Y979" s="20"/>
      <c r="Z979" s="20"/>
      <c r="AA979" s="20"/>
      <c r="AB979" s="20"/>
      <c r="AC979" s="20"/>
      <c r="AD979" s="20"/>
      <c r="AE979" s="20"/>
    </row>
    <row r="980">
      <c r="A980" s="21">
        <v>28.0</v>
      </c>
      <c r="B980" s="20" t="s">
        <v>2091</v>
      </c>
      <c r="C980" s="20" t="s">
        <v>3094</v>
      </c>
      <c r="I980" s="25" t="s">
        <v>2535</v>
      </c>
      <c r="J980" s="25" t="s">
        <v>2483</v>
      </c>
      <c r="K980" s="25" t="s">
        <v>71</v>
      </c>
      <c r="L980" s="25" t="s">
        <v>3112</v>
      </c>
      <c r="M980" s="20" t="s">
        <v>2536</v>
      </c>
      <c r="N980" s="20" t="s">
        <v>2537</v>
      </c>
      <c r="O980" s="20" t="s">
        <v>63</v>
      </c>
      <c r="P980" s="20"/>
      <c r="Q980" s="26"/>
      <c r="R980" s="26"/>
      <c r="S980" s="26"/>
      <c r="T980" s="20"/>
      <c r="U980" s="26"/>
      <c r="V980" s="26"/>
      <c r="W980" s="20"/>
      <c r="X980" s="20"/>
      <c r="Y980" s="20"/>
      <c r="Z980" s="20"/>
      <c r="AA980" s="20"/>
      <c r="AB980" s="20"/>
      <c r="AC980" s="20"/>
      <c r="AD980" s="20"/>
      <c r="AE980" s="20"/>
    </row>
    <row r="981">
      <c r="A981" s="21">
        <v>28.0</v>
      </c>
      <c r="B981" s="20" t="s">
        <v>2091</v>
      </c>
      <c r="C981" s="20" t="s">
        <v>3094</v>
      </c>
      <c r="I981" s="25" t="s">
        <v>413</v>
      </c>
      <c r="J981" s="25" t="s">
        <v>2491</v>
      </c>
      <c r="K981" s="25" t="s">
        <v>71</v>
      </c>
      <c r="L981" s="25" t="s">
        <v>3129</v>
      </c>
      <c r="M981" s="20" t="s">
        <v>2881</v>
      </c>
      <c r="N981" s="20" t="s">
        <v>2882</v>
      </c>
      <c r="O981" s="20" t="s">
        <v>63</v>
      </c>
      <c r="P981" s="20"/>
      <c r="Q981" s="26"/>
      <c r="R981" s="26"/>
      <c r="S981" s="26"/>
      <c r="T981" s="20"/>
      <c r="U981" s="26"/>
      <c r="V981" s="26"/>
      <c r="W981" s="20"/>
      <c r="X981" s="20"/>
      <c r="Y981" s="20"/>
      <c r="Z981" s="20"/>
      <c r="AA981" s="20"/>
      <c r="AB981" s="20"/>
      <c r="AC981" s="20"/>
      <c r="AD981" s="20"/>
      <c r="AE981" s="20"/>
    </row>
    <row r="982">
      <c r="A982" s="21">
        <v>28.0</v>
      </c>
      <c r="B982" s="20" t="s">
        <v>2091</v>
      </c>
      <c r="C982" s="20" t="s">
        <v>3094</v>
      </c>
      <c r="I982" s="25" t="s">
        <v>2564</v>
      </c>
      <c r="J982" s="25" t="s">
        <v>2487</v>
      </c>
      <c r="K982" s="25" t="s">
        <v>71</v>
      </c>
      <c r="L982" s="25" t="s">
        <v>3134</v>
      </c>
      <c r="M982" s="20" t="s">
        <v>2565</v>
      </c>
      <c r="N982" s="20" t="s">
        <v>2566</v>
      </c>
      <c r="O982" s="20" t="s">
        <v>63</v>
      </c>
      <c r="P982" s="20"/>
      <c r="Q982" s="26"/>
      <c r="R982" s="26"/>
      <c r="S982" s="26"/>
      <c r="T982" s="20"/>
      <c r="U982" s="26"/>
      <c r="V982" s="26"/>
      <c r="W982" s="20"/>
      <c r="X982" s="20"/>
      <c r="Y982" s="20"/>
      <c r="Z982" s="20"/>
      <c r="AA982" s="20"/>
      <c r="AB982" s="20"/>
      <c r="AC982" s="20"/>
      <c r="AD982" s="20"/>
      <c r="AE982" s="20"/>
    </row>
    <row r="983">
      <c r="A983" s="21">
        <v>28.0</v>
      </c>
      <c r="B983" s="20" t="s">
        <v>2091</v>
      </c>
      <c r="C983" s="20" t="s">
        <v>3094</v>
      </c>
      <c r="I983" s="25" t="s">
        <v>2883</v>
      </c>
      <c r="J983" s="25" t="s">
        <v>2491</v>
      </c>
      <c r="K983" s="25" t="s">
        <v>71</v>
      </c>
      <c r="L983" s="25" t="s">
        <v>292</v>
      </c>
      <c r="M983" s="20" t="s">
        <v>2884</v>
      </c>
      <c r="N983" s="20" t="s">
        <v>2885</v>
      </c>
      <c r="O983" s="20" t="s">
        <v>63</v>
      </c>
      <c r="P983" s="20" t="s">
        <v>52</v>
      </c>
      <c r="Q983" s="26"/>
      <c r="R983" s="26"/>
      <c r="S983" s="26"/>
      <c r="T983" s="22"/>
      <c r="U983" s="26"/>
      <c r="V983" s="26"/>
      <c r="W983" s="20"/>
      <c r="X983" s="20"/>
      <c r="Y983" s="20"/>
      <c r="Z983" s="20"/>
      <c r="AA983" s="20"/>
      <c r="AB983" s="20"/>
      <c r="AC983" s="20"/>
      <c r="AD983" s="20"/>
      <c r="AE983" s="20"/>
    </row>
    <row r="984">
      <c r="A984" s="21">
        <v>28.0</v>
      </c>
      <c r="B984" s="20" t="s">
        <v>2091</v>
      </c>
      <c r="C984" s="20" t="s">
        <v>3094</v>
      </c>
      <c r="I984" s="25" t="s">
        <v>2567</v>
      </c>
      <c r="J984" s="25" t="s">
        <v>2487</v>
      </c>
      <c r="K984" s="25" t="s">
        <v>71</v>
      </c>
      <c r="L984" s="25" t="s">
        <v>3140</v>
      </c>
      <c r="M984" s="20" t="s">
        <v>2568</v>
      </c>
      <c r="N984" s="20" t="s">
        <v>2569</v>
      </c>
      <c r="O984" s="20" t="s">
        <v>63</v>
      </c>
      <c r="P984" s="20" t="s">
        <v>52</v>
      </c>
      <c r="Q984" s="26"/>
      <c r="R984" s="26"/>
      <c r="S984" s="26"/>
      <c r="T984" s="20"/>
      <c r="U984" s="26"/>
      <c r="V984" s="26"/>
      <c r="W984" s="20"/>
      <c r="X984" s="20"/>
      <c r="Y984" s="20"/>
      <c r="Z984" s="20"/>
      <c r="AA984" s="20"/>
      <c r="AB984" s="20"/>
      <c r="AC984" s="20"/>
      <c r="AD984" s="20"/>
      <c r="AE984" s="20"/>
    </row>
    <row r="985">
      <c r="A985" s="21">
        <v>28.0</v>
      </c>
      <c r="B985" s="20" t="s">
        <v>2091</v>
      </c>
      <c r="C985" s="20" t="s">
        <v>3094</v>
      </c>
      <c r="I985" s="25" t="s">
        <v>2065</v>
      </c>
      <c r="J985" s="25" t="s">
        <v>2491</v>
      </c>
      <c r="K985" s="25" t="s">
        <v>71</v>
      </c>
      <c r="L985" s="25" t="s">
        <v>3145</v>
      </c>
      <c r="M985" s="20" t="s">
        <v>2887</v>
      </c>
      <c r="N985" s="20" t="s">
        <v>2888</v>
      </c>
      <c r="O985" s="20" t="s">
        <v>63</v>
      </c>
      <c r="P985" s="20" t="s">
        <v>52</v>
      </c>
      <c r="Q985" s="26"/>
      <c r="R985" s="26"/>
      <c r="S985" s="26"/>
      <c r="T985" s="20"/>
      <c r="U985" s="26"/>
      <c r="V985" s="26"/>
      <c r="W985" s="20"/>
      <c r="X985" s="20"/>
      <c r="Y985" s="20"/>
      <c r="Z985" s="20"/>
      <c r="AA985" s="20"/>
      <c r="AB985" s="20"/>
      <c r="AC985" s="20"/>
      <c r="AD985" s="20"/>
      <c r="AE985" s="20"/>
    </row>
    <row r="986">
      <c r="A986" s="21">
        <v>28.0</v>
      </c>
      <c r="B986" s="20" t="s">
        <v>2091</v>
      </c>
      <c r="C986" s="20" t="s">
        <v>3094</v>
      </c>
      <c r="I986" s="25" t="s">
        <v>2539</v>
      </c>
      <c r="J986" s="25" t="s">
        <v>2483</v>
      </c>
      <c r="K986" s="25" t="s">
        <v>71</v>
      </c>
      <c r="L986" s="25" t="s">
        <v>292</v>
      </c>
      <c r="M986" s="20" t="s">
        <v>2540</v>
      </c>
      <c r="N986" s="20" t="s">
        <v>2541</v>
      </c>
      <c r="O986" s="20" t="s">
        <v>63</v>
      </c>
      <c r="P986" s="20" t="s">
        <v>52</v>
      </c>
      <c r="Q986" s="26"/>
      <c r="R986" s="26"/>
      <c r="S986" s="26"/>
      <c r="T986" s="22"/>
      <c r="U986" s="26"/>
      <c r="V986" s="26"/>
      <c r="W986" s="20"/>
      <c r="X986" s="20"/>
      <c r="Y986" s="20"/>
      <c r="Z986" s="20"/>
      <c r="AA986" s="20"/>
      <c r="AB986" s="20"/>
      <c r="AC986" s="20"/>
      <c r="AD986" s="20"/>
      <c r="AE986" s="20"/>
    </row>
    <row r="987">
      <c r="A987" s="21">
        <v>28.0</v>
      </c>
      <c r="B987" s="20" t="s">
        <v>2091</v>
      </c>
      <c r="C987" s="20" t="s">
        <v>3094</v>
      </c>
      <c r="I987" s="25" t="s">
        <v>2570</v>
      </c>
      <c r="J987" s="25" t="s">
        <v>2487</v>
      </c>
      <c r="K987" s="25" t="s">
        <v>71</v>
      </c>
      <c r="L987" s="25" t="s">
        <v>3140</v>
      </c>
      <c r="M987" s="20" t="s">
        <v>2571</v>
      </c>
      <c r="N987" s="20" t="s">
        <v>2572</v>
      </c>
      <c r="O987" s="20" t="s">
        <v>63</v>
      </c>
      <c r="P987" s="20" t="s">
        <v>52</v>
      </c>
      <c r="Q987" s="26"/>
      <c r="R987" s="26"/>
      <c r="S987" s="26"/>
      <c r="T987" s="20"/>
      <c r="U987" s="26"/>
      <c r="V987" s="26"/>
      <c r="W987" s="20"/>
      <c r="X987" s="20"/>
      <c r="Y987" s="20"/>
      <c r="Z987" s="20"/>
      <c r="AA987" s="20"/>
      <c r="AB987" s="20"/>
      <c r="AC987" s="20"/>
      <c r="AD987" s="20"/>
      <c r="AE987" s="20"/>
    </row>
    <row r="988">
      <c r="A988" s="21">
        <v>28.0</v>
      </c>
      <c r="B988" s="20" t="s">
        <v>2091</v>
      </c>
      <c r="C988" s="20" t="s">
        <v>3094</v>
      </c>
      <c r="I988" s="25" t="s">
        <v>2573</v>
      </c>
      <c r="J988" s="25" t="s">
        <v>2487</v>
      </c>
      <c r="K988" s="25" t="s">
        <v>71</v>
      </c>
      <c r="L988" s="25" t="s">
        <v>3140</v>
      </c>
      <c r="M988" s="20" t="s">
        <v>2574</v>
      </c>
      <c r="N988" s="20" t="s">
        <v>2575</v>
      </c>
      <c r="O988" s="20" t="s">
        <v>63</v>
      </c>
      <c r="P988" s="20" t="s">
        <v>52</v>
      </c>
      <c r="Q988" s="26"/>
      <c r="R988" s="26"/>
      <c r="S988" s="26"/>
      <c r="T988" s="20"/>
      <c r="U988" s="26"/>
      <c r="V988" s="26"/>
      <c r="W988" s="20"/>
      <c r="X988" s="20"/>
      <c r="Y988" s="20"/>
      <c r="Z988" s="20"/>
      <c r="AA988" s="20"/>
      <c r="AB988" s="20"/>
      <c r="AC988" s="20"/>
      <c r="AD988" s="20"/>
      <c r="AE988" s="20"/>
    </row>
    <row r="989">
      <c r="A989" s="21">
        <v>28.0</v>
      </c>
      <c r="B989" s="20" t="s">
        <v>2091</v>
      </c>
      <c r="C989" s="20" t="s">
        <v>3094</v>
      </c>
      <c r="I989" s="25" t="s">
        <v>391</v>
      </c>
      <c r="J989" s="25" t="s">
        <v>2972</v>
      </c>
      <c r="K989" s="25" t="s">
        <v>71</v>
      </c>
      <c r="L989" s="25" t="s">
        <v>292</v>
      </c>
      <c r="M989" s="20" t="s">
        <v>61</v>
      </c>
      <c r="N989" s="20" t="s">
        <v>2973</v>
      </c>
      <c r="O989" s="20" t="s">
        <v>63</v>
      </c>
      <c r="P989" s="20" t="s">
        <v>52</v>
      </c>
      <c r="Q989" s="26"/>
      <c r="R989" s="26"/>
      <c r="S989" s="26"/>
      <c r="T989" s="22"/>
      <c r="U989" s="26"/>
      <c r="V989" s="26"/>
      <c r="W989" s="20"/>
      <c r="X989" s="20"/>
      <c r="Y989" s="20"/>
      <c r="Z989" s="20"/>
      <c r="AA989" s="20"/>
      <c r="AB989" s="20"/>
      <c r="AC989" s="20"/>
      <c r="AD989" s="20"/>
      <c r="AE989" s="20"/>
    </row>
    <row r="990">
      <c r="A990" s="21">
        <v>28.0</v>
      </c>
      <c r="B990" s="20" t="s">
        <v>2091</v>
      </c>
      <c r="C990" s="20" t="s">
        <v>3094</v>
      </c>
      <c r="I990" s="25" t="s">
        <v>296</v>
      </c>
      <c r="J990" s="25" t="s">
        <v>2972</v>
      </c>
      <c r="K990" s="25" t="s">
        <v>71</v>
      </c>
      <c r="L990" s="25" t="s">
        <v>292</v>
      </c>
      <c r="M990" s="20" t="s">
        <v>2975</v>
      </c>
      <c r="N990" s="20" t="s">
        <v>2977</v>
      </c>
      <c r="O990" s="20" t="s">
        <v>63</v>
      </c>
      <c r="P990" s="20" t="s">
        <v>52</v>
      </c>
      <c r="Q990" s="26"/>
      <c r="R990" s="26"/>
      <c r="S990" s="26"/>
      <c r="T990" s="22"/>
      <c r="U990" s="26"/>
      <c r="V990" s="26"/>
      <c r="W990" s="20"/>
      <c r="X990" s="20"/>
      <c r="Y990" s="20"/>
      <c r="Z990" s="20"/>
      <c r="AA990" s="20"/>
      <c r="AB990" s="20"/>
      <c r="AC990" s="20"/>
      <c r="AD990" s="20"/>
      <c r="AE990" s="20"/>
    </row>
    <row r="991">
      <c r="A991" s="21">
        <v>28.0</v>
      </c>
      <c r="B991" s="20" t="s">
        <v>2091</v>
      </c>
      <c r="C991" s="20" t="s">
        <v>3094</v>
      </c>
      <c r="I991" s="25" t="s">
        <v>1839</v>
      </c>
      <c r="J991" s="25" t="s">
        <v>2487</v>
      </c>
      <c r="K991" s="25" t="s">
        <v>71</v>
      </c>
      <c r="L991" s="25" t="s">
        <v>292</v>
      </c>
      <c r="M991" s="20" t="s">
        <v>2576</v>
      </c>
      <c r="N991" s="20" t="s">
        <v>2577</v>
      </c>
      <c r="O991" s="20" t="s">
        <v>63</v>
      </c>
      <c r="P991" s="20" t="s">
        <v>52</v>
      </c>
      <c r="Q991" s="26"/>
      <c r="R991" s="26"/>
      <c r="S991" s="26"/>
      <c r="T991" s="22"/>
      <c r="U991" s="26"/>
      <c r="V991" s="26"/>
      <c r="W991" s="20"/>
      <c r="X991" s="20"/>
      <c r="Y991" s="20"/>
      <c r="Z991" s="20"/>
      <c r="AA991" s="20"/>
      <c r="AB991" s="20"/>
      <c r="AC991" s="20"/>
      <c r="AD991" s="20"/>
      <c r="AE991" s="20"/>
    </row>
    <row r="992">
      <c r="A992" s="21">
        <v>28.0</v>
      </c>
      <c r="B992" s="20" t="s">
        <v>2091</v>
      </c>
      <c r="C992" s="20" t="s">
        <v>3094</v>
      </c>
      <c r="I992" s="25" t="s">
        <v>2013</v>
      </c>
      <c r="J992" s="25" t="s">
        <v>2487</v>
      </c>
      <c r="K992" s="25" t="s">
        <v>71</v>
      </c>
      <c r="L992" s="25" t="s">
        <v>292</v>
      </c>
      <c r="M992" s="20" t="s">
        <v>2580</v>
      </c>
      <c r="N992" s="20" t="s">
        <v>2581</v>
      </c>
      <c r="O992" s="20" t="s">
        <v>63</v>
      </c>
      <c r="P992" s="20" t="s">
        <v>52</v>
      </c>
      <c r="Q992" s="26"/>
      <c r="R992" s="26"/>
      <c r="S992" s="26"/>
      <c r="T992" s="22"/>
      <c r="U992" s="26"/>
      <c r="V992" s="26"/>
      <c r="W992" s="20"/>
      <c r="X992" s="20"/>
      <c r="Y992" s="20"/>
      <c r="Z992" s="20"/>
      <c r="AA992" s="20"/>
      <c r="AB992" s="20"/>
      <c r="AC992" s="20"/>
      <c r="AD992" s="20"/>
      <c r="AE992" s="20"/>
    </row>
    <row r="993">
      <c r="A993" s="21">
        <v>28.0</v>
      </c>
      <c r="B993" s="20" t="s">
        <v>2091</v>
      </c>
      <c r="C993" s="20" t="s">
        <v>3094</v>
      </c>
      <c r="I993" s="25" t="s">
        <v>2889</v>
      </c>
      <c r="J993" s="25" t="s">
        <v>2491</v>
      </c>
      <c r="K993" s="25" t="s">
        <v>71</v>
      </c>
      <c r="L993" s="25" t="s">
        <v>292</v>
      </c>
      <c r="M993" s="20" t="s">
        <v>2890</v>
      </c>
      <c r="N993" s="20" t="s">
        <v>2891</v>
      </c>
      <c r="O993" s="20" t="s">
        <v>63</v>
      </c>
      <c r="P993" s="20" t="s">
        <v>52</v>
      </c>
      <c r="Q993" s="26"/>
      <c r="R993" s="26"/>
      <c r="S993" s="26"/>
      <c r="T993" s="22"/>
      <c r="U993" s="26"/>
      <c r="V993" s="26"/>
      <c r="W993" s="20"/>
      <c r="X993" s="20"/>
      <c r="Y993" s="20"/>
      <c r="Z993" s="20"/>
      <c r="AA993" s="20"/>
      <c r="AB993" s="20"/>
      <c r="AC993" s="20"/>
      <c r="AD993" s="20"/>
      <c r="AE993" s="20"/>
    </row>
    <row r="994">
      <c r="A994" s="21">
        <v>28.0</v>
      </c>
      <c r="B994" s="20" t="s">
        <v>2091</v>
      </c>
      <c r="C994" s="20" t="s">
        <v>3094</v>
      </c>
      <c r="I994" s="25" t="s">
        <v>1946</v>
      </c>
      <c r="J994" s="25" t="s">
        <v>2487</v>
      </c>
      <c r="K994" s="25" t="s">
        <v>71</v>
      </c>
      <c r="L994" s="25" t="s">
        <v>3162</v>
      </c>
      <c r="M994" s="20" t="s">
        <v>2582</v>
      </c>
      <c r="N994" s="20" t="s">
        <v>2583</v>
      </c>
      <c r="O994" s="20" t="s">
        <v>63</v>
      </c>
      <c r="P994" s="20" t="s">
        <v>52</v>
      </c>
      <c r="Q994" s="26"/>
      <c r="R994" s="26"/>
      <c r="S994" s="26"/>
      <c r="T994" s="20"/>
      <c r="U994" s="26"/>
      <c r="V994" s="26"/>
      <c r="W994" s="20"/>
      <c r="X994" s="20"/>
      <c r="Y994" s="20"/>
      <c r="Z994" s="20"/>
      <c r="AA994" s="20"/>
      <c r="AB994" s="20"/>
      <c r="AC994" s="20"/>
      <c r="AD994" s="20"/>
      <c r="AE994" s="20"/>
    </row>
    <row r="995">
      <c r="A995" s="21">
        <v>28.0</v>
      </c>
      <c r="B995" s="20" t="s">
        <v>2091</v>
      </c>
      <c r="C995" s="20" t="s">
        <v>3094</v>
      </c>
      <c r="I995" s="25" t="s">
        <v>2585</v>
      </c>
      <c r="J995" s="25" t="s">
        <v>2487</v>
      </c>
      <c r="K995" s="25" t="s">
        <v>71</v>
      </c>
      <c r="L995" s="25" t="s">
        <v>3164</v>
      </c>
      <c r="M995" s="20" t="s">
        <v>2586</v>
      </c>
      <c r="N995" s="20" t="s">
        <v>2587</v>
      </c>
      <c r="O995" s="20" t="s">
        <v>63</v>
      </c>
      <c r="P995" s="20" t="s">
        <v>52</v>
      </c>
      <c r="Q995" s="26"/>
      <c r="R995" s="26"/>
      <c r="S995" s="26"/>
      <c r="T995" s="20"/>
      <c r="U995" s="26"/>
      <c r="V995" s="26"/>
      <c r="W995" s="20"/>
      <c r="X995" s="20"/>
      <c r="Y995" s="20"/>
      <c r="Z995" s="20"/>
      <c r="AA995" s="20"/>
      <c r="AB995" s="20"/>
      <c r="AC995" s="20"/>
      <c r="AD995" s="20"/>
      <c r="AE995" s="20"/>
    </row>
    <row r="996">
      <c r="A996" s="21">
        <v>28.0</v>
      </c>
      <c r="B996" s="20" t="s">
        <v>2091</v>
      </c>
      <c r="C996" s="20" t="s">
        <v>3094</v>
      </c>
      <c r="I996" s="25" t="s">
        <v>124</v>
      </c>
      <c r="J996" s="25" t="s">
        <v>2487</v>
      </c>
      <c r="K996" s="25" t="s">
        <v>71</v>
      </c>
      <c r="L996" s="25" t="s">
        <v>3164</v>
      </c>
      <c r="M996" s="20" t="s">
        <v>2589</v>
      </c>
      <c r="N996" s="20" t="s">
        <v>2590</v>
      </c>
      <c r="O996" s="20" t="s">
        <v>63</v>
      </c>
      <c r="P996" s="20" t="s">
        <v>52</v>
      </c>
      <c r="Q996" s="26"/>
      <c r="R996" s="26"/>
      <c r="S996" s="26"/>
      <c r="T996" s="20"/>
      <c r="U996" s="26"/>
      <c r="V996" s="26"/>
      <c r="W996" s="20"/>
      <c r="X996" s="20"/>
      <c r="Y996" s="20"/>
      <c r="Z996" s="20"/>
      <c r="AA996" s="20"/>
      <c r="AB996" s="20"/>
      <c r="AC996" s="20"/>
      <c r="AD996" s="20"/>
      <c r="AE996" s="20"/>
    </row>
    <row r="997">
      <c r="A997" s="21">
        <v>28.0</v>
      </c>
      <c r="B997" s="20" t="s">
        <v>2091</v>
      </c>
      <c r="C997" s="20" t="s">
        <v>3094</v>
      </c>
      <c r="I997" s="25" t="s">
        <v>2591</v>
      </c>
      <c r="J997" s="25" t="s">
        <v>2487</v>
      </c>
      <c r="K997" s="25" t="s">
        <v>71</v>
      </c>
      <c r="L997" s="25" t="s">
        <v>3164</v>
      </c>
      <c r="M997" s="20" t="s">
        <v>2592</v>
      </c>
      <c r="N997" s="20" t="s">
        <v>2594</v>
      </c>
      <c r="O997" s="20" t="s">
        <v>63</v>
      </c>
      <c r="P997" s="20" t="s">
        <v>52</v>
      </c>
      <c r="Q997" s="26"/>
      <c r="R997" s="26"/>
      <c r="S997" s="26"/>
      <c r="T997" s="20"/>
      <c r="U997" s="26"/>
      <c r="V997" s="26"/>
      <c r="W997" s="20"/>
      <c r="X997" s="20"/>
      <c r="Y997" s="20"/>
      <c r="Z997" s="20"/>
      <c r="AA997" s="20"/>
      <c r="AB997" s="20"/>
      <c r="AC997" s="20"/>
      <c r="AD997" s="20"/>
      <c r="AE997" s="20"/>
    </row>
    <row r="998">
      <c r="A998" s="21">
        <v>28.0</v>
      </c>
      <c r="B998" s="20" t="s">
        <v>2091</v>
      </c>
      <c r="C998" s="20" t="s">
        <v>3094</v>
      </c>
      <c r="I998" s="25" t="s">
        <v>2595</v>
      </c>
      <c r="J998" s="25" t="s">
        <v>2487</v>
      </c>
      <c r="K998" s="25" t="s">
        <v>71</v>
      </c>
      <c r="L998" s="25" t="s">
        <v>3164</v>
      </c>
      <c r="M998" s="20" t="s">
        <v>2596</v>
      </c>
      <c r="N998" s="20" t="s">
        <v>2597</v>
      </c>
      <c r="O998" s="20" t="s">
        <v>63</v>
      </c>
      <c r="P998" s="20" t="s">
        <v>52</v>
      </c>
      <c r="Q998" s="26"/>
      <c r="R998" s="26"/>
      <c r="S998" s="26"/>
      <c r="T998" s="20"/>
      <c r="U998" s="26"/>
      <c r="V998" s="26"/>
      <c r="W998" s="20"/>
      <c r="X998" s="20"/>
      <c r="Y998" s="20"/>
      <c r="Z998" s="20"/>
      <c r="AA998" s="20"/>
      <c r="AB998" s="20"/>
      <c r="AC998" s="20"/>
      <c r="AD998" s="20"/>
      <c r="AE998" s="20"/>
    </row>
    <row r="999">
      <c r="A999" s="21">
        <v>28.0</v>
      </c>
      <c r="B999" s="20" t="s">
        <v>2091</v>
      </c>
      <c r="C999" s="20" t="s">
        <v>3094</v>
      </c>
      <c r="I999" s="25" t="s">
        <v>1168</v>
      </c>
      <c r="J999" s="25" t="s">
        <v>2487</v>
      </c>
      <c r="K999" s="25" t="s">
        <v>71</v>
      </c>
      <c r="L999" s="25" t="s">
        <v>292</v>
      </c>
      <c r="M999" s="20" t="s">
        <v>2598</v>
      </c>
      <c r="N999" s="20" t="s">
        <v>2600</v>
      </c>
      <c r="O999" s="20" t="s">
        <v>63</v>
      </c>
      <c r="P999" s="20" t="s">
        <v>52</v>
      </c>
      <c r="Q999" s="26"/>
      <c r="R999" s="26"/>
      <c r="S999" s="26"/>
      <c r="T999" s="22"/>
      <c r="U999" s="26"/>
      <c r="V999" s="26"/>
      <c r="W999" s="20"/>
      <c r="X999" s="20"/>
      <c r="Y999" s="20"/>
      <c r="Z999" s="20"/>
      <c r="AA999" s="20"/>
      <c r="AB999" s="20"/>
      <c r="AC999" s="20"/>
      <c r="AD999" s="20"/>
      <c r="AE999" s="20"/>
    </row>
    <row r="1000">
      <c r="A1000" s="21">
        <v>28.0</v>
      </c>
      <c r="B1000" s="20" t="s">
        <v>2091</v>
      </c>
      <c r="C1000" s="20" t="s">
        <v>3094</v>
      </c>
      <c r="I1000" s="25" t="s">
        <v>2542</v>
      </c>
      <c r="J1000" s="25" t="s">
        <v>2483</v>
      </c>
      <c r="K1000" s="25" t="s">
        <v>71</v>
      </c>
      <c r="L1000" s="25" t="s">
        <v>3170</v>
      </c>
      <c r="M1000" s="20" t="s">
        <v>2543</v>
      </c>
      <c r="N1000" s="20" t="s">
        <v>2544</v>
      </c>
      <c r="O1000" s="20" t="s">
        <v>63</v>
      </c>
      <c r="P1000" s="20" t="s">
        <v>52</v>
      </c>
      <c r="Q1000" s="26"/>
      <c r="R1000" s="26"/>
      <c r="S1000" s="26"/>
      <c r="T1000" s="20"/>
      <c r="U1000" s="26"/>
      <c r="V1000" s="26"/>
      <c r="W1000" s="20"/>
      <c r="X1000" s="20"/>
      <c r="Y1000" s="20"/>
      <c r="Z1000" s="20"/>
      <c r="AA1000" s="20"/>
      <c r="AB1000" s="20"/>
      <c r="AC1000" s="20"/>
      <c r="AD1000" s="20"/>
      <c r="AE1000" s="20"/>
    </row>
    <row r="1001">
      <c r="A1001" s="21">
        <v>28.0</v>
      </c>
      <c r="B1001" s="20" t="s">
        <v>2091</v>
      </c>
      <c r="C1001" s="20" t="s">
        <v>3094</v>
      </c>
      <c r="I1001" s="25" t="s">
        <v>2601</v>
      </c>
      <c r="J1001" s="25" t="s">
        <v>2487</v>
      </c>
      <c r="K1001" s="25" t="s">
        <v>71</v>
      </c>
      <c r="L1001" s="25" t="s">
        <v>292</v>
      </c>
      <c r="M1001" s="20" t="s">
        <v>2602</v>
      </c>
      <c r="N1001" s="20" t="s">
        <v>2603</v>
      </c>
      <c r="O1001" s="20" t="s">
        <v>63</v>
      </c>
      <c r="P1001" s="20" t="s">
        <v>52</v>
      </c>
      <c r="Q1001" s="26"/>
      <c r="R1001" s="26"/>
      <c r="S1001" s="26"/>
      <c r="T1001" s="22"/>
      <c r="U1001" s="26"/>
      <c r="V1001" s="26"/>
      <c r="W1001" s="20"/>
      <c r="X1001" s="20"/>
      <c r="Y1001" s="20"/>
      <c r="Z1001" s="20"/>
      <c r="AA1001" s="20"/>
      <c r="AB1001" s="20"/>
      <c r="AC1001" s="20"/>
      <c r="AD1001" s="20"/>
      <c r="AE1001" s="20"/>
    </row>
    <row r="1002">
      <c r="A1002" s="21">
        <v>28.0</v>
      </c>
      <c r="B1002" s="20" t="s">
        <v>2091</v>
      </c>
      <c r="C1002" s="20" t="s">
        <v>3094</v>
      </c>
      <c r="I1002" s="25" t="s">
        <v>2605</v>
      </c>
      <c r="J1002" s="25" t="s">
        <v>2487</v>
      </c>
      <c r="K1002" s="25" t="s">
        <v>71</v>
      </c>
      <c r="L1002" s="25" t="s">
        <v>3162</v>
      </c>
      <c r="M1002" s="20" t="s">
        <v>2607</v>
      </c>
      <c r="N1002" s="20" t="s">
        <v>2608</v>
      </c>
      <c r="O1002" s="20" t="s">
        <v>63</v>
      </c>
      <c r="P1002" s="20" t="s">
        <v>52</v>
      </c>
      <c r="Q1002" s="26"/>
      <c r="R1002" s="26"/>
      <c r="S1002" s="26"/>
      <c r="T1002" s="20"/>
      <c r="U1002" s="26"/>
      <c r="V1002" s="26"/>
      <c r="W1002" s="20"/>
      <c r="X1002" s="20"/>
      <c r="Y1002" s="20"/>
      <c r="Z1002" s="20"/>
      <c r="AA1002" s="20"/>
      <c r="AB1002" s="20"/>
      <c r="AC1002" s="20"/>
      <c r="AD1002" s="20"/>
      <c r="AE1002" s="20"/>
    </row>
    <row r="1003">
      <c r="A1003" s="21">
        <v>28.0</v>
      </c>
      <c r="B1003" s="20" t="s">
        <v>2091</v>
      </c>
      <c r="C1003" s="20" t="s">
        <v>3094</v>
      </c>
      <c r="I1003" s="25" t="s">
        <v>1275</v>
      </c>
      <c r="J1003" s="25" t="s">
        <v>2491</v>
      </c>
      <c r="K1003" s="25" t="s">
        <v>71</v>
      </c>
      <c r="L1003" s="25" t="s">
        <v>292</v>
      </c>
      <c r="M1003" s="20" t="s">
        <v>2893</v>
      </c>
      <c r="N1003" s="20" t="s">
        <v>2894</v>
      </c>
      <c r="O1003" s="20" t="s">
        <v>63</v>
      </c>
      <c r="P1003" s="20" t="s">
        <v>52</v>
      </c>
      <c r="Q1003" s="26"/>
      <c r="R1003" s="26"/>
      <c r="S1003" s="26"/>
      <c r="T1003" s="22"/>
      <c r="U1003" s="26"/>
      <c r="V1003" s="26"/>
      <c r="W1003" s="20"/>
      <c r="X1003" s="20"/>
      <c r="Y1003" s="20"/>
      <c r="Z1003" s="20"/>
      <c r="AA1003" s="20"/>
      <c r="AB1003" s="20"/>
      <c r="AC1003" s="20"/>
      <c r="AD1003" s="20"/>
      <c r="AE1003" s="20"/>
    </row>
    <row r="1004">
      <c r="A1004" s="21">
        <v>28.0</v>
      </c>
      <c r="B1004" s="20" t="s">
        <v>2091</v>
      </c>
      <c r="C1004" s="20" t="s">
        <v>3094</v>
      </c>
      <c r="I1004" s="25" t="s">
        <v>2016</v>
      </c>
      <c r="J1004" s="25" t="s">
        <v>2487</v>
      </c>
      <c r="K1004" s="25" t="s">
        <v>71</v>
      </c>
      <c r="L1004" s="25" t="s">
        <v>3140</v>
      </c>
      <c r="M1004" s="20" t="s">
        <v>2609</v>
      </c>
      <c r="N1004" s="20" t="s">
        <v>2610</v>
      </c>
      <c r="O1004" s="20" t="s">
        <v>63</v>
      </c>
      <c r="P1004" s="20" t="s">
        <v>52</v>
      </c>
      <c r="Q1004" s="26"/>
      <c r="R1004" s="26"/>
      <c r="S1004" s="26"/>
      <c r="T1004" s="20"/>
      <c r="U1004" s="26"/>
      <c r="V1004" s="26"/>
      <c r="W1004" s="20"/>
      <c r="X1004" s="20"/>
      <c r="Y1004" s="20"/>
      <c r="Z1004" s="20"/>
      <c r="AA1004" s="20"/>
      <c r="AB1004" s="20"/>
      <c r="AC1004" s="20"/>
      <c r="AD1004" s="20"/>
      <c r="AE1004" s="20"/>
    </row>
    <row r="1005">
      <c r="A1005" s="21">
        <v>28.0</v>
      </c>
      <c r="B1005" s="20" t="s">
        <v>2091</v>
      </c>
      <c r="C1005" s="20" t="s">
        <v>3094</v>
      </c>
      <c r="I1005" s="25" t="s">
        <v>2895</v>
      </c>
      <c r="J1005" s="25" t="s">
        <v>2491</v>
      </c>
      <c r="K1005" s="25" t="s">
        <v>71</v>
      </c>
      <c r="L1005" s="25" t="s">
        <v>3173</v>
      </c>
      <c r="M1005" s="20" t="s">
        <v>2896</v>
      </c>
      <c r="N1005" s="20" t="s">
        <v>2897</v>
      </c>
      <c r="O1005" s="20" t="s">
        <v>63</v>
      </c>
      <c r="P1005" s="20" t="s">
        <v>52</v>
      </c>
      <c r="Q1005" s="26"/>
      <c r="R1005" s="26"/>
      <c r="S1005" s="26"/>
      <c r="T1005" s="20"/>
      <c r="U1005" s="26"/>
      <c r="V1005" s="26"/>
      <c r="W1005" s="20"/>
      <c r="X1005" s="20"/>
      <c r="Y1005" s="20"/>
      <c r="Z1005" s="20"/>
      <c r="AA1005" s="20"/>
      <c r="AB1005" s="20"/>
      <c r="AC1005" s="20"/>
      <c r="AD1005" s="20"/>
      <c r="AE1005" s="20"/>
    </row>
    <row r="1006">
      <c r="A1006" s="21">
        <v>28.0</v>
      </c>
      <c r="B1006" s="20" t="s">
        <v>2091</v>
      </c>
      <c r="C1006" s="20" t="s">
        <v>3094</v>
      </c>
      <c r="I1006" s="25" t="s">
        <v>1997</v>
      </c>
      <c r="J1006" s="25" t="s">
        <v>2487</v>
      </c>
      <c r="K1006" s="25" t="s">
        <v>71</v>
      </c>
      <c r="L1006" s="25" t="s">
        <v>3175</v>
      </c>
      <c r="M1006" s="20" t="s">
        <v>2611</v>
      </c>
      <c r="N1006" s="20" t="s">
        <v>2612</v>
      </c>
      <c r="O1006" s="20" t="s">
        <v>63</v>
      </c>
      <c r="P1006" s="20" t="s">
        <v>52</v>
      </c>
      <c r="Q1006" s="26"/>
      <c r="R1006" s="26"/>
      <c r="S1006" s="26"/>
      <c r="T1006" s="20"/>
      <c r="U1006" s="26"/>
      <c r="V1006" s="26"/>
      <c r="W1006" s="20"/>
      <c r="X1006" s="20"/>
      <c r="Y1006" s="20"/>
      <c r="Z1006" s="20"/>
      <c r="AA1006" s="20"/>
      <c r="AB1006" s="20"/>
      <c r="AC1006" s="20"/>
      <c r="AD1006" s="20"/>
      <c r="AE1006" s="20"/>
    </row>
    <row r="1007">
      <c r="A1007" s="21">
        <v>28.0</v>
      </c>
      <c r="B1007" s="20" t="s">
        <v>2091</v>
      </c>
      <c r="C1007" s="20" t="s">
        <v>3094</v>
      </c>
      <c r="I1007" s="25" t="s">
        <v>2614</v>
      </c>
      <c r="J1007" s="25" t="s">
        <v>2487</v>
      </c>
      <c r="K1007" s="25" t="s">
        <v>71</v>
      </c>
      <c r="L1007" s="25" t="s">
        <v>3164</v>
      </c>
      <c r="M1007" s="20" t="s">
        <v>2615</v>
      </c>
      <c r="N1007" s="20" t="s">
        <v>2616</v>
      </c>
      <c r="O1007" s="20" t="s">
        <v>63</v>
      </c>
      <c r="P1007" s="20" t="s">
        <v>52</v>
      </c>
      <c r="Q1007" s="26"/>
      <c r="R1007" s="26"/>
      <c r="S1007" s="26"/>
      <c r="T1007" s="20"/>
      <c r="U1007" s="26"/>
      <c r="V1007" s="26"/>
      <c r="W1007" s="20"/>
      <c r="X1007" s="20"/>
      <c r="Y1007" s="20"/>
      <c r="Z1007" s="20"/>
      <c r="AA1007" s="20"/>
      <c r="AB1007" s="20"/>
      <c r="AC1007" s="20"/>
      <c r="AD1007" s="20"/>
      <c r="AE1007" s="20"/>
    </row>
    <row r="1008">
      <c r="A1008" s="21">
        <v>28.0</v>
      </c>
      <c r="B1008" s="20" t="s">
        <v>2091</v>
      </c>
      <c r="C1008" s="20" t="s">
        <v>3094</v>
      </c>
      <c r="I1008" s="25" t="s">
        <v>1960</v>
      </c>
      <c r="J1008" s="25" t="s">
        <v>2972</v>
      </c>
      <c r="K1008" s="25" t="s">
        <v>71</v>
      </c>
      <c r="L1008" s="25" t="s">
        <v>3140</v>
      </c>
      <c r="M1008" s="20" t="s">
        <v>2978</v>
      </c>
      <c r="N1008" s="20" t="s">
        <v>2979</v>
      </c>
      <c r="O1008" s="20" t="s">
        <v>63</v>
      </c>
      <c r="P1008" s="20" t="s">
        <v>52</v>
      </c>
      <c r="Q1008" s="26"/>
      <c r="R1008" s="26"/>
      <c r="S1008" s="26"/>
      <c r="T1008" s="20"/>
      <c r="U1008" s="26"/>
      <c r="V1008" s="26"/>
      <c r="W1008" s="20"/>
      <c r="X1008" s="20"/>
      <c r="Y1008" s="20"/>
      <c r="Z1008" s="20"/>
      <c r="AA1008" s="20"/>
      <c r="AB1008" s="20"/>
      <c r="AC1008" s="20"/>
      <c r="AD1008" s="20"/>
      <c r="AE1008" s="20"/>
    </row>
    <row r="1009">
      <c r="A1009" s="21">
        <v>28.0</v>
      </c>
      <c r="B1009" s="20" t="s">
        <v>2091</v>
      </c>
      <c r="C1009" s="20" t="s">
        <v>3094</v>
      </c>
      <c r="I1009" s="25" t="s">
        <v>2618</v>
      </c>
      <c r="J1009" s="25" t="s">
        <v>2487</v>
      </c>
      <c r="K1009" s="25" t="s">
        <v>71</v>
      </c>
      <c r="L1009" s="25" t="s">
        <v>3178</v>
      </c>
      <c r="M1009" s="20" t="s">
        <v>2619</v>
      </c>
      <c r="N1009" s="20" t="s">
        <v>2620</v>
      </c>
      <c r="O1009" s="20" t="s">
        <v>63</v>
      </c>
      <c r="P1009" s="20" t="s">
        <v>52</v>
      </c>
      <c r="Q1009" s="26"/>
      <c r="R1009" s="26"/>
      <c r="S1009" s="26"/>
      <c r="T1009" s="20"/>
      <c r="U1009" s="26"/>
      <c r="V1009" s="26"/>
      <c r="W1009" s="20"/>
      <c r="X1009" s="20"/>
      <c r="Y1009" s="20"/>
      <c r="Z1009" s="20"/>
      <c r="AA1009" s="20"/>
      <c r="AB1009" s="20"/>
      <c r="AC1009" s="20"/>
      <c r="AD1009" s="20"/>
      <c r="AE1009" s="20"/>
    </row>
    <row r="1010">
      <c r="A1010" s="21">
        <v>28.0</v>
      </c>
      <c r="B1010" s="20" t="s">
        <v>2091</v>
      </c>
      <c r="C1010" s="20" t="s">
        <v>3094</v>
      </c>
      <c r="I1010" s="25" t="s">
        <v>1975</v>
      </c>
      <c r="J1010" s="25" t="s">
        <v>2487</v>
      </c>
      <c r="K1010" s="25" t="s">
        <v>71</v>
      </c>
      <c r="L1010" s="25" t="s">
        <v>292</v>
      </c>
      <c r="M1010" s="20" t="s">
        <v>1976</v>
      </c>
      <c r="N1010" s="20" t="s">
        <v>2622</v>
      </c>
      <c r="O1010" s="20" t="s">
        <v>63</v>
      </c>
      <c r="P1010" s="20" t="s">
        <v>52</v>
      </c>
      <c r="Q1010" s="26"/>
      <c r="R1010" s="26"/>
      <c r="S1010" s="26"/>
      <c r="T1010" s="22"/>
      <c r="U1010" s="26"/>
      <c r="V1010" s="26"/>
      <c r="W1010" s="20"/>
      <c r="X1010" s="20"/>
      <c r="Y1010" s="20"/>
      <c r="Z1010" s="20"/>
      <c r="AA1010" s="20"/>
      <c r="AB1010" s="20"/>
      <c r="AC1010" s="20"/>
      <c r="AD1010" s="20"/>
      <c r="AE1010" s="20"/>
    </row>
    <row r="1011">
      <c r="A1011" s="21">
        <v>28.0</v>
      </c>
      <c r="B1011" s="20" t="s">
        <v>2091</v>
      </c>
      <c r="C1011" s="20" t="s">
        <v>3094</v>
      </c>
      <c r="I1011" s="25" t="s">
        <v>836</v>
      </c>
      <c r="J1011" s="25" t="s">
        <v>2487</v>
      </c>
      <c r="K1011" s="25" t="s">
        <v>71</v>
      </c>
      <c r="L1011" s="25" t="s">
        <v>292</v>
      </c>
      <c r="M1011" s="20" t="s">
        <v>2175</v>
      </c>
      <c r="N1011" s="20" t="s">
        <v>2177</v>
      </c>
      <c r="O1011" s="20" t="s">
        <v>63</v>
      </c>
      <c r="P1011" s="20" t="s">
        <v>52</v>
      </c>
      <c r="Q1011" s="26"/>
      <c r="R1011" s="26"/>
      <c r="S1011" s="26"/>
      <c r="T1011" s="22"/>
      <c r="U1011" s="26"/>
      <c r="V1011" s="26"/>
      <c r="W1011" s="20"/>
      <c r="X1011" s="20"/>
      <c r="Y1011" s="20"/>
      <c r="Z1011" s="20"/>
      <c r="AA1011" s="20"/>
      <c r="AB1011" s="20"/>
      <c r="AC1011" s="20"/>
      <c r="AD1011" s="20"/>
      <c r="AE1011" s="20"/>
    </row>
    <row r="1012">
      <c r="A1012" s="21">
        <v>28.0</v>
      </c>
      <c r="B1012" s="20" t="s">
        <v>2091</v>
      </c>
      <c r="C1012" s="20" t="s">
        <v>3094</v>
      </c>
      <c r="I1012" s="25" t="s">
        <v>2898</v>
      </c>
      <c r="J1012" s="25" t="s">
        <v>2491</v>
      </c>
      <c r="K1012" s="25" t="s">
        <v>71</v>
      </c>
      <c r="L1012" s="25" t="s">
        <v>3178</v>
      </c>
      <c r="M1012" s="20" t="s">
        <v>2899</v>
      </c>
      <c r="N1012" s="20" t="s">
        <v>2900</v>
      </c>
      <c r="O1012" s="20" t="s">
        <v>63</v>
      </c>
      <c r="P1012" s="20" t="s">
        <v>52</v>
      </c>
      <c r="Q1012" s="26"/>
      <c r="R1012" s="26"/>
      <c r="S1012" s="26"/>
      <c r="T1012" s="20"/>
      <c r="U1012" s="26"/>
      <c r="V1012" s="26"/>
      <c r="W1012" s="20"/>
      <c r="X1012" s="20"/>
      <c r="Y1012" s="20"/>
      <c r="Z1012" s="20"/>
      <c r="AA1012" s="20"/>
      <c r="AB1012" s="20"/>
      <c r="AC1012" s="20"/>
      <c r="AD1012" s="20"/>
      <c r="AE1012" s="20"/>
    </row>
    <row r="1013">
      <c r="A1013" s="21">
        <v>28.0</v>
      </c>
      <c r="B1013" s="20" t="s">
        <v>2091</v>
      </c>
      <c r="C1013" s="20" t="s">
        <v>3094</v>
      </c>
      <c r="I1013" s="25" t="s">
        <v>2466</v>
      </c>
      <c r="J1013" s="25" t="s">
        <v>2487</v>
      </c>
      <c r="K1013" s="25" t="s">
        <v>71</v>
      </c>
      <c r="L1013" s="25" t="s">
        <v>3178</v>
      </c>
      <c r="M1013" s="20" t="s">
        <v>2623</v>
      </c>
      <c r="N1013" s="20" t="s">
        <v>2624</v>
      </c>
      <c r="O1013" s="20" t="s">
        <v>63</v>
      </c>
      <c r="P1013" s="20" t="s">
        <v>52</v>
      </c>
      <c r="Q1013" s="26"/>
      <c r="R1013" s="26"/>
      <c r="S1013" s="26"/>
      <c r="T1013" s="20"/>
      <c r="U1013" s="26"/>
      <c r="V1013" s="26"/>
      <c r="W1013" s="20"/>
      <c r="X1013" s="20"/>
      <c r="Y1013" s="20"/>
      <c r="Z1013" s="20"/>
      <c r="AA1013" s="20"/>
      <c r="AB1013" s="20"/>
      <c r="AC1013" s="20"/>
      <c r="AD1013" s="20"/>
      <c r="AE1013" s="20"/>
    </row>
    <row r="1014">
      <c r="A1014" s="21">
        <v>28.0</v>
      </c>
      <c r="B1014" s="20" t="s">
        <v>2091</v>
      </c>
      <c r="C1014" s="20" t="s">
        <v>3094</v>
      </c>
      <c r="I1014" s="25" t="s">
        <v>2625</v>
      </c>
      <c r="J1014" s="25" t="s">
        <v>2487</v>
      </c>
      <c r="K1014" s="25" t="s">
        <v>71</v>
      </c>
      <c r="L1014" s="25" t="s">
        <v>3178</v>
      </c>
      <c r="M1014" s="20" t="s">
        <v>2626</v>
      </c>
      <c r="N1014" s="20" t="s">
        <v>2627</v>
      </c>
      <c r="O1014" s="20" t="s">
        <v>63</v>
      </c>
      <c r="P1014" s="20" t="s">
        <v>52</v>
      </c>
      <c r="Q1014" s="26"/>
      <c r="R1014" s="26"/>
      <c r="S1014" s="26"/>
      <c r="T1014" s="20"/>
      <c r="U1014" s="26"/>
      <c r="V1014" s="26"/>
      <c r="W1014" s="20"/>
      <c r="X1014" s="20"/>
      <c r="Y1014" s="20"/>
      <c r="Z1014" s="20"/>
      <c r="AA1014" s="20"/>
      <c r="AB1014" s="20"/>
      <c r="AC1014" s="20"/>
      <c r="AD1014" s="20"/>
      <c r="AE1014" s="20"/>
    </row>
    <row r="1015">
      <c r="A1015" s="21">
        <v>28.0</v>
      </c>
      <c r="B1015" s="20" t="s">
        <v>2091</v>
      </c>
      <c r="C1015" s="20" t="s">
        <v>3094</v>
      </c>
      <c r="I1015" s="25" t="s">
        <v>2628</v>
      </c>
      <c r="J1015" s="25" t="s">
        <v>2487</v>
      </c>
      <c r="K1015" s="25" t="s">
        <v>71</v>
      </c>
      <c r="L1015" s="25" t="s">
        <v>3178</v>
      </c>
      <c r="M1015" s="20" t="s">
        <v>2629</v>
      </c>
      <c r="N1015" s="20" t="s">
        <v>2630</v>
      </c>
      <c r="O1015" s="20" t="s">
        <v>63</v>
      </c>
      <c r="P1015" s="20" t="s">
        <v>52</v>
      </c>
      <c r="Q1015" s="26"/>
      <c r="R1015" s="26"/>
      <c r="S1015" s="26"/>
      <c r="T1015" s="20"/>
      <c r="U1015" s="26"/>
      <c r="V1015" s="26"/>
      <c r="W1015" s="20"/>
      <c r="X1015" s="20"/>
      <c r="Y1015" s="20"/>
      <c r="Z1015" s="20"/>
      <c r="AA1015" s="20"/>
      <c r="AB1015" s="20"/>
      <c r="AC1015" s="20"/>
      <c r="AD1015" s="20"/>
      <c r="AE1015" s="20"/>
    </row>
    <row r="1016">
      <c r="A1016" s="21">
        <v>28.0</v>
      </c>
      <c r="B1016" s="20" t="s">
        <v>2091</v>
      </c>
      <c r="C1016" s="20" t="s">
        <v>3094</v>
      </c>
      <c r="I1016" s="25" t="s">
        <v>557</v>
      </c>
      <c r="J1016" s="25" t="s">
        <v>2491</v>
      </c>
      <c r="K1016" s="25" t="s">
        <v>71</v>
      </c>
      <c r="L1016" s="25" t="s">
        <v>292</v>
      </c>
      <c r="M1016" s="20" t="s">
        <v>1043</v>
      </c>
      <c r="N1016" s="20" t="s">
        <v>2901</v>
      </c>
      <c r="O1016" s="20" t="s">
        <v>63</v>
      </c>
      <c r="P1016" s="20" t="s">
        <v>52</v>
      </c>
      <c r="Q1016" s="26"/>
      <c r="R1016" s="26"/>
      <c r="S1016" s="26"/>
      <c r="T1016" s="22"/>
      <c r="U1016" s="26"/>
      <c r="V1016" s="26"/>
      <c r="W1016" s="20"/>
      <c r="X1016" s="20"/>
      <c r="Y1016" s="20"/>
      <c r="Z1016" s="20"/>
      <c r="AA1016" s="20"/>
      <c r="AB1016" s="20"/>
      <c r="AC1016" s="20"/>
      <c r="AD1016" s="20"/>
      <c r="AE1016" s="20"/>
    </row>
    <row r="1017">
      <c r="A1017" s="21">
        <v>28.0</v>
      </c>
      <c r="B1017" s="20" t="s">
        <v>2091</v>
      </c>
      <c r="C1017" s="20" t="s">
        <v>3094</v>
      </c>
      <c r="I1017" s="25" t="s">
        <v>2631</v>
      </c>
      <c r="J1017" s="25" t="s">
        <v>2487</v>
      </c>
      <c r="K1017" s="25" t="s">
        <v>71</v>
      </c>
      <c r="L1017" s="25" t="s">
        <v>3178</v>
      </c>
      <c r="M1017" s="20" t="s">
        <v>2632</v>
      </c>
      <c r="N1017" s="20" t="s">
        <v>2633</v>
      </c>
      <c r="O1017" s="20" t="s">
        <v>63</v>
      </c>
      <c r="P1017" s="20" t="s">
        <v>52</v>
      </c>
      <c r="Q1017" s="26"/>
      <c r="R1017" s="26"/>
      <c r="S1017" s="26"/>
      <c r="T1017" s="20"/>
      <c r="U1017" s="26"/>
      <c r="V1017" s="26"/>
      <c r="W1017" s="20"/>
      <c r="X1017" s="20"/>
      <c r="Y1017" s="20"/>
      <c r="Z1017" s="20"/>
      <c r="AA1017" s="20"/>
      <c r="AB1017" s="20"/>
      <c r="AC1017" s="20"/>
      <c r="AD1017" s="20"/>
      <c r="AE1017" s="20"/>
    </row>
    <row r="1018">
      <c r="A1018" s="21">
        <v>28.0</v>
      </c>
      <c r="B1018" s="20" t="s">
        <v>2091</v>
      </c>
      <c r="C1018" s="20" t="s">
        <v>3094</v>
      </c>
      <c r="I1018" s="25" t="s">
        <v>2634</v>
      </c>
      <c r="J1018" s="25" t="s">
        <v>2487</v>
      </c>
      <c r="K1018" s="25" t="s">
        <v>71</v>
      </c>
      <c r="L1018" s="25" t="s">
        <v>3178</v>
      </c>
      <c r="M1018" s="20" t="s">
        <v>2635</v>
      </c>
      <c r="N1018" s="20" t="s">
        <v>2636</v>
      </c>
      <c r="O1018" s="20" t="s">
        <v>63</v>
      </c>
      <c r="P1018" s="20" t="s">
        <v>52</v>
      </c>
      <c r="Q1018" s="26"/>
      <c r="R1018" s="26"/>
      <c r="S1018" s="26"/>
      <c r="T1018" s="20"/>
      <c r="U1018" s="26"/>
      <c r="V1018" s="26"/>
      <c r="W1018" s="20"/>
      <c r="X1018" s="20"/>
      <c r="Y1018" s="20"/>
      <c r="Z1018" s="20"/>
      <c r="AA1018" s="20"/>
      <c r="AB1018" s="20"/>
      <c r="AC1018" s="20"/>
      <c r="AD1018" s="20"/>
      <c r="AE1018" s="20"/>
    </row>
    <row r="1019">
      <c r="A1019" s="21">
        <v>28.0</v>
      </c>
      <c r="B1019" s="20" t="s">
        <v>2091</v>
      </c>
      <c r="C1019" s="20" t="s">
        <v>3094</v>
      </c>
      <c r="I1019" s="25" t="s">
        <v>1719</v>
      </c>
      <c r="J1019" s="25" t="s">
        <v>2487</v>
      </c>
      <c r="K1019" s="25" t="s">
        <v>71</v>
      </c>
      <c r="L1019" s="25" t="s">
        <v>3178</v>
      </c>
      <c r="M1019" s="20" t="s">
        <v>2637</v>
      </c>
      <c r="N1019" s="20" t="s">
        <v>2638</v>
      </c>
      <c r="O1019" s="20" t="s">
        <v>63</v>
      </c>
      <c r="P1019" s="20" t="s">
        <v>52</v>
      </c>
      <c r="Q1019" s="26"/>
      <c r="R1019" s="26"/>
      <c r="S1019" s="26"/>
      <c r="T1019" s="20"/>
      <c r="U1019" s="26"/>
      <c r="V1019" s="26"/>
      <c r="W1019" s="20"/>
      <c r="X1019" s="20"/>
      <c r="Y1019" s="20"/>
      <c r="Z1019" s="20"/>
      <c r="AA1019" s="20"/>
      <c r="AB1019" s="20"/>
      <c r="AC1019" s="20"/>
      <c r="AD1019" s="20"/>
      <c r="AE1019" s="20"/>
    </row>
    <row r="1020">
      <c r="A1020" s="21">
        <v>28.0</v>
      </c>
      <c r="B1020" s="20" t="s">
        <v>2091</v>
      </c>
      <c r="C1020" s="20" t="s">
        <v>3094</v>
      </c>
      <c r="I1020" s="25" t="s">
        <v>1171</v>
      </c>
      <c r="J1020" s="25" t="s">
        <v>2487</v>
      </c>
      <c r="K1020" s="25" t="s">
        <v>71</v>
      </c>
      <c r="L1020" s="25" t="s">
        <v>292</v>
      </c>
      <c r="M1020" s="20" t="s">
        <v>1172</v>
      </c>
      <c r="N1020" s="20" t="s">
        <v>2639</v>
      </c>
      <c r="O1020" s="20" t="s">
        <v>63</v>
      </c>
      <c r="P1020" s="20" t="s">
        <v>52</v>
      </c>
      <c r="Q1020" s="26"/>
      <c r="R1020" s="26"/>
      <c r="S1020" s="26"/>
      <c r="T1020" s="22"/>
      <c r="U1020" s="26"/>
      <c r="V1020" s="26"/>
      <c r="W1020" s="20"/>
      <c r="X1020" s="20"/>
      <c r="Y1020" s="20"/>
      <c r="Z1020" s="20"/>
      <c r="AA1020" s="20"/>
      <c r="AB1020" s="20"/>
      <c r="AC1020" s="20"/>
      <c r="AD1020" s="20"/>
      <c r="AE1020" s="20"/>
    </row>
    <row r="1021">
      <c r="A1021" s="21">
        <v>28.0</v>
      </c>
      <c r="B1021" s="20" t="s">
        <v>2091</v>
      </c>
      <c r="C1021" s="20" t="s">
        <v>3094</v>
      </c>
      <c r="I1021" s="25" t="s">
        <v>1643</v>
      </c>
      <c r="J1021" s="25" t="s">
        <v>2487</v>
      </c>
      <c r="K1021" s="25" t="s">
        <v>71</v>
      </c>
      <c r="L1021" s="25" t="s">
        <v>292</v>
      </c>
      <c r="M1021" s="20" t="s">
        <v>2640</v>
      </c>
      <c r="N1021" s="20" t="s">
        <v>2641</v>
      </c>
      <c r="O1021" s="20" t="s">
        <v>63</v>
      </c>
      <c r="P1021" s="20" t="s">
        <v>52</v>
      </c>
      <c r="Q1021" s="26"/>
      <c r="R1021" s="26"/>
      <c r="S1021" s="26"/>
      <c r="T1021" s="22"/>
      <c r="U1021" s="26"/>
      <c r="V1021" s="26"/>
      <c r="W1021" s="20"/>
      <c r="X1021" s="20"/>
      <c r="Y1021" s="20"/>
      <c r="Z1021" s="20"/>
      <c r="AA1021" s="20"/>
      <c r="AB1021" s="20"/>
      <c r="AC1021" s="20"/>
      <c r="AD1021" s="20"/>
      <c r="AE1021" s="20"/>
    </row>
    <row r="1022">
      <c r="A1022" s="21">
        <v>28.0</v>
      </c>
      <c r="B1022" s="20" t="s">
        <v>2091</v>
      </c>
      <c r="C1022" s="20" t="s">
        <v>3094</v>
      </c>
      <c r="I1022" s="25" t="s">
        <v>2643</v>
      </c>
      <c r="J1022" s="25" t="s">
        <v>2487</v>
      </c>
      <c r="K1022" s="25" t="s">
        <v>71</v>
      </c>
      <c r="L1022" s="25" t="s">
        <v>292</v>
      </c>
      <c r="M1022" s="20" t="s">
        <v>2644</v>
      </c>
      <c r="N1022" s="20" t="s">
        <v>2646</v>
      </c>
      <c r="O1022" s="20" t="s">
        <v>63</v>
      </c>
      <c r="P1022" s="20" t="s">
        <v>52</v>
      </c>
      <c r="Q1022" s="26"/>
      <c r="R1022" s="26"/>
      <c r="S1022" s="26"/>
      <c r="T1022" s="22"/>
      <c r="U1022" s="26"/>
      <c r="V1022" s="26"/>
      <c r="W1022" s="20"/>
      <c r="X1022" s="20"/>
      <c r="Y1022" s="20"/>
      <c r="Z1022" s="20"/>
      <c r="AA1022" s="20"/>
      <c r="AB1022" s="20"/>
      <c r="AC1022" s="20"/>
      <c r="AD1022" s="20"/>
      <c r="AE1022" s="20"/>
    </row>
    <row r="1023">
      <c r="A1023" s="21">
        <v>28.0</v>
      </c>
      <c r="B1023" s="20" t="s">
        <v>2091</v>
      </c>
      <c r="C1023" s="20" t="s">
        <v>3094</v>
      </c>
      <c r="I1023" s="25" t="s">
        <v>2902</v>
      </c>
      <c r="J1023" s="25" t="s">
        <v>2491</v>
      </c>
      <c r="K1023" s="25" t="s">
        <v>71</v>
      </c>
      <c r="L1023" s="25" t="s">
        <v>292</v>
      </c>
      <c r="M1023" s="20" t="s">
        <v>2903</v>
      </c>
      <c r="N1023" s="20" t="s">
        <v>2904</v>
      </c>
      <c r="O1023" s="20" t="s">
        <v>63</v>
      </c>
      <c r="P1023" s="20" t="s">
        <v>52</v>
      </c>
      <c r="Q1023" s="26"/>
      <c r="R1023" s="26"/>
      <c r="S1023" s="26"/>
      <c r="T1023" s="22"/>
      <c r="U1023" s="26"/>
      <c r="V1023" s="26"/>
      <c r="W1023" s="20"/>
      <c r="X1023" s="20"/>
      <c r="Y1023" s="20"/>
      <c r="Z1023" s="20"/>
      <c r="AA1023" s="20"/>
      <c r="AB1023" s="20"/>
      <c r="AC1023" s="20"/>
      <c r="AD1023" s="20"/>
      <c r="AE1023" s="20"/>
    </row>
    <row r="1024">
      <c r="A1024" s="21">
        <v>28.0</v>
      </c>
      <c r="B1024" s="20" t="s">
        <v>2091</v>
      </c>
      <c r="C1024" s="20" t="s">
        <v>3094</v>
      </c>
      <c r="I1024" s="25" t="s">
        <v>2212</v>
      </c>
      <c r="J1024" s="25" t="s">
        <v>2491</v>
      </c>
      <c r="K1024" s="25" t="s">
        <v>71</v>
      </c>
      <c r="L1024" s="25" t="s">
        <v>292</v>
      </c>
      <c r="M1024" s="20" t="s">
        <v>2905</v>
      </c>
      <c r="N1024" s="20" t="s">
        <v>2906</v>
      </c>
      <c r="O1024" s="20" t="s">
        <v>63</v>
      </c>
      <c r="P1024" s="20" t="s">
        <v>52</v>
      </c>
      <c r="Q1024" s="26"/>
      <c r="R1024" s="26"/>
      <c r="S1024" s="26"/>
      <c r="T1024" s="22"/>
      <c r="U1024" s="26"/>
      <c r="V1024" s="26"/>
      <c r="W1024" s="20"/>
      <c r="X1024" s="20"/>
      <c r="Y1024" s="20"/>
      <c r="Z1024" s="20"/>
      <c r="AA1024" s="20"/>
      <c r="AB1024" s="20"/>
      <c r="AC1024" s="20"/>
      <c r="AD1024" s="20"/>
      <c r="AE1024" s="20"/>
    </row>
    <row r="1025">
      <c r="A1025" s="21">
        <v>28.0</v>
      </c>
      <c r="B1025" s="20" t="s">
        <v>2091</v>
      </c>
      <c r="C1025" s="20" t="s">
        <v>3094</v>
      </c>
      <c r="I1025" s="25" t="s">
        <v>150</v>
      </c>
      <c r="J1025" s="25" t="s">
        <v>2487</v>
      </c>
      <c r="K1025" s="25" t="s">
        <v>71</v>
      </c>
      <c r="L1025" s="25" t="s">
        <v>3178</v>
      </c>
      <c r="M1025" s="20" t="s">
        <v>2647</v>
      </c>
      <c r="N1025" s="20" t="s">
        <v>2648</v>
      </c>
      <c r="O1025" s="20" t="s">
        <v>63</v>
      </c>
      <c r="P1025" s="20" t="s">
        <v>52</v>
      </c>
      <c r="Q1025" s="26"/>
      <c r="R1025" s="26"/>
      <c r="S1025" s="26"/>
      <c r="T1025" s="20"/>
      <c r="U1025" s="26"/>
      <c r="V1025" s="26"/>
      <c r="W1025" s="20"/>
      <c r="X1025" s="20"/>
      <c r="Y1025" s="20"/>
      <c r="Z1025" s="20"/>
      <c r="AA1025" s="20"/>
      <c r="AB1025" s="20"/>
      <c r="AC1025" s="20"/>
      <c r="AD1025" s="20"/>
      <c r="AE1025" s="20"/>
    </row>
    <row r="1026">
      <c r="A1026" s="21">
        <v>28.0</v>
      </c>
      <c r="B1026" s="20" t="s">
        <v>2091</v>
      </c>
      <c r="C1026" s="20" t="s">
        <v>3094</v>
      </c>
      <c r="I1026" s="25" t="s">
        <v>1860</v>
      </c>
      <c r="J1026" s="25" t="s">
        <v>2487</v>
      </c>
      <c r="K1026" s="25" t="s">
        <v>71</v>
      </c>
      <c r="L1026" s="25" t="s">
        <v>3178</v>
      </c>
      <c r="M1026" s="20" t="s">
        <v>2649</v>
      </c>
      <c r="N1026" s="20" t="s">
        <v>2650</v>
      </c>
      <c r="O1026" s="20" t="s">
        <v>63</v>
      </c>
      <c r="P1026" s="20" t="s">
        <v>52</v>
      </c>
      <c r="Q1026" s="26"/>
      <c r="R1026" s="26"/>
      <c r="S1026" s="26"/>
      <c r="T1026" s="20"/>
      <c r="U1026" s="26"/>
      <c r="V1026" s="26"/>
      <c r="W1026" s="20"/>
      <c r="X1026" s="20"/>
      <c r="Y1026" s="20"/>
      <c r="Z1026" s="20"/>
      <c r="AA1026" s="20"/>
      <c r="AB1026" s="20"/>
      <c r="AC1026" s="20"/>
      <c r="AD1026" s="20"/>
      <c r="AE1026" s="20"/>
    </row>
    <row r="1027">
      <c r="A1027" s="21">
        <v>28.0</v>
      </c>
      <c r="B1027" s="20" t="s">
        <v>2091</v>
      </c>
      <c r="C1027" s="20" t="s">
        <v>3094</v>
      </c>
      <c r="I1027" s="25" t="s">
        <v>1735</v>
      </c>
      <c r="J1027" s="25" t="s">
        <v>2487</v>
      </c>
      <c r="K1027" s="25" t="s">
        <v>71</v>
      </c>
      <c r="L1027" s="25" t="s">
        <v>3178</v>
      </c>
      <c r="M1027" s="20" t="s">
        <v>2651</v>
      </c>
      <c r="N1027" s="20" t="s">
        <v>2652</v>
      </c>
      <c r="O1027" s="20" t="s">
        <v>63</v>
      </c>
      <c r="P1027" s="20" t="s">
        <v>52</v>
      </c>
      <c r="Q1027" s="26"/>
      <c r="R1027" s="26"/>
      <c r="S1027" s="26"/>
      <c r="T1027" s="20"/>
      <c r="U1027" s="26"/>
      <c r="V1027" s="26"/>
      <c r="W1027" s="20"/>
      <c r="X1027" s="20"/>
      <c r="Y1027" s="20"/>
      <c r="Z1027" s="20"/>
      <c r="AA1027" s="20"/>
      <c r="AB1027" s="20"/>
      <c r="AC1027" s="20"/>
      <c r="AD1027" s="20"/>
      <c r="AE1027" s="20"/>
    </row>
    <row r="1028">
      <c r="A1028" s="21">
        <v>28.0</v>
      </c>
      <c r="B1028" s="20" t="s">
        <v>2091</v>
      </c>
      <c r="C1028" s="20" t="s">
        <v>3094</v>
      </c>
      <c r="I1028" s="25" t="s">
        <v>2215</v>
      </c>
      <c r="J1028" s="25" t="s">
        <v>2491</v>
      </c>
      <c r="K1028" s="25" t="s">
        <v>71</v>
      </c>
      <c r="L1028" s="25" t="s">
        <v>292</v>
      </c>
      <c r="M1028" s="20" t="s">
        <v>2907</v>
      </c>
      <c r="N1028" s="20" t="s">
        <v>2908</v>
      </c>
      <c r="O1028" s="20" t="s">
        <v>63</v>
      </c>
      <c r="P1028" s="20" t="s">
        <v>52</v>
      </c>
      <c r="Q1028" s="26"/>
      <c r="R1028" s="26"/>
      <c r="S1028" s="26"/>
      <c r="T1028" s="22"/>
      <c r="U1028" s="26"/>
      <c r="V1028" s="26"/>
      <c r="W1028" s="20"/>
      <c r="X1028" s="20"/>
      <c r="Y1028" s="20"/>
      <c r="Z1028" s="20"/>
      <c r="AA1028" s="20"/>
      <c r="AB1028" s="20"/>
      <c r="AC1028" s="20"/>
      <c r="AD1028" s="20"/>
      <c r="AE1028" s="20"/>
    </row>
    <row r="1029">
      <c r="A1029" s="21">
        <v>28.0</v>
      </c>
      <c r="B1029" s="20" t="s">
        <v>2091</v>
      </c>
      <c r="C1029" s="20" t="s">
        <v>3094</v>
      </c>
      <c r="I1029" s="25" t="s">
        <v>423</v>
      </c>
      <c r="J1029" s="25" t="s">
        <v>2487</v>
      </c>
      <c r="K1029" s="25" t="s">
        <v>71</v>
      </c>
      <c r="L1029" s="25" t="s">
        <v>292</v>
      </c>
      <c r="M1029" s="20" t="s">
        <v>2653</v>
      </c>
      <c r="N1029" s="20" t="s">
        <v>2654</v>
      </c>
      <c r="O1029" s="20" t="s">
        <v>63</v>
      </c>
      <c r="P1029" s="20" t="s">
        <v>52</v>
      </c>
      <c r="Q1029" s="26"/>
      <c r="R1029" s="26"/>
      <c r="S1029" s="26"/>
      <c r="T1029" s="22"/>
      <c r="U1029" s="26"/>
      <c r="V1029" s="26"/>
      <c r="W1029" s="20"/>
      <c r="X1029" s="20"/>
      <c r="Y1029" s="20"/>
      <c r="Z1029" s="20"/>
      <c r="AA1029" s="20"/>
      <c r="AB1029" s="20"/>
      <c r="AC1029" s="20"/>
      <c r="AD1029" s="20"/>
      <c r="AE1029" s="20"/>
    </row>
    <row r="1030">
      <c r="A1030" s="21">
        <v>28.0</v>
      </c>
      <c r="B1030" s="20" t="s">
        <v>2091</v>
      </c>
      <c r="C1030" s="20" t="s">
        <v>3094</v>
      </c>
      <c r="I1030" s="25" t="s">
        <v>1693</v>
      </c>
      <c r="J1030" s="25" t="s">
        <v>2487</v>
      </c>
      <c r="K1030" s="25" t="s">
        <v>71</v>
      </c>
      <c r="L1030" s="25" t="s">
        <v>3178</v>
      </c>
      <c r="M1030" s="20" t="s">
        <v>2655</v>
      </c>
      <c r="N1030" s="20" t="s">
        <v>2656</v>
      </c>
      <c r="O1030" s="20" t="s">
        <v>63</v>
      </c>
      <c r="P1030" s="20" t="s">
        <v>52</v>
      </c>
      <c r="Q1030" s="26"/>
      <c r="R1030" s="26"/>
      <c r="S1030" s="26"/>
      <c r="T1030" s="20"/>
      <c r="U1030" s="26"/>
      <c r="V1030" s="26"/>
      <c r="W1030" s="20"/>
      <c r="X1030" s="20"/>
      <c r="Y1030" s="20"/>
      <c r="Z1030" s="20"/>
      <c r="AA1030" s="20"/>
      <c r="AB1030" s="20"/>
      <c r="AC1030" s="20"/>
      <c r="AD1030" s="20"/>
      <c r="AE1030" s="20"/>
    </row>
    <row r="1031">
      <c r="A1031" s="21">
        <v>28.0</v>
      </c>
      <c r="B1031" s="20" t="s">
        <v>2091</v>
      </c>
      <c r="C1031" s="20" t="s">
        <v>3094</v>
      </c>
      <c r="I1031" s="25" t="s">
        <v>2657</v>
      </c>
      <c r="J1031" s="25" t="s">
        <v>2487</v>
      </c>
      <c r="K1031" s="25" t="s">
        <v>71</v>
      </c>
      <c r="L1031" s="25" t="s">
        <v>292</v>
      </c>
      <c r="M1031" s="20" t="s">
        <v>2658</v>
      </c>
      <c r="N1031" s="20" t="s">
        <v>2659</v>
      </c>
      <c r="O1031" s="20" t="s">
        <v>63</v>
      </c>
      <c r="P1031" s="20" t="s">
        <v>52</v>
      </c>
      <c r="Q1031" s="26"/>
      <c r="R1031" s="26"/>
      <c r="S1031" s="26"/>
      <c r="T1031" s="22"/>
      <c r="U1031" s="26"/>
      <c r="V1031" s="26"/>
      <c r="W1031" s="20"/>
      <c r="X1031" s="20"/>
      <c r="Y1031" s="20"/>
      <c r="Z1031" s="20"/>
      <c r="AA1031" s="20"/>
      <c r="AB1031" s="20"/>
      <c r="AC1031" s="20"/>
      <c r="AD1031" s="20"/>
      <c r="AE1031" s="20"/>
    </row>
    <row r="1032">
      <c r="A1032" s="21">
        <v>28.0</v>
      </c>
      <c r="B1032" s="20" t="s">
        <v>2091</v>
      </c>
      <c r="C1032" s="20" t="s">
        <v>3094</v>
      </c>
      <c r="I1032" s="25" t="s">
        <v>1309</v>
      </c>
      <c r="J1032" s="25" t="s">
        <v>2487</v>
      </c>
      <c r="K1032" s="25" t="s">
        <v>71</v>
      </c>
      <c r="L1032" s="25" t="s">
        <v>3178</v>
      </c>
      <c r="M1032" s="20" t="s">
        <v>2660</v>
      </c>
      <c r="N1032" s="20" t="s">
        <v>2661</v>
      </c>
      <c r="O1032" s="20" t="s">
        <v>63</v>
      </c>
      <c r="P1032" s="20" t="s">
        <v>52</v>
      </c>
      <c r="Q1032" s="26"/>
      <c r="R1032" s="26"/>
      <c r="S1032" s="26"/>
      <c r="T1032" s="20"/>
      <c r="U1032" s="26"/>
      <c r="V1032" s="26"/>
      <c r="W1032" s="20"/>
      <c r="X1032" s="20"/>
      <c r="Y1032" s="20"/>
      <c r="Z1032" s="20"/>
      <c r="AA1032" s="20"/>
      <c r="AB1032" s="20"/>
      <c r="AC1032" s="20"/>
      <c r="AD1032" s="20"/>
      <c r="AE1032" s="20"/>
    </row>
    <row r="1033">
      <c r="A1033" s="21">
        <v>28.0</v>
      </c>
      <c r="B1033" s="20" t="s">
        <v>2091</v>
      </c>
      <c r="C1033" s="20" t="s">
        <v>3094</v>
      </c>
      <c r="I1033" s="25" t="s">
        <v>716</v>
      </c>
      <c r="J1033" s="25" t="s">
        <v>2487</v>
      </c>
      <c r="K1033" s="25" t="s">
        <v>71</v>
      </c>
      <c r="L1033" s="25" t="s">
        <v>292</v>
      </c>
      <c r="M1033" s="20" t="s">
        <v>1003</v>
      </c>
      <c r="N1033" s="20" t="s">
        <v>2662</v>
      </c>
      <c r="O1033" s="20" t="s">
        <v>63</v>
      </c>
      <c r="P1033" s="20" t="s">
        <v>52</v>
      </c>
      <c r="Q1033" s="26"/>
      <c r="R1033" s="26"/>
      <c r="S1033" s="26"/>
      <c r="T1033" s="22"/>
      <c r="U1033" s="26"/>
      <c r="V1033" s="26"/>
      <c r="W1033" s="20"/>
      <c r="X1033" s="20"/>
      <c r="Y1033" s="20"/>
      <c r="Z1033" s="20"/>
      <c r="AA1033" s="20"/>
      <c r="AB1033" s="20"/>
      <c r="AC1033" s="20"/>
      <c r="AD1033" s="20"/>
      <c r="AE1033" s="20"/>
    </row>
    <row r="1034">
      <c r="A1034" s="21">
        <v>28.0</v>
      </c>
      <c r="B1034" s="20" t="s">
        <v>2091</v>
      </c>
      <c r="C1034" s="20" t="s">
        <v>3094</v>
      </c>
      <c r="I1034" s="25" t="s">
        <v>2663</v>
      </c>
      <c r="J1034" s="25" t="s">
        <v>2487</v>
      </c>
      <c r="K1034" s="25" t="s">
        <v>71</v>
      </c>
      <c r="L1034" s="25" t="s">
        <v>3178</v>
      </c>
      <c r="M1034" s="20" t="s">
        <v>2664</v>
      </c>
      <c r="N1034" s="20" t="s">
        <v>2665</v>
      </c>
      <c r="O1034" s="20" t="s">
        <v>63</v>
      </c>
      <c r="P1034" s="20" t="s">
        <v>52</v>
      </c>
      <c r="Q1034" s="26"/>
      <c r="R1034" s="26"/>
      <c r="S1034" s="26"/>
      <c r="T1034" s="20"/>
      <c r="U1034" s="26"/>
      <c r="V1034" s="26"/>
      <c r="W1034" s="20"/>
      <c r="X1034" s="20"/>
      <c r="Y1034" s="20"/>
      <c r="Z1034" s="20"/>
      <c r="AA1034" s="20"/>
      <c r="AB1034" s="20"/>
      <c r="AC1034" s="20"/>
      <c r="AD1034" s="20"/>
      <c r="AE1034" s="20"/>
    </row>
    <row r="1035">
      <c r="A1035" s="21">
        <v>28.0</v>
      </c>
      <c r="B1035" s="20" t="s">
        <v>2091</v>
      </c>
      <c r="C1035" s="20" t="s">
        <v>3094</v>
      </c>
      <c r="I1035" s="25" t="s">
        <v>741</v>
      </c>
      <c r="J1035" s="25" t="s">
        <v>2491</v>
      </c>
      <c r="K1035" s="25" t="s">
        <v>71</v>
      </c>
      <c r="L1035" s="25" t="s">
        <v>292</v>
      </c>
      <c r="M1035" s="20" t="s">
        <v>2909</v>
      </c>
      <c r="N1035" s="20" t="s">
        <v>2910</v>
      </c>
      <c r="O1035" s="20" t="s">
        <v>63</v>
      </c>
      <c r="P1035" s="20" t="s">
        <v>52</v>
      </c>
      <c r="Q1035" s="26"/>
      <c r="R1035" s="26"/>
      <c r="S1035" s="26"/>
      <c r="T1035" s="22"/>
      <c r="U1035" s="26"/>
      <c r="V1035" s="26"/>
      <c r="W1035" s="20"/>
      <c r="X1035" s="20"/>
      <c r="Y1035" s="20"/>
      <c r="Z1035" s="20"/>
      <c r="AA1035" s="20"/>
      <c r="AB1035" s="20"/>
      <c r="AC1035" s="20"/>
      <c r="AD1035" s="20"/>
      <c r="AE1035" s="20"/>
    </row>
    <row r="1036">
      <c r="A1036" s="21">
        <v>28.0</v>
      </c>
      <c r="B1036" s="20" t="s">
        <v>2091</v>
      </c>
      <c r="C1036" s="20" t="s">
        <v>3094</v>
      </c>
      <c r="I1036" s="25" t="s">
        <v>2666</v>
      </c>
      <c r="J1036" s="25" t="s">
        <v>2487</v>
      </c>
      <c r="K1036" s="25" t="s">
        <v>71</v>
      </c>
      <c r="L1036" s="25" t="s">
        <v>292</v>
      </c>
      <c r="M1036" s="20" t="s">
        <v>2667</v>
      </c>
      <c r="N1036" s="20" t="s">
        <v>2668</v>
      </c>
      <c r="O1036" s="20" t="s">
        <v>63</v>
      </c>
      <c r="P1036" s="20" t="s">
        <v>52</v>
      </c>
      <c r="Q1036" s="26"/>
      <c r="R1036" s="26"/>
      <c r="S1036" s="26"/>
      <c r="T1036" s="22"/>
      <c r="U1036" s="26"/>
      <c r="V1036" s="26"/>
      <c r="W1036" s="20"/>
      <c r="X1036" s="20"/>
      <c r="Y1036" s="20"/>
      <c r="Z1036" s="20"/>
      <c r="AA1036" s="20"/>
      <c r="AB1036" s="20"/>
      <c r="AC1036" s="20"/>
      <c r="AD1036" s="20"/>
      <c r="AE1036" s="20"/>
    </row>
    <row r="1037">
      <c r="A1037" s="21">
        <v>28.0</v>
      </c>
      <c r="B1037" s="20" t="s">
        <v>2091</v>
      </c>
      <c r="C1037" s="20" t="s">
        <v>3094</v>
      </c>
      <c r="I1037" s="25" t="s">
        <v>1139</v>
      </c>
      <c r="J1037" s="25" t="s">
        <v>2487</v>
      </c>
      <c r="K1037" s="25" t="s">
        <v>71</v>
      </c>
      <c r="L1037" s="25" t="s">
        <v>3178</v>
      </c>
      <c r="M1037" s="20" t="s">
        <v>2249</v>
      </c>
      <c r="N1037" s="20" t="s">
        <v>2669</v>
      </c>
      <c r="O1037" s="20" t="s">
        <v>63</v>
      </c>
      <c r="P1037" s="20" t="s">
        <v>52</v>
      </c>
      <c r="Q1037" s="26"/>
      <c r="R1037" s="26"/>
      <c r="S1037" s="26"/>
      <c r="T1037" s="20"/>
      <c r="U1037" s="26"/>
      <c r="V1037" s="26"/>
      <c r="W1037" s="20"/>
      <c r="X1037" s="20"/>
      <c r="Y1037" s="20"/>
      <c r="Z1037" s="20"/>
      <c r="AA1037" s="20"/>
      <c r="AB1037" s="20"/>
      <c r="AC1037" s="20"/>
      <c r="AD1037" s="20"/>
      <c r="AE1037" s="20"/>
    </row>
    <row r="1038">
      <c r="A1038" s="21">
        <v>28.0</v>
      </c>
      <c r="B1038" s="20" t="s">
        <v>2091</v>
      </c>
      <c r="C1038" s="20" t="s">
        <v>3094</v>
      </c>
      <c r="I1038" s="25" t="s">
        <v>274</v>
      </c>
      <c r="J1038" s="25" t="s">
        <v>2491</v>
      </c>
      <c r="K1038" s="25" t="s">
        <v>71</v>
      </c>
      <c r="L1038" s="25" t="s">
        <v>292</v>
      </c>
      <c r="M1038" s="20" t="s">
        <v>61</v>
      </c>
      <c r="N1038" s="20" t="s">
        <v>275</v>
      </c>
      <c r="O1038" s="20" t="s">
        <v>63</v>
      </c>
      <c r="P1038" s="20" t="s">
        <v>52</v>
      </c>
      <c r="Q1038" s="26"/>
      <c r="R1038" s="26"/>
      <c r="S1038" s="26"/>
      <c r="T1038" s="22"/>
      <c r="U1038" s="26"/>
      <c r="V1038" s="26"/>
      <c r="W1038" s="20"/>
      <c r="X1038" s="20"/>
      <c r="Y1038" s="20"/>
      <c r="Z1038" s="20"/>
      <c r="AA1038" s="20"/>
      <c r="AB1038" s="20"/>
      <c r="AC1038" s="20"/>
      <c r="AD1038" s="20"/>
      <c r="AE1038" s="20"/>
    </row>
    <row r="1039">
      <c r="A1039" s="21">
        <v>28.0</v>
      </c>
      <c r="B1039" s="20" t="s">
        <v>2091</v>
      </c>
      <c r="C1039" s="20" t="s">
        <v>3094</v>
      </c>
      <c r="I1039" s="25" t="s">
        <v>2359</v>
      </c>
      <c r="J1039" s="25" t="s">
        <v>2487</v>
      </c>
      <c r="K1039" s="25" t="s">
        <v>71</v>
      </c>
      <c r="L1039" s="25" t="s">
        <v>292</v>
      </c>
      <c r="M1039" s="20" t="s">
        <v>2671</v>
      </c>
      <c r="N1039" s="20" t="s">
        <v>2672</v>
      </c>
      <c r="O1039" s="20" t="s">
        <v>63</v>
      </c>
      <c r="P1039" s="20" t="s">
        <v>52</v>
      </c>
      <c r="Q1039" s="26"/>
      <c r="R1039" s="26"/>
      <c r="S1039" s="26"/>
      <c r="T1039" s="22"/>
      <c r="U1039" s="26"/>
      <c r="V1039" s="26"/>
      <c r="W1039" s="20"/>
      <c r="X1039" s="20"/>
      <c r="Y1039" s="20"/>
      <c r="Z1039" s="20"/>
      <c r="AA1039" s="20"/>
      <c r="AB1039" s="20"/>
      <c r="AC1039" s="20"/>
      <c r="AD1039" s="20"/>
      <c r="AE1039" s="20"/>
    </row>
    <row r="1040">
      <c r="A1040" s="21">
        <v>28.0</v>
      </c>
      <c r="B1040" s="20" t="s">
        <v>2091</v>
      </c>
      <c r="C1040" s="20" t="s">
        <v>3094</v>
      </c>
      <c r="I1040" s="25" t="s">
        <v>2452</v>
      </c>
      <c r="J1040" s="25" t="s">
        <v>2487</v>
      </c>
      <c r="K1040" s="25" t="s">
        <v>71</v>
      </c>
      <c r="L1040" s="25" t="s">
        <v>3178</v>
      </c>
      <c r="M1040" s="20" t="s">
        <v>2674</v>
      </c>
      <c r="N1040" s="20" t="s">
        <v>2675</v>
      </c>
      <c r="O1040" s="20" t="s">
        <v>63</v>
      </c>
      <c r="P1040" s="20" t="s">
        <v>52</v>
      </c>
      <c r="Q1040" s="26"/>
      <c r="R1040" s="26"/>
      <c r="S1040" s="26"/>
      <c r="T1040" s="20"/>
      <c r="U1040" s="26"/>
      <c r="V1040" s="26"/>
      <c r="W1040" s="20"/>
      <c r="X1040" s="20"/>
      <c r="Y1040" s="20"/>
      <c r="Z1040" s="20"/>
      <c r="AA1040" s="20"/>
      <c r="AB1040" s="20"/>
      <c r="AC1040" s="20"/>
      <c r="AD1040" s="20"/>
      <c r="AE1040" s="20"/>
    </row>
    <row r="1041">
      <c r="A1041" s="21">
        <v>28.0</v>
      </c>
      <c r="B1041" s="20" t="s">
        <v>2091</v>
      </c>
      <c r="C1041" s="20" t="s">
        <v>3094</v>
      </c>
      <c r="I1041" s="25" t="s">
        <v>2911</v>
      </c>
      <c r="J1041" s="25" t="s">
        <v>2491</v>
      </c>
      <c r="K1041" s="25" t="s">
        <v>71</v>
      </c>
      <c r="L1041" s="25" t="s">
        <v>3178</v>
      </c>
      <c r="M1041" s="20" t="s">
        <v>2912</v>
      </c>
      <c r="N1041" s="20" t="s">
        <v>2913</v>
      </c>
      <c r="O1041" s="20" t="s">
        <v>63</v>
      </c>
      <c r="P1041" s="20" t="s">
        <v>52</v>
      </c>
      <c r="Q1041" s="26"/>
      <c r="R1041" s="26"/>
      <c r="S1041" s="26"/>
      <c r="T1041" s="20"/>
      <c r="U1041" s="26"/>
      <c r="V1041" s="26"/>
      <c r="W1041" s="20"/>
      <c r="X1041" s="20"/>
      <c r="Y1041" s="20"/>
      <c r="Z1041" s="20"/>
      <c r="AA1041" s="20"/>
      <c r="AB1041" s="20"/>
      <c r="AC1041" s="20"/>
      <c r="AD1041" s="20"/>
      <c r="AE1041" s="20"/>
    </row>
    <row r="1042">
      <c r="A1042" s="21">
        <v>28.0</v>
      </c>
      <c r="B1042" s="20" t="s">
        <v>2091</v>
      </c>
      <c r="C1042" s="20" t="s">
        <v>3094</v>
      </c>
      <c r="I1042" s="25" t="s">
        <v>1522</v>
      </c>
      <c r="J1042" s="25" t="s">
        <v>2491</v>
      </c>
      <c r="K1042" s="25" t="s">
        <v>71</v>
      </c>
      <c r="L1042" s="25" t="s">
        <v>292</v>
      </c>
      <c r="M1042" s="20" t="s">
        <v>1523</v>
      </c>
      <c r="N1042" s="20" t="s">
        <v>1524</v>
      </c>
      <c r="O1042" s="20" t="s">
        <v>63</v>
      </c>
      <c r="P1042" s="20" t="s">
        <v>52</v>
      </c>
      <c r="Q1042" s="26"/>
      <c r="R1042" s="26"/>
      <c r="S1042" s="26"/>
      <c r="T1042" s="22"/>
      <c r="U1042" s="26"/>
      <c r="V1042" s="26"/>
      <c r="W1042" s="20"/>
      <c r="X1042" s="20"/>
      <c r="Y1042" s="20"/>
      <c r="Z1042" s="20"/>
      <c r="AA1042" s="20"/>
      <c r="AB1042" s="20"/>
      <c r="AC1042" s="20"/>
      <c r="AD1042" s="20"/>
      <c r="AE1042" s="20"/>
    </row>
    <row r="1043">
      <c r="A1043" s="21">
        <v>28.0</v>
      </c>
      <c r="B1043" s="20" t="s">
        <v>2091</v>
      </c>
      <c r="C1043" s="20" t="s">
        <v>3094</v>
      </c>
      <c r="I1043" s="25" t="s">
        <v>1338</v>
      </c>
      <c r="J1043" s="25" t="s">
        <v>2487</v>
      </c>
      <c r="K1043" s="25" t="s">
        <v>71</v>
      </c>
      <c r="L1043" s="25" t="s">
        <v>292</v>
      </c>
      <c r="M1043" s="20" t="s">
        <v>2677</v>
      </c>
      <c r="N1043" s="20" t="s">
        <v>2678</v>
      </c>
      <c r="O1043" s="20" t="s">
        <v>63</v>
      </c>
      <c r="P1043" s="20" t="s">
        <v>52</v>
      </c>
      <c r="Q1043" s="26"/>
      <c r="R1043" s="26"/>
      <c r="S1043" s="26"/>
      <c r="T1043" s="22"/>
      <c r="U1043" s="26"/>
      <c r="V1043" s="26"/>
      <c r="W1043" s="20"/>
      <c r="X1043" s="20"/>
      <c r="Y1043" s="20"/>
      <c r="Z1043" s="20"/>
      <c r="AA1043" s="20"/>
      <c r="AB1043" s="20"/>
      <c r="AC1043" s="20"/>
      <c r="AD1043" s="20"/>
      <c r="AE1043" s="20"/>
    </row>
    <row r="1044">
      <c r="A1044" s="21">
        <v>28.0</v>
      </c>
      <c r="B1044" s="20" t="s">
        <v>2091</v>
      </c>
      <c r="C1044" s="20" t="s">
        <v>3094</v>
      </c>
      <c r="I1044" s="25" t="s">
        <v>2680</v>
      </c>
      <c r="J1044" s="25" t="s">
        <v>2487</v>
      </c>
      <c r="K1044" s="25" t="s">
        <v>71</v>
      </c>
      <c r="L1044" s="25" t="s">
        <v>292</v>
      </c>
      <c r="M1044" s="20" t="s">
        <v>2681</v>
      </c>
      <c r="N1044" s="20" t="s">
        <v>2682</v>
      </c>
      <c r="O1044" s="20" t="s">
        <v>63</v>
      </c>
      <c r="P1044" s="20" t="s">
        <v>52</v>
      </c>
      <c r="Q1044" s="26"/>
      <c r="R1044" s="26"/>
      <c r="S1044" s="26"/>
      <c r="T1044" s="22"/>
      <c r="U1044" s="26"/>
      <c r="V1044" s="26"/>
      <c r="W1044" s="20"/>
      <c r="X1044" s="20"/>
      <c r="Y1044" s="20"/>
      <c r="Z1044" s="20"/>
      <c r="AA1044" s="20"/>
      <c r="AB1044" s="20"/>
      <c r="AC1044" s="20"/>
      <c r="AD1044" s="20"/>
      <c r="AE1044" s="20"/>
    </row>
    <row r="1045">
      <c r="A1045" s="21">
        <v>28.0</v>
      </c>
      <c r="B1045" s="20" t="s">
        <v>2091</v>
      </c>
      <c r="C1045" s="20" t="s">
        <v>3094</v>
      </c>
      <c r="I1045" s="25" t="s">
        <v>2322</v>
      </c>
      <c r="J1045" s="25" t="s">
        <v>2487</v>
      </c>
      <c r="K1045" s="25" t="s">
        <v>71</v>
      </c>
      <c r="L1045" s="25" t="s">
        <v>292</v>
      </c>
      <c r="M1045" s="20" t="s">
        <v>2684</v>
      </c>
      <c r="N1045" s="20" t="s">
        <v>2685</v>
      </c>
      <c r="O1045" s="20" t="s">
        <v>63</v>
      </c>
      <c r="P1045" s="20" t="s">
        <v>52</v>
      </c>
      <c r="Q1045" s="26"/>
      <c r="R1045" s="26"/>
      <c r="S1045" s="26"/>
      <c r="T1045" s="22"/>
      <c r="U1045" s="26"/>
      <c r="V1045" s="26"/>
      <c r="W1045" s="20"/>
      <c r="X1045" s="20"/>
      <c r="Y1045" s="20"/>
      <c r="Z1045" s="20"/>
      <c r="AA1045" s="20"/>
      <c r="AB1045" s="20"/>
      <c r="AC1045" s="20"/>
      <c r="AD1045" s="20"/>
      <c r="AE1045" s="20"/>
    </row>
    <row r="1046">
      <c r="A1046" s="21">
        <v>28.0</v>
      </c>
      <c r="B1046" s="20" t="s">
        <v>2091</v>
      </c>
      <c r="C1046" s="20" t="s">
        <v>3094</v>
      </c>
      <c r="I1046" s="25" t="s">
        <v>2686</v>
      </c>
      <c r="J1046" s="25" t="s">
        <v>2487</v>
      </c>
      <c r="K1046" s="25" t="s">
        <v>71</v>
      </c>
      <c r="L1046" s="25" t="s">
        <v>292</v>
      </c>
      <c r="M1046" s="20" t="s">
        <v>2687</v>
      </c>
      <c r="N1046" s="20" t="s">
        <v>2688</v>
      </c>
      <c r="O1046" s="20" t="s">
        <v>63</v>
      </c>
      <c r="P1046" s="20" t="s">
        <v>52</v>
      </c>
      <c r="Q1046" s="26"/>
      <c r="R1046" s="26"/>
      <c r="S1046" s="26"/>
      <c r="T1046" s="22"/>
      <c r="U1046" s="26"/>
      <c r="V1046" s="26"/>
      <c r="W1046" s="20"/>
      <c r="X1046" s="20"/>
      <c r="Y1046" s="20"/>
      <c r="Z1046" s="20"/>
      <c r="AA1046" s="20"/>
      <c r="AB1046" s="20"/>
      <c r="AC1046" s="20"/>
      <c r="AD1046" s="20"/>
      <c r="AE1046" s="20"/>
    </row>
    <row r="1047">
      <c r="A1047" s="21">
        <v>28.0</v>
      </c>
      <c r="B1047" s="20" t="s">
        <v>2091</v>
      </c>
      <c r="C1047" s="20" t="s">
        <v>3094</v>
      </c>
      <c r="I1047" s="25" t="s">
        <v>375</v>
      </c>
      <c r="J1047" s="25" t="s">
        <v>2491</v>
      </c>
      <c r="K1047" s="25" t="s">
        <v>71</v>
      </c>
      <c r="L1047" s="25" t="s">
        <v>292</v>
      </c>
      <c r="M1047" s="20" t="s">
        <v>1051</v>
      </c>
      <c r="N1047" s="20" t="s">
        <v>2174</v>
      </c>
      <c r="O1047" s="20" t="s">
        <v>63</v>
      </c>
      <c r="P1047" s="20" t="s">
        <v>52</v>
      </c>
      <c r="Q1047" s="26"/>
      <c r="R1047" s="26"/>
      <c r="S1047" s="26"/>
      <c r="T1047" s="22"/>
      <c r="U1047" s="26"/>
      <c r="V1047" s="26"/>
      <c r="W1047" s="20"/>
      <c r="X1047" s="20"/>
      <c r="Y1047" s="20"/>
      <c r="Z1047" s="20"/>
      <c r="AA1047" s="20"/>
      <c r="AB1047" s="20"/>
      <c r="AC1047" s="20"/>
      <c r="AD1047" s="20"/>
      <c r="AE1047" s="20"/>
    </row>
    <row r="1048">
      <c r="A1048" s="21">
        <v>28.0</v>
      </c>
      <c r="B1048" s="20" t="s">
        <v>2091</v>
      </c>
      <c r="C1048" s="20" t="s">
        <v>3094</v>
      </c>
      <c r="I1048" s="25" t="s">
        <v>2690</v>
      </c>
      <c r="J1048" s="25" t="s">
        <v>2487</v>
      </c>
      <c r="K1048" s="25" t="s">
        <v>71</v>
      </c>
      <c r="L1048" s="25" t="s">
        <v>3178</v>
      </c>
      <c r="M1048" s="20" t="s">
        <v>2691</v>
      </c>
      <c r="N1048" s="20" t="s">
        <v>2692</v>
      </c>
      <c r="O1048" s="20" t="s">
        <v>63</v>
      </c>
      <c r="P1048" s="20" t="s">
        <v>52</v>
      </c>
      <c r="Q1048" s="26"/>
      <c r="R1048" s="26"/>
      <c r="S1048" s="26"/>
      <c r="T1048" s="20"/>
      <c r="U1048" s="26"/>
      <c r="V1048" s="26"/>
      <c r="W1048" s="20"/>
      <c r="X1048" s="20"/>
      <c r="Y1048" s="20"/>
      <c r="Z1048" s="20"/>
      <c r="AA1048" s="20"/>
      <c r="AB1048" s="20"/>
      <c r="AC1048" s="20"/>
      <c r="AD1048" s="20"/>
      <c r="AE1048" s="20"/>
    </row>
    <row r="1049">
      <c r="A1049" s="21">
        <v>28.0</v>
      </c>
      <c r="B1049" s="20" t="s">
        <v>2091</v>
      </c>
      <c r="C1049" s="20" t="s">
        <v>3094</v>
      </c>
      <c r="I1049" s="25" t="s">
        <v>2693</v>
      </c>
      <c r="J1049" s="25" t="s">
        <v>2487</v>
      </c>
      <c r="K1049" s="25" t="s">
        <v>71</v>
      </c>
      <c r="L1049" s="25" t="s">
        <v>3178</v>
      </c>
      <c r="M1049" s="20" t="s">
        <v>2694</v>
      </c>
      <c r="N1049" s="20" t="s">
        <v>2695</v>
      </c>
      <c r="O1049" s="20" t="s">
        <v>63</v>
      </c>
      <c r="P1049" s="20" t="s">
        <v>52</v>
      </c>
      <c r="Q1049" s="26"/>
      <c r="R1049" s="26"/>
      <c r="S1049" s="26"/>
      <c r="T1049" s="20"/>
      <c r="U1049" s="26"/>
      <c r="V1049" s="26"/>
      <c r="W1049" s="20"/>
      <c r="X1049" s="20"/>
      <c r="Y1049" s="20"/>
      <c r="Z1049" s="20"/>
      <c r="AA1049" s="20"/>
      <c r="AB1049" s="20"/>
      <c r="AC1049" s="20"/>
      <c r="AD1049" s="20"/>
      <c r="AE1049" s="20"/>
    </row>
    <row r="1050">
      <c r="A1050" s="21">
        <v>28.0</v>
      </c>
      <c r="B1050" s="20" t="s">
        <v>2091</v>
      </c>
      <c r="C1050" s="20" t="s">
        <v>3094</v>
      </c>
      <c r="I1050" s="25" t="s">
        <v>1843</v>
      </c>
      <c r="J1050" s="25" t="s">
        <v>2487</v>
      </c>
      <c r="K1050" s="25" t="s">
        <v>71</v>
      </c>
      <c r="L1050" s="25" t="s">
        <v>3178</v>
      </c>
      <c r="M1050" s="20" t="s">
        <v>2696</v>
      </c>
      <c r="N1050" s="20" t="s">
        <v>2697</v>
      </c>
      <c r="O1050" s="20" t="s">
        <v>63</v>
      </c>
      <c r="P1050" s="20" t="s">
        <v>52</v>
      </c>
      <c r="Q1050" s="26"/>
      <c r="R1050" s="26"/>
      <c r="S1050" s="26"/>
      <c r="T1050" s="20"/>
      <c r="U1050" s="26"/>
      <c r="V1050" s="26"/>
      <c r="W1050" s="20"/>
      <c r="X1050" s="20"/>
      <c r="Y1050" s="20"/>
      <c r="Z1050" s="20"/>
      <c r="AA1050" s="20"/>
      <c r="AB1050" s="20"/>
      <c r="AC1050" s="20"/>
      <c r="AD1050" s="20"/>
      <c r="AE1050" s="20"/>
    </row>
    <row r="1051">
      <c r="A1051" s="21">
        <v>28.0</v>
      </c>
      <c r="B1051" s="20" t="s">
        <v>2091</v>
      </c>
      <c r="C1051" s="20" t="s">
        <v>3094</v>
      </c>
      <c r="I1051" s="25" t="s">
        <v>2914</v>
      </c>
      <c r="J1051" s="25" t="s">
        <v>2491</v>
      </c>
      <c r="K1051" s="25" t="s">
        <v>71</v>
      </c>
      <c r="L1051" s="25" t="s">
        <v>3178</v>
      </c>
      <c r="M1051" s="20" t="s">
        <v>61</v>
      </c>
      <c r="N1051" s="20" t="s">
        <v>2915</v>
      </c>
      <c r="O1051" s="20" t="s">
        <v>63</v>
      </c>
      <c r="P1051" s="20" t="s">
        <v>52</v>
      </c>
      <c r="Q1051" s="26"/>
      <c r="R1051" s="26"/>
      <c r="S1051" s="26"/>
      <c r="T1051" s="20"/>
      <c r="U1051" s="26"/>
      <c r="V1051" s="26"/>
      <c r="W1051" s="20"/>
      <c r="X1051" s="20"/>
      <c r="Y1051" s="20"/>
      <c r="Z1051" s="20"/>
      <c r="AA1051" s="20"/>
      <c r="AB1051" s="20"/>
      <c r="AC1051" s="20"/>
      <c r="AD1051" s="20"/>
      <c r="AE1051" s="20"/>
    </row>
    <row r="1052">
      <c r="A1052" s="21">
        <v>28.0</v>
      </c>
      <c r="B1052" s="20" t="s">
        <v>2091</v>
      </c>
      <c r="C1052" s="20" t="s">
        <v>3094</v>
      </c>
      <c r="I1052" s="25" t="s">
        <v>2698</v>
      </c>
      <c r="J1052" s="25" t="s">
        <v>2487</v>
      </c>
      <c r="K1052" s="25" t="s">
        <v>71</v>
      </c>
      <c r="L1052" s="25" t="s">
        <v>292</v>
      </c>
      <c r="M1052" s="20" t="s">
        <v>2699</v>
      </c>
      <c r="N1052" s="20" t="s">
        <v>2700</v>
      </c>
      <c r="O1052" s="20" t="s">
        <v>63</v>
      </c>
      <c r="P1052" s="20" t="s">
        <v>52</v>
      </c>
      <c r="Q1052" s="26"/>
      <c r="R1052" s="26"/>
      <c r="S1052" s="26"/>
      <c r="T1052" s="22"/>
      <c r="U1052" s="26"/>
      <c r="V1052" s="26"/>
      <c r="W1052" s="20"/>
      <c r="X1052" s="20"/>
      <c r="Y1052" s="20"/>
      <c r="Z1052" s="20"/>
      <c r="AA1052" s="20"/>
      <c r="AB1052" s="20"/>
      <c r="AC1052" s="20"/>
      <c r="AD1052" s="20"/>
      <c r="AE1052" s="20"/>
    </row>
    <row r="1053">
      <c r="A1053" s="21">
        <v>28.0</v>
      </c>
      <c r="B1053" s="20" t="s">
        <v>2091</v>
      </c>
      <c r="C1053" s="20" t="s">
        <v>3094</v>
      </c>
      <c r="I1053" s="25" t="s">
        <v>2362</v>
      </c>
      <c r="J1053" s="25" t="s">
        <v>2487</v>
      </c>
      <c r="K1053" s="25" t="s">
        <v>71</v>
      </c>
      <c r="L1053" s="25" t="s">
        <v>3178</v>
      </c>
      <c r="M1053" s="20" t="s">
        <v>2702</v>
      </c>
      <c r="N1053" s="20" t="s">
        <v>2703</v>
      </c>
      <c r="O1053" s="20" t="s">
        <v>63</v>
      </c>
      <c r="P1053" s="20" t="s">
        <v>52</v>
      </c>
      <c r="Q1053" s="26"/>
      <c r="R1053" s="26"/>
      <c r="S1053" s="26"/>
      <c r="T1053" s="20"/>
      <c r="U1053" s="26"/>
      <c r="V1053" s="26"/>
      <c r="W1053" s="20"/>
      <c r="X1053" s="20"/>
      <c r="Y1053" s="20"/>
      <c r="Z1053" s="20"/>
      <c r="AA1053" s="20"/>
      <c r="AB1053" s="20"/>
      <c r="AC1053" s="20"/>
      <c r="AD1053" s="20"/>
      <c r="AE1053" s="20"/>
    </row>
    <row r="1054">
      <c r="A1054" s="21">
        <v>28.0</v>
      </c>
      <c r="B1054" s="20" t="s">
        <v>2091</v>
      </c>
      <c r="C1054" s="20" t="s">
        <v>3094</v>
      </c>
      <c r="I1054" s="25" t="s">
        <v>1520</v>
      </c>
      <c r="J1054" s="25" t="s">
        <v>2491</v>
      </c>
      <c r="K1054" s="25" t="s">
        <v>71</v>
      </c>
      <c r="L1054" s="25" t="s">
        <v>292</v>
      </c>
      <c r="M1054" s="20" t="s">
        <v>61</v>
      </c>
      <c r="N1054" s="20" t="s">
        <v>2916</v>
      </c>
      <c r="O1054" s="20" t="s">
        <v>63</v>
      </c>
      <c r="P1054" s="20" t="s">
        <v>52</v>
      </c>
      <c r="Q1054" s="26"/>
      <c r="R1054" s="26"/>
      <c r="S1054" s="26"/>
      <c r="T1054" s="22"/>
      <c r="U1054" s="26"/>
      <c r="V1054" s="26"/>
      <c r="W1054" s="20"/>
      <c r="X1054" s="20"/>
      <c r="Y1054" s="20"/>
      <c r="Z1054" s="20"/>
      <c r="AA1054" s="20"/>
      <c r="AB1054" s="20"/>
      <c r="AC1054" s="20"/>
      <c r="AD1054" s="20"/>
      <c r="AE1054" s="20"/>
    </row>
    <row r="1055">
      <c r="A1055" s="21">
        <v>28.0</v>
      </c>
      <c r="B1055" s="20" t="s">
        <v>2091</v>
      </c>
      <c r="C1055" s="20" t="s">
        <v>3094</v>
      </c>
      <c r="I1055" s="25" t="s">
        <v>1174</v>
      </c>
      <c r="J1055" s="25" t="s">
        <v>2487</v>
      </c>
      <c r="K1055" s="25" t="s">
        <v>71</v>
      </c>
      <c r="L1055" s="25" t="s">
        <v>292</v>
      </c>
      <c r="M1055" s="20" t="s">
        <v>2704</v>
      </c>
      <c r="N1055" s="20" t="s">
        <v>2705</v>
      </c>
      <c r="O1055" s="20" t="s">
        <v>63</v>
      </c>
      <c r="P1055" s="20" t="s">
        <v>52</v>
      </c>
      <c r="Q1055" s="26"/>
      <c r="R1055" s="26"/>
      <c r="S1055" s="26"/>
      <c r="T1055" s="22"/>
      <c r="U1055" s="26"/>
      <c r="V1055" s="26"/>
      <c r="W1055" s="20"/>
      <c r="X1055" s="20"/>
      <c r="Y1055" s="20"/>
      <c r="Z1055" s="20"/>
      <c r="AA1055" s="20"/>
      <c r="AB1055" s="20"/>
      <c r="AC1055" s="20"/>
      <c r="AD1055" s="20"/>
      <c r="AE1055" s="20"/>
    </row>
    <row r="1056">
      <c r="A1056" s="21">
        <v>28.0</v>
      </c>
      <c r="B1056" s="20" t="s">
        <v>2091</v>
      </c>
      <c r="C1056" s="20" t="s">
        <v>3094</v>
      </c>
      <c r="I1056" s="25" t="s">
        <v>740</v>
      </c>
      <c r="J1056" s="25" t="s">
        <v>2487</v>
      </c>
      <c r="K1056" s="25" t="s">
        <v>71</v>
      </c>
      <c r="L1056" s="25" t="s">
        <v>3218</v>
      </c>
      <c r="M1056" s="20" t="s">
        <v>2706</v>
      </c>
      <c r="N1056" s="20" t="s">
        <v>2707</v>
      </c>
      <c r="O1056" s="20" t="s">
        <v>63</v>
      </c>
      <c r="P1056" s="20" t="s">
        <v>52</v>
      </c>
      <c r="Q1056" s="26"/>
      <c r="R1056" s="26"/>
      <c r="S1056" s="26"/>
      <c r="T1056" s="20"/>
      <c r="U1056" s="26"/>
      <c r="V1056" s="26"/>
      <c r="W1056" s="20"/>
      <c r="X1056" s="20"/>
      <c r="Y1056" s="20"/>
      <c r="Z1056" s="20"/>
      <c r="AA1056" s="20"/>
      <c r="AB1056" s="20"/>
      <c r="AC1056" s="20"/>
      <c r="AD1056" s="20"/>
      <c r="AE1056" s="20"/>
    </row>
    <row r="1057">
      <c r="A1057" s="21">
        <v>28.0</v>
      </c>
      <c r="B1057" s="20" t="s">
        <v>2091</v>
      </c>
      <c r="C1057" s="20" t="s">
        <v>3094</v>
      </c>
      <c r="I1057" s="25" t="s">
        <v>218</v>
      </c>
      <c r="J1057" s="25" t="s">
        <v>2491</v>
      </c>
      <c r="K1057" s="25" t="s">
        <v>71</v>
      </c>
      <c r="L1057" s="25" t="s">
        <v>292</v>
      </c>
      <c r="M1057" s="20" t="s">
        <v>2185</v>
      </c>
      <c r="N1057" s="20" t="s">
        <v>2186</v>
      </c>
      <c r="O1057" s="20" t="s">
        <v>63</v>
      </c>
      <c r="P1057" s="20" t="s">
        <v>52</v>
      </c>
      <c r="Q1057" s="26"/>
      <c r="R1057" s="26"/>
      <c r="S1057" s="26"/>
      <c r="T1057" s="22"/>
      <c r="U1057" s="26"/>
      <c r="V1057" s="26"/>
      <c r="W1057" s="20"/>
      <c r="X1057" s="20"/>
      <c r="Y1057" s="20"/>
      <c r="Z1057" s="20"/>
      <c r="AA1057" s="20"/>
      <c r="AB1057" s="20"/>
      <c r="AC1057" s="20"/>
      <c r="AD1057" s="20"/>
      <c r="AE1057" s="20"/>
    </row>
    <row r="1058">
      <c r="A1058" s="21">
        <v>28.0</v>
      </c>
      <c r="B1058" s="20" t="s">
        <v>2091</v>
      </c>
      <c r="C1058" s="20" t="s">
        <v>3094</v>
      </c>
      <c r="I1058" s="25" t="s">
        <v>1284</v>
      </c>
      <c r="J1058" s="25" t="s">
        <v>2487</v>
      </c>
      <c r="K1058" s="25" t="s">
        <v>71</v>
      </c>
      <c r="L1058" s="25" t="s">
        <v>292</v>
      </c>
      <c r="M1058" s="20" t="s">
        <v>1282</v>
      </c>
      <c r="N1058" s="20" t="s">
        <v>2708</v>
      </c>
      <c r="O1058" s="20" t="s">
        <v>63</v>
      </c>
      <c r="P1058" s="20" t="s">
        <v>52</v>
      </c>
      <c r="Q1058" s="26"/>
      <c r="R1058" s="26"/>
      <c r="S1058" s="26"/>
      <c r="T1058" s="22"/>
      <c r="U1058" s="26"/>
      <c r="V1058" s="26"/>
      <c r="W1058" s="20"/>
      <c r="X1058" s="20"/>
      <c r="Y1058" s="20"/>
      <c r="Z1058" s="20"/>
      <c r="AA1058" s="20"/>
      <c r="AB1058" s="20"/>
      <c r="AC1058" s="20"/>
      <c r="AD1058" s="20"/>
      <c r="AE1058" s="20"/>
    </row>
    <row r="1059">
      <c r="A1059" s="21">
        <v>28.0</v>
      </c>
      <c r="B1059" s="20" t="s">
        <v>2091</v>
      </c>
      <c r="C1059" s="20" t="s">
        <v>3094</v>
      </c>
      <c r="I1059" s="25" t="s">
        <v>1741</v>
      </c>
      <c r="J1059" s="25" t="s">
        <v>2487</v>
      </c>
      <c r="K1059" s="25" t="s">
        <v>71</v>
      </c>
      <c r="L1059" s="25" t="s">
        <v>292</v>
      </c>
      <c r="M1059" s="20" t="s">
        <v>2709</v>
      </c>
      <c r="N1059" s="20" t="s">
        <v>2710</v>
      </c>
      <c r="O1059" s="20" t="s">
        <v>63</v>
      </c>
      <c r="P1059" s="20" t="s">
        <v>52</v>
      </c>
      <c r="Q1059" s="26"/>
      <c r="R1059" s="26"/>
      <c r="S1059" s="26"/>
      <c r="T1059" s="22"/>
      <c r="U1059" s="26"/>
      <c r="V1059" s="26"/>
      <c r="W1059" s="20"/>
      <c r="X1059" s="20"/>
      <c r="Y1059" s="20"/>
      <c r="Z1059" s="20"/>
      <c r="AA1059" s="20"/>
      <c r="AB1059" s="20"/>
      <c r="AC1059" s="20"/>
      <c r="AD1059" s="20"/>
      <c r="AE1059" s="20"/>
    </row>
    <row r="1060">
      <c r="A1060" s="21">
        <v>28.0</v>
      </c>
      <c r="B1060" s="20" t="s">
        <v>2091</v>
      </c>
      <c r="C1060" s="20" t="s">
        <v>3094</v>
      </c>
      <c r="I1060" s="25" t="s">
        <v>724</v>
      </c>
      <c r="J1060" s="25" t="s">
        <v>2487</v>
      </c>
      <c r="K1060" s="25" t="s">
        <v>71</v>
      </c>
      <c r="L1060" s="25" t="s">
        <v>292</v>
      </c>
      <c r="M1060" s="20" t="s">
        <v>2711</v>
      </c>
      <c r="N1060" s="20" t="s">
        <v>2712</v>
      </c>
      <c r="O1060" s="20" t="s">
        <v>63</v>
      </c>
      <c r="P1060" s="20" t="s">
        <v>52</v>
      </c>
      <c r="Q1060" s="26"/>
      <c r="R1060" s="26"/>
      <c r="S1060" s="26"/>
      <c r="T1060" s="22"/>
      <c r="U1060" s="26"/>
      <c r="V1060" s="26"/>
      <c r="W1060" s="20"/>
      <c r="X1060" s="20"/>
      <c r="Y1060" s="20"/>
      <c r="Z1060" s="20"/>
      <c r="AA1060" s="20"/>
      <c r="AB1060" s="20"/>
      <c r="AC1060" s="20"/>
      <c r="AD1060" s="20"/>
      <c r="AE1060" s="20"/>
    </row>
    <row r="1061">
      <c r="A1061" s="21">
        <v>28.0</v>
      </c>
      <c r="B1061" s="20" t="s">
        <v>2091</v>
      </c>
      <c r="C1061" s="20" t="s">
        <v>3094</v>
      </c>
      <c r="I1061" s="25" t="s">
        <v>2545</v>
      </c>
      <c r="J1061" s="25" t="s">
        <v>2483</v>
      </c>
      <c r="K1061" s="25" t="s">
        <v>71</v>
      </c>
      <c r="L1061" s="25" t="s">
        <v>3227</v>
      </c>
      <c r="M1061" s="20" t="s">
        <v>2546</v>
      </c>
      <c r="N1061" s="20" t="s">
        <v>2547</v>
      </c>
      <c r="O1061" s="20" t="s">
        <v>63</v>
      </c>
      <c r="P1061" s="20" t="s">
        <v>52</v>
      </c>
      <c r="Q1061" s="26"/>
      <c r="R1061" s="26"/>
      <c r="S1061" s="26"/>
      <c r="T1061" s="20"/>
      <c r="U1061" s="26"/>
      <c r="V1061" s="26"/>
      <c r="W1061" s="20"/>
      <c r="X1061" s="20"/>
      <c r="Y1061" s="20"/>
      <c r="Z1061" s="20"/>
      <c r="AA1061" s="20"/>
      <c r="AB1061" s="20"/>
      <c r="AC1061" s="20"/>
      <c r="AD1061" s="20"/>
      <c r="AE1061" s="20"/>
    </row>
    <row r="1062">
      <c r="A1062" s="21">
        <v>28.0</v>
      </c>
      <c r="B1062" s="20" t="s">
        <v>2091</v>
      </c>
      <c r="C1062" s="20" t="s">
        <v>3094</v>
      </c>
      <c r="I1062" s="25" t="s">
        <v>2548</v>
      </c>
      <c r="J1062" s="25" t="s">
        <v>2483</v>
      </c>
      <c r="K1062" s="25" t="s">
        <v>71</v>
      </c>
      <c r="L1062" s="25" t="s">
        <v>3228</v>
      </c>
      <c r="M1062" s="20" t="s">
        <v>2549</v>
      </c>
      <c r="N1062" s="20" t="s">
        <v>2550</v>
      </c>
      <c r="O1062" s="20" t="s">
        <v>63</v>
      </c>
      <c r="P1062" s="20" t="s">
        <v>52</v>
      </c>
      <c r="Q1062" s="26"/>
      <c r="R1062" s="26"/>
      <c r="S1062" s="26"/>
      <c r="T1062" s="20"/>
      <c r="U1062" s="26"/>
      <c r="V1062" s="26"/>
      <c r="W1062" s="20"/>
      <c r="X1062" s="20"/>
      <c r="Y1062" s="20"/>
      <c r="Z1062" s="20"/>
      <c r="AA1062" s="20"/>
      <c r="AB1062" s="20"/>
      <c r="AC1062" s="20"/>
      <c r="AD1062" s="20"/>
      <c r="AE1062" s="20"/>
    </row>
    <row r="1063">
      <c r="A1063" s="21">
        <v>28.0</v>
      </c>
      <c r="B1063" s="20" t="s">
        <v>2091</v>
      </c>
      <c r="C1063" s="20" t="s">
        <v>3094</v>
      </c>
      <c r="I1063" s="25" t="s">
        <v>2515</v>
      </c>
      <c r="J1063" s="25" t="s">
        <v>2491</v>
      </c>
      <c r="K1063" s="25" t="s">
        <v>71</v>
      </c>
      <c r="L1063" s="25" t="s">
        <v>3228</v>
      </c>
      <c r="M1063" s="20" t="s">
        <v>2516</v>
      </c>
      <c r="N1063" s="20" t="s">
        <v>2495</v>
      </c>
      <c r="O1063" s="20" t="s">
        <v>56</v>
      </c>
      <c r="P1063" s="20" t="s">
        <v>52</v>
      </c>
      <c r="Q1063" s="26"/>
      <c r="R1063" s="26"/>
      <c r="S1063" s="26"/>
      <c r="T1063" s="20"/>
      <c r="U1063" s="26"/>
      <c r="V1063" s="26"/>
      <c r="W1063" s="20"/>
      <c r="X1063" s="20"/>
      <c r="Y1063" s="20"/>
      <c r="Z1063" s="20"/>
      <c r="AA1063" s="20"/>
      <c r="AB1063" s="20"/>
      <c r="AC1063" s="20"/>
      <c r="AD1063" s="20"/>
      <c r="AE1063" s="20"/>
    </row>
    <row r="1064">
      <c r="A1064" s="21">
        <v>28.0</v>
      </c>
      <c r="B1064" s="20" t="s">
        <v>2091</v>
      </c>
      <c r="C1064" s="20" t="s">
        <v>3094</v>
      </c>
      <c r="I1064" s="25" t="s">
        <v>2713</v>
      </c>
      <c r="J1064" s="25" t="s">
        <v>2487</v>
      </c>
      <c r="K1064" s="25" t="s">
        <v>71</v>
      </c>
      <c r="L1064" s="25" t="s">
        <v>3228</v>
      </c>
      <c r="M1064" s="20" t="s">
        <v>2714</v>
      </c>
      <c r="N1064" s="20" t="s">
        <v>2715</v>
      </c>
      <c r="O1064" s="20" t="s">
        <v>63</v>
      </c>
      <c r="P1064" s="20" t="s">
        <v>52</v>
      </c>
      <c r="Q1064" s="26"/>
      <c r="R1064" s="26"/>
      <c r="S1064" s="26"/>
      <c r="T1064" s="20"/>
      <c r="U1064" s="26"/>
      <c r="V1064" s="26"/>
      <c r="W1064" s="20"/>
      <c r="X1064" s="20"/>
      <c r="Y1064" s="20"/>
      <c r="Z1064" s="20"/>
      <c r="AA1064" s="20"/>
      <c r="AB1064" s="20"/>
      <c r="AC1064" s="20"/>
      <c r="AD1064" s="20"/>
      <c r="AE1064" s="20"/>
    </row>
    <row r="1065">
      <c r="A1065" s="21">
        <v>28.0</v>
      </c>
      <c r="B1065" s="20" t="s">
        <v>2091</v>
      </c>
      <c r="C1065" s="20" t="s">
        <v>3094</v>
      </c>
      <c r="I1065" s="25" t="s">
        <v>1119</v>
      </c>
      <c r="J1065" s="25" t="s">
        <v>2487</v>
      </c>
      <c r="K1065" s="25" t="s">
        <v>71</v>
      </c>
      <c r="L1065" s="25" t="s">
        <v>292</v>
      </c>
      <c r="M1065" s="20" t="s">
        <v>2717</v>
      </c>
      <c r="N1065" s="20" t="s">
        <v>2718</v>
      </c>
      <c r="O1065" s="20" t="s">
        <v>63</v>
      </c>
      <c r="P1065" s="20" t="s">
        <v>52</v>
      </c>
      <c r="Q1065" s="26"/>
      <c r="R1065" s="26"/>
      <c r="S1065" s="26"/>
      <c r="T1065" s="22"/>
      <c r="U1065" s="26"/>
      <c r="V1065" s="26"/>
      <c r="W1065" s="20"/>
      <c r="X1065" s="20"/>
      <c r="Y1065" s="20"/>
      <c r="Z1065" s="20"/>
      <c r="AA1065" s="20"/>
      <c r="AB1065" s="20"/>
      <c r="AC1065" s="20"/>
      <c r="AD1065" s="20"/>
      <c r="AE1065" s="20"/>
    </row>
    <row r="1066">
      <c r="A1066" s="21">
        <v>28.0</v>
      </c>
      <c r="B1066" s="20" t="s">
        <v>2091</v>
      </c>
      <c r="C1066" s="20" t="s">
        <v>3094</v>
      </c>
      <c r="I1066" s="25" t="s">
        <v>2381</v>
      </c>
      <c r="J1066" s="25" t="s">
        <v>2487</v>
      </c>
      <c r="K1066" s="25" t="s">
        <v>71</v>
      </c>
      <c r="L1066" s="25" t="s">
        <v>3232</v>
      </c>
      <c r="M1066" s="20" t="s">
        <v>2382</v>
      </c>
      <c r="N1066" s="20" t="s">
        <v>2719</v>
      </c>
      <c r="O1066" s="20" t="s">
        <v>63</v>
      </c>
      <c r="P1066" s="20" t="s">
        <v>52</v>
      </c>
      <c r="Q1066" s="26"/>
      <c r="R1066" s="26"/>
      <c r="S1066" s="26"/>
      <c r="T1066" s="20"/>
      <c r="U1066" s="26"/>
      <c r="V1066" s="26"/>
      <c r="W1066" s="20"/>
      <c r="X1066" s="20"/>
      <c r="Y1066" s="20"/>
      <c r="Z1066" s="20"/>
      <c r="AA1066" s="20"/>
      <c r="AB1066" s="20"/>
      <c r="AC1066" s="20"/>
      <c r="AD1066" s="20"/>
      <c r="AE1066" s="20"/>
    </row>
    <row r="1067">
      <c r="A1067" s="21">
        <v>28.0</v>
      </c>
      <c r="B1067" s="20" t="s">
        <v>2091</v>
      </c>
      <c r="C1067" s="20" t="s">
        <v>3094</v>
      </c>
      <c r="I1067" s="25" t="s">
        <v>1783</v>
      </c>
      <c r="J1067" s="25" t="s">
        <v>2491</v>
      </c>
      <c r="K1067" s="25" t="s">
        <v>71</v>
      </c>
      <c r="L1067" s="25" t="s">
        <v>292</v>
      </c>
      <c r="M1067" s="20" t="s">
        <v>2917</v>
      </c>
      <c r="N1067" s="20" t="s">
        <v>2918</v>
      </c>
      <c r="O1067" s="20" t="s">
        <v>63</v>
      </c>
      <c r="P1067" s="20" t="s">
        <v>52</v>
      </c>
      <c r="Q1067" s="26"/>
      <c r="R1067" s="26"/>
      <c r="S1067" s="26"/>
      <c r="T1067" s="22"/>
      <c r="U1067" s="26"/>
      <c r="V1067" s="26"/>
      <c r="W1067" s="20"/>
      <c r="X1067" s="20"/>
      <c r="Y1067" s="20"/>
      <c r="Z1067" s="20"/>
      <c r="AA1067" s="20"/>
      <c r="AB1067" s="20"/>
      <c r="AC1067" s="20"/>
      <c r="AD1067" s="20"/>
      <c r="AE1067" s="20"/>
    </row>
    <row r="1068">
      <c r="A1068" s="21">
        <v>28.0</v>
      </c>
      <c r="B1068" s="20" t="s">
        <v>2091</v>
      </c>
      <c r="C1068" s="20" t="s">
        <v>3094</v>
      </c>
      <c r="I1068" s="25" t="s">
        <v>2551</v>
      </c>
      <c r="J1068" s="25" t="s">
        <v>2483</v>
      </c>
      <c r="K1068" s="25" t="s">
        <v>71</v>
      </c>
      <c r="L1068" s="25" t="s">
        <v>3236</v>
      </c>
      <c r="M1068" s="20" t="s">
        <v>2553</v>
      </c>
      <c r="N1068" s="20" t="s">
        <v>2554</v>
      </c>
      <c r="O1068" s="20" t="s">
        <v>63</v>
      </c>
      <c r="P1068" s="20" t="s">
        <v>52</v>
      </c>
      <c r="Q1068" s="26"/>
      <c r="R1068" s="26"/>
      <c r="S1068" s="26"/>
      <c r="T1068" s="20"/>
      <c r="U1068" s="26"/>
      <c r="V1068" s="26"/>
      <c r="W1068" s="20"/>
      <c r="X1068" s="20"/>
      <c r="Y1068" s="20"/>
      <c r="Z1068" s="20"/>
      <c r="AA1068" s="20"/>
      <c r="AB1068" s="20"/>
      <c r="AC1068" s="20"/>
      <c r="AD1068" s="20"/>
      <c r="AE1068" s="20"/>
    </row>
    <row r="1069">
      <c r="A1069" s="21">
        <v>28.0</v>
      </c>
      <c r="B1069" s="20" t="s">
        <v>2091</v>
      </c>
      <c r="C1069" s="20" t="s">
        <v>3094</v>
      </c>
      <c r="I1069" s="25" t="s">
        <v>2720</v>
      </c>
      <c r="J1069" s="25" t="s">
        <v>2487</v>
      </c>
      <c r="K1069" s="25" t="s">
        <v>71</v>
      </c>
      <c r="L1069" s="25" t="s">
        <v>292</v>
      </c>
      <c r="M1069" s="20" t="s">
        <v>2721</v>
      </c>
      <c r="N1069" s="20" t="s">
        <v>2722</v>
      </c>
      <c r="O1069" s="20" t="s">
        <v>63</v>
      </c>
      <c r="P1069" s="20" t="s">
        <v>52</v>
      </c>
      <c r="Q1069" s="26"/>
      <c r="R1069" s="26"/>
      <c r="S1069" s="26"/>
      <c r="T1069" s="22"/>
      <c r="U1069" s="26"/>
      <c r="V1069" s="26"/>
      <c r="W1069" s="20"/>
      <c r="X1069" s="20"/>
      <c r="Y1069" s="20"/>
      <c r="Z1069" s="20"/>
      <c r="AA1069" s="20"/>
      <c r="AB1069" s="20"/>
      <c r="AC1069" s="20"/>
      <c r="AD1069" s="20"/>
      <c r="AE1069" s="20"/>
    </row>
    <row r="1070">
      <c r="A1070" s="21">
        <v>28.0</v>
      </c>
      <c r="B1070" s="20" t="s">
        <v>2091</v>
      </c>
      <c r="C1070" s="20" t="s">
        <v>3094</v>
      </c>
      <c r="I1070" s="25" t="s">
        <v>1405</v>
      </c>
      <c r="J1070" s="25" t="s">
        <v>2487</v>
      </c>
      <c r="K1070" s="25" t="s">
        <v>71</v>
      </c>
      <c r="L1070" s="25" t="s">
        <v>292</v>
      </c>
      <c r="M1070" s="20" t="s">
        <v>1406</v>
      </c>
      <c r="N1070" s="20" t="s">
        <v>2723</v>
      </c>
      <c r="O1070" s="20" t="s">
        <v>63</v>
      </c>
      <c r="P1070" s="20" t="s">
        <v>52</v>
      </c>
      <c r="Q1070" s="26"/>
      <c r="R1070" s="26"/>
      <c r="S1070" s="26"/>
      <c r="T1070" s="22"/>
      <c r="U1070" s="26"/>
      <c r="V1070" s="26"/>
      <c r="W1070" s="20"/>
      <c r="X1070" s="20"/>
      <c r="Y1070" s="20"/>
      <c r="Z1070" s="20"/>
      <c r="AA1070" s="20"/>
      <c r="AB1070" s="20"/>
      <c r="AC1070" s="20"/>
      <c r="AD1070" s="20"/>
      <c r="AE1070" s="20"/>
    </row>
    <row r="1071">
      <c r="A1071" s="21">
        <v>28.0</v>
      </c>
      <c r="B1071" s="20" t="s">
        <v>2091</v>
      </c>
      <c r="C1071" s="20" t="s">
        <v>3094</v>
      </c>
      <c r="I1071" s="25" t="s">
        <v>2919</v>
      </c>
      <c r="J1071" s="25" t="s">
        <v>2491</v>
      </c>
      <c r="K1071" s="25" t="s">
        <v>71</v>
      </c>
      <c r="L1071" s="25" t="s">
        <v>292</v>
      </c>
      <c r="M1071" s="20" t="s">
        <v>61</v>
      </c>
      <c r="N1071" s="20" t="s">
        <v>2920</v>
      </c>
      <c r="O1071" s="20" t="s">
        <v>63</v>
      </c>
      <c r="P1071" s="20" t="s">
        <v>52</v>
      </c>
      <c r="Q1071" s="26"/>
      <c r="R1071" s="26"/>
      <c r="S1071" s="26"/>
      <c r="T1071" s="22"/>
      <c r="U1071" s="26"/>
      <c r="V1071" s="26"/>
      <c r="W1071" s="20"/>
      <c r="X1071" s="20"/>
      <c r="Y1071" s="20"/>
      <c r="Z1071" s="20"/>
      <c r="AA1071" s="20"/>
      <c r="AB1071" s="20"/>
      <c r="AC1071" s="20"/>
      <c r="AD1071" s="20"/>
      <c r="AE1071" s="20"/>
    </row>
    <row r="1072">
      <c r="A1072" s="21">
        <v>28.0</v>
      </c>
      <c r="B1072" s="20" t="s">
        <v>2091</v>
      </c>
      <c r="C1072" s="20" t="s">
        <v>3094</v>
      </c>
      <c r="I1072" s="25" t="s">
        <v>1303</v>
      </c>
      <c r="J1072" s="25" t="s">
        <v>2487</v>
      </c>
      <c r="K1072" s="25" t="s">
        <v>71</v>
      </c>
      <c r="L1072" s="25" t="s">
        <v>3241</v>
      </c>
      <c r="M1072" s="20" t="s">
        <v>1304</v>
      </c>
      <c r="N1072" s="20" t="s">
        <v>2724</v>
      </c>
      <c r="O1072" s="20" t="s">
        <v>63</v>
      </c>
      <c r="P1072" s="20" t="s">
        <v>52</v>
      </c>
      <c r="Q1072" s="26"/>
      <c r="R1072" s="26"/>
      <c r="S1072" s="26"/>
      <c r="T1072" s="20"/>
      <c r="U1072" s="26"/>
      <c r="V1072" s="26"/>
      <c r="W1072" s="20"/>
      <c r="X1072" s="20"/>
      <c r="Y1072" s="20"/>
      <c r="Z1072" s="20"/>
      <c r="AA1072" s="20"/>
      <c r="AB1072" s="20"/>
      <c r="AC1072" s="20"/>
      <c r="AD1072" s="20"/>
      <c r="AE1072" s="20"/>
    </row>
    <row r="1073">
      <c r="A1073" s="21">
        <v>28.0</v>
      </c>
      <c r="B1073" s="20" t="s">
        <v>2091</v>
      </c>
      <c r="C1073" s="20" t="s">
        <v>3094</v>
      </c>
      <c r="I1073" s="25" t="s">
        <v>174</v>
      </c>
      <c r="J1073" s="25" t="s">
        <v>2487</v>
      </c>
      <c r="K1073" s="25" t="s">
        <v>71</v>
      </c>
      <c r="L1073" s="25" t="s">
        <v>3245</v>
      </c>
      <c r="M1073" s="20" t="s">
        <v>2725</v>
      </c>
      <c r="N1073" s="20" t="s">
        <v>2726</v>
      </c>
      <c r="O1073" s="20" t="s">
        <v>63</v>
      </c>
      <c r="P1073" s="20" t="s">
        <v>52</v>
      </c>
      <c r="Q1073" s="26"/>
      <c r="R1073" s="26"/>
      <c r="S1073" s="26"/>
      <c r="T1073" s="20"/>
      <c r="U1073" s="26"/>
      <c r="V1073" s="26"/>
      <c r="W1073" s="20"/>
      <c r="X1073" s="20"/>
      <c r="Y1073" s="20"/>
      <c r="Z1073" s="20"/>
      <c r="AA1073" s="20"/>
      <c r="AB1073" s="20"/>
      <c r="AC1073" s="20"/>
      <c r="AD1073" s="20"/>
      <c r="AE1073" s="20"/>
    </row>
    <row r="1074">
      <c r="A1074" s="21">
        <v>28.0</v>
      </c>
      <c r="B1074" s="20" t="s">
        <v>2091</v>
      </c>
      <c r="C1074" s="20" t="s">
        <v>3094</v>
      </c>
      <c r="I1074" s="25" t="s">
        <v>2727</v>
      </c>
      <c r="J1074" s="25" t="s">
        <v>2487</v>
      </c>
      <c r="K1074" s="25" t="s">
        <v>71</v>
      </c>
      <c r="L1074" s="25" t="s">
        <v>292</v>
      </c>
      <c r="M1074" s="20" t="s">
        <v>2728</v>
      </c>
      <c r="N1074" s="20" t="s">
        <v>2729</v>
      </c>
      <c r="O1074" s="20" t="s">
        <v>63</v>
      </c>
      <c r="P1074" s="20" t="s">
        <v>52</v>
      </c>
      <c r="Q1074" s="26"/>
      <c r="R1074" s="26"/>
      <c r="S1074" s="26"/>
      <c r="T1074" s="22"/>
      <c r="U1074" s="26"/>
      <c r="V1074" s="26"/>
      <c r="W1074" s="20"/>
      <c r="X1074" s="20"/>
      <c r="Y1074" s="20"/>
      <c r="Z1074" s="20"/>
      <c r="AA1074" s="20"/>
      <c r="AB1074" s="20"/>
      <c r="AC1074" s="20"/>
      <c r="AD1074" s="20"/>
      <c r="AE1074" s="20"/>
    </row>
    <row r="1075">
      <c r="A1075" s="21">
        <v>28.0</v>
      </c>
      <c r="B1075" s="20" t="s">
        <v>2091</v>
      </c>
      <c r="C1075" s="20" t="s">
        <v>3094</v>
      </c>
      <c r="I1075" s="25" t="s">
        <v>2921</v>
      </c>
      <c r="J1075" s="25" t="s">
        <v>2491</v>
      </c>
      <c r="K1075" s="25" t="s">
        <v>71</v>
      </c>
      <c r="L1075" s="25" t="s">
        <v>292</v>
      </c>
      <c r="M1075" s="20" t="s">
        <v>2922</v>
      </c>
      <c r="N1075" s="20" t="s">
        <v>2923</v>
      </c>
      <c r="O1075" s="20" t="s">
        <v>63</v>
      </c>
      <c r="P1075" s="20" t="s">
        <v>52</v>
      </c>
      <c r="Q1075" s="26"/>
      <c r="R1075" s="26"/>
      <c r="S1075" s="26"/>
      <c r="T1075" s="22"/>
      <c r="U1075" s="26"/>
      <c r="V1075" s="26"/>
      <c r="W1075" s="20"/>
      <c r="X1075" s="20"/>
      <c r="Y1075" s="20"/>
      <c r="Z1075" s="20"/>
      <c r="AA1075" s="20"/>
      <c r="AB1075" s="20"/>
      <c r="AC1075" s="20"/>
      <c r="AD1075" s="20"/>
      <c r="AE1075" s="20"/>
    </row>
    <row r="1076">
      <c r="A1076" s="21">
        <v>28.0</v>
      </c>
      <c r="B1076" s="20" t="s">
        <v>2091</v>
      </c>
      <c r="C1076" s="20" t="s">
        <v>3094</v>
      </c>
      <c r="I1076" s="25" t="s">
        <v>1750</v>
      </c>
      <c r="J1076" s="25" t="s">
        <v>2487</v>
      </c>
      <c r="K1076" s="25" t="s">
        <v>71</v>
      </c>
      <c r="L1076" s="25" t="s">
        <v>292</v>
      </c>
      <c r="M1076" s="20" t="s">
        <v>2260</v>
      </c>
      <c r="N1076" s="20" t="s">
        <v>2730</v>
      </c>
      <c r="O1076" s="20" t="s">
        <v>63</v>
      </c>
      <c r="P1076" s="20" t="s">
        <v>52</v>
      </c>
      <c r="Q1076" s="26"/>
      <c r="R1076" s="26"/>
      <c r="S1076" s="26"/>
      <c r="T1076" s="22"/>
      <c r="U1076" s="26"/>
      <c r="V1076" s="26"/>
      <c r="W1076" s="20"/>
      <c r="X1076" s="20"/>
      <c r="Y1076" s="20"/>
      <c r="Z1076" s="20"/>
      <c r="AA1076" s="20"/>
      <c r="AB1076" s="20"/>
      <c r="AC1076" s="20"/>
      <c r="AD1076" s="20"/>
      <c r="AE1076" s="20"/>
    </row>
    <row r="1077">
      <c r="A1077" s="21">
        <v>28.0</v>
      </c>
      <c r="B1077" s="20" t="s">
        <v>2091</v>
      </c>
      <c r="C1077" s="20" t="s">
        <v>3094</v>
      </c>
      <c r="I1077" s="25" t="s">
        <v>1322</v>
      </c>
      <c r="J1077" s="25" t="s">
        <v>2487</v>
      </c>
      <c r="K1077" s="25" t="s">
        <v>71</v>
      </c>
      <c r="L1077" s="25" t="s">
        <v>3250</v>
      </c>
      <c r="M1077" s="20" t="s">
        <v>2731</v>
      </c>
      <c r="N1077" s="20" t="s">
        <v>2732</v>
      </c>
      <c r="O1077" s="20" t="s">
        <v>63</v>
      </c>
      <c r="P1077" s="20" t="s">
        <v>52</v>
      </c>
      <c r="Q1077" s="26"/>
      <c r="R1077" s="26"/>
      <c r="S1077" s="26"/>
      <c r="T1077" s="20"/>
      <c r="U1077" s="26"/>
      <c r="V1077" s="26"/>
      <c r="W1077" s="20"/>
      <c r="X1077" s="20"/>
      <c r="Y1077" s="20"/>
      <c r="Z1077" s="20"/>
      <c r="AA1077" s="20"/>
      <c r="AB1077" s="20"/>
      <c r="AC1077" s="20"/>
      <c r="AD1077" s="20"/>
      <c r="AE1077" s="20"/>
    </row>
    <row r="1078">
      <c r="A1078" s="21">
        <v>28.0</v>
      </c>
      <c r="B1078" s="20" t="s">
        <v>2091</v>
      </c>
      <c r="C1078" s="20" t="s">
        <v>3094</v>
      </c>
      <c r="I1078" s="25" t="s">
        <v>302</v>
      </c>
      <c r="J1078" s="25" t="s">
        <v>2491</v>
      </c>
      <c r="K1078" s="25" t="s">
        <v>71</v>
      </c>
      <c r="L1078" s="25" t="s">
        <v>292</v>
      </c>
      <c r="M1078" s="20" t="s">
        <v>61</v>
      </c>
      <c r="N1078" s="20" t="s">
        <v>303</v>
      </c>
      <c r="O1078" s="20" t="s">
        <v>63</v>
      </c>
      <c r="P1078" s="20" t="s">
        <v>52</v>
      </c>
      <c r="Q1078" s="26"/>
      <c r="R1078" s="26"/>
      <c r="S1078" s="26"/>
      <c r="T1078" s="22"/>
      <c r="U1078" s="26"/>
      <c r="V1078" s="26"/>
      <c r="W1078" s="20"/>
      <c r="X1078" s="20"/>
      <c r="Y1078" s="20"/>
      <c r="Z1078" s="20"/>
      <c r="AA1078" s="20"/>
      <c r="AB1078" s="20"/>
      <c r="AC1078" s="20"/>
      <c r="AD1078" s="20"/>
      <c r="AE1078" s="20"/>
    </row>
    <row r="1079">
      <c r="A1079" s="21">
        <v>28.0</v>
      </c>
      <c r="B1079" s="20" t="s">
        <v>2091</v>
      </c>
      <c r="C1079" s="20" t="s">
        <v>3094</v>
      </c>
      <c r="I1079" s="25" t="s">
        <v>2095</v>
      </c>
      <c r="J1079" s="25" t="s">
        <v>2487</v>
      </c>
      <c r="K1079" s="25" t="s">
        <v>71</v>
      </c>
      <c r="L1079" s="25" t="s">
        <v>292</v>
      </c>
      <c r="M1079" s="20" t="s">
        <v>2733</v>
      </c>
      <c r="N1079" s="20" t="s">
        <v>2734</v>
      </c>
      <c r="O1079" s="20" t="s">
        <v>63</v>
      </c>
      <c r="P1079" s="20" t="s">
        <v>52</v>
      </c>
      <c r="Q1079" s="26"/>
      <c r="R1079" s="26"/>
      <c r="S1079" s="26"/>
      <c r="T1079" s="22"/>
      <c r="U1079" s="26"/>
      <c r="V1079" s="26"/>
      <c r="W1079" s="20"/>
      <c r="X1079" s="20"/>
      <c r="Y1079" s="20"/>
      <c r="Z1079" s="20"/>
      <c r="AA1079" s="20"/>
      <c r="AB1079" s="20"/>
      <c r="AC1079" s="20"/>
      <c r="AD1079" s="20"/>
      <c r="AE1079" s="20"/>
    </row>
    <row r="1080">
      <c r="A1080" s="21">
        <v>28.0</v>
      </c>
      <c r="B1080" s="20" t="s">
        <v>2091</v>
      </c>
      <c r="C1080" s="20" t="s">
        <v>3094</v>
      </c>
      <c r="I1080" s="25" t="s">
        <v>2924</v>
      </c>
      <c r="J1080" s="25" t="s">
        <v>2491</v>
      </c>
      <c r="K1080" s="25" t="s">
        <v>71</v>
      </c>
      <c r="L1080" s="25" t="s">
        <v>3250</v>
      </c>
      <c r="M1080" s="20" t="s">
        <v>2925</v>
      </c>
      <c r="N1080" s="20" t="s">
        <v>2926</v>
      </c>
      <c r="O1080" s="20" t="s">
        <v>63</v>
      </c>
      <c r="P1080" s="20" t="s">
        <v>52</v>
      </c>
      <c r="Q1080" s="26"/>
      <c r="R1080" s="26"/>
      <c r="S1080" s="26"/>
      <c r="T1080" s="20"/>
      <c r="U1080" s="26"/>
      <c r="V1080" s="26"/>
      <c r="W1080" s="20"/>
      <c r="X1080" s="20"/>
      <c r="Y1080" s="20"/>
      <c r="Z1080" s="20"/>
      <c r="AA1080" s="20"/>
      <c r="AB1080" s="20"/>
      <c r="AC1080" s="20"/>
      <c r="AD1080" s="20"/>
      <c r="AE1080" s="20"/>
    </row>
    <row r="1081">
      <c r="A1081" s="21">
        <v>28.0</v>
      </c>
      <c r="B1081" s="20" t="s">
        <v>2091</v>
      </c>
      <c r="C1081" s="20" t="s">
        <v>3094</v>
      </c>
      <c r="I1081" s="25" t="s">
        <v>2735</v>
      </c>
      <c r="J1081" s="25" t="s">
        <v>2487</v>
      </c>
      <c r="K1081" s="25" t="s">
        <v>71</v>
      </c>
      <c r="L1081" s="25" t="s">
        <v>3258</v>
      </c>
      <c r="M1081" s="20" t="s">
        <v>2737</v>
      </c>
      <c r="N1081" s="20" t="s">
        <v>2738</v>
      </c>
      <c r="O1081" s="20" t="s">
        <v>63</v>
      </c>
      <c r="P1081" s="20" t="s">
        <v>52</v>
      </c>
      <c r="Q1081" s="26"/>
      <c r="R1081" s="26"/>
      <c r="S1081" s="26"/>
      <c r="T1081" s="20"/>
      <c r="U1081" s="26"/>
      <c r="V1081" s="26"/>
      <c r="W1081" s="20"/>
      <c r="X1081" s="20"/>
      <c r="Y1081" s="20"/>
      <c r="Z1081" s="20"/>
      <c r="AA1081" s="20"/>
      <c r="AB1081" s="20"/>
      <c r="AC1081" s="20"/>
      <c r="AD1081" s="20"/>
      <c r="AE1081" s="20"/>
    </row>
    <row r="1082">
      <c r="A1082" s="21">
        <v>28.0</v>
      </c>
      <c r="B1082" s="20" t="s">
        <v>2091</v>
      </c>
      <c r="C1082" s="20" t="s">
        <v>3094</v>
      </c>
      <c r="I1082" s="25" t="s">
        <v>2928</v>
      </c>
      <c r="J1082" s="25" t="s">
        <v>2491</v>
      </c>
      <c r="K1082" s="25" t="s">
        <v>71</v>
      </c>
      <c r="L1082" s="25" t="s">
        <v>292</v>
      </c>
      <c r="M1082" s="20" t="s">
        <v>2929</v>
      </c>
      <c r="N1082" s="20" t="s">
        <v>2930</v>
      </c>
      <c r="O1082" s="20" t="s">
        <v>63</v>
      </c>
      <c r="P1082" s="20" t="s">
        <v>52</v>
      </c>
      <c r="Q1082" s="26"/>
      <c r="R1082" s="26"/>
      <c r="S1082" s="26"/>
      <c r="T1082" s="22"/>
      <c r="U1082" s="26"/>
      <c r="V1082" s="26"/>
      <c r="W1082" s="20"/>
      <c r="X1082" s="20"/>
      <c r="Y1082" s="20"/>
      <c r="Z1082" s="20"/>
      <c r="AA1082" s="20"/>
      <c r="AB1082" s="20"/>
      <c r="AC1082" s="20"/>
      <c r="AD1082" s="20"/>
      <c r="AE1082" s="20"/>
    </row>
    <row r="1083">
      <c r="A1083" s="21">
        <v>28.0</v>
      </c>
      <c r="B1083" s="20" t="s">
        <v>2091</v>
      </c>
      <c r="C1083" s="20" t="s">
        <v>3094</v>
      </c>
      <c r="I1083" s="25" t="s">
        <v>1285</v>
      </c>
      <c r="J1083" s="25" t="s">
        <v>2491</v>
      </c>
      <c r="K1083" s="25" t="s">
        <v>71</v>
      </c>
      <c r="L1083" s="25" t="s">
        <v>292</v>
      </c>
      <c r="M1083" s="20" t="s">
        <v>2931</v>
      </c>
      <c r="N1083" s="20" t="s">
        <v>2932</v>
      </c>
      <c r="O1083" s="20" t="s">
        <v>63</v>
      </c>
      <c r="P1083" s="20" t="s">
        <v>52</v>
      </c>
      <c r="Q1083" s="26"/>
      <c r="R1083" s="26"/>
      <c r="S1083" s="26"/>
      <c r="T1083" s="22"/>
      <c r="U1083" s="26"/>
      <c r="V1083" s="26"/>
      <c r="W1083" s="20"/>
      <c r="X1083" s="20"/>
      <c r="Y1083" s="20"/>
      <c r="Z1083" s="20"/>
      <c r="AA1083" s="20"/>
      <c r="AB1083" s="20"/>
      <c r="AC1083" s="20"/>
      <c r="AD1083" s="20"/>
      <c r="AE1083" s="20"/>
    </row>
    <row r="1084">
      <c r="A1084" s="21">
        <v>28.0</v>
      </c>
      <c r="B1084" s="20" t="s">
        <v>2091</v>
      </c>
      <c r="C1084" s="20" t="s">
        <v>3094</v>
      </c>
      <c r="I1084" s="25" t="s">
        <v>1871</v>
      </c>
      <c r="J1084" s="25" t="s">
        <v>2487</v>
      </c>
      <c r="K1084" s="25" t="s">
        <v>71</v>
      </c>
      <c r="L1084" s="25" t="s">
        <v>3250</v>
      </c>
      <c r="M1084" s="20" t="s">
        <v>2739</v>
      </c>
      <c r="N1084" s="20" t="s">
        <v>2740</v>
      </c>
      <c r="O1084" s="20" t="s">
        <v>63</v>
      </c>
      <c r="P1084" s="20" t="s">
        <v>52</v>
      </c>
      <c r="Q1084" s="26"/>
      <c r="R1084" s="26"/>
      <c r="S1084" s="26"/>
      <c r="T1084" s="20"/>
      <c r="U1084" s="26"/>
      <c r="V1084" s="26"/>
      <c r="W1084" s="20"/>
      <c r="X1084" s="20"/>
      <c r="Y1084" s="20"/>
      <c r="Z1084" s="20"/>
      <c r="AA1084" s="20"/>
      <c r="AB1084" s="20"/>
      <c r="AC1084" s="20"/>
      <c r="AD1084" s="20"/>
      <c r="AE1084" s="20"/>
    </row>
    <row r="1085">
      <c r="A1085" s="21">
        <v>28.0</v>
      </c>
      <c r="B1085" s="20" t="s">
        <v>2091</v>
      </c>
      <c r="C1085" s="20" t="s">
        <v>3094</v>
      </c>
      <c r="I1085" s="25" t="s">
        <v>2741</v>
      </c>
      <c r="J1085" s="25" t="s">
        <v>2487</v>
      </c>
      <c r="K1085" s="25" t="s">
        <v>71</v>
      </c>
      <c r="L1085" s="25" t="s">
        <v>292</v>
      </c>
      <c r="M1085" s="20" t="s">
        <v>2742</v>
      </c>
      <c r="N1085" s="20" t="s">
        <v>2743</v>
      </c>
      <c r="O1085" s="20" t="s">
        <v>63</v>
      </c>
      <c r="P1085" s="20" t="s">
        <v>52</v>
      </c>
      <c r="Q1085" s="26"/>
      <c r="R1085" s="26"/>
      <c r="S1085" s="26"/>
      <c r="T1085" s="22"/>
      <c r="U1085" s="26"/>
      <c r="V1085" s="26"/>
      <c r="W1085" s="20"/>
      <c r="X1085" s="20"/>
      <c r="Y1085" s="20"/>
      <c r="Z1085" s="20"/>
      <c r="AA1085" s="20"/>
      <c r="AB1085" s="20"/>
      <c r="AC1085" s="20"/>
      <c r="AD1085" s="20"/>
      <c r="AE1085" s="20"/>
    </row>
    <row r="1086">
      <c r="A1086" s="21">
        <v>28.0</v>
      </c>
      <c r="B1086" s="20" t="s">
        <v>2091</v>
      </c>
      <c r="C1086" s="20" t="s">
        <v>3094</v>
      </c>
      <c r="I1086" s="25" t="s">
        <v>1342</v>
      </c>
      <c r="J1086" s="25" t="s">
        <v>2487</v>
      </c>
      <c r="K1086" s="25" t="s">
        <v>71</v>
      </c>
      <c r="L1086" s="25" t="s">
        <v>292</v>
      </c>
      <c r="M1086" s="20" t="s">
        <v>2744</v>
      </c>
      <c r="N1086" s="20" t="s">
        <v>2745</v>
      </c>
      <c r="O1086" s="20" t="s">
        <v>63</v>
      </c>
      <c r="P1086" s="20" t="s">
        <v>52</v>
      </c>
      <c r="Q1086" s="26"/>
      <c r="R1086" s="26"/>
      <c r="S1086" s="26"/>
      <c r="T1086" s="22"/>
      <c r="U1086" s="26"/>
      <c r="V1086" s="26"/>
      <c r="W1086" s="20"/>
      <c r="X1086" s="20"/>
      <c r="Y1086" s="20"/>
      <c r="Z1086" s="20"/>
      <c r="AA1086" s="20"/>
      <c r="AB1086" s="20"/>
      <c r="AC1086" s="20"/>
      <c r="AD1086" s="20"/>
      <c r="AE1086" s="20"/>
    </row>
    <row r="1087">
      <c r="A1087" s="21">
        <v>28.0</v>
      </c>
      <c r="B1087" s="20" t="s">
        <v>2091</v>
      </c>
      <c r="C1087" s="20" t="s">
        <v>3094</v>
      </c>
      <c r="I1087" s="25" t="s">
        <v>451</v>
      </c>
      <c r="J1087" s="25" t="s">
        <v>2487</v>
      </c>
      <c r="K1087" s="25" t="s">
        <v>71</v>
      </c>
      <c r="L1087" s="25" t="s">
        <v>292</v>
      </c>
      <c r="M1087" s="20" t="s">
        <v>2315</v>
      </c>
      <c r="N1087" s="20" t="s">
        <v>2746</v>
      </c>
      <c r="O1087" s="20" t="s">
        <v>63</v>
      </c>
      <c r="P1087" s="20" t="s">
        <v>52</v>
      </c>
      <c r="Q1087" s="26"/>
      <c r="R1087" s="26"/>
      <c r="S1087" s="26"/>
      <c r="T1087" s="22"/>
      <c r="U1087" s="26"/>
      <c r="V1087" s="26"/>
      <c r="W1087" s="20"/>
      <c r="X1087" s="20"/>
      <c r="Y1087" s="20"/>
      <c r="Z1087" s="20"/>
      <c r="AA1087" s="20"/>
      <c r="AB1087" s="20"/>
      <c r="AC1087" s="20"/>
      <c r="AD1087" s="20"/>
      <c r="AE1087" s="20"/>
    </row>
    <row r="1088">
      <c r="A1088" s="21">
        <v>28.0</v>
      </c>
      <c r="B1088" s="20" t="s">
        <v>2091</v>
      </c>
      <c r="C1088" s="20" t="s">
        <v>3094</v>
      </c>
      <c r="I1088" s="25" t="s">
        <v>2747</v>
      </c>
      <c r="J1088" s="25" t="s">
        <v>2487</v>
      </c>
      <c r="K1088" s="25" t="s">
        <v>71</v>
      </c>
      <c r="L1088" s="25" t="s">
        <v>3250</v>
      </c>
      <c r="M1088" s="20" t="s">
        <v>2748</v>
      </c>
      <c r="N1088" s="20" t="s">
        <v>2749</v>
      </c>
      <c r="O1088" s="20" t="s">
        <v>63</v>
      </c>
      <c r="P1088" s="20" t="s">
        <v>52</v>
      </c>
      <c r="Q1088" s="26"/>
      <c r="R1088" s="26"/>
      <c r="S1088" s="26"/>
      <c r="T1088" s="20"/>
      <c r="U1088" s="26"/>
      <c r="V1088" s="26"/>
      <c r="W1088" s="20"/>
      <c r="X1088" s="20"/>
      <c r="Y1088" s="20"/>
      <c r="Z1088" s="20"/>
      <c r="AA1088" s="20"/>
      <c r="AB1088" s="20"/>
      <c r="AC1088" s="20"/>
      <c r="AD1088" s="20"/>
      <c r="AE1088" s="20"/>
    </row>
    <row r="1089">
      <c r="A1089" s="21">
        <v>28.0</v>
      </c>
      <c r="B1089" s="20" t="s">
        <v>2091</v>
      </c>
      <c r="C1089" s="20" t="s">
        <v>3094</v>
      </c>
      <c r="I1089" s="25" t="s">
        <v>2750</v>
      </c>
      <c r="J1089" s="25" t="s">
        <v>2487</v>
      </c>
      <c r="K1089" s="25" t="s">
        <v>71</v>
      </c>
      <c r="L1089" s="25" t="s">
        <v>3278</v>
      </c>
      <c r="M1089" s="20" t="s">
        <v>2751</v>
      </c>
      <c r="N1089" s="20" t="s">
        <v>2752</v>
      </c>
      <c r="O1089" s="20" t="s">
        <v>63</v>
      </c>
      <c r="P1089" s="20" t="s">
        <v>52</v>
      </c>
      <c r="Q1089" s="26"/>
      <c r="R1089" s="26"/>
      <c r="S1089" s="26"/>
      <c r="T1089" s="20"/>
      <c r="U1089" s="26"/>
      <c r="V1089" s="26"/>
      <c r="W1089" s="20"/>
      <c r="X1089" s="20"/>
      <c r="Y1089" s="20"/>
      <c r="Z1089" s="20"/>
      <c r="AA1089" s="20"/>
      <c r="AB1089" s="20"/>
      <c r="AC1089" s="20"/>
      <c r="AD1089" s="20"/>
      <c r="AE1089" s="20"/>
    </row>
    <row r="1090">
      <c r="A1090" s="21">
        <v>28.0</v>
      </c>
      <c r="B1090" s="20" t="s">
        <v>2091</v>
      </c>
      <c r="C1090" s="20" t="s">
        <v>3094</v>
      </c>
      <c r="I1090" s="25" t="s">
        <v>2195</v>
      </c>
      <c r="J1090" s="25" t="s">
        <v>2491</v>
      </c>
      <c r="K1090" s="25" t="s">
        <v>71</v>
      </c>
      <c r="L1090" s="25" t="s">
        <v>292</v>
      </c>
      <c r="M1090" s="20" t="s">
        <v>2934</v>
      </c>
      <c r="N1090" s="20" t="s">
        <v>2935</v>
      </c>
      <c r="O1090" s="20" t="s">
        <v>63</v>
      </c>
      <c r="P1090" s="20" t="s">
        <v>52</v>
      </c>
      <c r="Q1090" s="26"/>
      <c r="R1090" s="26"/>
      <c r="S1090" s="26"/>
      <c r="T1090" s="22"/>
      <c r="U1090" s="26"/>
      <c r="V1090" s="26"/>
      <c r="W1090" s="20"/>
      <c r="X1090" s="20"/>
      <c r="Y1090" s="20"/>
      <c r="Z1090" s="20"/>
      <c r="AA1090" s="20"/>
      <c r="AB1090" s="20"/>
      <c r="AC1090" s="20"/>
      <c r="AD1090" s="20"/>
      <c r="AE1090" s="20"/>
    </row>
    <row r="1091">
      <c r="A1091" s="21">
        <v>28.0</v>
      </c>
      <c r="B1091" s="20" t="s">
        <v>2091</v>
      </c>
      <c r="C1091" s="20" t="s">
        <v>3094</v>
      </c>
      <c r="I1091" s="25" t="s">
        <v>2239</v>
      </c>
      <c r="J1091" s="25" t="s">
        <v>2491</v>
      </c>
      <c r="K1091" s="25" t="s">
        <v>71</v>
      </c>
      <c r="L1091" s="25" t="s">
        <v>292</v>
      </c>
      <c r="M1091" s="20" t="s">
        <v>2936</v>
      </c>
      <c r="N1091" s="20" t="s">
        <v>2937</v>
      </c>
      <c r="O1091" s="20" t="s">
        <v>63</v>
      </c>
      <c r="P1091" s="20" t="s">
        <v>52</v>
      </c>
      <c r="Q1091" s="26"/>
      <c r="R1091" s="26"/>
      <c r="S1091" s="26"/>
      <c r="T1091" s="22"/>
      <c r="U1091" s="26"/>
      <c r="V1091" s="26"/>
      <c r="W1091" s="20"/>
      <c r="X1091" s="20"/>
      <c r="Y1091" s="20"/>
      <c r="Z1091" s="20"/>
      <c r="AA1091" s="20"/>
      <c r="AB1091" s="20"/>
      <c r="AC1091" s="20"/>
      <c r="AD1091" s="20"/>
      <c r="AE1091" s="20"/>
    </row>
    <row r="1092">
      <c r="A1092" s="21">
        <v>28.0</v>
      </c>
      <c r="B1092" s="20" t="s">
        <v>2091</v>
      </c>
      <c r="C1092" s="20" t="s">
        <v>3094</v>
      </c>
      <c r="I1092" s="25" t="s">
        <v>2753</v>
      </c>
      <c r="J1092" s="25" t="s">
        <v>2487</v>
      </c>
      <c r="K1092" s="25" t="s">
        <v>71</v>
      </c>
      <c r="L1092" s="25" t="s">
        <v>3278</v>
      </c>
      <c r="M1092" s="20" t="s">
        <v>2754</v>
      </c>
      <c r="N1092" s="20" t="s">
        <v>2755</v>
      </c>
      <c r="O1092" s="20" t="s">
        <v>63</v>
      </c>
      <c r="P1092" s="20" t="s">
        <v>52</v>
      </c>
      <c r="Q1092" s="26"/>
      <c r="R1092" s="26"/>
      <c r="S1092" s="26"/>
      <c r="T1092" s="20"/>
      <c r="U1092" s="26"/>
      <c r="V1092" s="26"/>
      <c r="W1092" s="20"/>
      <c r="X1092" s="20"/>
      <c r="Y1092" s="20"/>
      <c r="Z1092" s="20"/>
      <c r="AA1092" s="20"/>
      <c r="AB1092" s="20"/>
      <c r="AC1092" s="20"/>
      <c r="AD1092" s="20"/>
      <c r="AE1092" s="20"/>
    </row>
    <row r="1093">
      <c r="A1093" s="21">
        <v>28.0</v>
      </c>
      <c r="B1093" s="20" t="s">
        <v>2091</v>
      </c>
      <c r="C1093" s="20" t="s">
        <v>3094</v>
      </c>
      <c r="I1093" s="25" t="s">
        <v>2756</v>
      </c>
      <c r="J1093" s="25" t="s">
        <v>2487</v>
      </c>
      <c r="K1093" s="25" t="s">
        <v>71</v>
      </c>
      <c r="L1093" s="25" t="s">
        <v>3284</v>
      </c>
      <c r="M1093" s="20" t="s">
        <v>61</v>
      </c>
      <c r="N1093" s="20" t="s">
        <v>2757</v>
      </c>
      <c r="O1093" s="20" t="s">
        <v>63</v>
      </c>
      <c r="P1093" s="20" t="s">
        <v>52</v>
      </c>
      <c r="Q1093" s="26"/>
      <c r="R1093" s="26"/>
      <c r="S1093" s="26"/>
      <c r="T1093" s="20"/>
      <c r="U1093" s="26"/>
      <c r="V1093" s="26"/>
      <c r="W1093" s="20"/>
      <c r="X1093" s="20"/>
      <c r="Y1093" s="20"/>
      <c r="Z1093" s="20"/>
      <c r="AA1093" s="20"/>
      <c r="AB1093" s="20"/>
      <c r="AC1093" s="20"/>
      <c r="AD1093" s="20"/>
      <c r="AE1093" s="20"/>
    </row>
    <row r="1094">
      <c r="A1094" s="21">
        <v>28.0</v>
      </c>
      <c r="B1094" s="20" t="s">
        <v>2091</v>
      </c>
      <c r="C1094" s="20" t="s">
        <v>3094</v>
      </c>
      <c r="I1094" s="25" t="s">
        <v>2759</v>
      </c>
      <c r="J1094" s="25" t="s">
        <v>2487</v>
      </c>
      <c r="K1094" s="25" t="s">
        <v>71</v>
      </c>
      <c r="L1094" s="25" t="s">
        <v>292</v>
      </c>
      <c r="M1094" s="20" t="s">
        <v>2760</v>
      </c>
      <c r="N1094" s="20" t="s">
        <v>2761</v>
      </c>
      <c r="O1094" s="20" t="s">
        <v>63</v>
      </c>
      <c r="P1094" s="20" t="s">
        <v>52</v>
      </c>
      <c r="Q1094" s="26"/>
      <c r="R1094" s="26"/>
      <c r="S1094" s="26"/>
      <c r="T1094" s="22"/>
      <c r="U1094" s="26"/>
      <c r="V1094" s="26"/>
      <c r="W1094" s="20"/>
      <c r="X1094" s="20"/>
      <c r="Y1094" s="20"/>
      <c r="Z1094" s="20"/>
      <c r="AA1094" s="20"/>
      <c r="AB1094" s="20"/>
      <c r="AC1094" s="20"/>
      <c r="AD1094" s="20"/>
      <c r="AE1094" s="20"/>
    </row>
    <row r="1095">
      <c r="A1095" s="21">
        <v>28.0</v>
      </c>
      <c r="B1095" s="20" t="s">
        <v>2091</v>
      </c>
      <c r="C1095" s="20" t="s">
        <v>3094</v>
      </c>
      <c r="I1095" s="25" t="s">
        <v>91</v>
      </c>
      <c r="J1095" s="25" t="s">
        <v>2487</v>
      </c>
      <c r="K1095" s="25" t="s">
        <v>71</v>
      </c>
      <c r="L1095" s="25" t="s">
        <v>3258</v>
      </c>
      <c r="M1095" s="20" t="s">
        <v>2763</v>
      </c>
      <c r="N1095" s="20" t="s">
        <v>2764</v>
      </c>
      <c r="O1095" s="20" t="s">
        <v>63</v>
      </c>
      <c r="P1095" s="20" t="s">
        <v>52</v>
      </c>
      <c r="Q1095" s="26"/>
      <c r="R1095" s="26"/>
      <c r="S1095" s="26"/>
      <c r="T1095" s="20"/>
      <c r="U1095" s="26"/>
      <c r="V1095" s="26"/>
      <c r="W1095" s="20"/>
      <c r="X1095" s="20"/>
      <c r="Y1095" s="20"/>
      <c r="Z1095" s="20"/>
      <c r="AA1095" s="20"/>
      <c r="AB1095" s="20"/>
      <c r="AC1095" s="20"/>
      <c r="AD1095" s="20"/>
      <c r="AE1095" s="20"/>
    </row>
    <row r="1096">
      <c r="A1096" s="21">
        <v>28.0</v>
      </c>
      <c r="B1096" s="20" t="s">
        <v>2091</v>
      </c>
      <c r="C1096" s="20" t="s">
        <v>3094</v>
      </c>
      <c r="I1096" s="25" t="s">
        <v>2765</v>
      </c>
      <c r="J1096" s="25" t="s">
        <v>2487</v>
      </c>
      <c r="K1096" s="25" t="s">
        <v>71</v>
      </c>
      <c r="L1096" s="25" t="s">
        <v>292</v>
      </c>
      <c r="M1096" s="20" t="s">
        <v>2766</v>
      </c>
      <c r="N1096" s="20" t="s">
        <v>2678</v>
      </c>
      <c r="O1096" s="20" t="s">
        <v>63</v>
      </c>
      <c r="P1096" s="20" t="s">
        <v>52</v>
      </c>
      <c r="Q1096" s="26"/>
      <c r="R1096" s="26"/>
      <c r="S1096" s="26"/>
      <c r="T1096" s="22"/>
      <c r="U1096" s="26"/>
      <c r="V1096" s="26"/>
      <c r="W1096" s="20"/>
      <c r="X1096" s="20"/>
      <c r="Y1096" s="20"/>
      <c r="Z1096" s="20"/>
      <c r="AA1096" s="20"/>
      <c r="AB1096" s="20"/>
      <c r="AC1096" s="20"/>
      <c r="AD1096" s="20"/>
      <c r="AE1096" s="20"/>
    </row>
    <row r="1097">
      <c r="A1097" s="21">
        <v>28.0</v>
      </c>
      <c r="B1097" s="20" t="s">
        <v>2091</v>
      </c>
      <c r="C1097" s="20" t="s">
        <v>3094</v>
      </c>
      <c r="I1097" s="25" t="s">
        <v>2347</v>
      </c>
      <c r="J1097" s="25" t="s">
        <v>2487</v>
      </c>
      <c r="K1097" s="25" t="s">
        <v>71</v>
      </c>
      <c r="L1097" s="25" t="s">
        <v>292</v>
      </c>
      <c r="M1097" s="20" t="s">
        <v>2348</v>
      </c>
      <c r="N1097" s="20" t="s">
        <v>2767</v>
      </c>
      <c r="O1097" s="20" t="s">
        <v>63</v>
      </c>
      <c r="P1097" s="20" t="s">
        <v>52</v>
      </c>
      <c r="Q1097" s="26"/>
      <c r="R1097" s="26"/>
      <c r="S1097" s="26"/>
      <c r="T1097" s="22"/>
      <c r="U1097" s="26"/>
      <c r="V1097" s="26"/>
      <c r="W1097" s="20"/>
      <c r="X1097" s="20"/>
      <c r="Y1097" s="20"/>
      <c r="Z1097" s="20"/>
      <c r="AA1097" s="20"/>
      <c r="AB1097" s="20"/>
      <c r="AC1097" s="20"/>
      <c r="AD1097" s="20"/>
      <c r="AE1097" s="20"/>
    </row>
    <row r="1098">
      <c r="A1098" s="21">
        <v>28.0</v>
      </c>
      <c r="B1098" s="20" t="s">
        <v>2091</v>
      </c>
      <c r="C1098" s="20" t="s">
        <v>3094</v>
      </c>
      <c r="I1098" s="25" t="s">
        <v>1424</v>
      </c>
      <c r="J1098" s="25" t="s">
        <v>2491</v>
      </c>
      <c r="K1098" s="25" t="s">
        <v>71</v>
      </c>
      <c r="L1098" s="25" t="s">
        <v>292</v>
      </c>
      <c r="M1098" s="20" t="s">
        <v>2939</v>
      </c>
      <c r="N1098" s="20" t="s">
        <v>2900</v>
      </c>
      <c r="O1098" s="20" t="s">
        <v>63</v>
      </c>
      <c r="P1098" s="20" t="s">
        <v>52</v>
      </c>
      <c r="Q1098" s="26"/>
      <c r="R1098" s="26"/>
      <c r="S1098" s="26"/>
      <c r="T1098" s="22"/>
      <c r="U1098" s="26"/>
      <c r="V1098" s="26"/>
      <c r="W1098" s="20"/>
      <c r="X1098" s="20"/>
      <c r="Y1098" s="20"/>
      <c r="Z1098" s="20"/>
      <c r="AA1098" s="20"/>
      <c r="AB1098" s="20"/>
      <c r="AC1098" s="20"/>
      <c r="AD1098" s="20"/>
      <c r="AE1098" s="20"/>
    </row>
    <row r="1099">
      <c r="A1099" s="21">
        <v>28.0</v>
      </c>
      <c r="B1099" s="20" t="s">
        <v>2091</v>
      </c>
      <c r="C1099" s="20" t="s">
        <v>3094</v>
      </c>
      <c r="I1099" s="25" t="s">
        <v>1156</v>
      </c>
      <c r="J1099" s="25" t="s">
        <v>2483</v>
      </c>
      <c r="K1099" s="25" t="s">
        <v>71</v>
      </c>
      <c r="L1099" s="25" t="s">
        <v>3258</v>
      </c>
      <c r="M1099" s="20" t="s">
        <v>1157</v>
      </c>
      <c r="N1099" s="20" t="s">
        <v>1158</v>
      </c>
      <c r="O1099" s="20" t="s">
        <v>63</v>
      </c>
      <c r="P1099" s="20" t="s">
        <v>52</v>
      </c>
      <c r="Q1099" s="26"/>
      <c r="R1099" s="26"/>
      <c r="S1099" s="26"/>
      <c r="T1099" s="20"/>
      <c r="U1099" s="26"/>
      <c r="V1099" s="26"/>
      <c r="W1099" s="20"/>
      <c r="X1099" s="20"/>
      <c r="Y1099" s="20"/>
      <c r="Z1099" s="20"/>
      <c r="AA1099" s="20"/>
      <c r="AB1099" s="20"/>
      <c r="AC1099" s="20"/>
      <c r="AD1099" s="20"/>
      <c r="AE1099" s="20"/>
    </row>
    <row r="1100">
      <c r="A1100" s="21">
        <v>28.0</v>
      </c>
      <c r="B1100" s="20" t="s">
        <v>2091</v>
      </c>
      <c r="C1100" s="20" t="s">
        <v>3094</v>
      </c>
      <c r="I1100" s="25" t="s">
        <v>2769</v>
      </c>
      <c r="J1100" s="25" t="s">
        <v>2487</v>
      </c>
      <c r="K1100" s="25" t="s">
        <v>71</v>
      </c>
      <c r="L1100" s="25" t="s">
        <v>3278</v>
      </c>
      <c r="M1100" s="20" t="s">
        <v>2770</v>
      </c>
      <c r="N1100" s="20" t="s">
        <v>2771</v>
      </c>
      <c r="O1100" s="20" t="s">
        <v>63</v>
      </c>
      <c r="P1100" s="20" t="s">
        <v>52</v>
      </c>
      <c r="Q1100" s="26"/>
      <c r="R1100" s="26"/>
      <c r="S1100" s="26"/>
      <c r="T1100" s="20"/>
      <c r="U1100" s="26"/>
      <c r="V1100" s="26"/>
      <c r="W1100" s="20"/>
      <c r="X1100" s="20"/>
      <c r="Y1100" s="20"/>
      <c r="Z1100" s="20"/>
      <c r="AA1100" s="20"/>
      <c r="AB1100" s="20"/>
      <c r="AC1100" s="20"/>
      <c r="AD1100" s="20"/>
      <c r="AE1100" s="20"/>
    </row>
    <row r="1101">
      <c r="A1101" s="21">
        <v>28.0</v>
      </c>
      <c r="B1101" s="20" t="s">
        <v>2091</v>
      </c>
      <c r="C1101" s="20" t="s">
        <v>3094</v>
      </c>
      <c r="I1101" s="25" t="s">
        <v>2773</v>
      </c>
      <c r="J1101" s="25" t="s">
        <v>2487</v>
      </c>
      <c r="K1101" s="25" t="s">
        <v>71</v>
      </c>
      <c r="L1101" s="25" t="s">
        <v>3284</v>
      </c>
      <c r="M1101" s="20" t="s">
        <v>2774</v>
      </c>
      <c r="N1101" s="20" t="s">
        <v>2775</v>
      </c>
      <c r="O1101" s="20" t="s">
        <v>63</v>
      </c>
      <c r="P1101" s="20" t="s">
        <v>52</v>
      </c>
      <c r="Q1101" s="26"/>
      <c r="R1101" s="26"/>
      <c r="S1101" s="26"/>
      <c r="T1101" s="20"/>
      <c r="U1101" s="26"/>
      <c r="V1101" s="26"/>
      <c r="W1101" s="20"/>
      <c r="X1101" s="20"/>
      <c r="Y1101" s="20"/>
      <c r="Z1101" s="20"/>
      <c r="AA1101" s="20"/>
      <c r="AB1101" s="20"/>
      <c r="AC1101" s="20"/>
      <c r="AD1101" s="20"/>
      <c r="AE1101" s="20"/>
    </row>
    <row r="1102">
      <c r="A1102" s="21">
        <v>28.0</v>
      </c>
      <c r="B1102" s="20" t="s">
        <v>2091</v>
      </c>
      <c r="C1102" s="20" t="s">
        <v>3094</v>
      </c>
      <c r="I1102" s="25" t="s">
        <v>2940</v>
      </c>
      <c r="J1102" s="25" t="s">
        <v>2491</v>
      </c>
      <c r="K1102" s="25" t="s">
        <v>71</v>
      </c>
      <c r="L1102" s="25" t="s">
        <v>292</v>
      </c>
      <c r="M1102" s="20" t="s">
        <v>2941</v>
      </c>
      <c r="N1102" s="20" t="s">
        <v>2942</v>
      </c>
      <c r="O1102" s="20" t="s">
        <v>63</v>
      </c>
      <c r="P1102" s="20" t="s">
        <v>52</v>
      </c>
      <c r="Q1102" s="26"/>
      <c r="R1102" s="26"/>
      <c r="S1102" s="26"/>
      <c r="T1102" s="22"/>
      <c r="U1102" s="26"/>
      <c r="V1102" s="26"/>
      <c r="W1102" s="20"/>
      <c r="X1102" s="20"/>
      <c r="Y1102" s="20"/>
      <c r="Z1102" s="20"/>
      <c r="AA1102" s="20"/>
      <c r="AB1102" s="20"/>
      <c r="AC1102" s="20"/>
      <c r="AD1102" s="20"/>
      <c r="AE1102" s="20"/>
    </row>
    <row r="1103">
      <c r="A1103" s="21">
        <v>28.0</v>
      </c>
      <c r="B1103" s="20" t="s">
        <v>2091</v>
      </c>
      <c r="C1103" s="20" t="s">
        <v>3094</v>
      </c>
      <c r="I1103" s="25" t="s">
        <v>1563</v>
      </c>
      <c r="J1103" s="25" t="s">
        <v>2487</v>
      </c>
      <c r="K1103" s="25" t="s">
        <v>71</v>
      </c>
      <c r="L1103" s="25" t="s">
        <v>292</v>
      </c>
      <c r="M1103" s="20" t="s">
        <v>2777</v>
      </c>
      <c r="N1103" s="20" t="s">
        <v>2778</v>
      </c>
      <c r="O1103" s="20" t="s">
        <v>63</v>
      </c>
      <c r="P1103" s="20" t="s">
        <v>52</v>
      </c>
      <c r="Q1103" s="26"/>
      <c r="R1103" s="26"/>
      <c r="S1103" s="26"/>
      <c r="T1103" s="22"/>
      <c r="U1103" s="26"/>
      <c r="V1103" s="26"/>
      <c r="W1103" s="20"/>
      <c r="X1103" s="20"/>
      <c r="Y1103" s="20"/>
      <c r="Z1103" s="20"/>
      <c r="AA1103" s="20"/>
      <c r="AB1103" s="20"/>
      <c r="AC1103" s="20"/>
      <c r="AD1103" s="20"/>
      <c r="AE1103" s="20"/>
    </row>
    <row r="1104">
      <c r="A1104" s="21">
        <v>28.0</v>
      </c>
      <c r="B1104" s="20" t="s">
        <v>2091</v>
      </c>
      <c r="C1104" s="20" t="s">
        <v>3094</v>
      </c>
      <c r="I1104" s="25" t="s">
        <v>2943</v>
      </c>
      <c r="J1104" s="25" t="s">
        <v>2491</v>
      </c>
      <c r="K1104" s="25" t="s">
        <v>71</v>
      </c>
      <c r="L1104" s="25" t="s">
        <v>292</v>
      </c>
      <c r="M1104" s="20" t="s">
        <v>2944</v>
      </c>
      <c r="N1104" s="20" t="s">
        <v>2945</v>
      </c>
      <c r="O1104" s="20" t="s">
        <v>63</v>
      </c>
      <c r="P1104" s="20" t="s">
        <v>52</v>
      </c>
      <c r="Q1104" s="26"/>
      <c r="R1104" s="26"/>
      <c r="S1104" s="26"/>
      <c r="T1104" s="22"/>
      <c r="U1104" s="26"/>
      <c r="V1104" s="26"/>
      <c r="W1104" s="20"/>
      <c r="X1104" s="20"/>
      <c r="Y1104" s="20"/>
      <c r="Z1104" s="20"/>
      <c r="AA1104" s="20"/>
      <c r="AB1104" s="20"/>
      <c r="AC1104" s="20"/>
      <c r="AD1104" s="20"/>
      <c r="AE1104" s="20"/>
    </row>
    <row r="1105">
      <c r="A1105" s="21">
        <v>28.0</v>
      </c>
      <c r="B1105" s="20" t="s">
        <v>2091</v>
      </c>
      <c r="C1105" s="20" t="s">
        <v>3094</v>
      </c>
      <c r="I1105" s="25" t="s">
        <v>1597</v>
      </c>
      <c r="J1105" s="25" t="s">
        <v>2487</v>
      </c>
      <c r="K1105" s="25" t="s">
        <v>71</v>
      </c>
      <c r="L1105" s="25" t="s">
        <v>292</v>
      </c>
      <c r="M1105" s="20" t="s">
        <v>2780</v>
      </c>
      <c r="N1105" s="20" t="s">
        <v>2781</v>
      </c>
      <c r="O1105" s="20" t="s">
        <v>63</v>
      </c>
      <c r="P1105" s="20" t="s">
        <v>52</v>
      </c>
      <c r="Q1105" s="26"/>
      <c r="R1105" s="26"/>
      <c r="S1105" s="26"/>
      <c r="T1105" s="22"/>
      <c r="U1105" s="26"/>
      <c r="V1105" s="26"/>
      <c r="W1105" s="20"/>
      <c r="X1105" s="20"/>
      <c r="Y1105" s="20"/>
      <c r="Z1105" s="20"/>
      <c r="AA1105" s="20"/>
      <c r="AB1105" s="20"/>
      <c r="AC1105" s="20"/>
      <c r="AD1105" s="20"/>
      <c r="AE1105" s="20"/>
    </row>
    <row r="1106">
      <c r="A1106" s="21">
        <v>28.0</v>
      </c>
      <c r="B1106" s="20" t="s">
        <v>2091</v>
      </c>
      <c r="C1106" s="20" t="s">
        <v>3094</v>
      </c>
      <c r="I1106" s="25" t="s">
        <v>64</v>
      </c>
      <c r="J1106" s="25" t="s">
        <v>2491</v>
      </c>
      <c r="K1106" s="25" t="s">
        <v>71</v>
      </c>
      <c r="L1106" s="25" t="s">
        <v>3258</v>
      </c>
      <c r="M1106" s="20" t="s">
        <v>65</v>
      </c>
      <c r="N1106" s="20" t="s">
        <v>2946</v>
      </c>
      <c r="O1106" s="20" t="s">
        <v>63</v>
      </c>
      <c r="P1106" s="20" t="s">
        <v>52</v>
      </c>
      <c r="Q1106" s="26"/>
      <c r="R1106" s="26"/>
      <c r="S1106" s="26"/>
      <c r="T1106" s="20"/>
      <c r="U1106" s="26"/>
      <c r="V1106" s="26"/>
      <c r="W1106" s="20"/>
      <c r="X1106" s="20"/>
      <c r="Y1106" s="20"/>
      <c r="Z1106" s="20"/>
      <c r="AA1106" s="20"/>
      <c r="AB1106" s="20"/>
      <c r="AC1106" s="20"/>
      <c r="AD1106" s="20"/>
      <c r="AE1106" s="20"/>
    </row>
    <row r="1107">
      <c r="A1107" s="21">
        <v>28.0</v>
      </c>
      <c r="B1107" s="20" t="s">
        <v>2091</v>
      </c>
      <c r="C1107" s="20" t="s">
        <v>3094</v>
      </c>
      <c r="I1107" s="25" t="s">
        <v>2782</v>
      </c>
      <c r="J1107" s="25" t="s">
        <v>2487</v>
      </c>
      <c r="K1107" s="25" t="s">
        <v>71</v>
      </c>
      <c r="L1107" s="25" t="s">
        <v>292</v>
      </c>
      <c r="M1107" s="20" t="s">
        <v>2783</v>
      </c>
      <c r="N1107" s="20" t="s">
        <v>2784</v>
      </c>
      <c r="O1107" s="20" t="s">
        <v>63</v>
      </c>
      <c r="P1107" s="20" t="s">
        <v>52</v>
      </c>
      <c r="Q1107" s="26"/>
      <c r="R1107" s="26"/>
      <c r="S1107" s="26"/>
      <c r="T1107" s="22"/>
      <c r="U1107" s="26"/>
      <c r="V1107" s="26"/>
      <c r="W1107" s="20"/>
      <c r="X1107" s="20"/>
      <c r="Y1107" s="20"/>
      <c r="Z1107" s="20"/>
      <c r="AA1107" s="20"/>
      <c r="AB1107" s="20"/>
      <c r="AC1107" s="20"/>
      <c r="AD1107" s="20"/>
      <c r="AE1107" s="20"/>
    </row>
    <row r="1108">
      <c r="A1108" s="21">
        <v>28.0</v>
      </c>
      <c r="B1108" s="20" t="s">
        <v>2091</v>
      </c>
      <c r="C1108" s="20" t="s">
        <v>3094</v>
      </c>
      <c r="I1108" s="25" t="s">
        <v>1430</v>
      </c>
      <c r="J1108" s="25" t="s">
        <v>2487</v>
      </c>
      <c r="K1108" s="25" t="s">
        <v>71</v>
      </c>
      <c r="L1108" s="25" t="s">
        <v>292</v>
      </c>
      <c r="M1108" s="20" t="s">
        <v>2785</v>
      </c>
      <c r="N1108" s="20" t="s">
        <v>2786</v>
      </c>
      <c r="O1108" s="20" t="s">
        <v>63</v>
      </c>
      <c r="P1108" s="20" t="s">
        <v>52</v>
      </c>
      <c r="Q1108" s="26"/>
      <c r="R1108" s="26"/>
      <c r="S1108" s="26"/>
      <c r="T1108" s="22"/>
      <c r="U1108" s="26"/>
      <c r="V1108" s="26"/>
      <c r="W1108" s="20"/>
      <c r="X1108" s="20"/>
      <c r="Y1108" s="20"/>
      <c r="Z1108" s="20"/>
      <c r="AA1108" s="20"/>
      <c r="AB1108" s="20"/>
      <c r="AC1108" s="20"/>
      <c r="AD1108" s="20"/>
      <c r="AE1108" s="20"/>
    </row>
    <row r="1109">
      <c r="A1109" s="21">
        <v>28.0</v>
      </c>
      <c r="B1109" s="20" t="s">
        <v>2091</v>
      </c>
      <c r="C1109" s="20" t="s">
        <v>3094</v>
      </c>
      <c r="I1109" s="25" t="s">
        <v>2787</v>
      </c>
      <c r="J1109" s="25" t="s">
        <v>2487</v>
      </c>
      <c r="K1109" s="25" t="s">
        <v>71</v>
      </c>
      <c r="L1109" s="25" t="s">
        <v>292</v>
      </c>
      <c r="M1109" s="20" t="s">
        <v>2788</v>
      </c>
      <c r="N1109" s="20" t="s">
        <v>2789</v>
      </c>
      <c r="O1109" s="20" t="s">
        <v>63</v>
      </c>
      <c r="P1109" s="20" t="s">
        <v>52</v>
      </c>
      <c r="Q1109" s="26"/>
      <c r="R1109" s="26"/>
      <c r="S1109" s="26"/>
      <c r="T1109" s="22"/>
      <c r="U1109" s="26"/>
      <c r="V1109" s="26"/>
      <c r="W1109" s="20"/>
      <c r="X1109" s="20"/>
      <c r="Y1109" s="20"/>
      <c r="Z1109" s="20"/>
      <c r="AA1109" s="20"/>
      <c r="AB1109" s="20"/>
      <c r="AC1109" s="20"/>
      <c r="AD1109" s="20"/>
      <c r="AE1109" s="20"/>
    </row>
    <row r="1110">
      <c r="A1110" s="21">
        <v>28.0</v>
      </c>
      <c r="B1110" s="20" t="s">
        <v>2091</v>
      </c>
      <c r="C1110" s="20" t="s">
        <v>3094</v>
      </c>
      <c r="I1110" s="25" t="s">
        <v>731</v>
      </c>
      <c r="J1110" s="25" t="s">
        <v>2491</v>
      </c>
      <c r="K1110" s="25" t="s">
        <v>71</v>
      </c>
      <c r="L1110" s="25" t="s">
        <v>292</v>
      </c>
      <c r="M1110" s="20" t="s">
        <v>2190</v>
      </c>
      <c r="N1110" s="20" t="s">
        <v>2191</v>
      </c>
      <c r="O1110" s="20" t="s">
        <v>63</v>
      </c>
      <c r="P1110" s="20" t="s">
        <v>52</v>
      </c>
      <c r="Q1110" s="26"/>
      <c r="R1110" s="26"/>
      <c r="S1110" s="26"/>
      <c r="T1110" s="22"/>
      <c r="U1110" s="26"/>
      <c r="V1110" s="26"/>
      <c r="W1110" s="20"/>
      <c r="X1110" s="20"/>
      <c r="Y1110" s="20"/>
      <c r="Z1110" s="20"/>
      <c r="AA1110" s="20"/>
      <c r="AB1110" s="20"/>
      <c r="AC1110" s="20"/>
      <c r="AD1110" s="20"/>
      <c r="AE1110" s="20"/>
    </row>
    <row r="1111">
      <c r="A1111" s="21">
        <v>28.0</v>
      </c>
      <c r="B1111" s="20" t="s">
        <v>2091</v>
      </c>
      <c r="C1111" s="20" t="s">
        <v>3094</v>
      </c>
      <c r="I1111" s="25" t="s">
        <v>1624</v>
      </c>
      <c r="J1111" s="25" t="s">
        <v>2487</v>
      </c>
      <c r="K1111" s="25" t="s">
        <v>71</v>
      </c>
      <c r="L1111" s="25" t="s">
        <v>292</v>
      </c>
      <c r="M1111" s="20" t="s">
        <v>2791</v>
      </c>
      <c r="N1111" s="20" t="s">
        <v>2792</v>
      </c>
      <c r="O1111" s="20" t="s">
        <v>63</v>
      </c>
      <c r="P1111" s="20" t="s">
        <v>52</v>
      </c>
      <c r="Q1111" s="26"/>
      <c r="R1111" s="26"/>
      <c r="S1111" s="26"/>
      <c r="T1111" s="22"/>
      <c r="U1111" s="26"/>
      <c r="V1111" s="26"/>
      <c r="W1111" s="20"/>
      <c r="X1111" s="20"/>
      <c r="Y1111" s="20"/>
      <c r="Z1111" s="20"/>
      <c r="AA1111" s="20"/>
      <c r="AB1111" s="20"/>
      <c r="AC1111" s="20"/>
      <c r="AD1111" s="20"/>
      <c r="AE1111" s="20"/>
    </row>
    <row r="1112">
      <c r="A1112" s="21">
        <v>28.0</v>
      </c>
      <c r="B1112" s="20" t="s">
        <v>2091</v>
      </c>
      <c r="C1112" s="20" t="s">
        <v>3094</v>
      </c>
      <c r="I1112" s="25" t="s">
        <v>2947</v>
      </c>
      <c r="J1112" s="25" t="s">
        <v>2491</v>
      </c>
      <c r="K1112" s="25" t="s">
        <v>71</v>
      </c>
      <c r="L1112" s="25" t="s">
        <v>226</v>
      </c>
      <c r="M1112" s="20" t="s">
        <v>61</v>
      </c>
      <c r="N1112" s="20" t="s">
        <v>2948</v>
      </c>
      <c r="O1112" s="20" t="s">
        <v>63</v>
      </c>
      <c r="P1112" s="20" t="s">
        <v>52</v>
      </c>
      <c r="Q1112" s="26"/>
      <c r="R1112" s="26"/>
      <c r="S1112" s="26"/>
      <c r="T1112" s="22"/>
      <c r="U1112" s="26"/>
      <c r="V1112" s="26"/>
      <c r="W1112" s="20"/>
      <c r="X1112" s="20"/>
      <c r="Y1112" s="20"/>
      <c r="Z1112" s="20"/>
      <c r="AA1112" s="20"/>
      <c r="AB1112" s="20"/>
      <c r="AC1112" s="20"/>
      <c r="AD1112" s="20"/>
      <c r="AE1112" s="20"/>
    </row>
    <row r="1113">
      <c r="A1113" s="21">
        <v>28.0</v>
      </c>
      <c r="B1113" s="20" t="s">
        <v>2091</v>
      </c>
      <c r="C1113" s="20" t="s">
        <v>3094</v>
      </c>
      <c r="I1113" s="25" t="s">
        <v>2505</v>
      </c>
      <c r="J1113" s="25" t="s">
        <v>2483</v>
      </c>
      <c r="K1113" s="25" t="s">
        <v>71</v>
      </c>
      <c r="L1113" s="25" t="s">
        <v>3284</v>
      </c>
      <c r="M1113" s="20" t="s">
        <v>2506</v>
      </c>
      <c r="N1113" s="20" t="s">
        <v>2507</v>
      </c>
      <c r="O1113" s="20" t="s">
        <v>56</v>
      </c>
      <c r="P1113" s="20" t="s">
        <v>52</v>
      </c>
      <c r="Q1113" s="26"/>
      <c r="R1113" s="26"/>
      <c r="S1113" s="26"/>
      <c r="T1113" s="20"/>
      <c r="U1113" s="26"/>
      <c r="V1113" s="26"/>
      <c r="W1113" s="20"/>
      <c r="X1113" s="20"/>
      <c r="Y1113" s="20"/>
      <c r="Z1113" s="20"/>
      <c r="AA1113" s="20"/>
      <c r="AB1113" s="20"/>
      <c r="AC1113" s="20"/>
      <c r="AD1113" s="20"/>
      <c r="AE1113" s="20"/>
    </row>
    <row r="1114">
      <c r="A1114" s="21">
        <v>28.0</v>
      </c>
      <c r="B1114" s="20" t="s">
        <v>2091</v>
      </c>
      <c r="C1114" s="20" t="s">
        <v>3094</v>
      </c>
      <c r="I1114" s="25" t="s">
        <v>2793</v>
      </c>
      <c r="J1114" s="25" t="s">
        <v>2487</v>
      </c>
      <c r="K1114" s="25" t="s">
        <v>71</v>
      </c>
      <c r="L1114" s="25" t="s">
        <v>3284</v>
      </c>
      <c r="M1114" s="20" t="s">
        <v>2794</v>
      </c>
      <c r="N1114" s="20" t="s">
        <v>2795</v>
      </c>
      <c r="O1114" s="20" t="s">
        <v>63</v>
      </c>
      <c r="P1114" s="20" t="s">
        <v>52</v>
      </c>
      <c r="Q1114" s="26"/>
      <c r="R1114" s="26"/>
      <c r="S1114" s="26"/>
      <c r="T1114" s="20"/>
      <c r="U1114" s="26"/>
      <c r="V1114" s="26"/>
      <c r="W1114" s="20"/>
      <c r="X1114" s="20"/>
      <c r="Y1114" s="20"/>
      <c r="Z1114" s="20"/>
      <c r="AA1114" s="20"/>
      <c r="AB1114" s="20"/>
      <c r="AC1114" s="20"/>
      <c r="AD1114" s="20"/>
      <c r="AE1114" s="20"/>
    </row>
    <row r="1115">
      <c r="A1115" s="21">
        <v>28.0</v>
      </c>
      <c r="B1115" s="20" t="s">
        <v>2091</v>
      </c>
      <c r="C1115" s="20" t="s">
        <v>3094</v>
      </c>
      <c r="I1115" s="25" t="s">
        <v>2796</v>
      </c>
      <c r="J1115" s="25" t="s">
        <v>2487</v>
      </c>
      <c r="K1115" s="25" t="s">
        <v>71</v>
      </c>
      <c r="L1115" s="25" t="s">
        <v>292</v>
      </c>
      <c r="M1115" s="20" t="s">
        <v>2797</v>
      </c>
      <c r="N1115" s="20" t="s">
        <v>2798</v>
      </c>
      <c r="O1115" s="20" t="s">
        <v>63</v>
      </c>
      <c r="P1115" s="20" t="s">
        <v>52</v>
      </c>
      <c r="Q1115" s="26"/>
      <c r="R1115" s="26"/>
      <c r="S1115" s="26"/>
      <c r="T1115" s="22"/>
      <c r="U1115" s="26"/>
      <c r="V1115" s="26"/>
      <c r="W1115" s="20"/>
      <c r="X1115" s="20"/>
      <c r="Y1115" s="20"/>
      <c r="Z1115" s="20"/>
      <c r="AA1115" s="20"/>
      <c r="AB1115" s="20"/>
      <c r="AC1115" s="20"/>
      <c r="AD1115" s="20"/>
      <c r="AE1115" s="20"/>
    </row>
    <row r="1116">
      <c r="A1116" s="21">
        <v>28.0</v>
      </c>
      <c r="B1116" s="20" t="s">
        <v>2091</v>
      </c>
      <c r="C1116" s="20" t="s">
        <v>3094</v>
      </c>
      <c r="I1116" s="25" t="s">
        <v>1972</v>
      </c>
      <c r="J1116" s="25" t="s">
        <v>2487</v>
      </c>
      <c r="K1116" s="25" t="s">
        <v>71</v>
      </c>
      <c r="L1116" s="25" t="s">
        <v>292</v>
      </c>
      <c r="M1116" s="20" t="s">
        <v>2799</v>
      </c>
      <c r="N1116" s="20" t="s">
        <v>2800</v>
      </c>
      <c r="O1116" s="20" t="s">
        <v>63</v>
      </c>
      <c r="P1116" s="20" t="s">
        <v>52</v>
      </c>
      <c r="Q1116" s="26"/>
      <c r="R1116" s="26"/>
      <c r="S1116" s="26"/>
      <c r="T1116" s="22"/>
      <c r="U1116" s="26"/>
      <c r="V1116" s="26"/>
      <c r="W1116" s="20"/>
      <c r="X1116" s="20"/>
      <c r="Y1116" s="20"/>
      <c r="Z1116" s="20"/>
      <c r="AA1116" s="20"/>
      <c r="AB1116" s="20"/>
      <c r="AC1116" s="20"/>
      <c r="AD1116" s="20"/>
      <c r="AE1116" s="20"/>
    </row>
    <row r="1117">
      <c r="A1117" s="21">
        <v>28.0</v>
      </c>
      <c r="B1117" s="20" t="s">
        <v>2091</v>
      </c>
      <c r="C1117" s="20" t="s">
        <v>3094</v>
      </c>
      <c r="I1117" s="25" t="s">
        <v>2949</v>
      </c>
      <c r="J1117" s="25" t="s">
        <v>2491</v>
      </c>
      <c r="K1117" s="25" t="s">
        <v>71</v>
      </c>
      <c r="L1117" s="25" t="s">
        <v>292</v>
      </c>
      <c r="M1117" s="20" t="s">
        <v>2950</v>
      </c>
      <c r="N1117" s="20" t="s">
        <v>2952</v>
      </c>
      <c r="O1117" s="20" t="s">
        <v>63</v>
      </c>
      <c r="P1117" s="20" t="s">
        <v>52</v>
      </c>
      <c r="Q1117" s="26"/>
      <c r="R1117" s="26"/>
      <c r="S1117" s="26"/>
      <c r="T1117" s="22"/>
      <c r="U1117" s="26"/>
      <c r="V1117" s="26"/>
      <c r="W1117" s="20"/>
      <c r="X1117" s="20"/>
      <c r="Y1117" s="20"/>
      <c r="Z1117" s="20"/>
      <c r="AA1117" s="20"/>
      <c r="AB1117" s="20"/>
      <c r="AC1117" s="20"/>
      <c r="AD1117" s="20"/>
      <c r="AE1117" s="20"/>
    </row>
    <row r="1118">
      <c r="A1118" s="21">
        <v>28.0</v>
      </c>
      <c r="B1118" s="20" t="s">
        <v>2091</v>
      </c>
      <c r="C1118" s="20" t="s">
        <v>3094</v>
      </c>
      <c r="I1118" s="25" t="s">
        <v>81</v>
      </c>
      <c r="J1118" s="25" t="s">
        <v>2483</v>
      </c>
      <c r="K1118" s="25" t="s">
        <v>71</v>
      </c>
      <c r="L1118" s="25" t="s">
        <v>3278</v>
      </c>
      <c r="M1118" s="20" t="s">
        <v>2555</v>
      </c>
      <c r="N1118" s="20" t="s">
        <v>2556</v>
      </c>
      <c r="O1118" s="20" t="s">
        <v>63</v>
      </c>
      <c r="P1118" s="20" t="s">
        <v>52</v>
      </c>
      <c r="Q1118" s="26"/>
      <c r="R1118" s="26"/>
      <c r="S1118" s="26"/>
      <c r="T1118" s="20"/>
      <c r="U1118" s="26"/>
      <c r="V1118" s="26"/>
      <c r="W1118" s="20"/>
      <c r="X1118" s="20"/>
      <c r="Y1118" s="20"/>
      <c r="Z1118" s="20"/>
      <c r="AA1118" s="20"/>
      <c r="AB1118" s="20"/>
      <c r="AC1118" s="20"/>
      <c r="AD1118" s="20"/>
      <c r="AE1118" s="20"/>
    </row>
    <row r="1119">
      <c r="A1119" s="21">
        <v>28.0</v>
      </c>
      <c r="B1119" s="20" t="s">
        <v>2091</v>
      </c>
      <c r="C1119" s="20" t="s">
        <v>3094</v>
      </c>
      <c r="I1119" s="25" t="s">
        <v>2953</v>
      </c>
      <c r="J1119" s="25" t="s">
        <v>2491</v>
      </c>
      <c r="K1119" s="25" t="s">
        <v>71</v>
      </c>
      <c r="L1119" s="25" t="s">
        <v>292</v>
      </c>
      <c r="M1119" s="20" t="s">
        <v>2954</v>
      </c>
      <c r="N1119" s="20" t="s">
        <v>2955</v>
      </c>
      <c r="O1119" s="20" t="s">
        <v>63</v>
      </c>
      <c r="P1119" s="20" t="s">
        <v>52</v>
      </c>
      <c r="Q1119" s="26"/>
      <c r="R1119" s="26"/>
      <c r="S1119" s="26"/>
      <c r="T1119" s="22"/>
      <c r="U1119" s="26"/>
      <c r="V1119" s="26"/>
      <c r="W1119" s="20"/>
      <c r="X1119" s="20"/>
      <c r="Y1119" s="20"/>
      <c r="Z1119" s="20"/>
      <c r="AA1119" s="20"/>
      <c r="AB1119" s="20"/>
      <c r="AC1119" s="20"/>
      <c r="AD1119" s="20"/>
      <c r="AE1119" s="20"/>
    </row>
    <row r="1120">
      <c r="A1120" s="21">
        <v>28.0</v>
      </c>
      <c r="B1120" s="20" t="s">
        <v>2091</v>
      </c>
      <c r="C1120" s="20" t="s">
        <v>3094</v>
      </c>
      <c r="I1120" s="25" t="s">
        <v>2801</v>
      </c>
      <c r="J1120" s="25" t="s">
        <v>2487</v>
      </c>
      <c r="K1120" s="25" t="s">
        <v>71</v>
      </c>
      <c r="L1120" s="25" t="s">
        <v>292</v>
      </c>
      <c r="M1120" s="20" t="s">
        <v>2802</v>
      </c>
      <c r="N1120" s="20" t="s">
        <v>2803</v>
      </c>
      <c r="O1120" s="20" t="s">
        <v>63</v>
      </c>
      <c r="P1120" s="20" t="s">
        <v>52</v>
      </c>
      <c r="Q1120" s="26"/>
      <c r="R1120" s="26"/>
      <c r="S1120" s="26"/>
      <c r="T1120" s="22"/>
      <c r="U1120" s="26"/>
      <c r="V1120" s="26"/>
      <c r="W1120" s="20"/>
      <c r="X1120" s="20"/>
      <c r="Y1120" s="20"/>
      <c r="Z1120" s="20"/>
      <c r="AA1120" s="20"/>
      <c r="AB1120" s="20"/>
      <c r="AC1120" s="20"/>
      <c r="AD1120" s="20"/>
      <c r="AE1120" s="20"/>
    </row>
    <row r="1121">
      <c r="A1121" s="21">
        <v>28.0</v>
      </c>
      <c r="B1121" s="20" t="s">
        <v>2091</v>
      </c>
      <c r="C1121" s="20" t="s">
        <v>3094</v>
      </c>
      <c r="I1121" s="25" t="s">
        <v>2804</v>
      </c>
      <c r="J1121" s="25" t="s">
        <v>2487</v>
      </c>
      <c r="K1121" s="25" t="s">
        <v>71</v>
      </c>
      <c r="L1121" s="25" t="s">
        <v>3284</v>
      </c>
      <c r="M1121" s="20" t="s">
        <v>2805</v>
      </c>
      <c r="N1121" s="20" t="s">
        <v>2806</v>
      </c>
      <c r="O1121" s="20" t="s">
        <v>63</v>
      </c>
      <c r="P1121" s="20" t="s">
        <v>52</v>
      </c>
      <c r="Q1121" s="26"/>
      <c r="R1121" s="26"/>
      <c r="S1121" s="26"/>
      <c r="T1121" s="20"/>
      <c r="U1121" s="26"/>
      <c r="V1121" s="26"/>
      <c r="W1121" s="20"/>
      <c r="X1121" s="20"/>
      <c r="Y1121" s="20"/>
      <c r="Z1121" s="20"/>
      <c r="AA1121" s="20"/>
      <c r="AB1121" s="20"/>
      <c r="AC1121" s="20"/>
      <c r="AD1121" s="20"/>
      <c r="AE1121" s="20"/>
    </row>
    <row r="1122">
      <c r="A1122" s="21">
        <v>28.0</v>
      </c>
      <c r="B1122" s="20" t="s">
        <v>2091</v>
      </c>
      <c r="C1122" s="20" t="s">
        <v>3094</v>
      </c>
      <c r="I1122" s="25" t="s">
        <v>632</v>
      </c>
      <c r="J1122" s="25" t="s">
        <v>2487</v>
      </c>
      <c r="K1122" s="25" t="s">
        <v>71</v>
      </c>
      <c r="L1122" s="25" t="s">
        <v>292</v>
      </c>
      <c r="M1122" s="20" t="s">
        <v>2807</v>
      </c>
      <c r="N1122" s="20" t="s">
        <v>2809</v>
      </c>
      <c r="O1122" s="20" t="s">
        <v>63</v>
      </c>
      <c r="P1122" s="20" t="s">
        <v>52</v>
      </c>
      <c r="Q1122" s="26"/>
      <c r="R1122" s="26"/>
      <c r="S1122" s="26"/>
      <c r="T1122" s="22"/>
      <c r="U1122" s="26"/>
      <c r="V1122" s="26"/>
      <c r="W1122" s="20"/>
      <c r="X1122" s="20"/>
      <c r="Y1122" s="20"/>
      <c r="Z1122" s="20"/>
      <c r="AA1122" s="20"/>
      <c r="AB1122" s="20"/>
      <c r="AC1122" s="20"/>
      <c r="AD1122" s="20"/>
      <c r="AE1122" s="20"/>
    </row>
    <row r="1123">
      <c r="A1123" s="21">
        <v>28.0</v>
      </c>
      <c r="B1123" s="20" t="s">
        <v>2091</v>
      </c>
      <c r="C1123" s="20" t="s">
        <v>3094</v>
      </c>
      <c r="I1123" s="25" t="s">
        <v>2810</v>
      </c>
      <c r="J1123" s="25" t="s">
        <v>2487</v>
      </c>
      <c r="K1123" s="25" t="s">
        <v>71</v>
      </c>
      <c r="L1123" s="25" t="s">
        <v>292</v>
      </c>
      <c r="M1123" s="20" t="s">
        <v>2811</v>
      </c>
      <c r="N1123" s="20" t="s">
        <v>2812</v>
      </c>
      <c r="O1123" s="20" t="s">
        <v>63</v>
      </c>
      <c r="P1123" s="20" t="s">
        <v>52</v>
      </c>
      <c r="Q1123" s="26"/>
      <c r="R1123" s="26"/>
      <c r="S1123" s="26"/>
      <c r="T1123" s="22"/>
      <c r="U1123" s="26"/>
      <c r="V1123" s="26"/>
      <c r="W1123" s="20"/>
      <c r="X1123" s="20"/>
      <c r="Y1123" s="20"/>
      <c r="Z1123" s="20"/>
      <c r="AA1123" s="20"/>
      <c r="AB1123" s="20"/>
      <c r="AC1123" s="20"/>
      <c r="AD1123" s="20"/>
      <c r="AE1123" s="20"/>
    </row>
    <row r="1124">
      <c r="A1124" s="21">
        <v>28.0</v>
      </c>
      <c r="B1124" s="20" t="s">
        <v>2091</v>
      </c>
      <c r="C1124" s="20" t="s">
        <v>3094</v>
      </c>
      <c r="I1124" s="25" t="s">
        <v>1894</v>
      </c>
      <c r="J1124" s="25" t="s">
        <v>2487</v>
      </c>
      <c r="K1124" s="25" t="s">
        <v>71</v>
      </c>
      <c r="L1124" s="25" t="s">
        <v>292</v>
      </c>
      <c r="M1124" s="20" t="s">
        <v>2813</v>
      </c>
      <c r="N1124" s="20" t="s">
        <v>2814</v>
      </c>
      <c r="O1124" s="20" t="s">
        <v>63</v>
      </c>
      <c r="P1124" s="20" t="s">
        <v>52</v>
      </c>
      <c r="Q1124" s="26"/>
      <c r="R1124" s="26"/>
      <c r="S1124" s="26"/>
      <c r="T1124" s="22"/>
      <c r="U1124" s="26"/>
      <c r="V1124" s="26"/>
      <c r="W1124" s="20"/>
      <c r="X1124" s="20"/>
      <c r="Y1124" s="20"/>
      <c r="Z1124" s="20"/>
      <c r="AA1124" s="20"/>
      <c r="AB1124" s="20"/>
      <c r="AC1124" s="20"/>
      <c r="AD1124" s="20"/>
      <c r="AE1124" s="20"/>
    </row>
    <row r="1125">
      <c r="A1125" s="21">
        <v>28.0</v>
      </c>
      <c r="B1125" s="20" t="s">
        <v>2091</v>
      </c>
      <c r="C1125" s="20" t="s">
        <v>3094</v>
      </c>
      <c r="I1125" s="25" t="s">
        <v>2816</v>
      </c>
      <c r="J1125" s="25" t="s">
        <v>2487</v>
      </c>
      <c r="K1125" s="25" t="s">
        <v>71</v>
      </c>
      <c r="L1125" s="25" t="s">
        <v>292</v>
      </c>
      <c r="M1125" s="20" t="s">
        <v>2817</v>
      </c>
      <c r="N1125" s="20" t="s">
        <v>2818</v>
      </c>
      <c r="O1125" s="20" t="s">
        <v>63</v>
      </c>
      <c r="P1125" s="20" t="s">
        <v>52</v>
      </c>
      <c r="Q1125" s="26"/>
      <c r="R1125" s="26"/>
      <c r="S1125" s="26"/>
      <c r="T1125" s="22"/>
      <c r="U1125" s="26"/>
      <c r="V1125" s="26"/>
      <c r="W1125" s="20"/>
      <c r="X1125" s="20"/>
      <c r="Y1125" s="20"/>
      <c r="Z1125" s="20"/>
      <c r="AA1125" s="20"/>
      <c r="AB1125" s="20"/>
      <c r="AC1125" s="20"/>
      <c r="AD1125" s="20"/>
      <c r="AE1125" s="20"/>
    </row>
    <row r="1126">
      <c r="A1126" s="21">
        <v>28.0</v>
      </c>
      <c r="B1126" s="20" t="s">
        <v>2091</v>
      </c>
      <c r="C1126" s="20" t="s">
        <v>3094</v>
      </c>
      <c r="I1126" s="25" t="s">
        <v>1348</v>
      </c>
      <c r="J1126" s="25" t="s">
        <v>2487</v>
      </c>
      <c r="K1126" s="25" t="s">
        <v>71</v>
      </c>
      <c r="L1126" s="25" t="s">
        <v>292</v>
      </c>
      <c r="M1126" s="20" t="s">
        <v>2819</v>
      </c>
      <c r="N1126" s="20" t="s">
        <v>2820</v>
      </c>
      <c r="O1126" s="20" t="s">
        <v>63</v>
      </c>
      <c r="P1126" s="20" t="s">
        <v>52</v>
      </c>
      <c r="Q1126" s="26"/>
      <c r="R1126" s="26"/>
      <c r="S1126" s="26"/>
      <c r="T1126" s="22"/>
      <c r="U1126" s="26"/>
      <c r="V1126" s="26"/>
      <c r="W1126" s="20"/>
      <c r="X1126" s="20"/>
      <c r="Y1126" s="20"/>
      <c r="Z1126" s="20"/>
      <c r="AA1126" s="20"/>
      <c r="AB1126" s="20"/>
      <c r="AC1126" s="20"/>
      <c r="AD1126" s="20"/>
      <c r="AE1126" s="20"/>
    </row>
    <row r="1127">
      <c r="A1127" s="21">
        <v>28.0</v>
      </c>
      <c r="B1127" s="20" t="s">
        <v>2091</v>
      </c>
      <c r="C1127" s="20" t="s">
        <v>3094</v>
      </c>
      <c r="I1127" s="25" t="s">
        <v>2957</v>
      </c>
      <c r="J1127" s="25" t="s">
        <v>2491</v>
      </c>
      <c r="K1127" s="25" t="s">
        <v>71</v>
      </c>
      <c r="L1127" s="25" t="s">
        <v>292</v>
      </c>
      <c r="M1127" s="20" t="s">
        <v>2958</v>
      </c>
      <c r="N1127" s="20" t="s">
        <v>2959</v>
      </c>
      <c r="O1127" s="20" t="s">
        <v>63</v>
      </c>
      <c r="P1127" s="20" t="s">
        <v>52</v>
      </c>
      <c r="Q1127" s="26"/>
      <c r="R1127" s="26"/>
      <c r="S1127" s="26"/>
      <c r="T1127" s="22"/>
      <c r="U1127" s="26"/>
      <c r="V1127" s="26"/>
      <c r="W1127" s="20"/>
      <c r="X1127" s="20"/>
      <c r="Y1127" s="20"/>
      <c r="Z1127" s="20"/>
      <c r="AA1127" s="20"/>
      <c r="AB1127" s="20"/>
      <c r="AC1127" s="20"/>
      <c r="AD1127" s="20"/>
      <c r="AE1127" s="20"/>
    </row>
    <row r="1128">
      <c r="A1128" s="21">
        <v>28.0</v>
      </c>
      <c r="B1128" s="20" t="s">
        <v>2091</v>
      </c>
      <c r="C1128" s="20" t="s">
        <v>3094</v>
      </c>
      <c r="I1128" s="25" t="s">
        <v>2328</v>
      </c>
      <c r="J1128" s="25" t="s">
        <v>2487</v>
      </c>
      <c r="K1128" s="25" t="s">
        <v>71</v>
      </c>
      <c r="L1128" s="25" t="s">
        <v>292</v>
      </c>
      <c r="M1128" s="20" t="s">
        <v>2329</v>
      </c>
      <c r="N1128" s="20" t="s">
        <v>2821</v>
      </c>
      <c r="O1128" s="20" t="s">
        <v>63</v>
      </c>
      <c r="P1128" s="20" t="s">
        <v>52</v>
      </c>
      <c r="Q1128" s="26"/>
      <c r="R1128" s="26"/>
      <c r="S1128" s="26"/>
      <c r="T1128" s="22"/>
      <c r="U1128" s="26"/>
      <c r="V1128" s="26"/>
      <c r="W1128" s="20"/>
      <c r="X1128" s="20"/>
      <c r="Y1128" s="20"/>
      <c r="Z1128" s="20"/>
      <c r="AA1128" s="20"/>
      <c r="AB1128" s="20"/>
      <c r="AC1128" s="20"/>
      <c r="AD1128" s="20"/>
      <c r="AE1128" s="20"/>
    </row>
    <row r="1129">
      <c r="A1129" s="21">
        <v>28.0</v>
      </c>
      <c r="B1129" s="20" t="s">
        <v>2091</v>
      </c>
      <c r="C1129" s="20" t="s">
        <v>3094</v>
      </c>
      <c r="I1129" s="25" t="s">
        <v>2822</v>
      </c>
      <c r="J1129" s="25" t="s">
        <v>2487</v>
      </c>
      <c r="K1129" s="25" t="s">
        <v>71</v>
      </c>
      <c r="L1129" s="25" t="s">
        <v>292</v>
      </c>
      <c r="M1129" s="20" t="s">
        <v>2823</v>
      </c>
      <c r="N1129" s="20" t="s">
        <v>2824</v>
      </c>
      <c r="O1129" s="20" t="s">
        <v>63</v>
      </c>
      <c r="P1129" s="20" t="s">
        <v>52</v>
      </c>
      <c r="Q1129" s="26"/>
      <c r="R1129" s="26"/>
      <c r="S1129" s="26"/>
      <c r="T1129" s="22"/>
      <c r="U1129" s="26"/>
      <c r="V1129" s="26"/>
      <c r="W1129" s="20"/>
      <c r="X1129" s="20"/>
      <c r="Y1129" s="20"/>
      <c r="Z1129" s="20"/>
      <c r="AA1129" s="20"/>
      <c r="AB1129" s="20"/>
      <c r="AC1129" s="20"/>
      <c r="AD1129" s="20"/>
      <c r="AE1129" s="20"/>
    </row>
    <row r="1130">
      <c r="A1130" s="21">
        <v>28.0</v>
      </c>
      <c r="B1130" s="20" t="s">
        <v>2091</v>
      </c>
      <c r="C1130" s="20" t="s">
        <v>3094</v>
      </c>
      <c r="I1130" s="25" t="s">
        <v>535</v>
      </c>
      <c r="J1130" s="25" t="s">
        <v>2487</v>
      </c>
      <c r="K1130" s="25" t="s">
        <v>71</v>
      </c>
      <c r="L1130" s="25" t="s">
        <v>292</v>
      </c>
      <c r="M1130" s="20" t="s">
        <v>784</v>
      </c>
      <c r="N1130" s="20" t="s">
        <v>2825</v>
      </c>
      <c r="O1130" s="20" t="s">
        <v>63</v>
      </c>
      <c r="P1130" s="20" t="s">
        <v>52</v>
      </c>
      <c r="Q1130" s="26"/>
      <c r="R1130" s="26"/>
      <c r="S1130" s="26"/>
      <c r="T1130" s="22"/>
      <c r="U1130" s="26"/>
      <c r="V1130" s="26"/>
      <c r="W1130" s="20"/>
      <c r="X1130" s="20"/>
      <c r="Y1130" s="20"/>
      <c r="Z1130" s="20"/>
      <c r="AA1130" s="20"/>
      <c r="AB1130" s="20"/>
      <c r="AC1130" s="20"/>
      <c r="AD1130" s="20"/>
      <c r="AE1130" s="20"/>
    </row>
    <row r="1131">
      <c r="A1131" s="21">
        <v>28.0</v>
      </c>
      <c r="B1131" s="20" t="s">
        <v>2091</v>
      </c>
      <c r="C1131" s="20" t="s">
        <v>3094</v>
      </c>
      <c r="I1131" s="25" t="s">
        <v>1288</v>
      </c>
      <c r="J1131" s="25" t="s">
        <v>2487</v>
      </c>
      <c r="K1131" s="25" t="s">
        <v>71</v>
      </c>
      <c r="L1131" s="25" t="s">
        <v>3338</v>
      </c>
      <c r="M1131" s="20" t="s">
        <v>1907</v>
      </c>
      <c r="N1131" s="20" t="s">
        <v>2826</v>
      </c>
      <c r="O1131" s="20" t="s">
        <v>63</v>
      </c>
      <c r="P1131" s="20" t="s">
        <v>52</v>
      </c>
      <c r="Q1131" s="26"/>
      <c r="R1131" s="26"/>
      <c r="S1131" s="26"/>
      <c r="T1131" s="20"/>
      <c r="U1131" s="26"/>
      <c r="V1131" s="26"/>
      <c r="W1131" s="20"/>
      <c r="X1131" s="20"/>
      <c r="Y1131" s="20"/>
      <c r="Z1131" s="20"/>
      <c r="AA1131" s="20"/>
      <c r="AB1131" s="20"/>
      <c r="AC1131" s="20"/>
      <c r="AD1131" s="20"/>
      <c r="AE1131" s="20"/>
    </row>
    <row r="1132">
      <c r="A1132" s="21">
        <v>28.0</v>
      </c>
      <c r="B1132" s="20" t="s">
        <v>2091</v>
      </c>
      <c r="C1132" s="20" t="s">
        <v>3094</v>
      </c>
      <c r="I1132" s="25" t="s">
        <v>2557</v>
      </c>
      <c r="J1132" s="25" t="s">
        <v>2483</v>
      </c>
      <c r="K1132" s="25" t="s">
        <v>71</v>
      </c>
      <c r="L1132" s="25" t="s">
        <v>3342</v>
      </c>
      <c r="M1132" s="20" t="s">
        <v>2558</v>
      </c>
      <c r="N1132" s="20" t="s">
        <v>2559</v>
      </c>
      <c r="O1132" s="20" t="s">
        <v>63</v>
      </c>
      <c r="P1132" s="20" t="s">
        <v>52</v>
      </c>
      <c r="Q1132" s="26"/>
      <c r="R1132" s="26"/>
      <c r="S1132" s="26"/>
      <c r="T1132" s="20"/>
      <c r="U1132" s="26"/>
      <c r="V1132" s="26"/>
      <c r="W1132" s="20"/>
      <c r="X1132" s="20"/>
      <c r="Y1132" s="20"/>
      <c r="Z1132" s="20"/>
      <c r="AA1132" s="20"/>
      <c r="AB1132" s="20"/>
      <c r="AC1132" s="20"/>
      <c r="AD1132" s="20"/>
      <c r="AE1132" s="20"/>
    </row>
    <row r="1133">
      <c r="A1133" s="21">
        <v>28.0</v>
      </c>
      <c r="B1133" s="20" t="s">
        <v>2091</v>
      </c>
      <c r="C1133" s="20" t="s">
        <v>3094</v>
      </c>
      <c r="I1133" s="25" t="s">
        <v>2828</v>
      </c>
      <c r="J1133" s="25" t="s">
        <v>2487</v>
      </c>
      <c r="K1133" s="25" t="s">
        <v>71</v>
      </c>
      <c r="L1133" s="25" t="s">
        <v>3338</v>
      </c>
      <c r="M1133" s="20" t="s">
        <v>2829</v>
      </c>
      <c r="N1133" s="20" t="s">
        <v>2830</v>
      </c>
      <c r="O1133" s="20" t="s">
        <v>63</v>
      </c>
      <c r="P1133" s="20" t="s">
        <v>52</v>
      </c>
      <c r="Q1133" s="26"/>
      <c r="R1133" s="26"/>
      <c r="S1133" s="26"/>
      <c r="T1133" s="20"/>
      <c r="U1133" s="26"/>
      <c r="V1133" s="26"/>
      <c r="W1133" s="20"/>
      <c r="X1133" s="20"/>
      <c r="Y1133" s="20"/>
      <c r="Z1133" s="20"/>
      <c r="AA1133" s="20"/>
      <c r="AB1133" s="20"/>
      <c r="AC1133" s="20"/>
      <c r="AD1133" s="20"/>
      <c r="AE1133" s="20"/>
    </row>
    <row r="1134">
      <c r="A1134" s="21">
        <v>28.0</v>
      </c>
      <c r="B1134" s="20" t="s">
        <v>2091</v>
      </c>
      <c r="C1134" s="20" t="s">
        <v>3094</v>
      </c>
      <c r="I1134" s="25" t="s">
        <v>576</v>
      </c>
      <c r="J1134" s="25" t="s">
        <v>2491</v>
      </c>
      <c r="K1134" s="25" t="s">
        <v>71</v>
      </c>
      <c r="L1134" s="25" t="s">
        <v>292</v>
      </c>
      <c r="M1134" s="20" t="s">
        <v>2960</v>
      </c>
      <c r="N1134" s="20" t="s">
        <v>2961</v>
      </c>
      <c r="O1134" s="20" t="s">
        <v>63</v>
      </c>
      <c r="P1134" s="20" t="s">
        <v>52</v>
      </c>
      <c r="Q1134" s="26"/>
      <c r="R1134" s="26"/>
      <c r="S1134" s="26"/>
      <c r="T1134" s="22"/>
      <c r="U1134" s="26"/>
      <c r="V1134" s="26"/>
      <c r="W1134" s="20"/>
      <c r="X1134" s="20"/>
      <c r="Y1134" s="20"/>
      <c r="Z1134" s="20"/>
      <c r="AA1134" s="20"/>
      <c r="AB1134" s="20"/>
      <c r="AC1134" s="20"/>
      <c r="AD1134" s="20"/>
      <c r="AE1134" s="20"/>
    </row>
    <row r="1135">
      <c r="A1135" s="21">
        <v>28.0</v>
      </c>
      <c r="B1135" s="20" t="s">
        <v>2091</v>
      </c>
      <c r="C1135" s="20" t="s">
        <v>3094</v>
      </c>
      <c r="I1135" s="25" t="s">
        <v>1781</v>
      </c>
      <c r="J1135" s="25" t="s">
        <v>2487</v>
      </c>
      <c r="K1135" s="25" t="s">
        <v>71</v>
      </c>
      <c r="L1135" s="25" t="s">
        <v>292</v>
      </c>
      <c r="M1135" s="20" t="s">
        <v>2831</v>
      </c>
      <c r="N1135" s="20" t="s">
        <v>2832</v>
      </c>
      <c r="O1135" s="20" t="s">
        <v>63</v>
      </c>
      <c r="P1135" s="20" t="s">
        <v>52</v>
      </c>
      <c r="Q1135" s="26"/>
      <c r="R1135" s="26"/>
      <c r="S1135" s="26"/>
      <c r="T1135" s="22"/>
      <c r="U1135" s="26"/>
      <c r="V1135" s="26"/>
      <c r="W1135" s="20"/>
      <c r="X1135" s="20"/>
      <c r="Y1135" s="20"/>
      <c r="Z1135" s="20"/>
      <c r="AA1135" s="20"/>
      <c r="AB1135" s="20"/>
      <c r="AC1135" s="20"/>
      <c r="AD1135" s="20"/>
      <c r="AE1135" s="20"/>
    </row>
    <row r="1136">
      <c r="A1136" s="21">
        <v>28.0</v>
      </c>
      <c r="B1136" s="20" t="s">
        <v>2091</v>
      </c>
      <c r="C1136" s="20" t="s">
        <v>3094</v>
      </c>
      <c r="I1136" s="25" t="s">
        <v>2833</v>
      </c>
      <c r="J1136" s="25" t="s">
        <v>2487</v>
      </c>
      <c r="K1136" s="25" t="s">
        <v>71</v>
      </c>
      <c r="L1136" s="25" t="s">
        <v>3338</v>
      </c>
      <c r="M1136" s="20" t="s">
        <v>2834</v>
      </c>
      <c r="N1136" s="20" t="s">
        <v>2835</v>
      </c>
      <c r="O1136" s="20" t="s">
        <v>63</v>
      </c>
      <c r="P1136" s="20" t="s">
        <v>52</v>
      </c>
      <c r="Q1136" s="26"/>
      <c r="R1136" s="26"/>
      <c r="S1136" s="26"/>
      <c r="T1136" s="20"/>
      <c r="U1136" s="26"/>
      <c r="V1136" s="26"/>
      <c r="W1136" s="20"/>
      <c r="X1136" s="20"/>
      <c r="Y1136" s="20"/>
      <c r="Z1136" s="20"/>
      <c r="AA1136" s="20"/>
      <c r="AB1136" s="20"/>
      <c r="AC1136" s="20"/>
      <c r="AD1136" s="20"/>
      <c r="AE1136" s="20"/>
    </row>
    <row r="1137">
      <c r="A1137" s="21">
        <v>28.0</v>
      </c>
      <c r="B1137" s="20" t="s">
        <v>2091</v>
      </c>
      <c r="C1137" s="20" t="s">
        <v>3094</v>
      </c>
      <c r="I1137" s="25" t="s">
        <v>2008</v>
      </c>
      <c r="J1137" s="25" t="s">
        <v>2487</v>
      </c>
      <c r="K1137" s="25" t="s">
        <v>71</v>
      </c>
      <c r="L1137" s="25" t="s">
        <v>3356</v>
      </c>
      <c r="M1137" s="20" t="s">
        <v>61</v>
      </c>
      <c r="N1137" s="20" t="s">
        <v>2836</v>
      </c>
      <c r="O1137" s="20" t="s">
        <v>63</v>
      </c>
      <c r="P1137" s="20" t="s">
        <v>52</v>
      </c>
      <c r="Q1137" s="26"/>
      <c r="R1137" s="26"/>
      <c r="S1137" s="26"/>
      <c r="T1137" s="20"/>
      <c r="U1137" s="26"/>
      <c r="V1137" s="26"/>
      <c r="W1137" s="20"/>
      <c r="X1137" s="20"/>
      <c r="Y1137" s="20"/>
      <c r="Z1137" s="20"/>
      <c r="AA1137" s="20"/>
      <c r="AB1137" s="20"/>
      <c r="AC1137" s="20"/>
      <c r="AD1137" s="20"/>
      <c r="AE1137" s="20"/>
    </row>
    <row r="1138">
      <c r="A1138" s="21">
        <v>28.0</v>
      </c>
      <c r="B1138" s="20" t="s">
        <v>2091</v>
      </c>
      <c r="C1138" s="20" t="s">
        <v>3094</v>
      </c>
      <c r="I1138" s="25" t="s">
        <v>1225</v>
      </c>
      <c r="J1138" s="25" t="s">
        <v>2487</v>
      </c>
      <c r="K1138" s="25" t="s">
        <v>71</v>
      </c>
      <c r="L1138" s="25" t="s">
        <v>3338</v>
      </c>
      <c r="M1138" s="20" t="s">
        <v>2837</v>
      </c>
      <c r="N1138" s="20" t="s">
        <v>2838</v>
      </c>
      <c r="O1138" s="20" t="s">
        <v>63</v>
      </c>
      <c r="P1138" s="20" t="s">
        <v>52</v>
      </c>
      <c r="Q1138" s="26"/>
      <c r="R1138" s="26"/>
      <c r="S1138" s="26"/>
      <c r="T1138" s="20"/>
      <c r="U1138" s="26"/>
      <c r="V1138" s="26"/>
      <c r="W1138" s="20"/>
      <c r="X1138" s="20"/>
      <c r="Y1138" s="20"/>
      <c r="Z1138" s="20"/>
      <c r="AA1138" s="20"/>
      <c r="AB1138" s="20"/>
      <c r="AC1138" s="20"/>
      <c r="AD1138" s="20"/>
      <c r="AE1138" s="20"/>
    </row>
    <row r="1139">
      <c r="A1139" s="21">
        <v>28.0</v>
      </c>
      <c r="B1139" s="20" t="s">
        <v>2091</v>
      </c>
      <c r="C1139" s="20" t="s">
        <v>3094</v>
      </c>
      <c r="I1139" s="25" t="s">
        <v>2839</v>
      </c>
      <c r="J1139" s="25" t="s">
        <v>2487</v>
      </c>
      <c r="K1139" s="25" t="s">
        <v>71</v>
      </c>
      <c r="L1139" s="25" t="s">
        <v>3338</v>
      </c>
      <c r="M1139" s="20" t="s">
        <v>2840</v>
      </c>
      <c r="N1139" s="20" t="s">
        <v>2841</v>
      </c>
      <c r="O1139" s="20" t="s">
        <v>63</v>
      </c>
      <c r="P1139" s="20" t="s">
        <v>52</v>
      </c>
      <c r="Q1139" s="26"/>
      <c r="R1139" s="26"/>
      <c r="S1139" s="26"/>
      <c r="T1139" s="20"/>
      <c r="U1139" s="26"/>
      <c r="V1139" s="26"/>
      <c r="W1139" s="20"/>
      <c r="X1139" s="20"/>
      <c r="Y1139" s="20"/>
      <c r="Z1139" s="20"/>
      <c r="AA1139" s="20"/>
      <c r="AB1139" s="20"/>
      <c r="AC1139" s="20"/>
      <c r="AD1139" s="20"/>
      <c r="AE1139" s="20"/>
    </row>
    <row r="1140">
      <c r="A1140" s="21">
        <v>28.0</v>
      </c>
      <c r="B1140" s="20" t="s">
        <v>2091</v>
      </c>
      <c r="C1140" s="20" t="s">
        <v>3094</v>
      </c>
      <c r="I1140" s="25" t="s">
        <v>2962</v>
      </c>
      <c r="J1140" s="25" t="s">
        <v>2491</v>
      </c>
      <c r="K1140" s="25" t="s">
        <v>71</v>
      </c>
      <c r="L1140" s="25" t="s">
        <v>3338</v>
      </c>
      <c r="M1140" s="20" t="s">
        <v>2963</v>
      </c>
      <c r="N1140" s="20" t="s">
        <v>2964</v>
      </c>
      <c r="O1140" s="20" t="s">
        <v>63</v>
      </c>
      <c r="P1140" s="20" t="s">
        <v>52</v>
      </c>
      <c r="Q1140" s="26"/>
      <c r="R1140" s="26"/>
      <c r="S1140" s="26"/>
      <c r="T1140" s="20"/>
      <c r="U1140" s="26"/>
      <c r="V1140" s="26"/>
      <c r="W1140" s="20"/>
      <c r="X1140" s="20"/>
      <c r="Y1140" s="20"/>
      <c r="Z1140" s="20"/>
      <c r="AA1140" s="20"/>
      <c r="AB1140" s="20"/>
      <c r="AC1140" s="20"/>
      <c r="AD1140" s="20"/>
      <c r="AE1140" s="20"/>
    </row>
    <row r="1141">
      <c r="A1141" s="21">
        <v>28.0</v>
      </c>
      <c r="B1141" s="20" t="s">
        <v>2091</v>
      </c>
      <c r="C1141" s="20" t="s">
        <v>3094</v>
      </c>
      <c r="I1141" s="25" t="s">
        <v>2965</v>
      </c>
      <c r="J1141" s="25" t="s">
        <v>2491</v>
      </c>
      <c r="K1141" s="25" t="s">
        <v>71</v>
      </c>
      <c r="L1141" s="25" t="s">
        <v>3338</v>
      </c>
      <c r="M1141" s="20" t="s">
        <v>2966</v>
      </c>
      <c r="N1141" s="20" t="s">
        <v>2967</v>
      </c>
      <c r="O1141" s="20" t="s">
        <v>63</v>
      </c>
      <c r="P1141" s="20" t="s">
        <v>52</v>
      </c>
      <c r="Q1141" s="26"/>
      <c r="R1141" s="26"/>
      <c r="S1141" s="26"/>
      <c r="T1141" s="20"/>
      <c r="U1141" s="26"/>
      <c r="V1141" s="26"/>
      <c r="W1141" s="20"/>
      <c r="X1141" s="20"/>
      <c r="Y1141" s="20"/>
      <c r="Z1141" s="20"/>
      <c r="AA1141" s="20"/>
      <c r="AB1141" s="20"/>
      <c r="AC1141" s="20"/>
      <c r="AD1141" s="20"/>
      <c r="AE1141" s="20"/>
    </row>
    <row r="1142">
      <c r="A1142" s="21">
        <v>28.0</v>
      </c>
      <c r="B1142" s="20" t="s">
        <v>2091</v>
      </c>
      <c r="C1142" s="20" t="s">
        <v>3094</v>
      </c>
      <c r="I1142" s="25" t="s">
        <v>2842</v>
      </c>
      <c r="J1142" s="25" t="s">
        <v>2487</v>
      </c>
      <c r="K1142" s="25" t="s">
        <v>71</v>
      </c>
      <c r="L1142" s="25" t="s">
        <v>292</v>
      </c>
      <c r="M1142" s="20" t="s">
        <v>2843</v>
      </c>
      <c r="N1142" s="20" t="s">
        <v>2844</v>
      </c>
      <c r="O1142" s="20" t="s">
        <v>63</v>
      </c>
      <c r="P1142" s="20" t="s">
        <v>52</v>
      </c>
      <c r="Q1142" s="26"/>
      <c r="R1142" s="26"/>
      <c r="S1142" s="26"/>
      <c r="T1142" s="22"/>
      <c r="U1142" s="26"/>
      <c r="V1142" s="26"/>
      <c r="W1142" s="20"/>
      <c r="X1142" s="20"/>
      <c r="Y1142" s="20"/>
      <c r="Z1142" s="20"/>
      <c r="AA1142" s="20"/>
      <c r="AB1142" s="20"/>
      <c r="AC1142" s="20"/>
      <c r="AD1142" s="20"/>
      <c r="AE1142" s="20"/>
    </row>
    <row r="1143">
      <c r="A1143" s="21">
        <v>28.0</v>
      </c>
      <c r="B1143" s="20" t="s">
        <v>2091</v>
      </c>
      <c r="C1143" s="20" t="s">
        <v>3094</v>
      </c>
      <c r="I1143" s="25" t="s">
        <v>845</v>
      </c>
      <c r="J1143" s="25" t="s">
        <v>2487</v>
      </c>
      <c r="K1143" s="25" t="s">
        <v>71</v>
      </c>
      <c r="L1143" s="25" t="s">
        <v>292</v>
      </c>
      <c r="M1143" s="20" t="s">
        <v>2846</v>
      </c>
      <c r="N1143" s="20" t="s">
        <v>2847</v>
      </c>
      <c r="O1143" s="20" t="s">
        <v>63</v>
      </c>
      <c r="P1143" s="20" t="s">
        <v>52</v>
      </c>
      <c r="Q1143" s="26"/>
      <c r="R1143" s="26"/>
      <c r="S1143" s="26"/>
      <c r="T1143" s="22"/>
      <c r="U1143" s="26"/>
      <c r="V1143" s="26"/>
      <c r="W1143" s="20"/>
      <c r="X1143" s="20"/>
      <c r="Y1143" s="20"/>
      <c r="Z1143" s="20"/>
      <c r="AA1143" s="20"/>
      <c r="AB1143" s="20"/>
      <c r="AC1143" s="20"/>
      <c r="AD1143" s="20"/>
      <c r="AE1143" s="20"/>
    </row>
    <row r="1144">
      <c r="A1144" s="21">
        <v>28.0</v>
      </c>
      <c r="B1144" s="20" t="s">
        <v>2091</v>
      </c>
      <c r="C1144" s="20" t="s">
        <v>3094</v>
      </c>
      <c r="I1144" s="25" t="s">
        <v>334</v>
      </c>
      <c r="J1144" s="25" t="s">
        <v>2491</v>
      </c>
      <c r="K1144" s="25" t="s">
        <v>71</v>
      </c>
      <c r="L1144" s="25" t="s">
        <v>292</v>
      </c>
      <c r="M1144" s="20" t="s">
        <v>61</v>
      </c>
      <c r="N1144" s="20" t="s">
        <v>1007</v>
      </c>
      <c r="O1144" s="20" t="s">
        <v>63</v>
      </c>
      <c r="P1144" s="20" t="s">
        <v>52</v>
      </c>
      <c r="Q1144" s="26"/>
      <c r="R1144" s="26"/>
      <c r="S1144" s="26"/>
      <c r="T1144" s="22"/>
      <c r="U1144" s="26"/>
      <c r="V1144" s="26"/>
      <c r="W1144" s="20"/>
      <c r="X1144" s="20"/>
      <c r="Y1144" s="20"/>
      <c r="Z1144" s="20"/>
      <c r="AA1144" s="20"/>
      <c r="AB1144" s="20"/>
      <c r="AC1144" s="20"/>
      <c r="AD1144" s="20"/>
      <c r="AE1144" s="20"/>
    </row>
    <row r="1145">
      <c r="A1145" s="21">
        <v>28.0</v>
      </c>
      <c r="B1145" s="20" t="s">
        <v>2091</v>
      </c>
      <c r="C1145" s="20" t="s">
        <v>3094</v>
      </c>
      <c r="I1145" s="25" t="s">
        <v>2083</v>
      </c>
      <c r="J1145" s="25" t="s">
        <v>2491</v>
      </c>
      <c r="K1145" s="25" t="s">
        <v>71</v>
      </c>
      <c r="L1145" s="25" t="s">
        <v>292</v>
      </c>
      <c r="M1145" s="20" t="s">
        <v>2084</v>
      </c>
      <c r="N1145" s="20" t="s">
        <v>2085</v>
      </c>
      <c r="O1145" s="20" t="s">
        <v>63</v>
      </c>
      <c r="P1145" s="20" t="s">
        <v>52</v>
      </c>
      <c r="Q1145" s="26"/>
      <c r="R1145" s="26"/>
      <c r="S1145" s="26"/>
      <c r="T1145" s="22"/>
      <c r="U1145" s="26"/>
      <c r="V1145" s="26"/>
      <c r="W1145" s="20"/>
      <c r="X1145" s="20"/>
      <c r="Y1145" s="20"/>
      <c r="Z1145" s="20"/>
      <c r="AA1145" s="20"/>
      <c r="AB1145" s="20"/>
      <c r="AC1145" s="20"/>
      <c r="AD1145" s="20"/>
      <c r="AE1145" s="20"/>
    </row>
    <row r="1146">
      <c r="A1146" s="21">
        <v>28.0</v>
      </c>
      <c r="B1146" s="20" t="s">
        <v>2091</v>
      </c>
      <c r="C1146" s="20" t="s">
        <v>3094</v>
      </c>
      <c r="I1146" s="25" t="s">
        <v>582</v>
      </c>
      <c r="J1146" s="25" t="s">
        <v>2487</v>
      </c>
      <c r="K1146" s="25" t="s">
        <v>71</v>
      </c>
      <c r="L1146" s="25" t="s">
        <v>292</v>
      </c>
      <c r="M1146" s="20" t="s">
        <v>2849</v>
      </c>
      <c r="N1146" s="20" t="s">
        <v>2850</v>
      </c>
      <c r="O1146" s="20" t="s">
        <v>63</v>
      </c>
      <c r="P1146" s="20" t="s">
        <v>52</v>
      </c>
      <c r="Q1146" s="26"/>
      <c r="R1146" s="26"/>
      <c r="S1146" s="26"/>
      <c r="T1146" s="22"/>
      <c r="U1146" s="26"/>
      <c r="V1146" s="26"/>
      <c r="W1146" s="20"/>
      <c r="X1146" s="20"/>
      <c r="Y1146" s="20"/>
      <c r="Z1146" s="20"/>
      <c r="AA1146" s="20"/>
      <c r="AB1146" s="20"/>
      <c r="AC1146" s="20"/>
      <c r="AD1146" s="20"/>
      <c r="AE1146" s="20"/>
    </row>
    <row r="1147">
      <c r="A1147" s="21">
        <v>28.0</v>
      </c>
      <c r="B1147" s="20" t="s">
        <v>2091</v>
      </c>
      <c r="C1147" s="20" t="s">
        <v>3094</v>
      </c>
      <c r="I1147" s="25" t="s">
        <v>2851</v>
      </c>
      <c r="J1147" s="25" t="s">
        <v>2487</v>
      </c>
      <c r="K1147" s="25" t="s">
        <v>71</v>
      </c>
      <c r="L1147" s="25" t="s">
        <v>3338</v>
      </c>
      <c r="M1147" s="20" t="s">
        <v>2852</v>
      </c>
      <c r="N1147" s="20" t="s">
        <v>2853</v>
      </c>
      <c r="O1147" s="20" t="s">
        <v>63</v>
      </c>
      <c r="P1147" s="20" t="s">
        <v>52</v>
      </c>
      <c r="Q1147" s="26"/>
      <c r="R1147" s="26"/>
      <c r="S1147" s="26"/>
      <c r="T1147" s="20"/>
      <c r="U1147" s="26"/>
      <c r="V1147" s="26"/>
      <c r="W1147" s="20"/>
      <c r="X1147" s="20"/>
      <c r="Y1147" s="20"/>
      <c r="Z1147" s="20"/>
      <c r="AA1147" s="20"/>
      <c r="AB1147" s="20"/>
      <c r="AC1147" s="20"/>
      <c r="AD1147" s="20"/>
      <c r="AE1147" s="20"/>
    </row>
    <row r="1148">
      <c r="A1148" s="21">
        <v>28.0</v>
      </c>
      <c r="B1148" s="20" t="s">
        <v>2091</v>
      </c>
      <c r="C1148" s="20" t="s">
        <v>3094</v>
      </c>
      <c r="I1148" s="25" t="s">
        <v>1240</v>
      </c>
      <c r="J1148" s="25" t="s">
        <v>2487</v>
      </c>
      <c r="K1148" s="25" t="s">
        <v>71</v>
      </c>
      <c r="L1148" s="25" t="s">
        <v>3338</v>
      </c>
      <c r="M1148" s="20" t="s">
        <v>2854</v>
      </c>
      <c r="N1148" s="20" t="s">
        <v>2855</v>
      </c>
      <c r="O1148" s="20" t="s">
        <v>63</v>
      </c>
      <c r="P1148" s="20" t="s">
        <v>52</v>
      </c>
      <c r="Q1148" s="26"/>
      <c r="R1148" s="26"/>
      <c r="S1148" s="26"/>
      <c r="T1148" s="20"/>
      <c r="U1148" s="26"/>
      <c r="V1148" s="26"/>
      <c r="W1148" s="20"/>
      <c r="X1148" s="20"/>
      <c r="Y1148" s="20"/>
      <c r="Z1148" s="20"/>
      <c r="AA1148" s="20"/>
      <c r="AB1148" s="20"/>
      <c r="AC1148" s="20"/>
      <c r="AD1148" s="20"/>
      <c r="AE1148" s="20"/>
    </row>
    <row r="1149">
      <c r="A1149" s="21">
        <v>28.0</v>
      </c>
      <c r="B1149" s="20" t="s">
        <v>2091</v>
      </c>
      <c r="C1149" s="20" t="s">
        <v>3094</v>
      </c>
      <c r="I1149" s="25" t="s">
        <v>2856</v>
      </c>
      <c r="J1149" s="25" t="s">
        <v>2487</v>
      </c>
      <c r="K1149" s="25" t="s">
        <v>71</v>
      </c>
      <c r="L1149" s="25" t="s">
        <v>292</v>
      </c>
      <c r="M1149" s="20" t="s">
        <v>2857</v>
      </c>
      <c r="N1149" s="20" t="s">
        <v>2858</v>
      </c>
      <c r="O1149" s="20" t="s">
        <v>63</v>
      </c>
      <c r="P1149" s="20" t="s">
        <v>52</v>
      </c>
      <c r="Q1149" s="26"/>
      <c r="R1149" s="26"/>
      <c r="S1149" s="26"/>
      <c r="T1149" s="22"/>
      <c r="U1149" s="26"/>
      <c r="V1149" s="26"/>
      <c r="W1149" s="20"/>
      <c r="X1149" s="20"/>
      <c r="Y1149" s="20"/>
      <c r="Z1149" s="20"/>
      <c r="AA1149" s="20"/>
      <c r="AB1149" s="20"/>
      <c r="AC1149" s="20"/>
      <c r="AD1149" s="20"/>
      <c r="AE1149" s="20"/>
    </row>
    <row r="1150">
      <c r="A1150" s="21">
        <v>28.0</v>
      </c>
      <c r="B1150" s="20" t="s">
        <v>2091</v>
      </c>
      <c r="C1150" s="20" t="s">
        <v>3094</v>
      </c>
      <c r="I1150" s="25" t="s">
        <v>2479</v>
      </c>
      <c r="J1150" s="25" t="s">
        <v>2487</v>
      </c>
      <c r="K1150" s="25" t="s">
        <v>71</v>
      </c>
      <c r="L1150" s="25" t="s">
        <v>3338</v>
      </c>
      <c r="M1150" s="20" t="s">
        <v>2859</v>
      </c>
      <c r="N1150" s="20" t="s">
        <v>2860</v>
      </c>
      <c r="O1150" s="20" t="s">
        <v>63</v>
      </c>
      <c r="P1150" s="20" t="s">
        <v>52</v>
      </c>
      <c r="Q1150" s="26"/>
      <c r="R1150" s="26"/>
      <c r="S1150" s="26"/>
      <c r="T1150" s="20"/>
      <c r="U1150" s="26"/>
      <c r="V1150" s="26"/>
      <c r="W1150" s="20"/>
      <c r="X1150" s="20"/>
      <c r="Y1150" s="20"/>
      <c r="Z1150" s="20"/>
      <c r="AA1150" s="20"/>
      <c r="AB1150" s="20"/>
      <c r="AC1150" s="20"/>
      <c r="AD1150" s="20"/>
      <c r="AE1150" s="20"/>
    </row>
    <row r="1151">
      <c r="A1151" s="21">
        <v>28.0</v>
      </c>
      <c r="B1151" s="20" t="s">
        <v>2091</v>
      </c>
      <c r="C1151" s="20" t="s">
        <v>3094</v>
      </c>
      <c r="I1151" s="25" t="s">
        <v>1631</v>
      </c>
      <c r="J1151" s="25" t="s">
        <v>2487</v>
      </c>
      <c r="K1151" s="25" t="s">
        <v>71</v>
      </c>
      <c r="L1151" s="25" t="s">
        <v>292</v>
      </c>
      <c r="M1151" s="20" t="s">
        <v>2861</v>
      </c>
      <c r="N1151" s="20" t="s">
        <v>2862</v>
      </c>
      <c r="O1151" s="20" t="s">
        <v>63</v>
      </c>
      <c r="P1151" s="20" t="s">
        <v>52</v>
      </c>
      <c r="Q1151" s="26"/>
      <c r="R1151" s="26"/>
      <c r="S1151" s="26"/>
      <c r="T1151" s="22"/>
      <c r="U1151" s="26"/>
      <c r="V1151" s="26"/>
      <c r="W1151" s="20"/>
      <c r="X1151" s="20"/>
      <c r="Y1151" s="20"/>
      <c r="Z1151" s="20"/>
      <c r="AA1151" s="20"/>
      <c r="AB1151" s="20"/>
      <c r="AC1151" s="20"/>
      <c r="AD1151" s="20"/>
      <c r="AE1151" s="20"/>
    </row>
    <row r="1152">
      <c r="A1152" s="21">
        <v>28.0</v>
      </c>
      <c r="B1152" s="20" t="s">
        <v>2091</v>
      </c>
      <c r="C1152" s="20" t="s">
        <v>3094</v>
      </c>
      <c r="I1152" s="25" t="s">
        <v>1244</v>
      </c>
      <c r="J1152" s="25" t="s">
        <v>2491</v>
      </c>
      <c r="K1152" s="25" t="s">
        <v>71</v>
      </c>
      <c r="L1152" s="25" t="s">
        <v>3338</v>
      </c>
      <c r="M1152" s="20" t="s">
        <v>2968</v>
      </c>
      <c r="N1152" s="20" t="s">
        <v>2969</v>
      </c>
      <c r="O1152" s="20" t="s">
        <v>63</v>
      </c>
      <c r="P1152" s="20" t="s">
        <v>52</v>
      </c>
      <c r="Q1152" s="26"/>
      <c r="R1152" s="26"/>
      <c r="S1152" s="26"/>
      <c r="T1152" s="20"/>
      <c r="U1152" s="26"/>
      <c r="V1152" s="26"/>
      <c r="W1152" s="20"/>
      <c r="X1152" s="20"/>
      <c r="Y1152" s="20"/>
      <c r="Z1152" s="20"/>
      <c r="AA1152" s="20"/>
      <c r="AB1152" s="20"/>
      <c r="AC1152" s="20"/>
      <c r="AD1152" s="20"/>
      <c r="AE1152" s="20"/>
    </row>
    <row r="1153">
      <c r="A1153" s="21">
        <v>28.0</v>
      </c>
      <c r="B1153" s="20" t="s">
        <v>2091</v>
      </c>
      <c r="C1153" s="20" t="s">
        <v>3094</v>
      </c>
      <c r="I1153" s="25" t="s">
        <v>2000</v>
      </c>
      <c r="J1153" s="25" t="s">
        <v>2487</v>
      </c>
      <c r="K1153" s="25" t="s">
        <v>71</v>
      </c>
      <c r="L1153" s="25" t="s">
        <v>3338</v>
      </c>
      <c r="M1153" s="20" t="s">
        <v>2001</v>
      </c>
      <c r="N1153" s="20" t="s">
        <v>2002</v>
      </c>
      <c r="O1153" s="20" t="s">
        <v>63</v>
      </c>
      <c r="P1153" s="20" t="s">
        <v>52</v>
      </c>
      <c r="Q1153" s="26"/>
      <c r="R1153" s="26"/>
      <c r="S1153" s="26"/>
      <c r="T1153" s="20"/>
      <c r="U1153" s="26"/>
      <c r="V1153" s="26"/>
      <c r="W1153" s="20"/>
      <c r="X1153" s="20"/>
      <c r="Y1153" s="20"/>
      <c r="Z1153" s="20"/>
      <c r="AA1153" s="20"/>
      <c r="AB1153" s="20"/>
      <c r="AC1153" s="20"/>
      <c r="AD1153" s="20"/>
      <c r="AE1153" s="20"/>
    </row>
    <row r="1154">
      <c r="A1154" s="21">
        <v>28.0</v>
      </c>
      <c r="B1154" s="20" t="s">
        <v>2091</v>
      </c>
      <c r="C1154" s="20" t="s">
        <v>3094</v>
      </c>
      <c r="I1154" s="25" t="s">
        <v>2385</v>
      </c>
      <c r="J1154" s="25" t="s">
        <v>2487</v>
      </c>
      <c r="K1154" s="25" t="s">
        <v>71</v>
      </c>
      <c r="L1154" s="25" t="s">
        <v>292</v>
      </c>
      <c r="M1154" s="20" t="s">
        <v>2866</v>
      </c>
      <c r="N1154" s="20" t="s">
        <v>2867</v>
      </c>
      <c r="O1154" s="20" t="s">
        <v>63</v>
      </c>
      <c r="P1154" s="20" t="s">
        <v>52</v>
      </c>
      <c r="Q1154" s="26"/>
      <c r="R1154" s="26"/>
      <c r="S1154" s="26"/>
      <c r="T1154" s="22"/>
      <c r="U1154" s="26"/>
      <c r="V1154" s="26"/>
      <c r="W1154" s="20"/>
      <c r="X1154" s="20"/>
      <c r="Y1154" s="20"/>
      <c r="Z1154" s="20"/>
      <c r="AA1154" s="20"/>
      <c r="AB1154" s="20"/>
      <c r="AC1154" s="20"/>
      <c r="AD1154" s="20"/>
      <c r="AE1154" s="20"/>
    </row>
    <row r="1155">
      <c r="A1155" s="21">
        <v>28.0</v>
      </c>
      <c r="B1155" s="20" t="s">
        <v>2091</v>
      </c>
      <c r="C1155" s="20" t="s">
        <v>3094</v>
      </c>
      <c r="I1155" s="25" t="s">
        <v>265</v>
      </c>
      <c r="J1155" s="25" t="s">
        <v>2491</v>
      </c>
      <c r="K1155" s="25" t="s">
        <v>71</v>
      </c>
      <c r="L1155" s="25" t="s">
        <v>292</v>
      </c>
      <c r="M1155" s="20" t="s">
        <v>266</v>
      </c>
      <c r="N1155" s="20" t="s">
        <v>2970</v>
      </c>
      <c r="O1155" s="20" t="s">
        <v>63</v>
      </c>
      <c r="P1155" s="20" t="s">
        <v>52</v>
      </c>
      <c r="Q1155" s="26"/>
      <c r="R1155" s="26"/>
      <c r="S1155" s="26"/>
      <c r="T1155" s="22"/>
      <c r="U1155" s="26"/>
      <c r="V1155" s="26"/>
      <c r="W1155" s="20"/>
      <c r="X1155" s="20"/>
      <c r="Y1155" s="20"/>
      <c r="Z1155" s="20"/>
      <c r="AA1155" s="20"/>
      <c r="AB1155" s="20"/>
      <c r="AC1155" s="20"/>
      <c r="AD1155" s="20"/>
      <c r="AE1155" s="20"/>
    </row>
    <row r="1156">
      <c r="A1156" s="21">
        <v>28.0</v>
      </c>
      <c r="B1156" s="20" t="s">
        <v>2091</v>
      </c>
      <c r="C1156" s="20" t="s">
        <v>3094</v>
      </c>
      <c r="I1156" s="25" t="s">
        <v>1969</v>
      </c>
      <c r="J1156" s="25" t="s">
        <v>2487</v>
      </c>
      <c r="K1156" s="25" t="s">
        <v>71</v>
      </c>
      <c r="L1156" s="25" t="s">
        <v>3338</v>
      </c>
      <c r="M1156" s="20" t="s">
        <v>61</v>
      </c>
      <c r="N1156" s="20" t="s">
        <v>2869</v>
      </c>
      <c r="O1156" s="20" t="s">
        <v>63</v>
      </c>
      <c r="P1156" s="20" t="s">
        <v>52</v>
      </c>
      <c r="Q1156" s="26"/>
      <c r="R1156" s="26"/>
      <c r="S1156" s="26"/>
      <c r="T1156" s="20"/>
      <c r="U1156" s="26"/>
      <c r="V1156" s="26"/>
      <c r="W1156" s="20"/>
      <c r="X1156" s="20"/>
      <c r="Y1156" s="20"/>
      <c r="Z1156" s="20"/>
      <c r="AA1156" s="20"/>
      <c r="AB1156" s="20"/>
      <c r="AC1156" s="20"/>
      <c r="AD1156" s="20"/>
      <c r="AE1156" s="20"/>
    </row>
    <row r="1157">
      <c r="A1157" s="21">
        <v>28.0</v>
      </c>
      <c r="B1157" s="20" t="s">
        <v>2091</v>
      </c>
      <c r="C1157" s="20" t="s">
        <v>3094</v>
      </c>
      <c r="I1157" s="25" t="s">
        <v>2006</v>
      </c>
      <c r="J1157" s="25" t="s">
        <v>2491</v>
      </c>
      <c r="K1157" s="25" t="s">
        <v>71</v>
      </c>
      <c r="L1157" s="25" t="s">
        <v>3338</v>
      </c>
      <c r="M1157" s="20" t="s">
        <v>2971</v>
      </c>
      <c r="N1157" s="20" t="s">
        <v>2900</v>
      </c>
      <c r="O1157" s="20" t="s">
        <v>63</v>
      </c>
      <c r="P1157" s="20" t="s">
        <v>52</v>
      </c>
      <c r="Q1157" s="26"/>
      <c r="R1157" s="26"/>
      <c r="S1157" s="26"/>
      <c r="T1157" s="20"/>
      <c r="U1157" s="26"/>
      <c r="V1157" s="26"/>
      <c r="W1157" s="20"/>
      <c r="X1157" s="20"/>
      <c r="Y1157" s="20"/>
      <c r="Z1157" s="20"/>
      <c r="AA1157" s="20"/>
      <c r="AB1157" s="20"/>
      <c r="AC1157" s="20"/>
      <c r="AD1157" s="20"/>
      <c r="AE1157" s="20"/>
    </row>
    <row r="1158">
      <c r="A1158" s="21">
        <v>28.0</v>
      </c>
      <c r="B1158" s="20" t="s">
        <v>2091</v>
      </c>
      <c r="C1158" s="20" t="s">
        <v>3094</v>
      </c>
      <c r="I1158" s="25" t="s">
        <v>2870</v>
      </c>
      <c r="J1158" s="25" t="s">
        <v>2487</v>
      </c>
      <c r="K1158" s="25" t="s">
        <v>71</v>
      </c>
      <c r="L1158" s="25" t="s">
        <v>292</v>
      </c>
      <c r="M1158" s="20" t="s">
        <v>2871</v>
      </c>
      <c r="N1158" s="20" t="s">
        <v>2872</v>
      </c>
      <c r="O1158" s="20" t="s">
        <v>63</v>
      </c>
      <c r="P1158" s="20" t="s">
        <v>52</v>
      </c>
      <c r="Q1158" s="26"/>
      <c r="R1158" s="26"/>
      <c r="S1158" s="26"/>
      <c r="T1158" s="22"/>
      <c r="U1158" s="26"/>
      <c r="V1158" s="26"/>
      <c r="W1158" s="20"/>
      <c r="X1158" s="20"/>
      <c r="Y1158" s="20"/>
      <c r="Z1158" s="20"/>
      <c r="AA1158" s="20"/>
      <c r="AB1158" s="20"/>
      <c r="AC1158" s="20"/>
      <c r="AD1158" s="20"/>
      <c r="AE1158" s="20"/>
    </row>
    <row r="1159">
      <c r="A1159" s="21">
        <v>28.0</v>
      </c>
      <c r="B1159" s="20" t="s">
        <v>2091</v>
      </c>
      <c r="C1159" s="20" t="s">
        <v>3094</v>
      </c>
      <c r="I1159" s="25" t="s">
        <v>1530</v>
      </c>
      <c r="J1159" s="25" t="s">
        <v>2487</v>
      </c>
      <c r="K1159" s="25" t="s">
        <v>71</v>
      </c>
      <c r="L1159" s="25" t="s">
        <v>292</v>
      </c>
      <c r="M1159" s="20" t="s">
        <v>1531</v>
      </c>
      <c r="N1159" s="20" t="s">
        <v>2873</v>
      </c>
      <c r="O1159" s="20" t="s">
        <v>63</v>
      </c>
      <c r="P1159" s="20" t="s">
        <v>52</v>
      </c>
      <c r="Q1159" s="26"/>
      <c r="R1159" s="26"/>
      <c r="S1159" s="26"/>
      <c r="T1159" s="22"/>
      <c r="U1159" s="26"/>
      <c r="V1159" s="26"/>
      <c r="W1159" s="20"/>
      <c r="X1159" s="20"/>
      <c r="Y1159" s="20"/>
      <c r="Z1159" s="20"/>
      <c r="AA1159" s="20"/>
      <c r="AB1159" s="20"/>
      <c r="AC1159" s="20"/>
      <c r="AD1159" s="20"/>
      <c r="AE1159" s="20"/>
    </row>
    <row r="1160">
      <c r="A1160" s="21">
        <v>28.0</v>
      </c>
      <c r="B1160" s="20" t="s">
        <v>2091</v>
      </c>
      <c r="C1160" s="20" t="s">
        <v>3094</v>
      </c>
      <c r="I1160" s="25" t="s">
        <v>2461</v>
      </c>
      <c r="J1160" s="25" t="s">
        <v>2972</v>
      </c>
      <c r="K1160" s="25" t="s">
        <v>71</v>
      </c>
      <c r="L1160" s="25" t="s">
        <v>3338</v>
      </c>
      <c r="M1160" s="20" t="s">
        <v>61</v>
      </c>
      <c r="N1160" s="20" t="s">
        <v>2982</v>
      </c>
      <c r="O1160" s="20" t="s">
        <v>63</v>
      </c>
      <c r="P1160" s="20" t="s">
        <v>52</v>
      </c>
      <c r="Q1160" s="26"/>
      <c r="R1160" s="26"/>
      <c r="S1160" s="26"/>
      <c r="T1160" s="20"/>
      <c r="U1160" s="26"/>
      <c r="V1160" s="26"/>
      <c r="W1160" s="20"/>
      <c r="X1160" s="20"/>
      <c r="Y1160" s="20"/>
      <c r="Z1160" s="20"/>
      <c r="AA1160" s="20"/>
      <c r="AB1160" s="20"/>
      <c r="AC1160" s="20"/>
      <c r="AD1160" s="20"/>
      <c r="AE1160" s="20"/>
    </row>
    <row r="1161">
      <c r="A1161" s="21">
        <v>28.0</v>
      </c>
      <c r="B1161" s="20" t="s">
        <v>2091</v>
      </c>
      <c r="C1161" s="20" t="s">
        <v>3094</v>
      </c>
      <c r="I1161" s="25" t="s">
        <v>2874</v>
      </c>
      <c r="J1161" s="25" t="s">
        <v>2487</v>
      </c>
      <c r="K1161" s="25" t="s">
        <v>71</v>
      </c>
      <c r="L1161" s="25" t="s">
        <v>3338</v>
      </c>
      <c r="M1161" s="20" t="s">
        <v>2875</v>
      </c>
      <c r="N1161" s="20" t="s">
        <v>2876</v>
      </c>
      <c r="O1161" s="20" t="s">
        <v>63</v>
      </c>
      <c r="P1161" s="20" t="s">
        <v>52</v>
      </c>
      <c r="Q1161" s="26"/>
      <c r="R1161" s="26"/>
      <c r="S1161" s="26"/>
      <c r="T1161" s="20"/>
      <c r="U1161" s="26"/>
      <c r="V1161" s="26"/>
      <c r="W1161" s="20"/>
      <c r="X1161" s="20"/>
      <c r="Y1161" s="20"/>
      <c r="Z1161" s="20"/>
      <c r="AA1161" s="20"/>
      <c r="AB1161" s="20"/>
      <c r="AC1161" s="20"/>
      <c r="AD1161" s="20"/>
      <c r="AE1161" s="20"/>
    </row>
    <row r="1162">
      <c r="A1162" s="21">
        <v>29.0</v>
      </c>
      <c r="B1162" s="20" t="s">
        <v>2570</v>
      </c>
      <c r="C1162" s="20" t="s">
        <v>3094</v>
      </c>
      <c r="D1162" s="35">
        <v>50.0</v>
      </c>
      <c r="E1162" s="35">
        <v>3.0</v>
      </c>
      <c r="F1162" s="35">
        <v>1.0</v>
      </c>
      <c r="G1162" s="35">
        <v>46.0</v>
      </c>
      <c r="H1162" s="36" t="s">
        <v>3399</v>
      </c>
      <c r="I1162" s="25" t="s">
        <v>2417</v>
      </c>
      <c r="J1162" s="25" t="s">
        <v>2984</v>
      </c>
      <c r="K1162" s="25" t="s">
        <v>57</v>
      </c>
      <c r="L1162" s="25" t="s">
        <v>3401</v>
      </c>
      <c r="M1162" s="20" t="s">
        <v>61</v>
      </c>
      <c r="N1162" s="20" t="s">
        <v>2985</v>
      </c>
      <c r="O1162" s="20" t="s">
        <v>56</v>
      </c>
      <c r="P1162" s="20"/>
      <c r="Q1162" s="26"/>
      <c r="R1162" s="26"/>
      <c r="S1162" s="26"/>
      <c r="T1162" s="20"/>
      <c r="U1162" s="26"/>
      <c r="V1162" s="26"/>
      <c r="W1162" s="20"/>
      <c r="X1162" s="20"/>
      <c r="Y1162" s="20"/>
      <c r="Z1162" s="20"/>
      <c r="AA1162" s="20"/>
      <c r="AB1162" s="20"/>
      <c r="AC1162" s="20"/>
      <c r="AD1162" s="20"/>
      <c r="AE1162" s="20"/>
    </row>
    <row r="1163">
      <c r="A1163" s="21">
        <v>29.0</v>
      </c>
      <c r="B1163" s="20" t="s">
        <v>2570</v>
      </c>
      <c r="C1163" s="20" t="s">
        <v>3094</v>
      </c>
      <c r="I1163" s="25" t="s">
        <v>2987</v>
      </c>
      <c r="J1163" s="25" t="s">
        <v>2984</v>
      </c>
      <c r="K1163" s="25" t="s">
        <v>57</v>
      </c>
      <c r="L1163" s="25" t="s">
        <v>3403</v>
      </c>
      <c r="M1163" s="20" t="s">
        <v>2988</v>
      </c>
      <c r="N1163" s="20" t="s">
        <v>2989</v>
      </c>
      <c r="O1163" s="20" t="s">
        <v>63</v>
      </c>
      <c r="P1163" s="20"/>
      <c r="Q1163" s="26"/>
      <c r="R1163" s="26"/>
      <c r="S1163" s="26"/>
      <c r="T1163" s="20"/>
      <c r="U1163" s="26"/>
      <c r="V1163" s="26"/>
      <c r="W1163" s="20"/>
      <c r="X1163" s="20"/>
      <c r="Y1163" s="20"/>
      <c r="Z1163" s="20"/>
      <c r="AA1163" s="20"/>
      <c r="AB1163" s="20"/>
      <c r="AC1163" s="20"/>
      <c r="AD1163" s="20"/>
      <c r="AE1163" s="20"/>
    </row>
    <row r="1164">
      <c r="A1164" s="21">
        <v>29.0</v>
      </c>
      <c r="B1164" s="20" t="s">
        <v>2570</v>
      </c>
      <c r="C1164" s="20" t="s">
        <v>3094</v>
      </c>
      <c r="I1164" s="25" t="s">
        <v>2990</v>
      </c>
      <c r="J1164" s="25" t="s">
        <v>2984</v>
      </c>
      <c r="K1164" s="25" t="s">
        <v>57</v>
      </c>
      <c r="L1164" s="25" t="s">
        <v>3407</v>
      </c>
      <c r="M1164" s="20" t="s">
        <v>61</v>
      </c>
      <c r="N1164" s="20" t="s">
        <v>2991</v>
      </c>
      <c r="O1164" s="20" t="s">
        <v>63</v>
      </c>
      <c r="P1164" s="20"/>
      <c r="Q1164" s="26"/>
      <c r="R1164" s="26"/>
      <c r="S1164" s="26"/>
      <c r="T1164" s="20"/>
      <c r="U1164" s="26"/>
      <c r="V1164" s="26"/>
      <c r="W1164" s="20"/>
      <c r="X1164" s="20"/>
      <c r="Y1164" s="20"/>
      <c r="Z1164" s="20"/>
      <c r="AA1164" s="20"/>
      <c r="AB1164" s="20"/>
      <c r="AC1164" s="20"/>
      <c r="AD1164" s="20"/>
      <c r="AE1164" s="20"/>
    </row>
    <row r="1165">
      <c r="A1165" s="21">
        <v>29.0</v>
      </c>
      <c r="B1165" s="20" t="s">
        <v>2570</v>
      </c>
      <c r="C1165" s="20" t="s">
        <v>3094</v>
      </c>
      <c r="I1165" s="25" t="s">
        <v>2359</v>
      </c>
      <c r="J1165" s="25" t="s">
        <v>2984</v>
      </c>
      <c r="K1165" s="25" t="s">
        <v>67</v>
      </c>
      <c r="L1165" s="25" t="s">
        <v>1133</v>
      </c>
      <c r="M1165" s="20" t="s">
        <v>2360</v>
      </c>
      <c r="N1165" s="20" t="s">
        <v>2992</v>
      </c>
      <c r="O1165" s="20" t="s">
        <v>56</v>
      </c>
      <c r="P1165" s="20" t="s">
        <v>52</v>
      </c>
      <c r="Q1165" s="26"/>
      <c r="R1165" s="26"/>
      <c r="S1165" s="26"/>
      <c r="T1165" s="22"/>
      <c r="U1165" s="26"/>
      <c r="V1165" s="26"/>
      <c r="W1165" s="20"/>
      <c r="X1165" s="20"/>
      <c r="Y1165" s="20"/>
      <c r="Z1165" s="20"/>
      <c r="AA1165" s="20"/>
      <c r="AB1165" s="20"/>
      <c r="AC1165" s="20"/>
      <c r="AD1165" s="20"/>
      <c r="AE1165" s="20"/>
    </row>
    <row r="1166">
      <c r="A1166" s="21">
        <v>29.0</v>
      </c>
      <c r="B1166" s="20" t="s">
        <v>2570</v>
      </c>
      <c r="C1166" s="20" t="s">
        <v>3094</v>
      </c>
      <c r="I1166" s="25" t="s">
        <v>2520</v>
      </c>
      <c r="J1166" s="25" t="s">
        <v>2984</v>
      </c>
      <c r="K1166" s="25" t="s">
        <v>71</v>
      </c>
      <c r="L1166" s="25" t="s">
        <v>226</v>
      </c>
      <c r="M1166" s="20" t="s">
        <v>2997</v>
      </c>
      <c r="N1166" s="20" t="s">
        <v>2998</v>
      </c>
      <c r="O1166" s="20" t="s">
        <v>63</v>
      </c>
      <c r="P1166" s="20" t="s">
        <v>52</v>
      </c>
      <c r="Q1166" s="26"/>
      <c r="R1166" s="26"/>
      <c r="S1166" s="26"/>
      <c r="T1166" s="22"/>
      <c r="U1166" s="26"/>
      <c r="V1166" s="26"/>
      <c r="W1166" s="20"/>
      <c r="X1166" s="20"/>
      <c r="Y1166" s="20"/>
      <c r="Z1166" s="20"/>
      <c r="AA1166" s="20"/>
      <c r="AB1166" s="20"/>
      <c r="AC1166" s="20"/>
      <c r="AD1166" s="20"/>
      <c r="AE1166" s="20"/>
    </row>
    <row r="1167">
      <c r="A1167" s="21">
        <v>29.0</v>
      </c>
      <c r="B1167" s="20" t="s">
        <v>2570</v>
      </c>
      <c r="C1167" s="20" t="s">
        <v>3094</v>
      </c>
      <c r="I1167" s="25" t="s">
        <v>150</v>
      </c>
      <c r="J1167" s="25" t="s">
        <v>2984</v>
      </c>
      <c r="K1167" s="25" t="s">
        <v>71</v>
      </c>
      <c r="L1167" s="25" t="s">
        <v>292</v>
      </c>
      <c r="M1167" s="20" t="s">
        <v>3000</v>
      </c>
      <c r="N1167" s="20" t="s">
        <v>3001</v>
      </c>
      <c r="O1167" s="20" t="s">
        <v>63</v>
      </c>
      <c r="P1167" s="20" t="s">
        <v>52</v>
      </c>
      <c r="Q1167" s="26"/>
      <c r="R1167" s="26"/>
      <c r="S1167" s="26"/>
      <c r="T1167" s="22"/>
      <c r="U1167" s="26"/>
      <c r="V1167" s="26"/>
      <c r="W1167" s="20"/>
      <c r="X1167" s="20"/>
      <c r="Y1167" s="20"/>
      <c r="Z1167" s="20"/>
      <c r="AA1167" s="20"/>
      <c r="AB1167" s="20"/>
      <c r="AC1167" s="20"/>
      <c r="AD1167" s="20"/>
      <c r="AE1167" s="20"/>
    </row>
    <row r="1168">
      <c r="A1168" s="21">
        <v>29.0</v>
      </c>
      <c r="B1168" s="20" t="s">
        <v>2570</v>
      </c>
      <c r="C1168" s="20" t="s">
        <v>3094</v>
      </c>
      <c r="I1168" s="25" t="s">
        <v>953</v>
      </c>
      <c r="J1168" s="25" t="s">
        <v>2984</v>
      </c>
      <c r="K1168" s="25" t="s">
        <v>71</v>
      </c>
      <c r="L1168" s="25" t="s">
        <v>3419</v>
      </c>
      <c r="M1168" s="20" t="s">
        <v>3002</v>
      </c>
      <c r="N1168" s="20" t="s">
        <v>3003</v>
      </c>
      <c r="O1168" s="20" t="s">
        <v>63</v>
      </c>
      <c r="P1168" s="20"/>
      <c r="Q1168" s="26"/>
      <c r="R1168" s="26"/>
      <c r="S1168" s="26"/>
      <c r="T1168" s="20"/>
      <c r="U1168" s="26"/>
      <c r="V1168" s="26"/>
      <c r="W1168" s="20"/>
      <c r="X1168" s="20"/>
      <c r="Y1168" s="20"/>
      <c r="Z1168" s="20"/>
      <c r="AA1168" s="20"/>
      <c r="AB1168" s="20"/>
      <c r="AC1168" s="20"/>
      <c r="AD1168" s="20"/>
      <c r="AE1168" s="20"/>
    </row>
    <row r="1169">
      <c r="A1169" s="21">
        <v>29.0</v>
      </c>
      <c r="B1169" s="20" t="s">
        <v>2570</v>
      </c>
      <c r="C1169" s="20" t="s">
        <v>3094</v>
      </c>
      <c r="I1169" s="25" t="s">
        <v>2690</v>
      </c>
      <c r="J1169" s="25" t="s">
        <v>2984</v>
      </c>
      <c r="K1169" s="25" t="s">
        <v>71</v>
      </c>
      <c r="L1169" s="25" t="s">
        <v>292</v>
      </c>
      <c r="M1169" s="20" t="s">
        <v>2691</v>
      </c>
      <c r="N1169" s="20" t="s">
        <v>3004</v>
      </c>
      <c r="O1169" s="20" t="s">
        <v>63</v>
      </c>
      <c r="P1169" s="20" t="s">
        <v>52</v>
      </c>
      <c r="Q1169" s="26"/>
      <c r="R1169" s="26"/>
      <c r="S1169" s="26"/>
      <c r="T1169" s="22"/>
      <c r="U1169" s="26"/>
      <c r="V1169" s="26"/>
      <c r="W1169" s="20"/>
      <c r="X1169" s="20"/>
      <c r="Y1169" s="20"/>
      <c r="Z1169" s="20"/>
      <c r="AA1169" s="20"/>
      <c r="AB1169" s="20"/>
      <c r="AC1169" s="20"/>
      <c r="AD1169" s="20"/>
      <c r="AE1169" s="20"/>
    </row>
    <row r="1170">
      <c r="A1170" s="21">
        <v>29.0</v>
      </c>
      <c r="B1170" s="20" t="s">
        <v>2570</v>
      </c>
      <c r="C1170" s="20" t="s">
        <v>3094</v>
      </c>
      <c r="I1170" s="25" t="s">
        <v>2953</v>
      </c>
      <c r="J1170" s="25" t="s">
        <v>2984</v>
      </c>
      <c r="K1170" s="25" t="s">
        <v>71</v>
      </c>
      <c r="L1170" s="25" t="s">
        <v>292</v>
      </c>
      <c r="M1170" s="20" t="s">
        <v>3005</v>
      </c>
      <c r="N1170" s="20" t="s">
        <v>3006</v>
      </c>
      <c r="O1170" s="20" t="s">
        <v>63</v>
      </c>
      <c r="P1170" s="20" t="s">
        <v>52</v>
      </c>
      <c r="Q1170" s="26"/>
      <c r="R1170" s="26"/>
      <c r="S1170" s="26"/>
      <c r="T1170" s="22"/>
      <c r="U1170" s="26"/>
      <c r="V1170" s="26"/>
      <c r="W1170" s="20"/>
      <c r="X1170" s="20"/>
      <c r="Y1170" s="20"/>
      <c r="Z1170" s="20"/>
      <c r="AA1170" s="20"/>
      <c r="AB1170" s="20"/>
      <c r="AC1170" s="20"/>
      <c r="AD1170" s="20"/>
      <c r="AE1170" s="20"/>
    </row>
    <row r="1171">
      <c r="A1171" s="21">
        <v>29.0</v>
      </c>
      <c r="B1171" s="20" t="s">
        <v>2570</v>
      </c>
      <c r="C1171" s="20" t="s">
        <v>3094</v>
      </c>
      <c r="I1171" s="25" t="s">
        <v>1430</v>
      </c>
      <c r="J1171" s="25" t="s">
        <v>2984</v>
      </c>
      <c r="K1171" s="25" t="s">
        <v>71</v>
      </c>
      <c r="L1171" s="25" t="s">
        <v>3429</v>
      </c>
      <c r="M1171" s="20" t="s">
        <v>61</v>
      </c>
      <c r="N1171" s="20" t="s">
        <v>3007</v>
      </c>
      <c r="O1171" s="20" t="s">
        <v>63</v>
      </c>
      <c r="P1171" s="20"/>
      <c r="Q1171" s="26"/>
      <c r="R1171" s="26"/>
      <c r="S1171" s="26"/>
      <c r="T1171" s="20"/>
      <c r="U1171" s="26"/>
      <c r="V1171" s="26"/>
      <c r="W1171" s="20"/>
      <c r="X1171" s="20"/>
      <c r="Y1171" s="20"/>
      <c r="Z1171" s="20"/>
      <c r="AA1171" s="20"/>
      <c r="AB1171" s="20"/>
      <c r="AC1171" s="20"/>
      <c r="AD1171" s="20"/>
      <c r="AE1171" s="20"/>
    </row>
    <row r="1172">
      <c r="A1172" s="21">
        <v>29.0</v>
      </c>
      <c r="B1172" s="20" t="s">
        <v>2570</v>
      </c>
      <c r="C1172" s="20" t="s">
        <v>3094</v>
      </c>
      <c r="I1172" s="25" t="s">
        <v>1538</v>
      </c>
      <c r="J1172" s="25" t="s">
        <v>2984</v>
      </c>
      <c r="K1172" s="25" t="s">
        <v>71</v>
      </c>
      <c r="L1172" s="25" t="s">
        <v>2951</v>
      </c>
      <c r="M1172" s="20" t="s">
        <v>61</v>
      </c>
      <c r="N1172" s="20" t="s">
        <v>3008</v>
      </c>
      <c r="O1172" s="20" t="s">
        <v>63</v>
      </c>
      <c r="P1172" s="20"/>
      <c r="Q1172" s="26"/>
      <c r="R1172" s="26"/>
      <c r="S1172" s="26"/>
      <c r="T1172" s="20"/>
      <c r="U1172" s="26"/>
      <c r="V1172" s="26"/>
      <c r="W1172" s="20"/>
      <c r="X1172" s="20"/>
      <c r="Y1172" s="20"/>
      <c r="Z1172" s="20"/>
      <c r="AA1172" s="20"/>
      <c r="AB1172" s="20"/>
      <c r="AC1172" s="20"/>
      <c r="AD1172" s="20"/>
      <c r="AE1172" s="20"/>
    </row>
    <row r="1173">
      <c r="A1173" s="21">
        <v>29.0</v>
      </c>
      <c r="B1173" s="20" t="s">
        <v>2570</v>
      </c>
      <c r="C1173" s="20" t="s">
        <v>3094</v>
      </c>
      <c r="I1173" s="25" t="s">
        <v>737</v>
      </c>
      <c r="J1173" s="25" t="s">
        <v>2984</v>
      </c>
      <c r="K1173" s="25" t="s">
        <v>71</v>
      </c>
      <c r="L1173" s="25" t="s">
        <v>3429</v>
      </c>
      <c r="M1173" s="20" t="s">
        <v>1757</v>
      </c>
      <c r="N1173" s="20" t="s">
        <v>1758</v>
      </c>
      <c r="O1173" s="20" t="s">
        <v>63</v>
      </c>
      <c r="P1173" s="20"/>
      <c r="Q1173" s="26"/>
      <c r="R1173" s="26"/>
      <c r="S1173" s="26"/>
      <c r="T1173" s="20"/>
      <c r="U1173" s="26"/>
      <c r="V1173" s="26"/>
      <c r="W1173" s="20"/>
      <c r="X1173" s="20"/>
      <c r="Y1173" s="20"/>
      <c r="Z1173" s="20"/>
      <c r="AA1173" s="20"/>
      <c r="AB1173" s="20"/>
      <c r="AC1173" s="20"/>
      <c r="AD1173" s="20"/>
      <c r="AE1173" s="20"/>
    </row>
    <row r="1174">
      <c r="A1174" s="21">
        <v>29.0</v>
      </c>
      <c r="B1174" s="20" t="s">
        <v>2570</v>
      </c>
      <c r="C1174" s="20" t="s">
        <v>3094</v>
      </c>
      <c r="I1174" s="25" t="s">
        <v>1431</v>
      </c>
      <c r="J1174" s="25" t="s">
        <v>2984</v>
      </c>
      <c r="K1174" s="25" t="s">
        <v>71</v>
      </c>
      <c r="L1174" s="25" t="s">
        <v>2951</v>
      </c>
      <c r="M1174" s="20" t="s">
        <v>3010</v>
      </c>
      <c r="N1174" s="20" t="s">
        <v>3011</v>
      </c>
      <c r="O1174" s="20" t="s">
        <v>63</v>
      </c>
      <c r="P1174" s="20"/>
      <c r="Q1174" s="26"/>
      <c r="R1174" s="26"/>
      <c r="S1174" s="26"/>
      <c r="T1174" s="20"/>
      <c r="U1174" s="26"/>
      <c r="V1174" s="26"/>
      <c r="W1174" s="20"/>
      <c r="X1174" s="20"/>
      <c r="Y1174" s="20"/>
      <c r="Z1174" s="20"/>
      <c r="AA1174" s="20"/>
      <c r="AB1174" s="20"/>
      <c r="AC1174" s="20"/>
      <c r="AD1174" s="20"/>
      <c r="AE1174" s="20"/>
    </row>
    <row r="1175">
      <c r="A1175" s="21">
        <v>29.0</v>
      </c>
      <c r="B1175" s="20" t="s">
        <v>2570</v>
      </c>
      <c r="C1175" s="20" t="s">
        <v>3094</v>
      </c>
      <c r="I1175" s="25" t="s">
        <v>1960</v>
      </c>
      <c r="J1175" s="25" t="s">
        <v>2984</v>
      </c>
      <c r="K1175" s="25" t="s">
        <v>71</v>
      </c>
      <c r="L1175" s="25" t="s">
        <v>3442</v>
      </c>
      <c r="M1175" s="20" t="s">
        <v>61</v>
      </c>
      <c r="N1175" s="20" t="s">
        <v>3012</v>
      </c>
      <c r="O1175" s="20" t="s">
        <v>63</v>
      </c>
      <c r="P1175" s="20"/>
      <c r="Q1175" s="26"/>
      <c r="R1175" s="26"/>
      <c r="S1175" s="26"/>
      <c r="T1175" s="20"/>
      <c r="U1175" s="26"/>
      <c r="V1175" s="26"/>
      <c r="W1175" s="20"/>
      <c r="X1175" s="20"/>
      <c r="Y1175" s="20"/>
      <c r="Z1175" s="20"/>
      <c r="AA1175" s="20"/>
      <c r="AB1175" s="20"/>
      <c r="AC1175" s="20"/>
      <c r="AD1175" s="20"/>
      <c r="AE1175" s="20"/>
    </row>
    <row r="1176">
      <c r="A1176" s="21">
        <v>29.0</v>
      </c>
      <c r="B1176" s="20" t="s">
        <v>2570</v>
      </c>
      <c r="C1176" s="20" t="s">
        <v>3094</v>
      </c>
      <c r="I1176" s="25" t="s">
        <v>1989</v>
      </c>
      <c r="J1176" s="25" t="s">
        <v>2984</v>
      </c>
      <c r="K1176" s="25" t="s">
        <v>71</v>
      </c>
      <c r="L1176" s="25" t="s">
        <v>2951</v>
      </c>
      <c r="M1176" s="20" t="s">
        <v>61</v>
      </c>
      <c r="N1176" s="20" t="s">
        <v>3013</v>
      </c>
      <c r="O1176" s="20" t="s">
        <v>63</v>
      </c>
      <c r="P1176" s="20"/>
      <c r="Q1176" s="26"/>
      <c r="R1176" s="26"/>
      <c r="S1176" s="26"/>
      <c r="T1176" s="20"/>
      <c r="U1176" s="26"/>
      <c r="V1176" s="26"/>
      <c r="W1176" s="20"/>
      <c r="X1176" s="20"/>
      <c r="Y1176" s="20"/>
      <c r="Z1176" s="20"/>
      <c r="AA1176" s="20"/>
      <c r="AB1176" s="20"/>
      <c r="AC1176" s="20"/>
      <c r="AD1176" s="20"/>
      <c r="AE1176" s="20"/>
    </row>
    <row r="1177">
      <c r="A1177" s="21">
        <v>29.0</v>
      </c>
      <c r="B1177" s="20" t="s">
        <v>2570</v>
      </c>
      <c r="C1177" s="20" t="s">
        <v>3094</v>
      </c>
      <c r="I1177" s="25" t="s">
        <v>1993</v>
      </c>
      <c r="J1177" s="25" t="s">
        <v>2984</v>
      </c>
      <c r="K1177" s="25" t="s">
        <v>71</v>
      </c>
      <c r="L1177" s="25" t="s">
        <v>2951</v>
      </c>
      <c r="M1177" s="20" t="s">
        <v>3014</v>
      </c>
      <c r="N1177" s="20" t="s">
        <v>3015</v>
      </c>
      <c r="O1177" s="20" t="s">
        <v>63</v>
      </c>
      <c r="P1177" s="20"/>
      <c r="Q1177" s="26"/>
      <c r="R1177" s="26"/>
      <c r="S1177" s="26"/>
      <c r="T1177" s="20"/>
      <c r="U1177" s="26"/>
      <c r="V1177" s="26"/>
      <c r="W1177" s="20"/>
      <c r="X1177" s="20"/>
      <c r="Y1177" s="20"/>
      <c r="Z1177" s="20"/>
      <c r="AA1177" s="20"/>
      <c r="AB1177" s="20"/>
      <c r="AC1177" s="20"/>
      <c r="AD1177" s="20"/>
      <c r="AE1177" s="20"/>
    </row>
    <row r="1178">
      <c r="A1178" s="21">
        <v>29.0</v>
      </c>
      <c r="B1178" s="20" t="s">
        <v>2570</v>
      </c>
      <c r="C1178" s="20" t="s">
        <v>3094</v>
      </c>
      <c r="I1178" s="25" t="s">
        <v>2424</v>
      </c>
      <c r="J1178" s="25" t="s">
        <v>2984</v>
      </c>
      <c r="K1178" s="25" t="s">
        <v>71</v>
      </c>
      <c r="L1178" s="25" t="s">
        <v>2951</v>
      </c>
      <c r="M1178" s="20" t="s">
        <v>2425</v>
      </c>
      <c r="N1178" s="20" t="s">
        <v>3016</v>
      </c>
      <c r="O1178" s="20" t="s">
        <v>63</v>
      </c>
      <c r="P1178" s="20"/>
      <c r="Q1178" s="26"/>
      <c r="R1178" s="26"/>
      <c r="S1178" s="26"/>
      <c r="T1178" s="20"/>
      <c r="U1178" s="26"/>
      <c r="V1178" s="26"/>
      <c r="W1178" s="20"/>
      <c r="X1178" s="20"/>
      <c r="Y1178" s="20"/>
      <c r="Z1178" s="20"/>
      <c r="AA1178" s="20"/>
      <c r="AB1178" s="20"/>
      <c r="AC1178" s="20"/>
      <c r="AD1178" s="20"/>
      <c r="AE1178" s="20"/>
    </row>
    <row r="1179">
      <c r="A1179" s="21">
        <v>29.0</v>
      </c>
      <c r="B1179" s="20" t="s">
        <v>2570</v>
      </c>
      <c r="C1179" s="20" t="s">
        <v>3094</v>
      </c>
      <c r="I1179" s="25" t="s">
        <v>1966</v>
      </c>
      <c r="J1179" s="25" t="s">
        <v>2984</v>
      </c>
      <c r="K1179" s="25" t="s">
        <v>71</v>
      </c>
      <c r="L1179" s="25" t="s">
        <v>2951</v>
      </c>
      <c r="M1179" s="20" t="s">
        <v>3017</v>
      </c>
      <c r="N1179" s="20" t="s">
        <v>3018</v>
      </c>
      <c r="O1179" s="20" t="s">
        <v>63</v>
      </c>
      <c r="P1179" s="20"/>
      <c r="Q1179" s="26"/>
      <c r="R1179" s="26"/>
      <c r="S1179" s="26"/>
      <c r="T1179" s="20"/>
      <c r="U1179" s="26"/>
      <c r="V1179" s="26"/>
      <c r="W1179" s="20"/>
      <c r="X1179" s="20"/>
      <c r="Y1179" s="20"/>
      <c r="Z1179" s="20"/>
      <c r="AA1179" s="20"/>
      <c r="AB1179" s="20"/>
      <c r="AC1179" s="20"/>
      <c r="AD1179" s="20"/>
      <c r="AE1179" s="20"/>
    </row>
    <row r="1180">
      <c r="A1180" s="21">
        <v>29.0</v>
      </c>
      <c r="B1180" s="20" t="s">
        <v>2570</v>
      </c>
      <c r="C1180" s="20" t="s">
        <v>3094</v>
      </c>
      <c r="I1180" s="25" t="s">
        <v>2994</v>
      </c>
      <c r="J1180" s="25" t="s">
        <v>2993</v>
      </c>
      <c r="K1180" s="25" t="s">
        <v>71</v>
      </c>
      <c r="L1180" s="25" t="s">
        <v>3419</v>
      </c>
      <c r="M1180" s="20" t="s">
        <v>2995</v>
      </c>
      <c r="N1180" s="20" t="s">
        <v>2996</v>
      </c>
      <c r="O1180" s="20" t="s">
        <v>63</v>
      </c>
      <c r="P1180" s="20"/>
      <c r="Q1180" s="26"/>
      <c r="R1180" s="26"/>
      <c r="S1180" s="26"/>
      <c r="T1180" s="20"/>
      <c r="U1180" s="26"/>
      <c r="V1180" s="26"/>
      <c r="W1180" s="20"/>
      <c r="X1180" s="20"/>
      <c r="Y1180" s="20"/>
      <c r="Z1180" s="20"/>
      <c r="AA1180" s="20"/>
      <c r="AB1180" s="20"/>
      <c r="AC1180" s="20"/>
      <c r="AD1180" s="20"/>
      <c r="AE1180" s="20"/>
    </row>
    <row r="1181">
      <c r="A1181" s="21">
        <v>29.0</v>
      </c>
      <c r="B1181" s="20" t="s">
        <v>2570</v>
      </c>
      <c r="C1181" s="20" t="s">
        <v>3094</v>
      </c>
      <c r="I1181" s="25" t="s">
        <v>3019</v>
      </c>
      <c r="J1181" s="25" t="s">
        <v>2984</v>
      </c>
      <c r="K1181" s="25" t="s">
        <v>71</v>
      </c>
      <c r="L1181" s="25" t="s">
        <v>3419</v>
      </c>
      <c r="M1181" s="20" t="s">
        <v>61</v>
      </c>
      <c r="N1181" s="20" t="s">
        <v>3020</v>
      </c>
      <c r="O1181" s="20" t="s">
        <v>63</v>
      </c>
      <c r="P1181" s="20"/>
      <c r="Q1181" s="26"/>
      <c r="R1181" s="26"/>
      <c r="S1181" s="26"/>
      <c r="T1181" s="20"/>
      <c r="U1181" s="26"/>
      <c r="V1181" s="26"/>
      <c r="W1181" s="20"/>
      <c r="X1181" s="20"/>
      <c r="Y1181" s="20"/>
      <c r="Z1181" s="20"/>
      <c r="AA1181" s="20"/>
      <c r="AB1181" s="20"/>
      <c r="AC1181" s="20"/>
      <c r="AD1181" s="20"/>
      <c r="AE1181" s="20"/>
    </row>
    <row r="1182">
      <c r="A1182" s="21">
        <v>29.0</v>
      </c>
      <c r="B1182" s="20" t="s">
        <v>2570</v>
      </c>
      <c r="C1182" s="20" t="s">
        <v>3094</v>
      </c>
      <c r="I1182" s="25" t="s">
        <v>3022</v>
      </c>
      <c r="J1182" s="25" t="s">
        <v>2984</v>
      </c>
      <c r="K1182" s="25" t="s">
        <v>71</v>
      </c>
      <c r="L1182" s="25" t="s">
        <v>292</v>
      </c>
      <c r="M1182" s="20" t="s">
        <v>3023</v>
      </c>
      <c r="N1182" s="20" t="s">
        <v>3024</v>
      </c>
      <c r="O1182" s="20" t="s">
        <v>63</v>
      </c>
      <c r="P1182" s="20" t="s">
        <v>52</v>
      </c>
      <c r="Q1182" s="26"/>
      <c r="R1182" s="26"/>
      <c r="S1182" s="26"/>
      <c r="T1182" s="22"/>
      <c r="U1182" s="26"/>
      <c r="V1182" s="26"/>
      <c r="W1182" s="20"/>
      <c r="X1182" s="20"/>
      <c r="Y1182" s="20"/>
      <c r="Z1182" s="20"/>
      <c r="AA1182" s="20"/>
      <c r="AB1182" s="20"/>
      <c r="AC1182" s="20"/>
      <c r="AD1182" s="20"/>
      <c r="AE1182" s="20"/>
    </row>
    <row r="1183">
      <c r="A1183" s="21">
        <v>29.0</v>
      </c>
      <c r="B1183" s="20" t="s">
        <v>2570</v>
      </c>
      <c r="C1183" s="20" t="s">
        <v>3094</v>
      </c>
      <c r="I1183" s="25" t="s">
        <v>2016</v>
      </c>
      <c r="J1183" s="25" t="s">
        <v>2984</v>
      </c>
      <c r="K1183" s="25" t="s">
        <v>71</v>
      </c>
      <c r="L1183" s="25" t="s">
        <v>292</v>
      </c>
      <c r="M1183" s="20" t="s">
        <v>3026</v>
      </c>
      <c r="N1183" s="20" t="s">
        <v>3027</v>
      </c>
      <c r="O1183" s="20" t="s">
        <v>63</v>
      </c>
      <c r="P1183" s="20" t="s">
        <v>52</v>
      </c>
      <c r="Q1183" s="26"/>
      <c r="R1183" s="26"/>
      <c r="S1183" s="26"/>
      <c r="T1183" s="22"/>
      <c r="U1183" s="26"/>
      <c r="V1183" s="26"/>
      <c r="W1183" s="20"/>
      <c r="X1183" s="20"/>
      <c r="Y1183" s="20"/>
      <c r="Z1183" s="20"/>
      <c r="AA1183" s="20"/>
      <c r="AB1183" s="20"/>
      <c r="AC1183" s="20"/>
      <c r="AD1183" s="20"/>
      <c r="AE1183" s="20"/>
    </row>
    <row r="1184">
      <c r="A1184" s="21">
        <v>29.0</v>
      </c>
      <c r="B1184" s="20" t="s">
        <v>2570</v>
      </c>
      <c r="C1184" s="20" t="s">
        <v>3094</v>
      </c>
      <c r="I1184" s="25" t="s">
        <v>1249</v>
      </c>
      <c r="J1184" s="25" t="s">
        <v>2984</v>
      </c>
      <c r="K1184" s="25" t="s">
        <v>71</v>
      </c>
      <c r="L1184" s="25" t="s">
        <v>226</v>
      </c>
      <c r="M1184" s="20" t="s">
        <v>3029</v>
      </c>
      <c r="N1184" s="20" t="s">
        <v>3030</v>
      </c>
      <c r="O1184" s="20" t="s">
        <v>63</v>
      </c>
      <c r="P1184" s="20" t="s">
        <v>52</v>
      </c>
      <c r="Q1184" s="26"/>
      <c r="R1184" s="26"/>
      <c r="S1184" s="26"/>
      <c r="T1184" s="22"/>
      <c r="U1184" s="26"/>
      <c r="V1184" s="26"/>
      <c r="W1184" s="20"/>
      <c r="X1184" s="20"/>
      <c r="Y1184" s="20"/>
      <c r="Z1184" s="20"/>
      <c r="AA1184" s="20"/>
      <c r="AB1184" s="20"/>
      <c r="AC1184" s="20"/>
      <c r="AD1184" s="20"/>
      <c r="AE1184" s="20"/>
    </row>
    <row r="1185">
      <c r="A1185" s="21">
        <v>29.0</v>
      </c>
      <c r="B1185" s="20" t="s">
        <v>2570</v>
      </c>
      <c r="C1185" s="20" t="s">
        <v>3094</v>
      </c>
      <c r="I1185" s="25" t="s">
        <v>212</v>
      </c>
      <c r="J1185" s="25" t="s">
        <v>2984</v>
      </c>
      <c r="K1185" s="25" t="s">
        <v>71</v>
      </c>
      <c r="L1185" s="25" t="s">
        <v>2951</v>
      </c>
      <c r="M1185" s="20" t="s">
        <v>3031</v>
      </c>
      <c r="N1185" s="20" t="s">
        <v>3032</v>
      </c>
      <c r="O1185" s="20" t="s">
        <v>63</v>
      </c>
      <c r="P1185" s="20"/>
      <c r="Q1185" s="26"/>
      <c r="R1185" s="26"/>
      <c r="S1185" s="26"/>
      <c r="T1185" s="20"/>
      <c r="U1185" s="26"/>
      <c r="V1185" s="26"/>
      <c r="W1185" s="20"/>
      <c r="X1185" s="20"/>
      <c r="Y1185" s="20"/>
      <c r="Z1185" s="20"/>
      <c r="AA1185" s="20"/>
      <c r="AB1185" s="20"/>
      <c r="AC1185" s="20"/>
      <c r="AD1185" s="20"/>
      <c r="AE1185" s="20"/>
    </row>
    <row r="1186">
      <c r="A1186" s="21">
        <v>29.0</v>
      </c>
      <c r="B1186" s="20" t="s">
        <v>2570</v>
      </c>
      <c r="C1186" s="20" t="s">
        <v>3094</v>
      </c>
      <c r="I1186" s="25" t="s">
        <v>3033</v>
      </c>
      <c r="J1186" s="25" t="s">
        <v>2984</v>
      </c>
      <c r="K1186" s="25" t="s">
        <v>71</v>
      </c>
      <c r="L1186" s="25" t="s">
        <v>226</v>
      </c>
      <c r="M1186" s="20" t="s">
        <v>3034</v>
      </c>
      <c r="N1186" s="20" t="s">
        <v>3035</v>
      </c>
      <c r="O1186" s="20" t="s">
        <v>63</v>
      </c>
      <c r="P1186" s="20" t="s">
        <v>52</v>
      </c>
      <c r="Q1186" s="26"/>
      <c r="R1186" s="26"/>
      <c r="S1186" s="26"/>
      <c r="T1186" s="22"/>
      <c r="U1186" s="26"/>
      <c r="V1186" s="26"/>
      <c r="W1186" s="20"/>
      <c r="X1186" s="20"/>
      <c r="Y1186" s="20"/>
      <c r="Z1186" s="20"/>
      <c r="AA1186" s="20"/>
      <c r="AB1186" s="20"/>
      <c r="AC1186" s="20"/>
      <c r="AD1186" s="20"/>
      <c r="AE1186" s="20"/>
    </row>
    <row r="1187">
      <c r="A1187" s="21">
        <v>29.0</v>
      </c>
      <c r="B1187" s="20" t="s">
        <v>2570</v>
      </c>
      <c r="C1187" s="20" t="s">
        <v>3094</v>
      </c>
      <c r="I1187" s="25" t="s">
        <v>3036</v>
      </c>
      <c r="J1187" s="25" t="s">
        <v>2984</v>
      </c>
      <c r="K1187" s="25" t="s">
        <v>71</v>
      </c>
      <c r="L1187" s="25" t="s">
        <v>3419</v>
      </c>
      <c r="M1187" s="20" t="s">
        <v>3037</v>
      </c>
      <c r="N1187" s="20" t="s">
        <v>3038</v>
      </c>
      <c r="O1187" s="20" t="s">
        <v>63</v>
      </c>
      <c r="P1187" s="20"/>
      <c r="Q1187" s="26"/>
      <c r="R1187" s="26"/>
      <c r="S1187" s="26"/>
      <c r="T1187" s="20"/>
      <c r="U1187" s="26"/>
      <c r="V1187" s="26"/>
      <c r="W1187" s="20"/>
      <c r="X1187" s="20"/>
      <c r="Y1187" s="20"/>
      <c r="Z1187" s="20"/>
      <c r="AA1187" s="20"/>
      <c r="AB1187" s="20"/>
      <c r="AC1187" s="20"/>
      <c r="AD1187" s="20"/>
      <c r="AE1187" s="20"/>
    </row>
    <row r="1188">
      <c r="A1188" s="21">
        <v>29.0</v>
      </c>
      <c r="B1188" s="20" t="s">
        <v>2570</v>
      </c>
      <c r="C1188" s="20" t="s">
        <v>3094</v>
      </c>
      <c r="I1188" s="25" t="s">
        <v>1972</v>
      </c>
      <c r="J1188" s="25" t="s">
        <v>2984</v>
      </c>
      <c r="K1188" s="25" t="s">
        <v>71</v>
      </c>
      <c r="L1188" s="25" t="s">
        <v>2951</v>
      </c>
      <c r="M1188" s="20" t="s">
        <v>3039</v>
      </c>
      <c r="N1188" s="20" t="s">
        <v>3040</v>
      </c>
      <c r="O1188" s="20" t="s">
        <v>63</v>
      </c>
      <c r="P1188" s="20"/>
      <c r="Q1188" s="26"/>
      <c r="R1188" s="26"/>
      <c r="S1188" s="26"/>
      <c r="T1188" s="20"/>
      <c r="U1188" s="26"/>
      <c r="V1188" s="26"/>
      <c r="W1188" s="20"/>
      <c r="X1188" s="20"/>
      <c r="Y1188" s="20"/>
      <c r="Z1188" s="20"/>
      <c r="AA1188" s="20"/>
      <c r="AB1188" s="20"/>
      <c r="AC1188" s="20"/>
      <c r="AD1188" s="20"/>
      <c r="AE1188" s="20"/>
    </row>
    <row r="1189">
      <c r="A1189" s="21">
        <v>29.0</v>
      </c>
      <c r="B1189" s="20" t="s">
        <v>2570</v>
      </c>
      <c r="C1189" s="20" t="s">
        <v>3094</v>
      </c>
      <c r="I1189" s="25" t="s">
        <v>3041</v>
      </c>
      <c r="J1189" s="25" t="s">
        <v>2984</v>
      </c>
      <c r="K1189" s="25" t="s">
        <v>71</v>
      </c>
      <c r="L1189" s="25" t="s">
        <v>292</v>
      </c>
      <c r="M1189" s="20" t="s">
        <v>3042</v>
      </c>
      <c r="N1189" s="20" t="s">
        <v>3043</v>
      </c>
      <c r="O1189" s="20" t="s">
        <v>63</v>
      </c>
      <c r="P1189" s="20" t="s">
        <v>52</v>
      </c>
      <c r="Q1189" s="26"/>
      <c r="R1189" s="26"/>
      <c r="S1189" s="26"/>
      <c r="T1189" s="22"/>
      <c r="U1189" s="26"/>
      <c r="V1189" s="26"/>
      <c r="W1189" s="20"/>
      <c r="X1189" s="20"/>
      <c r="Y1189" s="20"/>
      <c r="Z1189" s="20"/>
      <c r="AA1189" s="20"/>
      <c r="AB1189" s="20"/>
      <c r="AC1189" s="20"/>
      <c r="AD1189" s="20"/>
      <c r="AE1189" s="20"/>
    </row>
    <row r="1190">
      <c r="A1190" s="21">
        <v>29.0</v>
      </c>
      <c r="B1190" s="20" t="s">
        <v>2570</v>
      </c>
      <c r="C1190" s="20" t="s">
        <v>3094</v>
      </c>
      <c r="I1190" s="25" t="s">
        <v>1303</v>
      </c>
      <c r="J1190" s="25" t="s">
        <v>2984</v>
      </c>
      <c r="K1190" s="25" t="s">
        <v>71</v>
      </c>
      <c r="L1190" s="25" t="s">
        <v>2951</v>
      </c>
      <c r="M1190" s="20" t="s">
        <v>3044</v>
      </c>
      <c r="N1190" s="20" t="s">
        <v>3045</v>
      </c>
      <c r="O1190" s="20" t="s">
        <v>63</v>
      </c>
      <c r="P1190" s="20"/>
      <c r="Q1190" s="26"/>
      <c r="R1190" s="26"/>
      <c r="S1190" s="26"/>
      <c r="T1190" s="20"/>
      <c r="U1190" s="26"/>
      <c r="V1190" s="26"/>
      <c r="W1190" s="20"/>
      <c r="X1190" s="20"/>
      <c r="Y1190" s="20"/>
      <c r="Z1190" s="20"/>
      <c r="AA1190" s="20"/>
      <c r="AB1190" s="20"/>
      <c r="AC1190" s="20"/>
      <c r="AD1190" s="20"/>
      <c r="AE1190" s="20"/>
    </row>
    <row r="1191">
      <c r="A1191" s="21">
        <v>29.0</v>
      </c>
      <c r="B1191" s="20" t="s">
        <v>2570</v>
      </c>
      <c r="C1191" s="20" t="s">
        <v>3094</v>
      </c>
      <c r="I1191" s="25" t="s">
        <v>2634</v>
      </c>
      <c r="J1191" s="25" t="s">
        <v>2984</v>
      </c>
      <c r="K1191" s="25" t="s">
        <v>71</v>
      </c>
      <c r="L1191" s="25" t="s">
        <v>292</v>
      </c>
      <c r="M1191" s="20" t="s">
        <v>3046</v>
      </c>
      <c r="N1191" s="20" t="s">
        <v>3047</v>
      </c>
      <c r="O1191" s="20" t="s">
        <v>63</v>
      </c>
      <c r="P1191" s="20" t="s">
        <v>52</v>
      </c>
      <c r="Q1191" s="26"/>
      <c r="R1191" s="26"/>
      <c r="S1191" s="26"/>
      <c r="T1191" s="22"/>
      <c r="U1191" s="26"/>
      <c r="V1191" s="26"/>
      <c r="W1191" s="20"/>
      <c r="X1191" s="20"/>
      <c r="Y1191" s="20"/>
      <c r="Z1191" s="20"/>
      <c r="AA1191" s="20"/>
      <c r="AB1191" s="20"/>
      <c r="AC1191" s="20"/>
      <c r="AD1191" s="20"/>
      <c r="AE1191" s="20"/>
    </row>
    <row r="1192">
      <c r="A1192" s="21">
        <v>29.0</v>
      </c>
      <c r="B1192" s="20" t="s">
        <v>2570</v>
      </c>
      <c r="C1192" s="20" t="s">
        <v>3094</v>
      </c>
      <c r="I1192" s="25" t="s">
        <v>3048</v>
      </c>
      <c r="J1192" s="25" t="s">
        <v>2984</v>
      </c>
      <c r="K1192" s="25" t="s">
        <v>71</v>
      </c>
      <c r="L1192" s="25" t="s">
        <v>292</v>
      </c>
      <c r="M1192" s="20" t="s">
        <v>3049</v>
      </c>
      <c r="N1192" s="20" t="s">
        <v>3050</v>
      </c>
      <c r="O1192" s="20" t="s">
        <v>63</v>
      </c>
      <c r="P1192" s="20" t="s">
        <v>52</v>
      </c>
      <c r="Q1192" s="26"/>
      <c r="R1192" s="26"/>
      <c r="S1192" s="26"/>
      <c r="T1192" s="22"/>
      <c r="U1192" s="26"/>
      <c r="V1192" s="26"/>
      <c r="W1192" s="20"/>
      <c r="X1192" s="20"/>
      <c r="Y1192" s="20"/>
      <c r="Z1192" s="20"/>
      <c r="AA1192" s="20"/>
      <c r="AB1192" s="20"/>
      <c r="AC1192" s="20"/>
      <c r="AD1192" s="20"/>
      <c r="AE1192" s="20"/>
    </row>
    <row r="1193">
      <c r="A1193" s="21">
        <v>29.0</v>
      </c>
      <c r="B1193" s="20" t="s">
        <v>2570</v>
      </c>
      <c r="C1193" s="20" t="s">
        <v>3094</v>
      </c>
      <c r="I1193" s="25" t="s">
        <v>3051</v>
      </c>
      <c r="J1193" s="25" t="s">
        <v>2984</v>
      </c>
      <c r="K1193" s="25" t="s">
        <v>71</v>
      </c>
      <c r="L1193" s="25" t="s">
        <v>2951</v>
      </c>
      <c r="M1193" s="20" t="s">
        <v>3052</v>
      </c>
      <c r="N1193" s="20" t="s">
        <v>3053</v>
      </c>
      <c r="O1193" s="20" t="s">
        <v>63</v>
      </c>
      <c r="P1193" s="20"/>
      <c r="Q1193" s="26"/>
      <c r="R1193" s="26"/>
      <c r="S1193" s="26"/>
      <c r="T1193" s="20"/>
      <c r="U1193" s="26"/>
      <c r="V1193" s="26"/>
      <c r="W1193" s="20"/>
      <c r="X1193" s="20"/>
      <c r="Y1193" s="20"/>
      <c r="Z1193" s="20"/>
      <c r="AA1193" s="20"/>
      <c r="AB1193" s="20"/>
      <c r="AC1193" s="20"/>
      <c r="AD1193" s="20"/>
      <c r="AE1193" s="20"/>
    </row>
    <row r="1194">
      <c r="A1194" s="21">
        <v>29.0</v>
      </c>
      <c r="B1194" s="20" t="s">
        <v>2570</v>
      </c>
      <c r="C1194" s="20" t="s">
        <v>3094</v>
      </c>
      <c r="I1194" s="25" t="s">
        <v>3054</v>
      </c>
      <c r="J1194" s="25" t="s">
        <v>2984</v>
      </c>
      <c r="K1194" s="25" t="s">
        <v>71</v>
      </c>
      <c r="L1194" s="25" t="s">
        <v>3419</v>
      </c>
      <c r="M1194" s="20" t="s">
        <v>3055</v>
      </c>
      <c r="N1194" s="20" t="s">
        <v>3056</v>
      </c>
      <c r="O1194" s="20" t="s">
        <v>63</v>
      </c>
      <c r="P1194" s="20"/>
      <c r="Q1194" s="26"/>
      <c r="R1194" s="26"/>
      <c r="S1194" s="26"/>
      <c r="T1194" s="20"/>
      <c r="U1194" s="26"/>
      <c r="V1194" s="26"/>
      <c r="W1194" s="20"/>
      <c r="X1194" s="20"/>
      <c r="Y1194" s="20"/>
      <c r="Z1194" s="20"/>
      <c r="AA1194" s="20"/>
      <c r="AB1194" s="20"/>
      <c r="AC1194" s="20"/>
      <c r="AD1194" s="20"/>
      <c r="AE1194" s="20"/>
    </row>
    <row r="1195">
      <c r="A1195" s="21">
        <v>29.0</v>
      </c>
      <c r="B1195" s="20" t="s">
        <v>2570</v>
      </c>
      <c r="C1195" s="20" t="s">
        <v>3094</v>
      </c>
      <c r="I1195" s="25" t="s">
        <v>2300</v>
      </c>
      <c r="J1195" s="25" t="s">
        <v>2984</v>
      </c>
      <c r="K1195" s="25" t="s">
        <v>71</v>
      </c>
      <c r="L1195" s="25" t="s">
        <v>2951</v>
      </c>
      <c r="M1195" s="20" t="s">
        <v>2301</v>
      </c>
      <c r="N1195" s="20" t="s">
        <v>3057</v>
      </c>
      <c r="O1195" s="20" t="s">
        <v>63</v>
      </c>
      <c r="P1195" s="20"/>
      <c r="Q1195" s="26"/>
      <c r="R1195" s="26"/>
      <c r="S1195" s="26"/>
      <c r="T1195" s="20"/>
      <c r="U1195" s="26"/>
      <c r="V1195" s="26"/>
      <c r="W1195" s="20"/>
      <c r="X1195" s="20"/>
      <c r="Y1195" s="20"/>
      <c r="Z1195" s="20"/>
      <c r="AA1195" s="20"/>
      <c r="AB1195" s="20"/>
      <c r="AC1195" s="20"/>
      <c r="AD1195" s="20"/>
      <c r="AE1195" s="20"/>
    </row>
    <row r="1196">
      <c r="A1196" s="21">
        <v>29.0</v>
      </c>
      <c r="B1196" s="20" t="s">
        <v>2570</v>
      </c>
      <c r="C1196" s="20" t="s">
        <v>3094</v>
      </c>
      <c r="I1196" s="25" t="s">
        <v>2083</v>
      </c>
      <c r="J1196" s="25" t="s">
        <v>2984</v>
      </c>
      <c r="K1196" s="25" t="s">
        <v>71</v>
      </c>
      <c r="L1196" s="25" t="s">
        <v>2951</v>
      </c>
      <c r="M1196" s="20" t="s">
        <v>61</v>
      </c>
      <c r="N1196" s="20" t="s">
        <v>3058</v>
      </c>
      <c r="O1196" s="20" t="s">
        <v>63</v>
      </c>
      <c r="P1196" s="20"/>
      <c r="Q1196" s="26"/>
      <c r="R1196" s="26"/>
      <c r="S1196" s="26"/>
      <c r="T1196" s="20"/>
      <c r="U1196" s="26"/>
      <c r="V1196" s="26"/>
      <c r="W1196" s="20"/>
      <c r="X1196" s="20"/>
      <c r="Y1196" s="20"/>
      <c r="Z1196" s="20"/>
      <c r="AA1196" s="20"/>
      <c r="AB1196" s="20"/>
      <c r="AC1196" s="20"/>
      <c r="AD1196" s="20"/>
      <c r="AE1196" s="20"/>
    </row>
    <row r="1197">
      <c r="A1197" s="21">
        <v>29.0</v>
      </c>
      <c r="B1197" s="20" t="s">
        <v>2570</v>
      </c>
      <c r="C1197" s="20" t="s">
        <v>3094</v>
      </c>
      <c r="I1197" s="25" t="s">
        <v>3059</v>
      </c>
      <c r="J1197" s="25" t="s">
        <v>2984</v>
      </c>
      <c r="K1197" s="25" t="s">
        <v>71</v>
      </c>
      <c r="L1197" s="25" t="s">
        <v>2951</v>
      </c>
      <c r="M1197" s="20" t="s">
        <v>3061</v>
      </c>
      <c r="N1197" s="20" t="s">
        <v>3062</v>
      </c>
      <c r="O1197" s="20" t="s">
        <v>63</v>
      </c>
      <c r="P1197" s="20"/>
      <c r="Q1197" s="26"/>
      <c r="R1197" s="26"/>
      <c r="S1197" s="26"/>
      <c r="T1197" s="20"/>
      <c r="U1197" s="26"/>
      <c r="V1197" s="26"/>
      <c r="W1197" s="20"/>
      <c r="X1197" s="20"/>
      <c r="Y1197" s="20"/>
      <c r="Z1197" s="20"/>
      <c r="AA1197" s="20"/>
      <c r="AB1197" s="20"/>
      <c r="AC1197" s="20"/>
      <c r="AD1197" s="20"/>
      <c r="AE1197" s="20"/>
    </row>
    <row r="1198">
      <c r="A1198" s="21">
        <v>29.0</v>
      </c>
      <c r="B1198" s="20" t="s">
        <v>2570</v>
      </c>
      <c r="C1198" s="20" t="s">
        <v>3094</v>
      </c>
      <c r="I1198" s="25" t="s">
        <v>2091</v>
      </c>
      <c r="J1198" s="25" t="s">
        <v>2984</v>
      </c>
      <c r="K1198" s="25" t="s">
        <v>71</v>
      </c>
      <c r="L1198" s="25" t="s">
        <v>3493</v>
      </c>
      <c r="M1198" s="20" t="s">
        <v>61</v>
      </c>
      <c r="N1198" s="20" t="s">
        <v>3063</v>
      </c>
      <c r="O1198" s="20" t="s">
        <v>63</v>
      </c>
      <c r="P1198" s="20" t="s">
        <v>52</v>
      </c>
      <c r="Q1198" s="26"/>
      <c r="R1198" s="26"/>
      <c r="S1198" s="26"/>
      <c r="T1198" s="20"/>
      <c r="U1198" s="26"/>
      <c r="V1198" s="26"/>
      <c r="W1198" s="20"/>
      <c r="X1198" s="20"/>
      <c r="Y1198" s="20"/>
      <c r="Z1198" s="20"/>
      <c r="AA1198" s="20"/>
      <c r="AB1198" s="20"/>
      <c r="AC1198" s="20"/>
      <c r="AD1198" s="20"/>
      <c r="AE1198" s="20"/>
    </row>
    <row r="1199">
      <c r="A1199" s="21">
        <v>29.0</v>
      </c>
      <c r="B1199" s="20" t="s">
        <v>2570</v>
      </c>
      <c r="C1199" s="20" t="s">
        <v>3094</v>
      </c>
      <c r="I1199" s="25" t="s">
        <v>2502</v>
      </c>
      <c r="J1199" s="25" t="s">
        <v>2984</v>
      </c>
      <c r="K1199" s="25" t="s">
        <v>71</v>
      </c>
      <c r="L1199" s="25" t="s">
        <v>3494</v>
      </c>
      <c r="M1199" s="20" t="s">
        <v>61</v>
      </c>
      <c r="N1199" s="20" t="s">
        <v>3064</v>
      </c>
      <c r="O1199" s="20" t="s">
        <v>63</v>
      </c>
      <c r="P1199" s="20" t="s">
        <v>52</v>
      </c>
      <c r="Q1199" s="26"/>
      <c r="R1199" s="26"/>
      <c r="S1199" s="26"/>
      <c r="T1199" s="20"/>
      <c r="U1199" s="26"/>
      <c r="V1199" s="26"/>
      <c r="W1199" s="20"/>
      <c r="X1199" s="20"/>
      <c r="Y1199" s="20"/>
      <c r="Z1199" s="20"/>
      <c r="AA1199" s="20"/>
      <c r="AB1199" s="20"/>
      <c r="AC1199" s="20"/>
      <c r="AD1199" s="20"/>
      <c r="AE1199" s="20"/>
    </row>
    <row r="1200">
      <c r="A1200" s="21">
        <v>29.0</v>
      </c>
      <c r="B1200" s="20" t="s">
        <v>2570</v>
      </c>
      <c r="C1200" s="20" t="s">
        <v>3094</v>
      </c>
      <c r="I1200" s="25" t="s">
        <v>2567</v>
      </c>
      <c r="J1200" s="25" t="s">
        <v>2984</v>
      </c>
      <c r="K1200" s="25" t="s">
        <v>71</v>
      </c>
      <c r="L1200" s="25" t="s">
        <v>3501</v>
      </c>
      <c r="M1200" s="20" t="s">
        <v>2568</v>
      </c>
      <c r="N1200" s="20" t="s">
        <v>3065</v>
      </c>
      <c r="O1200" s="20" t="s">
        <v>63</v>
      </c>
      <c r="P1200" s="20" t="s">
        <v>52</v>
      </c>
      <c r="Q1200" s="26"/>
      <c r="R1200" s="26"/>
      <c r="S1200" s="26"/>
      <c r="T1200" s="20"/>
      <c r="U1200" s="26"/>
      <c r="V1200" s="26"/>
      <c r="W1200" s="20"/>
      <c r="X1200" s="20"/>
      <c r="Y1200" s="20"/>
      <c r="Z1200" s="20"/>
      <c r="AA1200" s="20"/>
      <c r="AB1200" s="20"/>
      <c r="AC1200" s="20"/>
      <c r="AD1200" s="20"/>
      <c r="AE1200" s="20"/>
    </row>
    <row r="1201">
      <c r="A1201" s="21">
        <v>29.0</v>
      </c>
      <c r="B1201" s="20" t="s">
        <v>2570</v>
      </c>
      <c r="C1201" s="20" t="s">
        <v>3094</v>
      </c>
      <c r="I1201" s="25" t="s">
        <v>2065</v>
      </c>
      <c r="J1201" s="25" t="s">
        <v>2984</v>
      </c>
      <c r="K1201" s="25" t="s">
        <v>71</v>
      </c>
      <c r="L1201" s="25" t="s">
        <v>3506</v>
      </c>
      <c r="M1201" s="20" t="s">
        <v>61</v>
      </c>
      <c r="N1201" s="20" t="s">
        <v>3066</v>
      </c>
      <c r="O1201" s="20" t="s">
        <v>63</v>
      </c>
      <c r="P1201" s="20" t="s">
        <v>52</v>
      </c>
      <c r="Q1201" s="26"/>
      <c r="R1201" s="26"/>
      <c r="S1201" s="26"/>
      <c r="T1201" s="20"/>
      <c r="U1201" s="26"/>
      <c r="V1201" s="26"/>
      <c r="W1201" s="20"/>
      <c r="X1201" s="20"/>
      <c r="Y1201" s="20"/>
      <c r="Z1201" s="20"/>
      <c r="AA1201" s="20"/>
      <c r="AB1201" s="20"/>
      <c r="AC1201" s="20"/>
      <c r="AD1201" s="20"/>
      <c r="AE1201" s="20"/>
    </row>
    <row r="1202">
      <c r="A1202" s="21">
        <v>29.0</v>
      </c>
      <c r="B1202" s="20" t="s">
        <v>2570</v>
      </c>
      <c r="C1202" s="20" t="s">
        <v>3094</v>
      </c>
      <c r="I1202" s="25" t="s">
        <v>1162</v>
      </c>
      <c r="J1202" s="25" t="s">
        <v>2984</v>
      </c>
      <c r="K1202" s="25" t="s">
        <v>71</v>
      </c>
      <c r="L1202" s="25" t="s">
        <v>3493</v>
      </c>
      <c r="M1202" s="20" t="s">
        <v>1313</v>
      </c>
      <c r="N1202" s="20" t="s">
        <v>1314</v>
      </c>
      <c r="O1202" s="20" t="s">
        <v>63</v>
      </c>
      <c r="P1202" s="20" t="s">
        <v>52</v>
      </c>
      <c r="Q1202" s="26"/>
      <c r="R1202" s="26"/>
      <c r="S1202" s="26"/>
      <c r="T1202" s="20"/>
      <c r="U1202" s="26"/>
      <c r="V1202" s="26"/>
      <c r="W1202" s="20"/>
      <c r="X1202" s="20"/>
      <c r="Y1202" s="20"/>
      <c r="Z1202" s="20"/>
      <c r="AA1202" s="20"/>
      <c r="AB1202" s="20"/>
      <c r="AC1202" s="20"/>
      <c r="AD1202" s="20"/>
      <c r="AE1202" s="20"/>
    </row>
    <row r="1203">
      <c r="A1203" s="21">
        <v>29.0</v>
      </c>
      <c r="B1203" s="20" t="s">
        <v>2570</v>
      </c>
      <c r="C1203" s="20" t="s">
        <v>3094</v>
      </c>
      <c r="I1203" s="25" t="s">
        <v>3068</v>
      </c>
      <c r="J1203" s="25" t="s">
        <v>2984</v>
      </c>
      <c r="K1203" s="25" t="s">
        <v>71</v>
      </c>
      <c r="L1203" s="25" t="s">
        <v>3501</v>
      </c>
      <c r="M1203" s="20" t="s">
        <v>3069</v>
      </c>
      <c r="N1203" s="20" t="s">
        <v>3070</v>
      </c>
      <c r="O1203" s="20" t="s">
        <v>63</v>
      </c>
      <c r="P1203" s="20" t="s">
        <v>52</v>
      </c>
      <c r="Q1203" s="26"/>
      <c r="R1203" s="26"/>
      <c r="S1203" s="26"/>
      <c r="T1203" s="20"/>
      <c r="U1203" s="26"/>
      <c r="V1203" s="26"/>
      <c r="W1203" s="20"/>
      <c r="X1203" s="20"/>
      <c r="Y1203" s="20"/>
      <c r="Z1203" s="20"/>
      <c r="AA1203" s="20"/>
      <c r="AB1203" s="20"/>
      <c r="AC1203" s="20"/>
      <c r="AD1203" s="20"/>
      <c r="AE1203" s="20"/>
    </row>
    <row r="1204">
      <c r="A1204" s="21">
        <v>29.0</v>
      </c>
      <c r="B1204" s="20" t="s">
        <v>2570</v>
      </c>
      <c r="C1204" s="20" t="s">
        <v>3094</v>
      </c>
      <c r="I1204" s="25" t="s">
        <v>1402</v>
      </c>
      <c r="J1204" s="25" t="s">
        <v>2984</v>
      </c>
      <c r="K1204" s="25" t="s">
        <v>71</v>
      </c>
      <c r="L1204" s="25" t="s">
        <v>226</v>
      </c>
      <c r="M1204" s="20" t="s">
        <v>3071</v>
      </c>
      <c r="N1204" s="20" t="s">
        <v>3072</v>
      </c>
      <c r="O1204" s="20" t="s">
        <v>63</v>
      </c>
      <c r="P1204" s="20" t="s">
        <v>52</v>
      </c>
      <c r="Q1204" s="26"/>
      <c r="R1204" s="26"/>
      <c r="S1204" s="26"/>
      <c r="T1204" s="22"/>
      <c r="U1204" s="26"/>
      <c r="V1204" s="26"/>
      <c r="W1204" s="20"/>
      <c r="X1204" s="20"/>
      <c r="Y1204" s="20"/>
      <c r="Z1204" s="20"/>
      <c r="AA1204" s="20"/>
      <c r="AB1204" s="20"/>
      <c r="AC1204" s="20"/>
      <c r="AD1204" s="20"/>
      <c r="AE1204" s="20"/>
    </row>
    <row r="1205">
      <c r="A1205" s="21">
        <v>29.0</v>
      </c>
      <c r="B1205" s="20" t="s">
        <v>2570</v>
      </c>
      <c r="C1205" s="20" t="s">
        <v>3094</v>
      </c>
      <c r="I1205" s="25" t="s">
        <v>3074</v>
      </c>
      <c r="J1205" s="25" t="s">
        <v>2984</v>
      </c>
      <c r="K1205" s="25" t="s">
        <v>71</v>
      </c>
      <c r="L1205" s="25" t="s">
        <v>3501</v>
      </c>
      <c r="M1205" s="20" t="s">
        <v>3075</v>
      </c>
      <c r="N1205" s="20" t="s">
        <v>3076</v>
      </c>
      <c r="O1205" s="20" t="s">
        <v>63</v>
      </c>
      <c r="P1205" s="20" t="s">
        <v>52</v>
      </c>
      <c r="Q1205" s="26"/>
      <c r="R1205" s="26"/>
      <c r="S1205" s="26"/>
      <c r="T1205" s="20"/>
      <c r="U1205" s="26"/>
      <c r="V1205" s="26"/>
      <c r="W1205" s="20"/>
      <c r="X1205" s="20"/>
      <c r="Y1205" s="20"/>
      <c r="Z1205" s="20"/>
      <c r="AA1205" s="20"/>
      <c r="AB1205" s="20"/>
      <c r="AC1205" s="20"/>
      <c r="AD1205" s="20"/>
      <c r="AE1205" s="20"/>
    </row>
    <row r="1206">
      <c r="A1206" s="21">
        <v>29.0</v>
      </c>
      <c r="B1206" s="20" t="s">
        <v>2570</v>
      </c>
      <c r="C1206" s="20" t="s">
        <v>3094</v>
      </c>
      <c r="I1206" s="25" t="s">
        <v>3077</v>
      </c>
      <c r="J1206" s="25" t="s">
        <v>2984</v>
      </c>
      <c r="K1206" s="25" t="s">
        <v>71</v>
      </c>
      <c r="L1206" s="25" t="s">
        <v>3501</v>
      </c>
      <c r="M1206" s="20" t="s">
        <v>1652</v>
      </c>
      <c r="N1206" s="20" t="s">
        <v>3078</v>
      </c>
      <c r="O1206" s="20" t="s">
        <v>63</v>
      </c>
      <c r="P1206" s="20" t="s">
        <v>52</v>
      </c>
      <c r="Q1206" s="26"/>
      <c r="R1206" s="26"/>
      <c r="S1206" s="26"/>
      <c r="T1206" s="20"/>
      <c r="U1206" s="26"/>
      <c r="V1206" s="26"/>
      <c r="W1206" s="20"/>
      <c r="X1206" s="20"/>
      <c r="Y1206" s="20"/>
      <c r="Z1206" s="20"/>
      <c r="AA1206" s="20"/>
      <c r="AB1206" s="20"/>
      <c r="AC1206" s="20"/>
      <c r="AD1206" s="20"/>
      <c r="AE1206" s="20"/>
    </row>
    <row r="1207">
      <c r="A1207" s="21">
        <v>29.0</v>
      </c>
      <c r="B1207" s="20" t="s">
        <v>2570</v>
      </c>
      <c r="C1207" s="20" t="s">
        <v>3094</v>
      </c>
      <c r="I1207" s="25" t="s">
        <v>3079</v>
      </c>
      <c r="J1207" s="25" t="s">
        <v>2984</v>
      </c>
      <c r="K1207" s="25" t="s">
        <v>71</v>
      </c>
      <c r="L1207" s="25" t="s">
        <v>3525</v>
      </c>
      <c r="M1207" s="20" t="s">
        <v>3080</v>
      </c>
      <c r="N1207" s="20" t="s">
        <v>3081</v>
      </c>
      <c r="O1207" s="20" t="s">
        <v>63</v>
      </c>
      <c r="P1207" s="20" t="s">
        <v>52</v>
      </c>
      <c r="Q1207" s="26"/>
      <c r="R1207" s="26"/>
      <c r="S1207" s="26"/>
      <c r="T1207" s="20"/>
      <c r="U1207" s="26"/>
      <c r="V1207" s="26"/>
      <c r="W1207" s="20"/>
      <c r="X1207" s="20"/>
      <c r="Y1207" s="20"/>
      <c r="Z1207" s="20"/>
      <c r="AA1207" s="20"/>
      <c r="AB1207" s="20"/>
      <c r="AC1207" s="20"/>
      <c r="AD1207" s="20"/>
      <c r="AE1207" s="20"/>
    </row>
    <row r="1208">
      <c r="A1208" s="21">
        <v>29.0</v>
      </c>
      <c r="B1208" s="20" t="s">
        <v>2570</v>
      </c>
      <c r="C1208" s="20" t="s">
        <v>3094</v>
      </c>
      <c r="I1208" s="25" t="s">
        <v>1946</v>
      </c>
      <c r="J1208" s="25" t="s">
        <v>2984</v>
      </c>
      <c r="K1208" s="25" t="s">
        <v>71</v>
      </c>
      <c r="L1208" s="25" t="s">
        <v>3527</v>
      </c>
      <c r="M1208" s="20" t="s">
        <v>1947</v>
      </c>
      <c r="N1208" s="20" t="s">
        <v>3082</v>
      </c>
      <c r="O1208" s="20" t="s">
        <v>63</v>
      </c>
      <c r="P1208" s="20" t="s">
        <v>52</v>
      </c>
      <c r="Q1208" s="26"/>
      <c r="R1208" s="26"/>
      <c r="S1208" s="26"/>
      <c r="T1208" s="20"/>
      <c r="U1208" s="26"/>
      <c r="V1208" s="26"/>
      <c r="W1208" s="20"/>
      <c r="X1208" s="20"/>
      <c r="Y1208" s="20"/>
      <c r="Z1208" s="20"/>
      <c r="AA1208" s="20"/>
      <c r="AB1208" s="20"/>
      <c r="AC1208" s="20"/>
      <c r="AD1208" s="20"/>
      <c r="AE1208" s="20"/>
    </row>
    <row r="1209">
      <c r="A1209" s="21">
        <v>29.0</v>
      </c>
      <c r="B1209" s="20" t="s">
        <v>2570</v>
      </c>
      <c r="C1209" s="20" t="s">
        <v>3094</v>
      </c>
      <c r="I1209" s="25" t="s">
        <v>2585</v>
      </c>
      <c r="J1209" s="25" t="s">
        <v>2984</v>
      </c>
      <c r="K1209" s="25" t="s">
        <v>71</v>
      </c>
      <c r="L1209" s="25" t="s">
        <v>3525</v>
      </c>
      <c r="M1209" s="20" t="s">
        <v>3083</v>
      </c>
      <c r="N1209" s="20" t="s">
        <v>3084</v>
      </c>
      <c r="O1209" s="20" t="s">
        <v>63</v>
      </c>
      <c r="P1209" s="20" t="s">
        <v>52</v>
      </c>
      <c r="Q1209" s="26"/>
      <c r="R1209" s="26"/>
      <c r="S1209" s="26"/>
      <c r="T1209" s="20"/>
      <c r="U1209" s="26"/>
      <c r="V1209" s="26"/>
      <c r="W1209" s="20"/>
      <c r="X1209" s="20"/>
      <c r="Y1209" s="20"/>
      <c r="Z1209" s="20"/>
      <c r="AA1209" s="20"/>
      <c r="AB1209" s="20"/>
      <c r="AC1209" s="20"/>
      <c r="AD1209" s="20"/>
      <c r="AE1209" s="20"/>
    </row>
    <row r="1210">
      <c r="A1210" s="21">
        <v>29.0</v>
      </c>
      <c r="B1210" s="20" t="s">
        <v>2570</v>
      </c>
      <c r="C1210" s="20" t="s">
        <v>3094</v>
      </c>
      <c r="I1210" s="25" t="s">
        <v>124</v>
      </c>
      <c r="J1210" s="25" t="s">
        <v>2984</v>
      </c>
      <c r="K1210" s="25" t="s">
        <v>71</v>
      </c>
      <c r="L1210" s="25" t="s">
        <v>3525</v>
      </c>
      <c r="M1210" s="20" t="s">
        <v>3085</v>
      </c>
      <c r="N1210" s="20" t="s">
        <v>3086</v>
      </c>
      <c r="O1210" s="20" t="s">
        <v>63</v>
      </c>
      <c r="P1210" s="20" t="s">
        <v>52</v>
      </c>
      <c r="Q1210" s="26"/>
      <c r="R1210" s="26"/>
      <c r="S1210" s="26"/>
      <c r="T1210" s="20"/>
      <c r="U1210" s="26"/>
      <c r="V1210" s="26"/>
      <c r="W1210" s="20"/>
      <c r="X1210" s="20"/>
      <c r="Y1210" s="20"/>
      <c r="Z1210" s="20"/>
      <c r="AA1210" s="20"/>
      <c r="AB1210" s="20"/>
      <c r="AC1210" s="20"/>
      <c r="AD1210" s="20"/>
      <c r="AE1210" s="20"/>
    </row>
    <row r="1211">
      <c r="A1211" s="21">
        <v>29.0</v>
      </c>
      <c r="B1211" s="20" t="s">
        <v>2570</v>
      </c>
      <c r="C1211" s="20" t="s">
        <v>3094</v>
      </c>
      <c r="I1211" s="25" t="s">
        <v>2591</v>
      </c>
      <c r="J1211" s="25" t="s">
        <v>2984</v>
      </c>
      <c r="K1211" s="25" t="s">
        <v>71</v>
      </c>
      <c r="L1211" s="25" t="s">
        <v>3525</v>
      </c>
      <c r="M1211" s="20" t="s">
        <v>3088</v>
      </c>
      <c r="N1211" s="20" t="s">
        <v>3089</v>
      </c>
      <c r="O1211" s="20" t="s">
        <v>63</v>
      </c>
      <c r="P1211" s="20" t="s">
        <v>52</v>
      </c>
      <c r="Q1211" s="26"/>
      <c r="R1211" s="26"/>
      <c r="S1211" s="26"/>
      <c r="T1211" s="20"/>
      <c r="U1211" s="26"/>
      <c r="V1211" s="26"/>
      <c r="W1211" s="20"/>
      <c r="X1211" s="20"/>
      <c r="Y1211" s="20"/>
      <c r="Z1211" s="20"/>
      <c r="AA1211" s="20"/>
      <c r="AB1211" s="20"/>
      <c r="AC1211" s="20"/>
      <c r="AD1211" s="20"/>
      <c r="AE1211" s="20"/>
    </row>
    <row r="1212">
      <c r="A1212" s="21">
        <v>30.0</v>
      </c>
      <c r="B1212" s="20" t="s">
        <v>1860</v>
      </c>
      <c r="C1212" s="20" t="s">
        <v>3094</v>
      </c>
      <c r="D1212" s="35">
        <v>30.0</v>
      </c>
      <c r="E1212" s="35">
        <v>1.0</v>
      </c>
      <c r="F1212" s="35">
        <v>8.0</v>
      </c>
      <c r="G1212" s="35">
        <v>21.0</v>
      </c>
      <c r="H1212" s="36" t="s">
        <v>3540</v>
      </c>
      <c r="I1212" s="25" t="s">
        <v>3074</v>
      </c>
      <c r="J1212" s="25" t="s">
        <v>3096</v>
      </c>
      <c r="K1212" s="25" t="s">
        <v>67</v>
      </c>
      <c r="L1212" s="25" t="s">
        <v>1133</v>
      </c>
      <c r="M1212" s="20" t="s">
        <v>61</v>
      </c>
      <c r="N1212" s="20" t="s">
        <v>3098</v>
      </c>
      <c r="O1212" s="20" t="s">
        <v>56</v>
      </c>
      <c r="P1212" s="20" t="s">
        <v>52</v>
      </c>
      <c r="Q1212" s="26"/>
      <c r="R1212" s="26"/>
      <c r="S1212" s="26"/>
      <c r="T1212" s="22"/>
      <c r="U1212" s="26"/>
      <c r="V1212" s="26"/>
      <c r="W1212" s="20"/>
      <c r="X1212" s="20"/>
      <c r="Y1212" s="20"/>
      <c r="Z1212" s="20"/>
      <c r="AA1212" s="20"/>
      <c r="AB1212" s="20"/>
      <c r="AC1212" s="20"/>
      <c r="AD1212" s="20"/>
      <c r="AE1212" s="20"/>
    </row>
    <row r="1213">
      <c r="A1213" s="21">
        <v>30.0</v>
      </c>
      <c r="B1213" s="20" t="s">
        <v>1860</v>
      </c>
      <c r="C1213" s="20" t="s">
        <v>3094</v>
      </c>
      <c r="I1213" s="25" t="s">
        <v>1162</v>
      </c>
      <c r="J1213" s="25" t="s">
        <v>3090</v>
      </c>
      <c r="K1213" s="25" t="s">
        <v>67</v>
      </c>
      <c r="L1213" s="25" t="s">
        <v>1133</v>
      </c>
      <c r="M1213" s="20" t="s">
        <v>1313</v>
      </c>
      <c r="N1213" s="20" t="s">
        <v>3093</v>
      </c>
      <c r="O1213" s="20" t="s">
        <v>56</v>
      </c>
      <c r="P1213" s="20" t="s">
        <v>52</v>
      </c>
      <c r="Q1213" s="26"/>
      <c r="R1213" s="26"/>
      <c r="S1213" s="26"/>
      <c r="T1213" s="22"/>
      <c r="U1213" s="26"/>
      <c r="V1213" s="26"/>
      <c r="W1213" s="20"/>
      <c r="X1213" s="20"/>
      <c r="Y1213" s="20"/>
      <c r="Z1213" s="20"/>
      <c r="AA1213" s="20"/>
      <c r="AB1213" s="20"/>
      <c r="AC1213" s="20"/>
      <c r="AD1213" s="20"/>
      <c r="AE1213" s="20"/>
    </row>
    <row r="1214">
      <c r="A1214" s="21">
        <v>30.0</v>
      </c>
      <c r="B1214" s="20" t="s">
        <v>1860</v>
      </c>
      <c r="C1214" s="20" t="s">
        <v>3094</v>
      </c>
      <c r="I1214" s="25" t="s">
        <v>3041</v>
      </c>
      <c r="J1214" s="25" t="s">
        <v>3090</v>
      </c>
      <c r="K1214" s="25" t="s">
        <v>57</v>
      </c>
      <c r="L1214" s="25" t="s">
        <v>3546</v>
      </c>
      <c r="M1214" s="20" t="s">
        <v>61</v>
      </c>
      <c r="N1214" s="20" t="s">
        <v>3091</v>
      </c>
      <c r="O1214" s="20" t="s">
        <v>56</v>
      </c>
      <c r="P1214" s="20"/>
      <c r="Q1214" s="26"/>
      <c r="R1214" s="26"/>
      <c r="S1214" s="26"/>
      <c r="T1214" s="20"/>
      <c r="U1214" s="26"/>
      <c r="V1214" s="26"/>
      <c r="W1214" s="20"/>
      <c r="X1214" s="20"/>
      <c r="Y1214" s="20"/>
      <c r="Z1214" s="20"/>
      <c r="AA1214" s="20"/>
      <c r="AB1214" s="20"/>
      <c r="AC1214" s="20"/>
      <c r="AD1214" s="20"/>
      <c r="AE1214" s="20"/>
    </row>
    <row r="1215">
      <c r="A1215" s="21">
        <v>30.0</v>
      </c>
      <c r="B1215" s="20" t="s">
        <v>1860</v>
      </c>
      <c r="C1215" s="20" t="s">
        <v>3094</v>
      </c>
      <c r="I1215" s="25" t="s">
        <v>3068</v>
      </c>
      <c r="J1215" s="25" t="s">
        <v>3096</v>
      </c>
      <c r="K1215" s="25" t="s">
        <v>67</v>
      </c>
      <c r="L1215" s="25" t="s">
        <v>1133</v>
      </c>
      <c r="M1215" s="20" t="s">
        <v>61</v>
      </c>
      <c r="N1215" s="20" t="s">
        <v>3100</v>
      </c>
      <c r="O1215" s="20" t="s">
        <v>56</v>
      </c>
      <c r="P1215" s="20" t="s">
        <v>52</v>
      </c>
      <c r="Q1215" s="26"/>
      <c r="R1215" s="26"/>
      <c r="S1215" s="26"/>
      <c r="T1215" s="22"/>
      <c r="U1215" s="26"/>
      <c r="V1215" s="26"/>
      <c r="W1215" s="20"/>
      <c r="X1215" s="20"/>
      <c r="Y1215" s="20"/>
      <c r="Z1215" s="20"/>
      <c r="AA1215" s="20"/>
      <c r="AB1215" s="20"/>
      <c r="AC1215" s="20"/>
      <c r="AD1215" s="20"/>
      <c r="AE1215" s="20"/>
    </row>
    <row r="1216">
      <c r="A1216" s="21">
        <v>30.0</v>
      </c>
      <c r="B1216" s="20" t="s">
        <v>1860</v>
      </c>
      <c r="C1216" s="20" t="s">
        <v>3094</v>
      </c>
      <c r="I1216" s="25" t="s">
        <v>1843</v>
      </c>
      <c r="J1216" s="25" t="s">
        <v>3096</v>
      </c>
      <c r="K1216" s="25" t="s">
        <v>67</v>
      </c>
      <c r="L1216" s="25" t="s">
        <v>3549</v>
      </c>
      <c r="M1216" s="20" t="s">
        <v>3102</v>
      </c>
      <c r="N1216" s="20" t="s">
        <v>3103</v>
      </c>
      <c r="O1216" s="20" t="s">
        <v>56</v>
      </c>
      <c r="P1216" s="20"/>
      <c r="Q1216" s="26"/>
      <c r="R1216" s="26"/>
      <c r="S1216" s="26"/>
      <c r="T1216" s="20"/>
      <c r="U1216" s="26"/>
      <c r="V1216" s="26"/>
      <c r="W1216" s="20"/>
      <c r="X1216" s="20"/>
      <c r="Y1216" s="20"/>
      <c r="Z1216" s="20"/>
      <c r="AA1216" s="20"/>
      <c r="AB1216" s="20"/>
      <c r="AC1216" s="20"/>
      <c r="AD1216" s="20"/>
      <c r="AE1216" s="20"/>
    </row>
    <row r="1217">
      <c r="A1217" s="21">
        <v>30.0</v>
      </c>
      <c r="B1217" s="20" t="s">
        <v>1860</v>
      </c>
      <c r="C1217" s="20" t="s">
        <v>3094</v>
      </c>
      <c r="I1217" s="25" t="s">
        <v>1134</v>
      </c>
      <c r="J1217" s="25" t="s">
        <v>3096</v>
      </c>
      <c r="K1217" s="25" t="s">
        <v>71</v>
      </c>
      <c r="L1217" s="25" t="s">
        <v>3553</v>
      </c>
      <c r="M1217" s="20" t="s">
        <v>1135</v>
      </c>
      <c r="N1217" s="20" t="s">
        <v>3119</v>
      </c>
      <c r="O1217" s="20" t="s">
        <v>56</v>
      </c>
      <c r="P1217" s="20"/>
      <c r="Q1217" s="26"/>
      <c r="R1217" s="26"/>
      <c r="S1217" s="26"/>
      <c r="T1217" s="20"/>
      <c r="U1217" s="26"/>
      <c r="V1217" s="26"/>
      <c r="W1217" s="20"/>
      <c r="X1217" s="20"/>
      <c r="Y1217" s="20"/>
      <c r="Z1217" s="20"/>
      <c r="AA1217" s="20"/>
      <c r="AB1217" s="20"/>
      <c r="AC1217" s="20"/>
      <c r="AD1217" s="20"/>
      <c r="AE1217" s="20"/>
    </row>
    <row r="1218">
      <c r="A1218" s="21">
        <v>30.0</v>
      </c>
      <c r="B1218" s="20" t="s">
        <v>1860</v>
      </c>
      <c r="C1218" s="20" t="s">
        <v>3094</v>
      </c>
      <c r="I1218" s="25" t="s">
        <v>2362</v>
      </c>
      <c r="J1218" s="25" t="s">
        <v>3090</v>
      </c>
      <c r="K1218" s="25" t="s">
        <v>71</v>
      </c>
      <c r="L1218" s="25" t="s">
        <v>3553</v>
      </c>
      <c r="M1218" s="20" t="s">
        <v>2363</v>
      </c>
      <c r="N1218" s="20" t="s">
        <v>3131</v>
      </c>
      <c r="O1218" s="20" t="s">
        <v>63</v>
      </c>
      <c r="P1218" s="20"/>
      <c r="Q1218" s="26"/>
      <c r="R1218" s="26"/>
      <c r="S1218" s="26"/>
      <c r="T1218" s="20"/>
      <c r="U1218" s="26"/>
      <c r="V1218" s="26"/>
      <c r="W1218" s="20"/>
      <c r="X1218" s="20"/>
      <c r="Y1218" s="20"/>
      <c r="Z1218" s="20"/>
      <c r="AA1218" s="20"/>
      <c r="AB1218" s="20"/>
      <c r="AC1218" s="20"/>
      <c r="AD1218" s="20"/>
      <c r="AE1218" s="20"/>
    </row>
    <row r="1219">
      <c r="A1219" s="21">
        <v>30.0</v>
      </c>
      <c r="B1219" s="20" t="s">
        <v>1860</v>
      </c>
      <c r="C1219" s="20" t="s">
        <v>3094</v>
      </c>
      <c r="I1219" s="25" t="s">
        <v>1356</v>
      </c>
      <c r="J1219" s="25" t="s">
        <v>3096</v>
      </c>
      <c r="K1219" s="25" t="s">
        <v>71</v>
      </c>
      <c r="L1219" s="25" t="s">
        <v>3553</v>
      </c>
      <c r="M1219" s="20" t="s">
        <v>1357</v>
      </c>
      <c r="N1219" s="20" t="s">
        <v>3120</v>
      </c>
      <c r="O1219" s="20" t="s">
        <v>56</v>
      </c>
      <c r="P1219" s="20"/>
      <c r="Q1219" s="26"/>
      <c r="R1219" s="26"/>
      <c r="S1219" s="26"/>
      <c r="T1219" s="20"/>
      <c r="U1219" s="26"/>
      <c r="V1219" s="26"/>
      <c r="W1219" s="20"/>
      <c r="X1219" s="20"/>
      <c r="Y1219" s="20"/>
      <c r="Z1219" s="20"/>
      <c r="AA1219" s="20"/>
      <c r="AB1219" s="20"/>
      <c r="AC1219" s="20"/>
      <c r="AD1219" s="20"/>
      <c r="AE1219" s="20"/>
    </row>
    <row r="1220">
      <c r="A1220" s="21">
        <v>30.0</v>
      </c>
      <c r="B1220" s="20" t="s">
        <v>1860</v>
      </c>
      <c r="C1220" s="20" t="s">
        <v>3094</v>
      </c>
      <c r="I1220" s="25" t="s">
        <v>2631</v>
      </c>
      <c r="J1220" s="25" t="s">
        <v>3090</v>
      </c>
      <c r="K1220" s="25" t="s">
        <v>67</v>
      </c>
      <c r="L1220" s="25" t="s">
        <v>1133</v>
      </c>
      <c r="M1220" s="20" t="s">
        <v>2632</v>
      </c>
      <c r="N1220" s="20" t="s">
        <v>3095</v>
      </c>
      <c r="O1220" s="20" t="s">
        <v>56</v>
      </c>
      <c r="P1220" s="20" t="s">
        <v>52</v>
      </c>
      <c r="Q1220" s="26"/>
      <c r="R1220" s="26"/>
      <c r="S1220" s="26"/>
      <c r="T1220" s="22"/>
      <c r="U1220" s="26"/>
      <c r="V1220" s="26"/>
      <c r="W1220" s="20"/>
      <c r="X1220" s="20"/>
      <c r="Y1220" s="20"/>
      <c r="Z1220" s="20"/>
      <c r="AA1220" s="20"/>
      <c r="AB1220" s="20"/>
      <c r="AC1220" s="20"/>
      <c r="AD1220" s="20"/>
      <c r="AE1220" s="20"/>
    </row>
    <row r="1221">
      <c r="A1221" s="21">
        <v>30.0</v>
      </c>
      <c r="B1221" s="20" t="s">
        <v>1860</v>
      </c>
      <c r="C1221" s="20" t="s">
        <v>3094</v>
      </c>
      <c r="I1221" s="25" t="s">
        <v>2427</v>
      </c>
      <c r="J1221" s="25" t="s">
        <v>3096</v>
      </c>
      <c r="K1221" s="25" t="s">
        <v>71</v>
      </c>
      <c r="L1221" s="25" t="s">
        <v>3563</v>
      </c>
      <c r="M1221" s="20" t="s">
        <v>61</v>
      </c>
      <c r="N1221" s="20" t="s">
        <v>3122</v>
      </c>
      <c r="O1221" s="20" t="s">
        <v>56</v>
      </c>
      <c r="P1221" s="20"/>
      <c r="Q1221" s="26"/>
      <c r="R1221" s="26"/>
      <c r="S1221" s="26"/>
      <c r="T1221" s="20"/>
      <c r="U1221" s="26"/>
      <c r="V1221" s="26"/>
      <c r="W1221" s="20"/>
      <c r="X1221" s="20"/>
      <c r="Y1221" s="20"/>
      <c r="Z1221" s="20"/>
      <c r="AA1221" s="20"/>
      <c r="AB1221" s="20"/>
      <c r="AC1221" s="20"/>
      <c r="AD1221" s="20"/>
      <c r="AE1221" s="20"/>
    </row>
    <row r="1222">
      <c r="A1222" s="21">
        <v>30.0</v>
      </c>
      <c r="B1222" s="20" t="s">
        <v>1860</v>
      </c>
      <c r="C1222" s="20" t="s">
        <v>3094</v>
      </c>
      <c r="I1222" s="25" t="s">
        <v>3132</v>
      </c>
      <c r="J1222" s="25" t="s">
        <v>3090</v>
      </c>
      <c r="K1222" s="25" t="s">
        <v>71</v>
      </c>
      <c r="L1222" s="25" t="s">
        <v>3553</v>
      </c>
      <c r="M1222" s="20" t="s">
        <v>61</v>
      </c>
      <c r="N1222" s="20" t="s">
        <v>3133</v>
      </c>
      <c r="O1222" s="20" t="s">
        <v>63</v>
      </c>
      <c r="P1222" s="20"/>
      <c r="Q1222" s="26"/>
      <c r="R1222" s="26"/>
      <c r="S1222" s="26"/>
      <c r="T1222" s="20"/>
      <c r="U1222" s="26"/>
      <c r="V1222" s="26"/>
      <c r="W1222" s="20"/>
      <c r="X1222" s="20"/>
      <c r="Y1222" s="20"/>
      <c r="Z1222" s="20"/>
      <c r="AA1222" s="20"/>
      <c r="AB1222" s="20"/>
      <c r="AC1222" s="20"/>
      <c r="AD1222" s="20"/>
      <c r="AE1222" s="20"/>
    </row>
    <row r="1223">
      <c r="A1223" s="21">
        <v>30.0</v>
      </c>
      <c r="B1223" s="20" t="s">
        <v>1860</v>
      </c>
      <c r="C1223" s="20" t="s">
        <v>3094</v>
      </c>
      <c r="I1223" s="25" t="s">
        <v>2690</v>
      </c>
      <c r="J1223" s="25" t="s">
        <v>3096</v>
      </c>
      <c r="K1223" s="25" t="s">
        <v>71</v>
      </c>
      <c r="L1223" s="25" t="s">
        <v>3553</v>
      </c>
      <c r="M1223" s="20" t="s">
        <v>2691</v>
      </c>
      <c r="N1223" s="20" t="s">
        <v>3123</v>
      </c>
      <c r="O1223" s="20" t="s">
        <v>56</v>
      </c>
      <c r="P1223" s="20"/>
      <c r="Q1223" s="26"/>
      <c r="R1223" s="26"/>
      <c r="S1223" s="26"/>
      <c r="T1223" s="20"/>
      <c r="U1223" s="26"/>
      <c r="V1223" s="26"/>
      <c r="W1223" s="20"/>
      <c r="X1223" s="20"/>
      <c r="Y1223" s="20"/>
      <c r="Z1223" s="20"/>
      <c r="AA1223" s="20"/>
      <c r="AB1223" s="20"/>
      <c r="AC1223" s="20"/>
      <c r="AD1223" s="20"/>
      <c r="AE1223" s="20"/>
    </row>
    <row r="1224">
      <c r="A1224" s="21">
        <v>30.0</v>
      </c>
      <c r="B1224" s="20" t="s">
        <v>1860</v>
      </c>
      <c r="C1224" s="20" t="s">
        <v>3094</v>
      </c>
      <c r="I1224" s="25" t="s">
        <v>2523</v>
      </c>
      <c r="J1224" s="25" t="s">
        <v>3096</v>
      </c>
      <c r="K1224" s="25" t="s">
        <v>67</v>
      </c>
      <c r="L1224" s="25" t="s">
        <v>1133</v>
      </c>
      <c r="M1224" s="20" t="s">
        <v>2524</v>
      </c>
      <c r="N1224" s="20" t="s">
        <v>3106</v>
      </c>
      <c r="O1224" s="20" t="s">
        <v>56</v>
      </c>
      <c r="P1224" s="20" t="s">
        <v>52</v>
      </c>
      <c r="Q1224" s="26"/>
      <c r="R1224" s="26"/>
      <c r="S1224" s="26"/>
      <c r="T1224" s="22"/>
      <c r="U1224" s="26"/>
      <c r="V1224" s="26"/>
      <c r="W1224" s="20"/>
      <c r="X1224" s="20"/>
      <c r="Y1224" s="20"/>
      <c r="Z1224" s="20"/>
      <c r="AA1224" s="20"/>
      <c r="AB1224" s="20"/>
      <c r="AC1224" s="20"/>
      <c r="AD1224" s="20"/>
      <c r="AE1224" s="20"/>
    </row>
    <row r="1225">
      <c r="A1225" s="21">
        <v>30.0</v>
      </c>
      <c r="B1225" s="20" t="s">
        <v>1860</v>
      </c>
      <c r="C1225" s="20" t="s">
        <v>3094</v>
      </c>
      <c r="I1225" s="25" t="s">
        <v>1833</v>
      </c>
      <c r="J1225" s="25" t="s">
        <v>3090</v>
      </c>
      <c r="K1225" s="25" t="s">
        <v>71</v>
      </c>
      <c r="L1225" s="25" t="s">
        <v>2287</v>
      </c>
      <c r="M1225" s="20" t="s">
        <v>3135</v>
      </c>
      <c r="N1225" s="20" t="s">
        <v>3136</v>
      </c>
      <c r="O1225" s="20" t="s">
        <v>63</v>
      </c>
      <c r="P1225" s="20"/>
      <c r="Q1225" s="26"/>
      <c r="R1225" s="26"/>
      <c r="S1225" s="26"/>
      <c r="T1225" s="20"/>
      <c r="U1225" s="26"/>
      <c r="V1225" s="26"/>
      <c r="W1225" s="20"/>
      <c r="X1225" s="20"/>
      <c r="Y1225" s="20"/>
      <c r="Z1225" s="20"/>
      <c r="AA1225" s="20"/>
      <c r="AB1225" s="20"/>
      <c r="AC1225" s="20"/>
      <c r="AD1225" s="20"/>
      <c r="AE1225" s="20"/>
    </row>
    <row r="1226">
      <c r="A1226" s="21">
        <v>30.0</v>
      </c>
      <c r="B1226" s="20" t="s">
        <v>1860</v>
      </c>
      <c r="C1226" s="20" t="s">
        <v>3094</v>
      </c>
      <c r="I1226" s="25" t="s">
        <v>2441</v>
      </c>
      <c r="J1226" s="25" t="s">
        <v>3096</v>
      </c>
      <c r="K1226" s="25" t="s">
        <v>71</v>
      </c>
      <c r="L1226" s="25" t="s">
        <v>3553</v>
      </c>
      <c r="M1226" s="20" t="s">
        <v>61</v>
      </c>
      <c r="N1226" s="20" t="s">
        <v>3124</v>
      </c>
      <c r="O1226" s="20" t="s">
        <v>56</v>
      </c>
      <c r="P1226" s="20"/>
      <c r="Q1226" s="26"/>
      <c r="R1226" s="26"/>
      <c r="S1226" s="26"/>
      <c r="T1226" s="20"/>
      <c r="U1226" s="26"/>
      <c r="V1226" s="26"/>
      <c r="W1226" s="20"/>
      <c r="X1226" s="20"/>
      <c r="Y1226" s="20"/>
      <c r="Z1226" s="20"/>
      <c r="AA1226" s="20"/>
      <c r="AB1226" s="20"/>
      <c r="AC1226" s="20"/>
      <c r="AD1226" s="20"/>
      <c r="AE1226" s="20"/>
    </row>
    <row r="1227">
      <c r="A1227" s="21">
        <v>30.0</v>
      </c>
      <c r="B1227" s="20" t="s">
        <v>1860</v>
      </c>
      <c r="C1227" s="20" t="s">
        <v>3094</v>
      </c>
      <c r="I1227" s="25" t="s">
        <v>2693</v>
      </c>
      <c r="J1227" s="25" t="s">
        <v>3090</v>
      </c>
      <c r="K1227" s="25" t="s">
        <v>71</v>
      </c>
      <c r="L1227" s="25" t="s">
        <v>3553</v>
      </c>
      <c r="M1227" s="20" t="s">
        <v>61</v>
      </c>
      <c r="N1227" s="20" t="s">
        <v>3137</v>
      </c>
      <c r="O1227" s="20" t="s">
        <v>63</v>
      </c>
      <c r="P1227" s="20"/>
      <c r="Q1227" s="26"/>
      <c r="R1227" s="26"/>
      <c r="S1227" s="26"/>
      <c r="T1227" s="20"/>
      <c r="U1227" s="26"/>
      <c r="V1227" s="26"/>
      <c r="W1227" s="20"/>
      <c r="X1227" s="20"/>
      <c r="Y1227" s="20"/>
      <c r="Z1227" s="20"/>
      <c r="AA1227" s="20"/>
      <c r="AB1227" s="20"/>
      <c r="AC1227" s="20"/>
      <c r="AD1227" s="20"/>
      <c r="AE1227" s="20"/>
    </row>
    <row r="1228">
      <c r="A1228" s="21">
        <v>30.0</v>
      </c>
      <c r="B1228" s="20" t="s">
        <v>1860</v>
      </c>
      <c r="C1228" s="20" t="s">
        <v>3094</v>
      </c>
      <c r="I1228" s="25" t="s">
        <v>433</v>
      </c>
      <c r="J1228" s="25" t="s">
        <v>3090</v>
      </c>
      <c r="K1228" s="25" t="s">
        <v>71</v>
      </c>
      <c r="L1228" s="25" t="s">
        <v>3583</v>
      </c>
      <c r="M1228" s="20" t="s">
        <v>3138</v>
      </c>
      <c r="N1228" s="20" t="s">
        <v>3139</v>
      </c>
      <c r="O1228" s="20" t="s">
        <v>63</v>
      </c>
      <c r="P1228" s="20"/>
      <c r="Q1228" s="26"/>
      <c r="R1228" s="26"/>
      <c r="S1228" s="26"/>
      <c r="T1228" s="20"/>
      <c r="U1228" s="26"/>
      <c r="V1228" s="26"/>
      <c r="W1228" s="20"/>
      <c r="X1228" s="20"/>
      <c r="Y1228" s="20"/>
      <c r="Z1228" s="20"/>
      <c r="AA1228" s="20"/>
      <c r="AB1228" s="20"/>
      <c r="AC1228" s="20"/>
      <c r="AD1228" s="20"/>
      <c r="AE1228" s="20"/>
    </row>
    <row r="1229">
      <c r="A1229" s="21">
        <v>30.0</v>
      </c>
      <c r="B1229" s="20" t="s">
        <v>1860</v>
      </c>
      <c r="C1229" s="20" t="s">
        <v>3094</v>
      </c>
      <c r="I1229" s="25" t="s">
        <v>3113</v>
      </c>
      <c r="J1229" s="25" t="s">
        <v>3090</v>
      </c>
      <c r="K1229" s="25" t="s">
        <v>71</v>
      </c>
      <c r="L1229" s="25" t="s">
        <v>3563</v>
      </c>
      <c r="M1229" s="20" t="s">
        <v>3114</v>
      </c>
      <c r="N1229" s="20" t="s">
        <v>3115</v>
      </c>
      <c r="O1229" s="20" t="s">
        <v>56</v>
      </c>
      <c r="P1229" s="20"/>
      <c r="Q1229" s="26"/>
      <c r="R1229" s="26"/>
      <c r="S1229" s="26"/>
      <c r="T1229" s="20"/>
      <c r="U1229" s="26"/>
      <c r="V1229" s="26"/>
      <c r="W1229" s="20"/>
      <c r="X1229" s="20"/>
      <c r="Y1229" s="20"/>
      <c r="Z1229" s="20"/>
      <c r="AA1229" s="20"/>
      <c r="AB1229" s="20"/>
      <c r="AC1229" s="20"/>
      <c r="AD1229" s="20"/>
      <c r="AE1229" s="20"/>
    </row>
    <row r="1230">
      <c r="A1230" s="21">
        <v>30.0</v>
      </c>
      <c r="B1230" s="20" t="s">
        <v>1860</v>
      </c>
      <c r="C1230" s="20" t="s">
        <v>3094</v>
      </c>
      <c r="I1230" s="25" t="s">
        <v>1817</v>
      </c>
      <c r="J1230" s="25" t="s">
        <v>3090</v>
      </c>
      <c r="K1230" s="25" t="s">
        <v>71</v>
      </c>
      <c r="L1230" s="25" t="s">
        <v>2287</v>
      </c>
      <c r="M1230" s="20" t="s">
        <v>3141</v>
      </c>
      <c r="N1230" s="20" t="s">
        <v>3142</v>
      </c>
      <c r="O1230" s="20" t="s">
        <v>63</v>
      </c>
      <c r="P1230" s="20"/>
      <c r="Q1230" s="26"/>
      <c r="R1230" s="26"/>
      <c r="S1230" s="26"/>
      <c r="T1230" s="20"/>
      <c r="U1230" s="26"/>
      <c r="V1230" s="26"/>
      <c r="W1230" s="20"/>
      <c r="X1230" s="20"/>
      <c r="Y1230" s="20"/>
      <c r="Z1230" s="20"/>
      <c r="AA1230" s="20"/>
      <c r="AB1230" s="20"/>
      <c r="AC1230" s="20"/>
      <c r="AD1230" s="20"/>
      <c r="AE1230" s="20"/>
    </row>
    <row r="1231">
      <c r="A1231" s="21">
        <v>30.0</v>
      </c>
      <c r="B1231" s="20" t="s">
        <v>1860</v>
      </c>
      <c r="C1231" s="20" t="s">
        <v>3094</v>
      </c>
      <c r="I1231" s="25" t="s">
        <v>2605</v>
      </c>
      <c r="J1231" s="25" t="s">
        <v>3090</v>
      </c>
      <c r="K1231" s="25" t="s">
        <v>71</v>
      </c>
      <c r="L1231" s="25" t="s">
        <v>3553</v>
      </c>
      <c r="M1231" s="20" t="s">
        <v>3143</v>
      </c>
      <c r="N1231" s="20" t="s">
        <v>3144</v>
      </c>
      <c r="O1231" s="20" t="s">
        <v>63</v>
      </c>
      <c r="P1231" s="20"/>
      <c r="Q1231" s="26"/>
      <c r="R1231" s="26"/>
      <c r="S1231" s="26"/>
      <c r="T1231" s="20"/>
      <c r="U1231" s="26"/>
      <c r="V1231" s="26"/>
      <c r="W1231" s="20"/>
      <c r="X1231" s="20"/>
      <c r="Y1231" s="20"/>
      <c r="Z1231" s="20"/>
      <c r="AA1231" s="20"/>
      <c r="AB1231" s="20"/>
      <c r="AC1231" s="20"/>
      <c r="AD1231" s="20"/>
      <c r="AE1231" s="20"/>
    </row>
    <row r="1232">
      <c r="A1232" s="21">
        <v>30.0</v>
      </c>
      <c r="B1232" s="20" t="s">
        <v>1860</v>
      </c>
      <c r="C1232" s="20" t="s">
        <v>3094</v>
      </c>
      <c r="I1232" s="25" t="s">
        <v>2614</v>
      </c>
      <c r="J1232" s="25" t="s">
        <v>3090</v>
      </c>
      <c r="K1232" s="25" t="s">
        <v>71</v>
      </c>
      <c r="L1232" s="25" t="s">
        <v>3553</v>
      </c>
      <c r="M1232" s="20" t="s">
        <v>3146</v>
      </c>
      <c r="N1232" s="20" t="s">
        <v>3147</v>
      </c>
      <c r="O1232" s="20" t="s">
        <v>63</v>
      </c>
      <c r="P1232" s="20"/>
      <c r="Q1232" s="26"/>
      <c r="R1232" s="26"/>
      <c r="S1232" s="26"/>
      <c r="T1232" s="20"/>
      <c r="U1232" s="26"/>
      <c r="V1232" s="26"/>
      <c r="W1232" s="20"/>
      <c r="X1232" s="20"/>
      <c r="Y1232" s="20"/>
      <c r="Z1232" s="20"/>
      <c r="AA1232" s="20"/>
      <c r="AB1232" s="20"/>
      <c r="AC1232" s="20"/>
      <c r="AD1232" s="20"/>
      <c r="AE1232" s="20"/>
    </row>
    <row r="1233">
      <c r="A1233" s="21">
        <v>30.0</v>
      </c>
      <c r="B1233" s="20" t="s">
        <v>1860</v>
      </c>
      <c r="C1233" s="20" t="s">
        <v>3094</v>
      </c>
      <c r="I1233" s="25" t="s">
        <v>1960</v>
      </c>
      <c r="J1233" s="25" t="s">
        <v>3096</v>
      </c>
      <c r="K1233" s="25" t="s">
        <v>71</v>
      </c>
      <c r="L1233" s="25" t="s">
        <v>3553</v>
      </c>
      <c r="M1233" s="20" t="s">
        <v>3125</v>
      </c>
      <c r="N1233" s="20" t="s">
        <v>3126</v>
      </c>
      <c r="O1233" s="20" t="s">
        <v>56</v>
      </c>
      <c r="P1233" s="20"/>
      <c r="Q1233" s="26"/>
      <c r="R1233" s="26"/>
      <c r="S1233" s="26"/>
      <c r="T1233" s="20"/>
      <c r="U1233" s="26"/>
      <c r="V1233" s="26"/>
      <c r="W1233" s="20"/>
      <c r="X1233" s="20"/>
      <c r="Y1233" s="20"/>
      <c r="Z1233" s="20"/>
      <c r="AA1233" s="20"/>
      <c r="AB1233" s="20"/>
      <c r="AC1233" s="20"/>
      <c r="AD1233" s="20"/>
      <c r="AE1233" s="20"/>
    </row>
    <row r="1234">
      <c r="A1234" s="21">
        <v>30.0</v>
      </c>
      <c r="B1234" s="20" t="s">
        <v>1860</v>
      </c>
      <c r="C1234" s="20" t="s">
        <v>3094</v>
      </c>
      <c r="I1234" s="25" t="s">
        <v>1989</v>
      </c>
      <c r="J1234" s="25" t="s">
        <v>3090</v>
      </c>
      <c r="K1234" s="25" t="s">
        <v>71</v>
      </c>
      <c r="L1234" s="25" t="s">
        <v>2287</v>
      </c>
      <c r="M1234" s="20" t="s">
        <v>3116</v>
      </c>
      <c r="N1234" s="20" t="s">
        <v>3118</v>
      </c>
      <c r="O1234" s="20" t="s">
        <v>56</v>
      </c>
      <c r="P1234" s="20"/>
      <c r="Q1234" s="26"/>
      <c r="R1234" s="26"/>
      <c r="S1234" s="26"/>
      <c r="T1234" s="20"/>
      <c r="U1234" s="26"/>
      <c r="V1234" s="26"/>
      <c r="W1234" s="20"/>
      <c r="X1234" s="20"/>
      <c r="Y1234" s="20"/>
      <c r="Z1234" s="20"/>
      <c r="AA1234" s="20"/>
      <c r="AB1234" s="20"/>
      <c r="AC1234" s="20"/>
      <c r="AD1234" s="20"/>
      <c r="AE1234" s="20"/>
    </row>
    <row r="1235">
      <c r="A1235" s="21">
        <v>30.0</v>
      </c>
      <c r="B1235" s="20" t="s">
        <v>1860</v>
      </c>
      <c r="C1235" s="20" t="s">
        <v>3094</v>
      </c>
      <c r="I1235" s="25" t="s">
        <v>1693</v>
      </c>
      <c r="J1235" s="25" t="s">
        <v>3096</v>
      </c>
      <c r="K1235" s="25" t="s">
        <v>67</v>
      </c>
      <c r="L1235" s="25" t="s">
        <v>1133</v>
      </c>
      <c r="M1235" s="20" t="s">
        <v>61</v>
      </c>
      <c r="N1235" s="20" t="s">
        <v>3108</v>
      </c>
      <c r="O1235" s="20" t="s">
        <v>56</v>
      </c>
      <c r="P1235" s="20" t="s">
        <v>52</v>
      </c>
      <c r="Q1235" s="26"/>
      <c r="R1235" s="26"/>
      <c r="S1235" s="26"/>
      <c r="T1235" s="22"/>
      <c r="U1235" s="26"/>
      <c r="V1235" s="26"/>
      <c r="W1235" s="20"/>
      <c r="X1235" s="20"/>
      <c r="Y1235" s="20"/>
      <c r="Z1235" s="20"/>
      <c r="AA1235" s="20"/>
      <c r="AB1235" s="20"/>
      <c r="AC1235" s="20"/>
      <c r="AD1235" s="20"/>
      <c r="AE1235" s="20"/>
    </row>
    <row r="1236">
      <c r="A1236" s="21">
        <v>30.0</v>
      </c>
      <c r="B1236" s="20" t="s">
        <v>1860</v>
      </c>
      <c r="C1236" s="20" t="s">
        <v>3094</v>
      </c>
      <c r="I1236" s="25" t="s">
        <v>3148</v>
      </c>
      <c r="J1236" s="25" t="s">
        <v>3090</v>
      </c>
      <c r="K1236" s="25" t="s">
        <v>71</v>
      </c>
      <c r="L1236" s="25" t="s">
        <v>3553</v>
      </c>
      <c r="M1236" s="20" t="s">
        <v>3149</v>
      </c>
      <c r="N1236" s="20" t="s">
        <v>3150</v>
      </c>
      <c r="O1236" s="20" t="s">
        <v>63</v>
      </c>
      <c r="P1236" s="20"/>
      <c r="Q1236" s="26"/>
      <c r="R1236" s="26"/>
      <c r="S1236" s="26"/>
      <c r="T1236" s="20"/>
      <c r="U1236" s="26"/>
      <c r="V1236" s="26"/>
      <c r="W1236" s="20"/>
      <c r="X1236" s="20"/>
      <c r="Y1236" s="20"/>
      <c r="Z1236" s="20"/>
      <c r="AA1236" s="20"/>
      <c r="AB1236" s="20"/>
      <c r="AC1236" s="20"/>
      <c r="AD1236" s="20"/>
      <c r="AE1236" s="20"/>
    </row>
    <row r="1237">
      <c r="A1237" s="21">
        <v>30.0</v>
      </c>
      <c r="B1237" s="20" t="s">
        <v>1860</v>
      </c>
      <c r="C1237" s="20" t="s">
        <v>3094</v>
      </c>
      <c r="I1237" s="25" t="s">
        <v>3109</v>
      </c>
      <c r="J1237" s="25" t="s">
        <v>3096</v>
      </c>
      <c r="K1237" s="25" t="s">
        <v>67</v>
      </c>
      <c r="L1237" s="25" t="s">
        <v>1133</v>
      </c>
      <c r="M1237" s="20" t="s">
        <v>61</v>
      </c>
      <c r="N1237" s="20" t="s">
        <v>3110</v>
      </c>
      <c r="O1237" s="20" t="s">
        <v>56</v>
      </c>
      <c r="P1237" s="20" t="s">
        <v>52</v>
      </c>
      <c r="Q1237" s="26"/>
      <c r="R1237" s="26"/>
      <c r="S1237" s="26"/>
      <c r="T1237" s="22"/>
      <c r="U1237" s="26"/>
      <c r="V1237" s="26"/>
      <c r="W1237" s="20"/>
      <c r="X1237" s="20"/>
      <c r="Y1237" s="20"/>
      <c r="Z1237" s="20"/>
      <c r="AA1237" s="20"/>
      <c r="AB1237" s="20"/>
      <c r="AC1237" s="20"/>
      <c r="AD1237" s="20"/>
      <c r="AE1237" s="20"/>
    </row>
    <row r="1238">
      <c r="A1238" s="21">
        <v>30.0</v>
      </c>
      <c r="B1238" s="20" t="s">
        <v>1860</v>
      </c>
      <c r="C1238" s="20" t="s">
        <v>3094</v>
      </c>
      <c r="I1238" s="25" t="s">
        <v>1823</v>
      </c>
      <c r="J1238" s="25" t="s">
        <v>3096</v>
      </c>
      <c r="K1238" s="25" t="s">
        <v>71</v>
      </c>
      <c r="L1238" s="25" t="s">
        <v>3606</v>
      </c>
      <c r="M1238" s="20" t="s">
        <v>3153</v>
      </c>
      <c r="N1238" s="20" t="s">
        <v>3154</v>
      </c>
      <c r="O1238" s="20" t="s">
        <v>63</v>
      </c>
      <c r="P1238" s="20"/>
      <c r="Q1238" s="26"/>
      <c r="R1238" s="26"/>
      <c r="S1238" s="26"/>
      <c r="T1238" s="20"/>
      <c r="U1238" s="26"/>
      <c r="V1238" s="26"/>
      <c r="W1238" s="20"/>
      <c r="X1238" s="20"/>
      <c r="Y1238" s="20"/>
      <c r="Z1238" s="20"/>
      <c r="AA1238" s="20"/>
      <c r="AB1238" s="20"/>
      <c r="AC1238" s="20"/>
      <c r="AD1238" s="20"/>
      <c r="AE1238" s="20"/>
    </row>
    <row r="1239">
      <c r="A1239" s="21">
        <v>30.0</v>
      </c>
      <c r="B1239" s="20" t="s">
        <v>1860</v>
      </c>
      <c r="C1239" s="20" t="s">
        <v>3094</v>
      </c>
      <c r="I1239" s="25" t="s">
        <v>2851</v>
      </c>
      <c r="J1239" s="25" t="s">
        <v>3090</v>
      </c>
      <c r="K1239" s="25" t="s">
        <v>71</v>
      </c>
      <c r="L1239" s="25" t="s">
        <v>3583</v>
      </c>
      <c r="M1239" s="20" t="s">
        <v>3151</v>
      </c>
      <c r="N1239" s="20" t="s">
        <v>3152</v>
      </c>
      <c r="O1239" s="20" t="s">
        <v>63</v>
      </c>
      <c r="P1239" s="20"/>
      <c r="Q1239" s="26"/>
      <c r="R1239" s="26"/>
      <c r="S1239" s="26"/>
      <c r="T1239" s="20"/>
      <c r="U1239" s="26"/>
      <c r="V1239" s="26"/>
      <c r="W1239" s="20"/>
      <c r="X1239" s="20"/>
      <c r="Y1239" s="20"/>
      <c r="Z1239" s="20"/>
      <c r="AA1239" s="20"/>
      <c r="AB1239" s="20"/>
      <c r="AC1239" s="20"/>
      <c r="AD1239" s="20"/>
      <c r="AE1239" s="20"/>
    </row>
    <row r="1240">
      <c r="A1240" s="21">
        <v>30.0</v>
      </c>
      <c r="B1240" s="20" t="s">
        <v>1860</v>
      </c>
      <c r="C1240" s="20" t="s">
        <v>3094</v>
      </c>
      <c r="I1240" s="25" t="s">
        <v>2914</v>
      </c>
      <c r="J1240" s="25" t="s">
        <v>3096</v>
      </c>
      <c r="K1240" s="25" t="s">
        <v>71</v>
      </c>
      <c r="L1240" s="25" t="s">
        <v>3553</v>
      </c>
      <c r="M1240" s="20" t="s">
        <v>3127</v>
      </c>
      <c r="N1240" s="20" t="s">
        <v>3128</v>
      </c>
      <c r="O1240" s="20" t="s">
        <v>56</v>
      </c>
      <c r="P1240" s="20"/>
      <c r="Q1240" s="26"/>
      <c r="R1240" s="26"/>
      <c r="S1240" s="26"/>
      <c r="T1240" s="20"/>
      <c r="U1240" s="26"/>
      <c r="V1240" s="26"/>
      <c r="W1240" s="20"/>
      <c r="X1240" s="20"/>
      <c r="Y1240" s="20"/>
      <c r="Z1240" s="20"/>
      <c r="AA1240" s="20"/>
      <c r="AB1240" s="20"/>
      <c r="AC1240" s="20"/>
      <c r="AD1240" s="20"/>
      <c r="AE1240" s="20"/>
    </row>
    <row r="1241">
      <c r="A1241" s="21">
        <v>30.0</v>
      </c>
      <c r="B1241" s="20" t="s">
        <v>1860</v>
      </c>
      <c r="C1241" s="20" t="s">
        <v>3094</v>
      </c>
      <c r="I1241" s="25" t="s">
        <v>2016</v>
      </c>
      <c r="J1241" s="25" t="s">
        <v>3096</v>
      </c>
      <c r="K1241" s="25" t="s">
        <v>71</v>
      </c>
      <c r="L1241" s="25" t="s">
        <v>3563</v>
      </c>
      <c r="M1241" s="20" t="s">
        <v>61</v>
      </c>
      <c r="N1241" s="20" t="s">
        <v>3130</v>
      </c>
      <c r="O1241" s="20" t="s">
        <v>56</v>
      </c>
      <c r="P1241" s="20"/>
      <c r="Q1241" s="26"/>
      <c r="R1241" s="26"/>
      <c r="S1241" s="26"/>
      <c r="T1241" s="20"/>
      <c r="U1241" s="26"/>
      <c r="V1241" s="26"/>
      <c r="W1241" s="20"/>
      <c r="X1241" s="20"/>
      <c r="Y1241" s="20"/>
      <c r="Z1241" s="20"/>
      <c r="AA1241" s="20"/>
      <c r="AB1241" s="20"/>
      <c r="AC1241" s="20"/>
      <c r="AD1241" s="20"/>
      <c r="AE1241" s="20"/>
    </row>
    <row r="1242">
      <c r="A1242" s="21">
        <v>31.0</v>
      </c>
      <c r="B1242" s="20" t="s">
        <v>3155</v>
      </c>
      <c r="C1242" s="20" t="s">
        <v>3094</v>
      </c>
      <c r="D1242" s="35">
        <v>30.0</v>
      </c>
      <c r="E1242" s="35">
        <v>0.0</v>
      </c>
      <c r="F1242" s="35">
        <v>2.0</v>
      </c>
      <c r="G1242" s="35">
        <v>28.0</v>
      </c>
      <c r="H1242" s="36" t="s">
        <v>3613</v>
      </c>
      <c r="I1242" s="25" t="s">
        <v>3157</v>
      </c>
      <c r="J1242" s="25" t="s">
        <v>3156</v>
      </c>
      <c r="K1242" s="25" t="s">
        <v>67</v>
      </c>
      <c r="L1242" s="25" t="s">
        <v>1133</v>
      </c>
      <c r="M1242" s="20" t="s">
        <v>3158</v>
      </c>
      <c r="N1242" s="20" t="s">
        <v>3159</v>
      </c>
      <c r="O1242" s="20" t="s">
        <v>56</v>
      </c>
      <c r="P1242" s="20" t="s">
        <v>52</v>
      </c>
      <c r="Q1242" s="26"/>
      <c r="R1242" s="26"/>
      <c r="S1242" s="26"/>
      <c r="T1242" s="22"/>
      <c r="U1242" s="26"/>
      <c r="V1242" s="26"/>
      <c r="W1242" s="20"/>
      <c r="X1242" s="20"/>
      <c r="Y1242" s="20"/>
      <c r="Z1242" s="20"/>
      <c r="AA1242" s="20"/>
      <c r="AB1242" s="20"/>
      <c r="AC1242" s="20"/>
      <c r="AD1242" s="20"/>
      <c r="AE1242" s="20"/>
    </row>
    <row r="1243">
      <c r="A1243" s="21">
        <v>31.0</v>
      </c>
      <c r="B1243" s="20" t="s">
        <v>3155</v>
      </c>
      <c r="C1243" s="20" t="s">
        <v>3094</v>
      </c>
      <c r="I1243" s="25" t="s">
        <v>124</v>
      </c>
      <c r="J1243" s="25" t="s">
        <v>3160</v>
      </c>
      <c r="K1243" s="25" t="s">
        <v>71</v>
      </c>
      <c r="L1243" s="25" t="s">
        <v>226</v>
      </c>
      <c r="M1243" s="20" t="s">
        <v>3085</v>
      </c>
      <c r="N1243" s="20" t="s">
        <v>3163</v>
      </c>
      <c r="O1243" s="20" t="s">
        <v>63</v>
      </c>
      <c r="P1243" s="20" t="s">
        <v>52</v>
      </c>
      <c r="Q1243" s="26"/>
      <c r="R1243" s="26"/>
      <c r="S1243" s="26"/>
      <c r="T1243" s="22"/>
      <c r="U1243" s="26"/>
      <c r="V1243" s="26"/>
      <c r="W1243" s="20"/>
      <c r="X1243" s="20"/>
      <c r="Y1243" s="20"/>
      <c r="Z1243" s="20"/>
      <c r="AA1243" s="20"/>
      <c r="AB1243" s="20"/>
      <c r="AC1243" s="20"/>
      <c r="AD1243" s="20"/>
      <c r="AE1243" s="20"/>
    </row>
    <row r="1244">
      <c r="A1244" s="21">
        <v>31.0</v>
      </c>
      <c r="B1244" s="20" t="s">
        <v>3155</v>
      </c>
      <c r="C1244" s="20" t="s">
        <v>3094</v>
      </c>
      <c r="I1244" s="25" t="s">
        <v>3165</v>
      </c>
      <c r="J1244" s="25" t="s">
        <v>3160</v>
      </c>
      <c r="K1244" s="25" t="s">
        <v>71</v>
      </c>
      <c r="L1244" s="25" t="s">
        <v>226</v>
      </c>
      <c r="M1244" s="20" t="s">
        <v>3166</v>
      </c>
      <c r="N1244" s="20" t="s">
        <v>3167</v>
      </c>
      <c r="O1244" s="20" t="s">
        <v>63</v>
      </c>
      <c r="P1244" s="20" t="s">
        <v>52</v>
      </c>
      <c r="Q1244" s="26"/>
      <c r="R1244" s="26"/>
      <c r="S1244" s="26"/>
      <c r="T1244" s="22"/>
      <c r="U1244" s="26"/>
      <c r="V1244" s="26"/>
      <c r="W1244" s="20"/>
      <c r="X1244" s="20"/>
      <c r="Y1244" s="20"/>
      <c r="Z1244" s="20"/>
      <c r="AA1244" s="20"/>
      <c r="AB1244" s="20"/>
      <c r="AC1244" s="20"/>
      <c r="AD1244" s="20"/>
      <c r="AE1244" s="20"/>
    </row>
    <row r="1245">
      <c r="A1245" s="21">
        <v>31.0</v>
      </c>
      <c r="B1245" s="20" t="s">
        <v>3155</v>
      </c>
      <c r="C1245" s="20" t="s">
        <v>3094</v>
      </c>
      <c r="I1245" s="25" t="s">
        <v>2570</v>
      </c>
      <c r="J1245" s="25" t="s">
        <v>3160</v>
      </c>
      <c r="K1245" s="25" t="s">
        <v>71</v>
      </c>
      <c r="L1245" s="25" t="s">
        <v>226</v>
      </c>
      <c r="M1245" s="20" t="s">
        <v>3168</v>
      </c>
      <c r="N1245" s="20" t="s">
        <v>3169</v>
      </c>
      <c r="O1245" s="20" t="s">
        <v>63</v>
      </c>
      <c r="P1245" s="20" t="s">
        <v>52</v>
      </c>
      <c r="Q1245" s="26"/>
      <c r="R1245" s="26"/>
      <c r="S1245" s="26"/>
      <c r="T1245" s="22"/>
      <c r="U1245" s="26"/>
      <c r="V1245" s="26"/>
      <c r="W1245" s="20"/>
      <c r="X1245" s="20"/>
      <c r="Y1245" s="20"/>
      <c r="Z1245" s="20"/>
      <c r="AA1245" s="20"/>
      <c r="AB1245" s="20"/>
      <c r="AC1245" s="20"/>
      <c r="AD1245" s="20"/>
      <c r="AE1245" s="20"/>
    </row>
    <row r="1246">
      <c r="A1246" s="21">
        <v>31.0</v>
      </c>
      <c r="B1246" s="20" t="s">
        <v>3155</v>
      </c>
      <c r="C1246" s="20" t="s">
        <v>3094</v>
      </c>
      <c r="I1246" s="25" t="s">
        <v>150</v>
      </c>
      <c r="J1246" s="25" t="s">
        <v>3160</v>
      </c>
      <c r="K1246" s="25" t="s">
        <v>67</v>
      </c>
      <c r="L1246" s="25" t="s">
        <v>3617</v>
      </c>
      <c r="M1246" s="20" t="s">
        <v>61</v>
      </c>
      <c r="N1246" s="20" t="s">
        <v>3161</v>
      </c>
      <c r="O1246" s="20" t="s">
        <v>63</v>
      </c>
      <c r="P1246" s="20"/>
      <c r="Q1246" s="26"/>
      <c r="R1246" s="26"/>
      <c r="S1246" s="26"/>
      <c r="T1246" s="20"/>
      <c r="U1246" s="26"/>
      <c r="V1246" s="26"/>
      <c r="W1246" s="20"/>
      <c r="X1246" s="20"/>
      <c r="Y1246" s="20"/>
      <c r="Z1246" s="20"/>
      <c r="AA1246" s="20"/>
      <c r="AB1246" s="20"/>
      <c r="AC1246" s="20"/>
      <c r="AD1246" s="20"/>
      <c r="AE1246" s="20"/>
    </row>
    <row r="1247">
      <c r="A1247" s="21">
        <v>31.0</v>
      </c>
      <c r="B1247" s="20" t="s">
        <v>3155</v>
      </c>
      <c r="C1247" s="20" t="s">
        <v>3094</v>
      </c>
      <c r="I1247" s="25" t="s">
        <v>1134</v>
      </c>
      <c r="J1247" s="25" t="s">
        <v>3160</v>
      </c>
      <c r="K1247" s="25" t="s">
        <v>71</v>
      </c>
      <c r="L1247" s="25" t="s">
        <v>3553</v>
      </c>
      <c r="M1247" s="20" t="s">
        <v>61</v>
      </c>
      <c r="N1247" s="20" t="s">
        <v>3171</v>
      </c>
      <c r="O1247" s="20" t="s">
        <v>63</v>
      </c>
      <c r="P1247" s="20"/>
      <c r="Q1247" s="26"/>
      <c r="R1247" s="26"/>
      <c r="S1247" s="26"/>
      <c r="T1247" s="20"/>
      <c r="U1247" s="26"/>
      <c r="V1247" s="26"/>
      <c r="W1247" s="20"/>
      <c r="X1247" s="20"/>
      <c r="Y1247" s="20"/>
      <c r="Z1247" s="20"/>
      <c r="AA1247" s="20"/>
      <c r="AB1247" s="20"/>
      <c r="AC1247" s="20"/>
      <c r="AD1247" s="20"/>
      <c r="AE1247" s="20"/>
    </row>
    <row r="1248">
      <c r="A1248" s="21">
        <v>31.0</v>
      </c>
      <c r="B1248" s="20" t="s">
        <v>3155</v>
      </c>
      <c r="C1248" s="20" t="s">
        <v>3094</v>
      </c>
      <c r="I1248" s="25" t="s">
        <v>2362</v>
      </c>
      <c r="J1248" s="25" t="s">
        <v>3160</v>
      </c>
      <c r="K1248" s="25" t="s">
        <v>71</v>
      </c>
      <c r="L1248" s="25" t="s">
        <v>3553</v>
      </c>
      <c r="M1248" s="20" t="s">
        <v>2363</v>
      </c>
      <c r="N1248" s="20" t="s">
        <v>3131</v>
      </c>
      <c r="O1248" s="20" t="s">
        <v>63</v>
      </c>
      <c r="P1248" s="20"/>
      <c r="Q1248" s="26"/>
      <c r="R1248" s="26"/>
      <c r="S1248" s="26"/>
      <c r="T1248" s="20"/>
      <c r="U1248" s="26"/>
      <c r="V1248" s="26"/>
      <c r="W1248" s="20"/>
      <c r="X1248" s="20"/>
      <c r="Y1248" s="20"/>
      <c r="Z1248" s="20"/>
      <c r="AA1248" s="20"/>
      <c r="AB1248" s="20"/>
      <c r="AC1248" s="20"/>
      <c r="AD1248" s="20"/>
      <c r="AE1248" s="20"/>
    </row>
    <row r="1249">
      <c r="A1249" s="21">
        <v>31.0</v>
      </c>
      <c r="B1249" s="20" t="s">
        <v>3155</v>
      </c>
      <c r="C1249" s="20" t="s">
        <v>3094</v>
      </c>
      <c r="I1249" s="25" t="s">
        <v>1356</v>
      </c>
      <c r="J1249" s="25" t="s">
        <v>3160</v>
      </c>
      <c r="K1249" s="25" t="s">
        <v>71</v>
      </c>
      <c r="L1249" s="25" t="s">
        <v>3553</v>
      </c>
      <c r="M1249" s="20" t="s">
        <v>61</v>
      </c>
      <c r="N1249" s="20" t="s">
        <v>3172</v>
      </c>
      <c r="O1249" s="20" t="s">
        <v>63</v>
      </c>
      <c r="P1249" s="20"/>
      <c r="Q1249" s="26"/>
      <c r="R1249" s="26"/>
      <c r="S1249" s="26"/>
      <c r="T1249" s="20"/>
      <c r="U1249" s="26"/>
      <c r="V1249" s="26"/>
      <c r="W1249" s="20"/>
      <c r="X1249" s="20"/>
      <c r="Y1249" s="20"/>
      <c r="Z1249" s="20"/>
      <c r="AA1249" s="20"/>
      <c r="AB1249" s="20"/>
      <c r="AC1249" s="20"/>
      <c r="AD1249" s="20"/>
      <c r="AE1249" s="20"/>
    </row>
    <row r="1250">
      <c r="A1250" s="21">
        <v>31.0</v>
      </c>
      <c r="B1250" s="20" t="s">
        <v>3155</v>
      </c>
      <c r="C1250" s="20" t="s">
        <v>3094</v>
      </c>
      <c r="I1250" s="25" t="s">
        <v>212</v>
      </c>
      <c r="J1250" s="25" t="s">
        <v>3160</v>
      </c>
      <c r="K1250" s="25" t="s">
        <v>71</v>
      </c>
      <c r="L1250" s="25" t="s">
        <v>226</v>
      </c>
      <c r="M1250" s="20" t="s">
        <v>61</v>
      </c>
      <c r="N1250" s="20" t="s">
        <v>3174</v>
      </c>
      <c r="O1250" s="20" t="s">
        <v>63</v>
      </c>
      <c r="P1250" s="20" t="s">
        <v>52</v>
      </c>
      <c r="Q1250" s="26"/>
      <c r="R1250" s="26"/>
      <c r="S1250" s="26"/>
      <c r="T1250" s="22"/>
      <c r="U1250" s="26"/>
      <c r="V1250" s="26"/>
      <c r="W1250" s="20"/>
      <c r="X1250" s="20"/>
      <c r="Y1250" s="20"/>
      <c r="Z1250" s="20"/>
      <c r="AA1250" s="20"/>
      <c r="AB1250" s="20"/>
      <c r="AC1250" s="20"/>
      <c r="AD1250" s="20"/>
      <c r="AE1250" s="20"/>
    </row>
    <row r="1251">
      <c r="A1251" s="21">
        <v>31.0</v>
      </c>
      <c r="B1251" s="20" t="s">
        <v>3155</v>
      </c>
      <c r="C1251" s="20" t="s">
        <v>3094</v>
      </c>
      <c r="I1251" s="25" t="s">
        <v>3132</v>
      </c>
      <c r="J1251" s="25" t="s">
        <v>3160</v>
      </c>
      <c r="K1251" s="25" t="s">
        <v>71</v>
      </c>
      <c r="L1251" s="25" t="s">
        <v>3553</v>
      </c>
      <c r="M1251" s="20" t="s">
        <v>61</v>
      </c>
      <c r="N1251" s="20" t="s">
        <v>3176</v>
      </c>
      <c r="O1251" s="20" t="s">
        <v>63</v>
      </c>
      <c r="P1251" s="20"/>
      <c r="Q1251" s="26"/>
      <c r="R1251" s="26"/>
      <c r="S1251" s="26"/>
      <c r="T1251" s="20"/>
      <c r="U1251" s="26"/>
      <c r="V1251" s="26"/>
      <c r="W1251" s="20"/>
      <c r="X1251" s="20"/>
      <c r="Y1251" s="20"/>
      <c r="Z1251" s="20"/>
      <c r="AA1251" s="20"/>
      <c r="AB1251" s="20"/>
      <c r="AC1251" s="20"/>
      <c r="AD1251" s="20"/>
      <c r="AE1251" s="20"/>
    </row>
    <row r="1252">
      <c r="A1252" s="21">
        <v>31.0</v>
      </c>
      <c r="B1252" s="20" t="s">
        <v>3155</v>
      </c>
      <c r="C1252" s="20" t="s">
        <v>3094</v>
      </c>
      <c r="I1252" s="25" t="s">
        <v>2690</v>
      </c>
      <c r="J1252" s="25" t="s">
        <v>3160</v>
      </c>
      <c r="K1252" s="25" t="s">
        <v>71</v>
      </c>
      <c r="L1252" s="25" t="s">
        <v>3553</v>
      </c>
      <c r="M1252" s="20" t="s">
        <v>61</v>
      </c>
      <c r="N1252" s="20" t="s">
        <v>3177</v>
      </c>
      <c r="O1252" s="20" t="s">
        <v>63</v>
      </c>
      <c r="P1252" s="20"/>
      <c r="Q1252" s="26"/>
      <c r="R1252" s="26"/>
      <c r="S1252" s="26"/>
      <c r="T1252" s="20"/>
      <c r="U1252" s="26"/>
      <c r="V1252" s="26"/>
      <c r="W1252" s="20"/>
      <c r="X1252" s="20"/>
      <c r="Y1252" s="20"/>
      <c r="Z1252" s="20"/>
      <c r="AA1252" s="20"/>
      <c r="AB1252" s="20"/>
      <c r="AC1252" s="20"/>
      <c r="AD1252" s="20"/>
      <c r="AE1252" s="20"/>
    </row>
    <row r="1253">
      <c r="A1253" s="21">
        <v>31.0</v>
      </c>
      <c r="B1253" s="20" t="s">
        <v>3155</v>
      </c>
      <c r="C1253" s="20" t="s">
        <v>3094</v>
      </c>
      <c r="I1253" s="25" t="s">
        <v>2911</v>
      </c>
      <c r="J1253" s="25" t="s">
        <v>3160</v>
      </c>
      <c r="K1253" s="25" t="s">
        <v>71</v>
      </c>
      <c r="L1253" s="25" t="s">
        <v>3553</v>
      </c>
      <c r="M1253" s="20" t="s">
        <v>3179</v>
      </c>
      <c r="N1253" s="20" t="s">
        <v>3180</v>
      </c>
      <c r="O1253" s="20" t="s">
        <v>63</v>
      </c>
      <c r="P1253" s="20"/>
      <c r="Q1253" s="26"/>
      <c r="R1253" s="26"/>
      <c r="S1253" s="26"/>
      <c r="T1253" s="20"/>
      <c r="U1253" s="26"/>
      <c r="V1253" s="26"/>
      <c r="W1253" s="20"/>
      <c r="X1253" s="20"/>
      <c r="Y1253" s="20"/>
      <c r="Z1253" s="20"/>
      <c r="AA1253" s="20"/>
      <c r="AB1253" s="20"/>
      <c r="AC1253" s="20"/>
      <c r="AD1253" s="20"/>
      <c r="AE1253" s="20"/>
    </row>
    <row r="1254">
      <c r="A1254" s="21">
        <v>31.0</v>
      </c>
      <c r="B1254" s="20" t="s">
        <v>3155</v>
      </c>
      <c r="C1254" s="20" t="s">
        <v>3094</v>
      </c>
      <c r="I1254" s="25" t="s">
        <v>2693</v>
      </c>
      <c r="J1254" s="25" t="s">
        <v>3160</v>
      </c>
      <c r="K1254" s="25" t="s">
        <v>71</v>
      </c>
      <c r="L1254" s="25" t="s">
        <v>3553</v>
      </c>
      <c r="M1254" s="20" t="s">
        <v>61</v>
      </c>
      <c r="N1254" s="20" t="s">
        <v>3137</v>
      </c>
      <c r="O1254" s="20" t="s">
        <v>63</v>
      </c>
      <c r="P1254" s="20"/>
      <c r="Q1254" s="26"/>
      <c r="R1254" s="26"/>
      <c r="S1254" s="26"/>
      <c r="T1254" s="20"/>
      <c r="U1254" s="26"/>
      <c r="V1254" s="26"/>
      <c r="W1254" s="20"/>
      <c r="X1254" s="20"/>
      <c r="Y1254" s="20"/>
      <c r="Z1254" s="20"/>
      <c r="AA1254" s="20"/>
      <c r="AB1254" s="20"/>
      <c r="AC1254" s="20"/>
      <c r="AD1254" s="20"/>
      <c r="AE1254" s="20"/>
    </row>
    <row r="1255">
      <c r="A1255" s="21">
        <v>31.0</v>
      </c>
      <c r="B1255" s="20" t="s">
        <v>3155</v>
      </c>
      <c r="C1255" s="20" t="s">
        <v>3094</v>
      </c>
      <c r="I1255" s="25" t="s">
        <v>3113</v>
      </c>
      <c r="J1255" s="25" t="s">
        <v>3160</v>
      </c>
      <c r="K1255" s="25" t="s">
        <v>71</v>
      </c>
      <c r="L1255" s="25" t="s">
        <v>3553</v>
      </c>
      <c r="M1255" s="20" t="s">
        <v>61</v>
      </c>
      <c r="N1255" s="20" t="s">
        <v>3181</v>
      </c>
      <c r="O1255" s="20" t="s">
        <v>63</v>
      </c>
      <c r="P1255" s="20"/>
      <c r="Q1255" s="26"/>
      <c r="R1255" s="26"/>
      <c r="S1255" s="26"/>
      <c r="T1255" s="20"/>
      <c r="U1255" s="26"/>
      <c r="V1255" s="26"/>
      <c r="W1255" s="20"/>
      <c r="X1255" s="20"/>
      <c r="Y1255" s="20"/>
      <c r="Z1255" s="20"/>
      <c r="AA1255" s="20"/>
      <c r="AB1255" s="20"/>
      <c r="AC1255" s="20"/>
      <c r="AD1255" s="20"/>
      <c r="AE1255" s="20"/>
    </row>
    <row r="1256">
      <c r="A1256" s="21">
        <v>31.0</v>
      </c>
      <c r="B1256" s="20" t="s">
        <v>3155</v>
      </c>
      <c r="C1256" s="20" t="s">
        <v>3094</v>
      </c>
      <c r="I1256" s="25" t="s">
        <v>2605</v>
      </c>
      <c r="J1256" s="25" t="s">
        <v>3160</v>
      </c>
      <c r="K1256" s="25" t="s">
        <v>71</v>
      </c>
      <c r="L1256" s="25" t="s">
        <v>3553</v>
      </c>
      <c r="M1256" s="20" t="s">
        <v>3143</v>
      </c>
      <c r="N1256" s="20" t="s">
        <v>3144</v>
      </c>
      <c r="O1256" s="20" t="s">
        <v>63</v>
      </c>
      <c r="P1256" s="20"/>
      <c r="Q1256" s="26"/>
      <c r="R1256" s="26"/>
      <c r="S1256" s="26"/>
      <c r="T1256" s="20"/>
      <c r="U1256" s="26"/>
      <c r="V1256" s="26"/>
      <c r="W1256" s="20"/>
      <c r="X1256" s="20"/>
      <c r="Y1256" s="20"/>
      <c r="Z1256" s="20"/>
      <c r="AA1256" s="20"/>
      <c r="AB1256" s="20"/>
      <c r="AC1256" s="20"/>
      <c r="AD1256" s="20"/>
      <c r="AE1256" s="20"/>
    </row>
    <row r="1257">
      <c r="A1257" s="21">
        <v>31.0</v>
      </c>
      <c r="B1257" s="20" t="s">
        <v>3155</v>
      </c>
      <c r="C1257" s="20" t="s">
        <v>3094</v>
      </c>
      <c r="I1257" s="25" t="s">
        <v>2614</v>
      </c>
      <c r="J1257" s="25" t="s">
        <v>3160</v>
      </c>
      <c r="K1257" s="25" t="s">
        <v>71</v>
      </c>
      <c r="L1257" s="25" t="s">
        <v>3553</v>
      </c>
      <c r="M1257" s="20" t="s">
        <v>3146</v>
      </c>
      <c r="N1257" s="20" t="s">
        <v>3147</v>
      </c>
      <c r="O1257" s="20" t="s">
        <v>63</v>
      </c>
      <c r="P1257" s="20"/>
      <c r="Q1257" s="26"/>
      <c r="R1257" s="26"/>
      <c r="S1257" s="26"/>
      <c r="T1257" s="20"/>
      <c r="U1257" s="26"/>
      <c r="V1257" s="26"/>
      <c r="W1257" s="20"/>
      <c r="X1257" s="20"/>
      <c r="Y1257" s="20"/>
      <c r="Z1257" s="20"/>
      <c r="AA1257" s="20"/>
      <c r="AB1257" s="20"/>
      <c r="AC1257" s="20"/>
      <c r="AD1257" s="20"/>
      <c r="AE1257" s="20"/>
    </row>
    <row r="1258">
      <c r="A1258" s="21">
        <v>31.0</v>
      </c>
      <c r="B1258" s="20" t="s">
        <v>3155</v>
      </c>
      <c r="C1258" s="20" t="s">
        <v>3094</v>
      </c>
      <c r="I1258" s="25" t="s">
        <v>1960</v>
      </c>
      <c r="J1258" s="25" t="s">
        <v>3160</v>
      </c>
      <c r="K1258" s="25" t="s">
        <v>71</v>
      </c>
      <c r="L1258" s="25" t="s">
        <v>3553</v>
      </c>
      <c r="M1258" s="20" t="s">
        <v>3125</v>
      </c>
      <c r="N1258" s="20" t="s">
        <v>3126</v>
      </c>
      <c r="O1258" s="20" t="s">
        <v>63</v>
      </c>
      <c r="P1258" s="20"/>
      <c r="Q1258" s="26"/>
      <c r="R1258" s="26"/>
      <c r="S1258" s="26"/>
      <c r="T1258" s="20"/>
      <c r="U1258" s="26"/>
      <c r="V1258" s="26"/>
      <c r="W1258" s="20"/>
      <c r="X1258" s="20"/>
      <c r="Y1258" s="20"/>
      <c r="Z1258" s="20"/>
      <c r="AA1258" s="20"/>
      <c r="AB1258" s="20"/>
      <c r="AC1258" s="20"/>
      <c r="AD1258" s="20"/>
      <c r="AE1258" s="20"/>
    </row>
    <row r="1259">
      <c r="A1259" s="21">
        <v>31.0</v>
      </c>
      <c r="B1259" s="20" t="s">
        <v>3155</v>
      </c>
      <c r="C1259" s="20" t="s">
        <v>3094</v>
      </c>
      <c r="I1259" s="25" t="s">
        <v>2475</v>
      </c>
      <c r="J1259" s="25" t="s">
        <v>3160</v>
      </c>
      <c r="K1259" s="25" t="s">
        <v>71</v>
      </c>
      <c r="L1259" s="25" t="s">
        <v>3553</v>
      </c>
      <c r="M1259" s="20" t="s">
        <v>3182</v>
      </c>
      <c r="N1259" s="20" t="s">
        <v>3183</v>
      </c>
      <c r="O1259" s="20" t="s">
        <v>63</v>
      </c>
      <c r="P1259" s="20"/>
      <c r="Q1259" s="26"/>
      <c r="R1259" s="26"/>
      <c r="S1259" s="26"/>
      <c r="T1259" s="20"/>
      <c r="U1259" s="26"/>
      <c r="V1259" s="26"/>
      <c r="W1259" s="20"/>
      <c r="X1259" s="20"/>
      <c r="Y1259" s="20"/>
      <c r="Z1259" s="20"/>
      <c r="AA1259" s="20"/>
      <c r="AB1259" s="20"/>
      <c r="AC1259" s="20"/>
      <c r="AD1259" s="20"/>
      <c r="AE1259" s="20"/>
    </row>
    <row r="1260">
      <c r="A1260" s="21">
        <v>31.0</v>
      </c>
      <c r="B1260" s="20" t="s">
        <v>3155</v>
      </c>
      <c r="C1260" s="20" t="s">
        <v>3094</v>
      </c>
      <c r="I1260" s="25" t="s">
        <v>3148</v>
      </c>
      <c r="J1260" s="25" t="s">
        <v>3160</v>
      </c>
      <c r="K1260" s="25" t="s">
        <v>71</v>
      </c>
      <c r="L1260" s="25" t="s">
        <v>3553</v>
      </c>
      <c r="M1260" s="20" t="s">
        <v>3149</v>
      </c>
      <c r="N1260" s="20" t="s">
        <v>3184</v>
      </c>
      <c r="O1260" s="20" t="s">
        <v>63</v>
      </c>
      <c r="P1260" s="20"/>
      <c r="Q1260" s="26"/>
      <c r="R1260" s="26"/>
      <c r="S1260" s="26"/>
      <c r="T1260" s="20"/>
      <c r="U1260" s="26"/>
      <c r="V1260" s="26"/>
      <c r="W1260" s="20"/>
      <c r="X1260" s="20"/>
      <c r="Y1260" s="20"/>
      <c r="Z1260" s="20"/>
      <c r="AA1260" s="20"/>
      <c r="AB1260" s="20"/>
      <c r="AC1260" s="20"/>
      <c r="AD1260" s="20"/>
      <c r="AE1260" s="20"/>
    </row>
    <row r="1261">
      <c r="A1261" s="21">
        <v>31.0</v>
      </c>
      <c r="B1261" s="20" t="s">
        <v>3155</v>
      </c>
      <c r="C1261" s="20" t="s">
        <v>3094</v>
      </c>
      <c r="I1261" s="25" t="s">
        <v>2663</v>
      </c>
      <c r="J1261" s="25" t="s">
        <v>3160</v>
      </c>
      <c r="K1261" s="25" t="s">
        <v>71</v>
      </c>
      <c r="L1261" s="25" t="s">
        <v>3553</v>
      </c>
      <c r="M1261" s="20" t="s">
        <v>3185</v>
      </c>
      <c r="N1261" s="20" t="s">
        <v>3186</v>
      </c>
      <c r="O1261" s="20" t="s">
        <v>63</v>
      </c>
      <c r="P1261" s="20"/>
      <c r="Q1261" s="26"/>
      <c r="R1261" s="26"/>
      <c r="S1261" s="26"/>
      <c r="T1261" s="20"/>
      <c r="U1261" s="26"/>
      <c r="V1261" s="26"/>
      <c r="W1261" s="20"/>
      <c r="X1261" s="20"/>
      <c r="Y1261" s="20"/>
      <c r="Z1261" s="20"/>
      <c r="AA1261" s="20"/>
      <c r="AB1261" s="20"/>
      <c r="AC1261" s="20"/>
      <c r="AD1261" s="20"/>
      <c r="AE1261" s="20"/>
    </row>
    <row r="1262">
      <c r="A1262" s="21">
        <v>31.0</v>
      </c>
      <c r="B1262" s="20" t="s">
        <v>3155</v>
      </c>
      <c r="C1262" s="20" t="s">
        <v>3094</v>
      </c>
      <c r="I1262" s="25" t="s">
        <v>1843</v>
      </c>
      <c r="J1262" s="25" t="s">
        <v>3160</v>
      </c>
      <c r="K1262" s="25" t="s">
        <v>71</v>
      </c>
      <c r="L1262" s="25" t="s">
        <v>3553</v>
      </c>
      <c r="M1262" s="20" t="s">
        <v>3187</v>
      </c>
      <c r="N1262" s="20" t="s">
        <v>3188</v>
      </c>
      <c r="O1262" s="20" t="s">
        <v>63</v>
      </c>
      <c r="P1262" s="20"/>
      <c r="Q1262" s="26"/>
      <c r="R1262" s="26"/>
      <c r="S1262" s="26"/>
      <c r="T1262" s="20"/>
      <c r="U1262" s="26"/>
      <c r="V1262" s="26"/>
      <c r="W1262" s="20"/>
      <c r="X1262" s="20"/>
      <c r="Y1262" s="20"/>
      <c r="Z1262" s="20"/>
      <c r="AA1262" s="20"/>
      <c r="AB1262" s="20"/>
      <c r="AC1262" s="20"/>
      <c r="AD1262" s="20"/>
      <c r="AE1262" s="20"/>
    </row>
    <row r="1263">
      <c r="A1263" s="21">
        <v>31.0</v>
      </c>
      <c r="B1263" s="20" t="s">
        <v>3155</v>
      </c>
      <c r="C1263" s="20" t="s">
        <v>3094</v>
      </c>
      <c r="I1263" s="25" t="s">
        <v>2914</v>
      </c>
      <c r="J1263" s="25" t="s">
        <v>3160</v>
      </c>
      <c r="K1263" s="25" t="s">
        <v>71</v>
      </c>
      <c r="L1263" s="25" t="s">
        <v>3553</v>
      </c>
      <c r="M1263" s="20" t="s">
        <v>3127</v>
      </c>
      <c r="N1263" s="20" t="s">
        <v>3189</v>
      </c>
      <c r="O1263" s="20" t="s">
        <v>63</v>
      </c>
      <c r="P1263" s="20"/>
      <c r="Q1263" s="26"/>
      <c r="R1263" s="26"/>
      <c r="S1263" s="26"/>
      <c r="T1263" s="20"/>
      <c r="U1263" s="26"/>
      <c r="V1263" s="26"/>
      <c r="W1263" s="20"/>
      <c r="X1263" s="20"/>
      <c r="Y1263" s="20"/>
      <c r="Z1263" s="20"/>
      <c r="AA1263" s="20"/>
      <c r="AB1263" s="20"/>
      <c r="AC1263" s="20"/>
      <c r="AD1263" s="20"/>
      <c r="AE1263" s="20"/>
    </row>
    <row r="1264">
      <c r="A1264" s="21">
        <v>31.0</v>
      </c>
      <c r="B1264" s="20" t="s">
        <v>3155</v>
      </c>
      <c r="C1264" s="20" t="s">
        <v>3094</v>
      </c>
      <c r="I1264" s="25" t="s">
        <v>2595</v>
      </c>
      <c r="J1264" s="25" t="s">
        <v>3160</v>
      </c>
      <c r="K1264" s="25" t="s">
        <v>71</v>
      </c>
      <c r="L1264" s="25" t="s">
        <v>226</v>
      </c>
      <c r="M1264" s="20" t="s">
        <v>3190</v>
      </c>
      <c r="N1264" s="20" t="s">
        <v>3191</v>
      </c>
      <c r="O1264" s="20" t="s">
        <v>63</v>
      </c>
      <c r="P1264" s="20" t="s">
        <v>52</v>
      </c>
      <c r="Q1264" s="26"/>
      <c r="R1264" s="26"/>
      <c r="S1264" s="26"/>
      <c r="T1264" s="22"/>
      <c r="U1264" s="26"/>
      <c r="V1264" s="26"/>
      <c r="W1264" s="20"/>
      <c r="X1264" s="20"/>
      <c r="Y1264" s="20"/>
      <c r="Z1264" s="20"/>
      <c r="AA1264" s="20"/>
      <c r="AB1264" s="20"/>
      <c r="AC1264" s="20"/>
      <c r="AD1264" s="20"/>
      <c r="AE1264" s="20"/>
    </row>
    <row r="1265">
      <c r="A1265" s="21">
        <v>31.0</v>
      </c>
      <c r="B1265" s="20" t="s">
        <v>3155</v>
      </c>
      <c r="C1265" s="20" t="s">
        <v>3094</v>
      </c>
      <c r="I1265" s="25" t="s">
        <v>2520</v>
      </c>
      <c r="J1265" s="25" t="s">
        <v>3160</v>
      </c>
      <c r="K1265" s="25" t="s">
        <v>71</v>
      </c>
      <c r="L1265" s="25" t="s">
        <v>3553</v>
      </c>
      <c r="M1265" s="20" t="s">
        <v>2521</v>
      </c>
      <c r="N1265" s="20" t="s">
        <v>3192</v>
      </c>
      <c r="O1265" s="20" t="s">
        <v>63</v>
      </c>
      <c r="P1265" s="20"/>
      <c r="Q1265" s="26"/>
      <c r="R1265" s="26"/>
      <c r="S1265" s="26"/>
      <c r="T1265" s="20"/>
      <c r="U1265" s="26"/>
      <c r="V1265" s="26"/>
      <c r="W1265" s="20"/>
      <c r="X1265" s="20"/>
      <c r="Y1265" s="20"/>
      <c r="Z1265" s="20"/>
      <c r="AA1265" s="20"/>
      <c r="AB1265" s="20"/>
      <c r="AC1265" s="20"/>
      <c r="AD1265" s="20"/>
      <c r="AE1265" s="20"/>
    </row>
    <row r="1266">
      <c r="A1266" s="21">
        <v>31.0</v>
      </c>
      <c r="B1266" s="20" t="s">
        <v>3155</v>
      </c>
      <c r="C1266" s="20" t="s">
        <v>3094</v>
      </c>
      <c r="I1266" s="25" t="s">
        <v>2417</v>
      </c>
      <c r="J1266" s="25" t="s">
        <v>3160</v>
      </c>
      <c r="K1266" s="25" t="s">
        <v>71</v>
      </c>
      <c r="L1266" s="25" t="s">
        <v>3553</v>
      </c>
      <c r="M1266" s="20" t="s">
        <v>3193</v>
      </c>
      <c r="N1266" s="20" t="s">
        <v>3194</v>
      </c>
      <c r="O1266" s="20" t="s">
        <v>63</v>
      </c>
      <c r="P1266" s="20"/>
      <c r="Q1266" s="26"/>
      <c r="R1266" s="26"/>
      <c r="S1266" s="26"/>
      <c r="T1266" s="20"/>
      <c r="U1266" s="26"/>
      <c r="V1266" s="26"/>
      <c r="W1266" s="20"/>
      <c r="X1266" s="20"/>
      <c r="Y1266" s="20"/>
      <c r="Z1266" s="20"/>
      <c r="AA1266" s="20"/>
      <c r="AB1266" s="20"/>
      <c r="AC1266" s="20"/>
      <c r="AD1266" s="20"/>
      <c r="AE1266" s="20"/>
    </row>
    <row r="1267">
      <c r="A1267" s="21">
        <v>31.0</v>
      </c>
      <c r="B1267" s="20" t="s">
        <v>3155</v>
      </c>
      <c r="C1267" s="20" t="s">
        <v>3094</v>
      </c>
      <c r="I1267" s="25" t="s">
        <v>1278</v>
      </c>
      <c r="J1267" s="25" t="s">
        <v>3160</v>
      </c>
      <c r="K1267" s="25" t="s">
        <v>71</v>
      </c>
      <c r="L1267" s="25" t="s">
        <v>226</v>
      </c>
      <c r="M1267" s="20" t="s">
        <v>3195</v>
      </c>
      <c r="N1267" s="20" t="s">
        <v>3196</v>
      </c>
      <c r="O1267" s="20" t="s">
        <v>63</v>
      </c>
      <c r="P1267" s="20" t="s">
        <v>52</v>
      </c>
      <c r="Q1267" s="26"/>
      <c r="R1267" s="26"/>
      <c r="S1267" s="26"/>
      <c r="T1267" s="22"/>
      <c r="U1267" s="26"/>
      <c r="V1267" s="26"/>
      <c r="W1267" s="20"/>
      <c r="X1267" s="20"/>
      <c r="Y1267" s="20"/>
      <c r="Z1267" s="20"/>
      <c r="AA1267" s="20"/>
      <c r="AB1267" s="20"/>
      <c r="AC1267" s="20"/>
      <c r="AD1267" s="20"/>
      <c r="AE1267" s="20"/>
    </row>
    <row r="1268">
      <c r="A1268" s="21">
        <v>31.0</v>
      </c>
      <c r="B1268" s="20" t="s">
        <v>3155</v>
      </c>
      <c r="C1268" s="20" t="s">
        <v>3094</v>
      </c>
      <c r="I1268" s="25" t="s">
        <v>101</v>
      </c>
      <c r="J1268" s="25" t="s">
        <v>3160</v>
      </c>
      <c r="K1268" s="25" t="s">
        <v>71</v>
      </c>
      <c r="L1268" s="25" t="s">
        <v>292</v>
      </c>
      <c r="M1268" s="20" t="s">
        <v>3197</v>
      </c>
      <c r="N1268" s="20" t="s">
        <v>3198</v>
      </c>
      <c r="O1268" s="20" t="s">
        <v>63</v>
      </c>
      <c r="P1268" s="20" t="s">
        <v>52</v>
      </c>
      <c r="Q1268" s="26"/>
      <c r="R1268" s="26"/>
      <c r="S1268" s="26"/>
      <c r="T1268" s="22"/>
      <c r="U1268" s="26"/>
      <c r="V1268" s="26"/>
      <c r="W1268" s="20"/>
      <c r="X1268" s="20"/>
      <c r="Y1268" s="20"/>
      <c r="Z1268" s="20"/>
      <c r="AA1268" s="20"/>
      <c r="AB1268" s="20"/>
      <c r="AC1268" s="20"/>
      <c r="AD1268" s="20"/>
      <c r="AE1268" s="20"/>
    </row>
    <row r="1269">
      <c r="A1269" s="21">
        <v>31.0</v>
      </c>
      <c r="B1269" s="20" t="s">
        <v>3155</v>
      </c>
      <c r="C1269" s="20" t="s">
        <v>3094</v>
      </c>
      <c r="I1269" s="25" t="s">
        <v>1997</v>
      </c>
      <c r="J1269" s="25" t="s">
        <v>3160</v>
      </c>
      <c r="K1269" s="25" t="s">
        <v>71</v>
      </c>
      <c r="L1269" s="25" t="s">
        <v>3553</v>
      </c>
      <c r="M1269" s="20" t="s">
        <v>61</v>
      </c>
      <c r="N1269" s="20" t="s">
        <v>3199</v>
      </c>
      <c r="O1269" s="20" t="s">
        <v>63</v>
      </c>
      <c r="P1269" s="20"/>
      <c r="Q1269" s="26"/>
      <c r="R1269" s="26"/>
      <c r="S1269" s="26"/>
      <c r="T1269" s="20"/>
      <c r="U1269" s="26"/>
      <c r="V1269" s="26"/>
      <c r="W1269" s="20"/>
      <c r="X1269" s="20"/>
      <c r="Y1269" s="20"/>
      <c r="Z1269" s="20"/>
      <c r="AA1269" s="20"/>
      <c r="AB1269" s="20"/>
      <c r="AC1269" s="20"/>
      <c r="AD1269" s="20"/>
      <c r="AE1269" s="20"/>
    </row>
    <row r="1270">
      <c r="A1270" s="21">
        <v>31.0</v>
      </c>
      <c r="B1270" s="20" t="s">
        <v>3155</v>
      </c>
      <c r="C1270" s="20" t="s">
        <v>3094</v>
      </c>
      <c r="I1270" s="25" t="s">
        <v>2058</v>
      </c>
      <c r="J1270" s="25" t="s">
        <v>3160</v>
      </c>
      <c r="K1270" s="25" t="s">
        <v>71</v>
      </c>
      <c r="L1270" s="25" t="s">
        <v>3553</v>
      </c>
      <c r="M1270" s="20" t="s">
        <v>3200</v>
      </c>
      <c r="N1270" s="20" t="s">
        <v>3201</v>
      </c>
      <c r="O1270" s="20" t="s">
        <v>63</v>
      </c>
      <c r="P1270" s="20"/>
      <c r="Q1270" s="26"/>
      <c r="R1270" s="26"/>
      <c r="S1270" s="26"/>
      <c r="T1270" s="20"/>
      <c r="U1270" s="26"/>
      <c r="V1270" s="26"/>
      <c r="W1270" s="20"/>
      <c r="X1270" s="20"/>
      <c r="Y1270" s="20"/>
      <c r="Z1270" s="20"/>
      <c r="AA1270" s="20"/>
      <c r="AB1270" s="20"/>
      <c r="AC1270" s="20"/>
      <c r="AD1270" s="20"/>
      <c r="AE1270" s="20"/>
    </row>
    <row r="1271">
      <c r="A1271" s="21">
        <v>31.0</v>
      </c>
      <c r="B1271" s="20" t="s">
        <v>3155</v>
      </c>
      <c r="C1271" s="20" t="s">
        <v>3094</v>
      </c>
      <c r="I1271" s="25" t="s">
        <v>3202</v>
      </c>
      <c r="J1271" s="25" t="s">
        <v>3160</v>
      </c>
      <c r="K1271" s="25" t="s">
        <v>71</v>
      </c>
      <c r="L1271" s="25" t="s">
        <v>3553</v>
      </c>
      <c r="M1271" s="20" t="s">
        <v>3203</v>
      </c>
      <c r="N1271" s="20" t="s">
        <v>3204</v>
      </c>
      <c r="O1271" s="20" t="s">
        <v>63</v>
      </c>
      <c r="P1271" s="20"/>
      <c r="Q1271" s="26"/>
      <c r="R1271" s="26"/>
      <c r="S1271" s="26"/>
      <c r="T1271" s="20"/>
      <c r="U1271" s="26"/>
      <c r="V1271" s="26"/>
      <c r="W1271" s="20"/>
      <c r="X1271" s="20"/>
      <c r="Y1271" s="20"/>
      <c r="Z1271" s="20"/>
      <c r="AA1271" s="20"/>
      <c r="AB1271" s="20"/>
      <c r="AC1271" s="20"/>
      <c r="AD1271" s="20"/>
      <c r="AE1271" s="20"/>
    </row>
    <row r="1272">
      <c r="A1272" s="21">
        <v>32.0</v>
      </c>
      <c r="B1272" s="20" t="s">
        <v>2466</v>
      </c>
      <c r="C1272" s="20" t="s">
        <v>3094</v>
      </c>
      <c r="D1272" s="35">
        <v>30.0</v>
      </c>
      <c r="E1272" s="35">
        <v>1.0</v>
      </c>
      <c r="F1272" s="35">
        <v>4.0</v>
      </c>
      <c r="G1272" s="35">
        <v>25.0</v>
      </c>
      <c r="H1272" s="36" t="s">
        <v>3648</v>
      </c>
      <c r="I1272" s="25" t="s">
        <v>1139</v>
      </c>
      <c r="J1272" s="25" t="s">
        <v>3205</v>
      </c>
      <c r="K1272" s="25" t="s">
        <v>57</v>
      </c>
      <c r="L1272" s="25" t="s">
        <v>3650</v>
      </c>
      <c r="M1272" s="20" t="s">
        <v>61</v>
      </c>
      <c r="N1272" s="20" t="s">
        <v>3206</v>
      </c>
      <c r="O1272" s="20" t="s">
        <v>63</v>
      </c>
      <c r="P1272" s="20"/>
      <c r="Q1272" s="26"/>
      <c r="R1272" s="26"/>
      <c r="S1272" s="26"/>
      <c r="T1272" s="20"/>
      <c r="U1272" s="26"/>
      <c r="V1272" s="26"/>
      <c r="W1272" s="20"/>
      <c r="X1272" s="20"/>
      <c r="Y1272" s="20"/>
      <c r="Z1272" s="20"/>
      <c r="AA1272" s="20"/>
      <c r="AB1272" s="20"/>
      <c r="AC1272" s="20"/>
      <c r="AD1272" s="20"/>
      <c r="AE1272" s="20"/>
    </row>
    <row r="1273">
      <c r="A1273" s="21">
        <v>32.0</v>
      </c>
      <c r="B1273" s="20" t="s">
        <v>2466</v>
      </c>
      <c r="C1273" s="20" t="s">
        <v>3094</v>
      </c>
      <c r="I1273" s="25" t="s">
        <v>2068</v>
      </c>
      <c r="J1273" s="25" t="s">
        <v>3207</v>
      </c>
      <c r="K1273" s="25" t="s">
        <v>67</v>
      </c>
      <c r="L1273" s="25" t="s">
        <v>3651</v>
      </c>
      <c r="M1273" s="20" t="s">
        <v>61</v>
      </c>
      <c r="N1273" s="20" t="s">
        <v>3208</v>
      </c>
      <c r="O1273" s="20" t="s">
        <v>63</v>
      </c>
      <c r="P1273" s="20"/>
      <c r="Q1273" s="26"/>
      <c r="R1273" s="26"/>
      <c r="S1273" s="26"/>
      <c r="T1273" s="20"/>
      <c r="U1273" s="26"/>
      <c r="V1273" s="26"/>
      <c r="W1273" s="20"/>
      <c r="X1273" s="20"/>
      <c r="Y1273" s="20"/>
      <c r="Z1273" s="20"/>
      <c r="AA1273" s="20"/>
      <c r="AB1273" s="20"/>
      <c r="AC1273" s="20"/>
      <c r="AD1273" s="20"/>
      <c r="AE1273" s="20"/>
    </row>
    <row r="1274">
      <c r="A1274" s="21">
        <v>32.0</v>
      </c>
      <c r="B1274" s="20" t="s">
        <v>2466</v>
      </c>
      <c r="C1274" s="20" t="s">
        <v>3094</v>
      </c>
      <c r="I1274" s="25" t="s">
        <v>1693</v>
      </c>
      <c r="J1274" s="25" t="s">
        <v>3205</v>
      </c>
      <c r="K1274" s="25" t="s">
        <v>67</v>
      </c>
      <c r="L1274" s="25" t="s">
        <v>3653</v>
      </c>
      <c r="M1274" s="20" t="s">
        <v>61</v>
      </c>
      <c r="N1274" s="20" t="s">
        <v>3212</v>
      </c>
      <c r="O1274" s="20" t="s">
        <v>63</v>
      </c>
      <c r="P1274" s="20"/>
      <c r="Q1274" s="26"/>
      <c r="R1274" s="26"/>
      <c r="S1274" s="26"/>
      <c r="T1274" s="20"/>
      <c r="U1274" s="26"/>
      <c r="V1274" s="26"/>
      <c r="W1274" s="20"/>
      <c r="X1274" s="20"/>
      <c r="Y1274" s="20"/>
      <c r="Z1274" s="20"/>
      <c r="AA1274" s="20"/>
      <c r="AB1274" s="20"/>
      <c r="AC1274" s="20"/>
      <c r="AD1274" s="20"/>
      <c r="AE1274" s="20"/>
    </row>
    <row r="1275">
      <c r="A1275" s="21">
        <v>32.0</v>
      </c>
      <c r="B1275" s="20" t="s">
        <v>2466</v>
      </c>
      <c r="C1275" s="20" t="s">
        <v>3094</v>
      </c>
      <c r="I1275" s="25" t="s">
        <v>2427</v>
      </c>
      <c r="J1275" s="25" t="s">
        <v>3209</v>
      </c>
      <c r="K1275" s="25" t="s">
        <v>67</v>
      </c>
      <c r="L1275" s="25" t="s">
        <v>3656</v>
      </c>
      <c r="M1275" s="20" t="s">
        <v>3210</v>
      </c>
      <c r="N1275" s="20" t="s">
        <v>3211</v>
      </c>
      <c r="O1275" s="20" t="s">
        <v>63</v>
      </c>
      <c r="P1275" s="20"/>
      <c r="Q1275" s="26"/>
      <c r="R1275" s="26"/>
      <c r="S1275" s="26"/>
      <c r="T1275" s="20"/>
      <c r="U1275" s="26"/>
      <c r="V1275" s="26"/>
      <c r="W1275" s="20"/>
      <c r="X1275" s="20"/>
      <c r="Y1275" s="20"/>
      <c r="Z1275" s="20"/>
      <c r="AA1275" s="20"/>
      <c r="AB1275" s="20"/>
      <c r="AC1275" s="20"/>
      <c r="AD1275" s="20"/>
      <c r="AE1275" s="20"/>
    </row>
    <row r="1276">
      <c r="A1276" s="21">
        <v>32.0</v>
      </c>
      <c r="B1276" s="20" t="s">
        <v>2466</v>
      </c>
      <c r="C1276" s="20" t="s">
        <v>3094</v>
      </c>
      <c r="I1276" s="25" t="s">
        <v>212</v>
      </c>
      <c r="J1276" s="25" t="s">
        <v>3205</v>
      </c>
      <c r="K1276" s="25" t="s">
        <v>67</v>
      </c>
      <c r="L1276" s="25" t="s">
        <v>3657</v>
      </c>
      <c r="M1276" s="20" t="s">
        <v>3031</v>
      </c>
      <c r="N1276" s="20" t="s">
        <v>3213</v>
      </c>
      <c r="O1276" s="20" t="s">
        <v>63</v>
      </c>
      <c r="P1276" s="20"/>
      <c r="Q1276" s="26"/>
      <c r="R1276" s="26"/>
      <c r="S1276" s="26"/>
      <c r="T1276" s="20"/>
      <c r="U1276" s="26"/>
      <c r="V1276" s="26"/>
      <c r="W1276" s="20"/>
      <c r="X1276" s="20"/>
      <c r="Y1276" s="20"/>
      <c r="Z1276" s="20"/>
      <c r="AA1276" s="20"/>
      <c r="AB1276" s="20"/>
      <c r="AC1276" s="20"/>
      <c r="AD1276" s="20"/>
      <c r="AE1276" s="20"/>
    </row>
    <row r="1277">
      <c r="A1277" s="21">
        <v>32.0</v>
      </c>
      <c r="B1277" s="20" t="s">
        <v>2466</v>
      </c>
      <c r="C1277" s="20" t="s">
        <v>3094</v>
      </c>
      <c r="I1277" s="25" t="s">
        <v>1134</v>
      </c>
      <c r="J1277" s="25" t="s">
        <v>3209</v>
      </c>
      <c r="K1277" s="25" t="s">
        <v>71</v>
      </c>
      <c r="L1277" s="25" t="s">
        <v>3553</v>
      </c>
      <c r="M1277" s="20" t="s">
        <v>61</v>
      </c>
      <c r="N1277" s="20" t="s">
        <v>3214</v>
      </c>
      <c r="O1277" s="20" t="s">
        <v>63</v>
      </c>
      <c r="P1277" s="20"/>
      <c r="Q1277" s="26"/>
      <c r="R1277" s="26"/>
      <c r="S1277" s="26"/>
      <c r="T1277" s="20"/>
      <c r="U1277" s="26"/>
      <c r="V1277" s="26"/>
      <c r="W1277" s="20"/>
      <c r="X1277" s="20"/>
      <c r="Y1277" s="20"/>
      <c r="Z1277" s="20"/>
      <c r="AA1277" s="20"/>
      <c r="AB1277" s="20"/>
      <c r="AC1277" s="20"/>
      <c r="AD1277" s="20"/>
      <c r="AE1277" s="20"/>
    </row>
    <row r="1278">
      <c r="A1278" s="21">
        <v>32.0</v>
      </c>
      <c r="B1278" s="20" t="s">
        <v>2466</v>
      </c>
      <c r="C1278" s="20" t="s">
        <v>3094</v>
      </c>
      <c r="I1278" s="25" t="s">
        <v>2362</v>
      </c>
      <c r="J1278" s="25" t="s">
        <v>3209</v>
      </c>
      <c r="K1278" s="25" t="s">
        <v>71</v>
      </c>
      <c r="L1278" s="25" t="s">
        <v>3553</v>
      </c>
      <c r="M1278" s="20" t="s">
        <v>2363</v>
      </c>
      <c r="N1278" s="20" t="s">
        <v>2364</v>
      </c>
      <c r="O1278" s="20" t="s">
        <v>63</v>
      </c>
      <c r="P1278" s="20"/>
      <c r="Q1278" s="26"/>
      <c r="R1278" s="26"/>
      <c r="S1278" s="26"/>
      <c r="T1278" s="20"/>
      <c r="U1278" s="26"/>
      <c r="V1278" s="26"/>
      <c r="W1278" s="20"/>
      <c r="X1278" s="20"/>
      <c r="Y1278" s="20"/>
      <c r="Z1278" s="20"/>
      <c r="AA1278" s="20"/>
      <c r="AB1278" s="20"/>
      <c r="AC1278" s="20"/>
      <c r="AD1278" s="20"/>
      <c r="AE1278" s="20"/>
    </row>
    <row r="1279">
      <c r="A1279" s="21">
        <v>32.0</v>
      </c>
      <c r="B1279" s="20" t="s">
        <v>2466</v>
      </c>
      <c r="C1279" s="20" t="s">
        <v>3094</v>
      </c>
      <c r="I1279" s="25" t="s">
        <v>1356</v>
      </c>
      <c r="J1279" s="25" t="s">
        <v>3205</v>
      </c>
      <c r="K1279" s="25" t="s">
        <v>71</v>
      </c>
      <c r="L1279" s="25" t="s">
        <v>3658</v>
      </c>
      <c r="M1279" s="20" t="s">
        <v>3238</v>
      </c>
      <c r="N1279" s="20" t="s">
        <v>3239</v>
      </c>
      <c r="O1279" s="20" t="s">
        <v>63</v>
      </c>
      <c r="P1279" s="20"/>
      <c r="Q1279" s="26"/>
      <c r="R1279" s="26"/>
      <c r="S1279" s="26"/>
      <c r="T1279" s="20"/>
      <c r="U1279" s="26"/>
      <c r="V1279" s="26"/>
      <c r="W1279" s="20"/>
      <c r="X1279" s="20"/>
      <c r="Y1279" s="20"/>
      <c r="Z1279" s="20"/>
      <c r="AA1279" s="20"/>
      <c r="AB1279" s="20"/>
      <c r="AC1279" s="20"/>
      <c r="AD1279" s="20"/>
      <c r="AE1279" s="20"/>
    </row>
    <row r="1280">
      <c r="A1280" s="21">
        <v>32.0</v>
      </c>
      <c r="B1280" s="20" t="s">
        <v>2466</v>
      </c>
      <c r="C1280" s="20" t="s">
        <v>3094</v>
      </c>
      <c r="I1280" s="25" t="s">
        <v>2452</v>
      </c>
      <c r="J1280" s="25" t="s">
        <v>3205</v>
      </c>
      <c r="K1280" s="25" t="s">
        <v>71</v>
      </c>
      <c r="L1280" s="25" t="s">
        <v>3553</v>
      </c>
      <c r="M1280" s="20" t="s">
        <v>2453</v>
      </c>
      <c r="N1280" s="20" t="s">
        <v>3240</v>
      </c>
      <c r="O1280" s="20" t="s">
        <v>63</v>
      </c>
      <c r="P1280" s="20"/>
      <c r="Q1280" s="26"/>
      <c r="R1280" s="26"/>
      <c r="S1280" s="26"/>
      <c r="T1280" s="20"/>
      <c r="U1280" s="26"/>
      <c r="V1280" s="26"/>
      <c r="W1280" s="20"/>
      <c r="X1280" s="20"/>
      <c r="Y1280" s="20"/>
      <c r="Z1280" s="20"/>
      <c r="AA1280" s="20"/>
      <c r="AB1280" s="20"/>
      <c r="AC1280" s="20"/>
      <c r="AD1280" s="20"/>
      <c r="AE1280" s="20"/>
    </row>
    <row r="1281">
      <c r="A1281" s="21">
        <v>32.0</v>
      </c>
      <c r="B1281" s="20" t="s">
        <v>2466</v>
      </c>
      <c r="C1281" s="20" t="s">
        <v>3094</v>
      </c>
      <c r="I1281" s="25" t="s">
        <v>3132</v>
      </c>
      <c r="J1281" s="25" t="s">
        <v>3209</v>
      </c>
      <c r="K1281" s="25" t="s">
        <v>71</v>
      </c>
      <c r="L1281" s="25" t="s">
        <v>3553</v>
      </c>
      <c r="M1281" s="20" t="s">
        <v>3215</v>
      </c>
      <c r="N1281" s="20" t="s">
        <v>3216</v>
      </c>
      <c r="O1281" s="20" t="s">
        <v>63</v>
      </c>
      <c r="P1281" s="20"/>
      <c r="Q1281" s="26"/>
      <c r="R1281" s="26"/>
      <c r="S1281" s="26"/>
      <c r="T1281" s="20"/>
      <c r="U1281" s="26"/>
      <c r="V1281" s="26"/>
      <c r="W1281" s="20"/>
      <c r="X1281" s="20"/>
      <c r="Y1281" s="20"/>
      <c r="Z1281" s="20"/>
      <c r="AA1281" s="20"/>
      <c r="AB1281" s="20"/>
      <c r="AC1281" s="20"/>
      <c r="AD1281" s="20"/>
      <c r="AE1281" s="20"/>
    </row>
    <row r="1282">
      <c r="A1282" s="21">
        <v>32.0</v>
      </c>
      <c r="B1282" s="20" t="s">
        <v>2466</v>
      </c>
      <c r="C1282" s="20" t="s">
        <v>3094</v>
      </c>
      <c r="I1282" s="25" t="s">
        <v>2690</v>
      </c>
      <c r="J1282" s="25" t="s">
        <v>3205</v>
      </c>
      <c r="K1282" s="25" t="s">
        <v>71</v>
      </c>
      <c r="L1282" s="25" t="s">
        <v>3553</v>
      </c>
      <c r="M1282" s="20" t="s">
        <v>61</v>
      </c>
      <c r="N1282" s="20" t="s">
        <v>3242</v>
      </c>
      <c r="O1282" s="20" t="s">
        <v>63</v>
      </c>
      <c r="P1282" s="20"/>
      <c r="Q1282" s="26"/>
      <c r="R1282" s="26"/>
      <c r="S1282" s="26"/>
      <c r="T1282" s="20"/>
      <c r="U1282" s="26"/>
      <c r="V1282" s="26"/>
      <c r="W1282" s="20"/>
      <c r="X1282" s="20"/>
      <c r="Y1282" s="20"/>
      <c r="Z1282" s="20"/>
      <c r="AA1282" s="20"/>
      <c r="AB1282" s="20"/>
      <c r="AC1282" s="20"/>
      <c r="AD1282" s="20"/>
      <c r="AE1282" s="20"/>
    </row>
    <row r="1283">
      <c r="A1283" s="21">
        <v>32.0</v>
      </c>
      <c r="B1283" s="20" t="s">
        <v>2466</v>
      </c>
      <c r="C1283" s="20" t="s">
        <v>3094</v>
      </c>
      <c r="I1283" s="25" t="s">
        <v>2911</v>
      </c>
      <c r="J1283" s="25" t="s">
        <v>3209</v>
      </c>
      <c r="K1283" s="25" t="s">
        <v>71</v>
      </c>
      <c r="L1283" s="25" t="s">
        <v>3553</v>
      </c>
      <c r="M1283" s="20" t="s">
        <v>3179</v>
      </c>
      <c r="N1283" s="20" t="s">
        <v>3217</v>
      </c>
      <c r="O1283" s="20" t="s">
        <v>63</v>
      </c>
      <c r="P1283" s="20"/>
      <c r="Q1283" s="26"/>
      <c r="R1283" s="26"/>
      <c r="S1283" s="26"/>
      <c r="T1283" s="20"/>
      <c r="U1283" s="26"/>
      <c r="V1283" s="26"/>
      <c r="W1283" s="20"/>
      <c r="X1283" s="20"/>
      <c r="Y1283" s="20"/>
      <c r="Z1283" s="20"/>
      <c r="AA1283" s="20"/>
      <c r="AB1283" s="20"/>
      <c r="AC1283" s="20"/>
      <c r="AD1283" s="20"/>
      <c r="AE1283" s="20"/>
    </row>
    <row r="1284">
      <c r="A1284" s="21">
        <v>32.0</v>
      </c>
      <c r="B1284" s="20" t="s">
        <v>2466</v>
      </c>
      <c r="C1284" s="20" t="s">
        <v>3094</v>
      </c>
      <c r="I1284" s="25" t="s">
        <v>2441</v>
      </c>
      <c r="J1284" s="25" t="s">
        <v>3205</v>
      </c>
      <c r="K1284" s="25" t="s">
        <v>71</v>
      </c>
      <c r="L1284" s="25" t="s">
        <v>3553</v>
      </c>
      <c r="M1284" s="20" t="s">
        <v>3243</v>
      </c>
      <c r="N1284" s="20" t="s">
        <v>3244</v>
      </c>
      <c r="O1284" s="20" t="s">
        <v>63</v>
      </c>
      <c r="P1284" s="20"/>
      <c r="Q1284" s="26"/>
      <c r="R1284" s="26"/>
      <c r="S1284" s="26"/>
      <c r="T1284" s="20"/>
      <c r="U1284" s="26"/>
      <c r="V1284" s="26"/>
      <c r="W1284" s="20"/>
      <c r="X1284" s="20"/>
      <c r="Y1284" s="20"/>
      <c r="Z1284" s="20"/>
      <c r="AA1284" s="20"/>
      <c r="AB1284" s="20"/>
      <c r="AC1284" s="20"/>
      <c r="AD1284" s="20"/>
      <c r="AE1284" s="20"/>
    </row>
    <row r="1285">
      <c r="A1285" s="21">
        <v>32.0</v>
      </c>
      <c r="B1285" s="20" t="s">
        <v>2466</v>
      </c>
      <c r="C1285" s="20" t="s">
        <v>3094</v>
      </c>
      <c r="I1285" s="25" t="s">
        <v>2693</v>
      </c>
      <c r="J1285" s="25" t="s">
        <v>3209</v>
      </c>
      <c r="K1285" s="25" t="s">
        <v>71</v>
      </c>
      <c r="L1285" s="25" t="s">
        <v>3553</v>
      </c>
      <c r="M1285" s="20" t="s">
        <v>3219</v>
      </c>
      <c r="N1285" s="20" t="s">
        <v>3220</v>
      </c>
      <c r="O1285" s="20" t="s">
        <v>63</v>
      </c>
      <c r="P1285" s="20"/>
      <c r="Q1285" s="26"/>
      <c r="R1285" s="26"/>
      <c r="S1285" s="26"/>
      <c r="T1285" s="20"/>
      <c r="U1285" s="26"/>
      <c r="V1285" s="26"/>
      <c r="W1285" s="20"/>
      <c r="X1285" s="20"/>
      <c r="Y1285" s="20"/>
      <c r="Z1285" s="20"/>
      <c r="AA1285" s="20"/>
      <c r="AB1285" s="20"/>
      <c r="AC1285" s="20"/>
      <c r="AD1285" s="20"/>
      <c r="AE1285" s="20"/>
    </row>
    <row r="1286">
      <c r="A1286" s="21">
        <v>32.0</v>
      </c>
      <c r="B1286" s="20" t="s">
        <v>2466</v>
      </c>
      <c r="C1286" s="20" t="s">
        <v>3094</v>
      </c>
      <c r="I1286" s="25" t="s">
        <v>3113</v>
      </c>
      <c r="J1286" s="25" t="s">
        <v>3205</v>
      </c>
      <c r="K1286" s="25" t="s">
        <v>71</v>
      </c>
      <c r="L1286" s="25" t="s">
        <v>3553</v>
      </c>
      <c r="M1286" s="20" t="s">
        <v>61</v>
      </c>
      <c r="N1286" s="20" t="s">
        <v>3181</v>
      </c>
      <c r="O1286" s="20" t="s">
        <v>63</v>
      </c>
      <c r="P1286" s="20"/>
      <c r="Q1286" s="26"/>
      <c r="R1286" s="26"/>
      <c r="S1286" s="26"/>
      <c r="T1286" s="20"/>
      <c r="U1286" s="26"/>
      <c r="V1286" s="26"/>
      <c r="W1286" s="20"/>
      <c r="X1286" s="20"/>
      <c r="Y1286" s="20"/>
      <c r="Z1286" s="20"/>
      <c r="AA1286" s="20"/>
      <c r="AB1286" s="20"/>
      <c r="AC1286" s="20"/>
      <c r="AD1286" s="20"/>
      <c r="AE1286" s="20"/>
    </row>
    <row r="1287">
      <c r="A1287" s="21">
        <v>32.0</v>
      </c>
      <c r="B1287" s="20" t="s">
        <v>2466</v>
      </c>
      <c r="C1287" s="20" t="s">
        <v>3094</v>
      </c>
      <c r="I1287" s="25" t="s">
        <v>2605</v>
      </c>
      <c r="J1287" s="25" t="s">
        <v>3209</v>
      </c>
      <c r="K1287" s="25" t="s">
        <v>71</v>
      </c>
      <c r="L1287" s="25" t="s">
        <v>3553</v>
      </c>
      <c r="M1287" s="20" t="s">
        <v>3221</v>
      </c>
      <c r="N1287" s="20" t="s">
        <v>3222</v>
      </c>
      <c r="O1287" s="20" t="s">
        <v>63</v>
      </c>
      <c r="P1287" s="20"/>
      <c r="Q1287" s="26"/>
      <c r="R1287" s="26"/>
      <c r="S1287" s="26"/>
      <c r="T1287" s="20"/>
      <c r="U1287" s="26"/>
      <c r="V1287" s="26"/>
      <c r="W1287" s="20"/>
      <c r="X1287" s="20"/>
      <c r="Y1287" s="20"/>
      <c r="Z1287" s="20"/>
      <c r="AA1287" s="20"/>
      <c r="AB1287" s="20"/>
      <c r="AC1287" s="20"/>
      <c r="AD1287" s="20"/>
      <c r="AE1287" s="20"/>
    </row>
    <row r="1288">
      <c r="A1288" s="21">
        <v>32.0</v>
      </c>
      <c r="B1288" s="20" t="s">
        <v>2466</v>
      </c>
      <c r="C1288" s="20" t="s">
        <v>3094</v>
      </c>
      <c r="I1288" s="25" t="s">
        <v>2614</v>
      </c>
      <c r="J1288" s="25" t="s">
        <v>3205</v>
      </c>
      <c r="K1288" s="25" t="s">
        <v>71</v>
      </c>
      <c r="L1288" s="25" t="s">
        <v>3553</v>
      </c>
      <c r="M1288" s="20" t="s">
        <v>3146</v>
      </c>
      <c r="N1288" s="20" t="s">
        <v>3089</v>
      </c>
      <c r="O1288" s="20" t="s">
        <v>63</v>
      </c>
      <c r="P1288" s="20"/>
      <c r="Q1288" s="26"/>
      <c r="R1288" s="26"/>
      <c r="S1288" s="26"/>
      <c r="T1288" s="20"/>
      <c r="U1288" s="26"/>
      <c r="V1288" s="26"/>
      <c r="W1288" s="20"/>
      <c r="X1288" s="20"/>
      <c r="Y1288" s="20"/>
      <c r="Z1288" s="20"/>
      <c r="AA1288" s="20"/>
      <c r="AB1288" s="20"/>
      <c r="AC1288" s="20"/>
      <c r="AD1288" s="20"/>
      <c r="AE1288" s="20"/>
    </row>
    <row r="1289">
      <c r="A1289" s="21">
        <v>32.0</v>
      </c>
      <c r="B1289" s="20" t="s">
        <v>2466</v>
      </c>
      <c r="C1289" s="20" t="s">
        <v>3094</v>
      </c>
      <c r="I1289" s="25" t="s">
        <v>1960</v>
      </c>
      <c r="J1289" s="25" t="s">
        <v>3205</v>
      </c>
      <c r="K1289" s="25" t="s">
        <v>71</v>
      </c>
      <c r="L1289" s="25" t="s">
        <v>3553</v>
      </c>
      <c r="M1289" s="20" t="s">
        <v>61</v>
      </c>
      <c r="N1289" s="20" t="s">
        <v>3012</v>
      </c>
      <c r="O1289" s="20" t="s">
        <v>63</v>
      </c>
      <c r="P1289" s="20"/>
      <c r="Q1289" s="26"/>
      <c r="R1289" s="26"/>
      <c r="S1289" s="26"/>
      <c r="T1289" s="20"/>
      <c r="U1289" s="26"/>
      <c r="V1289" s="26"/>
      <c r="W1289" s="20"/>
      <c r="X1289" s="20"/>
      <c r="Y1289" s="20"/>
      <c r="Z1289" s="20"/>
      <c r="AA1289" s="20"/>
      <c r="AB1289" s="20"/>
      <c r="AC1289" s="20"/>
      <c r="AD1289" s="20"/>
      <c r="AE1289" s="20"/>
    </row>
    <row r="1290">
      <c r="A1290" s="21">
        <v>32.0</v>
      </c>
      <c r="B1290" s="20" t="s">
        <v>2466</v>
      </c>
      <c r="C1290" s="20" t="s">
        <v>3094</v>
      </c>
      <c r="I1290" s="25" t="s">
        <v>2475</v>
      </c>
      <c r="J1290" s="25" t="s">
        <v>3209</v>
      </c>
      <c r="K1290" s="25" t="s">
        <v>71</v>
      </c>
      <c r="L1290" s="25" t="s">
        <v>3553</v>
      </c>
      <c r="M1290" s="20" t="s">
        <v>3223</v>
      </c>
      <c r="N1290" s="20" t="s">
        <v>3224</v>
      </c>
      <c r="O1290" s="20" t="s">
        <v>63</v>
      </c>
      <c r="P1290" s="20"/>
      <c r="Q1290" s="26"/>
      <c r="R1290" s="26"/>
      <c r="S1290" s="26"/>
      <c r="T1290" s="20"/>
      <c r="U1290" s="26"/>
      <c r="V1290" s="26"/>
      <c r="W1290" s="20"/>
      <c r="X1290" s="20"/>
      <c r="Y1290" s="20"/>
      <c r="Z1290" s="20"/>
      <c r="AA1290" s="20"/>
      <c r="AB1290" s="20"/>
      <c r="AC1290" s="20"/>
      <c r="AD1290" s="20"/>
      <c r="AE1290" s="20"/>
    </row>
    <row r="1291">
      <c r="A1291" s="21">
        <v>32.0</v>
      </c>
      <c r="B1291" s="20" t="s">
        <v>2466</v>
      </c>
      <c r="C1291" s="20" t="s">
        <v>3094</v>
      </c>
      <c r="I1291" s="25" t="s">
        <v>3148</v>
      </c>
      <c r="J1291" s="25" t="s">
        <v>3205</v>
      </c>
      <c r="K1291" s="25" t="s">
        <v>71</v>
      </c>
      <c r="L1291" s="25" t="s">
        <v>3553</v>
      </c>
      <c r="M1291" s="20" t="s">
        <v>3246</v>
      </c>
      <c r="N1291" s="20" t="s">
        <v>3247</v>
      </c>
      <c r="O1291" s="20" t="s">
        <v>63</v>
      </c>
      <c r="P1291" s="20"/>
      <c r="Q1291" s="26"/>
      <c r="R1291" s="26"/>
      <c r="S1291" s="26"/>
      <c r="T1291" s="20"/>
      <c r="U1291" s="26"/>
      <c r="V1291" s="26"/>
      <c r="W1291" s="20"/>
      <c r="X1291" s="20"/>
      <c r="Y1291" s="20"/>
      <c r="Z1291" s="20"/>
      <c r="AA1291" s="20"/>
      <c r="AB1291" s="20"/>
      <c r="AC1291" s="20"/>
      <c r="AD1291" s="20"/>
      <c r="AE1291" s="20"/>
    </row>
    <row r="1292">
      <c r="A1292" s="21">
        <v>32.0</v>
      </c>
      <c r="B1292" s="20" t="s">
        <v>2466</v>
      </c>
      <c r="C1292" s="20" t="s">
        <v>3094</v>
      </c>
      <c r="I1292" s="25" t="s">
        <v>2663</v>
      </c>
      <c r="J1292" s="25" t="s">
        <v>3209</v>
      </c>
      <c r="K1292" s="25" t="s">
        <v>71</v>
      </c>
      <c r="L1292" s="25" t="s">
        <v>3553</v>
      </c>
      <c r="M1292" s="20" t="s">
        <v>3225</v>
      </c>
      <c r="N1292" s="20" t="s">
        <v>3226</v>
      </c>
      <c r="O1292" s="20" t="s">
        <v>63</v>
      </c>
      <c r="P1292" s="20"/>
      <c r="Q1292" s="26"/>
      <c r="R1292" s="26"/>
      <c r="S1292" s="26"/>
      <c r="T1292" s="20"/>
      <c r="U1292" s="26"/>
      <c r="V1292" s="26"/>
      <c r="W1292" s="20"/>
      <c r="X1292" s="20"/>
      <c r="Y1292" s="20"/>
      <c r="Z1292" s="20"/>
      <c r="AA1292" s="20"/>
      <c r="AB1292" s="20"/>
      <c r="AC1292" s="20"/>
      <c r="AD1292" s="20"/>
      <c r="AE1292" s="20"/>
    </row>
    <row r="1293">
      <c r="A1293" s="21">
        <v>32.0</v>
      </c>
      <c r="B1293" s="20" t="s">
        <v>2466</v>
      </c>
      <c r="C1293" s="20" t="s">
        <v>3094</v>
      </c>
      <c r="I1293" s="25" t="s">
        <v>1843</v>
      </c>
      <c r="J1293" s="25" t="s">
        <v>3209</v>
      </c>
      <c r="K1293" s="25" t="s">
        <v>71</v>
      </c>
      <c r="L1293" s="25" t="s">
        <v>3553</v>
      </c>
      <c r="M1293" s="20" t="s">
        <v>3187</v>
      </c>
      <c r="N1293" s="20" t="s">
        <v>3229</v>
      </c>
      <c r="O1293" s="20" t="s">
        <v>63</v>
      </c>
      <c r="P1293" s="20"/>
      <c r="Q1293" s="26"/>
      <c r="R1293" s="26"/>
      <c r="S1293" s="26"/>
      <c r="T1293" s="20"/>
      <c r="U1293" s="26"/>
      <c r="V1293" s="26"/>
      <c r="W1293" s="20"/>
      <c r="X1293" s="20"/>
      <c r="Y1293" s="20"/>
      <c r="Z1293" s="20"/>
      <c r="AA1293" s="20"/>
      <c r="AB1293" s="20"/>
      <c r="AC1293" s="20"/>
      <c r="AD1293" s="20"/>
      <c r="AE1293" s="20"/>
    </row>
    <row r="1294">
      <c r="A1294" s="21">
        <v>32.0</v>
      </c>
      <c r="B1294" s="20" t="s">
        <v>2466</v>
      </c>
      <c r="C1294" s="20" t="s">
        <v>3094</v>
      </c>
      <c r="I1294" s="25" t="s">
        <v>2914</v>
      </c>
      <c r="J1294" s="25" t="s">
        <v>3205</v>
      </c>
      <c r="K1294" s="25" t="s">
        <v>71</v>
      </c>
      <c r="L1294" s="25" t="s">
        <v>3553</v>
      </c>
      <c r="M1294" s="20" t="s">
        <v>3127</v>
      </c>
      <c r="N1294" s="20" t="s">
        <v>3248</v>
      </c>
      <c r="O1294" s="20" t="s">
        <v>63</v>
      </c>
      <c r="P1294" s="20"/>
      <c r="Q1294" s="26"/>
      <c r="R1294" s="26"/>
      <c r="S1294" s="26"/>
      <c r="T1294" s="20"/>
      <c r="U1294" s="26"/>
      <c r="V1294" s="26"/>
      <c r="W1294" s="20"/>
      <c r="X1294" s="20"/>
      <c r="Y1294" s="20"/>
      <c r="Z1294" s="20"/>
      <c r="AA1294" s="20"/>
      <c r="AB1294" s="20"/>
      <c r="AC1294" s="20"/>
      <c r="AD1294" s="20"/>
      <c r="AE1294" s="20"/>
    </row>
    <row r="1295">
      <c r="A1295" s="21">
        <v>32.0</v>
      </c>
      <c r="B1295" s="20" t="s">
        <v>2466</v>
      </c>
      <c r="C1295" s="20" t="s">
        <v>3094</v>
      </c>
      <c r="I1295" s="25" t="s">
        <v>2016</v>
      </c>
      <c r="J1295" s="25" t="s">
        <v>3209</v>
      </c>
      <c r="K1295" s="25" t="s">
        <v>71</v>
      </c>
      <c r="L1295" s="25" t="s">
        <v>3553</v>
      </c>
      <c r="M1295" s="20" t="s">
        <v>61</v>
      </c>
      <c r="N1295" s="20" t="s">
        <v>3230</v>
      </c>
      <c r="O1295" s="20" t="s">
        <v>63</v>
      </c>
      <c r="P1295" s="20"/>
      <c r="Q1295" s="26"/>
      <c r="R1295" s="26"/>
      <c r="S1295" s="26"/>
      <c r="T1295" s="20"/>
      <c r="U1295" s="26"/>
      <c r="V1295" s="26"/>
      <c r="W1295" s="20"/>
      <c r="X1295" s="20"/>
      <c r="Y1295" s="20"/>
      <c r="Z1295" s="20"/>
      <c r="AA1295" s="20"/>
      <c r="AB1295" s="20"/>
      <c r="AC1295" s="20"/>
      <c r="AD1295" s="20"/>
      <c r="AE1295" s="20"/>
    </row>
    <row r="1296">
      <c r="A1296" s="21">
        <v>32.0</v>
      </c>
      <c r="B1296" s="20" t="s">
        <v>2466</v>
      </c>
      <c r="C1296" s="20" t="s">
        <v>3094</v>
      </c>
      <c r="I1296" s="25" t="s">
        <v>2520</v>
      </c>
      <c r="J1296" s="25" t="s">
        <v>3205</v>
      </c>
      <c r="K1296" s="25" t="s">
        <v>71</v>
      </c>
      <c r="L1296" s="25" t="s">
        <v>3553</v>
      </c>
      <c r="M1296" s="20" t="s">
        <v>2521</v>
      </c>
      <c r="N1296" s="20" t="s">
        <v>3249</v>
      </c>
      <c r="O1296" s="20" t="s">
        <v>63</v>
      </c>
      <c r="P1296" s="20"/>
      <c r="Q1296" s="26"/>
      <c r="R1296" s="26"/>
      <c r="S1296" s="26"/>
      <c r="T1296" s="20"/>
      <c r="U1296" s="26"/>
      <c r="V1296" s="26"/>
      <c r="W1296" s="20"/>
      <c r="X1296" s="20"/>
      <c r="Y1296" s="20"/>
      <c r="Z1296" s="20"/>
      <c r="AA1296" s="20"/>
      <c r="AB1296" s="20"/>
      <c r="AC1296" s="20"/>
      <c r="AD1296" s="20"/>
      <c r="AE1296" s="20"/>
    </row>
    <row r="1297">
      <c r="A1297" s="21">
        <v>32.0</v>
      </c>
      <c r="B1297" s="20" t="s">
        <v>2466</v>
      </c>
      <c r="C1297" s="20" t="s">
        <v>3094</v>
      </c>
      <c r="I1297" s="25" t="s">
        <v>2417</v>
      </c>
      <c r="J1297" s="25" t="s">
        <v>3209</v>
      </c>
      <c r="K1297" s="25" t="s">
        <v>71</v>
      </c>
      <c r="L1297" s="25" t="s">
        <v>3553</v>
      </c>
      <c r="M1297" s="20" t="s">
        <v>3193</v>
      </c>
      <c r="N1297" s="20" t="s">
        <v>3231</v>
      </c>
      <c r="O1297" s="20" t="s">
        <v>63</v>
      </c>
      <c r="P1297" s="20"/>
      <c r="Q1297" s="26"/>
      <c r="R1297" s="26"/>
      <c r="S1297" s="26"/>
      <c r="T1297" s="20"/>
      <c r="U1297" s="26"/>
      <c r="V1297" s="26"/>
      <c r="W1297" s="20"/>
      <c r="X1297" s="20"/>
      <c r="Y1297" s="20"/>
      <c r="Z1297" s="20"/>
      <c r="AA1297" s="20"/>
      <c r="AB1297" s="20"/>
      <c r="AC1297" s="20"/>
      <c r="AD1297" s="20"/>
      <c r="AE1297" s="20"/>
    </row>
    <row r="1298">
      <c r="A1298" s="21">
        <v>32.0</v>
      </c>
      <c r="B1298" s="20" t="s">
        <v>2466</v>
      </c>
      <c r="C1298" s="20" t="s">
        <v>3094</v>
      </c>
      <c r="I1298" s="25" t="s">
        <v>3233</v>
      </c>
      <c r="J1298" s="25" t="s">
        <v>3209</v>
      </c>
      <c r="K1298" s="25" t="s">
        <v>71</v>
      </c>
      <c r="L1298" s="25" t="s">
        <v>3692</v>
      </c>
      <c r="M1298" s="20" t="s">
        <v>3234</v>
      </c>
      <c r="N1298" s="20" t="s">
        <v>3235</v>
      </c>
      <c r="O1298" s="20" t="s">
        <v>63</v>
      </c>
      <c r="P1298" s="20"/>
      <c r="Q1298" s="26"/>
      <c r="R1298" s="26"/>
      <c r="S1298" s="26"/>
      <c r="T1298" s="20"/>
      <c r="U1298" s="26"/>
      <c r="V1298" s="26"/>
      <c r="W1298" s="20"/>
      <c r="X1298" s="20"/>
      <c r="Y1298" s="20"/>
      <c r="Z1298" s="20"/>
      <c r="AA1298" s="20"/>
      <c r="AB1298" s="20"/>
      <c r="AC1298" s="20"/>
      <c r="AD1298" s="20"/>
      <c r="AE1298" s="20"/>
    </row>
    <row r="1299">
      <c r="A1299" s="21">
        <v>32.0</v>
      </c>
      <c r="B1299" s="20" t="s">
        <v>2466</v>
      </c>
      <c r="C1299" s="20" t="s">
        <v>3094</v>
      </c>
      <c r="I1299" s="25" t="s">
        <v>2895</v>
      </c>
      <c r="J1299" s="25" t="s">
        <v>3209</v>
      </c>
      <c r="K1299" s="25" t="s">
        <v>71</v>
      </c>
      <c r="L1299" s="25" t="s">
        <v>3695</v>
      </c>
      <c r="M1299" s="20" t="s">
        <v>2896</v>
      </c>
      <c r="N1299" s="20" t="s">
        <v>3237</v>
      </c>
      <c r="O1299" s="20" t="s">
        <v>63</v>
      </c>
      <c r="P1299" s="20"/>
      <c r="Q1299" s="26"/>
      <c r="R1299" s="26"/>
      <c r="S1299" s="26"/>
      <c r="T1299" s="20"/>
      <c r="U1299" s="26"/>
      <c r="V1299" s="26"/>
      <c r="W1299" s="20"/>
      <c r="X1299" s="20"/>
      <c r="Y1299" s="20"/>
      <c r="Z1299" s="20"/>
      <c r="AA1299" s="20"/>
      <c r="AB1299" s="20"/>
      <c r="AC1299" s="20"/>
      <c r="AD1299" s="20"/>
      <c r="AE1299" s="20"/>
    </row>
    <row r="1300">
      <c r="A1300" s="21">
        <v>32.0</v>
      </c>
      <c r="B1300" s="20" t="s">
        <v>2466</v>
      </c>
      <c r="C1300" s="20" t="s">
        <v>3094</v>
      </c>
      <c r="I1300" s="25" t="s">
        <v>1997</v>
      </c>
      <c r="J1300" s="25" t="s">
        <v>3205</v>
      </c>
      <c r="K1300" s="25" t="s">
        <v>71</v>
      </c>
      <c r="L1300" s="25" t="s">
        <v>3553</v>
      </c>
      <c r="M1300" s="20" t="s">
        <v>3251</v>
      </c>
      <c r="N1300" s="20" t="s">
        <v>3252</v>
      </c>
      <c r="O1300" s="20" t="s">
        <v>63</v>
      </c>
      <c r="P1300" s="20"/>
      <c r="Q1300" s="26"/>
      <c r="R1300" s="26"/>
      <c r="S1300" s="26"/>
      <c r="T1300" s="20"/>
      <c r="U1300" s="26"/>
      <c r="V1300" s="26"/>
      <c r="W1300" s="20"/>
      <c r="X1300" s="20"/>
      <c r="Y1300" s="20"/>
      <c r="Z1300" s="20"/>
      <c r="AA1300" s="20"/>
      <c r="AB1300" s="20"/>
      <c r="AC1300" s="20"/>
      <c r="AD1300" s="20"/>
      <c r="AE1300" s="20"/>
    </row>
    <row r="1301">
      <c r="A1301" s="21">
        <v>32.0</v>
      </c>
      <c r="B1301" s="20" t="s">
        <v>2466</v>
      </c>
      <c r="C1301" s="20" t="s">
        <v>3094</v>
      </c>
      <c r="I1301" s="25" t="s">
        <v>2058</v>
      </c>
      <c r="J1301" s="25" t="s">
        <v>3209</v>
      </c>
      <c r="K1301" s="25" t="s">
        <v>71</v>
      </c>
      <c r="L1301" s="25" t="s">
        <v>3553</v>
      </c>
      <c r="M1301" s="20" t="s">
        <v>2059</v>
      </c>
      <c r="N1301" s="20" t="s">
        <v>2060</v>
      </c>
      <c r="O1301" s="20" t="s">
        <v>63</v>
      </c>
      <c r="P1301" s="20"/>
      <c r="Q1301" s="26"/>
      <c r="R1301" s="26"/>
      <c r="S1301" s="26"/>
      <c r="T1301" s="20"/>
      <c r="U1301" s="26"/>
      <c r="V1301" s="26"/>
      <c r="W1301" s="20"/>
      <c r="X1301" s="20"/>
      <c r="Y1301" s="20"/>
      <c r="Z1301" s="20"/>
      <c r="AA1301" s="20"/>
      <c r="AB1301" s="20"/>
      <c r="AC1301" s="20"/>
      <c r="AD1301" s="20"/>
      <c r="AE1301" s="20"/>
    </row>
    <row r="1302">
      <c r="A1302" s="21">
        <v>33.0</v>
      </c>
      <c r="B1302" s="20" t="s">
        <v>2663</v>
      </c>
      <c r="C1302" s="20" t="s">
        <v>3094</v>
      </c>
      <c r="D1302" s="35">
        <v>50.0</v>
      </c>
      <c r="E1302" s="35">
        <v>3.0</v>
      </c>
      <c r="F1302" s="35">
        <v>3.0</v>
      </c>
      <c r="G1302" s="35">
        <v>44.0</v>
      </c>
      <c r="H1302" s="36" t="s">
        <v>3699</v>
      </c>
      <c r="I1302" s="25" t="s">
        <v>2461</v>
      </c>
      <c r="J1302" s="25" t="s">
        <v>3253</v>
      </c>
      <c r="K1302" s="25" t="s">
        <v>57</v>
      </c>
      <c r="L1302" s="25" t="s">
        <v>3700</v>
      </c>
      <c r="M1302" s="20" t="s">
        <v>61</v>
      </c>
      <c r="N1302" s="20" t="s">
        <v>3254</v>
      </c>
      <c r="O1302" s="20" t="s">
        <v>63</v>
      </c>
      <c r="P1302" s="20"/>
      <c r="Q1302" s="26"/>
      <c r="R1302" s="26"/>
      <c r="S1302" s="26"/>
      <c r="T1302" s="20"/>
      <c r="U1302" s="26"/>
      <c r="V1302" s="26"/>
      <c r="W1302" s="20"/>
      <c r="X1302" s="20"/>
      <c r="Y1302" s="20"/>
      <c r="Z1302" s="20"/>
      <c r="AA1302" s="20"/>
      <c r="AB1302" s="20"/>
      <c r="AC1302" s="20"/>
      <c r="AD1302" s="20"/>
      <c r="AE1302" s="20"/>
    </row>
    <row r="1303">
      <c r="A1303" s="21">
        <v>33.0</v>
      </c>
      <c r="B1303" s="20" t="s">
        <v>2663</v>
      </c>
      <c r="C1303" s="20" t="s">
        <v>3094</v>
      </c>
      <c r="I1303" s="25" t="s">
        <v>3109</v>
      </c>
      <c r="J1303" s="25" t="s">
        <v>3253</v>
      </c>
      <c r="K1303" s="25" t="s">
        <v>57</v>
      </c>
      <c r="L1303" s="25" t="s">
        <v>3703</v>
      </c>
      <c r="M1303" s="20" t="s">
        <v>3255</v>
      </c>
      <c r="N1303" s="20" t="s">
        <v>3256</v>
      </c>
      <c r="O1303" s="20" t="s">
        <v>63</v>
      </c>
      <c r="P1303" s="20"/>
      <c r="Q1303" s="26"/>
      <c r="R1303" s="26"/>
      <c r="S1303" s="26"/>
      <c r="T1303" s="20"/>
      <c r="U1303" s="26"/>
      <c r="V1303" s="26"/>
      <c r="W1303" s="20"/>
      <c r="X1303" s="20"/>
      <c r="Y1303" s="20"/>
      <c r="Z1303" s="20"/>
      <c r="AA1303" s="20"/>
      <c r="AB1303" s="20"/>
      <c r="AC1303" s="20"/>
      <c r="AD1303" s="20"/>
      <c r="AE1303" s="20"/>
    </row>
    <row r="1304">
      <c r="A1304" s="21">
        <v>33.0</v>
      </c>
      <c r="B1304" s="20" t="s">
        <v>2663</v>
      </c>
      <c r="C1304" s="20" t="s">
        <v>3094</v>
      </c>
      <c r="I1304" s="25" t="s">
        <v>2246</v>
      </c>
      <c r="J1304" s="25" t="s">
        <v>3253</v>
      </c>
      <c r="K1304" s="25" t="s">
        <v>57</v>
      </c>
      <c r="L1304" s="25" t="s">
        <v>3704</v>
      </c>
      <c r="M1304" s="20" t="s">
        <v>2388</v>
      </c>
      <c r="N1304" s="20" t="s">
        <v>3257</v>
      </c>
      <c r="O1304" s="20" t="s">
        <v>63</v>
      </c>
      <c r="P1304" s="20"/>
      <c r="Q1304" s="26"/>
      <c r="R1304" s="26"/>
      <c r="S1304" s="26"/>
      <c r="T1304" s="20"/>
      <c r="U1304" s="26"/>
      <c r="V1304" s="26"/>
      <c r="W1304" s="20"/>
      <c r="X1304" s="20"/>
      <c r="Y1304" s="20"/>
      <c r="Z1304" s="20"/>
      <c r="AA1304" s="20"/>
      <c r="AB1304" s="20"/>
      <c r="AC1304" s="20"/>
      <c r="AD1304" s="20"/>
      <c r="AE1304" s="20"/>
    </row>
    <row r="1305">
      <c r="A1305" s="21">
        <v>33.0</v>
      </c>
      <c r="B1305" s="20" t="s">
        <v>2663</v>
      </c>
      <c r="C1305" s="20" t="s">
        <v>3094</v>
      </c>
      <c r="I1305" s="25" t="s">
        <v>3262</v>
      </c>
      <c r="J1305" s="25" t="s">
        <v>3261</v>
      </c>
      <c r="K1305" s="25" t="s">
        <v>67</v>
      </c>
      <c r="L1305" s="25" t="s">
        <v>3707</v>
      </c>
      <c r="M1305" s="20" t="s">
        <v>61</v>
      </c>
      <c r="N1305" s="20" t="s">
        <v>3263</v>
      </c>
      <c r="O1305" s="20" t="s">
        <v>63</v>
      </c>
      <c r="P1305" s="20"/>
      <c r="Q1305" s="26"/>
      <c r="R1305" s="26"/>
      <c r="S1305" s="26"/>
      <c r="T1305" s="20"/>
      <c r="U1305" s="26"/>
      <c r="V1305" s="26"/>
      <c r="W1305" s="20"/>
      <c r="X1305" s="20"/>
      <c r="Y1305" s="20"/>
      <c r="Z1305" s="20"/>
      <c r="AA1305" s="20"/>
      <c r="AB1305" s="20"/>
      <c r="AC1305" s="20"/>
      <c r="AD1305" s="20"/>
      <c r="AE1305" s="20"/>
    </row>
    <row r="1306">
      <c r="A1306" s="21">
        <v>33.0</v>
      </c>
      <c r="B1306" s="20" t="s">
        <v>2663</v>
      </c>
      <c r="C1306" s="20" t="s">
        <v>3094</v>
      </c>
      <c r="I1306" s="25" t="s">
        <v>3148</v>
      </c>
      <c r="J1306" s="25" t="s">
        <v>3253</v>
      </c>
      <c r="K1306" s="25" t="s">
        <v>67</v>
      </c>
      <c r="L1306" s="25" t="s">
        <v>3709</v>
      </c>
      <c r="M1306" s="20" t="s">
        <v>3149</v>
      </c>
      <c r="N1306" s="20" t="s">
        <v>3264</v>
      </c>
      <c r="O1306" s="20" t="s">
        <v>63</v>
      </c>
      <c r="P1306" s="20"/>
      <c r="Q1306" s="26"/>
      <c r="R1306" s="26"/>
      <c r="S1306" s="26"/>
      <c r="T1306" s="20"/>
      <c r="U1306" s="26"/>
      <c r="V1306" s="26"/>
      <c r="W1306" s="20"/>
      <c r="X1306" s="20"/>
      <c r="Y1306" s="20"/>
      <c r="Z1306" s="20"/>
      <c r="AA1306" s="20"/>
      <c r="AB1306" s="20"/>
      <c r="AC1306" s="20"/>
      <c r="AD1306" s="20"/>
      <c r="AE1306" s="20"/>
    </row>
    <row r="1307">
      <c r="A1307" s="21">
        <v>33.0</v>
      </c>
      <c r="B1307" s="20" t="s">
        <v>2663</v>
      </c>
      <c r="C1307" s="20" t="s">
        <v>3094</v>
      </c>
      <c r="I1307" s="25" t="s">
        <v>1134</v>
      </c>
      <c r="J1307" s="25" t="s">
        <v>3261</v>
      </c>
      <c r="K1307" s="25" t="s">
        <v>71</v>
      </c>
      <c r="L1307" s="25" t="s">
        <v>3553</v>
      </c>
      <c r="M1307" s="20" t="s">
        <v>3267</v>
      </c>
      <c r="N1307" s="20" t="s">
        <v>3268</v>
      </c>
      <c r="O1307" s="20" t="s">
        <v>63</v>
      </c>
      <c r="P1307" s="20"/>
      <c r="Q1307" s="26"/>
      <c r="R1307" s="26"/>
      <c r="S1307" s="26"/>
      <c r="T1307" s="20"/>
      <c r="U1307" s="26"/>
      <c r="V1307" s="26"/>
      <c r="W1307" s="20"/>
      <c r="X1307" s="20"/>
      <c r="Y1307" s="20"/>
      <c r="Z1307" s="20"/>
      <c r="AA1307" s="20"/>
      <c r="AB1307" s="20"/>
      <c r="AC1307" s="20"/>
      <c r="AD1307" s="20"/>
      <c r="AE1307" s="20"/>
    </row>
    <row r="1308">
      <c r="A1308" s="21">
        <v>33.0</v>
      </c>
      <c r="B1308" s="20" t="s">
        <v>2663</v>
      </c>
      <c r="C1308" s="20" t="s">
        <v>3094</v>
      </c>
      <c r="I1308" s="25" t="s">
        <v>2362</v>
      </c>
      <c r="J1308" s="25" t="s">
        <v>3253</v>
      </c>
      <c r="K1308" s="25" t="s">
        <v>71</v>
      </c>
      <c r="L1308" s="25" t="s">
        <v>3553</v>
      </c>
      <c r="M1308" s="20" t="s">
        <v>2363</v>
      </c>
      <c r="N1308" s="20" t="s">
        <v>3131</v>
      </c>
      <c r="O1308" s="20" t="s">
        <v>63</v>
      </c>
      <c r="P1308" s="20"/>
      <c r="Q1308" s="26"/>
      <c r="R1308" s="26"/>
      <c r="S1308" s="26"/>
      <c r="T1308" s="20"/>
      <c r="U1308" s="26"/>
      <c r="V1308" s="26"/>
      <c r="W1308" s="20"/>
      <c r="X1308" s="20"/>
      <c r="Y1308" s="20"/>
      <c r="Z1308" s="20"/>
      <c r="AA1308" s="20"/>
      <c r="AB1308" s="20"/>
      <c r="AC1308" s="20"/>
      <c r="AD1308" s="20"/>
      <c r="AE1308" s="20"/>
    </row>
    <row r="1309">
      <c r="A1309" s="21">
        <v>33.0</v>
      </c>
      <c r="B1309" s="20" t="s">
        <v>2663</v>
      </c>
      <c r="C1309" s="20" t="s">
        <v>3094</v>
      </c>
      <c r="I1309" s="25" t="s">
        <v>1356</v>
      </c>
      <c r="J1309" s="25" t="s">
        <v>3253</v>
      </c>
      <c r="K1309" s="25" t="s">
        <v>71</v>
      </c>
      <c r="L1309" s="25" t="s">
        <v>3553</v>
      </c>
      <c r="M1309" s="20" t="s">
        <v>61</v>
      </c>
      <c r="N1309" s="20" t="s">
        <v>3172</v>
      </c>
      <c r="O1309" s="20" t="s">
        <v>63</v>
      </c>
      <c r="P1309" s="20"/>
      <c r="Q1309" s="26"/>
      <c r="R1309" s="26"/>
      <c r="S1309" s="26"/>
      <c r="T1309" s="20"/>
      <c r="U1309" s="26"/>
      <c r="V1309" s="26"/>
      <c r="W1309" s="20"/>
      <c r="X1309" s="20"/>
      <c r="Y1309" s="20"/>
      <c r="Z1309" s="20"/>
      <c r="AA1309" s="20"/>
      <c r="AB1309" s="20"/>
      <c r="AC1309" s="20"/>
      <c r="AD1309" s="20"/>
      <c r="AE1309" s="20"/>
    </row>
    <row r="1310">
      <c r="A1310" s="21">
        <v>33.0</v>
      </c>
      <c r="B1310" s="20" t="s">
        <v>2663</v>
      </c>
      <c r="C1310" s="20" t="s">
        <v>3094</v>
      </c>
      <c r="I1310" s="25" t="s">
        <v>2452</v>
      </c>
      <c r="J1310" s="25" t="s">
        <v>3261</v>
      </c>
      <c r="K1310" s="25" t="s">
        <v>71</v>
      </c>
      <c r="L1310" s="25" t="s">
        <v>3553</v>
      </c>
      <c r="M1310" s="20" t="s">
        <v>61</v>
      </c>
      <c r="N1310" s="20" t="s">
        <v>3269</v>
      </c>
      <c r="O1310" s="20" t="s">
        <v>63</v>
      </c>
      <c r="P1310" s="20"/>
      <c r="Q1310" s="26"/>
      <c r="R1310" s="26"/>
      <c r="S1310" s="26"/>
      <c r="T1310" s="20"/>
      <c r="U1310" s="26"/>
      <c r="V1310" s="26"/>
      <c r="W1310" s="20"/>
      <c r="X1310" s="20"/>
      <c r="Y1310" s="20"/>
      <c r="Z1310" s="20"/>
      <c r="AA1310" s="20"/>
      <c r="AB1310" s="20"/>
      <c r="AC1310" s="20"/>
      <c r="AD1310" s="20"/>
      <c r="AE1310" s="20"/>
    </row>
    <row r="1311">
      <c r="A1311" s="21">
        <v>33.0</v>
      </c>
      <c r="B1311" s="20" t="s">
        <v>2663</v>
      </c>
      <c r="C1311" s="20" t="s">
        <v>3094</v>
      </c>
      <c r="I1311" s="25" t="s">
        <v>2427</v>
      </c>
      <c r="J1311" s="25" t="s">
        <v>3253</v>
      </c>
      <c r="K1311" s="25" t="s">
        <v>71</v>
      </c>
      <c r="L1311" s="25" t="s">
        <v>3713</v>
      </c>
      <c r="M1311" s="20" t="s">
        <v>61</v>
      </c>
      <c r="N1311" s="20" t="s">
        <v>3122</v>
      </c>
      <c r="O1311" s="20" t="s">
        <v>63</v>
      </c>
      <c r="P1311" s="20"/>
      <c r="Q1311" s="26"/>
      <c r="R1311" s="26"/>
      <c r="S1311" s="26"/>
      <c r="T1311" s="20"/>
      <c r="U1311" s="26"/>
      <c r="V1311" s="26"/>
      <c r="W1311" s="20"/>
      <c r="X1311" s="20"/>
      <c r="Y1311" s="20"/>
      <c r="Z1311" s="20"/>
      <c r="AA1311" s="20"/>
      <c r="AB1311" s="20"/>
      <c r="AC1311" s="20"/>
      <c r="AD1311" s="20"/>
      <c r="AE1311" s="20"/>
    </row>
    <row r="1312">
      <c r="A1312" s="21">
        <v>33.0</v>
      </c>
      <c r="B1312" s="20" t="s">
        <v>2663</v>
      </c>
      <c r="C1312" s="20" t="s">
        <v>3094</v>
      </c>
      <c r="I1312" s="25" t="s">
        <v>3132</v>
      </c>
      <c r="J1312" s="25" t="s">
        <v>3261</v>
      </c>
      <c r="K1312" s="25" t="s">
        <v>71</v>
      </c>
      <c r="L1312" s="25" t="s">
        <v>3553</v>
      </c>
      <c r="M1312" s="20" t="s">
        <v>3270</v>
      </c>
      <c r="N1312" s="20" t="s">
        <v>3271</v>
      </c>
      <c r="O1312" s="20" t="s">
        <v>63</v>
      </c>
      <c r="P1312" s="20"/>
      <c r="Q1312" s="26"/>
      <c r="R1312" s="26"/>
      <c r="S1312" s="26"/>
      <c r="T1312" s="20"/>
      <c r="U1312" s="26"/>
      <c r="V1312" s="26"/>
      <c r="W1312" s="20"/>
      <c r="X1312" s="20"/>
      <c r="Y1312" s="20"/>
      <c r="Z1312" s="20"/>
      <c r="AA1312" s="20"/>
      <c r="AB1312" s="20"/>
      <c r="AC1312" s="20"/>
      <c r="AD1312" s="20"/>
      <c r="AE1312" s="20"/>
    </row>
    <row r="1313">
      <c r="A1313" s="21">
        <v>33.0</v>
      </c>
      <c r="B1313" s="20" t="s">
        <v>2663</v>
      </c>
      <c r="C1313" s="20" t="s">
        <v>3094</v>
      </c>
      <c r="I1313" s="25" t="s">
        <v>2690</v>
      </c>
      <c r="J1313" s="25" t="s">
        <v>3253</v>
      </c>
      <c r="K1313" s="25" t="s">
        <v>71</v>
      </c>
      <c r="L1313" s="25" t="s">
        <v>3553</v>
      </c>
      <c r="M1313" s="20" t="s">
        <v>3265</v>
      </c>
      <c r="N1313" s="20" t="s">
        <v>3266</v>
      </c>
      <c r="O1313" s="20" t="s">
        <v>56</v>
      </c>
      <c r="P1313" s="20"/>
      <c r="Q1313" s="26"/>
      <c r="R1313" s="26"/>
      <c r="S1313" s="26"/>
      <c r="T1313" s="20"/>
      <c r="U1313" s="26"/>
      <c r="V1313" s="26"/>
      <c r="W1313" s="20"/>
      <c r="X1313" s="20"/>
      <c r="Y1313" s="20"/>
      <c r="Z1313" s="20"/>
      <c r="AA1313" s="20"/>
      <c r="AB1313" s="20"/>
      <c r="AC1313" s="20"/>
      <c r="AD1313" s="20"/>
      <c r="AE1313" s="20"/>
    </row>
    <row r="1314">
      <c r="A1314" s="21">
        <v>33.0</v>
      </c>
      <c r="B1314" s="20" t="s">
        <v>2663</v>
      </c>
      <c r="C1314" s="20" t="s">
        <v>3094</v>
      </c>
      <c r="I1314" s="25" t="s">
        <v>2911</v>
      </c>
      <c r="J1314" s="25" t="s">
        <v>3253</v>
      </c>
      <c r="K1314" s="25" t="s">
        <v>71</v>
      </c>
      <c r="L1314" s="25" t="s">
        <v>3553</v>
      </c>
      <c r="M1314" s="20" t="s">
        <v>61</v>
      </c>
      <c r="N1314" s="20" t="s">
        <v>3304</v>
      </c>
      <c r="O1314" s="20" t="s">
        <v>63</v>
      </c>
      <c r="P1314" s="20"/>
      <c r="Q1314" s="26"/>
      <c r="R1314" s="26"/>
      <c r="S1314" s="26"/>
      <c r="T1314" s="20"/>
      <c r="U1314" s="26"/>
      <c r="V1314" s="26"/>
      <c r="W1314" s="20"/>
      <c r="X1314" s="20"/>
      <c r="Y1314" s="20"/>
      <c r="Z1314" s="20"/>
      <c r="AA1314" s="20"/>
      <c r="AB1314" s="20"/>
      <c r="AC1314" s="20"/>
      <c r="AD1314" s="20"/>
      <c r="AE1314" s="20"/>
    </row>
    <row r="1315">
      <c r="A1315" s="21">
        <v>33.0</v>
      </c>
      <c r="B1315" s="20" t="s">
        <v>2663</v>
      </c>
      <c r="C1315" s="20" t="s">
        <v>3094</v>
      </c>
      <c r="I1315" s="25" t="s">
        <v>2441</v>
      </c>
      <c r="J1315" s="25" t="s">
        <v>3261</v>
      </c>
      <c r="K1315" s="25" t="s">
        <v>71</v>
      </c>
      <c r="L1315" s="25" t="s">
        <v>3553</v>
      </c>
      <c r="M1315" s="20" t="s">
        <v>3272</v>
      </c>
      <c r="N1315" s="20" t="s">
        <v>3273</v>
      </c>
      <c r="O1315" s="20" t="s">
        <v>63</v>
      </c>
      <c r="P1315" s="20"/>
      <c r="Q1315" s="26"/>
      <c r="R1315" s="26"/>
      <c r="S1315" s="26"/>
      <c r="T1315" s="20"/>
      <c r="U1315" s="26"/>
      <c r="V1315" s="26"/>
      <c r="W1315" s="20"/>
      <c r="X1315" s="20"/>
      <c r="Y1315" s="20"/>
      <c r="Z1315" s="20"/>
      <c r="AA1315" s="20"/>
      <c r="AB1315" s="20"/>
      <c r="AC1315" s="20"/>
      <c r="AD1315" s="20"/>
      <c r="AE1315" s="20"/>
    </row>
    <row r="1316">
      <c r="A1316" s="21">
        <v>33.0</v>
      </c>
      <c r="B1316" s="20" t="s">
        <v>2663</v>
      </c>
      <c r="C1316" s="20" t="s">
        <v>3094</v>
      </c>
      <c r="I1316" s="25" t="s">
        <v>2693</v>
      </c>
      <c r="J1316" s="25" t="s">
        <v>3261</v>
      </c>
      <c r="K1316" s="25" t="s">
        <v>71</v>
      </c>
      <c r="L1316" s="25" t="s">
        <v>3553</v>
      </c>
      <c r="M1316" s="20" t="s">
        <v>61</v>
      </c>
      <c r="N1316" s="20" t="s">
        <v>3137</v>
      </c>
      <c r="O1316" s="20" t="s">
        <v>63</v>
      </c>
      <c r="P1316" s="20"/>
      <c r="Q1316" s="26"/>
      <c r="R1316" s="26"/>
      <c r="S1316" s="26"/>
      <c r="T1316" s="20"/>
      <c r="U1316" s="26"/>
      <c r="V1316" s="26"/>
      <c r="W1316" s="20"/>
      <c r="X1316" s="20"/>
      <c r="Y1316" s="20"/>
      <c r="Z1316" s="20"/>
      <c r="AA1316" s="20"/>
      <c r="AB1316" s="20"/>
      <c r="AC1316" s="20"/>
      <c r="AD1316" s="20"/>
      <c r="AE1316" s="20"/>
    </row>
    <row r="1317">
      <c r="A1317" s="21">
        <v>33.0</v>
      </c>
      <c r="B1317" s="20" t="s">
        <v>2663</v>
      </c>
      <c r="C1317" s="20" t="s">
        <v>3094</v>
      </c>
      <c r="I1317" s="25" t="s">
        <v>3113</v>
      </c>
      <c r="J1317" s="25" t="s">
        <v>3261</v>
      </c>
      <c r="K1317" s="25" t="s">
        <v>71</v>
      </c>
      <c r="L1317" s="25" t="s">
        <v>3553</v>
      </c>
      <c r="M1317" s="20" t="s">
        <v>3114</v>
      </c>
      <c r="N1317" s="20" t="s">
        <v>3274</v>
      </c>
      <c r="O1317" s="20" t="s">
        <v>63</v>
      </c>
      <c r="P1317" s="20"/>
      <c r="Q1317" s="26"/>
      <c r="R1317" s="26"/>
      <c r="S1317" s="26"/>
      <c r="T1317" s="20"/>
      <c r="U1317" s="26"/>
      <c r="V1317" s="26"/>
      <c r="W1317" s="20"/>
      <c r="X1317" s="20"/>
      <c r="Y1317" s="20"/>
      <c r="Z1317" s="20"/>
      <c r="AA1317" s="20"/>
      <c r="AB1317" s="20"/>
      <c r="AC1317" s="20"/>
      <c r="AD1317" s="20"/>
      <c r="AE1317" s="20"/>
    </row>
    <row r="1318">
      <c r="A1318" s="21">
        <v>33.0</v>
      </c>
      <c r="B1318" s="20" t="s">
        <v>2663</v>
      </c>
      <c r="C1318" s="20" t="s">
        <v>3094</v>
      </c>
      <c r="I1318" s="25" t="s">
        <v>2605</v>
      </c>
      <c r="J1318" s="25" t="s">
        <v>3253</v>
      </c>
      <c r="K1318" s="25" t="s">
        <v>71</v>
      </c>
      <c r="L1318" s="25" t="s">
        <v>3553</v>
      </c>
      <c r="M1318" s="20" t="s">
        <v>3143</v>
      </c>
      <c r="N1318" s="20" t="s">
        <v>3144</v>
      </c>
      <c r="O1318" s="20" t="s">
        <v>63</v>
      </c>
      <c r="P1318" s="20"/>
      <c r="Q1318" s="26"/>
      <c r="R1318" s="26"/>
      <c r="S1318" s="26"/>
      <c r="T1318" s="20"/>
      <c r="U1318" s="26"/>
      <c r="V1318" s="26"/>
      <c r="W1318" s="20"/>
      <c r="X1318" s="20"/>
      <c r="Y1318" s="20"/>
      <c r="Z1318" s="20"/>
      <c r="AA1318" s="20"/>
      <c r="AB1318" s="20"/>
      <c r="AC1318" s="20"/>
      <c r="AD1318" s="20"/>
      <c r="AE1318" s="20"/>
    </row>
    <row r="1319">
      <c r="A1319" s="21">
        <v>33.0</v>
      </c>
      <c r="B1319" s="20" t="s">
        <v>2663</v>
      </c>
      <c r="C1319" s="20" t="s">
        <v>3094</v>
      </c>
      <c r="I1319" s="25" t="s">
        <v>2614</v>
      </c>
      <c r="J1319" s="25" t="s">
        <v>3261</v>
      </c>
      <c r="K1319" s="25" t="s">
        <v>71</v>
      </c>
      <c r="L1319" s="25" t="s">
        <v>3553</v>
      </c>
      <c r="M1319" s="20" t="s">
        <v>3146</v>
      </c>
      <c r="N1319" s="20" t="s">
        <v>3147</v>
      </c>
      <c r="O1319" s="20" t="s">
        <v>63</v>
      </c>
      <c r="P1319" s="20"/>
      <c r="Q1319" s="26"/>
      <c r="R1319" s="26"/>
      <c r="S1319" s="26"/>
      <c r="T1319" s="20"/>
      <c r="U1319" s="26"/>
      <c r="V1319" s="26"/>
      <c r="W1319" s="20"/>
      <c r="X1319" s="20"/>
      <c r="Y1319" s="20"/>
      <c r="Z1319" s="20"/>
      <c r="AA1319" s="20"/>
      <c r="AB1319" s="20"/>
      <c r="AC1319" s="20"/>
      <c r="AD1319" s="20"/>
      <c r="AE1319" s="20"/>
    </row>
    <row r="1320">
      <c r="A1320" s="21">
        <v>33.0</v>
      </c>
      <c r="B1320" s="20" t="s">
        <v>2663</v>
      </c>
      <c r="C1320" s="20" t="s">
        <v>3094</v>
      </c>
      <c r="I1320" s="25" t="s">
        <v>1960</v>
      </c>
      <c r="J1320" s="25" t="s">
        <v>3261</v>
      </c>
      <c r="K1320" s="25" t="s">
        <v>71</v>
      </c>
      <c r="L1320" s="25" t="s">
        <v>3553</v>
      </c>
      <c r="M1320" s="20" t="s">
        <v>61</v>
      </c>
      <c r="N1320" s="20" t="s">
        <v>3012</v>
      </c>
      <c r="O1320" s="20" t="s">
        <v>63</v>
      </c>
      <c r="P1320" s="20"/>
      <c r="Q1320" s="26"/>
      <c r="R1320" s="26"/>
      <c r="S1320" s="26"/>
      <c r="T1320" s="20"/>
      <c r="U1320" s="26"/>
      <c r="V1320" s="26"/>
      <c r="W1320" s="20"/>
      <c r="X1320" s="20"/>
      <c r="Y1320" s="20"/>
      <c r="Z1320" s="20"/>
      <c r="AA1320" s="20"/>
      <c r="AB1320" s="20"/>
      <c r="AC1320" s="20"/>
      <c r="AD1320" s="20"/>
      <c r="AE1320" s="20"/>
    </row>
    <row r="1321">
      <c r="A1321" s="21">
        <v>33.0</v>
      </c>
      <c r="B1321" s="20" t="s">
        <v>2663</v>
      </c>
      <c r="C1321" s="20" t="s">
        <v>3094</v>
      </c>
      <c r="I1321" s="25" t="s">
        <v>2475</v>
      </c>
      <c r="J1321" s="25" t="s">
        <v>3261</v>
      </c>
      <c r="K1321" s="25" t="s">
        <v>71</v>
      </c>
      <c r="L1321" s="25" t="s">
        <v>3553</v>
      </c>
      <c r="M1321" s="20" t="s">
        <v>3276</v>
      </c>
      <c r="N1321" s="20" t="s">
        <v>3277</v>
      </c>
      <c r="O1321" s="20" t="s">
        <v>63</v>
      </c>
      <c r="P1321" s="20"/>
      <c r="Q1321" s="26"/>
      <c r="R1321" s="26"/>
      <c r="S1321" s="26"/>
      <c r="T1321" s="20"/>
      <c r="U1321" s="26"/>
      <c r="V1321" s="26"/>
      <c r="W1321" s="20"/>
      <c r="X1321" s="20"/>
      <c r="Y1321" s="20"/>
      <c r="Z1321" s="20"/>
      <c r="AA1321" s="20"/>
      <c r="AB1321" s="20"/>
      <c r="AC1321" s="20"/>
      <c r="AD1321" s="20"/>
      <c r="AE1321" s="20"/>
    </row>
    <row r="1322">
      <c r="A1322" s="21">
        <v>33.0</v>
      </c>
      <c r="B1322" s="20" t="s">
        <v>2663</v>
      </c>
      <c r="C1322" s="20" t="s">
        <v>3094</v>
      </c>
      <c r="I1322" s="25" t="s">
        <v>1843</v>
      </c>
      <c r="J1322" s="25" t="s">
        <v>3261</v>
      </c>
      <c r="K1322" s="25" t="s">
        <v>71</v>
      </c>
      <c r="L1322" s="25" t="s">
        <v>3553</v>
      </c>
      <c r="M1322" s="20" t="s">
        <v>61</v>
      </c>
      <c r="N1322" s="20" t="s">
        <v>3279</v>
      </c>
      <c r="O1322" s="20" t="s">
        <v>63</v>
      </c>
      <c r="P1322" s="20"/>
      <c r="Q1322" s="26"/>
      <c r="R1322" s="26"/>
      <c r="S1322" s="26"/>
      <c r="T1322" s="20"/>
      <c r="U1322" s="26"/>
      <c r="V1322" s="26"/>
      <c r="W1322" s="20"/>
      <c r="X1322" s="20"/>
      <c r="Y1322" s="20"/>
      <c r="Z1322" s="20"/>
      <c r="AA1322" s="20"/>
      <c r="AB1322" s="20"/>
      <c r="AC1322" s="20"/>
      <c r="AD1322" s="20"/>
      <c r="AE1322" s="20"/>
    </row>
    <row r="1323">
      <c r="A1323" s="21">
        <v>33.0</v>
      </c>
      <c r="B1323" s="20" t="s">
        <v>2663</v>
      </c>
      <c r="C1323" s="20" t="s">
        <v>3094</v>
      </c>
      <c r="I1323" s="25" t="s">
        <v>2914</v>
      </c>
      <c r="J1323" s="25" t="s">
        <v>3253</v>
      </c>
      <c r="K1323" s="25" t="s">
        <v>71</v>
      </c>
      <c r="L1323" s="25" t="s">
        <v>3553</v>
      </c>
      <c r="M1323" s="20" t="s">
        <v>61</v>
      </c>
      <c r="N1323" s="20" t="s">
        <v>3305</v>
      </c>
      <c r="O1323" s="20" t="s">
        <v>63</v>
      </c>
      <c r="P1323" s="20"/>
      <c r="Q1323" s="26"/>
      <c r="R1323" s="26"/>
      <c r="S1323" s="26"/>
      <c r="T1323" s="20"/>
      <c r="U1323" s="26"/>
      <c r="V1323" s="26"/>
      <c r="W1323" s="20"/>
      <c r="X1323" s="20"/>
      <c r="Y1323" s="20"/>
      <c r="Z1323" s="20"/>
      <c r="AA1323" s="20"/>
      <c r="AB1323" s="20"/>
      <c r="AC1323" s="20"/>
      <c r="AD1323" s="20"/>
      <c r="AE1323" s="20"/>
    </row>
    <row r="1324">
      <c r="A1324" s="21">
        <v>33.0</v>
      </c>
      <c r="B1324" s="20" t="s">
        <v>2663</v>
      </c>
      <c r="C1324" s="20" t="s">
        <v>3094</v>
      </c>
      <c r="I1324" s="25" t="s">
        <v>2016</v>
      </c>
      <c r="J1324" s="25" t="s">
        <v>3261</v>
      </c>
      <c r="K1324" s="25" t="s">
        <v>71</v>
      </c>
      <c r="L1324" s="25" t="s">
        <v>3553</v>
      </c>
      <c r="M1324" s="20" t="s">
        <v>3280</v>
      </c>
      <c r="N1324" s="20" t="s">
        <v>3281</v>
      </c>
      <c r="O1324" s="20" t="s">
        <v>63</v>
      </c>
      <c r="P1324" s="20"/>
      <c r="Q1324" s="26"/>
      <c r="R1324" s="26"/>
      <c r="S1324" s="26"/>
      <c r="T1324" s="20"/>
      <c r="U1324" s="26"/>
      <c r="V1324" s="26"/>
      <c r="W1324" s="20"/>
      <c r="X1324" s="20"/>
      <c r="Y1324" s="20"/>
      <c r="Z1324" s="20"/>
      <c r="AA1324" s="20"/>
      <c r="AB1324" s="20"/>
      <c r="AC1324" s="20"/>
      <c r="AD1324" s="20"/>
      <c r="AE1324" s="20"/>
    </row>
    <row r="1325">
      <c r="A1325" s="21">
        <v>33.0</v>
      </c>
      <c r="B1325" s="20" t="s">
        <v>2663</v>
      </c>
      <c r="C1325" s="20" t="s">
        <v>3094</v>
      </c>
      <c r="I1325" s="25" t="s">
        <v>2520</v>
      </c>
      <c r="J1325" s="25" t="s">
        <v>3261</v>
      </c>
      <c r="K1325" s="25" t="s">
        <v>71</v>
      </c>
      <c r="L1325" s="25" t="s">
        <v>3553</v>
      </c>
      <c r="M1325" s="20" t="s">
        <v>2997</v>
      </c>
      <c r="N1325" s="20" t="s">
        <v>3282</v>
      </c>
      <c r="O1325" s="20" t="s">
        <v>63</v>
      </c>
      <c r="P1325" s="20"/>
      <c r="Q1325" s="26"/>
      <c r="R1325" s="26"/>
      <c r="S1325" s="26"/>
      <c r="T1325" s="20"/>
      <c r="U1325" s="26"/>
      <c r="V1325" s="26"/>
      <c r="W1325" s="20"/>
      <c r="X1325" s="20"/>
      <c r="Y1325" s="20"/>
      <c r="Z1325" s="20"/>
      <c r="AA1325" s="20"/>
      <c r="AB1325" s="20"/>
      <c r="AC1325" s="20"/>
      <c r="AD1325" s="20"/>
      <c r="AE1325" s="20"/>
    </row>
    <row r="1326">
      <c r="A1326" s="21">
        <v>33.0</v>
      </c>
      <c r="B1326" s="20" t="s">
        <v>2663</v>
      </c>
      <c r="C1326" s="20" t="s">
        <v>3094</v>
      </c>
      <c r="I1326" s="25" t="s">
        <v>2417</v>
      </c>
      <c r="J1326" s="25" t="s">
        <v>3253</v>
      </c>
      <c r="K1326" s="25" t="s">
        <v>71</v>
      </c>
      <c r="L1326" s="25" t="s">
        <v>3553</v>
      </c>
      <c r="M1326" s="20" t="s">
        <v>61</v>
      </c>
      <c r="N1326" s="20" t="s">
        <v>2985</v>
      </c>
      <c r="O1326" s="20" t="s">
        <v>63</v>
      </c>
      <c r="P1326" s="20"/>
      <c r="Q1326" s="26"/>
      <c r="R1326" s="26"/>
      <c r="S1326" s="26"/>
      <c r="T1326" s="20"/>
      <c r="U1326" s="26"/>
      <c r="V1326" s="26"/>
      <c r="W1326" s="20"/>
      <c r="X1326" s="20"/>
      <c r="Y1326" s="20"/>
      <c r="Z1326" s="20"/>
      <c r="AA1326" s="20"/>
      <c r="AB1326" s="20"/>
      <c r="AC1326" s="20"/>
      <c r="AD1326" s="20"/>
      <c r="AE1326" s="20"/>
    </row>
    <row r="1327">
      <c r="A1327" s="21">
        <v>33.0</v>
      </c>
      <c r="B1327" s="20" t="s">
        <v>2663</v>
      </c>
      <c r="C1327" s="20" t="s">
        <v>3094</v>
      </c>
      <c r="I1327" s="25" t="s">
        <v>3041</v>
      </c>
      <c r="J1327" s="25" t="s">
        <v>3253</v>
      </c>
      <c r="K1327" s="25" t="s">
        <v>67</v>
      </c>
      <c r="L1327" s="25" t="s">
        <v>1025</v>
      </c>
      <c r="M1327" s="20" t="s">
        <v>3259</v>
      </c>
      <c r="N1327" s="20" t="s">
        <v>3260</v>
      </c>
      <c r="O1327" s="20" t="s">
        <v>56</v>
      </c>
      <c r="P1327" s="20" t="s">
        <v>52</v>
      </c>
      <c r="Q1327" s="26"/>
      <c r="R1327" s="26"/>
      <c r="S1327" s="26"/>
      <c r="T1327" s="22"/>
      <c r="U1327" s="26"/>
      <c r="V1327" s="26"/>
      <c r="W1327" s="20"/>
      <c r="X1327" s="20"/>
      <c r="Y1327" s="20"/>
      <c r="Z1327" s="20"/>
      <c r="AA1327" s="20"/>
      <c r="AB1327" s="20"/>
      <c r="AC1327" s="20"/>
      <c r="AD1327" s="20"/>
      <c r="AE1327" s="20"/>
    </row>
    <row r="1328">
      <c r="A1328" s="21">
        <v>33.0</v>
      </c>
      <c r="B1328" s="20" t="s">
        <v>2663</v>
      </c>
      <c r="C1328" s="20" t="s">
        <v>3094</v>
      </c>
      <c r="I1328" s="25" t="s">
        <v>1997</v>
      </c>
      <c r="J1328" s="25" t="s">
        <v>3261</v>
      </c>
      <c r="K1328" s="25" t="s">
        <v>71</v>
      </c>
      <c r="L1328" s="25" t="s">
        <v>3553</v>
      </c>
      <c r="M1328" s="20" t="s">
        <v>61</v>
      </c>
      <c r="N1328" s="20" t="s">
        <v>3283</v>
      </c>
      <c r="O1328" s="20" t="s">
        <v>63</v>
      </c>
      <c r="P1328" s="20"/>
      <c r="Q1328" s="26"/>
      <c r="R1328" s="26"/>
      <c r="S1328" s="26"/>
      <c r="T1328" s="20"/>
      <c r="U1328" s="26"/>
      <c r="V1328" s="26"/>
      <c r="W1328" s="20"/>
      <c r="X1328" s="20"/>
      <c r="Y1328" s="20"/>
      <c r="Z1328" s="20"/>
      <c r="AA1328" s="20"/>
      <c r="AB1328" s="20"/>
      <c r="AC1328" s="20"/>
      <c r="AD1328" s="20"/>
      <c r="AE1328" s="20"/>
    </row>
    <row r="1329">
      <c r="A1329" s="21">
        <v>33.0</v>
      </c>
      <c r="B1329" s="20" t="s">
        <v>2663</v>
      </c>
      <c r="C1329" s="20" t="s">
        <v>3094</v>
      </c>
      <c r="I1329" s="25" t="s">
        <v>2058</v>
      </c>
      <c r="J1329" s="25" t="s">
        <v>3253</v>
      </c>
      <c r="K1329" s="25" t="s">
        <v>71</v>
      </c>
      <c r="L1329" s="25" t="s">
        <v>3553</v>
      </c>
      <c r="M1329" s="20" t="s">
        <v>61</v>
      </c>
      <c r="N1329" s="20" t="s">
        <v>3306</v>
      </c>
      <c r="O1329" s="20" t="s">
        <v>63</v>
      </c>
      <c r="P1329" s="20"/>
      <c r="Q1329" s="26"/>
      <c r="R1329" s="26"/>
      <c r="S1329" s="26"/>
      <c r="T1329" s="20"/>
      <c r="U1329" s="26"/>
      <c r="V1329" s="26"/>
      <c r="W1329" s="20"/>
      <c r="X1329" s="20"/>
      <c r="Y1329" s="20"/>
      <c r="Z1329" s="20"/>
      <c r="AA1329" s="20"/>
      <c r="AB1329" s="20"/>
      <c r="AC1329" s="20"/>
      <c r="AD1329" s="20"/>
      <c r="AE1329" s="20"/>
    </row>
    <row r="1330">
      <c r="A1330" s="21">
        <v>33.0</v>
      </c>
      <c r="B1330" s="20" t="s">
        <v>2663</v>
      </c>
      <c r="C1330" s="20" t="s">
        <v>3094</v>
      </c>
      <c r="I1330" s="25" t="s">
        <v>3202</v>
      </c>
      <c r="J1330" s="25" t="s">
        <v>3261</v>
      </c>
      <c r="K1330" s="25" t="s">
        <v>71</v>
      </c>
      <c r="L1330" s="25" t="s">
        <v>3553</v>
      </c>
      <c r="M1330" s="20" t="s">
        <v>3285</v>
      </c>
      <c r="N1330" s="20" t="s">
        <v>3286</v>
      </c>
      <c r="O1330" s="20" t="s">
        <v>63</v>
      </c>
      <c r="P1330" s="20"/>
      <c r="Q1330" s="26"/>
      <c r="R1330" s="26"/>
      <c r="S1330" s="26"/>
      <c r="T1330" s="20"/>
      <c r="U1330" s="26"/>
      <c r="V1330" s="26"/>
      <c r="W1330" s="20"/>
      <c r="X1330" s="20"/>
      <c r="Y1330" s="20"/>
      <c r="Z1330" s="20"/>
      <c r="AA1330" s="20"/>
      <c r="AB1330" s="20"/>
      <c r="AC1330" s="20"/>
      <c r="AD1330" s="20"/>
      <c r="AE1330" s="20"/>
    </row>
    <row r="1331">
      <c r="A1331" s="21">
        <v>33.0</v>
      </c>
      <c r="B1331" s="20" t="s">
        <v>2663</v>
      </c>
      <c r="C1331" s="20" t="s">
        <v>3094</v>
      </c>
      <c r="I1331" s="25" t="s">
        <v>2628</v>
      </c>
      <c r="J1331" s="25" t="s">
        <v>3261</v>
      </c>
      <c r="K1331" s="25" t="s">
        <v>71</v>
      </c>
      <c r="L1331" s="25" t="s">
        <v>3553</v>
      </c>
      <c r="M1331" s="20" t="s">
        <v>61</v>
      </c>
      <c r="N1331" s="20" t="s">
        <v>3287</v>
      </c>
      <c r="O1331" s="20" t="s">
        <v>63</v>
      </c>
      <c r="P1331" s="20"/>
      <c r="Q1331" s="26"/>
      <c r="R1331" s="26"/>
      <c r="S1331" s="26"/>
      <c r="T1331" s="20"/>
      <c r="U1331" s="26"/>
      <c r="V1331" s="26"/>
      <c r="W1331" s="20"/>
      <c r="X1331" s="20"/>
      <c r="Y1331" s="20"/>
      <c r="Z1331" s="20"/>
      <c r="AA1331" s="20"/>
      <c r="AB1331" s="20"/>
      <c r="AC1331" s="20"/>
      <c r="AD1331" s="20"/>
      <c r="AE1331" s="20"/>
    </row>
    <row r="1332">
      <c r="A1332" s="21">
        <v>33.0</v>
      </c>
      <c r="B1332" s="20" t="s">
        <v>2663</v>
      </c>
      <c r="C1332" s="20" t="s">
        <v>3094</v>
      </c>
      <c r="I1332" s="25" t="s">
        <v>1693</v>
      </c>
      <c r="J1332" s="25" t="s">
        <v>3261</v>
      </c>
      <c r="K1332" s="25" t="s">
        <v>71</v>
      </c>
      <c r="L1332" s="25" t="s">
        <v>3553</v>
      </c>
      <c r="M1332" s="20" t="s">
        <v>2655</v>
      </c>
      <c r="N1332" s="20" t="s">
        <v>3288</v>
      </c>
      <c r="O1332" s="20" t="s">
        <v>63</v>
      </c>
      <c r="P1332" s="20"/>
      <c r="Q1332" s="26"/>
      <c r="R1332" s="26"/>
      <c r="S1332" s="26"/>
      <c r="T1332" s="20"/>
      <c r="U1332" s="26"/>
      <c r="V1332" s="26"/>
      <c r="W1332" s="20"/>
      <c r="X1332" s="20"/>
      <c r="Y1332" s="20"/>
      <c r="Z1332" s="20"/>
      <c r="AA1332" s="20"/>
      <c r="AB1332" s="20"/>
      <c r="AC1332" s="20"/>
      <c r="AD1332" s="20"/>
      <c r="AE1332" s="20"/>
    </row>
    <row r="1333">
      <c r="A1333" s="21">
        <v>33.0</v>
      </c>
      <c r="B1333" s="20" t="s">
        <v>2663</v>
      </c>
      <c r="C1333" s="20" t="s">
        <v>3094</v>
      </c>
      <c r="I1333" s="25" t="s">
        <v>2990</v>
      </c>
      <c r="J1333" s="25" t="s">
        <v>3261</v>
      </c>
      <c r="K1333" s="25" t="s">
        <v>71</v>
      </c>
      <c r="L1333" s="25" t="s">
        <v>3553</v>
      </c>
      <c r="M1333" s="20" t="s">
        <v>3289</v>
      </c>
      <c r="N1333" s="20" t="s">
        <v>3290</v>
      </c>
      <c r="O1333" s="20" t="s">
        <v>63</v>
      </c>
      <c r="P1333" s="20"/>
      <c r="Q1333" s="26"/>
      <c r="R1333" s="26"/>
      <c r="S1333" s="26"/>
      <c r="T1333" s="20"/>
      <c r="U1333" s="26"/>
      <c r="V1333" s="26"/>
      <c r="W1333" s="20"/>
      <c r="X1333" s="20"/>
      <c r="Y1333" s="20"/>
      <c r="Z1333" s="20"/>
      <c r="AA1333" s="20"/>
      <c r="AB1333" s="20"/>
      <c r="AC1333" s="20"/>
      <c r="AD1333" s="20"/>
      <c r="AE1333" s="20"/>
    </row>
    <row r="1334">
      <c r="A1334" s="21">
        <v>33.0</v>
      </c>
      <c r="B1334" s="20" t="s">
        <v>2663</v>
      </c>
      <c r="C1334" s="20" t="s">
        <v>3094</v>
      </c>
      <c r="I1334" s="25" t="s">
        <v>2438</v>
      </c>
      <c r="J1334" s="25" t="s">
        <v>3261</v>
      </c>
      <c r="K1334" s="25" t="s">
        <v>71</v>
      </c>
      <c r="L1334" s="25" t="s">
        <v>3553</v>
      </c>
      <c r="M1334" s="20" t="s">
        <v>2439</v>
      </c>
      <c r="N1334" s="20" t="s">
        <v>3291</v>
      </c>
      <c r="O1334" s="20" t="s">
        <v>63</v>
      </c>
      <c r="P1334" s="20"/>
      <c r="Q1334" s="26"/>
      <c r="R1334" s="26"/>
      <c r="S1334" s="26"/>
      <c r="T1334" s="20"/>
      <c r="U1334" s="26"/>
      <c r="V1334" s="26"/>
      <c r="W1334" s="20"/>
      <c r="X1334" s="20"/>
      <c r="Y1334" s="20"/>
      <c r="Z1334" s="20"/>
      <c r="AA1334" s="20"/>
      <c r="AB1334" s="20"/>
      <c r="AC1334" s="20"/>
      <c r="AD1334" s="20"/>
      <c r="AE1334" s="20"/>
    </row>
    <row r="1335">
      <c r="A1335" s="21">
        <v>33.0</v>
      </c>
      <c r="B1335" s="20" t="s">
        <v>2663</v>
      </c>
      <c r="C1335" s="20" t="s">
        <v>3094</v>
      </c>
      <c r="I1335" s="25" t="s">
        <v>3074</v>
      </c>
      <c r="J1335" s="25" t="s">
        <v>3261</v>
      </c>
      <c r="K1335" s="25" t="s">
        <v>71</v>
      </c>
      <c r="L1335" s="25" t="s">
        <v>3553</v>
      </c>
      <c r="M1335" s="20" t="s">
        <v>61</v>
      </c>
      <c r="N1335" s="20" t="s">
        <v>3292</v>
      </c>
      <c r="O1335" s="20" t="s">
        <v>63</v>
      </c>
      <c r="P1335" s="20"/>
      <c r="Q1335" s="26"/>
      <c r="R1335" s="26"/>
      <c r="S1335" s="26"/>
      <c r="T1335" s="20"/>
      <c r="U1335" s="26"/>
      <c r="V1335" s="26"/>
      <c r="W1335" s="20"/>
      <c r="X1335" s="20"/>
      <c r="Y1335" s="20"/>
      <c r="Z1335" s="20"/>
      <c r="AA1335" s="20"/>
      <c r="AB1335" s="20"/>
      <c r="AC1335" s="20"/>
      <c r="AD1335" s="20"/>
      <c r="AE1335" s="20"/>
    </row>
    <row r="1336">
      <c r="A1336" s="21">
        <v>33.0</v>
      </c>
      <c r="B1336" s="20" t="s">
        <v>2663</v>
      </c>
      <c r="C1336" s="20" t="s">
        <v>3094</v>
      </c>
      <c r="I1336" s="25" t="s">
        <v>2450</v>
      </c>
      <c r="J1336" s="25" t="s">
        <v>3261</v>
      </c>
      <c r="K1336" s="25" t="s">
        <v>71</v>
      </c>
      <c r="L1336" s="25" t="s">
        <v>3553</v>
      </c>
      <c r="M1336" s="20" t="s">
        <v>3293</v>
      </c>
      <c r="N1336" s="20" t="s">
        <v>3294</v>
      </c>
      <c r="O1336" s="20" t="s">
        <v>63</v>
      </c>
      <c r="P1336" s="20"/>
      <c r="Q1336" s="26"/>
      <c r="R1336" s="26"/>
      <c r="S1336" s="26"/>
      <c r="T1336" s="20"/>
      <c r="U1336" s="26"/>
      <c r="V1336" s="26"/>
      <c r="W1336" s="20"/>
      <c r="X1336" s="20"/>
      <c r="Y1336" s="20"/>
      <c r="Z1336" s="20"/>
      <c r="AA1336" s="20"/>
      <c r="AB1336" s="20"/>
      <c r="AC1336" s="20"/>
      <c r="AD1336" s="20"/>
      <c r="AE1336" s="20"/>
    </row>
    <row r="1337">
      <c r="A1337" s="21">
        <v>33.0</v>
      </c>
      <c r="B1337" s="20" t="s">
        <v>2663</v>
      </c>
      <c r="C1337" s="20" t="s">
        <v>3094</v>
      </c>
      <c r="I1337" s="25" t="s">
        <v>3307</v>
      </c>
      <c r="J1337" s="25" t="s">
        <v>3253</v>
      </c>
      <c r="K1337" s="25" t="s">
        <v>71</v>
      </c>
      <c r="L1337" s="25" t="s">
        <v>3553</v>
      </c>
      <c r="M1337" s="20" t="s">
        <v>3308</v>
      </c>
      <c r="N1337" s="20" t="s">
        <v>3196</v>
      </c>
      <c r="O1337" s="20" t="s">
        <v>63</v>
      </c>
      <c r="P1337" s="20"/>
      <c r="Q1337" s="26"/>
      <c r="R1337" s="26"/>
      <c r="S1337" s="26"/>
      <c r="T1337" s="20"/>
      <c r="U1337" s="26"/>
      <c r="V1337" s="26"/>
      <c r="W1337" s="20"/>
      <c r="X1337" s="20"/>
      <c r="Y1337" s="20"/>
      <c r="Z1337" s="20"/>
      <c r="AA1337" s="20"/>
      <c r="AB1337" s="20"/>
      <c r="AC1337" s="20"/>
      <c r="AD1337" s="20"/>
      <c r="AE1337" s="20"/>
    </row>
    <row r="1338">
      <c r="A1338" s="21">
        <v>33.0</v>
      </c>
      <c r="B1338" s="20" t="s">
        <v>2663</v>
      </c>
      <c r="C1338" s="20" t="s">
        <v>3094</v>
      </c>
      <c r="I1338" s="25" t="s">
        <v>3295</v>
      </c>
      <c r="J1338" s="25" t="s">
        <v>3261</v>
      </c>
      <c r="K1338" s="25" t="s">
        <v>71</v>
      </c>
      <c r="L1338" s="25" t="s">
        <v>3553</v>
      </c>
      <c r="M1338" s="20" t="s">
        <v>61</v>
      </c>
      <c r="N1338" s="20" t="s">
        <v>3296</v>
      </c>
      <c r="O1338" s="20" t="s">
        <v>63</v>
      </c>
      <c r="P1338" s="20"/>
      <c r="Q1338" s="26"/>
      <c r="R1338" s="26"/>
      <c r="S1338" s="26"/>
      <c r="T1338" s="20"/>
      <c r="U1338" s="26"/>
      <c r="V1338" s="26"/>
      <c r="W1338" s="20"/>
      <c r="X1338" s="20"/>
      <c r="Y1338" s="20"/>
      <c r="Z1338" s="20"/>
      <c r="AA1338" s="20"/>
      <c r="AB1338" s="20"/>
      <c r="AC1338" s="20"/>
      <c r="AD1338" s="20"/>
      <c r="AE1338" s="20"/>
    </row>
    <row r="1339">
      <c r="A1339" s="21">
        <v>33.0</v>
      </c>
      <c r="B1339" s="20" t="s">
        <v>2663</v>
      </c>
      <c r="C1339" s="20" t="s">
        <v>3094</v>
      </c>
      <c r="I1339" s="25" t="s">
        <v>150</v>
      </c>
      <c r="J1339" s="25" t="s">
        <v>3261</v>
      </c>
      <c r="K1339" s="25" t="s">
        <v>71</v>
      </c>
      <c r="L1339" s="25" t="s">
        <v>3553</v>
      </c>
      <c r="M1339" s="20" t="s">
        <v>151</v>
      </c>
      <c r="N1339" s="20" t="s">
        <v>153</v>
      </c>
      <c r="O1339" s="20" t="s">
        <v>63</v>
      </c>
      <c r="P1339" s="20"/>
      <c r="Q1339" s="26"/>
      <c r="R1339" s="26"/>
      <c r="S1339" s="26"/>
      <c r="T1339" s="20"/>
      <c r="U1339" s="26"/>
      <c r="V1339" s="26"/>
      <c r="W1339" s="20"/>
      <c r="X1339" s="20"/>
      <c r="Y1339" s="20"/>
      <c r="Z1339" s="20"/>
      <c r="AA1339" s="20"/>
      <c r="AB1339" s="20"/>
      <c r="AC1339" s="20"/>
      <c r="AD1339" s="20"/>
      <c r="AE1339" s="20"/>
    </row>
    <row r="1340">
      <c r="A1340" s="21">
        <v>33.0</v>
      </c>
      <c r="B1340" s="20" t="s">
        <v>2663</v>
      </c>
      <c r="C1340" s="20" t="s">
        <v>3094</v>
      </c>
      <c r="I1340" s="25" t="s">
        <v>2631</v>
      </c>
      <c r="J1340" s="25" t="s">
        <v>3261</v>
      </c>
      <c r="K1340" s="25" t="s">
        <v>71</v>
      </c>
      <c r="L1340" s="25" t="s">
        <v>3553</v>
      </c>
      <c r="M1340" s="20" t="s">
        <v>61</v>
      </c>
      <c r="N1340" s="20" t="s">
        <v>3297</v>
      </c>
      <c r="O1340" s="20" t="s">
        <v>63</v>
      </c>
      <c r="P1340" s="20"/>
      <c r="Q1340" s="26"/>
      <c r="R1340" s="26"/>
      <c r="S1340" s="26"/>
      <c r="T1340" s="20"/>
      <c r="U1340" s="26"/>
      <c r="V1340" s="26"/>
      <c r="W1340" s="20"/>
      <c r="X1340" s="20"/>
      <c r="Y1340" s="20"/>
      <c r="Z1340" s="20"/>
      <c r="AA1340" s="20"/>
      <c r="AB1340" s="20"/>
      <c r="AC1340" s="20"/>
      <c r="AD1340" s="20"/>
      <c r="AE1340" s="20"/>
    </row>
    <row r="1341">
      <c r="A1341" s="21">
        <v>33.0</v>
      </c>
      <c r="B1341" s="20" t="s">
        <v>2663</v>
      </c>
      <c r="C1341" s="20" t="s">
        <v>3094</v>
      </c>
      <c r="I1341" s="25" t="s">
        <v>2878</v>
      </c>
      <c r="J1341" s="25" t="s">
        <v>3261</v>
      </c>
      <c r="K1341" s="25" t="s">
        <v>71</v>
      </c>
      <c r="L1341" s="25" t="s">
        <v>3553</v>
      </c>
      <c r="M1341" s="20" t="s">
        <v>61</v>
      </c>
      <c r="N1341" s="20" t="s">
        <v>3298</v>
      </c>
      <c r="O1341" s="20" t="s">
        <v>63</v>
      </c>
      <c r="P1341" s="20"/>
      <c r="Q1341" s="26"/>
      <c r="R1341" s="26"/>
      <c r="S1341" s="26"/>
      <c r="T1341" s="20"/>
      <c r="U1341" s="26"/>
      <c r="V1341" s="26"/>
      <c r="W1341" s="20"/>
      <c r="X1341" s="20"/>
      <c r="Y1341" s="20"/>
      <c r="Z1341" s="20"/>
      <c r="AA1341" s="20"/>
      <c r="AB1341" s="20"/>
      <c r="AC1341" s="20"/>
      <c r="AD1341" s="20"/>
      <c r="AE1341" s="20"/>
    </row>
    <row r="1342">
      <c r="A1342" s="21">
        <v>33.0</v>
      </c>
      <c r="B1342" s="20" t="s">
        <v>2663</v>
      </c>
      <c r="C1342" s="20" t="s">
        <v>3094</v>
      </c>
      <c r="I1342" s="25" t="s">
        <v>2591</v>
      </c>
      <c r="J1342" s="25" t="s">
        <v>3261</v>
      </c>
      <c r="K1342" s="25" t="s">
        <v>71</v>
      </c>
      <c r="L1342" s="25" t="s">
        <v>3553</v>
      </c>
      <c r="M1342" s="20" t="s">
        <v>61</v>
      </c>
      <c r="N1342" s="20" t="s">
        <v>3299</v>
      </c>
      <c r="O1342" s="20" t="s">
        <v>63</v>
      </c>
      <c r="P1342" s="20"/>
      <c r="Q1342" s="26"/>
      <c r="R1342" s="26"/>
      <c r="S1342" s="26"/>
      <c r="T1342" s="20"/>
      <c r="U1342" s="26"/>
      <c r="V1342" s="26"/>
      <c r="W1342" s="20"/>
      <c r="X1342" s="20"/>
      <c r="Y1342" s="20"/>
      <c r="Z1342" s="20"/>
      <c r="AA1342" s="20"/>
      <c r="AB1342" s="20"/>
      <c r="AC1342" s="20"/>
      <c r="AD1342" s="20"/>
      <c r="AE1342" s="20"/>
    </row>
    <row r="1343">
      <c r="A1343" s="21">
        <v>33.0</v>
      </c>
      <c r="B1343" s="20" t="s">
        <v>2663</v>
      </c>
      <c r="C1343" s="20" t="s">
        <v>3094</v>
      </c>
      <c r="I1343" s="25" t="s">
        <v>1139</v>
      </c>
      <c r="J1343" s="25" t="s">
        <v>3261</v>
      </c>
      <c r="K1343" s="25" t="s">
        <v>71</v>
      </c>
      <c r="L1343" s="25" t="s">
        <v>3553</v>
      </c>
      <c r="M1343" s="20" t="s">
        <v>61</v>
      </c>
      <c r="N1343" s="20" t="s">
        <v>3206</v>
      </c>
      <c r="O1343" s="20" t="s">
        <v>63</v>
      </c>
      <c r="P1343" s="20"/>
      <c r="Q1343" s="26"/>
      <c r="R1343" s="26"/>
      <c r="S1343" s="26"/>
      <c r="T1343" s="20"/>
      <c r="U1343" s="26"/>
      <c r="V1343" s="26"/>
      <c r="W1343" s="20"/>
      <c r="X1343" s="20"/>
      <c r="Y1343" s="20"/>
      <c r="Z1343" s="20"/>
      <c r="AA1343" s="20"/>
      <c r="AB1343" s="20"/>
      <c r="AC1343" s="20"/>
      <c r="AD1343" s="20"/>
      <c r="AE1343" s="20"/>
    </row>
    <row r="1344">
      <c r="A1344" s="21">
        <v>33.0</v>
      </c>
      <c r="B1344" s="20" t="s">
        <v>2663</v>
      </c>
      <c r="C1344" s="20" t="s">
        <v>3094</v>
      </c>
      <c r="I1344" s="25" t="s">
        <v>2595</v>
      </c>
      <c r="J1344" s="25" t="s">
        <v>3261</v>
      </c>
      <c r="K1344" s="25" t="s">
        <v>71</v>
      </c>
      <c r="L1344" s="25" t="s">
        <v>3553</v>
      </c>
      <c r="M1344" s="20" t="s">
        <v>61</v>
      </c>
      <c r="N1344" s="20" t="s">
        <v>3300</v>
      </c>
      <c r="O1344" s="20" t="s">
        <v>63</v>
      </c>
      <c r="P1344" s="20"/>
      <c r="Q1344" s="26"/>
      <c r="R1344" s="26"/>
      <c r="S1344" s="26"/>
      <c r="T1344" s="20"/>
      <c r="U1344" s="26"/>
      <c r="V1344" s="26"/>
      <c r="W1344" s="20"/>
      <c r="X1344" s="20"/>
      <c r="Y1344" s="20"/>
      <c r="Z1344" s="20"/>
      <c r="AA1344" s="20"/>
      <c r="AB1344" s="20"/>
      <c r="AC1344" s="20"/>
      <c r="AD1344" s="20"/>
      <c r="AE1344" s="20"/>
    </row>
    <row r="1345">
      <c r="A1345" s="21">
        <v>33.0</v>
      </c>
      <c r="B1345" s="20" t="s">
        <v>2663</v>
      </c>
      <c r="C1345" s="20" t="s">
        <v>3094</v>
      </c>
      <c r="I1345" s="25" t="s">
        <v>2585</v>
      </c>
      <c r="J1345" s="25" t="s">
        <v>3253</v>
      </c>
      <c r="K1345" s="25" t="s">
        <v>71</v>
      </c>
      <c r="L1345" s="25" t="s">
        <v>3553</v>
      </c>
      <c r="M1345" s="20" t="s">
        <v>3083</v>
      </c>
      <c r="N1345" s="20" t="s">
        <v>3084</v>
      </c>
      <c r="O1345" s="20" t="s">
        <v>63</v>
      </c>
      <c r="P1345" s="20"/>
      <c r="Q1345" s="26"/>
      <c r="R1345" s="26"/>
      <c r="S1345" s="26"/>
      <c r="T1345" s="20"/>
      <c r="U1345" s="26"/>
      <c r="V1345" s="26"/>
      <c r="W1345" s="20"/>
      <c r="X1345" s="20"/>
      <c r="Y1345" s="20"/>
      <c r="Z1345" s="20"/>
      <c r="AA1345" s="20"/>
      <c r="AB1345" s="20"/>
      <c r="AC1345" s="20"/>
      <c r="AD1345" s="20"/>
      <c r="AE1345" s="20"/>
    </row>
    <row r="1346">
      <c r="A1346" s="21">
        <v>33.0</v>
      </c>
      <c r="B1346" s="20" t="s">
        <v>2663</v>
      </c>
      <c r="C1346" s="20" t="s">
        <v>3094</v>
      </c>
      <c r="I1346" s="25" t="s">
        <v>1860</v>
      </c>
      <c r="J1346" s="25" t="s">
        <v>3261</v>
      </c>
      <c r="K1346" s="25" t="s">
        <v>71</v>
      </c>
      <c r="L1346" s="25" t="s">
        <v>3553</v>
      </c>
      <c r="M1346" s="20" t="s">
        <v>61</v>
      </c>
      <c r="N1346" s="20" t="s">
        <v>3301</v>
      </c>
      <c r="O1346" s="20" t="s">
        <v>63</v>
      </c>
      <c r="P1346" s="20"/>
      <c r="Q1346" s="26"/>
      <c r="R1346" s="26"/>
      <c r="S1346" s="26"/>
      <c r="T1346" s="20"/>
      <c r="U1346" s="26"/>
      <c r="V1346" s="26"/>
      <c r="W1346" s="20"/>
      <c r="X1346" s="20"/>
      <c r="Y1346" s="20"/>
      <c r="Z1346" s="20"/>
      <c r="AA1346" s="20"/>
      <c r="AB1346" s="20"/>
      <c r="AC1346" s="20"/>
      <c r="AD1346" s="20"/>
      <c r="AE1346" s="20"/>
    </row>
    <row r="1347">
      <c r="A1347" s="21">
        <v>33.0</v>
      </c>
      <c r="B1347" s="20" t="s">
        <v>2663</v>
      </c>
      <c r="C1347" s="20" t="s">
        <v>3094</v>
      </c>
      <c r="I1347" s="25" t="s">
        <v>2634</v>
      </c>
      <c r="J1347" s="25" t="s">
        <v>3253</v>
      </c>
      <c r="K1347" s="25" t="s">
        <v>71</v>
      </c>
      <c r="L1347" s="25" t="s">
        <v>3553</v>
      </c>
      <c r="M1347" s="20" t="s">
        <v>61</v>
      </c>
      <c r="N1347" s="20" t="s">
        <v>3309</v>
      </c>
      <c r="O1347" s="20" t="s">
        <v>63</v>
      </c>
      <c r="P1347" s="20"/>
      <c r="Q1347" s="26"/>
      <c r="R1347" s="26"/>
      <c r="S1347" s="26"/>
      <c r="T1347" s="20"/>
      <c r="U1347" s="26"/>
      <c r="V1347" s="26"/>
      <c r="W1347" s="20"/>
      <c r="X1347" s="20"/>
      <c r="Y1347" s="20"/>
      <c r="Z1347" s="20"/>
      <c r="AA1347" s="20"/>
      <c r="AB1347" s="20"/>
      <c r="AC1347" s="20"/>
      <c r="AD1347" s="20"/>
      <c r="AE1347" s="20"/>
    </row>
    <row r="1348">
      <c r="A1348" s="21">
        <v>33.0</v>
      </c>
      <c r="B1348" s="20" t="s">
        <v>2663</v>
      </c>
      <c r="C1348" s="20" t="s">
        <v>3094</v>
      </c>
      <c r="I1348" s="25" t="s">
        <v>2091</v>
      </c>
      <c r="J1348" s="25" t="s">
        <v>3253</v>
      </c>
      <c r="K1348" s="25" t="s">
        <v>71</v>
      </c>
      <c r="L1348" s="25" t="s">
        <v>3553</v>
      </c>
      <c r="M1348" s="20" t="s">
        <v>3310</v>
      </c>
      <c r="N1348" s="20" t="s">
        <v>3311</v>
      </c>
      <c r="O1348" s="20" t="s">
        <v>63</v>
      </c>
      <c r="P1348" s="20"/>
      <c r="Q1348" s="26"/>
      <c r="R1348" s="26"/>
      <c r="S1348" s="26"/>
      <c r="T1348" s="20"/>
      <c r="U1348" s="26"/>
      <c r="V1348" s="26"/>
      <c r="W1348" s="20"/>
      <c r="X1348" s="20"/>
      <c r="Y1348" s="20"/>
      <c r="Z1348" s="20"/>
      <c r="AA1348" s="20"/>
      <c r="AB1348" s="20"/>
      <c r="AC1348" s="20"/>
      <c r="AD1348" s="20"/>
      <c r="AE1348" s="20"/>
    </row>
    <row r="1349">
      <c r="A1349" s="21">
        <v>33.0</v>
      </c>
      <c r="B1349" s="20" t="s">
        <v>2663</v>
      </c>
      <c r="C1349" s="20" t="s">
        <v>3094</v>
      </c>
      <c r="I1349" s="25" t="s">
        <v>2065</v>
      </c>
      <c r="J1349" s="25" t="s">
        <v>3261</v>
      </c>
      <c r="K1349" s="25" t="s">
        <v>71</v>
      </c>
      <c r="L1349" s="25" t="s">
        <v>3553</v>
      </c>
      <c r="M1349" s="20" t="s">
        <v>3302</v>
      </c>
      <c r="N1349" s="20" t="s">
        <v>3303</v>
      </c>
      <c r="O1349" s="20" t="s">
        <v>63</v>
      </c>
      <c r="P1349" s="20"/>
      <c r="Q1349" s="26"/>
      <c r="R1349" s="26"/>
      <c r="S1349" s="26"/>
      <c r="T1349" s="20"/>
      <c r="U1349" s="26"/>
      <c r="V1349" s="26"/>
      <c r="W1349" s="20"/>
      <c r="X1349" s="20"/>
      <c r="Y1349" s="20"/>
      <c r="Z1349" s="20"/>
      <c r="AA1349" s="20"/>
      <c r="AB1349" s="20"/>
      <c r="AC1349" s="20"/>
      <c r="AD1349" s="20"/>
      <c r="AE1349" s="20"/>
    </row>
    <row r="1350">
      <c r="A1350" s="21">
        <v>33.0</v>
      </c>
      <c r="B1350" s="20" t="s">
        <v>2663</v>
      </c>
      <c r="C1350" s="20" t="s">
        <v>3094</v>
      </c>
      <c r="I1350" s="25" t="s">
        <v>3077</v>
      </c>
      <c r="J1350" s="25" t="s">
        <v>3253</v>
      </c>
      <c r="K1350" s="25" t="s">
        <v>71</v>
      </c>
      <c r="L1350" s="25" t="s">
        <v>3553</v>
      </c>
      <c r="M1350" s="20" t="s">
        <v>61</v>
      </c>
      <c r="N1350" s="20" t="s">
        <v>3312</v>
      </c>
      <c r="O1350" s="20" t="s">
        <v>63</v>
      </c>
      <c r="P1350" s="20"/>
      <c r="Q1350" s="26"/>
      <c r="R1350" s="26"/>
      <c r="S1350" s="26"/>
      <c r="T1350" s="20"/>
      <c r="U1350" s="26"/>
      <c r="V1350" s="26"/>
      <c r="W1350" s="20"/>
      <c r="X1350" s="20"/>
      <c r="Y1350" s="20"/>
      <c r="Z1350" s="20"/>
      <c r="AA1350" s="20"/>
      <c r="AB1350" s="20"/>
      <c r="AC1350" s="20"/>
      <c r="AD1350" s="20"/>
      <c r="AE1350" s="20"/>
    </row>
    <row r="1351">
      <c r="A1351" s="21">
        <v>33.0</v>
      </c>
      <c r="B1351" s="20" t="s">
        <v>2663</v>
      </c>
      <c r="C1351" s="20" t="s">
        <v>3094</v>
      </c>
      <c r="I1351" s="25" t="s">
        <v>124</v>
      </c>
      <c r="J1351" s="25" t="s">
        <v>3253</v>
      </c>
      <c r="K1351" s="25" t="s">
        <v>71</v>
      </c>
      <c r="L1351" s="25" t="s">
        <v>3553</v>
      </c>
      <c r="M1351" s="20" t="s">
        <v>3313</v>
      </c>
      <c r="N1351" s="20" t="s">
        <v>3314</v>
      </c>
      <c r="O1351" s="20" t="s">
        <v>63</v>
      </c>
      <c r="P1351" s="20"/>
      <c r="Q1351" s="26"/>
      <c r="R1351" s="26"/>
      <c r="S1351" s="26"/>
      <c r="T1351" s="20"/>
      <c r="U1351" s="26"/>
      <c r="V1351" s="26"/>
      <c r="W1351" s="20"/>
      <c r="X1351" s="20"/>
      <c r="Y1351" s="20"/>
      <c r="Z1351" s="20"/>
      <c r="AA1351" s="20"/>
      <c r="AB1351" s="20"/>
      <c r="AC1351" s="20"/>
      <c r="AD1351" s="20"/>
      <c r="AE1351" s="20"/>
    </row>
    <row r="1352">
      <c r="A1352" s="21">
        <v>34.0</v>
      </c>
      <c r="B1352" s="20" t="s">
        <v>2515</v>
      </c>
      <c r="C1352" s="20" t="s">
        <v>3094</v>
      </c>
      <c r="D1352" s="35">
        <v>30.0</v>
      </c>
      <c r="E1352" s="35">
        <v>1.0</v>
      </c>
      <c r="F1352" s="35">
        <v>6.0</v>
      </c>
      <c r="G1352" s="35">
        <v>23.0</v>
      </c>
      <c r="H1352" s="36" t="s">
        <v>3749</v>
      </c>
      <c r="I1352" s="25" t="s">
        <v>2492</v>
      </c>
      <c r="J1352" s="25" t="s">
        <v>3315</v>
      </c>
      <c r="K1352" s="25" t="s">
        <v>57</v>
      </c>
      <c r="L1352" s="25" t="s">
        <v>3751</v>
      </c>
      <c r="M1352" s="20" t="s">
        <v>61</v>
      </c>
      <c r="N1352" s="20" t="s">
        <v>3316</v>
      </c>
      <c r="O1352" s="20" t="s">
        <v>63</v>
      </c>
      <c r="P1352" s="20"/>
      <c r="Q1352" s="26"/>
      <c r="R1352" s="26"/>
      <c r="S1352" s="26"/>
      <c r="T1352" s="20"/>
      <c r="U1352" s="26"/>
      <c r="V1352" s="26"/>
      <c r="W1352" s="20"/>
      <c r="X1352" s="20"/>
      <c r="Y1352" s="20"/>
      <c r="Z1352" s="20"/>
      <c r="AA1352" s="20"/>
      <c r="AB1352" s="20"/>
      <c r="AC1352" s="20"/>
      <c r="AD1352" s="20"/>
      <c r="AE1352" s="20"/>
    </row>
    <row r="1353">
      <c r="A1353" s="21">
        <v>34.0</v>
      </c>
      <c r="B1353" s="20" t="s">
        <v>2515</v>
      </c>
      <c r="C1353" s="20" t="s">
        <v>3094</v>
      </c>
      <c r="I1353" s="25" t="s">
        <v>212</v>
      </c>
      <c r="J1353" s="25" t="s">
        <v>3317</v>
      </c>
      <c r="K1353" s="25" t="s">
        <v>67</v>
      </c>
      <c r="L1353" s="25" t="s">
        <v>1025</v>
      </c>
      <c r="M1353" s="20" t="s">
        <v>213</v>
      </c>
      <c r="N1353" s="20" t="s">
        <v>3318</v>
      </c>
      <c r="O1353" s="20" t="s">
        <v>56</v>
      </c>
      <c r="P1353" s="20" t="s">
        <v>52</v>
      </c>
      <c r="Q1353" s="26"/>
      <c r="R1353" s="26"/>
      <c r="S1353" s="26"/>
      <c r="T1353" s="22"/>
      <c r="U1353" s="26"/>
      <c r="V1353" s="26"/>
      <c r="W1353" s="20"/>
      <c r="X1353" s="20"/>
      <c r="Y1353" s="20"/>
      <c r="Z1353" s="20"/>
      <c r="AA1353" s="20"/>
      <c r="AB1353" s="20"/>
      <c r="AC1353" s="20"/>
      <c r="AD1353" s="20"/>
      <c r="AE1353" s="20"/>
    </row>
    <row r="1354">
      <c r="A1354" s="21">
        <v>34.0</v>
      </c>
      <c r="B1354" s="20" t="s">
        <v>2515</v>
      </c>
      <c r="C1354" s="20" t="s">
        <v>3094</v>
      </c>
      <c r="I1354" s="25" t="s">
        <v>2535</v>
      </c>
      <c r="J1354" s="25" t="s">
        <v>3317</v>
      </c>
      <c r="K1354" s="25" t="s">
        <v>67</v>
      </c>
      <c r="L1354" s="25" t="s">
        <v>3753</v>
      </c>
      <c r="M1354" s="20" t="s">
        <v>2536</v>
      </c>
      <c r="N1354" s="20" t="s">
        <v>3324</v>
      </c>
      <c r="O1354" s="20" t="s">
        <v>63</v>
      </c>
      <c r="P1354" s="20"/>
      <c r="Q1354" s="26"/>
      <c r="R1354" s="26"/>
      <c r="S1354" s="26"/>
      <c r="T1354" s="20"/>
      <c r="U1354" s="26"/>
      <c r="V1354" s="26"/>
      <c r="W1354" s="20"/>
      <c r="X1354" s="20"/>
      <c r="Y1354" s="20"/>
      <c r="Z1354" s="20"/>
      <c r="AA1354" s="20"/>
      <c r="AB1354" s="20"/>
      <c r="AC1354" s="20"/>
      <c r="AD1354" s="20"/>
      <c r="AE1354" s="20"/>
    </row>
    <row r="1355">
      <c r="A1355" s="21">
        <v>34.0</v>
      </c>
      <c r="B1355" s="20" t="s">
        <v>2515</v>
      </c>
      <c r="C1355" s="20" t="s">
        <v>3094</v>
      </c>
      <c r="I1355" s="25" t="s">
        <v>3022</v>
      </c>
      <c r="J1355" s="25" t="s">
        <v>3315</v>
      </c>
      <c r="K1355" s="25" t="s">
        <v>67</v>
      </c>
      <c r="L1355" s="25" t="s">
        <v>3754</v>
      </c>
      <c r="M1355" s="20" t="s">
        <v>61</v>
      </c>
      <c r="N1355" s="20" t="s">
        <v>3325</v>
      </c>
      <c r="O1355" s="20" t="s">
        <v>63</v>
      </c>
      <c r="P1355" s="20"/>
      <c r="Q1355" s="26"/>
      <c r="R1355" s="26"/>
      <c r="S1355" s="26"/>
      <c r="T1355" s="20"/>
      <c r="U1355" s="26"/>
      <c r="V1355" s="26"/>
      <c r="W1355" s="20"/>
      <c r="X1355" s="20"/>
      <c r="Y1355" s="20"/>
      <c r="Z1355" s="20"/>
      <c r="AA1355" s="20"/>
      <c r="AB1355" s="20"/>
      <c r="AC1355" s="20"/>
      <c r="AD1355" s="20"/>
      <c r="AE1355" s="20"/>
    </row>
    <row r="1356">
      <c r="A1356" s="21">
        <v>34.0</v>
      </c>
      <c r="B1356" s="20" t="s">
        <v>2515</v>
      </c>
      <c r="C1356" s="20" t="s">
        <v>3094</v>
      </c>
      <c r="I1356" s="25" t="s">
        <v>2542</v>
      </c>
      <c r="J1356" s="25" t="s">
        <v>3317</v>
      </c>
      <c r="K1356" s="25" t="s">
        <v>67</v>
      </c>
      <c r="L1356" s="25" t="s">
        <v>3755</v>
      </c>
      <c r="M1356" s="20" t="s">
        <v>2543</v>
      </c>
      <c r="N1356" s="20" t="s">
        <v>3319</v>
      </c>
      <c r="O1356" s="20" t="s">
        <v>56</v>
      </c>
      <c r="P1356" s="20"/>
      <c r="Q1356" s="26"/>
      <c r="R1356" s="26"/>
      <c r="S1356" s="26"/>
      <c r="T1356" s="20"/>
      <c r="U1356" s="26"/>
      <c r="V1356" s="26"/>
      <c r="W1356" s="20"/>
      <c r="X1356" s="20"/>
      <c r="Y1356" s="20"/>
      <c r="Z1356" s="20"/>
      <c r="AA1356" s="20"/>
      <c r="AB1356" s="20"/>
      <c r="AC1356" s="20"/>
      <c r="AD1356" s="20"/>
      <c r="AE1356" s="20"/>
    </row>
    <row r="1357">
      <c r="A1357" s="21">
        <v>34.0</v>
      </c>
      <c r="B1357" s="20" t="s">
        <v>2515</v>
      </c>
      <c r="C1357" s="20" t="s">
        <v>3094</v>
      </c>
      <c r="I1357" s="25" t="s">
        <v>2793</v>
      </c>
      <c r="J1357" s="25" t="s">
        <v>3317</v>
      </c>
      <c r="K1357" s="25" t="s">
        <v>67</v>
      </c>
      <c r="L1357" s="25" t="s">
        <v>1025</v>
      </c>
      <c r="M1357" s="20" t="s">
        <v>2794</v>
      </c>
      <c r="N1357" s="20" t="s">
        <v>3320</v>
      </c>
      <c r="O1357" s="20" t="s">
        <v>56</v>
      </c>
      <c r="P1357" s="20" t="s">
        <v>52</v>
      </c>
      <c r="Q1357" s="26"/>
      <c r="R1357" s="26"/>
      <c r="S1357" s="26"/>
      <c r="T1357" s="22"/>
      <c r="U1357" s="26"/>
      <c r="V1357" s="26"/>
      <c r="W1357" s="20"/>
      <c r="X1357" s="20"/>
      <c r="Y1357" s="20"/>
      <c r="Z1357" s="20"/>
      <c r="AA1357" s="20"/>
      <c r="AB1357" s="20"/>
      <c r="AC1357" s="20"/>
      <c r="AD1357" s="20"/>
      <c r="AE1357" s="20"/>
    </row>
    <row r="1358">
      <c r="A1358" s="21">
        <v>34.0</v>
      </c>
      <c r="B1358" s="20" t="s">
        <v>2515</v>
      </c>
      <c r="C1358" s="20" t="s">
        <v>3094</v>
      </c>
      <c r="I1358" s="25" t="s">
        <v>3351</v>
      </c>
      <c r="J1358" s="25" t="s">
        <v>3315</v>
      </c>
      <c r="K1358" s="25" t="s">
        <v>71</v>
      </c>
      <c r="L1358" s="25" t="s">
        <v>3129</v>
      </c>
      <c r="M1358" s="20" t="s">
        <v>3352</v>
      </c>
      <c r="N1358" s="20" t="s">
        <v>3353</v>
      </c>
      <c r="O1358" s="20" t="s">
        <v>63</v>
      </c>
      <c r="P1358" s="20"/>
      <c r="Q1358" s="26"/>
      <c r="R1358" s="26"/>
      <c r="S1358" s="26"/>
      <c r="T1358" s="20"/>
      <c r="U1358" s="26"/>
      <c r="V1358" s="26"/>
      <c r="W1358" s="20"/>
      <c r="X1358" s="20"/>
      <c r="Y1358" s="20"/>
      <c r="Z1358" s="20"/>
      <c r="AA1358" s="20"/>
      <c r="AB1358" s="20"/>
      <c r="AC1358" s="20"/>
      <c r="AD1358" s="20"/>
      <c r="AE1358" s="20"/>
    </row>
    <row r="1359">
      <c r="A1359" s="21">
        <v>34.0</v>
      </c>
      <c r="B1359" s="20" t="s">
        <v>2515</v>
      </c>
      <c r="C1359" s="20" t="s">
        <v>3094</v>
      </c>
      <c r="I1359" s="25" t="s">
        <v>3321</v>
      </c>
      <c r="J1359" s="25" t="s">
        <v>3317</v>
      </c>
      <c r="K1359" s="25" t="s">
        <v>67</v>
      </c>
      <c r="L1359" s="25" t="s">
        <v>1025</v>
      </c>
      <c r="M1359" s="20" t="s">
        <v>3322</v>
      </c>
      <c r="N1359" s="20" t="s">
        <v>3323</v>
      </c>
      <c r="O1359" s="20" t="s">
        <v>56</v>
      </c>
      <c r="P1359" s="20" t="s">
        <v>52</v>
      </c>
      <c r="Q1359" s="26"/>
      <c r="R1359" s="26"/>
      <c r="S1359" s="26"/>
      <c r="T1359" s="22"/>
      <c r="U1359" s="26"/>
      <c r="V1359" s="26"/>
      <c r="W1359" s="20"/>
      <c r="X1359" s="20"/>
      <c r="Y1359" s="20"/>
      <c r="Z1359" s="20"/>
      <c r="AA1359" s="20"/>
      <c r="AB1359" s="20"/>
      <c r="AC1359" s="20"/>
      <c r="AD1359" s="20"/>
      <c r="AE1359" s="20"/>
    </row>
    <row r="1360">
      <c r="A1360" s="21">
        <v>34.0</v>
      </c>
      <c r="B1360" s="20" t="s">
        <v>2515</v>
      </c>
      <c r="C1360" s="20" t="s">
        <v>3094</v>
      </c>
      <c r="I1360" s="25" t="s">
        <v>2484</v>
      </c>
      <c r="J1360" s="25" t="s">
        <v>3315</v>
      </c>
      <c r="K1360" s="25" t="s">
        <v>71</v>
      </c>
      <c r="L1360" s="25" t="s">
        <v>3760</v>
      </c>
      <c r="M1360" s="20" t="s">
        <v>61</v>
      </c>
      <c r="N1360" s="20" t="s">
        <v>3354</v>
      </c>
      <c r="O1360" s="20" t="s">
        <v>63</v>
      </c>
      <c r="P1360" s="20"/>
      <c r="Q1360" s="26"/>
      <c r="R1360" s="26"/>
      <c r="S1360" s="26"/>
      <c r="T1360" s="20"/>
      <c r="U1360" s="26"/>
      <c r="V1360" s="26"/>
      <c r="W1360" s="20"/>
      <c r="X1360" s="20"/>
      <c r="Y1360" s="20"/>
      <c r="Z1360" s="20"/>
      <c r="AA1360" s="20"/>
      <c r="AB1360" s="20"/>
      <c r="AC1360" s="20"/>
      <c r="AD1360" s="20"/>
      <c r="AE1360" s="20"/>
    </row>
    <row r="1361">
      <c r="A1361" s="21">
        <v>34.0</v>
      </c>
      <c r="B1361" s="20" t="s">
        <v>2515</v>
      </c>
      <c r="C1361" s="20" t="s">
        <v>3094</v>
      </c>
      <c r="I1361" s="25" t="s">
        <v>2508</v>
      </c>
      <c r="J1361" s="25" t="s">
        <v>3315</v>
      </c>
      <c r="K1361" s="25" t="s">
        <v>71</v>
      </c>
      <c r="L1361" s="25" t="s">
        <v>3111</v>
      </c>
      <c r="M1361" s="20" t="s">
        <v>2509</v>
      </c>
      <c r="N1361" s="20" t="s">
        <v>3355</v>
      </c>
      <c r="O1361" s="20" t="s">
        <v>63</v>
      </c>
      <c r="P1361" s="20"/>
      <c r="Q1361" s="26"/>
      <c r="R1361" s="26"/>
      <c r="S1361" s="26"/>
      <c r="T1361" s="20"/>
      <c r="U1361" s="26"/>
      <c r="V1361" s="26"/>
      <c r="W1361" s="20"/>
      <c r="X1361" s="20"/>
      <c r="Y1361" s="20"/>
      <c r="Z1361" s="20"/>
      <c r="AA1361" s="20"/>
      <c r="AB1361" s="20"/>
      <c r="AC1361" s="20"/>
      <c r="AD1361" s="20"/>
      <c r="AE1361" s="20"/>
    </row>
    <row r="1362">
      <c r="A1362" s="21">
        <v>34.0</v>
      </c>
      <c r="B1362" s="20" t="s">
        <v>2515</v>
      </c>
      <c r="C1362" s="20" t="s">
        <v>3094</v>
      </c>
      <c r="I1362" s="25" t="s">
        <v>2511</v>
      </c>
      <c r="J1362" s="25" t="s">
        <v>3317</v>
      </c>
      <c r="K1362" s="25" t="s">
        <v>71</v>
      </c>
      <c r="L1362" s="25" t="s">
        <v>3112</v>
      </c>
      <c r="M1362" s="20" t="s">
        <v>3326</v>
      </c>
      <c r="N1362" s="20" t="s">
        <v>3327</v>
      </c>
      <c r="O1362" s="20" t="s">
        <v>63</v>
      </c>
      <c r="P1362" s="20"/>
      <c r="Q1362" s="26"/>
      <c r="R1362" s="26"/>
      <c r="S1362" s="26"/>
      <c r="T1362" s="20"/>
      <c r="U1362" s="26"/>
      <c r="V1362" s="26"/>
      <c r="W1362" s="20"/>
      <c r="X1362" s="20"/>
      <c r="Y1362" s="20"/>
      <c r="Z1362" s="20"/>
      <c r="AA1362" s="20"/>
      <c r="AB1362" s="20"/>
      <c r="AC1362" s="20"/>
      <c r="AD1362" s="20"/>
      <c r="AE1362" s="20"/>
    </row>
    <row r="1363">
      <c r="A1363" s="21">
        <v>34.0</v>
      </c>
      <c r="B1363" s="20" t="s">
        <v>2515</v>
      </c>
      <c r="C1363" s="20" t="s">
        <v>3094</v>
      </c>
      <c r="I1363" s="25" t="s">
        <v>2513</v>
      </c>
      <c r="J1363" s="25" t="s">
        <v>3317</v>
      </c>
      <c r="K1363" s="25" t="s">
        <v>71</v>
      </c>
      <c r="L1363" s="25" t="s">
        <v>3112</v>
      </c>
      <c r="M1363" s="20" t="s">
        <v>3326</v>
      </c>
      <c r="N1363" s="20" t="s">
        <v>3327</v>
      </c>
      <c r="O1363" s="20" t="s">
        <v>63</v>
      </c>
      <c r="P1363" s="20"/>
      <c r="Q1363" s="26"/>
      <c r="R1363" s="26"/>
      <c r="S1363" s="26"/>
      <c r="T1363" s="20"/>
      <c r="U1363" s="26"/>
      <c r="V1363" s="26"/>
      <c r="W1363" s="20"/>
      <c r="X1363" s="20"/>
      <c r="Y1363" s="20"/>
      <c r="Z1363" s="20"/>
      <c r="AA1363" s="20"/>
      <c r="AB1363" s="20"/>
      <c r="AC1363" s="20"/>
      <c r="AD1363" s="20"/>
      <c r="AE1363" s="20"/>
    </row>
    <row r="1364">
      <c r="A1364" s="21">
        <v>34.0</v>
      </c>
      <c r="B1364" s="20" t="s">
        <v>2515</v>
      </c>
      <c r="C1364" s="20" t="s">
        <v>3094</v>
      </c>
      <c r="I1364" s="25" t="s">
        <v>3328</v>
      </c>
      <c r="J1364" s="25" t="s">
        <v>3317</v>
      </c>
      <c r="K1364" s="25" t="s">
        <v>71</v>
      </c>
      <c r="L1364" s="25" t="s">
        <v>292</v>
      </c>
      <c r="M1364" s="20" t="s">
        <v>3329</v>
      </c>
      <c r="N1364" s="20" t="s">
        <v>3330</v>
      </c>
      <c r="O1364" s="20" t="s">
        <v>63</v>
      </c>
      <c r="P1364" s="20" t="s">
        <v>52</v>
      </c>
      <c r="Q1364" s="26"/>
      <c r="R1364" s="26"/>
      <c r="S1364" s="26"/>
      <c r="T1364" s="22"/>
      <c r="U1364" s="26"/>
      <c r="V1364" s="26"/>
      <c r="W1364" s="20"/>
      <c r="X1364" s="20"/>
      <c r="Y1364" s="20"/>
      <c r="Z1364" s="20"/>
      <c r="AA1364" s="20"/>
      <c r="AB1364" s="20"/>
      <c r="AC1364" s="20"/>
      <c r="AD1364" s="20"/>
      <c r="AE1364" s="20"/>
    </row>
    <row r="1365">
      <c r="A1365" s="21">
        <v>34.0</v>
      </c>
      <c r="B1365" s="20" t="s">
        <v>2515</v>
      </c>
      <c r="C1365" s="20" t="s">
        <v>3094</v>
      </c>
      <c r="I1365" s="25" t="s">
        <v>2520</v>
      </c>
      <c r="J1365" s="25" t="s">
        <v>3317</v>
      </c>
      <c r="K1365" s="25" t="s">
        <v>71</v>
      </c>
      <c r="L1365" s="25" t="s">
        <v>3117</v>
      </c>
      <c r="M1365" s="20" t="s">
        <v>3331</v>
      </c>
      <c r="N1365" s="20" t="s">
        <v>3332</v>
      </c>
      <c r="O1365" s="20" t="s">
        <v>63</v>
      </c>
      <c r="P1365" s="20"/>
      <c r="Q1365" s="26"/>
      <c r="R1365" s="26"/>
      <c r="S1365" s="26"/>
      <c r="T1365" s="20"/>
      <c r="U1365" s="26"/>
      <c r="V1365" s="26"/>
      <c r="W1365" s="20"/>
      <c r="X1365" s="20"/>
      <c r="Y1365" s="20"/>
      <c r="Z1365" s="20"/>
      <c r="AA1365" s="20"/>
      <c r="AB1365" s="20"/>
      <c r="AC1365" s="20"/>
      <c r="AD1365" s="20"/>
      <c r="AE1365" s="20"/>
    </row>
    <row r="1366">
      <c r="A1366" s="21">
        <v>34.0</v>
      </c>
      <c r="B1366" s="20" t="s">
        <v>2515</v>
      </c>
      <c r="C1366" s="20" t="s">
        <v>3094</v>
      </c>
      <c r="I1366" s="25" t="s">
        <v>2505</v>
      </c>
      <c r="J1366" s="25" t="s">
        <v>3317</v>
      </c>
      <c r="K1366" s="25" t="s">
        <v>71</v>
      </c>
      <c r="L1366" s="25" t="s">
        <v>292</v>
      </c>
      <c r="M1366" s="20" t="s">
        <v>2506</v>
      </c>
      <c r="N1366" s="20" t="s">
        <v>3333</v>
      </c>
      <c r="O1366" s="20" t="s">
        <v>63</v>
      </c>
      <c r="P1366" s="20" t="s">
        <v>52</v>
      </c>
      <c r="Q1366" s="26"/>
      <c r="R1366" s="26"/>
      <c r="S1366" s="26"/>
      <c r="T1366" s="22"/>
      <c r="U1366" s="26"/>
      <c r="V1366" s="26"/>
      <c r="W1366" s="20"/>
      <c r="X1366" s="20"/>
      <c r="Y1366" s="20"/>
      <c r="Z1366" s="20"/>
      <c r="AA1366" s="20"/>
      <c r="AB1366" s="20"/>
      <c r="AC1366" s="20"/>
      <c r="AD1366" s="20"/>
      <c r="AE1366" s="20"/>
    </row>
    <row r="1367">
      <c r="A1367" s="21">
        <v>34.0</v>
      </c>
      <c r="B1367" s="20" t="s">
        <v>2515</v>
      </c>
      <c r="C1367" s="20" t="s">
        <v>3094</v>
      </c>
      <c r="I1367" s="25" t="s">
        <v>2523</v>
      </c>
      <c r="J1367" s="25" t="s">
        <v>3315</v>
      </c>
      <c r="K1367" s="25" t="s">
        <v>71</v>
      </c>
      <c r="L1367" s="25" t="s">
        <v>3112</v>
      </c>
      <c r="M1367" s="20" t="s">
        <v>3357</v>
      </c>
      <c r="N1367" s="20" t="s">
        <v>3358</v>
      </c>
      <c r="O1367" s="20" t="s">
        <v>63</v>
      </c>
      <c r="P1367" s="20"/>
      <c r="Q1367" s="26"/>
      <c r="R1367" s="26"/>
      <c r="S1367" s="26"/>
      <c r="T1367" s="20"/>
      <c r="U1367" s="26"/>
      <c r="V1367" s="26"/>
      <c r="W1367" s="20"/>
      <c r="X1367" s="20"/>
      <c r="Y1367" s="20"/>
      <c r="Z1367" s="20"/>
      <c r="AA1367" s="20"/>
      <c r="AB1367" s="20"/>
      <c r="AC1367" s="20"/>
      <c r="AD1367" s="20"/>
      <c r="AE1367" s="20"/>
    </row>
    <row r="1368">
      <c r="A1368" s="21">
        <v>34.0</v>
      </c>
      <c r="B1368" s="20" t="s">
        <v>2515</v>
      </c>
      <c r="C1368" s="20" t="s">
        <v>3094</v>
      </c>
      <c r="I1368" s="25" t="s">
        <v>3359</v>
      </c>
      <c r="J1368" s="25" t="s">
        <v>3315</v>
      </c>
      <c r="K1368" s="25" t="s">
        <v>71</v>
      </c>
      <c r="L1368" s="25" t="s">
        <v>292</v>
      </c>
      <c r="M1368" s="20" t="s">
        <v>3360</v>
      </c>
      <c r="N1368" s="20" t="s">
        <v>3361</v>
      </c>
      <c r="O1368" s="20" t="s">
        <v>63</v>
      </c>
      <c r="P1368" s="20" t="s">
        <v>52</v>
      </c>
      <c r="Q1368" s="26"/>
      <c r="R1368" s="26"/>
      <c r="S1368" s="26"/>
      <c r="T1368" s="22"/>
      <c r="U1368" s="26"/>
      <c r="V1368" s="26"/>
      <c r="W1368" s="20"/>
      <c r="X1368" s="20"/>
      <c r="Y1368" s="20"/>
      <c r="Z1368" s="20"/>
      <c r="AA1368" s="20"/>
      <c r="AB1368" s="20"/>
      <c r="AC1368" s="20"/>
      <c r="AD1368" s="20"/>
      <c r="AE1368" s="20"/>
    </row>
    <row r="1369">
      <c r="A1369" s="21">
        <v>34.0</v>
      </c>
      <c r="B1369" s="20" t="s">
        <v>2515</v>
      </c>
      <c r="C1369" s="20" t="s">
        <v>3094</v>
      </c>
      <c r="I1369" s="25" t="s">
        <v>2031</v>
      </c>
      <c r="J1369" s="25" t="s">
        <v>3315</v>
      </c>
      <c r="K1369" s="25" t="s">
        <v>71</v>
      </c>
      <c r="L1369" s="25" t="s">
        <v>292</v>
      </c>
      <c r="M1369" s="20" t="s">
        <v>3362</v>
      </c>
      <c r="N1369" s="20" t="s">
        <v>3363</v>
      </c>
      <c r="O1369" s="20" t="s">
        <v>63</v>
      </c>
      <c r="P1369" s="20" t="s">
        <v>52</v>
      </c>
      <c r="Q1369" s="26"/>
      <c r="R1369" s="26"/>
      <c r="S1369" s="26"/>
      <c r="T1369" s="22"/>
      <c r="U1369" s="26"/>
      <c r="V1369" s="26"/>
      <c r="W1369" s="20"/>
      <c r="X1369" s="20"/>
      <c r="Y1369" s="20"/>
      <c r="Z1369" s="20"/>
      <c r="AA1369" s="20"/>
      <c r="AB1369" s="20"/>
      <c r="AC1369" s="20"/>
      <c r="AD1369" s="20"/>
      <c r="AE1369" s="20"/>
    </row>
    <row r="1370">
      <c r="A1370" s="21">
        <v>34.0</v>
      </c>
      <c r="B1370" s="20" t="s">
        <v>2515</v>
      </c>
      <c r="C1370" s="20" t="s">
        <v>3094</v>
      </c>
      <c r="I1370" s="25" t="s">
        <v>2395</v>
      </c>
      <c r="J1370" s="25" t="s">
        <v>3315</v>
      </c>
      <c r="K1370" s="25" t="s">
        <v>71</v>
      </c>
      <c r="L1370" s="25" t="s">
        <v>3121</v>
      </c>
      <c r="M1370" s="20" t="s">
        <v>2526</v>
      </c>
      <c r="N1370" s="20" t="s">
        <v>2527</v>
      </c>
      <c r="O1370" s="20" t="s">
        <v>63</v>
      </c>
      <c r="P1370" s="20"/>
      <c r="Q1370" s="26"/>
      <c r="R1370" s="26"/>
      <c r="S1370" s="26"/>
      <c r="T1370" s="20"/>
      <c r="U1370" s="26"/>
      <c r="V1370" s="26"/>
      <c r="W1370" s="20"/>
      <c r="X1370" s="20"/>
      <c r="Y1370" s="20"/>
      <c r="Z1370" s="20"/>
      <c r="AA1370" s="20"/>
      <c r="AB1370" s="20"/>
      <c r="AC1370" s="20"/>
      <c r="AD1370" s="20"/>
      <c r="AE1370" s="20"/>
    </row>
    <row r="1371">
      <c r="A1371" s="21">
        <v>34.0</v>
      </c>
      <c r="B1371" s="20" t="s">
        <v>2515</v>
      </c>
      <c r="C1371" s="20" t="s">
        <v>3094</v>
      </c>
      <c r="I1371" s="25" t="s">
        <v>3132</v>
      </c>
      <c r="J1371" s="25" t="s">
        <v>3317</v>
      </c>
      <c r="K1371" s="25" t="s">
        <v>71</v>
      </c>
      <c r="L1371" s="25" t="s">
        <v>292</v>
      </c>
      <c r="M1371" s="20" t="s">
        <v>3334</v>
      </c>
      <c r="N1371" s="20" t="s">
        <v>3335</v>
      </c>
      <c r="O1371" s="20" t="s">
        <v>63</v>
      </c>
      <c r="P1371" s="20" t="s">
        <v>52</v>
      </c>
      <c r="Q1371" s="26"/>
      <c r="R1371" s="26"/>
      <c r="S1371" s="26"/>
      <c r="T1371" s="22"/>
      <c r="U1371" s="26"/>
      <c r="V1371" s="26"/>
      <c r="W1371" s="20"/>
      <c r="X1371" s="20"/>
      <c r="Y1371" s="20"/>
      <c r="Z1371" s="20"/>
      <c r="AA1371" s="20"/>
      <c r="AB1371" s="20"/>
      <c r="AC1371" s="20"/>
      <c r="AD1371" s="20"/>
      <c r="AE1371" s="20"/>
    </row>
    <row r="1372">
      <c r="A1372" s="21">
        <v>34.0</v>
      </c>
      <c r="B1372" s="20" t="s">
        <v>2515</v>
      </c>
      <c r="C1372" s="20" t="s">
        <v>3094</v>
      </c>
      <c r="I1372" s="25" t="s">
        <v>2488</v>
      </c>
      <c r="J1372" s="25" t="s">
        <v>3317</v>
      </c>
      <c r="K1372" s="25" t="s">
        <v>71</v>
      </c>
      <c r="L1372" s="25" t="s">
        <v>3770</v>
      </c>
      <c r="M1372" s="20" t="s">
        <v>3336</v>
      </c>
      <c r="N1372" s="20" t="s">
        <v>3337</v>
      </c>
      <c r="O1372" s="20" t="s">
        <v>63</v>
      </c>
      <c r="P1372" s="20"/>
      <c r="Q1372" s="26"/>
      <c r="R1372" s="26"/>
      <c r="S1372" s="26"/>
      <c r="T1372" s="20"/>
      <c r="U1372" s="26"/>
      <c r="V1372" s="26"/>
      <c r="W1372" s="20"/>
      <c r="X1372" s="20"/>
      <c r="Y1372" s="20"/>
      <c r="Z1372" s="20"/>
      <c r="AA1372" s="20"/>
      <c r="AB1372" s="20"/>
      <c r="AC1372" s="20"/>
      <c r="AD1372" s="20"/>
      <c r="AE1372" s="20"/>
    </row>
    <row r="1373">
      <c r="A1373" s="21">
        <v>34.0</v>
      </c>
      <c r="B1373" s="20" t="s">
        <v>2515</v>
      </c>
      <c r="C1373" s="20" t="s">
        <v>3094</v>
      </c>
      <c r="I1373" s="25" t="s">
        <v>2502</v>
      </c>
      <c r="J1373" s="25" t="s">
        <v>3317</v>
      </c>
      <c r="K1373" s="25" t="s">
        <v>71</v>
      </c>
      <c r="L1373" s="25" t="s">
        <v>226</v>
      </c>
      <c r="M1373" s="20" t="s">
        <v>61</v>
      </c>
      <c r="N1373" s="20" t="s">
        <v>3064</v>
      </c>
      <c r="O1373" s="20" t="s">
        <v>63</v>
      </c>
      <c r="P1373" s="20" t="s">
        <v>52</v>
      </c>
      <c r="Q1373" s="26"/>
      <c r="R1373" s="26"/>
      <c r="S1373" s="26"/>
      <c r="T1373" s="22"/>
      <c r="U1373" s="26"/>
      <c r="V1373" s="26"/>
      <c r="W1373" s="20"/>
      <c r="X1373" s="20"/>
      <c r="Y1373" s="20"/>
      <c r="Z1373" s="20"/>
      <c r="AA1373" s="20"/>
      <c r="AB1373" s="20"/>
      <c r="AC1373" s="20"/>
      <c r="AD1373" s="20"/>
      <c r="AE1373" s="20"/>
    </row>
    <row r="1374">
      <c r="A1374" s="21">
        <v>34.0</v>
      </c>
      <c r="B1374" s="20" t="s">
        <v>2515</v>
      </c>
      <c r="C1374" s="20" t="s">
        <v>3094</v>
      </c>
      <c r="I1374" s="25" t="s">
        <v>3339</v>
      </c>
      <c r="J1374" s="25" t="s">
        <v>3317</v>
      </c>
      <c r="K1374" s="25" t="s">
        <v>71</v>
      </c>
      <c r="L1374" s="25" t="s">
        <v>292</v>
      </c>
      <c r="M1374" s="20" t="s">
        <v>3340</v>
      </c>
      <c r="N1374" s="20" t="s">
        <v>3341</v>
      </c>
      <c r="O1374" s="20" t="s">
        <v>63</v>
      </c>
      <c r="P1374" s="20" t="s">
        <v>52</v>
      </c>
      <c r="Q1374" s="26"/>
      <c r="R1374" s="26"/>
      <c r="S1374" s="26"/>
      <c r="T1374" s="22"/>
      <c r="U1374" s="26"/>
      <c r="V1374" s="26"/>
      <c r="W1374" s="20"/>
      <c r="X1374" s="20"/>
      <c r="Y1374" s="20"/>
      <c r="Z1374" s="20"/>
      <c r="AA1374" s="20"/>
      <c r="AB1374" s="20"/>
      <c r="AC1374" s="20"/>
      <c r="AD1374" s="20"/>
      <c r="AE1374" s="20"/>
    </row>
    <row r="1375">
      <c r="A1375" s="21">
        <v>34.0</v>
      </c>
      <c r="B1375" s="20" t="s">
        <v>2515</v>
      </c>
      <c r="C1375" s="20" t="s">
        <v>3094</v>
      </c>
      <c r="I1375" s="25" t="s">
        <v>1162</v>
      </c>
      <c r="J1375" s="25" t="s">
        <v>3315</v>
      </c>
      <c r="K1375" s="25" t="s">
        <v>71</v>
      </c>
      <c r="L1375" s="25" t="s">
        <v>3111</v>
      </c>
      <c r="M1375" s="20" t="s">
        <v>3364</v>
      </c>
      <c r="N1375" s="20" t="s">
        <v>3365</v>
      </c>
      <c r="O1375" s="20" t="s">
        <v>63</v>
      </c>
      <c r="P1375" s="20"/>
      <c r="Q1375" s="26"/>
      <c r="R1375" s="26"/>
      <c r="S1375" s="26"/>
      <c r="T1375" s="20"/>
      <c r="U1375" s="26"/>
      <c r="V1375" s="26"/>
      <c r="W1375" s="20"/>
      <c r="X1375" s="20"/>
      <c r="Y1375" s="20"/>
      <c r="Z1375" s="20"/>
      <c r="AA1375" s="20"/>
      <c r="AB1375" s="20"/>
      <c r="AC1375" s="20"/>
      <c r="AD1375" s="20"/>
      <c r="AE1375" s="20"/>
    </row>
    <row r="1376">
      <c r="A1376" s="21">
        <v>34.0</v>
      </c>
      <c r="B1376" s="20" t="s">
        <v>2515</v>
      </c>
      <c r="C1376" s="20" t="s">
        <v>3094</v>
      </c>
      <c r="I1376" s="25" t="s">
        <v>2529</v>
      </c>
      <c r="J1376" s="25" t="s">
        <v>3317</v>
      </c>
      <c r="K1376" s="25" t="s">
        <v>71</v>
      </c>
      <c r="L1376" s="25" t="s">
        <v>3112</v>
      </c>
      <c r="M1376" s="20" t="s">
        <v>3343</v>
      </c>
      <c r="N1376" s="20" t="s">
        <v>3344</v>
      </c>
      <c r="O1376" s="20" t="s">
        <v>63</v>
      </c>
      <c r="P1376" s="20"/>
      <c r="Q1376" s="26"/>
      <c r="R1376" s="26"/>
      <c r="S1376" s="26"/>
      <c r="T1376" s="20"/>
      <c r="U1376" s="26"/>
      <c r="V1376" s="26"/>
      <c r="W1376" s="20"/>
      <c r="X1376" s="20"/>
      <c r="Y1376" s="20"/>
      <c r="Z1376" s="20"/>
      <c r="AA1376" s="20"/>
      <c r="AB1376" s="20"/>
      <c r="AC1376" s="20"/>
      <c r="AD1376" s="20"/>
      <c r="AE1376" s="20"/>
    </row>
    <row r="1377">
      <c r="A1377" s="21">
        <v>34.0</v>
      </c>
      <c r="B1377" s="20" t="s">
        <v>2515</v>
      </c>
      <c r="C1377" s="20" t="s">
        <v>3094</v>
      </c>
      <c r="I1377" s="25" t="s">
        <v>2532</v>
      </c>
      <c r="J1377" s="25" t="s">
        <v>3315</v>
      </c>
      <c r="K1377" s="25" t="s">
        <v>71</v>
      </c>
      <c r="L1377" s="25" t="s">
        <v>3129</v>
      </c>
      <c r="M1377" s="20" t="s">
        <v>61</v>
      </c>
      <c r="N1377" s="20" t="s">
        <v>3366</v>
      </c>
      <c r="O1377" s="20" t="s">
        <v>63</v>
      </c>
      <c r="P1377" s="20"/>
      <c r="Q1377" s="26"/>
      <c r="R1377" s="26"/>
      <c r="S1377" s="26"/>
      <c r="T1377" s="20"/>
      <c r="U1377" s="26"/>
      <c r="V1377" s="26"/>
      <c r="W1377" s="20"/>
      <c r="X1377" s="20"/>
      <c r="Y1377" s="20"/>
      <c r="Z1377" s="20"/>
      <c r="AA1377" s="20"/>
      <c r="AB1377" s="20"/>
      <c r="AC1377" s="20"/>
      <c r="AD1377" s="20"/>
      <c r="AE1377" s="20"/>
    </row>
    <row r="1378">
      <c r="A1378" s="21">
        <v>34.0</v>
      </c>
      <c r="B1378" s="20" t="s">
        <v>2515</v>
      </c>
      <c r="C1378" s="20" t="s">
        <v>3094</v>
      </c>
      <c r="I1378" s="25" t="s">
        <v>413</v>
      </c>
      <c r="J1378" s="25" t="s">
        <v>3315</v>
      </c>
      <c r="K1378" s="25" t="s">
        <v>71</v>
      </c>
      <c r="L1378" s="25" t="s">
        <v>3129</v>
      </c>
      <c r="M1378" s="20" t="s">
        <v>3367</v>
      </c>
      <c r="N1378" s="20" t="s">
        <v>3368</v>
      </c>
      <c r="O1378" s="20" t="s">
        <v>63</v>
      </c>
      <c r="P1378" s="20"/>
      <c r="Q1378" s="26"/>
      <c r="R1378" s="26"/>
      <c r="S1378" s="26"/>
      <c r="T1378" s="20"/>
      <c r="U1378" s="26"/>
      <c r="V1378" s="26"/>
      <c r="W1378" s="20"/>
      <c r="X1378" s="20"/>
      <c r="Y1378" s="20"/>
      <c r="Z1378" s="20"/>
      <c r="AA1378" s="20"/>
      <c r="AB1378" s="20"/>
      <c r="AC1378" s="20"/>
      <c r="AD1378" s="20"/>
      <c r="AE1378" s="20"/>
    </row>
    <row r="1379">
      <c r="A1379" s="21">
        <v>34.0</v>
      </c>
      <c r="B1379" s="20" t="s">
        <v>2515</v>
      </c>
      <c r="C1379" s="20" t="s">
        <v>3094</v>
      </c>
      <c r="I1379" s="25" t="s">
        <v>2564</v>
      </c>
      <c r="J1379" s="25" t="s">
        <v>3315</v>
      </c>
      <c r="K1379" s="25" t="s">
        <v>71</v>
      </c>
      <c r="L1379" s="25" t="s">
        <v>3776</v>
      </c>
      <c r="M1379" s="20" t="s">
        <v>2565</v>
      </c>
      <c r="N1379" s="20" t="s">
        <v>3369</v>
      </c>
      <c r="O1379" s="20" t="s">
        <v>63</v>
      </c>
      <c r="P1379" s="20"/>
      <c r="Q1379" s="26"/>
      <c r="R1379" s="26"/>
      <c r="S1379" s="26"/>
      <c r="T1379" s="20"/>
      <c r="U1379" s="26"/>
      <c r="V1379" s="26"/>
      <c r="W1379" s="20"/>
      <c r="X1379" s="20"/>
      <c r="Y1379" s="20"/>
      <c r="Z1379" s="20"/>
      <c r="AA1379" s="20"/>
      <c r="AB1379" s="20"/>
      <c r="AC1379" s="20"/>
      <c r="AD1379" s="20"/>
      <c r="AE1379" s="20"/>
    </row>
    <row r="1380">
      <c r="A1380" s="21">
        <v>34.0</v>
      </c>
      <c r="B1380" s="20" t="s">
        <v>2515</v>
      </c>
      <c r="C1380" s="20" t="s">
        <v>3094</v>
      </c>
      <c r="I1380" s="25" t="s">
        <v>1356</v>
      </c>
      <c r="J1380" s="25" t="s">
        <v>3317</v>
      </c>
      <c r="K1380" s="25" t="s">
        <v>71</v>
      </c>
      <c r="L1380" s="25" t="s">
        <v>292</v>
      </c>
      <c r="M1380" s="20" t="s">
        <v>3345</v>
      </c>
      <c r="N1380" s="20" t="s">
        <v>3346</v>
      </c>
      <c r="O1380" s="20" t="s">
        <v>63</v>
      </c>
      <c r="P1380" s="20" t="s">
        <v>52</v>
      </c>
      <c r="Q1380" s="26"/>
      <c r="R1380" s="26"/>
      <c r="S1380" s="26"/>
      <c r="T1380" s="22"/>
      <c r="U1380" s="26"/>
      <c r="V1380" s="26"/>
      <c r="W1380" s="20"/>
      <c r="X1380" s="20"/>
      <c r="Y1380" s="20"/>
      <c r="Z1380" s="20"/>
      <c r="AA1380" s="20"/>
      <c r="AB1380" s="20"/>
      <c r="AC1380" s="20"/>
      <c r="AD1380" s="20"/>
      <c r="AE1380" s="20"/>
    </row>
    <row r="1381">
      <c r="A1381" s="21">
        <v>34.0</v>
      </c>
      <c r="B1381" s="20" t="s">
        <v>2515</v>
      </c>
      <c r="C1381" s="20" t="s">
        <v>3094</v>
      </c>
      <c r="I1381" s="25" t="s">
        <v>3348</v>
      </c>
      <c r="J1381" s="25" t="s">
        <v>3317</v>
      </c>
      <c r="K1381" s="25" t="s">
        <v>71</v>
      </c>
      <c r="L1381" s="25" t="s">
        <v>292</v>
      </c>
      <c r="M1381" s="20" t="s">
        <v>3349</v>
      </c>
      <c r="N1381" s="20" t="s">
        <v>3350</v>
      </c>
      <c r="O1381" s="20" t="s">
        <v>63</v>
      </c>
      <c r="P1381" s="20" t="s">
        <v>52</v>
      </c>
      <c r="Q1381" s="26"/>
      <c r="R1381" s="26"/>
      <c r="S1381" s="26"/>
      <c r="T1381" s="22"/>
      <c r="U1381" s="26"/>
      <c r="V1381" s="26"/>
      <c r="W1381" s="20"/>
      <c r="X1381" s="20"/>
      <c r="Y1381" s="20"/>
      <c r="Z1381" s="20"/>
      <c r="AA1381" s="20"/>
      <c r="AB1381" s="20"/>
      <c r="AC1381" s="20"/>
      <c r="AD1381" s="20"/>
      <c r="AE1381" s="20"/>
    </row>
    <row r="1382">
      <c r="A1382" s="21">
        <v>35.0</v>
      </c>
      <c r="B1382" s="20" t="s">
        <v>1997</v>
      </c>
      <c r="C1382" s="20" t="s">
        <v>3094</v>
      </c>
      <c r="D1382" s="35">
        <v>30.0</v>
      </c>
      <c r="E1382" s="35">
        <v>1.0</v>
      </c>
      <c r="F1382" s="35">
        <v>5.0</v>
      </c>
      <c r="G1382" s="35">
        <v>24.0</v>
      </c>
      <c r="H1382" s="36" t="s">
        <v>3777</v>
      </c>
      <c r="I1382" s="25" t="s">
        <v>2793</v>
      </c>
      <c r="J1382" s="25" t="s">
        <v>3370</v>
      </c>
      <c r="K1382" s="25" t="s">
        <v>67</v>
      </c>
      <c r="L1382" s="25" t="s">
        <v>1133</v>
      </c>
      <c r="M1382" s="20" t="s">
        <v>2794</v>
      </c>
      <c r="N1382" s="20" t="s">
        <v>3372</v>
      </c>
      <c r="O1382" s="20" t="s">
        <v>56</v>
      </c>
      <c r="P1382" s="20" t="s">
        <v>52</v>
      </c>
      <c r="Q1382" s="26"/>
      <c r="R1382" s="26"/>
      <c r="S1382" s="26"/>
      <c r="T1382" s="22"/>
      <c r="U1382" s="26"/>
      <c r="V1382" s="26"/>
      <c r="W1382" s="20"/>
      <c r="X1382" s="20"/>
      <c r="Y1382" s="20"/>
      <c r="Z1382" s="20"/>
      <c r="AA1382" s="20"/>
      <c r="AB1382" s="20"/>
      <c r="AC1382" s="20"/>
      <c r="AD1382" s="20"/>
      <c r="AE1382" s="20"/>
    </row>
    <row r="1383">
      <c r="A1383" s="21">
        <v>35.0</v>
      </c>
      <c r="B1383" s="20" t="s">
        <v>1997</v>
      </c>
      <c r="C1383" s="20" t="s">
        <v>3094</v>
      </c>
      <c r="I1383" s="25" t="s">
        <v>1405</v>
      </c>
      <c r="J1383" s="25" t="s">
        <v>3370</v>
      </c>
      <c r="K1383" s="25" t="s">
        <v>67</v>
      </c>
      <c r="L1383" s="25" t="s">
        <v>1133</v>
      </c>
      <c r="M1383" s="20" t="s">
        <v>3373</v>
      </c>
      <c r="N1383" s="20" t="s">
        <v>3374</v>
      </c>
      <c r="O1383" s="20" t="s">
        <v>56</v>
      </c>
      <c r="P1383" s="20" t="s">
        <v>52</v>
      </c>
      <c r="Q1383" s="26"/>
      <c r="R1383" s="26"/>
      <c r="S1383" s="26"/>
      <c r="T1383" s="22"/>
      <c r="U1383" s="26"/>
      <c r="V1383" s="26"/>
      <c r="W1383" s="20"/>
      <c r="X1383" s="20"/>
      <c r="Y1383" s="20"/>
      <c r="Z1383" s="20"/>
      <c r="AA1383" s="20"/>
      <c r="AB1383" s="20"/>
      <c r="AC1383" s="20"/>
      <c r="AD1383" s="20"/>
      <c r="AE1383" s="20"/>
    </row>
    <row r="1384">
      <c r="A1384" s="21">
        <v>35.0</v>
      </c>
      <c r="B1384" s="20" t="s">
        <v>1997</v>
      </c>
      <c r="C1384" s="20" t="s">
        <v>3094</v>
      </c>
      <c r="I1384" s="25" t="s">
        <v>1272</v>
      </c>
      <c r="J1384" s="25" t="s">
        <v>3370</v>
      </c>
      <c r="K1384" s="25" t="s">
        <v>67</v>
      </c>
      <c r="L1384" s="25" t="s">
        <v>1133</v>
      </c>
      <c r="M1384" s="20" t="s">
        <v>3375</v>
      </c>
      <c r="N1384" s="20" t="s">
        <v>3376</v>
      </c>
      <c r="O1384" s="20" t="s">
        <v>56</v>
      </c>
      <c r="P1384" s="20" t="s">
        <v>52</v>
      </c>
      <c r="Q1384" s="26"/>
      <c r="R1384" s="26"/>
      <c r="S1384" s="26"/>
      <c r="T1384" s="22"/>
      <c r="U1384" s="26"/>
      <c r="V1384" s="26"/>
      <c r="W1384" s="20"/>
      <c r="X1384" s="20"/>
      <c r="Y1384" s="20"/>
      <c r="Z1384" s="20"/>
      <c r="AA1384" s="20"/>
      <c r="AB1384" s="20"/>
      <c r="AC1384" s="20"/>
      <c r="AD1384" s="20"/>
      <c r="AE1384" s="20"/>
    </row>
    <row r="1385">
      <c r="A1385" s="21">
        <v>35.0</v>
      </c>
      <c r="B1385" s="20" t="s">
        <v>1997</v>
      </c>
      <c r="C1385" s="20" t="s">
        <v>3094</v>
      </c>
      <c r="I1385" s="25" t="s">
        <v>2484</v>
      </c>
      <c r="J1385" s="25" t="s">
        <v>3380</v>
      </c>
      <c r="K1385" s="25" t="s">
        <v>67</v>
      </c>
      <c r="L1385" s="25" t="s">
        <v>1133</v>
      </c>
      <c r="M1385" s="20" t="s">
        <v>3381</v>
      </c>
      <c r="N1385" s="20" t="s">
        <v>3382</v>
      </c>
      <c r="O1385" s="20" t="s">
        <v>56</v>
      </c>
      <c r="P1385" s="20" t="s">
        <v>52</v>
      </c>
      <c r="Q1385" s="26"/>
      <c r="R1385" s="26"/>
      <c r="S1385" s="26"/>
      <c r="T1385" s="22"/>
      <c r="U1385" s="26"/>
      <c r="V1385" s="26"/>
      <c r="W1385" s="20"/>
      <c r="X1385" s="20"/>
      <c r="Y1385" s="20"/>
      <c r="Z1385" s="20"/>
      <c r="AA1385" s="20"/>
      <c r="AB1385" s="20"/>
      <c r="AC1385" s="20"/>
      <c r="AD1385" s="20"/>
      <c r="AE1385" s="20"/>
    </row>
    <row r="1386">
      <c r="A1386" s="21">
        <v>35.0</v>
      </c>
      <c r="B1386" s="20" t="s">
        <v>1997</v>
      </c>
      <c r="C1386" s="20" t="s">
        <v>3094</v>
      </c>
      <c r="I1386" s="25" t="s">
        <v>1735</v>
      </c>
      <c r="J1386" s="25" t="s">
        <v>3370</v>
      </c>
      <c r="K1386" s="25" t="s">
        <v>57</v>
      </c>
      <c r="L1386" s="25" t="s">
        <v>3779</v>
      </c>
      <c r="M1386" s="20" t="s">
        <v>2651</v>
      </c>
      <c r="N1386" s="20" t="s">
        <v>3371</v>
      </c>
      <c r="O1386" s="20" t="s">
        <v>56</v>
      </c>
      <c r="P1386" s="20"/>
      <c r="Q1386" s="26"/>
      <c r="R1386" s="26"/>
      <c r="S1386" s="26"/>
      <c r="T1386" s="20"/>
      <c r="U1386" s="26"/>
      <c r="V1386" s="26"/>
      <c r="W1386" s="20"/>
      <c r="X1386" s="20"/>
      <c r="Y1386" s="20"/>
      <c r="Z1386" s="20"/>
      <c r="AA1386" s="20"/>
      <c r="AB1386" s="20"/>
      <c r="AC1386" s="20"/>
      <c r="AD1386" s="20"/>
      <c r="AE1386" s="20"/>
    </row>
    <row r="1387">
      <c r="A1387" s="21">
        <v>35.0</v>
      </c>
      <c r="B1387" s="20" t="s">
        <v>1997</v>
      </c>
      <c r="C1387" s="20" t="s">
        <v>3094</v>
      </c>
      <c r="I1387" s="25" t="s">
        <v>2545</v>
      </c>
      <c r="J1387" s="25" t="s">
        <v>3380</v>
      </c>
      <c r="K1387" s="25" t="s">
        <v>71</v>
      </c>
      <c r="L1387" s="25" t="s">
        <v>3780</v>
      </c>
      <c r="M1387" s="20" t="s">
        <v>3397</v>
      </c>
      <c r="N1387" s="20" t="s">
        <v>3398</v>
      </c>
      <c r="O1387" s="20" t="s">
        <v>63</v>
      </c>
      <c r="P1387" s="20"/>
      <c r="Q1387" s="26"/>
      <c r="R1387" s="26"/>
      <c r="S1387" s="26"/>
      <c r="T1387" s="20"/>
      <c r="U1387" s="26"/>
      <c r="V1387" s="26"/>
      <c r="W1387" s="20"/>
      <c r="X1387" s="20"/>
      <c r="Y1387" s="20"/>
      <c r="Z1387" s="20"/>
      <c r="AA1387" s="20"/>
      <c r="AB1387" s="20"/>
      <c r="AC1387" s="20"/>
      <c r="AD1387" s="20"/>
      <c r="AE1387" s="20"/>
    </row>
    <row r="1388">
      <c r="A1388" s="21">
        <v>35.0</v>
      </c>
      <c r="B1388" s="20" t="s">
        <v>1997</v>
      </c>
      <c r="C1388" s="20" t="s">
        <v>3094</v>
      </c>
      <c r="I1388" s="25" t="s">
        <v>1134</v>
      </c>
      <c r="J1388" s="25" t="s">
        <v>3380</v>
      </c>
      <c r="K1388" s="25" t="s">
        <v>71</v>
      </c>
      <c r="L1388" s="25" t="s">
        <v>3553</v>
      </c>
      <c r="M1388" s="20" t="s">
        <v>61</v>
      </c>
      <c r="N1388" s="20" t="s">
        <v>3400</v>
      </c>
      <c r="O1388" s="20" t="s">
        <v>63</v>
      </c>
      <c r="P1388" s="20"/>
      <c r="Q1388" s="26"/>
      <c r="R1388" s="26"/>
      <c r="S1388" s="26"/>
      <c r="T1388" s="20"/>
      <c r="U1388" s="26"/>
      <c r="V1388" s="26"/>
      <c r="W1388" s="20"/>
      <c r="X1388" s="20"/>
      <c r="Y1388" s="20"/>
      <c r="Z1388" s="20"/>
      <c r="AA1388" s="20"/>
      <c r="AB1388" s="20"/>
      <c r="AC1388" s="20"/>
      <c r="AD1388" s="20"/>
      <c r="AE1388" s="20"/>
    </row>
    <row r="1389">
      <c r="A1389" s="21">
        <v>35.0</v>
      </c>
      <c r="B1389" s="20" t="s">
        <v>1997</v>
      </c>
      <c r="C1389" s="20" t="s">
        <v>3094</v>
      </c>
      <c r="I1389" s="25" t="s">
        <v>2362</v>
      </c>
      <c r="J1389" s="25" t="s">
        <v>3383</v>
      </c>
      <c r="K1389" s="25" t="s">
        <v>71</v>
      </c>
      <c r="L1389" s="25" t="s">
        <v>3553</v>
      </c>
      <c r="M1389" s="20" t="s">
        <v>2363</v>
      </c>
      <c r="N1389" s="20" t="s">
        <v>2364</v>
      </c>
      <c r="O1389" s="20" t="s">
        <v>63</v>
      </c>
      <c r="P1389" s="20"/>
      <c r="Q1389" s="26"/>
      <c r="R1389" s="26"/>
      <c r="S1389" s="26"/>
      <c r="T1389" s="20"/>
      <c r="U1389" s="26"/>
      <c r="V1389" s="26"/>
      <c r="W1389" s="20"/>
      <c r="X1389" s="20"/>
      <c r="Y1389" s="20"/>
      <c r="Z1389" s="20"/>
      <c r="AA1389" s="20"/>
      <c r="AB1389" s="20"/>
      <c r="AC1389" s="20"/>
      <c r="AD1389" s="20"/>
      <c r="AE1389" s="20"/>
    </row>
    <row r="1390">
      <c r="A1390" s="21">
        <v>35.0</v>
      </c>
      <c r="B1390" s="20" t="s">
        <v>1997</v>
      </c>
      <c r="C1390" s="20" t="s">
        <v>3094</v>
      </c>
      <c r="I1390" s="25" t="s">
        <v>1012</v>
      </c>
      <c r="J1390" s="25" t="s">
        <v>3383</v>
      </c>
      <c r="K1390" s="25" t="s">
        <v>71</v>
      </c>
      <c r="L1390" s="25" t="s">
        <v>2538</v>
      </c>
      <c r="M1390" s="20" t="s">
        <v>61</v>
      </c>
      <c r="N1390" s="20" t="s">
        <v>3384</v>
      </c>
      <c r="O1390" s="20" t="s">
        <v>63</v>
      </c>
      <c r="P1390" s="20"/>
      <c r="Q1390" s="26"/>
      <c r="R1390" s="26"/>
      <c r="S1390" s="26"/>
      <c r="T1390" s="20"/>
      <c r="U1390" s="26"/>
      <c r="V1390" s="26"/>
      <c r="W1390" s="20"/>
      <c r="X1390" s="20"/>
      <c r="Y1390" s="20"/>
      <c r="Z1390" s="20"/>
      <c r="AA1390" s="20"/>
      <c r="AB1390" s="20"/>
      <c r="AC1390" s="20"/>
      <c r="AD1390" s="20"/>
      <c r="AE1390" s="20"/>
    </row>
    <row r="1391">
      <c r="A1391" s="21">
        <v>35.0</v>
      </c>
      <c r="B1391" s="20" t="s">
        <v>1997</v>
      </c>
      <c r="C1391" s="20" t="s">
        <v>3094</v>
      </c>
      <c r="I1391" s="25" t="s">
        <v>1356</v>
      </c>
      <c r="J1391" s="25" t="s">
        <v>3370</v>
      </c>
      <c r="K1391" s="25" t="s">
        <v>71</v>
      </c>
      <c r="L1391" s="25" t="s">
        <v>3553</v>
      </c>
      <c r="M1391" s="20" t="s">
        <v>3345</v>
      </c>
      <c r="N1391" s="20" t="s">
        <v>3346</v>
      </c>
      <c r="O1391" s="20" t="s">
        <v>63</v>
      </c>
      <c r="P1391" s="20"/>
      <c r="Q1391" s="26"/>
      <c r="R1391" s="26"/>
      <c r="S1391" s="26"/>
      <c r="T1391" s="20"/>
      <c r="U1391" s="26"/>
      <c r="V1391" s="26"/>
      <c r="W1391" s="20"/>
      <c r="X1391" s="20"/>
      <c r="Y1391" s="20"/>
      <c r="Z1391" s="20"/>
      <c r="AA1391" s="20"/>
      <c r="AB1391" s="20"/>
      <c r="AC1391" s="20"/>
      <c r="AD1391" s="20"/>
      <c r="AE1391" s="20"/>
    </row>
    <row r="1392">
      <c r="A1392" s="21">
        <v>35.0</v>
      </c>
      <c r="B1392" s="20" t="s">
        <v>1997</v>
      </c>
      <c r="C1392" s="20" t="s">
        <v>3094</v>
      </c>
      <c r="I1392" s="25" t="s">
        <v>2452</v>
      </c>
      <c r="J1392" s="25" t="s">
        <v>3383</v>
      </c>
      <c r="K1392" s="25" t="s">
        <v>71</v>
      </c>
      <c r="L1392" s="25" t="s">
        <v>3553</v>
      </c>
      <c r="M1392" s="20" t="s">
        <v>3385</v>
      </c>
      <c r="N1392" s="20" t="s">
        <v>3386</v>
      </c>
      <c r="O1392" s="20" t="s">
        <v>63</v>
      </c>
      <c r="P1392" s="20"/>
      <c r="Q1392" s="26"/>
      <c r="R1392" s="26"/>
      <c r="S1392" s="26"/>
      <c r="T1392" s="20"/>
      <c r="U1392" s="26"/>
      <c r="V1392" s="26"/>
      <c r="W1392" s="20"/>
      <c r="X1392" s="20"/>
      <c r="Y1392" s="20"/>
      <c r="Z1392" s="20"/>
      <c r="AA1392" s="20"/>
      <c r="AB1392" s="20"/>
      <c r="AC1392" s="20"/>
      <c r="AD1392" s="20"/>
      <c r="AE1392" s="20"/>
    </row>
    <row r="1393">
      <c r="A1393" s="21">
        <v>35.0</v>
      </c>
      <c r="B1393" s="20" t="s">
        <v>1997</v>
      </c>
      <c r="C1393" s="20" t="s">
        <v>3094</v>
      </c>
      <c r="I1393" s="25" t="s">
        <v>2427</v>
      </c>
      <c r="J1393" s="25" t="s">
        <v>3383</v>
      </c>
      <c r="K1393" s="25" t="s">
        <v>71</v>
      </c>
      <c r="L1393" s="25" t="s">
        <v>3553</v>
      </c>
      <c r="M1393" s="20" t="s">
        <v>3387</v>
      </c>
      <c r="N1393" s="20" t="s">
        <v>3388</v>
      </c>
      <c r="O1393" s="20" t="s">
        <v>63</v>
      </c>
      <c r="P1393" s="20"/>
      <c r="Q1393" s="26"/>
      <c r="R1393" s="26"/>
      <c r="S1393" s="26"/>
      <c r="T1393" s="20"/>
      <c r="U1393" s="26"/>
      <c r="V1393" s="26"/>
      <c r="W1393" s="20"/>
      <c r="X1393" s="20"/>
      <c r="Y1393" s="20"/>
      <c r="Z1393" s="20"/>
      <c r="AA1393" s="20"/>
      <c r="AB1393" s="20"/>
      <c r="AC1393" s="20"/>
      <c r="AD1393" s="20"/>
      <c r="AE1393" s="20"/>
    </row>
    <row r="1394">
      <c r="A1394" s="21">
        <v>35.0</v>
      </c>
      <c r="B1394" s="20" t="s">
        <v>1997</v>
      </c>
      <c r="C1394" s="20" t="s">
        <v>3094</v>
      </c>
      <c r="I1394" s="25" t="s">
        <v>3132</v>
      </c>
      <c r="J1394" s="25" t="s">
        <v>3383</v>
      </c>
      <c r="K1394" s="25" t="s">
        <v>71</v>
      </c>
      <c r="L1394" s="25" t="s">
        <v>3553</v>
      </c>
      <c r="M1394" s="20" t="s">
        <v>3389</v>
      </c>
      <c r="N1394" s="20" t="s">
        <v>3390</v>
      </c>
      <c r="O1394" s="20" t="s">
        <v>63</v>
      </c>
      <c r="P1394" s="20"/>
      <c r="Q1394" s="26"/>
      <c r="R1394" s="26"/>
      <c r="S1394" s="26"/>
      <c r="T1394" s="20"/>
      <c r="U1394" s="26"/>
      <c r="V1394" s="26"/>
      <c r="W1394" s="20"/>
      <c r="X1394" s="20"/>
      <c r="Y1394" s="20"/>
      <c r="Z1394" s="20"/>
      <c r="AA1394" s="20"/>
      <c r="AB1394" s="20"/>
      <c r="AC1394" s="20"/>
      <c r="AD1394" s="20"/>
      <c r="AE1394" s="20"/>
    </row>
    <row r="1395">
      <c r="A1395" s="21">
        <v>35.0</v>
      </c>
      <c r="B1395" s="20" t="s">
        <v>1997</v>
      </c>
      <c r="C1395" s="20" t="s">
        <v>3094</v>
      </c>
      <c r="I1395" s="25" t="s">
        <v>2690</v>
      </c>
      <c r="J1395" s="25" t="s">
        <v>3383</v>
      </c>
      <c r="K1395" s="25" t="s">
        <v>71</v>
      </c>
      <c r="L1395" s="25" t="s">
        <v>3553</v>
      </c>
      <c r="M1395" s="20" t="s">
        <v>2691</v>
      </c>
      <c r="N1395" s="20" t="s">
        <v>3391</v>
      </c>
      <c r="O1395" s="20" t="s">
        <v>63</v>
      </c>
      <c r="P1395" s="20"/>
      <c r="Q1395" s="26"/>
      <c r="R1395" s="26"/>
      <c r="S1395" s="26"/>
      <c r="T1395" s="20"/>
      <c r="U1395" s="26"/>
      <c r="V1395" s="26"/>
      <c r="W1395" s="20"/>
      <c r="X1395" s="20"/>
      <c r="Y1395" s="20"/>
      <c r="Z1395" s="20"/>
      <c r="AA1395" s="20"/>
      <c r="AB1395" s="20"/>
      <c r="AC1395" s="20"/>
      <c r="AD1395" s="20"/>
      <c r="AE1395" s="20"/>
    </row>
    <row r="1396">
      <c r="A1396" s="21">
        <v>35.0</v>
      </c>
      <c r="B1396" s="20" t="s">
        <v>1997</v>
      </c>
      <c r="C1396" s="20" t="s">
        <v>3094</v>
      </c>
      <c r="I1396" s="25" t="s">
        <v>2911</v>
      </c>
      <c r="J1396" s="25" t="s">
        <v>3370</v>
      </c>
      <c r="K1396" s="25" t="s">
        <v>71</v>
      </c>
      <c r="L1396" s="25" t="s">
        <v>3553</v>
      </c>
      <c r="M1396" s="20" t="s">
        <v>3394</v>
      </c>
      <c r="N1396" s="20" t="s">
        <v>3395</v>
      </c>
      <c r="O1396" s="20" t="s">
        <v>63</v>
      </c>
      <c r="P1396" s="20"/>
      <c r="Q1396" s="26"/>
      <c r="R1396" s="26"/>
      <c r="S1396" s="26"/>
      <c r="T1396" s="20"/>
      <c r="U1396" s="26"/>
      <c r="V1396" s="26"/>
      <c r="W1396" s="20"/>
      <c r="X1396" s="20"/>
      <c r="Y1396" s="20"/>
      <c r="Z1396" s="20"/>
      <c r="AA1396" s="20"/>
      <c r="AB1396" s="20"/>
      <c r="AC1396" s="20"/>
      <c r="AD1396" s="20"/>
      <c r="AE1396" s="20"/>
    </row>
    <row r="1397">
      <c r="A1397" s="21">
        <v>35.0</v>
      </c>
      <c r="B1397" s="20" t="s">
        <v>1997</v>
      </c>
      <c r="C1397" s="20" t="s">
        <v>3094</v>
      </c>
      <c r="I1397" s="25" t="s">
        <v>2441</v>
      </c>
      <c r="J1397" s="25" t="s">
        <v>3383</v>
      </c>
      <c r="K1397" s="25" t="s">
        <v>71</v>
      </c>
      <c r="L1397" s="25" t="s">
        <v>3553</v>
      </c>
      <c r="M1397" s="20" t="s">
        <v>3272</v>
      </c>
      <c r="N1397" s="20" t="s">
        <v>3273</v>
      </c>
      <c r="O1397" s="20" t="s">
        <v>63</v>
      </c>
      <c r="P1397" s="20"/>
      <c r="Q1397" s="26"/>
      <c r="R1397" s="26"/>
      <c r="S1397" s="26"/>
      <c r="T1397" s="20"/>
      <c r="U1397" s="26"/>
      <c r="V1397" s="26"/>
      <c r="W1397" s="20"/>
      <c r="X1397" s="20"/>
      <c r="Y1397" s="20"/>
      <c r="Z1397" s="20"/>
      <c r="AA1397" s="20"/>
      <c r="AB1397" s="20"/>
      <c r="AC1397" s="20"/>
      <c r="AD1397" s="20"/>
      <c r="AE1397" s="20"/>
    </row>
    <row r="1398">
      <c r="A1398" s="21">
        <v>35.0</v>
      </c>
      <c r="B1398" s="20" t="s">
        <v>1997</v>
      </c>
      <c r="C1398" s="20" t="s">
        <v>3094</v>
      </c>
      <c r="I1398" s="25" t="s">
        <v>2693</v>
      </c>
      <c r="J1398" s="25" t="s">
        <v>3383</v>
      </c>
      <c r="K1398" s="25" t="s">
        <v>71</v>
      </c>
      <c r="L1398" s="25" t="s">
        <v>3553</v>
      </c>
      <c r="M1398" s="20" t="s">
        <v>61</v>
      </c>
      <c r="N1398" s="20" t="s">
        <v>3137</v>
      </c>
      <c r="O1398" s="20" t="s">
        <v>63</v>
      </c>
      <c r="P1398" s="20"/>
      <c r="Q1398" s="26"/>
      <c r="R1398" s="26"/>
      <c r="S1398" s="26"/>
      <c r="T1398" s="20"/>
      <c r="U1398" s="26"/>
      <c r="V1398" s="26"/>
      <c r="W1398" s="20"/>
      <c r="X1398" s="20"/>
      <c r="Y1398" s="20"/>
      <c r="Z1398" s="20"/>
      <c r="AA1398" s="20"/>
      <c r="AB1398" s="20"/>
      <c r="AC1398" s="20"/>
      <c r="AD1398" s="20"/>
      <c r="AE1398" s="20"/>
    </row>
    <row r="1399">
      <c r="A1399" s="21">
        <v>35.0</v>
      </c>
      <c r="B1399" s="20" t="s">
        <v>1997</v>
      </c>
      <c r="C1399" s="20" t="s">
        <v>3094</v>
      </c>
      <c r="I1399" s="25" t="s">
        <v>3113</v>
      </c>
      <c r="J1399" s="25" t="s">
        <v>3383</v>
      </c>
      <c r="K1399" s="25" t="s">
        <v>71</v>
      </c>
      <c r="L1399" s="25" t="s">
        <v>3553</v>
      </c>
      <c r="M1399" s="20" t="s">
        <v>61</v>
      </c>
      <c r="N1399" s="20" t="s">
        <v>3181</v>
      </c>
      <c r="O1399" s="20" t="s">
        <v>63</v>
      </c>
      <c r="P1399" s="20"/>
      <c r="Q1399" s="26"/>
      <c r="R1399" s="26"/>
      <c r="S1399" s="26"/>
      <c r="T1399" s="20"/>
      <c r="U1399" s="26"/>
      <c r="V1399" s="26"/>
      <c r="W1399" s="20"/>
      <c r="X1399" s="20"/>
      <c r="Y1399" s="20"/>
      <c r="Z1399" s="20"/>
      <c r="AA1399" s="20"/>
      <c r="AB1399" s="20"/>
      <c r="AC1399" s="20"/>
      <c r="AD1399" s="20"/>
      <c r="AE1399" s="20"/>
    </row>
    <row r="1400">
      <c r="A1400" s="21">
        <v>35.0</v>
      </c>
      <c r="B1400" s="20" t="s">
        <v>1997</v>
      </c>
      <c r="C1400" s="20" t="s">
        <v>3094</v>
      </c>
      <c r="I1400" s="25" t="s">
        <v>2605</v>
      </c>
      <c r="J1400" s="25" t="s">
        <v>3383</v>
      </c>
      <c r="K1400" s="25" t="s">
        <v>71</v>
      </c>
      <c r="L1400" s="25" t="s">
        <v>3553</v>
      </c>
      <c r="M1400" s="20" t="s">
        <v>3143</v>
      </c>
      <c r="N1400" s="20" t="s">
        <v>3144</v>
      </c>
      <c r="O1400" s="20" t="s">
        <v>63</v>
      </c>
      <c r="P1400" s="20"/>
      <c r="Q1400" s="26"/>
      <c r="R1400" s="26"/>
      <c r="S1400" s="26"/>
      <c r="T1400" s="20"/>
      <c r="U1400" s="26"/>
      <c r="V1400" s="26"/>
      <c r="W1400" s="20"/>
      <c r="X1400" s="20"/>
      <c r="Y1400" s="20"/>
      <c r="Z1400" s="20"/>
      <c r="AA1400" s="20"/>
      <c r="AB1400" s="20"/>
      <c r="AC1400" s="20"/>
      <c r="AD1400" s="20"/>
      <c r="AE1400" s="20"/>
    </row>
    <row r="1401">
      <c r="A1401" s="21">
        <v>35.0</v>
      </c>
      <c r="B1401" s="20" t="s">
        <v>1997</v>
      </c>
      <c r="C1401" s="20" t="s">
        <v>3094</v>
      </c>
      <c r="I1401" s="25" t="s">
        <v>2614</v>
      </c>
      <c r="J1401" s="25" t="s">
        <v>3383</v>
      </c>
      <c r="K1401" s="25" t="s">
        <v>71</v>
      </c>
      <c r="L1401" s="25" t="s">
        <v>3553</v>
      </c>
      <c r="M1401" s="20" t="s">
        <v>3146</v>
      </c>
      <c r="N1401" s="20" t="s">
        <v>3147</v>
      </c>
      <c r="O1401" s="20" t="s">
        <v>63</v>
      </c>
      <c r="P1401" s="20"/>
      <c r="Q1401" s="26"/>
      <c r="R1401" s="26"/>
      <c r="S1401" s="26"/>
      <c r="T1401" s="20"/>
      <c r="U1401" s="26"/>
      <c r="V1401" s="26"/>
      <c r="W1401" s="20"/>
      <c r="X1401" s="20"/>
      <c r="Y1401" s="20"/>
      <c r="Z1401" s="20"/>
      <c r="AA1401" s="20"/>
      <c r="AB1401" s="20"/>
      <c r="AC1401" s="20"/>
      <c r="AD1401" s="20"/>
      <c r="AE1401" s="20"/>
    </row>
    <row r="1402">
      <c r="A1402" s="21">
        <v>35.0</v>
      </c>
      <c r="B1402" s="20" t="s">
        <v>1997</v>
      </c>
      <c r="C1402" s="20" t="s">
        <v>3094</v>
      </c>
      <c r="I1402" s="25" t="s">
        <v>1960</v>
      </c>
      <c r="J1402" s="25" t="s">
        <v>3383</v>
      </c>
      <c r="K1402" s="25" t="s">
        <v>71</v>
      </c>
      <c r="L1402" s="25" t="s">
        <v>3553</v>
      </c>
      <c r="M1402" s="20" t="s">
        <v>61</v>
      </c>
      <c r="N1402" s="20" t="s">
        <v>3012</v>
      </c>
      <c r="O1402" s="20" t="s">
        <v>63</v>
      </c>
      <c r="P1402" s="20"/>
      <c r="Q1402" s="26"/>
      <c r="R1402" s="26"/>
      <c r="S1402" s="26"/>
      <c r="T1402" s="20"/>
      <c r="U1402" s="26"/>
      <c r="V1402" s="26"/>
      <c r="W1402" s="20"/>
      <c r="X1402" s="20"/>
      <c r="Y1402" s="20"/>
      <c r="Z1402" s="20"/>
      <c r="AA1402" s="20"/>
      <c r="AB1402" s="20"/>
      <c r="AC1402" s="20"/>
      <c r="AD1402" s="20"/>
      <c r="AE1402" s="20"/>
    </row>
    <row r="1403">
      <c r="A1403" s="21">
        <v>35.0</v>
      </c>
      <c r="B1403" s="20" t="s">
        <v>1997</v>
      </c>
      <c r="C1403" s="20" t="s">
        <v>3094</v>
      </c>
      <c r="I1403" s="25" t="s">
        <v>2475</v>
      </c>
      <c r="J1403" s="25" t="s">
        <v>3370</v>
      </c>
      <c r="K1403" s="25" t="s">
        <v>71</v>
      </c>
      <c r="L1403" s="25" t="s">
        <v>3553</v>
      </c>
      <c r="M1403" s="20" t="s">
        <v>61</v>
      </c>
      <c r="N1403" s="20" t="s">
        <v>3396</v>
      </c>
      <c r="O1403" s="20" t="s">
        <v>63</v>
      </c>
      <c r="P1403" s="20"/>
      <c r="Q1403" s="26"/>
      <c r="R1403" s="26"/>
      <c r="S1403" s="26"/>
      <c r="T1403" s="20"/>
      <c r="U1403" s="26"/>
      <c r="V1403" s="26"/>
      <c r="W1403" s="20"/>
      <c r="X1403" s="20"/>
      <c r="Y1403" s="20"/>
      <c r="Z1403" s="20"/>
      <c r="AA1403" s="20"/>
      <c r="AB1403" s="20"/>
      <c r="AC1403" s="20"/>
      <c r="AD1403" s="20"/>
      <c r="AE1403" s="20"/>
    </row>
    <row r="1404">
      <c r="A1404" s="21">
        <v>35.0</v>
      </c>
      <c r="B1404" s="20" t="s">
        <v>1997</v>
      </c>
      <c r="C1404" s="20" t="s">
        <v>3094</v>
      </c>
      <c r="I1404" s="25" t="s">
        <v>3148</v>
      </c>
      <c r="J1404" s="25" t="s">
        <v>3380</v>
      </c>
      <c r="K1404" s="25" t="s">
        <v>71</v>
      </c>
      <c r="L1404" s="25" t="s">
        <v>3553</v>
      </c>
      <c r="M1404" s="20" t="s">
        <v>3149</v>
      </c>
      <c r="N1404" s="20" t="s">
        <v>3402</v>
      </c>
      <c r="O1404" s="20" t="s">
        <v>63</v>
      </c>
      <c r="P1404" s="20"/>
      <c r="Q1404" s="26"/>
      <c r="R1404" s="26"/>
      <c r="S1404" s="26"/>
      <c r="T1404" s="20"/>
      <c r="U1404" s="26"/>
      <c r="V1404" s="26"/>
      <c r="W1404" s="20"/>
      <c r="X1404" s="20"/>
      <c r="Y1404" s="20"/>
      <c r="Z1404" s="20"/>
      <c r="AA1404" s="20"/>
      <c r="AB1404" s="20"/>
      <c r="AC1404" s="20"/>
      <c r="AD1404" s="20"/>
      <c r="AE1404" s="20"/>
    </row>
    <row r="1405">
      <c r="A1405" s="21">
        <v>35.0</v>
      </c>
      <c r="B1405" s="20" t="s">
        <v>1997</v>
      </c>
      <c r="C1405" s="20" t="s">
        <v>3094</v>
      </c>
      <c r="I1405" s="25" t="s">
        <v>2663</v>
      </c>
      <c r="J1405" s="25" t="s">
        <v>3370</v>
      </c>
      <c r="K1405" s="25" t="s">
        <v>71</v>
      </c>
      <c r="L1405" s="25" t="s">
        <v>3553</v>
      </c>
      <c r="M1405" s="20" t="s">
        <v>2664</v>
      </c>
      <c r="N1405" s="20" t="s">
        <v>2665</v>
      </c>
      <c r="O1405" s="20" t="s">
        <v>56</v>
      </c>
      <c r="P1405" s="20"/>
      <c r="Q1405" s="26"/>
      <c r="R1405" s="26"/>
      <c r="S1405" s="26"/>
      <c r="T1405" s="20"/>
      <c r="U1405" s="26"/>
      <c r="V1405" s="26"/>
      <c r="W1405" s="20"/>
      <c r="X1405" s="20"/>
      <c r="Y1405" s="20"/>
      <c r="Z1405" s="20"/>
      <c r="AA1405" s="20"/>
      <c r="AB1405" s="20"/>
      <c r="AC1405" s="20"/>
      <c r="AD1405" s="20"/>
      <c r="AE1405" s="20"/>
    </row>
    <row r="1406">
      <c r="A1406" s="21">
        <v>35.0</v>
      </c>
      <c r="B1406" s="20" t="s">
        <v>1997</v>
      </c>
      <c r="C1406" s="20" t="s">
        <v>3094</v>
      </c>
      <c r="I1406" s="25" t="s">
        <v>1843</v>
      </c>
      <c r="J1406" s="25" t="s">
        <v>3380</v>
      </c>
      <c r="K1406" s="25" t="s">
        <v>71</v>
      </c>
      <c r="L1406" s="25" t="s">
        <v>3553</v>
      </c>
      <c r="M1406" s="20" t="s">
        <v>1844</v>
      </c>
      <c r="N1406" s="20" t="s">
        <v>3404</v>
      </c>
      <c r="O1406" s="20" t="s">
        <v>63</v>
      </c>
      <c r="P1406" s="20"/>
      <c r="Q1406" s="26"/>
      <c r="R1406" s="26"/>
      <c r="S1406" s="26"/>
      <c r="T1406" s="20"/>
      <c r="U1406" s="26"/>
      <c r="V1406" s="26"/>
      <c r="W1406" s="20"/>
      <c r="X1406" s="20"/>
      <c r="Y1406" s="20"/>
      <c r="Z1406" s="20"/>
      <c r="AA1406" s="20"/>
      <c r="AB1406" s="20"/>
      <c r="AC1406" s="20"/>
      <c r="AD1406" s="20"/>
      <c r="AE1406" s="20"/>
    </row>
    <row r="1407">
      <c r="A1407" s="21">
        <v>35.0</v>
      </c>
      <c r="B1407" s="20" t="s">
        <v>1997</v>
      </c>
      <c r="C1407" s="20" t="s">
        <v>3094</v>
      </c>
      <c r="I1407" s="25" t="s">
        <v>2914</v>
      </c>
      <c r="J1407" s="25" t="s">
        <v>3383</v>
      </c>
      <c r="K1407" s="25" t="s">
        <v>71</v>
      </c>
      <c r="L1407" s="25" t="s">
        <v>3553</v>
      </c>
      <c r="M1407" s="20" t="s">
        <v>61</v>
      </c>
      <c r="N1407" s="20" t="s">
        <v>3305</v>
      </c>
      <c r="O1407" s="20" t="s">
        <v>63</v>
      </c>
      <c r="P1407" s="20"/>
      <c r="Q1407" s="26"/>
      <c r="R1407" s="26"/>
      <c r="S1407" s="26"/>
      <c r="T1407" s="20"/>
      <c r="U1407" s="26"/>
      <c r="V1407" s="26"/>
      <c r="W1407" s="20"/>
      <c r="X1407" s="20"/>
      <c r="Y1407" s="20"/>
      <c r="Z1407" s="20"/>
      <c r="AA1407" s="20"/>
      <c r="AB1407" s="20"/>
      <c r="AC1407" s="20"/>
      <c r="AD1407" s="20"/>
      <c r="AE1407" s="20"/>
    </row>
    <row r="1408">
      <c r="A1408" s="21">
        <v>35.0</v>
      </c>
      <c r="B1408" s="20" t="s">
        <v>1997</v>
      </c>
      <c r="C1408" s="20" t="s">
        <v>3094</v>
      </c>
      <c r="I1408" s="25" t="s">
        <v>3377</v>
      </c>
      <c r="J1408" s="25" t="s">
        <v>3370</v>
      </c>
      <c r="K1408" s="25" t="s">
        <v>67</v>
      </c>
      <c r="L1408" s="25" t="s">
        <v>1133</v>
      </c>
      <c r="M1408" s="20" t="s">
        <v>3378</v>
      </c>
      <c r="N1408" s="20" t="s">
        <v>3379</v>
      </c>
      <c r="O1408" s="20" t="s">
        <v>56</v>
      </c>
      <c r="P1408" s="20" t="s">
        <v>52</v>
      </c>
      <c r="Q1408" s="26"/>
      <c r="R1408" s="26"/>
      <c r="S1408" s="26"/>
      <c r="T1408" s="22"/>
      <c r="U1408" s="26"/>
      <c r="V1408" s="26"/>
      <c r="W1408" s="20"/>
      <c r="X1408" s="20"/>
      <c r="Y1408" s="20"/>
      <c r="Z1408" s="20"/>
      <c r="AA1408" s="20"/>
      <c r="AB1408" s="20"/>
      <c r="AC1408" s="20"/>
      <c r="AD1408" s="20"/>
      <c r="AE1408" s="20"/>
    </row>
    <row r="1409">
      <c r="A1409" s="21">
        <v>35.0</v>
      </c>
      <c r="B1409" s="20" t="s">
        <v>1997</v>
      </c>
      <c r="C1409" s="20" t="s">
        <v>3094</v>
      </c>
      <c r="I1409" s="25" t="s">
        <v>3165</v>
      </c>
      <c r="J1409" s="25" t="s">
        <v>3383</v>
      </c>
      <c r="K1409" s="25" t="s">
        <v>71</v>
      </c>
      <c r="L1409" s="25" t="s">
        <v>226</v>
      </c>
      <c r="M1409" s="20" t="s">
        <v>3166</v>
      </c>
      <c r="N1409" s="20" t="s">
        <v>3392</v>
      </c>
      <c r="O1409" s="20" t="s">
        <v>63</v>
      </c>
      <c r="P1409" s="20" t="s">
        <v>52</v>
      </c>
      <c r="Q1409" s="26"/>
      <c r="R1409" s="26"/>
      <c r="S1409" s="26"/>
      <c r="T1409" s="22"/>
      <c r="U1409" s="26"/>
      <c r="V1409" s="26"/>
      <c r="W1409" s="20"/>
      <c r="X1409" s="20"/>
      <c r="Y1409" s="20"/>
      <c r="Z1409" s="20"/>
      <c r="AA1409" s="20"/>
      <c r="AB1409" s="20"/>
      <c r="AC1409" s="20"/>
      <c r="AD1409" s="20"/>
      <c r="AE1409" s="20"/>
    </row>
    <row r="1410">
      <c r="A1410" s="21">
        <v>35.0</v>
      </c>
      <c r="B1410" s="20" t="s">
        <v>1997</v>
      </c>
      <c r="C1410" s="20" t="s">
        <v>3094</v>
      </c>
      <c r="I1410" s="25" t="s">
        <v>2895</v>
      </c>
      <c r="J1410" s="25" t="s">
        <v>3380</v>
      </c>
      <c r="K1410" s="25" t="s">
        <v>71</v>
      </c>
      <c r="L1410" s="25" t="s">
        <v>3553</v>
      </c>
      <c r="M1410" s="20" t="s">
        <v>3405</v>
      </c>
      <c r="N1410" s="20" t="s">
        <v>3406</v>
      </c>
      <c r="O1410" s="20" t="s">
        <v>63</v>
      </c>
      <c r="P1410" s="20"/>
      <c r="Q1410" s="26"/>
      <c r="R1410" s="26"/>
      <c r="S1410" s="26"/>
      <c r="T1410" s="20"/>
      <c r="U1410" s="26"/>
      <c r="V1410" s="26"/>
      <c r="W1410" s="20"/>
      <c r="X1410" s="20"/>
      <c r="Y1410" s="20"/>
      <c r="Z1410" s="20"/>
      <c r="AA1410" s="20"/>
      <c r="AB1410" s="20"/>
      <c r="AC1410" s="20"/>
      <c r="AD1410" s="20"/>
      <c r="AE1410" s="20"/>
    </row>
    <row r="1411">
      <c r="A1411" s="21">
        <v>35.0</v>
      </c>
      <c r="B1411" s="20" t="s">
        <v>1997</v>
      </c>
      <c r="C1411" s="20" t="s">
        <v>3094</v>
      </c>
      <c r="I1411" s="25" t="s">
        <v>2058</v>
      </c>
      <c r="J1411" s="25" t="s">
        <v>3383</v>
      </c>
      <c r="K1411" s="25" t="s">
        <v>71</v>
      </c>
      <c r="L1411" s="25" t="s">
        <v>3553</v>
      </c>
      <c r="M1411" s="20" t="s">
        <v>2059</v>
      </c>
      <c r="N1411" s="20" t="s">
        <v>3393</v>
      </c>
      <c r="O1411" s="20" t="s">
        <v>63</v>
      </c>
      <c r="P1411" s="20"/>
      <c r="Q1411" s="26"/>
      <c r="R1411" s="26"/>
      <c r="S1411" s="26"/>
      <c r="T1411" s="20"/>
      <c r="U1411" s="26"/>
      <c r="V1411" s="26"/>
      <c r="W1411" s="20"/>
      <c r="X1411" s="20"/>
      <c r="Y1411" s="20"/>
      <c r="Z1411" s="20"/>
      <c r="AA1411" s="20"/>
      <c r="AB1411" s="20"/>
      <c r="AC1411" s="20"/>
      <c r="AD1411" s="20"/>
      <c r="AE1411" s="20"/>
    </row>
    <row r="1412">
      <c r="A1412" s="21">
        <v>36.0</v>
      </c>
      <c r="B1412" s="20" t="s">
        <v>3408</v>
      </c>
      <c r="C1412" s="20" t="s">
        <v>3805</v>
      </c>
      <c r="D1412" s="35">
        <v>30.0</v>
      </c>
      <c r="E1412" s="35">
        <v>2.0</v>
      </c>
      <c r="F1412" s="35">
        <v>17.0</v>
      </c>
      <c r="G1412" s="35">
        <v>11.0</v>
      </c>
      <c r="H1412" s="36" t="s">
        <v>3807</v>
      </c>
      <c r="I1412" s="25" t="s">
        <v>3410</v>
      </c>
      <c r="J1412" s="25" t="s">
        <v>3409</v>
      </c>
      <c r="K1412" s="25" t="s">
        <v>57</v>
      </c>
      <c r="L1412" s="25" t="s">
        <v>3808</v>
      </c>
      <c r="M1412" s="20" t="s">
        <v>61</v>
      </c>
      <c r="N1412" s="20" t="s">
        <v>3411</v>
      </c>
      <c r="O1412" s="20" t="s">
        <v>56</v>
      </c>
      <c r="P1412" s="20"/>
      <c r="Q1412" s="26"/>
      <c r="R1412" s="26"/>
      <c r="S1412" s="26"/>
      <c r="T1412" s="20"/>
      <c r="U1412" s="26"/>
      <c r="V1412" s="26"/>
      <c r="W1412" s="20"/>
      <c r="X1412" s="20"/>
      <c r="Y1412" s="20"/>
      <c r="Z1412" s="20"/>
      <c r="AA1412" s="20"/>
      <c r="AB1412" s="20"/>
      <c r="AC1412" s="20"/>
      <c r="AD1412" s="20"/>
      <c r="AE1412" s="20"/>
    </row>
    <row r="1413">
      <c r="A1413" s="21">
        <v>36.0</v>
      </c>
      <c r="B1413" s="20" t="s">
        <v>3408</v>
      </c>
      <c r="C1413" s="20" t="s">
        <v>3805</v>
      </c>
      <c r="I1413" s="25" t="s">
        <v>3414</v>
      </c>
      <c r="J1413" s="25" t="s">
        <v>3409</v>
      </c>
      <c r="K1413" s="25" t="s">
        <v>67</v>
      </c>
      <c r="L1413" s="25" t="s">
        <v>1133</v>
      </c>
      <c r="M1413" s="20" t="s">
        <v>61</v>
      </c>
      <c r="N1413" s="20" t="s">
        <v>3415</v>
      </c>
      <c r="O1413" s="20" t="s">
        <v>56</v>
      </c>
      <c r="P1413" s="20" t="s">
        <v>52</v>
      </c>
      <c r="Q1413" s="26"/>
      <c r="R1413" s="26"/>
      <c r="S1413" s="26"/>
      <c r="T1413" s="22"/>
      <c r="U1413" s="26"/>
      <c r="V1413" s="26"/>
      <c r="W1413" s="20"/>
      <c r="X1413" s="20"/>
      <c r="Y1413" s="20"/>
      <c r="Z1413" s="20"/>
      <c r="AA1413" s="20"/>
      <c r="AB1413" s="20"/>
      <c r="AC1413" s="20"/>
      <c r="AD1413" s="20"/>
      <c r="AE1413" s="20"/>
    </row>
    <row r="1414">
      <c r="A1414" s="21">
        <v>36.0</v>
      </c>
      <c r="B1414" s="20" t="s">
        <v>3408</v>
      </c>
      <c r="C1414" s="20" t="s">
        <v>3805</v>
      </c>
      <c r="I1414" s="25" t="s">
        <v>3412</v>
      </c>
      <c r="J1414" s="25" t="s">
        <v>3409</v>
      </c>
      <c r="K1414" s="25" t="s">
        <v>57</v>
      </c>
      <c r="L1414" s="25" t="s">
        <v>3815</v>
      </c>
      <c r="M1414" s="20" t="s">
        <v>61</v>
      </c>
      <c r="N1414" s="20" t="s">
        <v>3413</v>
      </c>
      <c r="O1414" s="20" t="s">
        <v>56</v>
      </c>
      <c r="P1414" s="20"/>
      <c r="Q1414" s="26"/>
      <c r="R1414" s="26"/>
      <c r="S1414" s="26"/>
      <c r="T1414" s="20"/>
      <c r="U1414" s="26"/>
      <c r="V1414" s="26"/>
      <c r="W1414" s="20"/>
      <c r="X1414" s="20"/>
      <c r="Y1414" s="20"/>
      <c r="Z1414" s="20"/>
      <c r="AA1414" s="20"/>
      <c r="AB1414" s="20"/>
      <c r="AC1414" s="20"/>
      <c r="AD1414" s="20"/>
      <c r="AE1414" s="20"/>
    </row>
    <row r="1415">
      <c r="A1415" s="21">
        <v>36.0</v>
      </c>
      <c r="B1415" s="20" t="s">
        <v>3408</v>
      </c>
      <c r="C1415" s="20" t="s">
        <v>3805</v>
      </c>
      <c r="I1415" s="25" t="s">
        <v>1722</v>
      </c>
      <c r="J1415" s="25" t="s">
        <v>3409</v>
      </c>
      <c r="K1415" s="25" t="s">
        <v>67</v>
      </c>
      <c r="L1415" s="25" t="s">
        <v>1133</v>
      </c>
      <c r="M1415" s="20" t="s">
        <v>61</v>
      </c>
      <c r="N1415" s="20" t="s">
        <v>3416</v>
      </c>
      <c r="O1415" s="20" t="s">
        <v>56</v>
      </c>
      <c r="P1415" s="20" t="s">
        <v>52</v>
      </c>
      <c r="Q1415" s="26"/>
      <c r="R1415" s="26"/>
      <c r="S1415" s="26"/>
      <c r="T1415" s="22"/>
      <c r="U1415" s="26"/>
      <c r="V1415" s="26"/>
      <c r="W1415" s="20"/>
      <c r="X1415" s="20"/>
      <c r="Y1415" s="20"/>
      <c r="Z1415" s="20"/>
      <c r="AA1415" s="20"/>
      <c r="AB1415" s="20"/>
      <c r="AC1415" s="20"/>
      <c r="AD1415" s="20"/>
      <c r="AE1415" s="20"/>
    </row>
    <row r="1416">
      <c r="A1416" s="21">
        <v>36.0</v>
      </c>
      <c r="B1416" s="20" t="s">
        <v>3408</v>
      </c>
      <c r="C1416" s="20" t="s">
        <v>3805</v>
      </c>
      <c r="I1416" s="25" t="s">
        <v>2680</v>
      </c>
      <c r="J1416" s="25" t="s">
        <v>3409</v>
      </c>
      <c r="K1416" s="25" t="s">
        <v>67</v>
      </c>
      <c r="L1416" s="25" t="s">
        <v>3817</v>
      </c>
      <c r="M1416" s="20" t="s">
        <v>3417</v>
      </c>
      <c r="N1416" s="20" t="s">
        <v>3418</v>
      </c>
      <c r="O1416" s="20" t="s">
        <v>56</v>
      </c>
      <c r="P1416" s="20"/>
      <c r="Q1416" s="26"/>
      <c r="R1416" s="26"/>
      <c r="S1416" s="26"/>
      <c r="T1416" s="20"/>
      <c r="U1416" s="26"/>
      <c r="V1416" s="26"/>
      <c r="W1416" s="20"/>
      <c r="X1416" s="20"/>
      <c r="Y1416" s="20"/>
      <c r="Z1416" s="20"/>
      <c r="AA1416" s="20"/>
      <c r="AB1416" s="20"/>
      <c r="AC1416" s="20"/>
      <c r="AD1416" s="20"/>
      <c r="AE1416" s="20"/>
    </row>
    <row r="1417">
      <c r="A1417" s="21">
        <v>36.0</v>
      </c>
      <c r="B1417" s="20" t="s">
        <v>3408</v>
      </c>
      <c r="C1417" s="20" t="s">
        <v>3805</v>
      </c>
      <c r="I1417" s="25" t="s">
        <v>3420</v>
      </c>
      <c r="J1417" s="25" t="s">
        <v>3409</v>
      </c>
      <c r="K1417" s="25" t="s">
        <v>67</v>
      </c>
      <c r="L1417" s="25" t="s">
        <v>1025</v>
      </c>
      <c r="M1417" s="20" t="s">
        <v>3421</v>
      </c>
      <c r="N1417" s="20" t="s">
        <v>3422</v>
      </c>
      <c r="O1417" s="20" t="s">
        <v>56</v>
      </c>
      <c r="P1417" s="20" t="s">
        <v>52</v>
      </c>
      <c r="Q1417" s="26"/>
      <c r="R1417" s="26"/>
      <c r="S1417" s="26"/>
      <c r="T1417" s="22"/>
      <c r="U1417" s="26"/>
      <c r="V1417" s="26"/>
      <c r="W1417" s="20"/>
      <c r="X1417" s="20"/>
      <c r="Y1417" s="20"/>
      <c r="Z1417" s="20"/>
      <c r="AA1417" s="20"/>
      <c r="AB1417" s="20"/>
      <c r="AC1417" s="20"/>
      <c r="AD1417" s="20"/>
      <c r="AE1417" s="20"/>
    </row>
    <row r="1418">
      <c r="A1418" s="21">
        <v>36.0</v>
      </c>
      <c r="B1418" s="20" t="s">
        <v>3408</v>
      </c>
      <c r="C1418" s="20" t="s">
        <v>3805</v>
      </c>
      <c r="I1418" s="25" t="s">
        <v>3423</v>
      </c>
      <c r="J1418" s="25" t="s">
        <v>3409</v>
      </c>
      <c r="K1418" s="25" t="s">
        <v>67</v>
      </c>
      <c r="L1418" s="25" t="s">
        <v>1025</v>
      </c>
      <c r="M1418" s="20" t="s">
        <v>3424</v>
      </c>
      <c r="N1418" s="20" t="s">
        <v>3425</v>
      </c>
      <c r="O1418" s="20" t="s">
        <v>56</v>
      </c>
      <c r="P1418" s="20" t="s">
        <v>52</v>
      </c>
      <c r="Q1418" s="26"/>
      <c r="R1418" s="26"/>
      <c r="S1418" s="26"/>
      <c r="T1418" s="22"/>
      <c r="U1418" s="26"/>
      <c r="V1418" s="26"/>
      <c r="W1418" s="20"/>
      <c r="X1418" s="20"/>
      <c r="Y1418" s="20"/>
      <c r="Z1418" s="20"/>
      <c r="AA1418" s="20"/>
      <c r="AB1418" s="20"/>
      <c r="AC1418" s="20"/>
      <c r="AD1418" s="20"/>
      <c r="AE1418" s="20"/>
    </row>
    <row r="1419">
      <c r="A1419" s="21">
        <v>36.0</v>
      </c>
      <c r="B1419" s="20" t="s">
        <v>3408</v>
      </c>
      <c r="C1419" s="20" t="s">
        <v>3805</v>
      </c>
      <c r="I1419" s="25" t="s">
        <v>2804</v>
      </c>
      <c r="J1419" s="25" t="s">
        <v>3409</v>
      </c>
      <c r="K1419" s="25" t="s">
        <v>67</v>
      </c>
      <c r="L1419" s="25" t="s">
        <v>1025</v>
      </c>
      <c r="M1419" s="20" t="s">
        <v>3426</v>
      </c>
      <c r="N1419" s="20" t="s">
        <v>3427</v>
      </c>
      <c r="O1419" s="20" t="s">
        <v>56</v>
      </c>
      <c r="P1419" s="20" t="s">
        <v>52</v>
      </c>
      <c r="Q1419" s="26"/>
      <c r="R1419" s="26"/>
      <c r="S1419" s="26"/>
      <c r="T1419" s="22"/>
      <c r="U1419" s="26"/>
      <c r="V1419" s="26"/>
      <c r="W1419" s="20"/>
      <c r="X1419" s="20"/>
      <c r="Y1419" s="20"/>
      <c r="Z1419" s="20"/>
      <c r="AA1419" s="20"/>
      <c r="AB1419" s="20"/>
      <c r="AC1419" s="20"/>
      <c r="AD1419" s="20"/>
      <c r="AE1419" s="20"/>
    </row>
    <row r="1420">
      <c r="A1420" s="21">
        <v>36.0</v>
      </c>
      <c r="B1420" s="20" t="s">
        <v>3408</v>
      </c>
      <c r="C1420" s="20" t="s">
        <v>3805</v>
      </c>
      <c r="I1420" s="25" t="s">
        <v>3464</v>
      </c>
      <c r="J1420" s="25" t="s">
        <v>3463</v>
      </c>
      <c r="K1420" s="25" t="s">
        <v>71</v>
      </c>
      <c r="L1420" s="25" t="s">
        <v>3823</v>
      </c>
      <c r="M1420" s="20" t="s">
        <v>3465</v>
      </c>
      <c r="N1420" s="20" t="s">
        <v>3466</v>
      </c>
      <c r="O1420" s="20" t="s">
        <v>63</v>
      </c>
      <c r="P1420" s="20"/>
      <c r="Q1420" s="26"/>
      <c r="R1420" s="26"/>
      <c r="S1420" s="26"/>
      <c r="T1420" s="20"/>
      <c r="U1420" s="26"/>
      <c r="V1420" s="26"/>
      <c r="W1420" s="20"/>
      <c r="X1420" s="20"/>
      <c r="Y1420" s="20"/>
      <c r="Z1420" s="20"/>
      <c r="AA1420" s="20"/>
      <c r="AB1420" s="20"/>
      <c r="AC1420" s="20"/>
      <c r="AD1420" s="20"/>
      <c r="AE1420" s="20"/>
    </row>
    <row r="1421">
      <c r="A1421" s="21">
        <v>36.0</v>
      </c>
      <c r="B1421" s="20" t="s">
        <v>3408</v>
      </c>
      <c r="C1421" s="20" t="s">
        <v>3805</v>
      </c>
      <c r="I1421" s="25" t="s">
        <v>3467</v>
      </c>
      <c r="J1421" s="25" t="s">
        <v>3463</v>
      </c>
      <c r="K1421" s="25" t="s">
        <v>71</v>
      </c>
      <c r="L1421" s="25" t="s">
        <v>3823</v>
      </c>
      <c r="M1421" s="20" t="s">
        <v>3468</v>
      </c>
      <c r="N1421" s="20" t="s">
        <v>3469</v>
      </c>
      <c r="O1421" s="20" t="s">
        <v>63</v>
      </c>
      <c r="P1421" s="20"/>
      <c r="Q1421" s="26"/>
      <c r="R1421" s="26"/>
      <c r="S1421" s="26"/>
      <c r="T1421" s="20"/>
      <c r="U1421" s="26"/>
      <c r="V1421" s="26"/>
      <c r="W1421" s="20"/>
      <c r="X1421" s="20"/>
      <c r="Y1421" s="20"/>
      <c r="Z1421" s="20"/>
      <c r="AA1421" s="20"/>
      <c r="AB1421" s="20"/>
      <c r="AC1421" s="20"/>
      <c r="AD1421" s="20"/>
      <c r="AE1421" s="20"/>
    </row>
    <row r="1422">
      <c r="A1422" s="21">
        <v>36.0</v>
      </c>
      <c r="B1422" s="20" t="s">
        <v>3408</v>
      </c>
      <c r="C1422" s="20" t="s">
        <v>3805</v>
      </c>
      <c r="I1422" s="25" t="s">
        <v>3453</v>
      </c>
      <c r="J1422" s="25" t="s">
        <v>3409</v>
      </c>
      <c r="K1422" s="25" t="s">
        <v>71</v>
      </c>
      <c r="L1422" s="25" t="s">
        <v>3823</v>
      </c>
      <c r="M1422" s="20" t="s">
        <v>3454</v>
      </c>
      <c r="N1422" s="20" t="s">
        <v>3455</v>
      </c>
      <c r="O1422" s="20" t="s">
        <v>56</v>
      </c>
      <c r="P1422" s="20"/>
      <c r="Q1422" s="26"/>
      <c r="R1422" s="26"/>
      <c r="S1422" s="26"/>
      <c r="T1422" s="20"/>
      <c r="U1422" s="26"/>
      <c r="V1422" s="26"/>
      <c r="W1422" s="20"/>
      <c r="X1422" s="20"/>
      <c r="Y1422" s="20"/>
      <c r="Z1422" s="20"/>
      <c r="AA1422" s="20"/>
      <c r="AB1422" s="20"/>
      <c r="AC1422" s="20"/>
      <c r="AD1422" s="20"/>
      <c r="AE1422" s="20"/>
    </row>
    <row r="1423">
      <c r="A1423" s="21">
        <v>36.0</v>
      </c>
      <c r="B1423" s="20" t="s">
        <v>3408</v>
      </c>
      <c r="C1423" s="20" t="s">
        <v>3805</v>
      </c>
      <c r="I1423" s="25" t="s">
        <v>3456</v>
      </c>
      <c r="J1423" s="25" t="s">
        <v>3409</v>
      </c>
      <c r="K1423" s="25" t="s">
        <v>71</v>
      </c>
      <c r="L1423" s="25" t="s">
        <v>3824</v>
      </c>
      <c r="M1423" s="20" t="s">
        <v>61</v>
      </c>
      <c r="N1423" s="20" t="s">
        <v>3457</v>
      </c>
      <c r="O1423" s="20" t="s">
        <v>56</v>
      </c>
      <c r="P1423" s="20"/>
      <c r="Q1423" s="26"/>
      <c r="R1423" s="26"/>
      <c r="S1423" s="26"/>
      <c r="T1423" s="20"/>
      <c r="U1423" s="26"/>
      <c r="V1423" s="26"/>
      <c r="W1423" s="20"/>
      <c r="X1423" s="20"/>
      <c r="Y1423" s="20"/>
      <c r="Z1423" s="20"/>
      <c r="AA1423" s="20"/>
      <c r="AB1423" s="20"/>
      <c r="AC1423" s="20"/>
      <c r="AD1423" s="20"/>
      <c r="AE1423" s="20"/>
    </row>
    <row r="1424">
      <c r="A1424" s="21">
        <v>36.0</v>
      </c>
      <c r="B1424" s="20" t="s">
        <v>3408</v>
      </c>
      <c r="C1424" s="20" t="s">
        <v>3805</v>
      </c>
      <c r="I1424" s="25" t="s">
        <v>1454</v>
      </c>
      <c r="J1424" s="25" t="s">
        <v>3409</v>
      </c>
      <c r="K1424" s="25" t="s">
        <v>67</v>
      </c>
      <c r="L1424" s="25" t="s">
        <v>1025</v>
      </c>
      <c r="M1424" s="20" t="s">
        <v>1455</v>
      </c>
      <c r="N1424" s="20" t="s">
        <v>3428</v>
      </c>
      <c r="O1424" s="20" t="s">
        <v>56</v>
      </c>
      <c r="P1424" s="20" t="s">
        <v>52</v>
      </c>
      <c r="Q1424" s="26"/>
      <c r="R1424" s="26"/>
      <c r="S1424" s="26"/>
      <c r="T1424" s="22"/>
      <c r="U1424" s="26"/>
      <c r="V1424" s="26"/>
      <c r="W1424" s="20"/>
      <c r="X1424" s="20"/>
      <c r="Y1424" s="20"/>
      <c r="Z1424" s="20"/>
      <c r="AA1424" s="20"/>
      <c r="AB1424" s="20"/>
      <c r="AC1424" s="20"/>
      <c r="AD1424" s="20"/>
      <c r="AE1424" s="20"/>
    </row>
    <row r="1425">
      <c r="A1425" s="21">
        <v>36.0</v>
      </c>
      <c r="B1425" s="20" t="s">
        <v>3408</v>
      </c>
      <c r="C1425" s="20" t="s">
        <v>3805</v>
      </c>
      <c r="I1425" s="25" t="s">
        <v>1335</v>
      </c>
      <c r="J1425" s="25" t="s">
        <v>3409</v>
      </c>
      <c r="K1425" s="25" t="s">
        <v>71</v>
      </c>
      <c r="L1425" s="25" t="s">
        <v>3825</v>
      </c>
      <c r="M1425" s="20" t="s">
        <v>3458</v>
      </c>
      <c r="N1425" s="20" t="s">
        <v>3459</v>
      </c>
      <c r="O1425" s="20" t="s">
        <v>56</v>
      </c>
      <c r="P1425" s="20"/>
      <c r="Q1425" s="26"/>
      <c r="R1425" s="26"/>
      <c r="S1425" s="26"/>
      <c r="T1425" s="20"/>
      <c r="U1425" s="26"/>
      <c r="V1425" s="26"/>
      <c r="W1425" s="20"/>
      <c r="X1425" s="20"/>
      <c r="Y1425" s="20"/>
      <c r="Z1425" s="20"/>
      <c r="AA1425" s="20"/>
      <c r="AB1425" s="20"/>
      <c r="AC1425" s="20"/>
      <c r="AD1425" s="20"/>
      <c r="AE1425" s="20"/>
    </row>
    <row r="1426">
      <c r="A1426" s="21">
        <v>36.0</v>
      </c>
      <c r="B1426" s="20" t="s">
        <v>3408</v>
      </c>
      <c r="C1426" s="20" t="s">
        <v>3805</v>
      </c>
      <c r="I1426" s="25" t="s">
        <v>1159</v>
      </c>
      <c r="J1426" s="25" t="s">
        <v>3463</v>
      </c>
      <c r="K1426" s="25" t="s">
        <v>71</v>
      </c>
      <c r="L1426" s="25" t="s">
        <v>3823</v>
      </c>
      <c r="M1426" s="20" t="s">
        <v>1160</v>
      </c>
      <c r="N1426" s="20" t="s">
        <v>3470</v>
      </c>
      <c r="O1426" s="20" t="s">
        <v>63</v>
      </c>
      <c r="P1426" s="20"/>
      <c r="Q1426" s="26"/>
      <c r="R1426" s="26"/>
      <c r="S1426" s="26"/>
      <c r="T1426" s="20"/>
      <c r="U1426" s="26"/>
      <c r="V1426" s="26"/>
      <c r="W1426" s="20"/>
      <c r="X1426" s="20"/>
      <c r="Y1426" s="20"/>
      <c r="Z1426" s="20"/>
      <c r="AA1426" s="20"/>
      <c r="AB1426" s="20"/>
      <c r="AC1426" s="20"/>
      <c r="AD1426" s="20"/>
      <c r="AE1426" s="20"/>
    </row>
    <row r="1427">
      <c r="A1427" s="21">
        <v>36.0</v>
      </c>
      <c r="B1427" s="20" t="s">
        <v>3408</v>
      </c>
      <c r="C1427" s="20" t="s">
        <v>3805</v>
      </c>
      <c r="I1427" s="25" t="s">
        <v>1384</v>
      </c>
      <c r="J1427" s="25" t="s">
        <v>3409</v>
      </c>
      <c r="K1427" s="25" t="s">
        <v>67</v>
      </c>
      <c r="L1427" s="25" t="s">
        <v>1025</v>
      </c>
      <c r="M1427" s="20" t="s">
        <v>3430</v>
      </c>
      <c r="N1427" s="20" t="s">
        <v>3431</v>
      </c>
      <c r="O1427" s="20" t="s">
        <v>56</v>
      </c>
      <c r="P1427" s="20" t="s">
        <v>52</v>
      </c>
      <c r="Q1427" s="26"/>
      <c r="R1427" s="26"/>
      <c r="S1427" s="26"/>
      <c r="T1427" s="22"/>
      <c r="U1427" s="26"/>
      <c r="V1427" s="26"/>
      <c r="W1427" s="20"/>
      <c r="X1427" s="20"/>
      <c r="Y1427" s="20"/>
      <c r="Z1427" s="20"/>
      <c r="AA1427" s="20"/>
      <c r="AB1427" s="20"/>
      <c r="AC1427" s="20"/>
      <c r="AD1427" s="20"/>
      <c r="AE1427" s="20"/>
    </row>
    <row r="1428">
      <c r="A1428" s="21">
        <v>36.0</v>
      </c>
      <c r="B1428" s="20" t="s">
        <v>3408</v>
      </c>
      <c r="C1428" s="20" t="s">
        <v>3805</v>
      </c>
      <c r="I1428" s="25" t="s">
        <v>3339</v>
      </c>
      <c r="J1428" s="25" t="s">
        <v>3409</v>
      </c>
      <c r="K1428" s="25" t="s">
        <v>67</v>
      </c>
      <c r="L1428" s="25" t="s">
        <v>1025</v>
      </c>
      <c r="M1428" s="20" t="s">
        <v>3432</v>
      </c>
      <c r="N1428" s="20" t="s">
        <v>3433</v>
      </c>
      <c r="O1428" s="20" t="s">
        <v>56</v>
      </c>
      <c r="P1428" s="20" t="s">
        <v>52</v>
      </c>
      <c r="Q1428" s="26"/>
      <c r="R1428" s="26"/>
      <c r="S1428" s="26"/>
      <c r="T1428" s="22"/>
      <c r="U1428" s="26"/>
      <c r="V1428" s="26"/>
      <c r="W1428" s="20"/>
      <c r="X1428" s="20"/>
      <c r="Y1428" s="20"/>
      <c r="Z1428" s="20"/>
      <c r="AA1428" s="20"/>
      <c r="AB1428" s="20"/>
      <c r="AC1428" s="20"/>
      <c r="AD1428" s="20"/>
      <c r="AE1428" s="20"/>
    </row>
    <row r="1429">
      <c r="A1429" s="21">
        <v>36.0</v>
      </c>
      <c r="B1429" s="20" t="s">
        <v>3408</v>
      </c>
      <c r="C1429" s="20" t="s">
        <v>3805</v>
      </c>
      <c r="I1429" s="25" t="s">
        <v>3471</v>
      </c>
      <c r="J1429" s="25" t="s">
        <v>3463</v>
      </c>
      <c r="K1429" s="25" t="s">
        <v>71</v>
      </c>
      <c r="L1429" s="25" t="s">
        <v>3823</v>
      </c>
      <c r="M1429" s="20" t="s">
        <v>3472</v>
      </c>
      <c r="N1429" s="20" t="s">
        <v>3473</v>
      </c>
      <c r="O1429" s="20" t="s">
        <v>63</v>
      </c>
      <c r="P1429" s="20"/>
      <c r="Q1429" s="26"/>
      <c r="R1429" s="26"/>
      <c r="S1429" s="26"/>
      <c r="T1429" s="20"/>
      <c r="U1429" s="26"/>
      <c r="V1429" s="26"/>
      <c r="W1429" s="20"/>
      <c r="X1429" s="20"/>
      <c r="Y1429" s="20"/>
      <c r="Z1429" s="20"/>
      <c r="AA1429" s="20"/>
      <c r="AB1429" s="20"/>
      <c r="AC1429" s="20"/>
      <c r="AD1429" s="20"/>
      <c r="AE1429" s="20"/>
    </row>
    <row r="1430">
      <c r="A1430" s="21">
        <v>36.0</v>
      </c>
      <c r="B1430" s="20" t="s">
        <v>3408</v>
      </c>
      <c r="C1430" s="20" t="s">
        <v>3805</v>
      </c>
      <c r="I1430" s="25" t="s">
        <v>3474</v>
      </c>
      <c r="J1430" s="25" t="s">
        <v>3463</v>
      </c>
      <c r="K1430" s="25" t="s">
        <v>71</v>
      </c>
      <c r="L1430" s="25" t="s">
        <v>3829</v>
      </c>
      <c r="M1430" s="20" t="s">
        <v>3475</v>
      </c>
      <c r="N1430" s="20" t="s">
        <v>3476</v>
      </c>
      <c r="O1430" s="20" t="s">
        <v>63</v>
      </c>
      <c r="P1430" s="20"/>
      <c r="Q1430" s="26"/>
      <c r="R1430" s="26"/>
      <c r="S1430" s="26"/>
      <c r="T1430" s="20"/>
      <c r="U1430" s="26"/>
      <c r="V1430" s="26"/>
      <c r="W1430" s="20"/>
      <c r="X1430" s="20"/>
      <c r="Y1430" s="20"/>
      <c r="Z1430" s="20"/>
      <c r="AA1430" s="20"/>
      <c r="AB1430" s="20"/>
      <c r="AC1430" s="20"/>
      <c r="AD1430" s="20"/>
      <c r="AE1430" s="20"/>
    </row>
    <row r="1431">
      <c r="A1431" s="21">
        <v>36.0</v>
      </c>
      <c r="B1431" s="20" t="s">
        <v>3408</v>
      </c>
      <c r="C1431" s="20" t="s">
        <v>3805</v>
      </c>
      <c r="I1431" s="25" t="s">
        <v>2095</v>
      </c>
      <c r="J1431" s="25" t="s">
        <v>3409</v>
      </c>
      <c r="K1431" s="25" t="s">
        <v>67</v>
      </c>
      <c r="L1431" s="25" t="s">
        <v>1025</v>
      </c>
      <c r="M1431" s="20" t="s">
        <v>3434</v>
      </c>
      <c r="N1431" s="20" t="s">
        <v>3435</v>
      </c>
      <c r="O1431" s="20" t="s">
        <v>56</v>
      </c>
      <c r="P1431" s="20" t="s">
        <v>52</v>
      </c>
      <c r="Q1431" s="26"/>
      <c r="R1431" s="26"/>
      <c r="S1431" s="26"/>
      <c r="T1431" s="22"/>
      <c r="U1431" s="26"/>
      <c r="V1431" s="26"/>
      <c r="W1431" s="20"/>
      <c r="X1431" s="20"/>
      <c r="Y1431" s="20"/>
      <c r="Z1431" s="20"/>
      <c r="AA1431" s="20"/>
      <c r="AB1431" s="20"/>
      <c r="AC1431" s="20"/>
      <c r="AD1431" s="20"/>
      <c r="AE1431" s="20"/>
    </row>
    <row r="1432">
      <c r="A1432" s="21">
        <v>36.0</v>
      </c>
      <c r="B1432" s="20" t="s">
        <v>3408</v>
      </c>
      <c r="C1432" s="20" t="s">
        <v>3805</v>
      </c>
      <c r="I1432" s="25" t="s">
        <v>1665</v>
      </c>
      <c r="J1432" s="25" t="s">
        <v>3409</v>
      </c>
      <c r="K1432" s="25" t="s">
        <v>71</v>
      </c>
      <c r="L1432" s="25" t="s">
        <v>3823</v>
      </c>
      <c r="M1432" s="20" t="s">
        <v>1666</v>
      </c>
      <c r="N1432" s="20" t="s">
        <v>3460</v>
      </c>
      <c r="O1432" s="20" t="s">
        <v>56</v>
      </c>
      <c r="P1432" s="20"/>
      <c r="Q1432" s="26"/>
      <c r="R1432" s="26"/>
      <c r="S1432" s="26"/>
      <c r="T1432" s="20"/>
      <c r="U1432" s="26"/>
      <c r="V1432" s="26"/>
      <c r="W1432" s="20"/>
      <c r="X1432" s="20"/>
      <c r="Y1432" s="20"/>
      <c r="Z1432" s="20"/>
      <c r="AA1432" s="20"/>
      <c r="AB1432" s="20"/>
      <c r="AC1432" s="20"/>
      <c r="AD1432" s="20"/>
      <c r="AE1432" s="20"/>
    </row>
    <row r="1433">
      <c r="A1433" s="21">
        <v>36.0</v>
      </c>
      <c r="B1433" s="20" t="s">
        <v>3408</v>
      </c>
      <c r="C1433" s="20" t="s">
        <v>3805</v>
      </c>
      <c r="I1433" s="25" t="s">
        <v>3477</v>
      </c>
      <c r="J1433" s="25" t="s">
        <v>3463</v>
      </c>
      <c r="K1433" s="25" t="s">
        <v>71</v>
      </c>
      <c r="L1433" s="25" t="s">
        <v>3834</v>
      </c>
      <c r="M1433" s="20" t="s">
        <v>61</v>
      </c>
      <c r="N1433" s="20" t="s">
        <v>3478</v>
      </c>
      <c r="O1433" s="20" t="s">
        <v>63</v>
      </c>
      <c r="P1433" s="20"/>
      <c r="Q1433" s="26"/>
      <c r="R1433" s="26"/>
      <c r="S1433" s="26"/>
      <c r="T1433" s="20"/>
      <c r="U1433" s="26"/>
      <c r="V1433" s="26"/>
      <c r="W1433" s="20"/>
      <c r="X1433" s="20"/>
      <c r="Y1433" s="20"/>
      <c r="Z1433" s="20"/>
      <c r="AA1433" s="20"/>
      <c r="AB1433" s="20"/>
      <c r="AC1433" s="20"/>
      <c r="AD1433" s="20"/>
      <c r="AE1433" s="20"/>
    </row>
    <row r="1434">
      <c r="A1434" s="21">
        <v>36.0</v>
      </c>
      <c r="B1434" s="20" t="s">
        <v>3408</v>
      </c>
      <c r="C1434" s="20" t="s">
        <v>3805</v>
      </c>
      <c r="I1434" s="25" t="s">
        <v>3436</v>
      </c>
      <c r="J1434" s="25" t="s">
        <v>3409</v>
      </c>
      <c r="K1434" s="25" t="s">
        <v>67</v>
      </c>
      <c r="L1434" s="25" t="s">
        <v>1025</v>
      </c>
      <c r="M1434" s="20" t="s">
        <v>3437</v>
      </c>
      <c r="N1434" s="20" t="s">
        <v>3438</v>
      </c>
      <c r="O1434" s="20" t="s">
        <v>56</v>
      </c>
      <c r="P1434" s="20" t="s">
        <v>52</v>
      </c>
      <c r="Q1434" s="26"/>
      <c r="R1434" s="26"/>
      <c r="S1434" s="26"/>
      <c r="T1434" s="22"/>
      <c r="U1434" s="26"/>
      <c r="V1434" s="26"/>
      <c r="W1434" s="20"/>
      <c r="X1434" s="20"/>
      <c r="Y1434" s="20"/>
      <c r="Z1434" s="20"/>
      <c r="AA1434" s="20"/>
      <c r="AB1434" s="20"/>
      <c r="AC1434" s="20"/>
      <c r="AD1434" s="20"/>
      <c r="AE1434" s="20"/>
    </row>
    <row r="1435">
      <c r="A1435" s="21">
        <v>36.0</v>
      </c>
      <c r="B1435" s="20" t="s">
        <v>3408</v>
      </c>
      <c r="C1435" s="20" t="s">
        <v>3805</v>
      </c>
      <c r="I1435" s="25" t="s">
        <v>3439</v>
      </c>
      <c r="J1435" s="25" t="s">
        <v>3409</v>
      </c>
      <c r="K1435" s="25" t="s">
        <v>67</v>
      </c>
      <c r="L1435" s="25" t="s">
        <v>1133</v>
      </c>
      <c r="M1435" s="20" t="s">
        <v>3440</v>
      </c>
      <c r="N1435" s="20" t="s">
        <v>3441</v>
      </c>
      <c r="O1435" s="20" t="s">
        <v>56</v>
      </c>
      <c r="P1435" s="20" t="s">
        <v>52</v>
      </c>
      <c r="Q1435" s="26"/>
      <c r="R1435" s="26"/>
      <c r="S1435" s="26"/>
      <c r="T1435" s="22"/>
      <c r="U1435" s="26"/>
      <c r="V1435" s="26"/>
      <c r="W1435" s="20"/>
      <c r="X1435" s="20"/>
      <c r="Y1435" s="20"/>
      <c r="Z1435" s="20"/>
      <c r="AA1435" s="20"/>
      <c r="AB1435" s="20"/>
      <c r="AC1435" s="20"/>
      <c r="AD1435" s="20"/>
      <c r="AE1435" s="20"/>
    </row>
    <row r="1436">
      <c r="A1436" s="21">
        <v>36.0</v>
      </c>
      <c r="B1436" s="20" t="s">
        <v>3408</v>
      </c>
      <c r="C1436" s="20" t="s">
        <v>3805</v>
      </c>
      <c r="I1436" s="25" t="s">
        <v>2851</v>
      </c>
      <c r="J1436" s="25" t="s">
        <v>3409</v>
      </c>
      <c r="K1436" s="25" t="s">
        <v>67</v>
      </c>
      <c r="L1436" s="25" t="s">
        <v>1025</v>
      </c>
      <c r="M1436" s="20" t="s">
        <v>3443</v>
      </c>
      <c r="N1436" s="20" t="s">
        <v>3444</v>
      </c>
      <c r="O1436" s="20" t="s">
        <v>56</v>
      </c>
      <c r="P1436" s="20" t="s">
        <v>52</v>
      </c>
      <c r="Q1436" s="26"/>
      <c r="R1436" s="26"/>
      <c r="S1436" s="26"/>
      <c r="T1436" s="22"/>
      <c r="U1436" s="26"/>
      <c r="V1436" s="26"/>
      <c r="W1436" s="20"/>
      <c r="X1436" s="20"/>
      <c r="Y1436" s="20"/>
      <c r="Z1436" s="20"/>
      <c r="AA1436" s="20"/>
      <c r="AB1436" s="20"/>
      <c r="AC1436" s="20"/>
      <c r="AD1436" s="20"/>
      <c r="AE1436" s="20"/>
    </row>
    <row r="1437">
      <c r="A1437" s="21">
        <v>36.0</v>
      </c>
      <c r="B1437" s="20" t="s">
        <v>3408</v>
      </c>
      <c r="C1437" s="20" t="s">
        <v>3805</v>
      </c>
      <c r="I1437" s="25" t="s">
        <v>1677</v>
      </c>
      <c r="J1437" s="25" t="s">
        <v>3409</v>
      </c>
      <c r="K1437" s="25" t="s">
        <v>67</v>
      </c>
      <c r="L1437" s="25" t="s">
        <v>1025</v>
      </c>
      <c r="M1437" s="20" t="s">
        <v>1678</v>
      </c>
      <c r="N1437" s="20" t="s">
        <v>3445</v>
      </c>
      <c r="O1437" s="20" t="s">
        <v>56</v>
      </c>
      <c r="P1437" s="20" t="s">
        <v>52</v>
      </c>
      <c r="Q1437" s="26"/>
      <c r="R1437" s="26"/>
      <c r="S1437" s="26"/>
      <c r="T1437" s="22"/>
      <c r="U1437" s="26"/>
      <c r="V1437" s="26"/>
      <c r="W1437" s="20"/>
      <c r="X1437" s="20"/>
      <c r="Y1437" s="20"/>
      <c r="Z1437" s="20"/>
      <c r="AA1437" s="20"/>
      <c r="AB1437" s="20"/>
      <c r="AC1437" s="20"/>
      <c r="AD1437" s="20"/>
      <c r="AE1437" s="20"/>
    </row>
    <row r="1438">
      <c r="A1438" s="21">
        <v>36.0</v>
      </c>
      <c r="B1438" s="20" t="s">
        <v>3408</v>
      </c>
      <c r="C1438" s="20" t="s">
        <v>3805</v>
      </c>
      <c r="I1438" s="25" t="s">
        <v>3446</v>
      </c>
      <c r="J1438" s="25" t="s">
        <v>3409</v>
      </c>
      <c r="K1438" s="25" t="s">
        <v>67</v>
      </c>
      <c r="L1438" s="25" t="s">
        <v>1025</v>
      </c>
      <c r="M1438" s="20" t="s">
        <v>3447</v>
      </c>
      <c r="N1438" s="20" t="s">
        <v>3448</v>
      </c>
      <c r="O1438" s="20" t="s">
        <v>56</v>
      </c>
      <c r="P1438" s="20" t="s">
        <v>52</v>
      </c>
      <c r="Q1438" s="26"/>
      <c r="R1438" s="26"/>
      <c r="S1438" s="26"/>
      <c r="T1438" s="22"/>
      <c r="U1438" s="26"/>
      <c r="V1438" s="26"/>
      <c r="W1438" s="20"/>
      <c r="X1438" s="20"/>
      <c r="Y1438" s="20"/>
      <c r="Z1438" s="20"/>
      <c r="AA1438" s="20"/>
      <c r="AB1438" s="20"/>
      <c r="AC1438" s="20"/>
      <c r="AD1438" s="20"/>
      <c r="AE1438" s="20"/>
    </row>
    <row r="1439">
      <c r="A1439" s="21">
        <v>36.0</v>
      </c>
      <c r="B1439" s="20" t="s">
        <v>3408</v>
      </c>
      <c r="C1439" s="20" t="s">
        <v>3805</v>
      </c>
      <c r="I1439" s="25" t="s">
        <v>1405</v>
      </c>
      <c r="J1439" s="25" t="s">
        <v>3409</v>
      </c>
      <c r="K1439" s="25" t="s">
        <v>67</v>
      </c>
      <c r="L1439" s="25" t="s">
        <v>1025</v>
      </c>
      <c r="M1439" s="20" t="s">
        <v>1406</v>
      </c>
      <c r="N1439" s="20" t="s">
        <v>3449</v>
      </c>
      <c r="O1439" s="20" t="s">
        <v>56</v>
      </c>
      <c r="P1439" s="20" t="s">
        <v>52</v>
      </c>
      <c r="Q1439" s="26"/>
      <c r="R1439" s="26"/>
      <c r="S1439" s="26"/>
      <c r="T1439" s="22"/>
      <c r="U1439" s="26"/>
      <c r="V1439" s="26"/>
      <c r="W1439" s="20"/>
      <c r="X1439" s="20"/>
      <c r="Y1439" s="20"/>
      <c r="Z1439" s="20"/>
      <c r="AA1439" s="20"/>
      <c r="AB1439" s="20"/>
      <c r="AC1439" s="20"/>
      <c r="AD1439" s="20"/>
      <c r="AE1439" s="20"/>
    </row>
    <row r="1440">
      <c r="A1440" s="21">
        <v>36.0</v>
      </c>
      <c r="B1440" s="20" t="s">
        <v>3408</v>
      </c>
      <c r="C1440" s="20" t="s">
        <v>3805</v>
      </c>
      <c r="I1440" s="25" t="s">
        <v>3461</v>
      </c>
      <c r="J1440" s="25" t="s">
        <v>3409</v>
      </c>
      <c r="K1440" s="25" t="s">
        <v>71</v>
      </c>
      <c r="L1440" s="25" t="s">
        <v>3824</v>
      </c>
      <c r="M1440" s="20" t="s">
        <v>61</v>
      </c>
      <c r="N1440" s="20" t="s">
        <v>3462</v>
      </c>
      <c r="O1440" s="20" t="s">
        <v>56</v>
      </c>
      <c r="P1440" s="20"/>
      <c r="Q1440" s="26"/>
      <c r="R1440" s="26"/>
      <c r="S1440" s="26"/>
      <c r="T1440" s="20"/>
      <c r="U1440" s="26"/>
      <c r="V1440" s="26"/>
      <c r="W1440" s="20"/>
      <c r="X1440" s="20"/>
      <c r="Y1440" s="20"/>
      <c r="Z1440" s="20"/>
      <c r="AA1440" s="20"/>
      <c r="AB1440" s="20"/>
      <c r="AC1440" s="20"/>
      <c r="AD1440" s="20"/>
      <c r="AE1440" s="20"/>
    </row>
    <row r="1441">
      <c r="A1441" s="21">
        <v>36.0</v>
      </c>
      <c r="B1441" s="20" t="s">
        <v>3408</v>
      </c>
      <c r="C1441" s="20" t="s">
        <v>3805</v>
      </c>
      <c r="I1441" s="25" t="s">
        <v>3450</v>
      </c>
      <c r="J1441" s="25" t="s">
        <v>3409</v>
      </c>
      <c r="K1441" s="25" t="s">
        <v>67</v>
      </c>
      <c r="L1441" s="25" t="s">
        <v>1025</v>
      </c>
      <c r="M1441" s="20" t="s">
        <v>3451</v>
      </c>
      <c r="N1441" s="20" t="s">
        <v>3452</v>
      </c>
      <c r="O1441" s="20" t="s">
        <v>56</v>
      </c>
      <c r="P1441" s="20" t="s">
        <v>52</v>
      </c>
      <c r="Q1441" s="26"/>
      <c r="R1441" s="26"/>
      <c r="S1441" s="26"/>
      <c r="T1441" s="22"/>
      <c r="U1441" s="26"/>
      <c r="V1441" s="26"/>
      <c r="W1441" s="20"/>
      <c r="X1441" s="20"/>
      <c r="Y1441" s="20"/>
      <c r="Z1441" s="20"/>
      <c r="AA1441" s="20"/>
      <c r="AB1441" s="20"/>
      <c r="AC1441" s="20"/>
      <c r="AD1441" s="20"/>
      <c r="AE1441" s="20"/>
    </row>
    <row r="1442">
      <c r="A1442" s="21">
        <v>37.0</v>
      </c>
      <c r="B1442" s="20" t="s">
        <v>1722</v>
      </c>
      <c r="C1442" s="20" t="s">
        <v>3805</v>
      </c>
      <c r="D1442" s="35">
        <v>30.0</v>
      </c>
      <c r="E1442" s="35">
        <v>1.0</v>
      </c>
      <c r="F1442" s="35">
        <v>4.0</v>
      </c>
      <c r="G1442" s="35">
        <v>25.0</v>
      </c>
      <c r="H1442" s="36" t="s">
        <v>3866</v>
      </c>
      <c r="I1442" s="25" t="s">
        <v>3414</v>
      </c>
      <c r="J1442" s="25" t="s">
        <v>3479</v>
      </c>
      <c r="K1442" s="25" t="s">
        <v>57</v>
      </c>
      <c r="L1442" s="25" t="s">
        <v>3868</v>
      </c>
      <c r="M1442" s="20" t="s">
        <v>3480</v>
      </c>
      <c r="N1442" s="20" t="s">
        <v>3481</v>
      </c>
      <c r="O1442" s="20" t="s">
        <v>56</v>
      </c>
      <c r="P1442" s="20"/>
      <c r="Q1442" s="26"/>
      <c r="R1442" s="26"/>
      <c r="S1442" s="26"/>
      <c r="T1442" s="20"/>
      <c r="U1442" s="26"/>
      <c r="V1442" s="26"/>
      <c r="W1442" s="20"/>
      <c r="X1442" s="20"/>
      <c r="Y1442" s="20"/>
      <c r="Z1442" s="20"/>
      <c r="AA1442" s="20"/>
      <c r="AB1442" s="20"/>
      <c r="AC1442" s="20"/>
      <c r="AD1442" s="20"/>
      <c r="AE1442" s="20"/>
    </row>
    <row r="1443">
      <c r="A1443" s="21">
        <v>37.0</v>
      </c>
      <c r="B1443" s="20" t="s">
        <v>1722</v>
      </c>
      <c r="C1443" s="20" t="s">
        <v>3805</v>
      </c>
      <c r="I1443" s="25" t="s">
        <v>3461</v>
      </c>
      <c r="J1443" s="25" t="s">
        <v>3482</v>
      </c>
      <c r="K1443" s="25" t="s">
        <v>67</v>
      </c>
      <c r="L1443" s="25" t="s">
        <v>3873</v>
      </c>
      <c r="M1443" s="20" t="s">
        <v>3483</v>
      </c>
      <c r="N1443" s="20" t="s">
        <v>3484</v>
      </c>
      <c r="O1443" s="20" t="s">
        <v>56</v>
      </c>
      <c r="P1443" s="20"/>
      <c r="Q1443" s="26"/>
      <c r="R1443" s="26"/>
      <c r="S1443" s="26"/>
      <c r="T1443" s="20"/>
      <c r="U1443" s="26"/>
      <c r="V1443" s="26"/>
      <c r="W1443" s="20"/>
      <c r="X1443" s="20"/>
      <c r="Y1443" s="20"/>
      <c r="Z1443" s="20"/>
      <c r="AA1443" s="20"/>
      <c r="AB1443" s="20"/>
      <c r="AC1443" s="20"/>
      <c r="AD1443" s="20"/>
      <c r="AE1443" s="20"/>
    </row>
    <row r="1444">
      <c r="A1444" s="21">
        <v>37.0</v>
      </c>
      <c r="B1444" s="20" t="s">
        <v>1722</v>
      </c>
      <c r="C1444" s="20" t="s">
        <v>3805</v>
      </c>
      <c r="I1444" s="25" t="s">
        <v>3485</v>
      </c>
      <c r="J1444" s="25" t="s">
        <v>3482</v>
      </c>
      <c r="K1444" s="25" t="s">
        <v>67</v>
      </c>
      <c r="L1444" s="25" t="s">
        <v>3876</v>
      </c>
      <c r="M1444" s="20" t="s">
        <v>3486</v>
      </c>
      <c r="N1444" s="20" t="s">
        <v>3487</v>
      </c>
      <c r="O1444" s="20" t="s">
        <v>63</v>
      </c>
      <c r="P1444" s="20"/>
      <c r="Q1444" s="26"/>
      <c r="R1444" s="26"/>
      <c r="S1444" s="26"/>
      <c r="T1444" s="20"/>
      <c r="U1444" s="26"/>
      <c r="V1444" s="26"/>
      <c r="W1444" s="20"/>
      <c r="X1444" s="20"/>
      <c r="Y1444" s="20"/>
      <c r="Z1444" s="20"/>
      <c r="AA1444" s="20"/>
      <c r="AB1444" s="20"/>
      <c r="AC1444" s="20"/>
      <c r="AD1444" s="20"/>
      <c r="AE1444" s="20"/>
    </row>
    <row r="1445">
      <c r="A1445" s="21">
        <v>37.0</v>
      </c>
      <c r="B1445" s="20" t="s">
        <v>1722</v>
      </c>
      <c r="C1445" s="20" t="s">
        <v>3805</v>
      </c>
      <c r="I1445" s="25" t="s">
        <v>1460</v>
      </c>
      <c r="J1445" s="25" t="s">
        <v>3482</v>
      </c>
      <c r="K1445" s="25" t="s">
        <v>67</v>
      </c>
      <c r="L1445" s="25" t="s">
        <v>3879</v>
      </c>
      <c r="M1445" s="20" t="s">
        <v>3488</v>
      </c>
      <c r="N1445" s="20" t="s">
        <v>3489</v>
      </c>
      <c r="O1445" s="20" t="s">
        <v>63</v>
      </c>
      <c r="P1445" s="20"/>
      <c r="Q1445" s="26"/>
      <c r="R1445" s="26"/>
      <c r="S1445" s="26"/>
      <c r="T1445" s="20"/>
      <c r="U1445" s="26"/>
      <c r="V1445" s="26"/>
      <c r="W1445" s="20"/>
      <c r="X1445" s="20"/>
      <c r="Y1445" s="20"/>
      <c r="Z1445" s="20"/>
      <c r="AA1445" s="20"/>
      <c r="AB1445" s="20"/>
      <c r="AC1445" s="20"/>
      <c r="AD1445" s="20"/>
      <c r="AE1445" s="20"/>
    </row>
    <row r="1446">
      <c r="A1446" s="21">
        <v>37.0</v>
      </c>
      <c r="B1446" s="20" t="s">
        <v>1722</v>
      </c>
      <c r="C1446" s="20" t="s">
        <v>3805</v>
      </c>
      <c r="I1446" s="25" t="s">
        <v>3456</v>
      </c>
      <c r="J1446" s="25" t="s">
        <v>3479</v>
      </c>
      <c r="K1446" s="25" t="s">
        <v>67</v>
      </c>
      <c r="L1446" s="25" t="s">
        <v>3882</v>
      </c>
      <c r="M1446" s="20" t="s">
        <v>61</v>
      </c>
      <c r="N1446" s="20" t="s">
        <v>3490</v>
      </c>
      <c r="O1446" s="20" t="s">
        <v>63</v>
      </c>
      <c r="P1446" s="20"/>
      <c r="Q1446" s="26"/>
      <c r="R1446" s="26"/>
      <c r="S1446" s="26"/>
      <c r="T1446" s="20"/>
      <c r="U1446" s="26"/>
      <c r="V1446" s="26"/>
      <c r="W1446" s="20"/>
      <c r="X1446" s="20"/>
      <c r="Y1446" s="20"/>
      <c r="Z1446" s="20"/>
      <c r="AA1446" s="20"/>
      <c r="AB1446" s="20"/>
      <c r="AC1446" s="20"/>
      <c r="AD1446" s="20"/>
      <c r="AE1446" s="20"/>
    </row>
    <row r="1447">
      <c r="A1447" s="21">
        <v>37.0</v>
      </c>
      <c r="B1447" s="20" t="s">
        <v>1722</v>
      </c>
      <c r="C1447" s="20" t="s">
        <v>3805</v>
      </c>
      <c r="I1447" s="25" t="s">
        <v>3408</v>
      </c>
      <c r="J1447" s="25" t="s">
        <v>3513</v>
      </c>
      <c r="K1447" s="25" t="s">
        <v>71</v>
      </c>
      <c r="L1447" s="25" t="s">
        <v>3824</v>
      </c>
      <c r="M1447" s="20" t="s">
        <v>3514</v>
      </c>
      <c r="N1447" s="20" t="s">
        <v>3515</v>
      </c>
      <c r="O1447" s="20" t="s">
        <v>63</v>
      </c>
      <c r="P1447" s="20"/>
      <c r="Q1447" s="26"/>
      <c r="R1447" s="26"/>
      <c r="S1447" s="26"/>
      <c r="T1447" s="20"/>
      <c r="U1447" s="26"/>
      <c r="V1447" s="26"/>
      <c r="W1447" s="20"/>
      <c r="X1447" s="20"/>
      <c r="Y1447" s="20"/>
      <c r="Z1447" s="20"/>
      <c r="AA1447" s="20"/>
      <c r="AB1447" s="20"/>
      <c r="AC1447" s="20"/>
      <c r="AD1447" s="20"/>
      <c r="AE1447" s="20"/>
    </row>
    <row r="1448">
      <c r="A1448" s="21">
        <v>37.0</v>
      </c>
      <c r="B1448" s="20" t="s">
        <v>1722</v>
      </c>
      <c r="C1448" s="20" t="s">
        <v>3805</v>
      </c>
      <c r="I1448" s="25" t="s">
        <v>1714</v>
      </c>
      <c r="J1448" s="25" t="s">
        <v>3513</v>
      </c>
      <c r="K1448" s="25" t="s">
        <v>71</v>
      </c>
      <c r="L1448" s="25" t="s">
        <v>3888</v>
      </c>
      <c r="M1448" s="20" t="s">
        <v>61</v>
      </c>
      <c r="N1448" s="20" t="s">
        <v>1715</v>
      </c>
      <c r="O1448" s="20" t="s">
        <v>63</v>
      </c>
      <c r="P1448" s="20"/>
      <c r="Q1448" s="26"/>
      <c r="R1448" s="26"/>
      <c r="S1448" s="26"/>
      <c r="T1448" s="20"/>
      <c r="U1448" s="26"/>
      <c r="V1448" s="26"/>
      <c r="W1448" s="20"/>
      <c r="X1448" s="20"/>
      <c r="Y1448" s="20"/>
      <c r="Z1448" s="20"/>
      <c r="AA1448" s="20"/>
      <c r="AB1448" s="20"/>
      <c r="AC1448" s="20"/>
      <c r="AD1448" s="20"/>
      <c r="AE1448" s="20"/>
    </row>
    <row r="1449">
      <c r="A1449" s="21">
        <v>37.0</v>
      </c>
      <c r="B1449" s="20" t="s">
        <v>1722</v>
      </c>
      <c r="C1449" s="20" t="s">
        <v>3805</v>
      </c>
      <c r="I1449" s="25" t="s">
        <v>3412</v>
      </c>
      <c r="J1449" s="25" t="s">
        <v>3479</v>
      </c>
      <c r="K1449" s="25" t="s">
        <v>71</v>
      </c>
      <c r="L1449" s="25" t="s">
        <v>3824</v>
      </c>
      <c r="M1449" s="20" t="s">
        <v>3491</v>
      </c>
      <c r="N1449" s="20" t="s">
        <v>3492</v>
      </c>
      <c r="O1449" s="20" t="s">
        <v>56</v>
      </c>
      <c r="P1449" s="20"/>
      <c r="Q1449" s="26"/>
      <c r="R1449" s="26"/>
      <c r="S1449" s="26"/>
      <c r="T1449" s="20"/>
      <c r="U1449" s="26"/>
      <c r="V1449" s="26"/>
      <c r="W1449" s="20"/>
      <c r="X1449" s="20"/>
      <c r="Y1449" s="20"/>
      <c r="Z1449" s="20"/>
      <c r="AA1449" s="20"/>
      <c r="AB1449" s="20"/>
      <c r="AC1449" s="20"/>
      <c r="AD1449" s="20"/>
      <c r="AE1449" s="20"/>
    </row>
    <row r="1450">
      <c r="A1450" s="21">
        <v>37.0</v>
      </c>
      <c r="B1450" s="20" t="s">
        <v>1722</v>
      </c>
      <c r="C1450" s="20" t="s">
        <v>3805</v>
      </c>
      <c r="I1450" s="25" t="s">
        <v>3477</v>
      </c>
      <c r="J1450" s="25" t="s">
        <v>3482</v>
      </c>
      <c r="K1450" s="25" t="s">
        <v>71</v>
      </c>
      <c r="L1450" s="25" t="s">
        <v>3888</v>
      </c>
      <c r="M1450" s="20" t="s">
        <v>61</v>
      </c>
      <c r="N1450" s="20" t="s">
        <v>3478</v>
      </c>
      <c r="O1450" s="20" t="s">
        <v>63</v>
      </c>
      <c r="P1450" s="20"/>
      <c r="Q1450" s="26"/>
      <c r="R1450" s="26"/>
      <c r="S1450" s="26"/>
      <c r="T1450" s="20"/>
      <c r="U1450" s="26"/>
      <c r="V1450" s="26"/>
      <c r="W1450" s="20"/>
      <c r="X1450" s="20"/>
      <c r="Y1450" s="20"/>
      <c r="Z1450" s="20"/>
      <c r="AA1450" s="20"/>
      <c r="AB1450" s="20"/>
      <c r="AC1450" s="20"/>
      <c r="AD1450" s="20"/>
      <c r="AE1450" s="20"/>
    </row>
    <row r="1451">
      <c r="A1451" s="21">
        <v>37.0</v>
      </c>
      <c r="B1451" s="20" t="s">
        <v>1722</v>
      </c>
      <c r="C1451" s="20" t="s">
        <v>3805</v>
      </c>
      <c r="I1451" s="25" t="s">
        <v>1716</v>
      </c>
      <c r="J1451" s="25" t="s">
        <v>3513</v>
      </c>
      <c r="K1451" s="25" t="s">
        <v>71</v>
      </c>
      <c r="L1451" s="25" t="s">
        <v>3888</v>
      </c>
      <c r="M1451" s="20" t="s">
        <v>61</v>
      </c>
      <c r="N1451" s="20" t="s">
        <v>3516</v>
      </c>
      <c r="O1451" s="20" t="s">
        <v>63</v>
      </c>
      <c r="P1451" s="20"/>
      <c r="Q1451" s="26"/>
      <c r="R1451" s="26"/>
      <c r="S1451" s="26"/>
      <c r="T1451" s="20"/>
      <c r="U1451" s="26"/>
      <c r="V1451" s="26"/>
      <c r="W1451" s="20"/>
      <c r="X1451" s="20"/>
      <c r="Y1451" s="20"/>
      <c r="Z1451" s="20"/>
      <c r="AA1451" s="20"/>
      <c r="AB1451" s="20"/>
      <c r="AC1451" s="20"/>
      <c r="AD1451" s="20"/>
      <c r="AE1451" s="20"/>
    </row>
    <row r="1452">
      <c r="A1452" s="21">
        <v>37.0</v>
      </c>
      <c r="B1452" s="20" t="s">
        <v>1722</v>
      </c>
      <c r="C1452" s="20" t="s">
        <v>3805</v>
      </c>
      <c r="I1452" s="25" t="s">
        <v>3517</v>
      </c>
      <c r="J1452" s="25" t="s">
        <v>3513</v>
      </c>
      <c r="K1452" s="25" t="s">
        <v>71</v>
      </c>
      <c r="L1452" s="25" t="s">
        <v>3888</v>
      </c>
      <c r="M1452" s="20" t="s">
        <v>3518</v>
      </c>
      <c r="N1452" s="20" t="s">
        <v>3519</v>
      </c>
      <c r="O1452" s="20" t="s">
        <v>63</v>
      </c>
      <c r="P1452" s="20"/>
      <c r="Q1452" s="26"/>
      <c r="R1452" s="26"/>
      <c r="S1452" s="26"/>
      <c r="T1452" s="20"/>
      <c r="U1452" s="26"/>
      <c r="V1452" s="26"/>
      <c r="W1452" s="20"/>
      <c r="X1452" s="20"/>
      <c r="Y1452" s="20"/>
      <c r="Z1452" s="20"/>
      <c r="AA1452" s="20"/>
      <c r="AB1452" s="20"/>
      <c r="AC1452" s="20"/>
      <c r="AD1452" s="20"/>
      <c r="AE1452" s="20"/>
    </row>
    <row r="1453">
      <c r="A1453" s="21">
        <v>37.0</v>
      </c>
      <c r="B1453" s="20" t="s">
        <v>1722</v>
      </c>
      <c r="C1453" s="20" t="s">
        <v>3805</v>
      </c>
      <c r="I1453" s="25" t="s">
        <v>2680</v>
      </c>
      <c r="J1453" s="25" t="s">
        <v>3479</v>
      </c>
      <c r="K1453" s="25" t="s">
        <v>71</v>
      </c>
      <c r="L1453" s="25" t="s">
        <v>226</v>
      </c>
      <c r="M1453" s="20" t="s">
        <v>3417</v>
      </c>
      <c r="N1453" s="20" t="s">
        <v>3547</v>
      </c>
      <c r="O1453" s="20" t="s">
        <v>63</v>
      </c>
      <c r="P1453" s="20" t="s">
        <v>52</v>
      </c>
      <c r="Q1453" s="26"/>
      <c r="R1453" s="26"/>
      <c r="S1453" s="26"/>
      <c r="T1453" s="22"/>
      <c r="U1453" s="26"/>
      <c r="V1453" s="26"/>
      <c r="W1453" s="20"/>
      <c r="X1453" s="20"/>
      <c r="Y1453" s="20"/>
      <c r="Z1453" s="20"/>
      <c r="AA1453" s="20"/>
      <c r="AB1453" s="20"/>
      <c r="AC1453" s="20"/>
      <c r="AD1453" s="20"/>
      <c r="AE1453" s="20"/>
    </row>
    <row r="1454">
      <c r="A1454" s="21">
        <v>37.0</v>
      </c>
      <c r="B1454" s="20" t="s">
        <v>1722</v>
      </c>
      <c r="C1454" s="20" t="s">
        <v>3805</v>
      </c>
      <c r="I1454" s="25" t="s">
        <v>3520</v>
      </c>
      <c r="J1454" s="25" t="s">
        <v>3513</v>
      </c>
      <c r="K1454" s="25" t="s">
        <v>71</v>
      </c>
      <c r="L1454" s="25" t="s">
        <v>3824</v>
      </c>
      <c r="M1454" s="20" t="s">
        <v>3521</v>
      </c>
      <c r="N1454" s="20" t="s">
        <v>3522</v>
      </c>
      <c r="O1454" s="20" t="s">
        <v>63</v>
      </c>
      <c r="P1454" s="20"/>
      <c r="Q1454" s="26"/>
      <c r="R1454" s="26"/>
      <c r="S1454" s="26"/>
      <c r="T1454" s="20"/>
      <c r="U1454" s="26"/>
      <c r="V1454" s="26"/>
      <c r="W1454" s="20"/>
      <c r="X1454" s="20"/>
      <c r="Y1454" s="20"/>
      <c r="Z1454" s="20"/>
      <c r="AA1454" s="20"/>
      <c r="AB1454" s="20"/>
      <c r="AC1454" s="20"/>
      <c r="AD1454" s="20"/>
      <c r="AE1454" s="20"/>
    </row>
    <row r="1455">
      <c r="A1455" s="21">
        <v>37.0</v>
      </c>
      <c r="B1455" s="20" t="s">
        <v>1722</v>
      </c>
      <c r="C1455" s="20" t="s">
        <v>3805</v>
      </c>
      <c r="I1455" s="25" t="s">
        <v>3495</v>
      </c>
      <c r="J1455" s="25" t="s">
        <v>3482</v>
      </c>
      <c r="K1455" s="25" t="s">
        <v>71</v>
      </c>
      <c r="L1455" s="25" t="s">
        <v>226</v>
      </c>
      <c r="M1455" s="20" t="s">
        <v>3496</v>
      </c>
      <c r="N1455" s="20" t="s">
        <v>3497</v>
      </c>
      <c r="O1455" s="20" t="s">
        <v>63</v>
      </c>
      <c r="P1455" s="20" t="s">
        <v>52</v>
      </c>
      <c r="Q1455" s="26"/>
      <c r="R1455" s="26"/>
      <c r="S1455" s="26"/>
      <c r="T1455" s="22"/>
      <c r="U1455" s="26"/>
      <c r="V1455" s="26"/>
      <c r="W1455" s="20"/>
      <c r="X1455" s="20"/>
      <c r="Y1455" s="20"/>
      <c r="Z1455" s="20"/>
      <c r="AA1455" s="20"/>
      <c r="AB1455" s="20"/>
      <c r="AC1455" s="20"/>
      <c r="AD1455" s="20"/>
      <c r="AE1455" s="20"/>
    </row>
    <row r="1456">
      <c r="A1456" s="21">
        <v>37.0</v>
      </c>
      <c r="B1456" s="20" t="s">
        <v>1722</v>
      </c>
      <c r="C1456" s="20" t="s">
        <v>3805</v>
      </c>
      <c r="I1456" s="25" t="s">
        <v>3498</v>
      </c>
      <c r="J1456" s="25" t="s">
        <v>3482</v>
      </c>
      <c r="K1456" s="25" t="s">
        <v>71</v>
      </c>
      <c r="L1456" s="25" t="s">
        <v>3902</v>
      </c>
      <c r="M1456" s="20" t="s">
        <v>3499</v>
      </c>
      <c r="N1456" s="20" t="s">
        <v>3500</v>
      </c>
      <c r="O1456" s="20" t="s">
        <v>63</v>
      </c>
      <c r="P1456" s="20" t="s">
        <v>52</v>
      </c>
      <c r="Q1456" s="26"/>
      <c r="R1456" s="26"/>
      <c r="S1456" s="26"/>
      <c r="T1456" s="20"/>
      <c r="U1456" s="26"/>
      <c r="V1456" s="26"/>
      <c r="W1456" s="20"/>
      <c r="X1456" s="20"/>
      <c r="Y1456" s="20"/>
      <c r="Z1456" s="20"/>
      <c r="AA1456" s="20"/>
      <c r="AB1456" s="20"/>
      <c r="AC1456" s="20"/>
      <c r="AD1456" s="20"/>
      <c r="AE1456" s="20"/>
    </row>
    <row r="1457">
      <c r="A1457" s="21">
        <v>37.0</v>
      </c>
      <c r="B1457" s="20" t="s">
        <v>1722</v>
      </c>
      <c r="C1457" s="20" t="s">
        <v>3805</v>
      </c>
      <c r="I1457" s="25" t="s">
        <v>3033</v>
      </c>
      <c r="J1457" s="25" t="s">
        <v>3513</v>
      </c>
      <c r="K1457" s="25" t="s">
        <v>71</v>
      </c>
      <c r="L1457" s="25" t="s">
        <v>3903</v>
      </c>
      <c r="M1457" s="20" t="s">
        <v>3523</v>
      </c>
      <c r="N1457" s="20" t="s">
        <v>3524</v>
      </c>
      <c r="O1457" s="20" t="s">
        <v>63</v>
      </c>
      <c r="P1457" s="20" t="s">
        <v>52</v>
      </c>
      <c r="Q1457" s="26"/>
      <c r="R1457" s="26"/>
      <c r="S1457" s="26"/>
      <c r="T1457" s="20"/>
      <c r="U1457" s="26"/>
      <c r="V1457" s="26"/>
      <c r="W1457" s="20"/>
      <c r="X1457" s="20"/>
      <c r="Y1457" s="20"/>
      <c r="Z1457" s="20"/>
      <c r="AA1457" s="20"/>
      <c r="AB1457" s="20"/>
      <c r="AC1457" s="20"/>
      <c r="AD1457" s="20"/>
      <c r="AE1457" s="20"/>
    </row>
    <row r="1458">
      <c r="A1458" s="21">
        <v>37.0</v>
      </c>
      <c r="B1458" s="20" t="s">
        <v>1722</v>
      </c>
      <c r="C1458" s="20" t="s">
        <v>3805</v>
      </c>
      <c r="I1458" s="25" t="s">
        <v>3059</v>
      </c>
      <c r="J1458" s="25" t="s">
        <v>3513</v>
      </c>
      <c r="K1458" s="25" t="s">
        <v>71</v>
      </c>
      <c r="L1458" s="25" t="s">
        <v>3903</v>
      </c>
      <c r="M1458" s="20" t="s">
        <v>3061</v>
      </c>
      <c r="N1458" s="20" t="s">
        <v>3526</v>
      </c>
      <c r="O1458" s="20" t="s">
        <v>63</v>
      </c>
      <c r="P1458" s="20" t="s">
        <v>52</v>
      </c>
      <c r="Q1458" s="26"/>
      <c r="R1458" s="26"/>
      <c r="S1458" s="26"/>
      <c r="T1458" s="20"/>
      <c r="U1458" s="26"/>
      <c r="V1458" s="26"/>
      <c r="W1458" s="20"/>
      <c r="X1458" s="20"/>
      <c r="Y1458" s="20"/>
      <c r="Z1458" s="20"/>
      <c r="AA1458" s="20"/>
      <c r="AB1458" s="20"/>
      <c r="AC1458" s="20"/>
      <c r="AD1458" s="20"/>
      <c r="AE1458" s="20"/>
    </row>
    <row r="1459">
      <c r="A1459" s="21">
        <v>37.0</v>
      </c>
      <c r="B1459" s="20" t="s">
        <v>1722</v>
      </c>
      <c r="C1459" s="20" t="s">
        <v>3805</v>
      </c>
      <c r="I1459" s="25" t="s">
        <v>3502</v>
      </c>
      <c r="J1459" s="25" t="s">
        <v>3482</v>
      </c>
      <c r="K1459" s="25" t="s">
        <v>71</v>
      </c>
      <c r="L1459" s="25" t="s">
        <v>3905</v>
      </c>
      <c r="M1459" s="20" t="s">
        <v>3503</v>
      </c>
      <c r="N1459" s="20" t="s">
        <v>3504</v>
      </c>
      <c r="O1459" s="20" t="s">
        <v>63</v>
      </c>
      <c r="P1459" s="20" t="s">
        <v>52</v>
      </c>
      <c r="Q1459" s="26"/>
      <c r="R1459" s="26"/>
      <c r="S1459" s="26"/>
      <c r="T1459" s="20"/>
      <c r="U1459" s="26"/>
      <c r="V1459" s="26"/>
      <c r="W1459" s="20"/>
      <c r="X1459" s="20"/>
      <c r="Y1459" s="20"/>
      <c r="Z1459" s="20"/>
      <c r="AA1459" s="20"/>
      <c r="AB1459" s="20"/>
      <c r="AC1459" s="20"/>
      <c r="AD1459" s="20"/>
      <c r="AE1459" s="20"/>
    </row>
    <row r="1460">
      <c r="A1460" s="21">
        <v>37.0</v>
      </c>
      <c r="B1460" s="20" t="s">
        <v>1722</v>
      </c>
      <c r="C1460" s="20" t="s">
        <v>3805</v>
      </c>
      <c r="I1460" s="25" t="s">
        <v>3528</v>
      </c>
      <c r="J1460" s="25" t="s">
        <v>3513</v>
      </c>
      <c r="K1460" s="25" t="s">
        <v>71</v>
      </c>
      <c r="L1460" s="25" t="s">
        <v>3907</v>
      </c>
      <c r="M1460" s="20" t="s">
        <v>3529</v>
      </c>
      <c r="N1460" s="20" t="s">
        <v>3530</v>
      </c>
      <c r="O1460" s="20" t="s">
        <v>63</v>
      </c>
      <c r="P1460" s="20" t="s">
        <v>52</v>
      </c>
      <c r="Q1460" s="26"/>
      <c r="R1460" s="26"/>
      <c r="S1460" s="26"/>
      <c r="T1460" s="20"/>
      <c r="U1460" s="26"/>
      <c r="V1460" s="26"/>
      <c r="W1460" s="20"/>
      <c r="X1460" s="20"/>
      <c r="Y1460" s="20"/>
      <c r="Z1460" s="20"/>
      <c r="AA1460" s="20"/>
      <c r="AB1460" s="20"/>
      <c r="AC1460" s="20"/>
      <c r="AD1460" s="20"/>
      <c r="AE1460" s="20"/>
    </row>
    <row r="1461">
      <c r="A1461" s="21">
        <v>37.0</v>
      </c>
      <c r="B1461" s="20" t="s">
        <v>1722</v>
      </c>
      <c r="C1461" s="20" t="s">
        <v>3805</v>
      </c>
      <c r="I1461" s="25" t="s">
        <v>1255</v>
      </c>
      <c r="J1461" s="25" t="s">
        <v>3513</v>
      </c>
      <c r="K1461" s="25" t="s">
        <v>71</v>
      </c>
      <c r="L1461" s="25" t="s">
        <v>3907</v>
      </c>
      <c r="M1461" s="20" t="s">
        <v>3531</v>
      </c>
      <c r="N1461" s="20" t="s">
        <v>3532</v>
      </c>
      <c r="O1461" s="20" t="s">
        <v>63</v>
      </c>
      <c r="P1461" s="20" t="s">
        <v>52</v>
      </c>
      <c r="Q1461" s="26"/>
      <c r="R1461" s="26"/>
      <c r="S1461" s="26"/>
      <c r="T1461" s="20"/>
      <c r="U1461" s="26"/>
      <c r="V1461" s="26"/>
      <c r="W1461" s="20"/>
      <c r="X1461" s="20"/>
      <c r="Y1461" s="20"/>
      <c r="Z1461" s="20"/>
      <c r="AA1461" s="20"/>
      <c r="AB1461" s="20"/>
      <c r="AC1461" s="20"/>
      <c r="AD1461" s="20"/>
      <c r="AE1461" s="20"/>
    </row>
    <row r="1462">
      <c r="A1462" s="21">
        <v>37.0</v>
      </c>
      <c r="B1462" s="20" t="s">
        <v>1722</v>
      </c>
      <c r="C1462" s="20" t="s">
        <v>3805</v>
      </c>
      <c r="I1462" s="25" t="s">
        <v>3533</v>
      </c>
      <c r="J1462" s="25" t="s">
        <v>3513</v>
      </c>
      <c r="K1462" s="25" t="s">
        <v>71</v>
      </c>
      <c r="L1462" s="25" t="s">
        <v>3908</v>
      </c>
      <c r="M1462" s="20" t="s">
        <v>3534</v>
      </c>
      <c r="N1462" s="20" t="s">
        <v>3535</v>
      </c>
      <c r="O1462" s="20" t="s">
        <v>63</v>
      </c>
      <c r="P1462" s="20" t="s">
        <v>52</v>
      </c>
      <c r="Q1462" s="26"/>
      <c r="R1462" s="26"/>
      <c r="S1462" s="26"/>
      <c r="T1462" s="20"/>
      <c r="U1462" s="26"/>
      <c r="V1462" s="26"/>
      <c r="W1462" s="20"/>
      <c r="X1462" s="20"/>
      <c r="Y1462" s="20"/>
      <c r="Z1462" s="20"/>
      <c r="AA1462" s="20"/>
      <c r="AB1462" s="20"/>
      <c r="AC1462" s="20"/>
      <c r="AD1462" s="20"/>
      <c r="AE1462" s="20"/>
    </row>
    <row r="1463">
      <c r="A1463" s="21">
        <v>37.0</v>
      </c>
      <c r="B1463" s="20" t="s">
        <v>1722</v>
      </c>
      <c r="C1463" s="20" t="s">
        <v>3805</v>
      </c>
      <c r="I1463" s="25" t="s">
        <v>3450</v>
      </c>
      <c r="J1463" s="25" t="s">
        <v>3513</v>
      </c>
      <c r="K1463" s="25" t="s">
        <v>71</v>
      </c>
      <c r="L1463" s="25" t="s">
        <v>3909</v>
      </c>
      <c r="M1463" s="20" t="s">
        <v>3536</v>
      </c>
      <c r="N1463" s="20" t="s">
        <v>3537</v>
      </c>
      <c r="O1463" s="20" t="s">
        <v>63</v>
      </c>
      <c r="P1463" s="20" t="s">
        <v>52</v>
      </c>
      <c r="Q1463" s="26"/>
      <c r="R1463" s="26"/>
      <c r="S1463" s="26"/>
      <c r="T1463" s="20"/>
      <c r="U1463" s="26"/>
      <c r="V1463" s="26"/>
      <c r="W1463" s="20"/>
      <c r="X1463" s="20"/>
      <c r="Y1463" s="20"/>
      <c r="Z1463" s="20"/>
      <c r="AA1463" s="20"/>
      <c r="AB1463" s="20"/>
      <c r="AC1463" s="20"/>
      <c r="AD1463" s="20"/>
      <c r="AE1463" s="20"/>
    </row>
    <row r="1464">
      <c r="A1464" s="21">
        <v>37.0</v>
      </c>
      <c r="B1464" s="20" t="s">
        <v>1722</v>
      </c>
      <c r="C1464" s="20" t="s">
        <v>3805</v>
      </c>
      <c r="I1464" s="25" t="s">
        <v>3420</v>
      </c>
      <c r="J1464" s="25" t="s">
        <v>3479</v>
      </c>
      <c r="K1464" s="25" t="s">
        <v>71</v>
      </c>
      <c r="L1464" s="25" t="s">
        <v>292</v>
      </c>
      <c r="M1464" s="20" t="s">
        <v>3421</v>
      </c>
      <c r="N1464" s="20" t="s">
        <v>3548</v>
      </c>
      <c r="O1464" s="20" t="s">
        <v>63</v>
      </c>
      <c r="P1464" s="20" t="s">
        <v>52</v>
      </c>
      <c r="Q1464" s="26"/>
      <c r="R1464" s="26"/>
      <c r="S1464" s="26"/>
      <c r="T1464" s="22"/>
      <c r="U1464" s="26"/>
      <c r="V1464" s="26"/>
      <c r="W1464" s="20"/>
      <c r="X1464" s="20"/>
      <c r="Y1464" s="20"/>
      <c r="Z1464" s="20"/>
      <c r="AA1464" s="20"/>
      <c r="AB1464" s="20"/>
      <c r="AC1464" s="20"/>
      <c r="AD1464" s="20"/>
      <c r="AE1464" s="20"/>
    </row>
    <row r="1465">
      <c r="A1465" s="21">
        <v>37.0</v>
      </c>
      <c r="B1465" s="20" t="s">
        <v>1722</v>
      </c>
      <c r="C1465" s="20" t="s">
        <v>3805</v>
      </c>
      <c r="I1465" s="25" t="s">
        <v>3328</v>
      </c>
      <c r="J1465" s="25" t="s">
        <v>3513</v>
      </c>
      <c r="K1465" s="25" t="s">
        <v>71</v>
      </c>
      <c r="L1465" s="25" t="s">
        <v>3910</v>
      </c>
      <c r="M1465" s="20" t="s">
        <v>3538</v>
      </c>
      <c r="N1465" s="20" t="s">
        <v>3539</v>
      </c>
      <c r="O1465" s="20" t="s">
        <v>63</v>
      </c>
      <c r="P1465" s="20" t="s">
        <v>52</v>
      </c>
      <c r="Q1465" s="26"/>
      <c r="R1465" s="26"/>
      <c r="S1465" s="26"/>
      <c r="T1465" s="20"/>
      <c r="U1465" s="26"/>
      <c r="V1465" s="26"/>
      <c r="W1465" s="20"/>
      <c r="X1465" s="20"/>
      <c r="Y1465" s="20"/>
      <c r="Z1465" s="20"/>
      <c r="AA1465" s="20"/>
      <c r="AB1465" s="20"/>
      <c r="AC1465" s="20"/>
      <c r="AD1465" s="20"/>
      <c r="AE1465" s="20"/>
    </row>
    <row r="1466">
      <c r="A1466" s="21">
        <v>37.0</v>
      </c>
      <c r="B1466" s="20" t="s">
        <v>1722</v>
      </c>
      <c r="C1466" s="20" t="s">
        <v>3805</v>
      </c>
      <c r="I1466" s="25" t="s">
        <v>3423</v>
      </c>
      <c r="J1466" s="25" t="s">
        <v>3479</v>
      </c>
      <c r="K1466" s="25" t="s">
        <v>71</v>
      </c>
      <c r="L1466" s="25" t="s">
        <v>292</v>
      </c>
      <c r="M1466" s="20" t="s">
        <v>3550</v>
      </c>
      <c r="N1466" s="20" t="s">
        <v>3551</v>
      </c>
      <c r="O1466" s="20" t="s">
        <v>63</v>
      </c>
      <c r="P1466" s="20" t="s">
        <v>52</v>
      </c>
      <c r="Q1466" s="26"/>
      <c r="R1466" s="26"/>
      <c r="S1466" s="26"/>
      <c r="T1466" s="22"/>
      <c r="U1466" s="26"/>
      <c r="V1466" s="26"/>
      <c r="W1466" s="20"/>
      <c r="X1466" s="20"/>
      <c r="Y1466" s="20"/>
      <c r="Z1466" s="20"/>
      <c r="AA1466" s="20"/>
      <c r="AB1466" s="20"/>
      <c r="AC1466" s="20"/>
      <c r="AD1466" s="20"/>
      <c r="AE1466" s="20"/>
    </row>
    <row r="1467">
      <c r="A1467" s="21">
        <v>37.0</v>
      </c>
      <c r="B1467" s="20" t="s">
        <v>1722</v>
      </c>
      <c r="C1467" s="20" t="s">
        <v>3805</v>
      </c>
      <c r="I1467" s="25" t="s">
        <v>3505</v>
      </c>
      <c r="J1467" s="25" t="s">
        <v>3482</v>
      </c>
      <c r="K1467" s="25" t="s">
        <v>71</v>
      </c>
      <c r="L1467" s="25" t="s">
        <v>3911</v>
      </c>
      <c r="M1467" s="20" t="s">
        <v>61</v>
      </c>
      <c r="N1467" s="20" t="s">
        <v>3507</v>
      </c>
      <c r="O1467" s="20" t="s">
        <v>63</v>
      </c>
      <c r="P1467" s="20" t="s">
        <v>52</v>
      </c>
      <c r="Q1467" s="26"/>
      <c r="R1467" s="26"/>
      <c r="S1467" s="26"/>
      <c r="T1467" s="20"/>
      <c r="U1467" s="26"/>
      <c r="V1467" s="26"/>
      <c r="W1467" s="20"/>
      <c r="X1467" s="20"/>
      <c r="Y1467" s="20"/>
      <c r="Z1467" s="20"/>
      <c r="AA1467" s="20"/>
      <c r="AB1467" s="20"/>
      <c r="AC1467" s="20"/>
      <c r="AD1467" s="20"/>
      <c r="AE1467" s="20"/>
    </row>
    <row r="1468">
      <c r="A1468" s="21">
        <v>37.0</v>
      </c>
      <c r="B1468" s="20" t="s">
        <v>1722</v>
      </c>
      <c r="C1468" s="20" t="s">
        <v>3805</v>
      </c>
      <c r="I1468" s="25" t="s">
        <v>1475</v>
      </c>
      <c r="J1468" s="25" t="s">
        <v>3513</v>
      </c>
      <c r="K1468" s="25" t="s">
        <v>71</v>
      </c>
      <c r="L1468" s="25" t="s">
        <v>3908</v>
      </c>
      <c r="M1468" s="20" t="s">
        <v>3541</v>
      </c>
      <c r="N1468" s="20" t="s">
        <v>3542</v>
      </c>
      <c r="O1468" s="20" t="s">
        <v>63</v>
      </c>
      <c r="P1468" s="20" t="s">
        <v>52</v>
      </c>
      <c r="Q1468" s="26"/>
      <c r="R1468" s="26"/>
      <c r="S1468" s="26"/>
      <c r="T1468" s="20"/>
      <c r="U1468" s="26"/>
      <c r="V1468" s="26"/>
      <c r="W1468" s="20"/>
      <c r="X1468" s="20"/>
      <c r="Y1468" s="20"/>
      <c r="Z1468" s="20"/>
      <c r="AA1468" s="20"/>
      <c r="AB1468" s="20"/>
      <c r="AC1468" s="20"/>
      <c r="AD1468" s="20"/>
      <c r="AE1468" s="20"/>
    </row>
    <row r="1469">
      <c r="A1469" s="21">
        <v>37.0</v>
      </c>
      <c r="B1469" s="20" t="s">
        <v>1722</v>
      </c>
      <c r="C1469" s="20" t="s">
        <v>3805</v>
      </c>
      <c r="I1469" s="25" t="s">
        <v>2759</v>
      </c>
      <c r="J1469" s="25" t="s">
        <v>3482</v>
      </c>
      <c r="K1469" s="25" t="s">
        <v>71</v>
      </c>
      <c r="L1469" s="25" t="s">
        <v>3908</v>
      </c>
      <c r="M1469" s="20" t="s">
        <v>3508</v>
      </c>
      <c r="N1469" s="20" t="s">
        <v>3509</v>
      </c>
      <c r="O1469" s="20" t="s">
        <v>63</v>
      </c>
      <c r="P1469" s="20" t="s">
        <v>52</v>
      </c>
      <c r="Q1469" s="26"/>
      <c r="R1469" s="26"/>
      <c r="S1469" s="26"/>
      <c r="T1469" s="20"/>
      <c r="U1469" s="26"/>
      <c r="V1469" s="26"/>
      <c r="W1469" s="20"/>
      <c r="X1469" s="20"/>
      <c r="Y1469" s="20"/>
      <c r="Z1469" s="20"/>
      <c r="AA1469" s="20"/>
      <c r="AB1469" s="20"/>
      <c r="AC1469" s="20"/>
      <c r="AD1469" s="20"/>
      <c r="AE1469" s="20"/>
    </row>
    <row r="1470">
      <c r="A1470" s="21">
        <v>37.0</v>
      </c>
      <c r="B1470" s="20" t="s">
        <v>1722</v>
      </c>
      <c r="C1470" s="20" t="s">
        <v>3805</v>
      </c>
      <c r="I1470" s="25" t="s">
        <v>894</v>
      </c>
      <c r="J1470" s="25" t="s">
        <v>3482</v>
      </c>
      <c r="K1470" s="25" t="s">
        <v>71</v>
      </c>
      <c r="L1470" s="25" t="s">
        <v>3910</v>
      </c>
      <c r="M1470" s="20" t="s">
        <v>3510</v>
      </c>
      <c r="N1470" s="20" t="s">
        <v>3511</v>
      </c>
      <c r="O1470" s="20" t="s">
        <v>63</v>
      </c>
      <c r="P1470" s="20" t="s">
        <v>52</v>
      </c>
      <c r="Q1470" s="26"/>
      <c r="R1470" s="26"/>
      <c r="S1470" s="26"/>
      <c r="T1470" s="20"/>
      <c r="U1470" s="26"/>
      <c r="V1470" s="26"/>
      <c r="W1470" s="20"/>
      <c r="X1470" s="20"/>
      <c r="Y1470" s="20"/>
      <c r="Z1470" s="20"/>
      <c r="AA1470" s="20"/>
      <c r="AB1470" s="20"/>
      <c r="AC1470" s="20"/>
      <c r="AD1470" s="20"/>
      <c r="AE1470" s="20"/>
    </row>
    <row r="1471">
      <c r="A1471" s="21">
        <v>37.0</v>
      </c>
      <c r="B1471" s="20" t="s">
        <v>1722</v>
      </c>
      <c r="C1471" s="20" t="s">
        <v>3805</v>
      </c>
      <c r="I1471" s="25" t="s">
        <v>3543</v>
      </c>
      <c r="J1471" s="25" t="s">
        <v>3513</v>
      </c>
      <c r="K1471" s="25" t="s">
        <v>71</v>
      </c>
      <c r="L1471" s="25" t="s">
        <v>3916</v>
      </c>
      <c r="M1471" s="20" t="s">
        <v>3544</v>
      </c>
      <c r="N1471" s="20" t="s">
        <v>3545</v>
      </c>
      <c r="O1471" s="20" t="s">
        <v>63</v>
      </c>
      <c r="P1471" s="20" t="s">
        <v>52</v>
      </c>
      <c r="Q1471" s="26"/>
      <c r="R1471" s="26"/>
      <c r="S1471" s="26"/>
      <c r="T1471" s="20"/>
      <c r="U1471" s="26"/>
      <c r="V1471" s="26"/>
      <c r="W1471" s="20"/>
      <c r="X1471" s="20"/>
      <c r="Y1471" s="20"/>
      <c r="Z1471" s="20"/>
      <c r="AA1471" s="20"/>
      <c r="AB1471" s="20"/>
      <c r="AC1471" s="20"/>
      <c r="AD1471" s="20"/>
      <c r="AE1471" s="20"/>
    </row>
    <row r="1472">
      <c r="A1472" s="21">
        <v>38.0</v>
      </c>
      <c r="B1472" s="20" t="s">
        <v>2957</v>
      </c>
      <c r="C1472" s="20" t="s">
        <v>3920</v>
      </c>
      <c r="D1472" s="35">
        <v>30.0</v>
      </c>
      <c r="E1472" s="35">
        <v>4.0</v>
      </c>
      <c r="F1472" s="35">
        <v>0.0</v>
      </c>
      <c r="G1472" s="35">
        <v>26.0</v>
      </c>
      <c r="H1472" s="36" t="s">
        <v>3922</v>
      </c>
      <c r="I1472" s="25" t="s">
        <v>3554</v>
      </c>
      <c r="J1472" s="25" t="s">
        <v>3552</v>
      </c>
      <c r="K1472" s="25" t="s">
        <v>57</v>
      </c>
      <c r="L1472" s="25" t="s">
        <v>3924</v>
      </c>
      <c r="M1472" s="20" t="s">
        <v>61</v>
      </c>
      <c r="N1472" s="20" t="s">
        <v>3555</v>
      </c>
      <c r="O1472" s="20" t="s">
        <v>56</v>
      </c>
      <c r="P1472" s="20"/>
      <c r="Q1472" s="26"/>
      <c r="R1472" s="26"/>
      <c r="S1472" s="26"/>
      <c r="T1472" s="20"/>
      <c r="U1472" s="26"/>
      <c r="V1472" s="26"/>
      <c r="W1472" s="20"/>
      <c r="X1472" s="20"/>
      <c r="Y1472" s="20"/>
      <c r="Z1472" s="20"/>
      <c r="AA1472" s="20"/>
      <c r="AB1472" s="20"/>
      <c r="AC1472" s="20"/>
      <c r="AD1472" s="20"/>
      <c r="AE1472" s="20"/>
    </row>
    <row r="1473">
      <c r="A1473" s="21">
        <v>38.0</v>
      </c>
      <c r="B1473" s="20" t="s">
        <v>2957</v>
      </c>
      <c r="C1473" s="20" t="s">
        <v>3920</v>
      </c>
      <c r="I1473" s="25" t="s">
        <v>3558</v>
      </c>
      <c r="J1473" s="25" t="s">
        <v>3557</v>
      </c>
      <c r="K1473" s="25" t="s">
        <v>57</v>
      </c>
      <c r="L1473" s="25" t="s">
        <v>3928</v>
      </c>
      <c r="M1473" s="20" t="s">
        <v>61</v>
      </c>
      <c r="N1473" s="20" t="s">
        <v>3559</v>
      </c>
      <c r="O1473" s="20" t="s">
        <v>63</v>
      </c>
      <c r="P1473" s="20"/>
      <c r="Q1473" s="26"/>
      <c r="R1473" s="26"/>
      <c r="S1473" s="26"/>
      <c r="T1473" s="20"/>
      <c r="U1473" s="26"/>
      <c r="V1473" s="26"/>
      <c r="W1473" s="20"/>
      <c r="X1473" s="20"/>
      <c r="Y1473" s="20"/>
      <c r="Z1473" s="20"/>
      <c r="AA1473" s="20"/>
      <c r="AB1473" s="20"/>
      <c r="AC1473" s="20"/>
      <c r="AD1473" s="20"/>
      <c r="AE1473" s="20"/>
    </row>
    <row r="1474">
      <c r="A1474" s="21">
        <v>38.0</v>
      </c>
      <c r="B1474" s="20" t="s">
        <v>2957</v>
      </c>
      <c r="C1474" s="20" t="s">
        <v>3920</v>
      </c>
      <c r="I1474" s="25" t="s">
        <v>2947</v>
      </c>
      <c r="J1474" s="25" t="s">
        <v>3552</v>
      </c>
      <c r="K1474" s="25" t="s">
        <v>57</v>
      </c>
      <c r="L1474" s="25" t="s">
        <v>3932</v>
      </c>
      <c r="M1474" s="20" t="s">
        <v>61</v>
      </c>
      <c r="N1474" s="20" t="s">
        <v>3556</v>
      </c>
      <c r="O1474" s="20" t="s">
        <v>56</v>
      </c>
      <c r="P1474" s="20"/>
      <c r="Q1474" s="26"/>
      <c r="R1474" s="26"/>
      <c r="S1474" s="26"/>
      <c r="T1474" s="20"/>
      <c r="U1474" s="26"/>
      <c r="V1474" s="26"/>
      <c r="W1474" s="20"/>
      <c r="X1474" s="20"/>
      <c r="Y1474" s="20"/>
      <c r="Z1474" s="20"/>
      <c r="AA1474" s="20"/>
      <c r="AB1474" s="20"/>
      <c r="AC1474" s="20"/>
      <c r="AD1474" s="20"/>
      <c r="AE1474" s="20"/>
    </row>
    <row r="1475">
      <c r="A1475" s="21">
        <v>38.0</v>
      </c>
      <c r="B1475" s="20" t="s">
        <v>2957</v>
      </c>
      <c r="C1475" s="20" t="s">
        <v>3920</v>
      </c>
      <c r="I1475" s="25" t="s">
        <v>3560</v>
      </c>
      <c r="J1475" s="25" t="s">
        <v>3552</v>
      </c>
      <c r="K1475" s="25" t="s">
        <v>57</v>
      </c>
      <c r="L1475" s="25" t="s">
        <v>3936</v>
      </c>
      <c r="M1475" s="20" t="s">
        <v>3561</v>
      </c>
      <c r="N1475" s="20" t="s">
        <v>3562</v>
      </c>
      <c r="O1475" s="20" t="s">
        <v>63</v>
      </c>
      <c r="P1475" s="20"/>
      <c r="Q1475" s="26"/>
      <c r="R1475" s="26"/>
      <c r="S1475" s="26"/>
      <c r="T1475" s="20"/>
      <c r="U1475" s="26"/>
      <c r="V1475" s="26"/>
      <c r="W1475" s="20"/>
      <c r="X1475" s="20"/>
      <c r="Y1475" s="20"/>
      <c r="Z1475" s="20"/>
      <c r="AA1475" s="20"/>
      <c r="AB1475" s="20"/>
      <c r="AC1475" s="20"/>
      <c r="AD1475" s="20"/>
      <c r="AE1475" s="20"/>
    </row>
    <row r="1476">
      <c r="A1476" s="21">
        <v>38.0</v>
      </c>
      <c r="B1476" s="20" t="s">
        <v>2957</v>
      </c>
      <c r="C1476" s="20" t="s">
        <v>3920</v>
      </c>
      <c r="I1476" s="25" t="s">
        <v>1701</v>
      </c>
      <c r="J1476" s="25" t="s">
        <v>3557</v>
      </c>
      <c r="K1476" s="25" t="s">
        <v>71</v>
      </c>
      <c r="L1476" s="25" t="s">
        <v>3940</v>
      </c>
      <c r="M1476" s="20" t="s">
        <v>1702</v>
      </c>
      <c r="N1476" s="20" t="s">
        <v>3564</v>
      </c>
      <c r="O1476" s="20" t="s">
        <v>63</v>
      </c>
      <c r="P1476" s="20"/>
      <c r="Q1476" s="26"/>
      <c r="R1476" s="26"/>
      <c r="S1476" s="26"/>
      <c r="T1476" s="20"/>
      <c r="U1476" s="26"/>
      <c r="V1476" s="26"/>
      <c r="W1476" s="20"/>
      <c r="X1476" s="20"/>
      <c r="Y1476" s="20"/>
      <c r="Z1476" s="20"/>
      <c r="AA1476" s="20"/>
      <c r="AB1476" s="20"/>
      <c r="AC1476" s="20"/>
      <c r="AD1476" s="20"/>
      <c r="AE1476" s="20"/>
    </row>
    <row r="1477">
      <c r="A1477" s="21">
        <v>38.0</v>
      </c>
      <c r="B1477" s="20" t="s">
        <v>2957</v>
      </c>
      <c r="C1477" s="20" t="s">
        <v>3920</v>
      </c>
      <c r="I1477" s="25" t="s">
        <v>3565</v>
      </c>
      <c r="J1477" s="25" t="s">
        <v>3557</v>
      </c>
      <c r="K1477" s="25" t="s">
        <v>71</v>
      </c>
      <c r="L1477" s="25" t="s">
        <v>292</v>
      </c>
      <c r="M1477" s="20" t="s">
        <v>3566</v>
      </c>
      <c r="N1477" s="20" t="s">
        <v>3567</v>
      </c>
      <c r="O1477" s="20" t="s">
        <v>63</v>
      </c>
      <c r="P1477" s="20" t="s">
        <v>52</v>
      </c>
      <c r="Q1477" s="26"/>
      <c r="R1477" s="26"/>
      <c r="S1477" s="26"/>
      <c r="T1477" s="22"/>
      <c r="U1477" s="26"/>
      <c r="V1477" s="26"/>
      <c r="W1477" s="20"/>
      <c r="X1477" s="20"/>
      <c r="Y1477" s="20"/>
      <c r="Z1477" s="20"/>
      <c r="AA1477" s="20"/>
      <c r="AB1477" s="20"/>
      <c r="AC1477" s="20"/>
      <c r="AD1477" s="20"/>
      <c r="AE1477" s="20"/>
    </row>
    <row r="1478">
      <c r="A1478" s="21">
        <v>38.0</v>
      </c>
      <c r="B1478" s="20" t="s">
        <v>2957</v>
      </c>
      <c r="C1478" s="20" t="s">
        <v>3920</v>
      </c>
      <c r="I1478" s="25" t="s">
        <v>3568</v>
      </c>
      <c r="J1478" s="25" t="s">
        <v>3557</v>
      </c>
      <c r="K1478" s="25" t="s">
        <v>71</v>
      </c>
      <c r="L1478" s="25" t="s">
        <v>3940</v>
      </c>
      <c r="M1478" s="20" t="s">
        <v>3569</v>
      </c>
      <c r="N1478" s="20" t="s">
        <v>3570</v>
      </c>
      <c r="O1478" s="20" t="s">
        <v>63</v>
      </c>
      <c r="P1478" s="20"/>
      <c r="Q1478" s="26"/>
      <c r="R1478" s="26"/>
      <c r="S1478" s="26"/>
      <c r="T1478" s="20"/>
      <c r="U1478" s="26"/>
      <c r="V1478" s="26"/>
      <c r="W1478" s="20"/>
      <c r="X1478" s="20"/>
      <c r="Y1478" s="20"/>
      <c r="Z1478" s="20"/>
      <c r="AA1478" s="20"/>
      <c r="AB1478" s="20"/>
      <c r="AC1478" s="20"/>
      <c r="AD1478" s="20"/>
      <c r="AE1478" s="20"/>
    </row>
    <row r="1479">
      <c r="A1479" s="21">
        <v>38.0</v>
      </c>
      <c r="B1479" s="20" t="s">
        <v>2957</v>
      </c>
      <c r="C1479" s="20" t="s">
        <v>3920</v>
      </c>
      <c r="I1479" s="25" t="s">
        <v>3598</v>
      </c>
      <c r="J1479" s="25" t="s">
        <v>3552</v>
      </c>
      <c r="K1479" s="25" t="s">
        <v>71</v>
      </c>
      <c r="L1479" s="25" t="s">
        <v>3940</v>
      </c>
      <c r="M1479" s="20" t="s">
        <v>3599</v>
      </c>
      <c r="N1479" s="20" t="s">
        <v>3600</v>
      </c>
      <c r="O1479" s="20" t="s">
        <v>63</v>
      </c>
      <c r="P1479" s="20"/>
      <c r="Q1479" s="26"/>
      <c r="R1479" s="26"/>
      <c r="S1479" s="26"/>
      <c r="T1479" s="20"/>
      <c r="U1479" s="26"/>
      <c r="V1479" s="26"/>
      <c r="W1479" s="20"/>
      <c r="X1479" s="20"/>
      <c r="Y1479" s="20"/>
      <c r="Z1479" s="20"/>
      <c r="AA1479" s="20"/>
      <c r="AB1479" s="20"/>
      <c r="AC1479" s="20"/>
      <c r="AD1479" s="20"/>
      <c r="AE1479" s="20"/>
    </row>
    <row r="1480">
      <c r="A1480" s="21">
        <v>38.0</v>
      </c>
      <c r="B1480" s="20" t="s">
        <v>2957</v>
      </c>
      <c r="C1480" s="20" t="s">
        <v>3920</v>
      </c>
      <c r="I1480" s="25" t="s">
        <v>85</v>
      </c>
      <c r="J1480" s="25" t="s">
        <v>3557</v>
      </c>
      <c r="K1480" s="25" t="s">
        <v>71</v>
      </c>
      <c r="L1480" s="25" t="s">
        <v>3940</v>
      </c>
      <c r="M1480" s="20" t="s">
        <v>3571</v>
      </c>
      <c r="N1480" s="20" t="s">
        <v>3572</v>
      </c>
      <c r="O1480" s="20" t="s">
        <v>63</v>
      </c>
      <c r="P1480" s="20"/>
      <c r="Q1480" s="26"/>
      <c r="R1480" s="26"/>
      <c r="S1480" s="26"/>
      <c r="T1480" s="20"/>
      <c r="U1480" s="26"/>
      <c r="V1480" s="26"/>
      <c r="W1480" s="20"/>
      <c r="X1480" s="20"/>
      <c r="Y1480" s="20"/>
      <c r="Z1480" s="20"/>
      <c r="AA1480" s="20"/>
      <c r="AB1480" s="20"/>
      <c r="AC1480" s="20"/>
      <c r="AD1480" s="20"/>
      <c r="AE1480" s="20"/>
    </row>
    <row r="1481">
      <c r="A1481" s="21">
        <v>38.0</v>
      </c>
      <c r="B1481" s="20" t="s">
        <v>2957</v>
      </c>
      <c r="C1481" s="20" t="s">
        <v>3920</v>
      </c>
      <c r="I1481" s="25" t="s">
        <v>2727</v>
      </c>
      <c r="J1481" s="25" t="s">
        <v>3552</v>
      </c>
      <c r="K1481" s="25" t="s">
        <v>71</v>
      </c>
      <c r="L1481" s="25" t="s">
        <v>3940</v>
      </c>
      <c r="M1481" s="20" t="s">
        <v>3601</v>
      </c>
      <c r="N1481" s="20" t="s">
        <v>3602</v>
      </c>
      <c r="O1481" s="20" t="s">
        <v>63</v>
      </c>
      <c r="P1481" s="20"/>
      <c r="Q1481" s="26"/>
      <c r="R1481" s="26"/>
      <c r="S1481" s="26"/>
      <c r="T1481" s="20"/>
      <c r="U1481" s="26"/>
      <c r="V1481" s="26"/>
      <c r="W1481" s="20"/>
      <c r="X1481" s="20"/>
      <c r="Y1481" s="20"/>
      <c r="Z1481" s="20"/>
      <c r="AA1481" s="20"/>
      <c r="AB1481" s="20"/>
      <c r="AC1481" s="20"/>
      <c r="AD1481" s="20"/>
      <c r="AE1481" s="20"/>
    </row>
    <row r="1482">
      <c r="A1482" s="21">
        <v>38.0</v>
      </c>
      <c r="B1482" s="20" t="s">
        <v>2957</v>
      </c>
      <c r="C1482" s="20" t="s">
        <v>3920</v>
      </c>
      <c r="I1482" s="25" t="s">
        <v>3603</v>
      </c>
      <c r="J1482" s="25" t="s">
        <v>3552</v>
      </c>
      <c r="K1482" s="25" t="s">
        <v>71</v>
      </c>
      <c r="L1482" s="25" t="s">
        <v>3940</v>
      </c>
      <c r="M1482" s="20" t="s">
        <v>3604</v>
      </c>
      <c r="N1482" s="20" t="s">
        <v>3605</v>
      </c>
      <c r="O1482" s="20" t="s">
        <v>63</v>
      </c>
      <c r="P1482" s="20"/>
      <c r="Q1482" s="26"/>
      <c r="R1482" s="26"/>
      <c r="S1482" s="26"/>
      <c r="T1482" s="20"/>
      <c r="U1482" s="26"/>
      <c r="V1482" s="26"/>
      <c r="W1482" s="20"/>
      <c r="X1482" s="20"/>
      <c r="Y1482" s="20"/>
      <c r="Z1482" s="20"/>
      <c r="AA1482" s="20"/>
      <c r="AB1482" s="20"/>
      <c r="AC1482" s="20"/>
      <c r="AD1482" s="20"/>
      <c r="AE1482" s="20"/>
    </row>
    <row r="1483">
      <c r="A1483" s="21">
        <v>38.0</v>
      </c>
      <c r="B1483" s="20" t="s">
        <v>2957</v>
      </c>
      <c r="C1483" s="20" t="s">
        <v>3920</v>
      </c>
      <c r="I1483" s="25" t="s">
        <v>2940</v>
      </c>
      <c r="J1483" s="25" t="s">
        <v>3557</v>
      </c>
      <c r="K1483" s="25" t="s">
        <v>71</v>
      </c>
      <c r="L1483" s="25" t="s">
        <v>3940</v>
      </c>
      <c r="M1483" s="20" t="s">
        <v>2941</v>
      </c>
      <c r="N1483" s="20" t="s">
        <v>3573</v>
      </c>
      <c r="O1483" s="20" t="s">
        <v>63</v>
      </c>
      <c r="P1483" s="20"/>
      <c r="Q1483" s="26"/>
      <c r="R1483" s="26"/>
      <c r="S1483" s="26"/>
      <c r="T1483" s="20"/>
      <c r="U1483" s="26"/>
      <c r="V1483" s="26"/>
      <c r="W1483" s="20"/>
      <c r="X1483" s="20"/>
      <c r="Y1483" s="20"/>
      <c r="Z1483" s="20"/>
      <c r="AA1483" s="20"/>
      <c r="AB1483" s="20"/>
      <c r="AC1483" s="20"/>
      <c r="AD1483" s="20"/>
      <c r="AE1483" s="20"/>
    </row>
    <row r="1484">
      <c r="A1484" s="21">
        <v>38.0</v>
      </c>
      <c r="B1484" s="20" t="s">
        <v>2957</v>
      </c>
      <c r="C1484" s="20" t="s">
        <v>3920</v>
      </c>
      <c r="I1484" s="25" t="s">
        <v>3574</v>
      </c>
      <c r="J1484" s="25" t="s">
        <v>3557</v>
      </c>
      <c r="K1484" s="25" t="s">
        <v>71</v>
      </c>
      <c r="L1484" s="25" t="s">
        <v>3950</v>
      </c>
      <c r="M1484" s="20" t="s">
        <v>3575</v>
      </c>
      <c r="N1484" s="20" t="s">
        <v>3576</v>
      </c>
      <c r="O1484" s="20" t="s">
        <v>63</v>
      </c>
      <c r="P1484" s="20"/>
      <c r="Q1484" s="26"/>
      <c r="R1484" s="26"/>
      <c r="S1484" s="26"/>
      <c r="T1484" s="20"/>
      <c r="U1484" s="26"/>
      <c r="V1484" s="26"/>
      <c r="W1484" s="20"/>
      <c r="X1484" s="20"/>
      <c r="Y1484" s="20"/>
      <c r="Z1484" s="20"/>
      <c r="AA1484" s="20"/>
      <c r="AB1484" s="20"/>
      <c r="AC1484" s="20"/>
      <c r="AD1484" s="20"/>
      <c r="AE1484" s="20"/>
    </row>
    <row r="1485">
      <c r="A1485" s="21">
        <v>38.0</v>
      </c>
      <c r="B1485" s="20" t="s">
        <v>2957</v>
      </c>
      <c r="C1485" s="20" t="s">
        <v>3920</v>
      </c>
      <c r="I1485" s="25" t="s">
        <v>3607</v>
      </c>
      <c r="J1485" s="25" t="s">
        <v>3552</v>
      </c>
      <c r="K1485" s="25" t="s">
        <v>71</v>
      </c>
      <c r="L1485" s="25" t="s">
        <v>3940</v>
      </c>
      <c r="M1485" s="20" t="s">
        <v>3608</v>
      </c>
      <c r="N1485" s="20" t="s">
        <v>3609</v>
      </c>
      <c r="O1485" s="20" t="s">
        <v>63</v>
      </c>
      <c r="P1485" s="20"/>
      <c r="Q1485" s="26"/>
      <c r="R1485" s="26"/>
      <c r="S1485" s="26"/>
      <c r="T1485" s="20"/>
      <c r="U1485" s="26"/>
      <c r="V1485" s="26"/>
      <c r="W1485" s="20"/>
      <c r="X1485" s="20"/>
      <c r="Y1485" s="20"/>
      <c r="Z1485" s="20"/>
      <c r="AA1485" s="20"/>
      <c r="AB1485" s="20"/>
      <c r="AC1485" s="20"/>
      <c r="AD1485" s="20"/>
      <c r="AE1485" s="20"/>
    </row>
    <row r="1486">
      <c r="A1486" s="21">
        <v>38.0</v>
      </c>
      <c r="B1486" s="20" t="s">
        <v>2957</v>
      </c>
      <c r="C1486" s="20" t="s">
        <v>3920</v>
      </c>
      <c r="I1486" s="25" t="s">
        <v>3577</v>
      </c>
      <c r="J1486" s="25" t="s">
        <v>3557</v>
      </c>
      <c r="K1486" s="25" t="s">
        <v>71</v>
      </c>
      <c r="L1486" s="25" t="s">
        <v>3940</v>
      </c>
      <c r="M1486" s="20" t="s">
        <v>3578</v>
      </c>
      <c r="N1486" s="20" t="s">
        <v>3579</v>
      </c>
      <c r="O1486" s="20" t="s">
        <v>63</v>
      </c>
      <c r="P1486" s="20"/>
      <c r="Q1486" s="26"/>
      <c r="R1486" s="26"/>
      <c r="S1486" s="26"/>
      <c r="T1486" s="20"/>
      <c r="U1486" s="26"/>
      <c r="V1486" s="26"/>
      <c r="W1486" s="20"/>
      <c r="X1486" s="20"/>
      <c r="Y1486" s="20"/>
      <c r="Z1486" s="20"/>
      <c r="AA1486" s="20"/>
      <c r="AB1486" s="20"/>
      <c r="AC1486" s="20"/>
      <c r="AD1486" s="20"/>
      <c r="AE1486" s="20"/>
    </row>
    <row r="1487">
      <c r="A1487" s="21">
        <v>38.0</v>
      </c>
      <c r="B1487" s="20" t="s">
        <v>2957</v>
      </c>
      <c r="C1487" s="20" t="s">
        <v>3920</v>
      </c>
      <c r="I1487" s="25" t="s">
        <v>3610</v>
      </c>
      <c r="J1487" s="25" t="s">
        <v>3552</v>
      </c>
      <c r="K1487" s="25" t="s">
        <v>71</v>
      </c>
      <c r="L1487" s="25" t="s">
        <v>3940</v>
      </c>
      <c r="M1487" s="20" t="s">
        <v>3611</v>
      </c>
      <c r="N1487" s="20" t="s">
        <v>3612</v>
      </c>
      <c r="O1487" s="20" t="s">
        <v>63</v>
      </c>
      <c r="P1487" s="20"/>
      <c r="Q1487" s="26"/>
      <c r="R1487" s="26"/>
      <c r="S1487" s="26"/>
      <c r="T1487" s="20"/>
      <c r="U1487" s="26"/>
      <c r="V1487" s="26"/>
      <c r="W1487" s="20"/>
      <c r="X1487" s="20"/>
      <c r="Y1487" s="20"/>
      <c r="Z1487" s="20"/>
      <c r="AA1487" s="20"/>
      <c r="AB1487" s="20"/>
      <c r="AC1487" s="20"/>
      <c r="AD1487" s="20"/>
      <c r="AE1487" s="20"/>
    </row>
    <row r="1488">
      <c r="A1488" s="21">
        <v>38.0</v>
      </c>
      <c r="B1488" s="20" t="s">
        <v>2957</v>
      </c>
      <c r="C1488" s="20" t="s">
        <v>3920</v>
      </c>
      <c r="I1488" s="25" t="s">
        <v>3580</v>
      </c>
      <c r="J1488" s="25" t="s">
        <v>3557</v>
      </c>
      <c r="K1488" s="25" t="s">
        <v>71</v>
      </c>
      <c r="L1488" s="25" t="s">
        <v>3940</v>
      </c>
      <c r="M1488" s="20" t="s">
        <v>3581</v>
      </c>
      <c r="N1488" s="20" t="s">
        <v>3582</v>
      </c>
      <c r="O1488" s="20" t="s">
        <v>63</v>
      </c>
      <c r="P1488" s="20"/>
      <c r="Q1488" s="26"/>
      <c r="R1488" s="26"/>
      <c r="S1488" s="26"/>
      <c r="T1488" s="20"/>
      <c r="U1488" s="26"/>
      <c r="V1488" s="26"/>
      <c r="W1488" s="20"/>
      <c r="X1488" s="20"/>
      <c r="Y1488" s="20"/>
      <c r="Z1488" s="20"/>
      <c r="AA1488" s="20"/>
      <c r="AB1488" s="20"/>
      <c r="AC1488" s="20"/>
      <c r="AD1488" s="20"/>
      <c r="AE1488" s="20"/>
    </row>
    <row r="1489">
      <c r="A1489" s="21">
        <v>38.0</v>
      </c>
      <c r="B1489" s="20" t="s">
        <v>2957</v>
      </c>
      <c r="C1489" s="20" t="s">
        <v>3920</v>
      </c>
      <c r="I1489" s="25" t="s">
        <v>919</v>
      </c>
      <c r="J1489" s="25" t="s">
        <v>3557</v>
      </c>
      <c r="K1489" s="25" t="s">
        <v>71</v>
      </c>
      <c r="L1489" s="25" t="s">
        <v>3940</v>
      </c>
      <c r="M1489" s="20" t="s">
        <v>3584</v>
      </c>
      <c r="N1489" s="20" t="s">
        <v>3585</v>
      </c>
      <c r="O1489" s="20" t="s">
        <v>63</v>
      </c>
      <c r="P1489" s="20"/>
      <c r="Q1489" s="26"/>
      <c r="R1489" s="26"/>
      <c r="S1489" s="26"/>
      <c r="T1489" s="20"/>
      <c r="U1489" s="26"/>
      <c r="V1489" s="26"/>
      <c r="W1489" s="20"/>
      <c r="X1489" s="20"/>
      <c r="Y1489" s="20"/>
      <c r="Z1489" s="20"/>
      <c r="AA1489" s="20"/>
      <c r="AB1489" s="20"/>
      <c r="AC1489" s="20"/>
      <c r="AD1489" s="20"/>
      <c r="AE1489" s="20"/>
    </row>
    <row r="1490">
      <c r="A1490" s="21">
        <v>38.0</v>
      </c>
      <c r="B1490" s="20" t="s">
        <v>2957</v>
      </c>
      <c r="C1490" s="20" t="s">
        <v>3920</v>
      </c>
      <c r="I1490" s="25" t="s">
        <v>1707</v>
      </c>
      <c r="J1490" s="25" t="s">
        <v>3552</v>
      </c>
      <c r="K1490" s="25" t="s">
        <v>71</v>
      </c>
      <c r="L1490" s="25" t="s">
        <v>3940</v>
      </c>
      <c r="M1490" s="20" t="s">
        <v>61</v>
      </c>
      <c r="N1490" s="20" t="s">
        <v>3614</v>
      </c>
      <c r="O1490" s="20" t="s">
        <v>63</v>
      </c>
      <c r="P1490" s="20"/>
      <c r="Q1490" s="26"/>
      <c r="R1490" s="26"/>
      <c r="S1490" s="26"/>
      <c r="T1490" s="20"/>
      <c r="U1490" s="26"/>
      <c r="V1490" s="26"/>
      <c r="W1490" s="20"/>
      <c r="X1490" s="20"/>
      <c r="Y1490" s="20"/>
      <c r="Z1490" s="20"/>
      <c r="AA1490" s="20"/>
      <c r="AB1490" s="20"/>
      <c r="AC1490" s="20"/>
      <c r="AD1490" s="20"/>
      <c r="AE1490" s="20"/>
    </row>
    <row r="1491">
      <c r="A1491" s="21">
        <v>38.0</v>
      </c>
      <c r="B1491" s="20" t="s">
        <v>2957</v>
      </c>
      <c r="C1491" s="20" t="s">
        <v>3920</v>
      </c>
      <c r="I1491" s="25" t="s">
        <v>1724</v>
      </c>
      <c r="J1491" s="25" t="s">
        <v>3552</v>
      </c>
      <c r="K1491" s="25" t="s">
        <v>71</v>
      </c>
      <c r="L1491" s="25" t="s">
        <v>3940</v>
      </c>
      <c r="M1491" s="20" t="s">
        <v>61</v>
      </c>
      <c r="N1491" s="20" t="s">
        <v>3615</v>
      </c>
      <c r="O1491" s="20" t="s">
        <v>63</v>
      </c>
      <c r="P1491" s="20"/>
      <c r="Q1491" s="26"/>
      <c r="R1491" s="26"/>
      <c r="S1491" s="26"/>
      <c r="T1491" s="20"/>
      <c r="U1491" s="26"/>
      <c r="V1491" s="26"/>
      <c r="W1491" s="20"/>
      <c r="X1491" s="20"/>
      <c r="Y1491" s="20"/>
      <c r="Z1491" s="20"/>
      <c r="AA1491" s="20"/>
      <c r="AB1491" s="20"/>
      <c r="AC1491" s="20"/>
      <c r="AD1491" s="20"/>
      <c r="AE1491" s="20"/>
    </row>
    <row r="1492">
      <c r="A1492" s="21">
        <v>38.0</v>
      </c>
      <c r="B1492" s="20" t="s">
        <v>2957</v>
      </c>
      <c r="C1492" s="20" t="s">
        <v>3920</v>
      </c>
      <c r="I1492" s="25" t="s">
        <v>3586</v>
      </c>
      <c r="J1492" s="25" t="s">
        <v>3557</v>
      </c>
      <c r="K1492" s="25" t="s">
        <v>71</v>
      </c>
      <c r="L1492" s="25" t="s">
        <v>3978</v>
      </c>
      <c r="M1492" s="20" t="s">
        <v>61</v>
      </c>
      <c r="N1492" s="20" t="s">
        <v>3587</v>
      </c>
      <c r="O1492" s="20" t="s">
        <v>63</v>
      </c>
      <c r="P1492" s="20" t="s">
        <v>52</v>
      </c>
      <c r="Q1492" s="26"/>
      <c r="R1492" s="26"/>
      <c r="S1492" s="26"/>
      <c r="T1492" s="20"/>
      <c r="U1492" s="26"/>
      <c r="V1492" s="26"/>
      <c r="W1492" s="20"/>
      <c r="X1492" s="20"/>
      <c r="Y1492" s="20"/>
      <c r="Z1492" s="20"/>
      <c r="AA1492" s="20"/>
      <c r="AB1492" s="20"/>
      <c r="AC1492" s="20"/>
      <c r="AD1492" s="20"/>
      <c r="AE1492" s="20"/>
    </row>
    <row r="1493">
      <c r="A1493" s="21">
        <v>38.0</v>
      </c>
      <c r="B1493" s="20" t="s">
        <v>2957</v>
      </c>
      <c r="C1493" s="20" t="s">
        <v>3920</v>
      </c>
      <c r="I1493" s="25" t="s">
        <v>3616</v>
      </c>
      <c r="J1493" s="25" t="s">
        <v>3552</v>
      </c>
      <c r="K1493" s="25" t="s">
        <v>71</v>
      </c>
      <c r="L1493" s="25" t="s">
        <v>3981</v>
      </c>
      <c r="M1493" s="20" t="s">
        <v>3611</v>
      </c>
      <c r="N1493" s="20" t="s">
        <v>3612</v>
      </c>
      <c r="O1493" s="20" t="s">
        <v>63</v>
      </c>
      <c r="P1493" s="20" t="s">
        <v>52</v>
      </c>
      <c r="Q1493" s="26"/>
      <c r="R1493" s="26"/>
      <c r="S1493" s="26"/>
      <c r="T1493" s="20"/>
      <c r="U1493" s="26"/>
      <c r="V1493" s="26"/>
      <c r="W1493" s="20"/>
      <c r="X1493" s="20"/>
      <c r="Y1493" s="20"/>
      <c r="Z1493" s="20"/>
      <c r="AA1493" s="20"/>
      <c r="AB1493" s="20"/>
      <c r="AC1493" s="20"/>
      <c r="AD1493" s="20"/>
      <c r="AE1493" s="20"/>
    </row>
    <row r="1494">
      <c r="A1494" s="21">
        <v>38.0</v>
      </c>
      <c r="B1494" s="20" t="s">
        <v>2957</v>
      </c>
      <c r="C1494" s="20" t="s">
        <v>3920</v>
      </c>
      <c r="I1494" s="25" t="s">
        <v>2902</v>
      </c>
      <c r="J1494" s="25" t="s">
        <v>3557</v>
      </c>
      <c r="K1494" s="25" t="s">
        <v>71</v>
      </c>
      <c r="L1494" s="25" t="s">
        <v>3984</v>
      </c>
      <c r="M1494" s="20" t="s">
        <v>3588</v>
      </c>
      <c r="N1494" s="20" t="s">
        <v>3589</v>
      </c>
      <c r="O1494" s="20" t="s">
        <v>63</v>
      </c>
      <c r="P1494" s="20" t="s">
        <v>52</v>
      </c>
      <c r="Q1494" s="26"/>
      <c r="R1494" s="26"/>
      <c r="S1494" s="26"/>
      <c r="T1494" s="20"/>
      <c r="U1494" s="26"/>
      <c r="V1494" s="26"/>
      <c r="W1494" s="20"/>
      <c r="X1494" s="20"/>
      <c r="Y1494" s="20"/>
      <c r="Z1494" s="20"/>
      <c r="AA1494" s="20"/>
      <c r="AB1494" s="20"/>
      <c r="AC1494" s="20"/>
      <c r="AD1494" s="20"/>
      <c r="AE1494" s="20"/>
    </row>
    <row r="1495">
      <c r="A1495" s="21">
        <v>38.0</v>
      </c>
      <c r="B1495" s="20" t="s">
        <v>2957</v>
      </c>
      <c r="C1495" s="20" t="s">
        <v>3920</v>
      </c>
      <c r="I1495" s="25" t="s">
        <v>3590</v>
      </c>
      <c r="J1495" s="25" t="s">
        <v>3557</v>
      </c>
      <c r="K1495" s="25" t="s">
        <v>71</v>
      </c>
      <c r="L1495" s="25" t="s">
        <v>3987</v>
      </c>
      <c r="M1495" s="20" t="s">
        <v>61</v>
      </c>
      <c r="N1495" s="20" t="s">
        <v>3591</v>
      </c>
      <c r="O1495" s="20" t="s">
        <v>63</v>
      </c>
      <c r="P1495" s="20" t="s">
        <v>52</v>
      </c>
      <c r="Q1495" s="26"/>
      <c r="R1495" s="26"/>
      <c r="S1495" s="26"/>
      <c r="T1495" s="20"/>
      <c r="U1495" s="26"/>
      <c r="V1495" s="26"/>
      <c r="W1495" s="20"/>
      <c r="X1495" s="20"/>
      <c r="Y1495" s="20"/>
      <c r="Z1495" s="20"/>
      <c r="AA1495" s="20"/>
      <c r="AB1495" s="20"/>
      <c r="AC1495" s="20"/>
      <c r="AD1495" s="20"/>
      <c r="AE1495" s="20"/>
    </row>
    <row r="1496">
      <c r="A1496" s="21">
        <v>38.0</v>
      </c>
      <c r="B1496" s="20" t="s">
        <v>2957</v>
      </c>
      <c r="C1496" s="20" t="s">
        <v>3920</v>
      </c>
      <c r="I1496" s="25" t="s">
        <v>3618</v>
      </c>
      <c r="J1496" s="25" t="s">
        <v>3552</v>
      </c>
      <c r="K1496" s="25" t="s">
        <v>71</v>
      </c>
      <c r="L1496" s="25" t="s">
        <v>3992</v>
      </c>
      <c r="M1496" s="20" t="s">
        <v>3619</v>
      </c>
      <c r="N1496" s="20" t="s">
        <v>3612</v>
      </c>
      <c r="O1496" s="20" t="s">
        <v>63</v>
      </c>
      <c r="P1496" s="20" t="s">
        <v>52</v>
      </c>
      <c r="Q1496" s="26"/>
      <c r="R1496" s="26"/>
      <c r="S1496" s="26"/>
      <c r="T1496" s="20"/>
      <c r="U1496" s="26"/>
      <c r="V1496" s="26"/>
      <c r="W1496" s="20"/>
      <c r="X1496" s="20"/>
      <c r="Y1496" s="20"/>
      <c r="Z1496" s="20"/>
      <c r="AA1496" s="20"/>
      <c r="AB1496" s="20"/>
      <c r="AC1496" s="20"/>
      <c r="AD1496" s="20"/>
      <c r="AE1496" s="20"/>
    </row>
    <row r="1497">
      <c r="A1497" s="21">
        <v>38.0</v>
      </c>
      <c r="B1497" s="20" t="s">
        <v>2957</v>
      </c>
      <c r="C1497" s="20" t="s">
        <v>3920</v>
      </c>
      <c r="I1497" s="25" t="s">
        <v>3620</v>
      </c>
      <c r="J1497" s="25" t="s">
        <v>3552</v>
      </c>
      <c r="K1497" s="25" t="s">
        <v>71</v>
      </c>
      <c r="L1497" s="25" t="s">
        <v>3992</v>
      </c>
      <c r="M1497" s="20" t="s">
        <v>3621</v>
      </c>
      <c r="N1497" s="20" t="s">
        <v>3612</v>
      </c>
      <c r="O1497" s="20" t="s">
        <v>63</v>
      </c>
      <c r="P1497" s="20" t="s">
        <v>52</v>
      </c>
      <c r="Q1497" s="26"/>
      <c r="R1497" s="26"/>
      <c r="S1497" s="26"/>
      <c r="T1497" s="20"/>
      <c r="U1497" s="26"/>
      <c r="V1497" s="26"/>
      <c r="W1497" s="20"/>
      <c r="X1497" s="20"/>
      <c r="Y1497" s="20"/>
      <c r="Z1497" s="20"/>
      <c r="AA1497" s="20"/>
      <c r="AB1497" s="20"/>
      <c r="AC1497" s="20"/>
      <c r="AD1497" s="20"/>
      <c r="AE1497" s="20"/>
    </row>
    <row r="1498">
      <c r="A1498" s="21">
        <v>38.0</v>
      </c>
      <c r="B1498" s="20" t="s">
        <v>2957</v>
      </c>
      <c r="C1498" s="20" t="s">
        <v>3920</v>
      </c>
      <c r="I1498" s="25" t="s">
        <v>3592</v>
      </c>
      <c r="J1498" s="25" t="s">
        <v>3557</v>
      </c>
      <c r="K1498" s="25" t="s">
        <v>71</v>
      </c>
      <c r="L1498" s="25" t="s">
        <v>4001</v>
      </c>
      <c r="M1498" s="20" t="s">
        <v>61</v>
      </c>
      <c r="N1498" s="20" t="s">
        <v>3593</v>
      </c>
      <c r="O1498" s="20" t="s">
        <v>63</v>
      </c>
      <c r="P1498" s="20" t="s">
        <v>52</v>
      </c>
      <c r="Q1498" s="26"/>
      <c r="R1498" s="26"/>
      <c r="S1498" s="26"/>
      <c r="T1498" s="20"/>
      <c r="U1498" s="26"/>
      <c r="V1498" s="26"/>
      <c r="W1498" s="20"/>
      <c r="X1498" s="20"/>
      <c r="Y1498" s="20"/>
      <c r="Z1498" s="20"/>
      <c r="AA1498" s="20"/>
      <c r="AB1498" s="20"/>
      <c r="AC1498" s="20"/>
      <c r="AD1498" s="20"/>
      <c r="AE1498" s="20"/>
    </row>
    <row r="1499">
      <c r="A1499" s="21">
        <v>38.0</v>
      </c>
      <c r="B1499" s="20" t="s">
        <v>2957</v>
      </c>
      <c r="C1499" s="20" t="s">
        <v>3920</v>
      </c>
      <c r="I1499" s="25" t="s">
        <v>3594</v>
      </c>
      <c r="J1499" s="25" t="s">
        <v>3557</v>
      </c>
      <c r="K1499" s="25" t="s">
        <v>71</v>
      </c>
      <c r="L1499" s="25" t="s">
        <v>3984</v>
      </c>
      <c r="M1499" s="20" t="s">
        <v>61</v>
      </c>
      <c r="N1499" s="20" t="s">
        <v>3595</v>
      </c>
      <c r="O1499" s="20" t="s">
        <v>63</v>
      </c>
      <c r="P1499" s="20" t="s">
        <v>52</v>
      </c>
      <c r="Q1499" s="26"/>
      <c r="R1499" s="26"/>
      <c r="S1499" s="26"/>
      <c r="T1499" s="20"/>
      <c r="U1499" s="26"/>
      <c r="V1499" s="26"/>
      <c r="W1499" s="20"/>
      <c r="X1499" s="20"/>
      <c r="Y1499" s="20"/>
      <c r="Z1499" s="20"/>
      <c r="AA1499" s="20"/>
      <c r="AB1499" s="20"/>
      <c r="AC1499" s="20"/>
      <c r="AD1499" s="20"/>
      <c r="AE1499" s="20"/>
    </row>
    <row r="1500">
      <c r="A1500" s="21">
        <v>38.0</v>
      </c>
      <c r="B1500" s="20" t="s">
        <v>2957</v>
      </c>
      <c r="C1500" s="20" t="s">
        <v>3920</v>
      </c>
      <c r="I1500" s="25" t="s">
        <v>1338</v>
      </c>
      <c r="J1500" s="25" t="s">
        <v>3552</v>
      </c>
      <c r="K1500" s="25" t="s">
        <v>71</v>
      </c>
      <c r="L1500" s="25" t="s">
        <v>4006</v>
      </c>
      <c r="M1500" s="20" t="s">
        <v>61</v>
      </c>
      <c r="N1500" s="20" t="s">
        <v>1339</v>
      </c>
      <c r="O1500" s="20" t="s">
        <v>63</v>
      </c>
      <c r="P1500" s="20" t="s">
        <v>52</v>
      </c>
      <c r="Q1500" s="26"/>
      <c r="R1500" s="26"/>
      <c r="S1500" s="26"/>
      <c r="T1500" s="20"/>
      <c r="U1500" s="26"/>
      <c r="V1500" s="26"/>
      <c r="W1500" s="20"/>
      <c r="X1500" s="20"/>
      <c r="Y1500" s="20"/>
      <c r="Z1500" s="20"/>
      <c r="AA1500" s="20"/>
      <c r="AB1500" s="20"/>
      <c r="AC1500" s="20"/>
      <c r="AD1500" s="20"/>
      <c r="AE1500" s="20"/>
    </row>
    <row r="1501">
      <c r="A1501" s="21">
        <v>38.0</v>
      </c>
      <c r="B1501" s="20" t="s">
        <v>2957</v>
      </c>
      <c r="C1501" s="20" t="s">
        <v>3920</v>
      </c>
      <c r="I1501" s="25" t="s">
        <v>3596</v>
      </c>
      <c r="J1501" s="25" t="s">
        <v>3557</v>
      </c>
      <c r="K1501" s="25" t="s">
        <v>71</v>
      </c>
      <c r="L1501" s="25" t="s">
        <v>3978</v>
      </c>
      <c r="M1501" s="20" t="s">
        <v>61</v>
      </c>
      <c r="N1501" s="20" t="s">
        <v>3597</v>
      </c>
      <c r="O1501" s="20" t="s">
        <v>63</v>
      </c>
      <c r="P1501" s="20" t="s">
        <v>52</v>
      </c>
      <c r="Q1501" s="26"/>
      <c r="R1501" s="26"/>
      <c r="S1501" s="26"/>
      <c r="T1501" s="20"/>
      <c r="U1501" s="26"/>
      <c r="V1501" s="26"/>
      <c r="W1501" s="20"/>
      <c r="X1501" s="20"/>
      <c r="Y1501" s="20"/>
      <c r="Z1501" s="20"/>
      <c r="AA1501" s="20"/>
      <c r="AB1501" s="20"/>
      <c r="AC1501" s="20"/>
      <c r="AD1501" s="20"/>
      <c r="AE1501" s="20"/>
    </row>
    <row r="1502">
      <c r="A1502" s="21">
        <v>39.0</v>
      </c>
      <c r="B1502" s="20" t="s">
        <v>3586</v>
      </c>
      <c r="C1502" s="20" t="s">
        <v>3920</v>
      </c>
      <c r="D1502" s="35">
        <v>30.0</v>
      </c>
      <c r="E1502" s="35">
        <v>3.0</v>
      </c>
      <c r="F1502" s="35">
        <v>6.0</v>
      </c>
      <c r="G1502" s="35">
        <v>21.0</v>
      </c>
      <c r="H1502" s="36" t="s">
        <v>4013</v>
      </c>
      <c r="I1502" s="25" t="s">
        <v>3623</v>
      </c>
      <c r="J1502" s="25" t="s">
        <v>3622</v>
      </c>
      <c r="K1502" s="25" t="s">
        <v>57</v>
      </c>
      <c r="L1502" s="25" t="s">
        <v>4015</v>
      </c>
      <c r="M1502" s="20" t="s">
        <v>61</v>
      </c>
      <c r="N1502" s="20" t="s">
        <v>3624</v>
      </c>
      <c r="O1502" s="20" t="s">
        <v>56</v>
      </c>
      <c r="P1502" s="20"/>
      <c r="Q1502" s="26"/>
      <c r="R1502" s="26"/>
      <c r="S1502" s="26"/>
      <c r="T1502" s="20"/>
      <c r="U1502" s="26"/>
      <c r="V1502" s="26"/>
      <c r="W1502" s="20"/>
      <c r="X1502" s="20"/>
      <c r="Y1502" s="20"/>
      <c r="Z1502" s="20"/>
      <c r="AA1502" s="20"/>
      <c r="AB1502" s="20"/>
      <c r="AC1502" s="20"/>
      <c r="AD1502" s="20"/>
      <c r="AE1502" s="20"/>
    </row>
    <row r="1503">
      <c r="A1503" s="21">
        <v>39.0</v>
      </c>
      <c r="B1503" s="20" t="s">
        <v>3586</v>
      </c>
      <c r="C1503" s="20" t="s">
        <v>3920</v>
      </c>
      <c r="I1503" s="25" t="s">
        <v>2810</v>
      </c>
      <c r="J1503" s="25" t="s">
        <v>3622</v>
      </c>
      <c r="K1503" s="25" t="s">
        <v>57</v>
      </c>
      <c r="L1503" s="25" t="s">
        <v>4019</v>
      </c>
      <c r="M1503" s="20" t="s">
        <v>2811</v>
      </c>
      <c r="N1503" s="20" t="s">
        <v>2812</v>
      </c>
      <c r="O1503" s="20" t="s">
        <v>56</v>
      </c>
      <c r="P1503" s="20"/>
      <c r="Q1503" s="26"/>
      <c r="R1503" s="26"/>
      <c r="S1503" s="26"/>
      <c r="T1503" s="20"/>
      <c r="U1503" s="26"/>
      <c r="V1503" s="26"/>
      <c r="W1503" s="20"/>
      <c r="X1503" s="20"/>
      <c r="Y1503" s="20"/>
      <c r="Z1503" s="20"/>
      <c r="AA1503" s="20"/>
      <c r="AB1503" s="20"/>
      <c r="AC1503" s="20"/>
      <c r="AD1503" s="20"/>
      <c r="AE1503" s="20"/>
    </row>
    <row r="1504">
      <c r="A1504" s="21">
        <v>39.0</v>
      </c>
      <c r="B1504" s="20" t="s">
        <v>3586</v>
      </c>
      <c r="C1504" s="20" t="s">
        <v>3920</v>
      </c>
      <c r="I1504" s="25" t="s">
        <v>3596</v>
      </c>
      <c r="J1504" s="25" t="s">
        <v>3622</v>
      </c>
      <c r="K1504" s="25" t="s">
        <v>57</v>
      </c>
      <c r="L1504" s="25" t="s">
        <v>4022</v>
      </c>
      <c r="M1504" s="20" t="s">
        <v>3625</v>
      </c>
      <c r="N1504" s="20" t="s">
        <v>3626</v>
      </c>
      <c r="O1504" s="20" t="s">
        <v>56</v>
      </c>
      <c r="P1504" s="20"/>
      <c r="Q1504" s="26"/>
      <c r="R1504" s="26"/>
      <c r="S1504" s="26"/>
      <c r="T1504" s="20"/>
      <c r="U1504" s="26"/>
      <c r="V1504" s="26"/>
      <c r="W1504" s="20"/>
      <c r="X1504" s="20"/>
      <c r="Y1504" s="20"/>
      <c r="Z1504" s="20"/>
      <c r="AA1504" s="20"/>
      <c r="AB1504" s="20"/>
      <c r="AC1504" s="20"/>
      <c r="AD1504" s="20"/>
      <c r="AE1504" s="20"/>
    </row>
    <row r="1505">
      <c r="A1505" s="21">
        <v>39.0</v>
      </c>
      <c r="B1505" s="20" t="s">
        <v>3586</v>
      </c>
      <c r="C1505" s="20" t="s">
        <v>3920</v>
      </c>
      <c r="I1505" s="25" t="s">
        <v>3640</v>
      </c>
      <c r="J1505" s="25" t="s">
        <v>3622</v>
      </c>
      <c r="K1505" s="25" t="s">
        <v>67</v>
      </c>
      <c r="L1505" s="25" t="s">
        <v>4029</v>
      </c>
      <c r="M1505" s="20" t="s">
        <v>3641</v>
      </c>
      <c r="N1505" s="20" t="s">
        <v>3642</v>
      </c>
      <c r="O1505" s="20" t="s">
        <v>63</v>
      </c>
      <c r="P1505" s="20"/>
      <c r="Q1505" s="26"/>
      <c r="R1505" s="26"/>
      <c r="S1505" s="26"/>
      <c r="T1505" s="20"/>
      <c r="U1505" s="26"/>
      <c r="V1505" s="26"/>
      <c r="W1505" s="20"/>
      <c r="X1505" s="20"/>
      <c r="Y1505" s="20"/>
      <c r="Z1505" s="20"/>
      <c r="AA1505" s="20"/>
      <c r="AB1505" s="20"/>
      <c r="AC1505" s="20"/>
      <c r="AD1505" s="20"/>
      <c r="AE1505" s="20"/>
    </row>
    <row r="1506">
      <c r="A1506" s="21">
        <v>39.0</v>
      </c>
      <c r="B1506" s="20" t="s">
        <v>3586</v>
      </c>
      <c r="C1506" s="20" t="s">
        <v>3920</v>
      </c>
      <c r="I1506" s="25" t="s">
        <v>2686</v>
      </c>
      <c r="J1506" s="25" t="s">
        <v>3622</v>
      </c>
      <c r="K1506" s="25" t="s">
        <v>67</v>
      </c>
      <c r="L1506" s="25" t="s">
        <v>4033</v>
      </c>
      <c r="M1506" s="20" t="s">
        <v>3627</v>
      </c>
      <c r="N1506" s="20" t="s">
        <v>3628</v>
      </c>
      <c r="O1506" s="20" t="s">
        <v>56</v>
      </c>
      <c r="P1506" s="20"/>
      <c r="Q1506" s="26"/>
      <c r="R1506" s="26"/>
      <c r="S1506" s="26"/>
      <c r="T1506" s="20"/>
      <c r="U1506" s="26"/>
      <c r="V1506" s="26"/>
      <c r="W1506" s="20"/>
      <c r="X1506" s="20"/>
      <c r="Y1506" s="20"/>
      <c r="Z1506" s="20"/>
      <c r="AA1506" s="20"/>
      <c r="AB1506" s="20"/>
      <c r="AC1506" s="20"/>
      <c r="AD1506" s="20"/>
      <c r="AE1506" s="20"/>
    </row>
    <row r="1507">
      <c r="A1507" s="21">
        <v>39.0</v>
      </c>
      <c r="B1507" s="20" t="s">
        <v>3586</v>
      </c>
      <c r="C1507" s="20" t="s">
        <v>3920</v>
      </c>
      <c r="I1507" s="25" t="s">
        <v>3629</v>
      </c>
      <c r="J1507" s="25" t="s">
        <v>3622</v>
      </c>
      <c r="K1507" s="25" t="s">
        <v>67</v>
      </c>
      <c r="L1507" s="25" t="s">
        <v>1025</v>
      </c>
      <c r="M1507" s="20" t="s">
        <v>3630</v>
      </c>
      <c r="N1507" s="20" t="s">
        <v>3631</v>
      </c>
      <c r="O1507" s="20" t="s">
        <v>56</v>
      </c>
      <c r="P1507" s="20" t="s">
        <v>52</v>
      </c>
      <c r="Q1507" s="26"/>
      <c r="R1507" s="26"/>
      <c r="S1507" s="26"/>
      <c r="T1507" s="22"/>
      <c r="U1507" s="26"/>
      <c r="V1507" s="26"/>
      <c r="W1507" s="20"/>
      <c r="X1507" s="20"/>
      <c r="Y1507" s="20"/>
      <c r="Z1507" s="20"/>
      <c r="AA1507" s="20"/>
      <c r="AB1507" s="20"/>
      <c r="AC1507" s="20"/>
      <c r="AD1507" s="20"/>
      <c r="AE1507" s="20"/>
    </row>
    <row r="1508">
      <c r="A1508" s="21">
        <v>39.0</v>
      </c>
      <c r="B1508" s="20" t="s">
        <v>3586</v>
      </c>
      <c r="C1508" s="20" t="s">
        <v>3920</v>
      </c>
      <c r="I1508" s="25" t="s">
        <v>3568</v>
      </c>
      <c r="J1508" s="25" t="s">
        <v>3649</v>
      </c>
      <c r="K1508" s="25" t="s">
        <v>71</v>
      </c>
      <c r="L1508" s="25" t="s">
        <v>4039</v>
      </c>
      <c r="M1508" s="20" t="s">
        <v>3569</v>
      </c>
      <c r="N1508" s="20" t="s">
        <v>3570</v>
      </c>
      <c r="O1508" s="20" t="s">
        <v>63</v>
      </c>
      <c r="P1508" s="20"/>
      <c r="Q1508" s="26"/>
      <c r="R1508" s="26"/>
      <c r="S1508" s="26"/>
      <c r="T1508" s="20"/>
      <c r="U1508" s="26"/>
      <c r="V1508" s="26"/>
      <c r="W1508" s="20"/>
      <c r="X1508" s="20"/>
      <c r="Y1508" s="20"/>
      <c r="Z1508" s="20"/>
      <c r="AA1508" s="20"/>
      <c r="AB1508" s="20"/>
      <c r="AC1508" s="20"/>
      <c r="AD1508" s="20"/>
      <c r="AE1508" s="20"/>
    </row>
    <row r="1509">
      <c r="A1509" s="21">
        <v>39.0</v>
      </c>
      <c r="B1509" s="20" t="s">
        <v>3586</v>
      </c>
      <c r="C1509" s="20" t="s">
        <v>3920</v>
      </c>
      <c r="I1509" s="25" t="s">
        <v>2720</v>
      </c>
      <c r="J1509" s="25" t="s">
        <v>3622</v>
      </c>
      <c r="K1509" s="25" t="s">
        <v>67</v>
      </c>
      <c r="L1509" s="25" t="s">
        <v>1025</v>
      </c>
      <c r="M1509" s="20" t="s">
        <v>3632</v>
      </c>
      <c r="N1509" s="20" t="s">
        <v>3633</v>
      </c>
      <c r="O1509" s="20" t="s">
        <v>56</v>
      </c>
      <c r="P1509" s="20" t="s">
        <v>52</v>
      </c>
      <c r="Q1509" s="26"/>
      <c r="R1509" s="26"/>
      <c r="S1509" s="26"/>
      <c r="T1509" s="22"/>
      <c r="U1509" s="26"/>
      <c r="V1509" s="26"/>
      <c r="W1509" s="20"/>
      <c r="X1509" s="20"/>
      <c r="Y1509" s="20"/>
      <c r="Z1509" s="20"/>
      <c r="AA1509" s="20"/>
      <c r="AB1509" s="20"/>
      <c r="AC1509" s="20"/>
      <c r="AD1509" s="20"/>
      <c r="AE1509" s="20"/>
    </row>
    <row r="1510">
      <c r="A1510" s="21">
        <v>39.0</v>
      </c>
      <c r="B1510" s="20" t="s">
        <v>3586</v>
      </c>
      <c r="C1510" s="20" t="s">
        <v>3920</v>
      </c>
      <c r="I1510" s="25" t="s">
        <v>3643</v>
      </c>
      <c r="J1510" s="25" t="s">
        <v>3622</v>
      </c>
      <c r="K1510" s="25" t="s">
        <v>71</v>
      </c>
      <c r="L1510" s="25" t="s">
        <v>4047</v>
      </c>
      <c r="M1510" s="20" t="s">
        <v>3644</v>
      </c>
      <c r="N1510" s="20" t="s">
        <v>3645</v>
      </c>
      <c r="O1510" s="20" t="s">
        <v>56</v>
      </c>
      <c r="P1510" s="20"/>
      <c r="Q1510" s="26"/>
      <c r="R1510" s="26"/>
      <c r="S1510" s="26"/>
      <c r="T1510" s="20"/>
      <c r="U1510" s="26"/>
      <c r="V1510" s="26"/>
      <c r="W1510" s="20"/>
      <c r="X1510" s="20"/>
      <c r="Y1510" s="20"/>
      <c r="Z1510" s="20"/>
      <c r="AA1510" s="20"/>
      <c r="AB1510" s="20"/>
      <c r="AC1510" s="20"/>
      <c r="AD1510" s="20"/>
      <c r="AE1510" s="20"/>
    </row>
    <row r="1511">
      <c r="A1511" s="21">
        <v>39.0</v>
      </c>
      <c r="B1511" s="20" t="s">
        <v>3586</v>
      </c>
      <c r="C1511" s="20" t="s">
        <v>3920</v>
      </c>
      <c r="I1511" s="25" t="s">
        <v>3634</v>
      </c>
      <c r="J1511" s="25" t="s">
        <v>3622</v>
      </c>
      <c r="K1511" s="25" t="s">
        <v>67</v>
      </c>
      <c r="L1511" s="25" t="s">
        <v>1025</v>
      </c>
      <c r="M1511" s="20" t="s">
        <v>3635</v>
      </c>
      <c r="N1511" s="20" t="s">
        <v>3636</v>
      </c>
      <c r="O1511" s="20" t="s">
        <v>56</v>
      </c>
      <c r="P1511" s="20" t="s">
        <v>52</v>
      </c>
      <c r="Q1511" s="26"/>
      <c r="R1511" s="26"/>
      <c r="S1511" s="26"/>
      <c r="T1511" s="22"/>
      <c r="U1511" s="26"/>
      <c r="V1511" s="26"/>
      <c r="W1511" s="20"/>
      <c r="X1511" s="20"/>
      <c r="Y1511" s="20"/>
      <c r="Z1511" s="20"/>
      <c r="AA1511" s="20"/>
      <c r="AB1511" s="20"/>
      <c r="AC1511" s="20"/>
      <c r="AD1511" s="20"/>
      <c r="AE1511" s="20"/>
    </row>
    <row r="1512">
      <c r="A1512" s="21">
        <v>39.0</v>
      </c>
      <c r="B1512" s="20" t="s">
        <v>3586</v>
      </c>
      <c r="C1512" s="20" t="s">
        <v>3920</v>
      </c>
      <c r="I1512" s="25" t="s">
        <v>3662</v>
      </c>
      <c r="J1512" s="25" t="s">
        <v>3622</v>
      </c>
      <c r="K1512" s="25" t="s">
        <v>71</v>
      </c>
      <c r="L1512" s="25" t="s">
        <v>4058</v>
      </c>
      <c r="M1512" s="20" t="s">
        <v>3663</v>
      </c>
      <c r="N1512" s="20" t="s">
        <v>3664</v>
      </c>
      <c r="O1512" s="20" t="s">
        <v>63</v>
      </c>
      <c r="P1512" s="20"/>
      <c r="Q1512" s="26"/>
      <c r="R1512" s="26"/>
      <c r="S1512" s="26"/>
      <c r="T1512" s="20"/>
      <c r="U1512" s="26"/>
      <c r="V1512" s="26"/>
      <c r="W1512" s="20"/>
      <c r="X1512" s="20"/>
      <c r="Y1512" s="20"/>
      <c r="Z1512" s="20"/>
      <c r="AA1512" s="20"/>
      <c r="AB1512" s="20"/>
      <c r="AC1512" s="20"/>
      <c r="AD1512" s="20"/>
      <c r="AE1512" s="20"/>
    </row>
    <row r="1513">
      <c r="A1513" s="21">
        <v>39.0</v>
      </c>
      <c r="B1513" s="20" t="s">
        <v>3586</v>
      </c>
      <c r="C1513" s="20" t="s">
        <v>3920</v>
      </c>
      <c r="I1513" s="25" t="s">
        <v>3646</v>
      </c>
      <c r="J1513" s="25" t="s">
        <v>3622</v>
      </c>
      <c r="K1513" s="25" t="s">
        <v>71</v>
      </c>
      <c r="L1513" s="25" t="s">
        <v>4063</v>
      </c>
      <c r="M1513" s="20" t="s">
        <v>3647</v>
      </c>
      <c r="N1513" s="20" t="s">
        <v>3628</v>
      </c>
      <c r="O1513" s="20" t="s">
        <v>56</v>
      </c>
      <c r="P1513" s="20"/>
      <c r="Q1513" s="26"/>
      <c r="R1513" s="26"/>
      <c r="S1513" s="26"/>
      <c r="T1513" s="20"/>
      <c r="U1513" s="26"/>
      <c r="V1513" s="26"/>
      <c r="W1513" s="20"/>
      <c r="X1513" s="20"/>
      <c r="Y1513" s="20"/>
      <c r="Z1513" s="20"/>
      <c r="AA1513" s="20"/>
      <c r="AB1513" s="20"/>
      <c r="AC1513" s="20"/>
      <c r="AD1513" s="20"/>
      <c r="AE1513" s="20"/>
    </row>
    <row r="1514">
      <c r="A1514" s="21">
        <v>39.0</v>
      </c>
      <c r="B1514" s="20" t="s">
        <v>3586</v>
      </c>
      <c r="C1514" s="20" t="s">
        <v>3920</v>
      </c>
      <c r="I1514" s="25" t="s">
        <v>2902</v>
      </c>
      <c r="J1514" s="25" t="s">
        <v>3622</v>
      </c>
      <c r="K1514" s="25" t="s">
        <v>71</v>
      </c>
      <c r="L1514" s="25" t="s">
        <v>4066</v>
      </c>
      <c r="M1514" s="20" t="s">
        <v>61</v>
      </c>
      <c r="N1514" s="20" t="s">
        <v>3665</v>
      </c>
      <c r="O1514" s="20" t="s">
        <v>63</v>
      </c>
      <c r="P1514" s="20" t="s">
        <v>52</v>
      </c>
      <c r="Q1514" s="26"/>
      <c r="R1514" s="26"/>
      <c r="S1514" s="26"/>
      <c r="T1514" s="20"/>
      <c r="U1514" s="26"/>
      <c r="V1514" s="26"/>
      <c r="W1514" s="20"/>
      <c r="X1514" s="20"/>
      <c r="Y1514" s="20"/>
      <c r="Z1514" s="20"/>
      <c r="AA1514" s="20"/>
      <c r="AB1514" s="20"/>
      <c r="AC1514" s="20"/>
      <c r="AD1514" s="20"/>
      <c r="AE1514" s="20"/>
    </row>
    <row r="1515">
      <c r="A1515" s="21">
        <v>39.0</v>
      </c>
      <c r="B1515" s="20" t="s">
        <v>3586</v>
      </c>
      <c r="C1515" s="20" t="s">
        <v>3920</v>
      </c>
      <c r="I1515" s="25" t="s">
        <v>3594</v>
      </c>
      <c r="J1515" s="25" t="s">
        <v>3659</v>
      </c>
      <c r="K1515" s="25" t="s">
        <v>71</v>
      </c>
      <c r="L1515" s="25" t="s">
        <v>4066</v>
      </c>
      <c r="M1515" s="20" t="s">
        <v>3660</v>
      </c>
      <c r="N1515" s="20" t="s">
        <v>3661</v>
      </c>
      <c r="O1515" s="20" t="s">
        <v>63</v>
      </c>
      <c r="P1515" s="20" t="s">
        <v>52</v>
      </c>
      <c r="Q1515" s="26"/>
      <c r="R1515" s="26"/>
      <c r="S1515" s="26"/>
      <c r="T1515" s="20"/>
      <c r="U1515" s="26"/>
      <c r="V1515" s="26"/>
      <c r="W1515" s="20"/>
      <c r="X1515" s="20"/>
      <c r="Y1515" s="20"/>
      <c r="Z1515" s="20"/>
      <c r="AA1515" s="20"/>
      <c r="AB1515" s="20"/>
      <c r="AC1515" s="20"/>
      <c r="AD1515" s="20"/>
      <c r="AE1515" s="20"/>
    </row>
    <row r="1516">
      <c r="A1516" s="21">
        <v>39.0</v>
      </c>
      <c r="B1516" s="20" t="s">
        <v>3586</v>
      </c>
      <c r="C1516" s="20" t="s">
        <v>3920</v>
      </c>
      <c r="I1516" s="25" t="s">
        <v>2957</v>
      </c>
      <c r="J1516" s="25" t="s">
        <v>3649</v>
      </c>
      <c r="K1516" s="25" t="s">
        <v>71</v>
      </c>
      <c r="L1516" s="25" t="s">
        <v>4071</v>
      </c>
      <c r="M1516" s="20" t="s">
        <v>61</v>
      </c>
      <c r="N1516" s="20" t="s">
        <v>3652</v>
      </c>
      <c r="O1516" s="20" t="s">
        <v>63</v>
      </c>
      <c r="P1516" s="20" t="s">
        <v>52</v>
      </c>
      <c r="Q1516" s="26"/>
      <c r="R1516" s="26"/>
      <c r="S1516" s="26"/>
      <c r="T1516" s="20"/>
      <c r="U1516" s="26"/>
      <c r="V1516" s="26"/>
      <c r="W1516" s="20"/>
      <c r="X1516" s="20"/>
      <c r="Y1516" s="20"/>
      <c r="Z1516" s="20"/>
      <c r="AA1516" s="20"/>
      <c r="AB1516" s="20"/>
      <c r="AC1516" s="20"/>
      <c r="AD1516" s="20"/>
      <c r="AE1516" s="20"/>
    </row>
    <row r="1517">
      <c r="A1517" s="21">
        <v>39.0</v>
      </c>
      <c r="B1517" s="20" t="s">
        <v>3586</v>
      </c>
      <c r="C1517" s="20" t="s">
        <v>3920</v>
      </c>
      <c r="I1517" s="25" t="s">
        <v>3554</v>
      </c>
      <c r="J1517" s="25" t="s">
        <v>3649</v>
      </c>
      <c r="K1517" s="25" t="s">
        <v>71</v>
      </c>
      <c r="L1517" s="25" t="s">
        <v>4071</v>
      </c>
      <c r="M1517" s="20" t="s">
        <v>3654</v>
      </c>
      <c r="N1517" s="20" t="s">
        <v>3655</v>
      </c>
      <c r="O1517" s="20" t="s">
        <v>63</v>
      </c>
      <c r="P1517" s="20" t="s">
        <v>52</v>
      </c>
      <c r="Q1517" s="26"/>
      <c r="R1517" s="26"/>
      <c r="S1517" s="26"/>
      <c r="T1517" s="20"/>
      <c r="U1517" s="26"/>
      <c r="V1517" s="26"/>
      <c r="W1517" s="20"/>
      <c r="X1517" s="20"/>
      <c r="Y1517" s="20"/>
      <c r="Z1517" s="20"/>
      <c r="AA1517" s="20"/>
      <c r="AB1517" s="20"/>
      <c r="AC1517" s="20"/>
      <c r="AD1517" s="20"/>
      <c r="AE1517" s="20"/>
    </row>
    <row r="1518">
      <c r="A1518" s="21">
        <v>39.0</v>
      </c>
      <c r="B1518" s="20" t="s">
        <v>3586</v>
      </c>
      <c r="C1518" s="20" t="s">
        <v>3920</v>
      </c>
      <c r="I1518" s="25" t="s">
        <v>3580</v>
      </c>
      <c r="J1518" s="25" t="s">
        <v>3622</v>
      </c>
      <c r="K1518" s="25" t="s">
        <v>71</v>
      </c>
      <c r="L1518" s="25" t="s">
        <v>4076</v>
      </c>
      <c r="M1518" s="20" t="s">
        <v>61</v>
      </c>
      <c r="N1518" s="20" t="s">
        <v>3666</v>
      </c>
      <c r="O1518" s="20" t="s">
        <v>63</v>
      </c>
      <c r="P1518" s="20" t="s">
        <v>52</v>
      </c>
      <c r="Q1518" s="26"/>
      <c r="R1518" s="26"/>
      <c r="S1518" s="26"/>
      <c r="T1518" s="20"/>
      <c r="U1518" s="26"/>
      <c r="V1518" s="26"/>
      <c r="W1518" s="20"/>
      <c r="X1518" s="20"/>
      <c r="Y1518" s="20"/>
      <c r="Z1518" s="20"/>
      <c r="AA1518" s="20"/>
      <c r="AB1518" s="20"/>
      <c r="AC1518" s="20"/>
      <c r="AD1518" s="20"/>
      <c r="AE1518" s="20"/>
    </row>
    <row r="1519">
      <c r="A1519" s="21">
        <v>39.0</v>
      </c>
      <c r="B1519" s="20" t="s">
        <v>3586</v>
      </c>
      <c r="C1519" s="20" t="s">
        <v>3920</v>
      </c>
      <c r="I1519" s="25" t="s">
        <v>3637</v>
      </c>
      <c r="J1519" s="25" t="s">
        <v>3622</v>
      </c>
      <c r="K1519" s="25" t="s">
        <v>67</v>
      </c>
      <c r="L1519" s="25" t="s">
        <v>1025</v>
      </c>
      <c r="M1519" s="20" t="s">
        <v>3638</v>
      </c>
      <c r="N1519" s="20" t="s">
        <v>3639</v>
      </c>
      <c r="O1519" s="20" t="s">
        <v>56</v>
      </c>
      <c r="P1519" s="20" t="s">
        <v>52</v>
      </c>
      <c r="Q1519" s="26"/>
      <c r="R1519" s="26"/>
      <c r="S1519" s="26"/>
      <c r="T1519" s="22"/>
      <c r="U1519" s="26"/>
      <c r="V1519" s="26"/>
      <c r="W1519" s="20"/>
      <c r="X1519" s="20"/>
      <c r="Y1519" s="20"/>
      <c r="Z1519" s="20"/>
      <c r="AA1519" s="20"/>
      <c r="AB1519" s="20"/>
      <c r="AC1519" s="20"/>
      <c r="AD1519" s="20"/>
      <c r="AE1519" s="20"/>
    </row>
    <row r="1520">
      <c r="A1520" s="21">
        <v>39.0</v>
      </c>
      <c r="B1520" s="20" t="s">
        <v>3586</v>
      </c>
      <c r="C1520" s="20" t="s">
        <v>3920</v>
      </c>
      <c r="I1520" s="25" t="s">
        <v>3590</v>
      </c>
      <c r="J1520" s="25" t="s">
        <v>3622</v>
      </c>
      <c r="K1520" s="25" t="s">
        <v>71</v>
      </c>
      <c r="L1520" s="25" t="s">
        <v>3987</v>
      </c>
      <c r="M1520" s="20" t="s">
        <v>61</v>
      </c>
      <c r="N1520" s="20" t="s">
        <v>3667</v>
      </c>
      <c r="O1520" s="20" t="s">
        <v>63</v>
      </c>
      <c r="P1520" s="20" t="s">
        <v>52</v>
      </c>
      <c r="Q1520" s="26"/>
      <c r="R1520" s="26"/>
      <c r="S1520" s="26"/>
      <c r="T1520" s="20"/>
      <c r="U1520" s="26"/>
      <c r="V1520" s="26"/>
      <c r="W1520" s="20"/>
      <c r="X1520" s="20"/>
      <c r="Y1520" s="20"/>
      <c r="Z1520" s="20"/>
      <c r="AA1520" s="20"/>
      <c r="AB1520" s="20"/>
      <c r="AC1520" s="20"/>
      <c r="AD1520" s="20"/>
      <c r="AE1520" s="20"/>
    </row>
    <row r="1521">
      <c r="A1521" s="21">
        <v>39.0</v>
      </c>
      <c r="B1521" s="20" t="s">
        <v>3586</v>
      </c>
      <c r="C1521" s="20" t="s">
        <v>3920</v>
      </c>
      <c r="I1521" s="25" t="s">
        <v>3610</v>
      </c>
      <c r="J1521" s="25" t="s">
        <v>3622</v>
      </c>
      <c r="K1521" s="25" t="s">
        <v>71</v>
      </c>
      <c r="L1521" s="25" t="s">
        <v>4081</v>
      </c>
      <c r="M1521" s="20" t="s">
        <v>61</v>
      </c>
      <c r="N1521" s="20" t="s">
        <v>3668</v>
      </c>
      <c r="O1521" s="20" t="s">
        <v>63</v>
      </c>
      <c r="P1521" s="20" t="s">
        <v>52</v>
      </c>
      <c r="Q1521" s="26"/>
      <c r="R1521" s="26"/>
      <c r="S1521" s="26"/>
      <c r="T1521" s="20"/>
      <c r="U1521" s="26"/>
      <c r="V1521" s="26"/>
      <c r="W1521" s="20"/>
      <c r="X1521" s="20"/>
      <c r="Y1521" s="20"/>
      <c r="Z1521" s="20"/>
      <c r="AA1521" s="20"/>
      <c r="AB1521" s="20"/>
      <c r="AC1521" s="20"/>
      <c r="AD1521" s="20"/>
      <c r="AE1521" s="20"/>
    </row>
    <row r="1522">
      <c r="A1522" s="21">
        <v>39.0</v>
      </c>
      <c r="B1522" s="20" t="s">
        <v>3586</v>
      </c>
      <c r="C1522" s="20" t="s">
        <v>3920</v>
      </c>
      <c r="I1522" s="25" t="s">
        <v>3558</v>
      </c>
      <c r="J1522" s="25" t="s">
        <v>3649</v>
      </c>
      <c r="K1522" s="25" t="s">
        <v>71</v>
      </c>
      <c r="L1522" s="25" t="s">
        <v>4087</v>
      </c>
      <c r="M1522" s="20" t="s">
        <v>61</v>
      </c>
      <c r="N1522" s="20" t="s">
        <v>3559</v>
      </c>
      <c r="O1522" s="20" t="s">
        <v>63</v>
      </c>
      <c r="P1522" s="20" t="s">
        <v>52</v>
      </c>
      <c r="Q1522" s="26"/>
      <c r="R1522" s="26"/>
      <c r="S1522" s="26"/>
      <c r="T1522" s="20"/>
      <c r="U1522" s="26"/>
      <c r="V1522" s="26"/>
      <c r="W1522" s="20"/>
      <c r="X1522" s="20"/>
      <c r="Y1522" s="20"/>
      <c r="Z1522" s="20"/>
      <c r="AA1522" s="20"/>
      <c r="AB1522" s="20"/>
      <c r="AC1522" s="20"/>
      <c r="AD1522" s="20"/>
      <c r="AE1522" s="20"/>
    </row>
    <row r="1523">
      <c r="A1523" s="21">
        <v>39.0</v>
      </c>
      <c r="B1523" s="20" t="s">
        <v>3586</v>
      </c>
      <c r="C1523" s="20" t="s">
        <v>3920</v>
      </c>
      <c r="I1523" s="25" t="s">
        <v>2947</v>
      </c>
      <c r="J1523" s="25" t="s">
        <v>3622</v>
      </c>
      <c r="K1523" s="25" t="s">
        <v>71</v>
      </c>
      <c r="L1523" s="25" t="s">
        <v>4089</v>
      </c>
      <c r="M1523" s="20" t="s">
        <v>61</v>
      </c>
      <c r="N1523" s="20" t="s">
        <v>3669</v>
      </c>
      <c r="O1523" s="20" t="s">
        <v>63</v>
      </c>
      <c r="P1523" s="20" t="s">
        <v>52</v>
      </c>
      <c r="Q1523" s="26"/>
      <c r="R1523" s="26"/>
      <c r="S1523" s="26"/>
      <c r="T1523" s="20"/>
      <c r="U1523" s="26"/>
      <c r="V1523" s="26"/>
      <c r="W1523" s="20"/>
      <c r="X1523" s="20"/>
      <c r="Y1523" s="20"/>
      <c r="Z1523" s="20"/>
      <c r="AA1523" s="20"/>
      <c r="AB1523" s="20"/>
      <c r="AC1523" s="20"/>
      <c r="AD1523" s="20"/>
      <c r="AE1523" s="20"/>
    </row>
    <row r="1524">
      <c r="A1524" s="21">
        <v>39.0</v>
      </c>
      <c r="B1524" s="20" t="s">
        <v>3586</v>
      </c>
      <c r="C1524" s="20" t="s">
        <v>3920</v>
      </c>
      <c r="I1524" s="25" t="s">
        <v>3618</v>
      </c>
      <c r="J1524" s="25" t="s">
        <v>3622</v>
      </c>
      <c r="K1524" s="25" t="s">
        <v>71</v>
      </c>
      <c r="L1524" s="25" t="s">
        <v>3992</v>
      </c>
      <c r="M1524" s="20" t="s">
        <v>3670</v>
      </c>
      <c r="N1524" s="20" t="s">
        <v>3671</v>
      </c>
      <c r="O1524" s="20" t="s">
        <v>63</v>
      </c>
      <c r="P1524" s="20" t="s">
        <v>52</v>
      </c>
      <c r="Q1524" s="26"/>
      <c r="R1524" s="26"/>
      <c r="S1524" s="26"/>
      <c r="T1524" s="20"/>
      <c r="U1524" s="26"/>
      <c r="V1524" s="26"/>
      <c r="W1524" s="20"/>
      <c r="X1524" s="20"/>
      <c r="Y1524" s="20"/>
      <c r="Z1524" s="20"/>
      <c r="AA1524" s="20"/>
      <c r="AB1524" s="20"/>
      <c r="AC1524" s="20"/>
      <c r="AD1524" s="20"/>
      <c r="AE1524" s="20"/>
    </row>
    <row r="1525">
      <c r="A1525" s="21">
        <v>39.0</v>
      </c>
      <c r="B1525" s="20" t="s">
        <v>3586</v>
      </c>
      <c r="C1525" s="20" t="s">
        <v>3920</v>
      </c>
      <c r="I1525" s="25" t="s">
        <v>3620</v>
      </c>
      <c r="J1525" s="25" t="s">
        <v>3622</v>
      </c>
      <c r="K1525" s="25" t="s">
        <v>71</v>
      </c>
      <c r="L1525" s="25" t="s">
        <v>3992</v>
      </c>
      <c r="M1525" s="20" t="s">
        <v>3672</v>
      </c>
      <c r="N1525" s="20" t="s">
        <v>3673</v>
      </c>
      <c r="O1525" s="20" t="s">
        <v>63</v>
      </c>
      <c r="P1525" s="20" t="s">
        <v>52</v>
      </c>
      <c r="Q1525" s="26"/>
      <c r="R1525" s="26"/>
      <c r="S1525" s="26"/>
      <c r="T1525" s="20"/>
      <c r="U1525" s="26"/>
      <c r="V1525" s="26"/>
      <c r="W1525" s="20"/>
      <c r="X1525" s="20"/>
      <c r="Y1525" s="20"/>
      <c r="Z1525" s="20"/>
      <c r="AA1525" s="20"/>
      <c r="AB1525" s="20"/>
      <c r="AC1525" s="20"/>
      <c r="AD1525" s="20"/>
      <c r="AE1525" s="20"/>
    </row>
    <row r="1526">
      <c r="A1526" s="21">
        <v>39.0</v>
      </c>
      <c r="B1526" s="20" t="s">
        <v>3586</v>
      </c>
      <c r="C1526" s="20" t="s">
        <v>3920</v>
      </c>
      <c r="I1526" s="25" t="s">
        <v>919</v>
      </c>
      <c r="J1526" s="25" t="s">
        <v>3649</v>
      </c>
      <c r="K1526" s="25" t="s">
        <v>71</v>
      </c>
      <c r="L1526" s="25" t="s">
        <v>4087</v>
      </c>
      <c r="M1526" s="20" t="s">
        <v>3584</v>
      </c>
      <c r="N1526" s="20" t="s">
        <v>3585</v>
      </c>
      <c r="O1526" s="20" t="s">
        <v>63</v>
      </c>
      <c r="P1526" s="20" t="s">
        <v>52</v>
      </c>
      <c r="Q1526" s="26"/>
      <c r="R1526" s="26"/>
      <c r="S1526" s="26"/>
      <c r="T1526" s="20"/>
      <c r="U1526" s="26"/>
      <c r="V1526" s="26"/>
      <c r="W1526" s="20"/>
      <c r="X1526" s="20"/>
      <c r="Y1526" s="20"/>
      <c r="Z1526" s="20"/>
      <c r="AA1526" s="20"/>
      <c r="AB1526" s="20"/>
      <c r="AC1526" s="20"/>
      <c r="AD1526" s="20"/>
      <c r="AE1526" s="20"/>
    </row>
    <row r="1527">
      <c r="A1527" s="21">
        <v>39.0</v>
      </c>
      <c r="B1527" s="20" t="s">
        <v>3586</v>
      </c>
      <c r="C1527" s="20" t="s">
        <v>3920</v>
      </c>
      <c r="I1527" s="25" t="s">
        <v>3592</v>
      </c>
      <c r="J1527" s="25" t="s">
        <v>3649</v>
      </c>
      <c r="K1527" s="25" t="s">
        <v>71</v>
      </c>
      <c r="L1527" s="25" t="s">
        <v>4001</v>
      </c>
      <c r="M1527" s="20" t="s">
        <v>61</v>
      </c>
      <c r="N1527" s="20" t="s">
        <v>3593</v>
      </c>
      <c r="O1527" s="20" t="s">
        <v>63</v>
      </c>
      <c r="P1527" s="20" t="s">
        <v>52</v>
      </c>
      <c r="Q1527" s="26"/>
      <c r="R1527" s="26"/>
      <c r="S1527" s="26"/>
      <c r="T1527" s="20"/>
      <c r="U1527" s="26"/>
      <c r="V1527" s="26"/>
      <c r="W1527" s="20"/>
      <c r="X1527" s="20"/>
      <c r="Y1527" s="20"/>
      <c r="Z1527" s="20"/>
      <c r="AA1527" s="20"/>
      <c r="AB1527" s="20"/>
      <c r="AC1527" s="20"/>
      <c r="AD1527" s="20"/>
      <c r="AE1527" s="20"/>
    </row>
    <row r="1528">
      <c r="A1528" s="21">
        <v>39.0</v>
      </c>
      <c r="B1528" s="20" t="s">
        <v>3586</v>
      </c>
      <c r="C1528" s="20" t="s">
        <v>3920</v>
      </c>
      <c r="I1528" s="25" t="s">
        <v>1338</v>
      </c>
      <c r="J1528" s="25" t="s">
        <v>3622</v>
      </c>
      <c r="K1528" s="25" t="s">
        <v>71</v>
      </c>
      <c r="L1528" s="25" t="s">
        <v>4006</v>
      </c>
      <c r="M1528" s="20" t="s">
        <v>3674</v>
      </c>
      <c r="N1528" s="20" t="s">
        <v>3675</v>
      </c>
      <c r="O1528" s="20" t="s">
        <v>63</v>
      </c>
      <c r="P1528" s="20" t="s">
        <v>52</v>
      </c>
      <c r="Q1528" s="26"/>
      <c r="R1528" s="26"/>
      <c r="S1528" s="26"/>
      <c r="T1528" s="20"/>
      <c r="U1528" s="26"/>
      <c r="V1528" s="26"/>
      <c r="W1528" s="20"/>
      <c r="X1528" s="20"/>
      <c r="Y1528" s="20"/>
      <c r="Z1528" s="20"/>
      <c r="AA1528" s="20"/>
      <c r="AB1528" s="20"/>
      <c r="AC1528" s="20"/>
      <c r="AD1528" s="20"/>
      <c r="AE1528" s="20"/>
    </row>
    <row r="1529">
      <c r="A1529" s="21">
        <v>39.0</v>
      </c>
      <c r="B1529" s="20" t="s">
        <v>3586</v>
      </c>
      <c r="C1529" s="20" t="s">
        <v>3920</v>
      </c>
      <c r="I1529" s="25" t="s">
        <v>3676</v>
      </c>
      <c r="J1529" s="25" t="s">
        <v>3622</v>
      </c>
      <c r="K1529" s="25" t="s">
        <v>71</v>
      </c>
      <c r="L1529" s="25" t="s">
        <v>3987</v>
      </c>
      <c r="M1529" s="20" t="s">
        <v>3677</v>
      </c>
      <c r="N1529" s="20" t="s">
        <v>3678</v>
      </c>
      <c r="O1529" s="20" t="s">
        <v>63</v>
      </c>
      <c r="P1529" s="20" t="s">
        <v>52</v>
      </c>
      <c r="Q1529" s="26"/>
      <c r="R1529" s="26"/>
      <c r="S1529" s="26"/>
      <c r="T1529" s="20"/>
      <c r="U1529" s="26"/>
      <c r="V1529" s="26"/>
      <c r="W1529" s="20"/>
      <c r="X1529" s="20"/>
      <c r="Y1529" s="20"/>
      <c r="Z1529" s="20"/>
      <c r="AA1529" s="20"/>
      <c r="AB1529" s="20"/>
      <c r="AC1529" s="20"/>
      <c r="AD1529" s="20"/>
      <c r="AE1529" s="20"/>
    </row>
    <row r="1530">
      <c r="A1530" s="21">
        <v>39.0</v>
      </c>
      <c r="B1530" s="20" t="s">
        <v>3586</v>
      </c>
      <c r="C1530" s="20" t="s">
        <v>3920</v>
      </c>
      <c r="I1530" s="25" t="s">
        <v>3679</v>
      </c>
      <c r="J1530" s="25" t="s">
        <v>3622</v>
      </c>
      <c r="K1530" s="25" t="s">
        <v>71</v>
      </c>
      <c r="L1530" s="25" t="s">
        <v>292</v>
      </c>
      <c r="M1530" s="20" t="s">
        <v>3680</v>
      </c>
      <c r="N1530" s="20" t="s">
        <v>3681</v>
      </c>
      <c r="O1530" s="20" t="s">
        <v>63</v>
      </c>
      <c r="P1530" s="20" t="s">
        <v>52</v>
      </c>
      <c r="Q1530" s="26"/>
      <c r="R1530" s="26"/>
      <c r="S1530" s="26"/>
      <c r="T1530" s="22"/>
      <c r="U1530" s="26"/>
      <c r="V1530" s="26"/>
      <c r="W1530" s="20"/>
      <c r="X1530" s="20"/>
      <c r="Y1530" s="20"/>
      <c r="Z1530" s="20"/>
      <c r="AA1530" s="20"/>
      <c r="AB1530" s="20"/>
      <c r="AC1530" s="20"/>
      <c r="AD1530" s="20"/>
      <c r="AE1530" s="20"/>
    </row>
    <row r="1531">
      <c r="A1531" s="21">
        <v>39.0</v>
      </c>
      <c r="B1531" s="20" t="s">
        <v>3586</v>
      </c>
      <c r="C1531" s="20" t="s">
        <v>3920</v>
      </c>
      <c r="I1531" s="25" t="s">
        <v>3682</v>
      </c>
      <c r="J1531" s="25" t="s">
        <v>3622</v>
      </c>
      <c r="K1531" s="25" t="s">
        <v>71</v>
      </c>
      <c r="L1531" s="25" t="s">
        <v>4105</v>
      </c>
      <c r="M1531" s="20" t="s">
        <v>61</v>
      </c>
      <c r="N1531" s="20" t="s">
        <v>3683</v>
      </c>
      <c r="O1531" s="20" t="s">
        <v>63</v>
      </c>
      <c r="P1531" s="20" t="s">
        <v>52</v>
      </c>
      <c r="Q1531" s="26"/>
      <c r="R1531" s="26"/>
      <c r="S1531" s="26"/>
      <c r="T1531" s="20"/>
      <c r="U1531" s="26"/>
      <c r="V1531" s="26"/>
      <c r="W1531" s="20"/>
      <c r="X1531" s="20"/>
      <c r="Y1531" s="20"/>
      <c r="Z1531" s="20"/>
      <c r="AA1531" s="20"/>
      <c r="AB1531" s="20"/>
      <c r="AC1531" s="20"/>
      <c r="AD1531" s="20"/>
      <c r="AE1531" s="20"/>
    </row>
    <row r="1532">
      <c r="A1532" s="21">
        <v>40.0</v>
      </c>
      <c r="B1532" s="20" t="s">
        <v>3676</v>
      </c>
      <c r="C1532" s="20" t="s">
        <v>3920</v>
      </c>
      <c r="D1532" s="35">
        <v>30.0</v>
      </c>
      <c r="E1532" s="35">
        <v>3.0</v>
      </c>
      <c r="F1532" s="35">
        <v>1.0</v>
      </c>
      <c r="G1532" s="35">
        <v>26.0</v>
      </c>
      <c r="H1532" s="36" t="s">
        <v>4110</v>
      </c>
      <c r="I1532" s="25" t="s">
        <v>3689</v>
      </c>
      <c r="J1532" s="25" t="s">
        <v>3684</v>
      </c>
      <c r="K1532" s="25" t="s">
        <v>57</v>
      </c>
      <c r="L1532" s="25" t="s">
        <v>4111</v>
      </c>
      <c r="M1532" s="20" t="s">
        <v>61</v>
      </c>
      <c r="N1532" s="20" t="s">
        <v>3690</v>
      </c>
      <c r="O1532" s="20" t="s">
        <v>63</v>
      </c>
      <c r="P1532" s="20"/>
      <c r="Q1532" s="26"/>
      <c r="R1532" s="26"/>
      <c r="S1532" s="26"/>
      <c r="T1532" s="20"/>
      <c r="U1532" s="26"/>
      <c r="V1532" s="26"/>
      <c r="W1532" s="20"/>
      <c r="X1532" s="20"/>
      <c r="Y1532" s="20"/>
      <c r="Z1532" s="20"/>
      <c r="AA1532" s="20"/>
      <c r="AB1532" s="20"/>
      <c r="AC1532" s="20"/>
      <c r="AD1532" s="20"/>
      <c r="AE1532" s="20"/>
    </row>
    <row r="1533">
      <c r="A1533" s="21">
        <v>40.0</v>
      </c>
      <c r="B1533" s="20" t="s">
        <v>3676</v>
      </c>
      <c r="C1533" s="20" t="s">
        <v>3920</v>
      </c>
      <c r="I1533" s="25" t="s">
        <v>3610</v>
      </c>
      <c r="J1533" s="25" t="s">
        <v>3686</v>
      </c>
      <c r="K1533" s="25" t="s">
        <v>57</v>
      </c>
      <c r="L1533" s="25" t="s">
        <v>4116</v>
      </c>
      <c r="M1533" s="20" t="s">
        <v>3687</v>
      </c>
      <c r="N1533" s="20" t="s">
        <v>3688</v>
      </c>
      <c r="O1533" s="20" t="s">
        <v>56</v>
      </c>
      <c r="P1533" s="20"/>
      <c r="Q1533" s="26"/>
      <c r="R1533" s="26"/>
      <c r="S1533" s="26"/>
      <c r="T1533" s="20"/>
      <c r="U1533" s="26"/>
      <c r="V1533" s="26"/>
      <c r="W1533" s="20"/>
      <c r="X1533" s="20"/>
      <c r="Y1533" s="20"/>
      <c r="Z1533" s="20"/>
      <c r="AA1533" s="20"/>
      <c r="AB1533" s="20"/>
      <c r="AC1533" s="20"/>
      <c r="AD1533" s="20"/>
      <c r="AE1533" s="20"/>
    </row>
    <row r="1534">
      <c r="A1534" s="21">
        <v>40.0</v>
      </c>
      <c r="B1534" s="20" t="s">
        <v>3676</v>
      </c>
      <c r="C1534" s="20" t="s">
        <v>3920</v>
      </c>
      <c r="I1534" s="25" t="s">
        <v>2417</v>
      </c>
      <c r="J1534" s="25" t="s">
        <v>3684</v>
      </c>
      <c r="K1534" s="25" t="s">
        <v>71</v>
      </c>
      <c r="L1534" s="25" t="s">
        <v>226</v>
      </c>
      <c r="M1534" s="20" t="s">
        <v>3696</v>
      </c>
      <c r="N1534" s="20" t="s">
        <v>3697</v>
      </c>
      <c r="O1534" s="20" t="s">
        <v>63</v>
      </c>
      <c r="P1534" s="20" t="s">
        <v>52</v>
      </c>
      <c r="Q1534" s="26"/>
      <c r="R1534" s="26"/>
      <c r="S1534" s="26"/>
      <c r="T1534" s="22"/>
      <c r="U1534" s="26"/>
      <c r="V1534" s="26"/>
      <c r="W1534" s="20"/>
      <c r="X1534" s="20"/>
      <c r="Y1534" s="20"/>
      <c r="Z1534" s="20"/>
      <c r="AA1534" s="20"/>
      <c r="AB1534" s="20"/>
      <c r="AC1534" s="20"/>
      <c r="AD1534" s="20"/>
      <c r="AE1534" s="20"/>
    </row>
    <row r="1535">
      <c r="A1535" s="21">
        <v>40.0</v>
      </c>
      <c r="B1535" s="20" t="s">
        <v>3676</v>
      </c>
      <c r="C1535" s="20" t="s">
        <v>3920</v>
      </c>
      <c r="I1535" s="25" t="s">
        <v>3565</v>
      </c>
      <c r="J1535" s="25" t="s">
        <v>3684</v>
      </c>
      <c r="K1535" s="25" t="s">
        <v>57</v>
      </c>
      <c r="L1535" s="25" t="s">
        <v>4120</v>
      </c>
      <c r="M1535" s="20" t="s">
        <v>61</v>
      </c>
      <c r="N1535" s="20" t="s">
        <v>3685</v>
      </c>
      <c r="O1535" s="20" t="s">
        <v>56</v>
      </c>
      <c r="P1535" s="20"/>
      <c r="Q1535" s="26"/>
      <c r="R1535" s="26"/>
      <c r="S1535" s="26"/>
      <c r="T1535" s="20"/>
      <c r="U1535" s="26"/>
      <c r="V1535" s="26"/>
      <c r="W1535" s="20"/>
      <c r="X1535" s="20"/>
      <c r="Y1535" s="20"/>
      <c r="Z1535" s="20"/>
      <c r="AA1535" s="20"/>
      <c r="AB1535" s="20"/>
      <c r="AC1535" s="20"/>
      <c r="AD1535" s="20"/>
      <c r="AE1535" s="20"/>
    </row>
    <row r="1536">
      <c r="A1536" s="21">
        <v>40.0</v>
      </c>
      <c r="B1536" s="20" t="s">
        <v>3676</v>
      </c>
      <c r="C1536" s="20" t="s">
        <v>3920</v>
      </c>
      <c r="I1536" s="25" t="s">
        <v>1402</v>
      </c>
      <c r="J1536" s="25" t="s">
        <v>3684</v>
      </c>
      <c r="K1536" s="25" t="s">
        <v>67</v>
      </c>
      <c r="L1536" s="25" t="s">
        <v>4125</v>
      </c>
      <c r="M1536" s="20" t="s">
        <v>61</v>
      </c>
      <c r="N1536" s="20" t="s">
        <v>3691</v>
      </c>
      <c r="O1536" s="20" t="s">
        <v>63</v>
      </c>
      <c r="P1536" s="20"/>
      <c r="Q1536" s="26"/>
      <c r="R1536" s="26"/>
      <c r="S1536" s="26"/>
      <c r="T1536" s="20"/>
      <c r="U1536" s="26"/>
      <c r="V1536" s="26"/>
      <c r="W1536" s="20"/>
      <c r="X1536" s="20"/>
      <c r="Y1536" s="20"/>
      <c r="Z1536" s="20"/>
      <c r="AA1536" s="20"/>
      <c r="AB1536" s="20"/>
      <c r="AC1536" s="20"/>
      <c r="AD1536" s="20"/>
      <c r="AE1536" s="20"/>
    </row>
    <row r="1537">
      <c r="A1537" s="21">
        <v>40.0</v>
      </c>
      <c r="B1537" s="20" t="s">
        <v>3676</v>
      </c>
      <c r="C1537" s="20" t="s">
        <v>3920</v>
      </c>
      <c r="I1537" s="25" t="s">
        <v>1716</v>
      </c>
      <c r="J1537" s="25" t="s">
        <v>3684</v>
      </c>
      <c r="K1537" s="25" t="s">
        <v>71</v>
      </c>
      <c r="L1537" s="25" t="s">
        <v>292</v>
      </c>
      <c r="M1537" s="20" t="s">
        <v>1717</v>
      </c>
      <c r="N1537" s="20" t="s">
        <v>3698</v>
      </c>
      <c r="O1537" s="20" t="s">
        <v>63</v>
      </c>
      <c r="P1537" s="20" t="s">
        <v>52</v>
      </c>
      <c r="Q1537" s="26"/>
      <c r="R1537" s="26"/>
      <c r="S1537" s="26"/>
      <c r="T1537" s="22"/>
      <c r="U1537" s="26"/>
      <c r="V1537" s="26"/>
      <c r="W1537" s="20"/>
      <c r="X1537" s="20"/>
      <c r="Y1537" s="20"/>
      <c r="Z1537" s="20"/>
      <c r="AA1537" s="20"/>
      <c r="AB1537" s="20"/>
      <c r="AC1537" s="20"/>
      <c r="AD1537" s="20"/>
      <c r="AE1537" s="20"/>
    </row>
    <row r="1538">
      <c r="A1538" s="21">
        <v>40.0</v>
      </c>
      <c r="B1538" s="20" t="s">
        <v>3676</v>
      </c>
      <c r="C1538" s="20" t="s">
        <v>3920</v>
      </c>
      <c r="I1538" s="25" t="s">
        <v>3568</v>
      </c>
      <c r="J1538" s="25" t="s">
        <v>3684</v>
      </c>
      <c r="K1538" s="25" t="s">
        <v>71</v>
      </c>
      <c r="L1538" s="25" t="s">
        <v>4129</v>
      </c>
      <c r="M1538" s="20" t="s">
        <v>3701</v>
      </c>
      <c r="N1538" s="20" t="s">
        <v>3702</v>
      </c>
      <c r="O1538" s="20" t="s">
        <v>63</v>
      </c>
      <c r="P1538" s="20"/>
      <c r="Q1538" s="26"/>
      <c r="R1538" s="26"/>
      <c r="S1538" s="26"/>
      <c r="T1538" s="20"/>
      <c r="U1538" s="26"/>
      <c r="V1538" s="26"/>
      <c r="W1538" s="20"/>
      <c r="X1538" s="20"/>
      <c r="Y1538" s="20"/>
      <c r="Z1538" s="20"/>
      <c r="AA1538" s="20"/>
      <c r="AB1538" s="20"/>
      <c r="AC1538" s="20"/>
      <c r="AD1538" s="20"/>
      <c r="AE1538" s="20"/>
    </row>
    <row r="1539">
      <c r="A1539" s="21">
        <v>40.0</v>
      </c>
      <c r="B1539" s="20" t="s">
        <v>3676</v>
      </c>
      <c r="C1539" s="20" t="s">
        <v>3920</v>
      </c>
      <c r="I1539" s="25" t="s">
        <v>3590</v>
      </c>
      <c r="J1539" s="25" t="s">
        <v>3686</v>
      </c>
      <c r="K1539" s="25" t="s">
        <v>71</v>
      </c>
      <c r="L1539" s="25" t="s">
        <v>4135</v>
      </c>
      <c r="M1539" s="20" t="s">
        <v>3693</v>
      </c>
      <c r="N1539" s="20" t="s">
        <v>3694</v>
      </c>
      <c r="O1539" s="20" t="s">
        <v>56</v>
      </c>
      <c r="P1539" s="20"/>
      <c r="Q1539" s="26"/>
      <c r="R1539" s="26"/>
      <c r="S1539" s="26"/>
      <c r="T1539" s="20"/>
      <c r="U1539" s="26"/>
      <c r="V1539" s="26"/>
      <c r="W1539" s="20"/>
      <c r="X1539" s="20"/>
      <c r="Y1539" s="20"/>
      <c r="Z1539" s="20"/>
      <c r="AA1539" s="20"/>
      <c r="AB1539" s="20"/>
      <c r="AC1539" s="20"/>
      <c r="AD1539" s="20"/>
      <c r="AE1539" s="20"/>
    </row>
    <row r="1540">
      <c r="A1540" s="21">
        <v>40.0</v>
      </c>
      <c r="B1540" s="20" t="s">
        <v>3676</v>
      </c>
      <c r="C1540" s="20" t="s">
        <v>3920</v>
      </c>
      <c r="I1540" s="25" t="s">
        <v>3586</v>
      </c>
      <c r="J1540" s="25" t="s">
        <v>3684</v>
      </c>
      <c r="K1540" s="25" t="s">
        <v>71</v>
      </c>
      <c r="L1540" s="25" t="s">
        <v>3978</v>
      </c>
      <c r="M1540" s="20" t="s">
        <v>3705</v>
      </c>
      <c r="N1540" s="20" t="s">
        <v>3706</v>
      </c>
      <c r="O1540" s="20" t="s">
        <v>63</v>
      </c>
      <c r="P1540" s="20" t="s">
        <v>52</v>
      </c>
      <c r="Q1540" s="26"/>
      <c r="R1540" s="26"/>
      <c r="S1540" s="26"/>
      <c r="T1540" s="20"/>
      <c r="U1540" s="26"/>
      <c r="V1540" s="26"/>
      <c r="W1540" s="20"/>
      <c r="X1540" s="20"/>
      <c r="Y1540" s="20"/>
      <c r="Z1540" s="20"/>
      <c r="AA1540" s="20"/>
      <c r="AB1540" s="20"/>
      <c r="AC1540" s="20"/>
      <c r="AD1540" s="20"/>
      <c r="AE1540" s="20"/>
    </row>
    <row r="1541">
      <c r="A1541" s="21">
        <v>40.0</v>
      </c>
      <c r="B1541" s="20" t="s">
        <v>3676</v>
      </c>
      <c r="C1541" s="20" t="s">
        <v>3920</v>
      </c>
      <c r="I1541" s="25" t="s">
        <v>2957</v>
      </c>
      <c r="J1541" s="25" t="s">
        <v>3684</v>
      </c>
      <c r="K1541" s="25" t="s">
        <v>71</v>
      </c>
      <c r="L1541" s="25" t="s">
        <v>4071</v>
      </c>
      <c r="M1541" s="20" t="s">
        <v>61</v>
      </c>
      <c r="N1541" s="20" t="s">
        <v>3708</v>
      </c>
      <c r="O1541" s="20" t="s">
        <v>63</v>
      </c>
      <c r="P1541" s="20" t="s">
        <v>52</v>
      </c>
      <c r="Q1541" s="26"/>
      <c r="R1541" s="26"/>
      <c r="S1541" s="26"/>
      <c r="T1541" s="20"/>
      <c r="U1541" s="26"/>
      <c r="V1541" s="26"/>
      <c r="W1541" s="20"/>
      <c r="X1541" s="20"/>
      <c r="Y1541" s="20"/>
      <c r="Z1541" s="20"/>
      <c r="AA1541" s="20"/>
      <c r="AB1541" s="20"/>
      <c r="AC1541" s="20"/>
      <c r="AD1541" s="20"/>
      <c r="AE1541" s="20"/>
    </row>
    <row r="1542">
      <c r="A1542" s="21">
        <v>40.0</v>
      </c>
      <c r="B1542" s="20" t="s">
        <v>3676</v>
      </c>
      <c r="C1542" s="20" t="s">
        <v>3920</v>
      </c>
      <c r="I1542" s="25" t="s">
        <v>3554</v>
      </c>
      <c r="J1542" s="25" t="s">
        <v>3684</v>
      </c>
      <c r="K1542" s="25" t="s">
        <v>71</v>
      </c>
      <c r="L1542" s="25" t="s">
        <v>4071</v>
      </c>
      <c r="M1542" s="20" t="s">
        <v>61</v>
      </c>
      <c r="N1542" s="20" t="s">
        <v>3710</v>
      </c>
      <c r="O1542" s="20" t="s">
        <v>63</v>
      </c>
      <c r="P1542" s="20" t="s">
        <v>52</v>
      </c>
      <c r="Q1542" s="26"/>
      <c r="R1542" s="26"/>
      <c r="S1542" s="26"/>
      <c r="T1542" s="20"/>
      <c r="U1542" s="26"/>
      <c r="V1542" s="26"/>
      <c r="W1542" s="20"/>
      <c r="X1542" s="20"/>
      <c r="Y1542" s="20"/>
      <c r="Z1542" s="20"/>
      <c r="AA1542" s="20"/>
      <c r="AB1542" s="20"/>
      <c r="AC1542" s="20"/>
      <c r="AD1542" s="20"/>
      <c r="AE1542" s="20"/>
    </row>
    <row r="1543">
      <c r="A1543" s="21">
        <v>40.0</v>
      </c>
      <c r="B1543" s="20" t="s">
        <v>3676</v>
      </c>
      <c r="C1543" s="20" t="s">
        <v>3920</v>
      </c>
      <c r="I1543" s="25" t="s">
        <v>2657</v>
      </c>
      <c r="J1543" s="25" t="s">
        <v>3684</v>
      </c>
      <c r="K1543" s="25" t="s">
        <v>71</v>
      </c>
      <c r="L1543" s="25" t="s">
        <v>292</v>
      </c>
      <c r="M1543" s="20" t="s">
        <v>3711</v>
      </c>
      <c r="N1543" s="20" t="s">
        <v>3712</v>
      </c>
      <c r="O1543" s="20" t="s">
        <v>63</v>
      </c>
      <c r="P1543" s="20" t="s">
        <v>52</v>
      </c>
      <c r="Q1543" s="26"/>
      <c r="R1543" s="26"/>
      <c r="S1543" s="26"/>
      <c r="T1543" s="22"/>
      <c r="U1543" s="26"/>
      <c r="V1543" s="26"/>
      <c r="W1543" s="20"/>
      <c r="X1543" s="20"/>
      <c r="Y1543" s="20"/>
      <c r="Z1543" s="20"/>
      <c r="AA1543" s="20"/>
      <c r="AB1543" s="20"/>
      <c r="AC1543" s="20"/>
      <c r="AD1543" s="20"/>
      <c r="AE1543" s="20"/>
    </row>
    <row r="1544">
      <c r="A1544" s="21">
        <v>40.0</v>
      </c>
      <c r="B1544" s="20" t="s">
        <v>3676</v>
      </c>
      <c r="C1544" s="20" t="s">
        <v>3920</v>
      </c>
      <c r="I1544" s="25" t="s">
        <v>2902</v>
      </c>
      <c r="J1544" s="25" t="s">
        <v>3684</v>
      </c>
      <c r="K1544" s="25" t="s">
        <v>71</v>
      </c>
      <c r="L1544" s="25" t="s">
        <v>3984</v>
      </c>
      <c r="M1544" s="20" t="s">
        <v>61</v>
      </c>
      <c r="N1544" s="20" t="s">
        <v>3665</v>
      </c>
      <c r="O1544" s="20" t="s">
        <v>63</v>
      </c>
      <c r="P1544" s="20" t="s">
        <v>52</v>
      </c>
      <c r="Q1544" s="26"/>
      <c r="R1544" s="26"/>
      <c r="S1544" s="26"/>
      <c r="T1544" s="20"/>
      <c r="U1544" s="26"/>
      <c r="V1544" s="26"/>
      <c r="W1544" s="20"/>
      <c r="X1544" s="20"/>
      <c r="Y1544" s="20"/>
      <c r="Z1544" s="20"/>
      <c r="AA1544" s="20"/>
      <c r="AB1544" s="20"/>
      <c r="AC1544" s="20"/>
      <c r="AD1544" s="20"/>
      <c r="AE1544" s="20"/>
    </row>
    <row r="1545">
      <c r="A1545" s="21">
        <v>40.0</v>
      </c>
      <c r="B1545" s="20" t="s">
        <v>3676</v>
      </c>
      <c r="C1545" s="20" t="s">
        <v>3920</v>
      </c>
      <c r="I1545" s="25" t="s">
        <v>3580</v>
      </c>
      <c r="J1545" s="25" t="s">
        <v>3684</v>
      </c>
      <c r="K1545" s="25" t="s">
        <v>71</v>
      </c>
      <c r="L1545" s="25" t="s">
        <v>4076</v>
      </c>
      <c r="M1545" s="20" t="s">
        <v>61</v>
      </c>
      <c r="N1545" s="20" t="s">
        <v>3666</v>
      </c>
      <c r="O1545" s="20" t="s">
        <v>63</v>
      </c>
      <c r="P1545" s="20" t="s">
        <v>52</v>
      </c>
      <c r="Q1545" s="26"/>
      <c r="R1545" s="26"/>
      <c r="S1545" s="26"/>
      <c r="T1545" s="20"/>
      <c r="U1545" s="26"/>
      <c r="V1545" s="26"/>
      <c r="W1545" s="20"/>
      <c r="X1545" s="20"/>
      <c r="Y1545" s="20"/>
      <c r="Z1545" s="20"/>
      <c r="AA1545" s="20"/>
      <c r="AB1545" s="20"/>
      <c r="AC1545" s="20"/>
      <c r="AD1545" s="20"/>
      <c r="AE1545" s="20"/>
    </row>
    <row r="1546">
      <c r="A1546" s="21">
        <v>40.0</v>
      </c>
      <c r="B1546" s="20" t="s">
        <v>3676</v>
      </c>
      <c r="C1546" s="20" t="s">
        <v>3920</v>
      </c>
      <c r="I1546" s="25" t="s">
        <v>2666</v>
      </c>
      <c r="J1546" s="25" t="s">
        <v>3684</v>
      </c>
      <c r="K1546" s="25" t="s">
        <v>71</v>
      </c>
      <c r="L1546" s="25" t="s">
        <v>292</v>
      </c>
      <c r="M1546" s="20" t="s">
        <v>3714</v>
      </c>
      <c r="N1546" s="20" t="s">
        <v>3715</v>
      </c>
      <c r="O1546" s="20" t="s">
        <v>63</v>
      </c>
      <c r="P1546" s="20" t="s">
        <v>52</v>
      </c>
      <c r="Q1546" s="26"/>
      <c r="R1546" s="26"/>
      <c r="S1546" s="26"/>
      <c r="T1546" s="22"/>
      <c r="U1546" s="26"/>
      <c r="V1546" s="26"/>
      <c r="W1546" s="20"/>
      <c r="X1546" s="20"/>
      <c r="Y1546" s="20"/>
      <c r="Z1546" s="20"/>
      <c r="AA1546" s="20"/>
      <c r="AB1546" s="20"/>
      <c r="AC1546" s="20"/>
      <c r="AD1546" s="20"/>
      <c r="AE1546" s="20"/>
    </row>
    <row r="1547">
      <c r="A1547" s="21">
        <v>40.0</v>
      </c>
      <c r="B1547" s="20" t="s">
        <v>3676</v>
      </c>
      <c r="C1547" s="20" t="s">
        <v>3920</v>
      </c>
      <c r="I1547" s="25" t="s">
        <v>3558</v>
      </c>
      <c r="J1547" s="25" t="s">
        <v>3684</v>
      </c>
      <c r="K1547" s="25" t="s">
        <v>71</v>
      </c>
      <c r="L1547" s="25" t="s">
        <v>4087</v>
      </c>
      <c r="M1547" s="20" t="s">
        <v>3716</v>
      </c>
      <c r="N1547" s="20" t="s">
        <v>3717</v>
      </c>
      <c r="O1547" s="20" t="s">
        <v>63</v>
      </c>
      <c r="P1547" s="20" t="s">
        <v>52</v>
      </c>
      <c r="Q1547" s="26"/>
      <c r="R1547" s="26"/>
      <c r="S1547" s="26"/>
      <c r="T1547" s="20"/>
      <c r="U1547" s="26"/>
      <c r="V1547" s="26"/>
      <c r="W1547" s="20"/>
      <c r="X1547" s="20"/>
      <c r="Y1547" s="20"/>
      <c r="Z1547" s="20"/>
      <c r="AA1547" s="20"/>
      <c r="AB1547" s="20"/>
      <c r="AC1547" s="20"/>
      <c r="AD1547" s="20"/>
      <c r="AE1547" s="20"/>
    </row>
    <row r="1548">
      <c r="A1548" s="21">
        <v>40.0</v>
      </c>
      <c r="B1548" s="20" t="s">
        <v>3676</v>
      </c>
      <c r="C1548" s="20" t="s">
        <v>3920</v>
      </c>
      <c r="I1548" s="25" t="s">
        <v>2947</v>
      </c>
      <c r="J1548" s="25" t="s">
        <v>3684</v>
      </c>
      <c r="K1548" s="25" t="s">
        <v>71</v>
      </c>
      <c r="L1548" s="25" t="s">
        <v>4089</v>
      </c>
      <c r="M1548" s="20" t="s">
        <v>61</v>
      </c>
      <c r="N1548" s="20" t="s">
        <v>3669</v>
      </c>
      <c r="O1548" s="20" t="s">
        <v>63</v>
      </c>
      <c r="P1548" s="20" t="s">
        <v>52</v>
      </c>
      <c r="Q1548" s="26"/>
      <c r="R1548" s="26"/>
      <c r="S1548" s="26"/>
      <c r="T1548" s="20"/>
      <c r="U1548" s="26"/>
      <c r="V1548" s="26"/>
      <c r="W1548" s="20"/>
      <c r="X1548" s="20"/>
      <c r="Y1548" s="20"/>
      <c r="Z1548" s="20"/>
      <c r="AA1548" s="20"/>
      <c r="AB1548" s="20"/>
      <c r="AC1548" s="20"/>
      <c r="AD1548" s="20"/>
      <c r="AE1548" s="20"/>
    </row>
    <row r="1549">
      <c r="A1549" s="21">
        <v>40.0</v>
      </c>
      <c r="B1549" s="20" t="s">
        <v>3676</v>
      </c>
      <c r="C1549" s="20" t="s">
        <v>3920</v>
      </c>
      <c r="I1549" s="25" t="s">
        <v>3618</v>
      </c>
      <c r="J1549" s="25" t="s">
        <v>3684</v>
      </c>
      <c r="K1549" s="25" t="s">
        <v>71</v>
      </c>
      <c r="L1549" s="25" t="s">
        <v>3992</v>
      </c>
      <c r="M1549" s="20" t="s">
        <v>3619</v>
      </c>
      <c r="N1549" s="20" t="s">
        <v>3612</v>
      </c>
      <c r="O1549" s="20" t="s">
        <v>63</v>
      </c>
      <c r="P1549" s="20" t="s">
        <v>52</v>
      </c>
      <c r="Q1549" s="26"/>
      <c r="R1549" s="26"/>
      <c r="S1549" s="26"/>
      <c r="T1549" s="20"/>
      <c r="U1549" s="26"/>
      <c r="V1549" s="26"/>
      <c r="W1549" s="20"/>
      <c r="X1549" s="20"/>
      <c r="Y1549" s="20"/>
      <c r="Z1549" s="20"/>
      <c r="AA1549" s="20"/>
      <c r="AB1549" s="20"/>
      <c r="AC1549" s="20"/>
      <c r="AD1549" s="20"/>
      <c r="AE1549" s="20"/>
    </row>
    <row r="1550">
      <c r="A1550" s="21">
        <v>40.0</v>
      </c>
      <c r="B1550" s="20" t="s">
        <v>3676</v>
      </c>
      <c r="C1550" s="20" t="s">
        <v>3920</v>
      </c>
      <c r="I1550" s="25" t="s">
        <v>3620</v>
      </c>
      <c r="J1550" s="25" t="s">
        <v>3684</v>
      </c>
      <c r="K1550" s="25" t="s">
        <v>71</v>
      </c>
      <c r="L1550" s="25" t="s">
        <v>3992</v>
      </c>
      <c r="M1550" s="20" t="s">
        <v>3718</v>
      </c>
      <c r="N1550" s="20" t="s">
        <v>3719</v>
      </c>
      <c r="O1550" s="20" t="s">
        <v>63</v>
      </c>
      <c r="P1550" s="20" t="s">
        <v>52</v>
      </c>
      <c r="Q1550" s="26"/>
      <c r="R1550" s="26"/>
      <c r="S1550" s="26"/>
      <c r="T1550" s="20"/>
      <c r="U1550" s="26"/>
      <c r="V1550" s="26"/>
      <c r="W1550" s="20"/>
      <c r="X1550" s="20"/>
      <c r="Y1550" s="20"/>
      <c r="Z1550" s="20"/>
      <c r="AA1550" s="20"/>
      <c r="AB1550" s="20"/>
      <c r="AC1550" s="20"/>
      <c r="AD1550" s="20"/>
      <c r="AE1550" s="20"/>
    </row>
    <row r="1551">
      <c r="A1551" s="21">
        <v>40.0</v>
      </c>
      <c r="B1551" s="20" t="s">
        <v>3676</v>
      </c>
      <c r="C1551" s="20" t="s">
        <v>3920</v>
      </c>
      <c r="I1551" s="25" t="s">
        <v>274</v>
      </c>
      <c r="J1551" s="25" t="s">
        <v>3684</v>
      </c>
      <c r="K1551" s="25" t="s">
        <v>71</v>
      </c>
      <c r="L1551" s="25" t="s">
        <v>292</v>
      </c>
      <c r="M1551" s="20" t="s">
        <v>3720</v>
      </c>
      <c r="N1551" s="20" t="s">
        <v>3721</v>
      </c>
      <c r="O1551" s="20" t="s">
        <v>63</v>
      </c>
      <c r="P1551" s="20" t="s">
        <v>52</v>
      </c>
      <c r="Q1551" s="26"/>
      <c r="R1551" s="26"/>
      <c r="S1551" s="26"/>
      <c r="T1551" s="22"/>
      <c r="U1551" s="26"/>
      <c r="V1551" s="26"/>
      <c r="W1551" s="20"/>
      <c r="X1551" s="20"/>
      <c r="Y1551" s="20"/>
      <c r="Z1551" s="20"/>
      <c r="AA1551" s="20"/>
      <c r="AB1551" s="20"/>
      <c r="AC1551" s="20"/>
      <c r="AD1551" s="20"/>
      <c r="AE1551" s="20"/>
    </row>
    <row r="1552">
      <c r="A1552" s="21">
        <v>40.0</v>
      </c>
      <c r="B1552" s="20" t="s">
        <v>3676</v>
      </c>
      <c r="C1552" s="20" t="s">
        <v>3920</v>
      </c>
      <c r="I1552" s="25" t="s">
        <v>3662</v>
      </c>
      <c r="J1552" s="25" t="s">
        <v>3684</v>
      </c>
      <c r="K1552" s="25" t="s">
        <v>71</v>
      </c>
      <c r="L1552" s="25" t="s">
        <v>4172</v>
      </c>
      <c r="M1552" s="20" t="s">
        <v>61</v>
      </c>
      <c r="N1552" s="20" t="s">
        <v>3722</v>
      </c>
      <c r="O1552" s="20" t="s">
        <v>63</v>
      </c>
      <c r="P1552" s="20" t="s">
        <v>52</v>
      </c>
      <c r="Q1552" s="26"/>
      <c r="R1552" s="26"/>
      <c r="S1552" s="26"/>
      <c r="T1552" s="20"/>
      <c r="U1552" s="26"/>
      <c r="V1552" s="26"/>
      <c r="W1552" s="20"/>
      <c r="X1552" s="20"/>
      <c r="Y1552" s="20"/>
      <c r="Z1552" s="20"/>
      <c r="AA1552" s="20"/>
      <c r="AB1552" s="20"/>
      <c r="AC1552" s="20"/>
      <c r="AD1552" s="20"/>
      <c r="AE1552" s="20"/>
    </row>
    <row r="1553">
      <c r="A1553" s="21">
        <v>40.0</v>
      </c>
      <c r="B1553" s="20" t="s">
        <v>3676</v>
      </c>
      <c r="C1553" s="20" t="s">
        <v>3920</v>
      </c>
      <c r="I1553" s="25" t="s">
        <v>919</v>
      </c>
      <c r="J1553" s="25" t="s">
        <v>3684</v>
      </c>
      <c r="K1553" s="25" t="s">
        <v>71</v>
      </c>
      <c r="L1553" s="25" t="s">
        <v>4087</v>
      </c>
      <c r="M1553" s="20" t="s">
        <v>3723</v>
      </c>
      <c r="N1553" s="20" t="s">
        <v>3724</v>
      </c>
      <c r="O1553" s="20" t="s">
        <v>63</v>
      </c>
      <c r="P1553" s="20" t="s">
        <v>52</v>
      </c>
      <c r="Q1553" s="26"/>
      <c r="R1553" s="26"/>
      <c r="S1553" s="26"/>
      <c r="T1553" s="20"/>
      <c r="U1553" s="26"/>
      <c r="V1553" s="26"/>
      <c r="W1553" s="20"/>
      <c r="X1553" s="20"/>
      <c r="Y1553" s="20"/>
      <c r="Z1553" s="20"/>
      <c r="AA1553" s="20"/>
      <c r="AB1553" s="20"/>
      <c r="AC1553" s="20"/>
      <c r="AD1553" s="20"/>
      <c r="AE1553" s="20"/>
    </row>
    <row r="1554">
      <c r="A1554" s="21">
        <v>40.0</v>
      </c>
      <c r="B1554" s="20" t="s">
        <v>3676</v>
      </c>
      <c r="C1554" s="20" t="s">
        <v>3920</v>
      </c>
      <c r="I1554" s="25" t="s">
        <v>1174</v>
      </c>
      <c r="J1554" s="25" t="s">
        <v>3684</v>
      </c>
      <c r="K1554" s="25" t="s">
        <v>71</v>
      </c>
      <c r="L1554" s="25" t="s">
        <v>292</v>
      </c>
      <c r="M1554" s="20" t="s">
        <v>3725</v>
      </c>
      <c r="N1554" s="20" t="s">
        <v>3726</v>
      </c>
      <c r="O1554" s="20" t="s">
        <v>63</v>
      </c>
      <c r="P1554" s="20" t="s">
        <v>52</v>
      </c>
      <c r="Q1554" s="26"/>
      <c r="R1554" s="26"/>
      <c r="S1554" s="26"/>
      <c r="T1554" s="22"/>
      <c r="U1554" s="26"/>
      <c r="V1554" s="26"/>
      <c r="W1554" s="20"/>
      <c r="X1554" s="20"/>
      <c r="Y1554" s="20"/>
      <c r="Z1554" s="20"/>
      <c r="AA1554" s="20"/>
      <c r="AB1554" s="20"/>
      <c r="AC1554" s="20"/>
      <c r="AD1554" s="20"/>
      <c r="AE1554" s="20"/>
    </row>
    <row r="1555">
      <c r="A1555" s="21">
        <v>40.0</v>
      </c>
      <c r="B1555" s="20" t="s">
        <v>3676</v>
      </c>
      <c r="C1555" s="20" t="s">
        <v>3920</v>
      </c>
      <c r="I1555" s="25" t="s">
        <v>3592</v>
      </c>
      <c r="J1555" s="25" t="s">
        <v>3684</v>
      </c>
      <c r="K1555" s="25" t="s">
        <v>71</v>
      </c>
      <c r="L1555" s="25" t="s">
        <v>4001</v>
      </c>
      <c r="M1555" s="20" t="s">
        <v>3727</v>
      </c>
      <c r="N1555" s="20" t="s">
        <v>3728</v>
      </c>
      <c r="O1555" s="20" t="s">
        <v>63</v>
      </c>
      <c r="P1555" s="20" t="s">
        <v>52</v>
      </c>
      <c r="Q1555" s="26"/>
      <c r="R1555" s="26"/>
      <c r="S1555" s="26"/>
      <c r="T1555" s="20"/>
      <c r="U1555" s="26"/>
      <c r="V1555" s="26"/>
      <c r="W1555" s="20"/>
      <c r="X1555" s="20"/>
      <c r="Y1555" s="20"/>
      <c r="Z1555" s="20"/>
      <c r="AA1555" s="20"/>
      <c r="AB1555" s="20"/>
      <c r="AC1555" s="20"/>
      <c r="AD1555" s="20"/>
      <c r="AE1555" s="20"/>
    </row>
    <row r="1556">
      <c r="A1556" s="21">
        <v>40.0</v>
      </c>
      <c r="B1556" s="20" t="s">
        <v>3676</v>
      </c>
      <c r="C1556" s="20" t="s">
        <v>3920</v>
      </c>
      <c r="I1556" s="25" t="s">
        <v>3594</v>
      </c>
      <c r="J1556" s="25" t="s">
        <v>3684</v>
      </c>
      <c r="K1556" s="25" t="s">
        <v>71</v>
      </c>
      <c r="L1556" s="25" t="s">
        <v>3984</v>
      </c>
      <c r="M1556" s="20" t="s">
        <v>61</v>
      </c>
      <c r="N1556" s="20" t="s">
        <v>3729</v>
      </c>
      <c r="O1556" s="20" t="s">
        <v>63</v>
      </c>
      <c r="P1556" s="20" t="s">
        <v>52</v>
      </c>
      <c r="Q1556" s="26"/>
      <c r="R1556" s="26"/>
      <c r="S1556" s="26"/>
      <c r="T1556" s="20"/>
      <c r="U1556" s="26"/>
      <c r="V1556" s="26"/>
      <c r="W1556" s="20"/>
      <c r="X1556" s="20"/>
      <c r="Y1556" s="20"/>
      <c r="Z1556" s="20"/>
      <c r="AA1556" s="20"/>
      <c r="AB1556" s="20"/>
      <c r="AC1556" s="20"/>
      <c r="AD1556" s="20"/>
      <c r="AE1556" s="20"/>
    </row>
    <row r="1557">
      <c r="A1557" s="21">
        <v>40.0</v>
      </c>
      <c r="B1557" s="20" t="s">
        <v>3676</v>
      </c>
      <c r="C1557" s="20" t="s">
        <v>3920</v>
      </c>
      <c r="I1557" s="25" t="s">
        <v>2919</v>
      </c>
      <c r="J1557" s="25" t="s">
        <v>3684</v>
      </c>
      <c r="K1557" s="25" t="s">
        <v>71</v>
      </c>
      <c r="L1557" s="25" t="s">
        <v>292</v>
      </c>
      <c r="M1557" s="20" t="s">
        <v>3730</v>
      </c>
      <c r="N1557" s="20" t="s">
        <v>3715</v>
      </c>
      <c r="O1557" s="20" t="s">
        <v>63</v>
      </c>
      <c r="P1557" s="20" t="s">
        <v>52</v>
      </c>
      <c r="Q1557" s="26"/>
      <c r="R1557" s="26"/>
      <c r="S1557" s="26"/>
      <c r="T1557" s="22"/>
      <c r="U1557" s="26"/>
      <c r="V1557" s="26"/>
      <c r="W1557" s="20"/>
      <c r="X1557" s="20"/>
      <c r="Y1557" s="20"/>
      <c r="Z1557" s="20"/>
      <c r="AA1557" s="20"/>
      <c r="AB1557" s="20"/>
      <c r="AC1557" s="20"/>
      <c r="AD1557" s="20"/>
      <c r="AE1557" s="20"/>
    </row>
    <row r="1558">
      <c r="A1558" s="21">
        <v>40.0</v>
      </c>
      <c r="B1558" s="20" t="s">
        <v>3676</v>
      </c>
      <c r="C1558" s="20" t="s">
        <v>3920</v>
      </c>
      <c r="I1558" s="25" t="s">
        <v>3471</v>
      </c>
      <c r="J1558" s="25" t="s">
        <v>3684</v>
      </c>
      <c r="K1558" s="25" t="s">
        <v>71</v>
      </c>
      <c r="L1558" s="25" t="s">
        <v>292</v>
      </c>
      <c r="M1558" s="20" t="s">
        <v>3731</v>
      </c>
      <c r="N1558" s="20" t="s">
        <v>3732</v>
      </c>
      <c r="O1558" s="20" t="s">
        <v>63</v>
      </c>
      <c r="P1558" s="20" t="s">
        <v>52</v>
      </c>
      <c r="Q1558" s="26"/>
      <c r="R1558" s="26"/>
      <c r="S1558" s="26"/>
      <c r="T1558" s="22"/>
      <c r="U1558" s="26"/>
      <c r="V1558" s="26"/>
      <c r="W1558" s="20"/>
      <c r="X1558" s="20"/>
      <c r="Y1558" s="20"/>
      <c r="Z1558" s="20"/>
      <c r="AA1558" s="20"/>
      <c r="AB1558" s="20"/>
      <c r="AC1558" s="20"/>
      <c r="AD1558" s="20"/>
      <c r="AE1558" s="20"/>
    </row>
    <row r="1559">
      <c r="A1559" s="21">
        <v>40.0</v>
      </c>
      <c r="B1559" s="20" t="s">
        <v>3676</v>
      </c>
      <c r="C1559" s="20" t="s">
        <v>3920</v>
      </c>
      <c r="I1559" s="25" t="s">
        <v>3733</v>
      </c>
      <c r="J1559" s="25" t="s">
        <v>3684</v>
      </c>
      <c r="K1559" s="25" t="s">
        <v>71</v>
      </c>
      <c r="L1559" s="25" t="s">
        <v>4105</v>
      </c>
      <c r="M1559" s="20" t="s">
        <v>61</v>
      </c>
      <c r="N1559" s="20" t="s">
        <v>3734</v>
      </c>
      <c r="O1559" s="20" t="s">
        <v>63</v>
      </c>
      <c r="P1559" s="20" t="s">
        <v>52</v>
      </c>
      <c r="Q1559" s="26"/>
      <c r="R1559" s="26"/>
      <c r="S1559" s="26"/>
      <c r="T1559" s="20"/>
      <c r="U1559" s="26"/>
      <c r="V1559" s="26"/>
      <c r="W1559" s="20"/>
      <c r="X1559" s="20"/>
      <c r="Y1559" s="20"/>
      <c r="Z1559" s="20"/>
      <c r="AA1559" s="20"/>
      <c r="AB1559" s="20"/>
      <c r="AC1559" s="20"/>
      <c r="AD1559" s="20"/>
      <c r="AE1559" s="20"/>
    </row>
    <row r="1560">
      <c r="A1560" s="21">
        <v>40.0</v>
      </c>
      <c r="B1560" s="20" t="s">
        <v>3676</v>
      </c>
      <c r="C1560" s="20" t="s">
        <v>3920</v>
      </c>
      <c r="I1560" s="25" t="s">
        <v>2765</v>
      </c>
      <c r="J1560" s="25" t="s">
        <v>3684</v>
      </c>
      <c r="K1560" s="25" t="s">
        <v>71</v>
      </c>
      <c r="L1560" s="25" t="s">
        <v>4182</v>
      </c>
      <c r="M1560" s="20" t="s">
        <v>61</v>
      </c>
      <c r="N1560" s="20" t="s">
        <v>3735</v>
      </c>
      <c r="O1560" s="20" t="s">
        <v>63</v>
      </c>
      <c r="P1560" s="20" t="s">
        <v>52</v>
      </c>
      <c r="Q1560" s="26"/>
      <c r="R1560" s="26"/>
      <c r="S1560" s="26"/>
      <c r="T1560" s="20"/>
      <c r="U1560" s="26"/>
      <c r="V1560" s="26"/>
      <c r="W1560" s="20"/>
      <c r="X1560" s="20"/>
      <c r="Y1560" s="20"/>
      <c r="Z1560" s="20"/>
      <c r="AA1560" s="20"/>
      <c r="AB1560" s="20"/>
      <c r="AC1560" s="20"/>
      <c r="AD1560" s="20"/>
      <c r="AE1560" s="20"/>
    </row>
    <row r="1561">
      <c r="A1561" s="21">
        <v>40.0</v>
      </c>
      <c r="B1561" s="20" t="s">
        <v>3676</v>
      </c>
      <c r="C1561" s="20" t="s">
        <v>3920</v>
      </c>
      <c r="I1561" s="25" t="s">
        <v>3574</v>
      </c>
      <c r="J1561" s="25" t="s">
        <v>3684</v>
      </c>
      <c r="K1561" s="25" t="s">
        <v>71</v>
      </c>
      <c r="L1561" s="25" t="s">
        <v>4182</v>
      </c>
      <c r="M1561" s="20" t="s">
        <v>61</v>
      </c>
      <c r="N1561" s="20" t="s">
        <v>3736</v>
      </c>
      <c r="O1561" s="20" t="s">
        <v>63</v>
      </c>
      <c r="P1561" s="20" t="s">
        <v>52</v>
      </c>
      <c r="Q1561" s="26"/>
      <c r="R1561" s="26"/>
      <c r="S1561" s="26"/>
      <c r="T1561" s="20"/>
      <c r="U1561" s="26"/>
      <c r="V1561" s="26"/>
      <c r="W1561" s="20"/>
      <c r="X1561" s="20"/>
      <c r="Y1561" s="20"/>
      <c r="Z1561" s="20"/>
      <c r="AA1561" s="20"/>
      <c r="AB1561" s="20"/>
      <c r="AC1561" s="20"/>
      <c r="AD1561" s="20"/>
      <c r="AE1561" s="20"/>
    </row>
    <row r="1562">
      <c r="A1562" s="21">
        <v>41.0</v>
      </c>
      <c r="B1562" s="20" t="s">
        <v>2949</v>
      </c>
      <c r="C1562" s="20" t="s">
        <v>3920</v>
      </c>
      <c r="D1562" s="35">
        <v>30.0</v>
      </c>
      <c r="E1562" s="35">
        <v>3.0</v>
      </c>
      <c r="F1562" s="35">
        <v>1.0</v>
      </c>
      <c r="G1562" s="35">
        <v>26.0</v>
      </c>
      <c r="H1562" s="36" t="s">
        <v>4185</v>
      </c>
      <c r="I1562" s="25" t="s">
        <v>3590</v>
      </c>
      <c r="J1562" s="25" t="s">
        <v>3737</v>
      </c>
      <c r="K1562" s="25" t="s">
        <v>57</v>
      </c>
      <c r="L1562" s="25" t="s">
        <v>4187</v>
      </c>
      <c r="M1562" s="20" t="s">
        <v>3742</v>
      </c>
      <c r="N1562" s="20" t="s">
        <v>3743</v>
      </c>
      <c r="O1562" s="20" t="s">
        <v>63</v>
      </c>
      <c r="P1562" s="20"/>
      <c r="Q1562" s="26"/>
      <c r="R1562" s="26"/>
      <c r="S1562" s="26"/>
      <c r="T1562" s="20"/>
      <c r="U1562" s="26"/>
      <c r="V1562" s="26"/>
      <c r="W1562" s="20"/>
      <c r="X1562" s="20"/>
      <c r="Y1562" s="20"/>
      <c r="Z1562" s="20"/>
      <c r="AA1562" s="20"/>
      <c r="AB1562" s="20"/>
      <c r="AC1562" s="20"/>
      <c r="AD1562" s="20"/>
      <c r="AE1562" s="20"/>
    </row>
    <row r="1563">
      <c r="A1563" s="21">
        <v>41.0</v>
      </c>
      <c r="B1563" s="20" t="s">
        <v>2949</v>
      </c>
      <c r="C1563" s="20" t="s">
        <v>3920</v>
      </c>
      <c r="I1563" s="25" t="s">
        <v>3676</v>
      </c>
      <c r="J1563" s="25" t="s">
        <v>3737</v>
      </c>
      <c r="K1563" s="25" t="s">
        <v>57</v>
      </c>
      <c r="L1563" s="25" t="s">
        <v>4189</v>
      </c>
      <c r="M1563" s="20" t="s">
        <v>3738</v>
      </c>
      <c r="N1563" s="20" t="s">
        <v>3739</v>
      </c>
      <c r="O1563" s="20" t="s">
        <v>56</v>
      </c>
      <c r="P1563" s="20"/>
      <c r="Q1563" s="26"/>
      <c r="R1563" s="26"/>
      <c r="S1563" s="26"/>
      <c r="T1563" s="20"/>
      <c r="U1563" s="26"/>
      <c r="V1563" s="26"/>
      <c r="W1563" s="20"/>
      <c r="X1563" s="20"/>
      <c r="Y1563" s="20"/>
      <c r="Z1563" s="20"/>
      <c r="AA1563" s="20"/>
      <c r="AB1563" s="20"/>
      <c r="AC1563" s="20"/>
      <c r="AD1563" s="20"/>
      <c r="AE1563" s="20"/>
    </row>
    <row r="1564">
      <c r="A1564" s="21">
        <v>41.0</v>
      </c>
      <c r="B1564" s="20" t="s">
        <v>2949</v>
      </c>
      <c r="C1564" s="20" t="s">
        <v>3920</v>
      </c>
      <c r="I1564" s="25" t="s">
        <v>3565</v>
      </c>
      <c r="J1564" s="25" t="s">
        <v>3740</v>
      </c>
      <c r="K1564" s="25" t="s">
        <v>57</v>
      </c>
      <c r="L1564" s="25" t="s">
        <v>4191</v>
      </c>
      <c r="M1564" s="20" t="s">
        <v>61</v>
      </c>
      <c r="N1564" s="20" t="s">
        <v>3741</v>
      </c>
      <c r="O1564" s="20" t="s">
        <v>63</v>
      </c>
      <c r="P1564" s="20"/>
      <c r="Q1564" s="26"/>
      <c r="R1564" s="26"/>
      <c r="S1564" s="26"/>
      <c r="T1564" s="20"/>
      <c r="U1564" s="26"/>
      <c r="V1564" s="26"/>
      <c r="W1564" s="20"/>
      <c r="X1564" s="20"/>
      <c r="Y1564" s="20"/>
      <c r="Z1564" s="20"/>
      <c r="AA1564" s="20"/>
      <c r="AB1564" s="20"/>
      <c r="AC1564" s="20"/>
      <c r="AD1564" s="20"/>
      <c r="AE1564" s="20"/>
    </row>
    <row r="1565">
      <c r="A1565" s="21">
        <v>41.0</v>
      </c>
      <c r="B1565" s="20" t="s">
        <v>2949</v>
      </c>
      <c r="C1565" s="20" t="s">
        <v>3920</v>
      </c>
      <c r="I1565" s="25" t="s">
        <v>3610</v>
      </c>
      <c r="J1565" s="25" t="s">
        <v>3737</v>
      </c>
      <c r="K1565" s="25" t="s">
        <v>67</v>
      </c>
      <c r="L1565" s="25" t="s">
        <v>4194</v>
      </c>
      <c r="M1565" s="20" t="s">
        <v>3687</v>
      </c>
      <c r="N1565" s="20" t="s">
        <v>3744</v>
      </c>
      <c r="O1565" s="20" t="s">
        <v>56</v>
      </c>
      <c r="P1565" s="20"/>
      <c r="Q1565" s="26"/>
      <c r="R1565" s="26"/>
      <c r="S1565" s="26"/>
      <c r="T1565" s="20"/>
      <c r="U1565" s="26"/>
      <c r="V1565" s="26"/>
      <c r="W1565" s="20"/>
      <c r="X1565" s="20"/>
      <c r="Y1565" s="20"/>
      <c r="Z1565" s="20"/>
      <c r="AA1565" s="20"/>
      <c r="AB1565" s="20"/>
      <c r="AC1565" s="20"/>
      <c r="AD1565" s="20"/>
      <c r="AE1565" s="20"/>
    </row>
    <row r="1566">
      <c r="A1566" s="21">
        <v>41.0</v>
      </c>
      <c r="B1566" s="20" t="s">
        <v>2949</v>
      </c>
      <c r="C1566" s="20" t="s">
        <v>3920</v>
      </c>
      <c r="I1566" s="25" t="s">
        <v>1972</v>
      </c>
      <c r="J1566" s="25" t="s">
        <v>3740</v>
      </c>
      <c r="K1566" s="25" t="s">
        <v>71</v>
      </c>
      <c r="L1566" s="25" t="s">
        <v>292</v>
      </c>
      <c r="M1566" s="20" t="s">
        <v>3039</v>
      </c>
      <c r="N1566" s="20" t="s">
        <v>3745</v>
      </c>
      <c r="O1566" s="20" t="s">
        <v>63</v>
      </c>
      <c r="P1566" s="20" t="s">
        <v>52</v>
      </c>
      <c r="Q1566" s="26"/>
      <c r="R1566" s="26"/>
      <c r="S1566" s="26"/>
      <c r="T1566" s="22"/>
      <c r="U1566" s="26"/>
      <c r="V1566" s="26"/>
      <c r="W1566" s="20"/>
      <c r="X1566" s="20"/>
      <c r="Y1566" s="20"/>
      <c r="Z1566" s="20"/>
      <c r="AA1566" s="20"/>
      <c r="AB1566" s="20"/>
      <c r="AC1566" s="20"/>
      <c r="AD1566" s="20"/>
      <c r="AE1566" s="20"/>
    </row>
    <row r="1567">
      <c r="A1567" s="21">
        <v>41.0</v>
      </c>
      <c r="B1567" s="20" t="s">
        <v>2949</v>
      </c>
      <c r="C1567" s="20" t="s">
        <v>3920</v>
      </c>
      <c r="I1567" s="25" t="s">
        <v>3568</v>
      </c>
      <c r="J1567" s="25" t="s">
        <v>3740</v>
      </c>
      <c r="K1567" s="25" t="s">
        <v>71</v>
      </c>
      <c r="L1567" s="25" t="s">
        <v>4129</v>
      </c>
      <c r="M1567" s="20" t="s">
        <v>3569</v>
      </c>
      <c r="N1567" s="20" t="s">
        <v>3570</v>
      </c>
      <c r="O1567" s="20" t="s">
        <v>63</v>
      </c>
      <c r="P1567" s="20"/>
      <c r="Q1567" s="26"/>
      <c r="R1567" s="26"/>
      <c r="S1567" s="26"/>
      <c r="T1567" s="20"/>
      <c r="U1567" s="26"/>
      <c r="V1567" s="26"/>
      <c r="W1567" s="20"/>
      <c r="X1567" s="20"/>
      <c r="Y1567" s="20"/>
      <c r="Z1567" s="20"/>
      <c r="AA1567" s="20"/>
      <c r="AB1567" s="20"/>
      <c r="AC1567" s="20"/>
      <c r="AD1567" s="20"/>
      <c r="AE1567" s="20"/>
    </row>
    <row r="1568">
      <c r="A1568" s="21">
        <v>41.0</v>
      </c>
      <c r="B1568" s="20" t="s">
        <v>2949</v>
      </c>
      <c r="C1568" s="20" t="s">
        <v>3920</v>
      </c>
      <c r="I1568" s="25" t="s">
        <v>3689</v>
      </c>
      <c r="J1568" s="25" t="s">
        <v>3737</v>
      </c>
      <c r="K1568" s="25" t="s">
        <v>71</v>
      </c>
      <c r="L1568" s="25" t="s">
        <v>4129</v>
      </c>
      <c r="M1568" s="20" t="s">
        <v>3758</v>
      </c>
      <c r="N1568" s="20" t="s">
        <v>3759</v>
      </c>
      <c r="O1568" s="20" t="s">
        <v>63</v>
      </c>
      <c r="P1568" s="20"/>
      <c r="Q1568" s="26"/>
      <c r="R1568" s="26"/>
      <c r="S1568" s="26"/>
      <c r="T1568" s="20"/>
      <c r="U1568" s="26"/>
      <c r="V1568" s="26"/>
      <c r="W1568" s="20"/>
      <c r="X1568" s="20"/>
      <c r="Y1568" s="20"/>
      <c r="Z1568" s="20"/>
      <c r="AA1568" s="20"/>
      <c r="AB1568" s="20"/>
      <c r="AC1568" s="20"/>
      <c r="AD1568" s="20"/>
      <c r="AE1568" s="20"/>
    </row>
    <row r="1569">
      <c r="A1569" s="21">
        <v>41.0</v>
      </c>
      <c r="B1569" s="20" t="s">
        <v>2949</v>
      </c>
      <c r="C1569" s="20" t="s">
        <v>3920</v>
      </c>
      <c r="I1569" s="25" t="s">
        <v>3586</v>
      </c>
      <c r="J1569" s="25" t="s">
        <v>3740</v>
      </c>
      <c r="K1569" s="25" t="s">
        <v>71</v>
      </c>
      <c r="L1569" s="25" t="s">
        <v>3978</v>
      </c>
      <c r="M1569" s="20" t="s">
        <v>61</v>
      </c>
      <c r="N1569" s="20" t="s">
        <v>3587</v>
      </c>
      <c r="O1569" s="20" t="s">
        <v>63</v>
      </c>
      <c r="P1569" s="20" t="s">
        <v>52</v>
      </c>
      <c r="Q1569" s="26"/>
      <c r="R1569" s="26"/>
      <c r="S1569" s="26"/>
      <c r="T1569" s="20"/>
      <c r="U1569" s="26"/>
      <c r="V1569" s="26"/>
      <c r="W1569" s="20"/>
      <c r="X1569" s="20"/>
      <c r="Y1569" s="20"/>
      <c r="Z1569" s="20"/>
      <c r="AA1569" s="20"/>
      <c r="AB1569" s="20"/>
      <c r="AC1569" s="20"/>
      <c r="AD1569" s="20"/>
      <c r="AE1569" s="20"/>
    </row>
    <row r="1570">
      <c r="A1570" s="21">
        <v>41.0</v>
      </c>
      <c r="B1570" s="20" t="s">
        <v>2949</v>
      </c>
      <c r="C1570" s="20" t="s">
        <v>3920</v>
      </c>
      <c r="I1570" s="25" t="s">
        <v>2957</v>
      </c>
      <c r="J1570" s="25" t="s">
        <v>3740</v>
      </c>
      <c r="K1570" s="25" t="s">
        <v>71</v>
      </c>
      <c r="L1570" s="25" t="s">
        <v>4071</v>
      </c>
      <c r="M1570" s="20" t="s">
        <v>61</v>
      </c>
      <c r="N1570" s="20" t="s">
        <v>3652</v>
      </c>
      <c r="O1570" s="20" t="s">
        <v>63</v>
      </c>
      <c r="P1570" s="20" t="s">
        <v>52</v>
      </c>
      <c r="Q1570" s="26"/>
      <c r="R1570" s="26"/>
      <c r="S1570" s="26"/>
      <c r="T1570" s="20"/>
      <c r="U1570" s="26"/>
      <c r="V1570" s="26"/>
      <c r="W1570" s="20"/>
      <c r="X1570" s="20"/>
      <c r="Y1570" s="20"/>
      <c r="Z1570" s="20"/>
      <c r="AA1570" s="20"/>
      <c r="AB1570" s="20"/>
      <c r="AC1570" s="20"/>
      <c r="AD1570" s="20"/>
      <c r="AE1570" s="20"/>
    </row>
    <row r="1571">
      <c r="A1571" s="21">
        <v>41.0</v>
      </c>
      <c r="B1571" s="20" t="s">
        <v>2949</v>
      </c>
      <c r="C1571" s="20" t="s">
        <v>3920</v>
      </c>
      <c r="I1571" s="25" t="s">
        <v>3554</v>
      </c>
      <c r="J1571" s="25" t="s">
        <v>3740</v>
      </c>
      <c r="K1571" s="25" t="s">
        <v>71</v>
      </c>
      <c r="L1571" s="25" t="s">
        <v>4071</v>
      </c>
      <c r="M1571" s="20" t="s">
        <v>3654</v>
      </c>
      <c r="N1571" s="20" t="s">
        <v>3655</v>
      </c>
      <c r="O1571" s="20" t="s">
        <v>63</v>
      </c>
      <c r="P1571" s="20" t="s">
        <v>52</v>
      </c>
      <c r="Q1571" s="26"/>
      <c r="R1571" s="26"/>
      <c r="S1571" s="26"/>
      <c r="T1571" s="20"/>
      <c r="U1571" s="26"/>
      <c r="V1571" s="26"/>
      <c r="W1571" s="20"/>
      <c r="X1571" s="20"/>
      <c r="Y1571" s="20"/>
      <c r="Z1571" s="20"/>
      <c r="AA1571" s="20"/>
      <c r="AB1571" s="20"/>
      <c r="AC1571" s="20"/>
      <c r="AD1571" s="20"/>
      <c r="AE1571" s="20"/>
    </row>
    <row r="1572">
      <c r="A1572" s="21">
        <v>41.0</v>
      </c>
      <c r="B1572" s="20" t="s">
        <v>2949</v>
      </c>
      <c r="C1572" s="20" t="s">
        <v>3920</v>
      </c>
      <c r="I1572" s="25" t="s">
        <v>3616</v>
      </c>
      <c r="J1572" s="25" t="s">
        <v>3737</v>
      </c>
      <c r="K1572" s="25" t="s">
        <v>71</v>
      </c>
      <c r="L1572" s="25" t="s">
        <v>3981</v>
      </c>
      <c r="M1572" s="20" t="s">
        <v>3761</v>
      </c>
      <c r="N1572" s="20" t="s">
        <v>3762</v>
      </c>
      <c r="O1572" s="20" t="s">
        <v>63</v>
      </c>
      <c r="P1572" s="20" t="s">
        <v>52</v>
      </c>
      <c r="Q1572" s="26"/>
      <c r="R1572" s="26"/>
      <c r="S1572" s="26"/>
      <c r="T1572" s="20"/>
      <c r="U1572" s="26"/>
      <c r="V1572" s="26"/>
      <c r="W1572" s="20"/>
      <c r="X1572" s="20"/>
      <c r="Y1572" s="20"/>
      <c r="Z1572" s="20"/>
      <c r="AA1572" s="20"/>
      <c r="AB1572" s="20"/>
      <c r="AC1572" s="20"/>
      <c r="AD1572" s="20"/>
      <c r="AE1572" s="20"/>
    </row>
    <row r="1573">
      <c r="A1573" s="21">
        <v>41.0</v>
      </c>
      <c r="B1573" s="20" t="s">
        <v>2949</v>
      </c>
      <c r="C1573" s="20" t="s">
        <v>3920</v>
      </c>
      <c r="I1573" s="25" t="s">
        <v>2902</v>
      </c>
      <c r="J1573" s="25" t="s">
        <v>3737</v>
      </c>
      <c r="K1573" s="25" t="s">
        <v>71</v>
      </c>
      <c r="L1573" s="25" t="s">
        <v>3984</v>
      </c>
      <c r="M1573" s="20" t="s">
        <v>61</v>
      </c>
      <c r="N1573" s="20" t="s">
        <v>3665</v>
      </c>
      <c r="O1573" s="20" t="s">
        <v>63</v>
      </c>
      <c r="P1573" s="20" t="s">
        <v>52</v>
      </c>
      <c r="Q1573" s="26"/>
      <c r="R1573" s="26"/>
      <c r="S1573" s="26"/>
      <c r="T1573" s="20"/>
      <c r="U1573" s="26"/>
      <c r="V1573" s="26"/>
      <c r="W1573" s="20"/>
      <c r="X1573" s="20"/>
      <c r="Y1573" s="20"/>
      <c r="Z1573" s="20"/>
      <c r="AA1573" s="20"/>
      <c r="AB1573" s="20"/>
      <c r="AC1573" s="20"/>
      <c r="AD1573" s="20"/>
      <c r="AE1573" s="20"/>
    </row>
    <row r="1574">
      <c r="A1574" s="21">
        <v>41.0</v>
      </c>
      <c r="B1574" s="20" t="s">
        <v>2949</v>
      </c>
      <c r="C1574" s="20" t="s">
        <v>3920</v>
      </c>
      <c r="I1574" s="25" t="s">
        <v>3580</v>
      </c>
      <c r="J1574" s="25" t="s">
        <v>3737</v>
      </c>
      <c r="K1574" s="25" t="s">
        <v>71</v>
      </c>
      <c r="L1574" s="25" t="s">
        <v>4076</v>
      </c>
      <c r="M1574" s="20" t="s">
        <v>61</v>
      </c>
      <c r="N1574" s="20" t="s">
        <v>3666</v>
      </c>
      <c r="O1574" s="20" t="s">
        <v>63</v>
      </c>
      <c r="P1574" s="20" t="s">
        <v>52</v>
      </c>
      <c r="Q1574" s="26"/>
      <c r="R1574" s="26"/>
      <c r="S1574" s="26"/>
      <c r="T1574" s="20"/>
      <c r="U1574" s="26"/>
      <c r="V1574" s="26"/>
      <c r="W1574" s="20"/>
      <c r="X1574" s="20"/>
      <c r="Y1574" s="20"/>
      <c r="Z1574" s="20"/>
      <c r="AA1574" s="20"/>
      <c r="AB1574" s="20"/>
      <c r="AC1574" s="20"/>
      <c r="AD1574" s="20"/>
      <c r="AE1574" s="20"/>
    </row>
    <row r="1575">
      <c r="A1575" s="21">
        <v>41.0</v>
      </c>
      <c r="B1575" s="20" t="s">
        <v>2949</v>
      </c>
      <c r="C1575" s="20" t="s">
        <v>3920</v>
      </c>
      <c r="I1575" s="25" t="s">
        <v>3746</v>
      </c>
      <c r="J1575" s="25" t="s">
        <v>3740</v>
      </c>
      <c r="K1575" s="25" t="s">
        <v>71</v>
      </c>
      <c r="L1575" s="25" t="s">
        <v>292</v>
      </c>
      <c r="M1575" s="20" t="s">
        <v>61</v>
      </c>
      <c r="N1575" s="20" t="s">
        <v>3747</v>
      </c>
      <c r="O1575" s="20" t="s">
        <v>63</v>
      </c>
      <c r="P1575" s="20" t="s">
        <v>52</v>
      </c>
      <c r="Q1575" s="26"/>
      <c r="R1575" s="26"/>
      <c r="S1575" s="26"/>
      <c r="T1575" s="22"/>
      <c r="U1575" s="26"/>
      <c r="V1575" s="26"/>
      <c r="W1575" s="20"/>
      <c r="X1575" s="20"/>
      <c r="Y1575" s="20"/>
      <c r="Z1575" s="20"/>
      <c r="AA1575" s="20"/>
      <c r="AB1575" s="20"/>
      <c r="AC1575" s="20"/>
      <c r="AD1575" s="20"/>
      <c r="AE1575" s="20"/>
    </row>
    <row r="1576">
      <c r="A1576" s="21">
        <v>41.0</v>
      </c>
      <c r="B1576" s="20" t="s">
        <v>2949</v>
      </c>
      <c r="C1576" s="20" t="s">
        <v>3920</v>
      </c>
      <c r="I1576" s="25" t="s">
        <v>3558</v>
      </c>
      <c r="J1576" s="25" t="s">
        <v>3740</v>
      </c>
      <c r="K1576" s="25" t="s">
        <v>71</v>
      </c>
      <c r="L1576" s="25" t="s">
        <v>4087</v>
      </c>
      <c r="M1576" s="20" t="s">
        <v>61</v>
      </c>
      <c r="N1576" s="20" t="s">
        <v>3559</v>
      </c>
      <c r="O1576" s="20" t="s">
        <v>63</v>
      </c>
      <c r="P1576" s="20" t="s">
        <v>52</v>
      </c>
      <c r="Q1576" s="26"/>
      <c r="R1576" s="26"/>
      <c r="S1576" s="26"/>
      <c r="T1576" s="20"/>
      <c r="U1576" s="26"/>
      <c r="V1576" s="26"/>
      <c r="W1576" s="20"/>
      <c r="X1576" s="20"/>
      <c r="Y1576" s="20"/>
      <c r="Z1576" s="20"/>
      <c r="AA1576" s="20"/>
      <c r="AB1576" s="20"/>
      <c r="AC1576" s="20"/>
      <c r="AD1576" s="20"/>
      <c r="AE1576" s="20"/>
    </row>
    <row r="1577">
      <c r="A1577" s="21">
        <v>41.0</v>
      </c>
      <c r="B1577" s="20" t="s">
        <v>2949</v>
      </c>
      <c r="C1577" s="20" t="s">
        <v>3920</v>
      </c>
      <c r="I1577" s="25" t="s">
        <v>2947</v>
      </c>
      <c r="J1577" s="25" t="s">
        <v>3737</v>
      </c>
      <c r="K1577" s="25" t="s">
        <v>71</v>
      </c>
      <c r="L1577" s="25" t="s">
        <v>4089</v>
      </c>
      <c r="M1577" s="20" t="s">
        <v>61</v>
      </c>
      <c r="N1577" s="20" t="s">
        <v>3669</v>
      </c>
      <c r="O1577" s="20" t="s">
        <v>63</v>
      </c>
      <c r="P1577" s="20" t="s">
        <v>52</v>
      </c>
      <c r="Q1577" s="26"/>
      <c r="R1577" s="26"/>
      <c r="S1577" s="26"/>
      <c r="T1577" s="20"/>
      <c r="U1577" s="26"/>
      <c r="V1577" s="26"/>
      <c r="W1577" s="20"/>
      <c r="X1577" s="20"/>
      <c r="Y1577" s="20"/>
      <c r="Z1577" s="20"/>
      <c r="AA1577" s="20"/>
      <c r="AB1577" s="20"/>
      <c r="AC1577" s="20"/>
      <c r="AD1577" s="20"/>
      <c r="AE1577" s="20"/>
    </row>
    <row r="1578">
      <c r="A1578" s="21">
        <v>41.0</v>
      </c>
      <c r="B1578" s="20" t="s">
        <v>2949</v>
      </c>
      <c r="C1578" s="20" t="s">
        <v>3920</v>
      </c>
      <c r="I1578" s="25" t="s">
        <v>3618</v>
      </c>
      <c r="J1578" s="25" t="s">
        <v>3737</v>
      </c>
      <c r="K1578" s="25" t="s">
        <v>71</v>
      </c>
      <c r="L1578" s="25" t="s">
        <v>3992</v>
      </c>
      <c r="M1578" s="20" t="s">
        <v>3619</v>
      </c>
      <c r="N1578" s="20" t="s">
        <v>3612</v>
      </c>
      <c r="O1578" s="20" t="s">
        <v>63</v>
      </c>
      <c r="P1578" s="20" t="s">
        <v>52</v>
      </c>
      <c r="Q1578" s="26"/>
      <c r="R1578" s="26"/>
      <c r="S1578" s="26"/>
      <c r="T1578" s="20"/>
      <c r="U1578" s="26"/>
      <c r="V1578" s="26"/>
      <c r="W1578" s="20"/>
      <c r="X1578" s="20"/>
      <c r="Y1578" s="20"/>
      <c r="Z1578" s="20"/>
      <c r="AA1578" s="20"/>
      <c r="AB1578" s="20"/>
      <c r="AC1578" s="20"/>
      <c r="AD1578" s="20"/>
      <c r="AE1578" s="20"/>
    </row>
    <row r="1579">
      <c r="A1579" s="21">
        <v>41.0</v>
      </c>
      <c r="B1579" s="20" t="s">
        <v>2949</v>
      </c>
      <c r="C1579" s="20" t="s">
        <v>3920</v>
      </c>
      <c r="I1579" s="25" t="s">
        <v>3620</v>
      </c>
      <c r="J1579" s="25" t="s">
        <v>3737</v>
      </c>
      <c r="K1579" s="25" t="s">
        <v>71</v>
      </c>
      <c r="L1579" s="25" t="s">
        <v>3992</v>
      </c>
      <c r="M1579" s="20" t="s">
        <v>3672</v>
      </c>
      <c r="N1579" s="20" t="s">
        <v>3763</v>
      </c>
      <c r="O1579" s="20" t="s">
        <v>63</v>
      </c>
      <c r="P1579" s="20" t="s">
        <v>52</v>
      </c>
      <c r="Q1579" s="26"/>
      <c r="R1579" s="26"/>
      <c r="S1579" s="26"/>
      <c r="T1579" s="20"/>
      <c r="U1579" s="26"/>
      <c r="V1579" s="26"/>
      <c r="W1579" s="20"/>
      <c r="X1579" s="20"/>
      <c r="Y1579" s="20"/>
      <c r="Z1579" s="20"/>
      <c r="AA1579" s="20"/>
      <c r="AB1579" s="20"/>
      <c r="AC1579" s="20"/>
      <c r="AD1579" s="20"/>
      <c r="AE1579" s="20"/>
    </row>
    <row r="1580">
      <c r="A1580" s="21">
        <v>41.0</v>
      </c>
      <c r="B1580" s="20" t="s">
        <v>2949</v>
      </c>
      <c r="C1580" s="20" t="s">
        <v>3920</v>
      </c>
      <c r="I1580" s="25" t="s">
        <v>3646</v>
      </c>
      <c r="J1580" s="25" t="s">
        <v>3740</v>
      </c>
      <c r="K1580" s="25" t="s">
        <v>71</v>
      </c>
      <c r="L1580" s="25" t="s">
        <v>292</v>
      </c>
      <c r="M1580" s="20" t="s">
        <v>61</v>
      </c>
      <c r="N1580" s="20" t="s">
        <v>3748</v>
      </c>
      <c r="O1580" s="20" t="s">
        <v>63</v>
      </c>
      <c r="P1580" s="20" t="s">
        <v>52</v>
      </c>
      <c r="Q1580" s="26"/>
      <c r="R1580" s="26"/>
      <c r="S1580" s="26"/>
      <c r="T1580" s="22"/>
      <c r="U1580" s="26"/>
      <c r="V1580" s="26"/>
      <c r="W1580" s="20"/>
      <c r="X1580" s="20"/>
      <c r="Y1580" s="20"/>
      <c r="Z1580" s="20"/>
      <c r="AA1580" s="20"/>
      <c r="AB1580" s="20"/>
      <c r="AC1580" s="20"/>
      <c r="AD1580" s="20"/>
      <c r="AE1580" s="20"/>
    </row>
    <row r="1581">
      <c r="A1581" s="21">
        <v>41.0</v>
      </c>
      <c r="B1581" s="20" t="s">
        <v>2949</v>
      </c>
      <c r="C1581" s="20" t="s">
        <v>3920</v>
      </c>
      <c r="I1581" s="25" t="s">
        <v>3662</v>
      </c>
      <c r="J1581" s="25" t="s">
        <v>3737</v>
      </c>
      <c r="K1581" s="25" t="s">
        <v>71</v>
      </c>
      <c r="L1581" s="25" t="s">
        <v>4172</v>
      </c>
      <c r="M1581" s="20" t="s">
        <v>61</v>
      </c>
      <c r="N1581" s="20" t="s">
        <v>3722</v>
      </c>
      <c r="O1581" s="20" t="s">
        <v>63</v>
      </c>
      <c r="P1581" s="20" t="s">
        <v>52</v>
      </c>
      <c r="Q1581" s="26"/>
      <c r="R1581" s="26"/>
      <c r="S1581" s="26"/>
      <c r="T1581" s="20"/>
      <c r="U1581" s="26"/>
      <c r="V1581" s="26"/>
      <c r="W1581" s="20"/>
      <c r="X1581" s="20"/>
      <c r="Y1581" s="20"/>
      <c r="Z1581" s="20"/>
      <c r="AA1581" s="20"/>
      <c r="AB1581" s="20"/>
      <c r="AC1581" s="20"/>
      <c r="AD1581" s="20"/>
      <c r="AE1581" s="20"/>
    </row>
    <row r="1582">
      <c r="A1582" s="21">
        <v>41.0</v>
      </c>
      <c r="B1582" s="20" t="s">
        <v>2949</v>
      </c>
      <c r="C1582" s="20" t="s">
        <v>3920</v>
      </c>
      <c r="I1582" s="25" t="s">
        <v>919</v>
      </c>
      <c r="J1582" s="25" t="s">
        <v>3740</v>
      </c>
      <c r="K1582" s="25" t="s">
        <v>71</v>
      </c>
      <c r="L1582" s="25" t="s">
        <v>4087</v>
      </c>
      <c r="M1582" s="20" t="s">
        <v>3584</v>
      </c>
      <c r="N1582" s="20" t="s">
        <v>3585</v>
      </c>
      <c r="O1582" s="20" t="s">
        <v>63</v>
      </c>
      <c r="P1582" s="20" t="s">
        <v>52</v>
      </c>
      <c r="Q1582" s="26"/>
      <c r="R1582" s="26"/>
      <c r="S1582" s="26"/>
      <c r="T1582" s="20"/>
      <c r="U1582" s="26"/>
      <c r="V1582" s="26"/>
      <c r="W1582" s="20"/>
      <c r="X1582" s="20"/>
      <c r="Y1582" s="20"/>
      <c r="Z1582" s="20"/>
      <c r="AA1582" s="20"/>
      <c r="AB1582" s="20"/>
      <c r="AC1582" s="20"/>
      <c r="AD1582" s="20"/>
      <c r="AE1582" s="20"/>
    </row>
    <row r="1583">
      <c r="A1583" s="21">
        <v>41.0</v>
      </c>
      <c r="B1583" s="20" t="s">
        <v>2949</v>
      </c>
      <c r="C1583" s="20" t="s">
        <v>3920</v>
      </c>
      <c r="I1583" s="25" t="s">
        <v>3596</v>
      </c>
      <c r="J1583" s="25" t="s">
        <v>3740</v>
      </c>
      <c r="K1583" s="25" t="s">
        <v>71</v>
      </c>
      <c r="L1583" s="25" t="s">
        <v>3978</v>
      </c>
      <c r="M1583" s="20" t="s">
        <v>3750</v>
      </c>
      <c r="N1583" s="20" t="s">
        <v>3752</v>
      </c>
      <c r="O1583" s="20" t="s">
        <v>63</v>
      </c>
      <c r="P1583" s="20" t="s">
        <v>52</v>
      </c>
      <c r="Q1583" s="26"/>
      <c r="R1583" s="26"/>
      <c r="S1583" s="26"/>
      <c r="T1583" s="20"/>
      <c r="U1583" s="26"/>
      <c r="V1583" s="26"/>
      <c r="W1583" s="20"/>
      <c r="X1583" s="20"/>
      <c r="Y1583" s="20"/>
      <c r="Z1583" s="20"/>
      <c r="AA1583" s="20"/>
      <c r="AB1583" s="20"/>
      <c r="AC1583" s="20"/>
      <c r="AD1583" s="20"/>
      <c r="AE1583" s="20"/>
    </row>
    <row r="1584">
      <c r="A1584" s="21">
        <v>41.0</v>
      </c>
      <c r="B1584" s="20" t="s">
        <v>2949</v>
      </c>
      <c r="C1584" s="20" t="s">
        <v>3920</v>
      </c>
      <c r="I1584" s="25" t="s">
        <v>3592</v>
      </c>
      <c r="J1584" s="25" t="s">
        <v>3740</v>
      </c>
      <c r="K1584" s="25" t="s">
        <v>71</v>
      </c>
      <c r="L1584" s="25" t="s">
        <v>4001</v>
      </c>
      <c r="M1584" s="20" t="s">
        <v>61</v>
      </c>
      <c r="N1584" s="20" t="s">
        <v>3593</v>
      </c>
      <c r="O1584" s="20" t="s">
        <v>63</v>
      </c>
      <c r="P1584" s="20" t="s">
        <v>52</v>
      </c>
      <c r="Q1584" s="26"/>
      <c r="R1584" s="26"/>
      <c r="S1584" s="26"/>
      <c r="T1584" s="20"/>
      <c r="U1584" s="26"/>
      <c r="V1584" s="26"/>
      <c r="W1584" s="20"/>
      <c r="X1584" s="20"/>
      <c r="Y1584" s="20"/>
      <c r="Z1584" s="20"/>
      <c r="AA1584" s="20"/>
      <c r="AB1584" s="20"/>
      <c r="AC1584" s="20"/>
      <c r="AD1584" s="20"/>
      <c r="AE1584" s="20"/>
    </row>
    <row r="1585">
      <c r="A1585" s="21">
        <v>41.0</v>
      </c>
      <c r="B1585" s="20" t="s">
        <v>2949</v>
      </c>
      <c r="C1585" s="20" t="s">
        <v>3920</v>
      </c>
      <c r="I1585" s="25" t="s">
        <v>3594</v>
      </c>
      <c r="J1585" s="25" t="s">
        <v>3740</v>
      </c>
      <c r="K1585" s="25" t="s">
        <v>71</v>
      </c>
      <c r="L1585" s="25" t="s">
        <v>3984</v>
      </c>
      <c r="M1585" s="20" t="s">
        <v>61</v>
      </c>
      <c r="N1585" s="20" t="s">
        <v>3595</v>
      </c>
      <c r="O1585" s="20" t="s">
        <v>63</v>
      </c>
      <c r="P1585" s="20" t="s">
        <v>52</v>
      </c>
      <c r="Q1585" s="26"/>
      <c r="R1585" s="26"/>
      <c r="S1585" s="26"/>
      <c r="T1585" s="20"/>
      <c r="U1585" s="26"/>
      <c r="V1585" s="26"/>
      <c r="W1585" s="20"/>
      <c r="X1585" s="20"/>
      <c r="Y1585" s="20"/>
      <c r="Z1585" s="20"/>
      <c r="AA1585" s="20"/>
      <c r="AB1585" s="20"/>
      <c r="AC1585" s="20"/>
      <c r="AD1585" s="20"/>
      <c r="AE1585" s="20"/>
    </row>
    <row r="1586">
      <c r="A1586" s="21">
        <v>41.0</v>
      </c>
      <c r="B1586" s="20" t="s">
        <v>2949</v>
      </c>
      <c r="C1586" s="20" t="s">
        <v>3920</v>
      </c>
      <c r="I1586" s="25" t="s">
        <v>1258</v>
      </c>
      <c r="J1586" s="25" t="s">
        <v>3740</v>
      </c>
      <c r="K1586" s="25" t="s">
        <v>71</v>
      </c>
      <c r="L1586" s="25" t="s">
        <v>292</v>
      </c>
      <c r="M1586" s="20" t="s">
        <v>1259</v>
      </c>
      <c r="N1586" s="20" t="s">
        <v>1260</v>
      </c>
      <c r="O1586" s="20" t="s">
        <v>63</v>
      </c>
      <c r="P1586" s="20" t="s">
        <v>52</v>
      </c>
      <c r="Q1586" s="26"/>
      <c r="R1586" s="26"/>
      <c r="S1586" s="26"/>
      <c r="T1586" s="22"/>
      <c r="U1586" s="26"/>
      <c r="V1586" s="26"/>
      <c r="W1586" s="20"/>
      <c r="X1586" s="20"/>
      <c r="Y1586" s="20"/>
      <c r="Z1586" s="20"/>
      <c r="AA1586" s="20"/>
      <c r="AB1586" s="20"/>
      <c r="AC1586" s="20"/>
      <c r="AD1586" s="20"/>
      <c r="AE1586" s="20"/>
    </row>
    <row r="1587">
      <c r="A1587" s="21">
        <v>41.0</v>
      </c>
      <c r="B1587" s="20" t="s">
        <v>2949</v>
      </c>
      <c r="C1587" s="20" t="s">
        <v>3920</v>
      </c>
      <c r="I1587" s="25" t="s">
        <v>1265</v>
      </c>
      <c r="J1587" s="25" t="s">
        <v>3740</v>
      </c>
      <c r="K1587" s="25" t="s">
        <v>71</v>
      </c>
      <c r="L1587" s="25" t="s">
        <v>292</v>
      </c>
      <c r="M1587" s="20" t="s">
        <v>1266</v>
      </c>
      <c r="N1587" s="20" t="s">
        <v>1267</v>
      </c>
      <c r="O1587" s="20" t="s">
        <v>63</v>
      </c>
      <c r="P1587" s="20" t="s">
        <v>52</v>
      </c>
      <c r="Q1587" s="26"/>
      <c r="R1587" s="26"/>
      <c r="S1587" s="26"/>
      <c r="T1587" s="22"/>
      <c r="U1587" s="26"/>
      <c r="V1587" s="26"/>
      <c r="W1587" s="20"/>
      <c r="X1587" s="20"/>
      <c r="Y1587" s="20"/>
      <c r="Z1587" s="20"/>
      <c r="AA1587" s="20"/>
      <c r="AB1587" s="20"/>
      <c r="AC1587" s="20"/>
      <c r="AD1587" s="20"/>
      <c r="AE1587" s="20"/>
    </row>
    <row r="1588">
      <c r="A1588" s="21">
        <v>41.0</v>
      </c>
      <c r="B1588" s="20" t="s">
        <v>2949</v>
      </c>
      <c r="C1588" s="20" t="s">
        <v>3920</v>
      </c>
      <c r="I1588" s="25" t="s">
        <v>3764</v>
      </c>
      <c r="J1588" s="25" t="s">
        <v>3737</v>
      </c>
      <c r="K1588" s="25" t="s">
        <v>71</v>
      </c>
      <c r="L1588" s="25" t="s">
        <v>4105</v>
      </c>
      <c r="M1588" s="20" t="s">
        <v>3765</v>
      </c>
      <c r="N1588" s="20" t="s">
        <v>3766</v>
      </c>
      <c r="O1588" s="20" t="s">
        <v>63</v>
      </c>
      <c r="P1588" s="20" t="s">
        <v>52</v>
      </c>
      <c r="Q1588" s="26"/>
      <c r="R1588" s="26"/>
      <c r="S1588" s="26"/>
      <c r="T1588" s="20"/>
      <c r="U1588" s="26"/>
      <c r="V1588" s="26"/>
      <c r="W1588" s="20"/>
      <c r="X1588" s="20"/>
      <c r="Y1588" s="20"/>
      <c r="Z1588" s="20"/>
      <c r="AA1588" s="20"/>
      <c r="AB1588" s="20"/>
      <c r="AC1588" s="20"/>
      <c r="AD1588" s="20"/>
      <c r="AE1588" s="20"/>
    </row>
    <row r="1589">
      <c r="A1589" s="21">
        <v>41.0</v>
      </c>
      <c r="B1589" s="20" t="s">
        <v>2949</v>
      </c>
      <c r="C1589" s="20" t="s">
        <v>3920</v>
      </c>
      <c r="I1589" s="25" t="s">
        <v>3756</v>
      </c>
      <c r="J1589" s="25" t="s">
        <v>3740</v>
      </c>
      <c r="K1589" s="25" t="s">
        <v>71</v>
      </c>
      <c r="L1589" s="25" t="s">
        <v>4105</v>
      </c>
      <c r="M1589" s="20" t="s">
        <v>61</v>
      </c>
      <c r="N1589" s="20" t="s">
        <v>3757</v>
      </c>
      <c r="O1589" s="20" t="s">
        <v>63</v>
      </c>
      <c r="P1589" s="20" t="s">
        <v>52</v>
      </c>
      <c r="Q1589" s="26"/>
      <c r="R1589" s="26"/>
      <c r="S1589" s="26"/>
      <c r="T1589" s="20"/>
      <c r="U1589" s="26"/>
      <c r="V1589" s="26"/>
      <c r="W1589" s="20"/>
      <c r="X1589" s="20"/>
      <c r="Y1589" s="20"/>
      <c r="Z1589" s="20"/>
      <c r="AA1589" s="20"/>
      <c r="AB1589" s="20"/>
      <c r="AC1589" s="20"/>
      <c r="AD1589" s="20"/>
      <c r="AE1589" s="20"/>
    </row>
    <row r="1590">
      <c r="A1590" s="21">
        <v>41.0</v>
      </c>
      <c r="B1590" s="20" t="s">
        <v>2949</v>
      </c>
      <c r="C1590" s="20" t="s">
        <v>3920</v>
      </c>
      <c r="I1590" s="25" t="s">
        <v>3682</v>
      </c>
      <c r="J1590" s="25" t="s">
        <v>3737</v>
      </c>
      <c r="K1590" s="25" t="s">
        <v>71</v>
      </c>
      <c r="L1590" s="25" t="s">
        <v>4105</v>
      </c>
      <c r="M1590" s="20" t="s">
        <v>61</v>
      </c>
      <c r="N1590" s="20" t="s">
        <v>3683</v>
      </c>
      <c r="O1590" s="20" t="s">
        <v>63</v>
      </c>
      <c r="P1590" s="20" t="s">
        <v>52</v>
      </c>
      <c r="Q1590" s="26"/>
      <c r="R1590" s="26"/>
      <c r="S1590" s="26"/>
      <c r="T1590" s="20"/>
      <c r="U1590" s="26"/>
      <c r="V1590" s="26"/>
      <c r="W1590" s="20"/>
      <c r="X1590" s="20"/>
      <c r="Y1590" s="20"/>
      <c r="Z1590" s="20"/>
      <c r="AA1590" s="20"/>
      <c r="AB1590" s="20"/>
      <c r="AC1590" s="20"/>
      <c r="AD1590" s="20"/>
      <c r="AE1590" s="20"/>
    </row>
    <row r="1591">
      <c r="A1591" s="21">
        <v>41.0</v>
      </c>
      <c r="B1591" s="20" t="s">
        <v>2949</v>
      </c>
      <c r="C1591" s="20" t="s">
        <v>3920</v>
      </c>
      <c r="I1591" s="25" t="s">
        <v>3733</v>
      </c>
      <c r="J1591" s="25" t="s">
        <v>3737</v>
      </c>
      <c r="K1591" s="25" t="s">
        <v>71</v>
      </c>
      <c r="L1591" s="25" t="s">
        <v>4105</v>
      </c>
      <c r="M1591" s="20" t="s">
        <v>61</v>
      </c>
      <c r="N1591" s="20" t="s">
        <v>3734</v>
      </c>
      <c r="O1591" s="20" t="s">
        <v>63</v>
      </c>
      <c r="P1591" s="20" t="s">
        <v>52</v>
      </c>
      <c r="Q1591" s="26"/>
      <c r="R1591" s="26"/>
      <c r="S1591" s="26"/>
      <c r="T1591" s="20"/>
      <c r="U1591" s="26"/>
      <c r="V1591" s="26"/>
      <c r="W1591" s="20"/>
      <c r="X1591" s="20"/>
      <c r="Y1591" s="20"/>
      <c r="Z1591" s="20"/>
      <c r="AA1591" s="20"/>
      <c r="AB1591" s="20"/>
      <c r="AC1591" s="20"/>
      <c r="AD1591" s="20"/>
      <c r="AE1591" s="20"/>
    </row>
    <row r="1592">
      <c r="A1592" s="21">
        <v>42.0</v>
      </c>
      <c r="B1592" s="20" t="s">
        <v>3592</v>
      </c>
      <c r="C1592" s="20" t="s">
        <v>3920</v>
      </c>
      <c r="D1592" s="35">
        <v>30.0</v>
      </c>
      <c r="E1592" s="35">
        <v>4.0</v>
      </c>
      <c r="F1592" s="35">
        <v>1.0</v>
      </c>
      <c r="G1592" s="35">
        <v>25.0</v>
      </c>
      <c r="H1592" s="36" t="s">
        <v>4233</v>
      </c>
      <c r="I1592" s="25" t="s">
        <v>3768</v>
      </c>
      <c r="J1592" s="25" t="s">
        <v>3767</v>
      </c>
      <c r="K1592" s="25" t="s">
        <v>57</v>
      </c>
      <c r="L1592" s="25" t="s">
        <v>4235</v>
      </c>
      <c r="M1592" s="20" t="s">
        <v>3769</v>
      </c>
      <c r="N1592" s="20" t="s">
        <v>3771</v>
      </c>
      <c r="O1592" s="20" t="s">
        <v>56</v>
      </c>
      <c r="P1592" s="20"/>
      <c r="Q1592" s="26"/>
      <c r="R1592" s="26"/>
      <c r="S1592" s="26"/>
      <c r="T1592" s="20"/>
      <c r="U1592" s="26"/>
      <c r="V1592" s="26"/>
      <c r="W1592" s="20"/>
      <c r="X1592" s="20"/>
      <c r="Y1592" s="20"/>
      <c r="Z1592" s="20"/>
      <c r="AA1592" s="20"/>
      <c r="AB1592" s="20"/>
      <c r="AC1592" s="20"/>
      <c r="AD1592" s="20"/>
      <c r="AE1592" s="20"/>
    </row>
    <row r="1593">
      <c r="A1593" s="21">
        <v>42.0</v>
      </c>
      <c r="B1593" s="20" t="s">
        <v>3592</v>
      </c>
      <c r="C1593" s="20" t="s">
        <v>3920</v>
      </c>
      <c r="I1593" s="25" t="s">
        <v>3580</v>
      </c>
      <c r="J1593" s="25" t="s">
        <v>3767</v>
      </c>
      <c r="K1593" s="25" t="s">
        <v>57</v>
      </c>
      <c r="L1593" s="25" t="s">
        <v>4238</v>
      </c>
      <c r="M1593" s="20" t="s">
        <v>3581</v>
      </c>
      <c r="N1593" s="20" t="s">
        <v>3582</v>
      </c>
      <c r="O1593" s="20" t="s">
        <v>63</v>
      </c>
      <c r="P1593" s="20"/>
      <c r="Q1593" s="26"/>
      <c r="R1593" s="26"/>
      <c r="S1593" s="26"/>
      <c r="T1593" s="20"/>
      <c r="U1593" s="26"/>
      <c r="V1593" s="26"/>
      <c r="W1593" s="20"/>
      <c r="X1593" s="20"/>
      <c r="Y1593" s="20"/>
      <c r="Z1593" s="20"/>
      <c r="AA1593" s="20"/>
      <c r="AB1593" s="20"/>
      <c r="AC1593" s="20"/>
      <c r="AD1593" s="20"/>
      <c r="AE1593" s="20"/>
    </row>
    <row r="1594">
      <c r="A1594" s="21">
        <v>42.0</v>
      </c>
      <c r="B1594" s="20" t="s">
        <v>3592</v>
      </c>
      <c r="C1594" s="20" t="s">
        <v>3920</v>
      </c>
      <c r="I1594" s="25" t="s">
        <v>2816</v>
      </c>
      <c r="J1594" s="25" t="s">
        <v>3767</v>
      </c>
      <c r="K1594" s="25" t="s">
        <v>57</v>
      </c>
      <c r="L1594" s="25" t="s">
        <v>4240</v>
      </c>
      <c r="M1594" s="20" t="s">
        <v>3772</v>
      </c>
      <c r="N1594" s="20" t="s">
        <v>3773</v>
      </c>
      <c r="O1594" s="20" t="s">
        <v>63</v>
      </c>
      <c r="P1594" s="20"/>
      <c r="Q1594" s="26"/>
      <c r="R1594" s="26"/>
      <c r="S1594" s="26"/>
      <c r="T1594" s="20"/>
      <c r="U1594" s="26"/>
      <c r="V1594" s="26"/>
      <c r="W1594" s="20"/>
      <c r="X1594" s="20"/>
      <c r="Y1594" s="20"/>
      <c r="Z1594" s="20"/>
      <c r="AA1594" s="20"/>
      <c r="AB1594" s="20"/>
      <c r="AC1594" s="20"/>
      <c r="AD1594" s="20"/>
      <c r="AE1594" s="20"/>
    </row>
    <row r="1595">
      <c r="A1595" s="21">
        <v>42.0</v>
      </c>
      <c r="B1595" s="20" t="s">
        <v>3592</v>
      </c>
      <c r="C1595" s="20" t="s">
        <v>3920</v>
      </c>
      <c r="I1595" s="25" t="s">
        <v>2666</v>
      </c>
      <c r="J1595" s="25" t="s">
        <v>3767</v>
      </c>
      <c r="K1595" s="25" t="s">
        <v>57</v>
      </c>
      <c r="L1595" s="25" t="s">
        <v>4244</v>
      </c>
      <c r="M1595" s="20" t="s">
        <v>61</v>
      </c>
      <c r="N1595" s="20" t="s">
        <v>3774</v>
      </c>
      <c r="O1595" s="20" t="s">
        <v>63</v>
      </c>
      <c r="P1595" s="20"/>
      <c r="Q1595" s="26"/>
      <c r="R1595" s="26"/>
      <c r="S1595" s="26"/>
      <c r="T1595" s="20"/>
      <c r="U1595" s="26"/>
      <c r="V1595" s="26"/>
      <c r="W1595" s="20"/>
      <c r="X1595" s="20"/>
      <c r="Y1595" s="20"/>
      <c r="Z1595" s="20"/>
      <c r="AA1595" s="20"/>
      <c r="AB1595" s="20"/>
      <c r="AC1595" s="20"/>
      <c r="AD1595" s="20"/>
      <c r="AE1595" s="20"/>
    </row>
    <row r="1596">
      <c r="A1596" s="21">
        <v>42.0</v>
      </c>
      <c r="B1596" s="20" t="s">
        <v>3592</v>
      </c>
      <c r="C1596" s="20" t="s">
        <v>3920</v>
      </c>
      <c r="I1596" s="25" t="s">
        <v>1707</v>
      </c>
      <c r="J1596" s="25" t="s">
        <v>3767</v>
      </c>
      <c r="K1596" s="25" t="s">
        <v>67</v>
      </c>
      <c r="L1596" s="25" t="s">
        <v>4247</v>
      </c>
      <c r="M1596" s="20" t="s">
        <v>61</v>
      </c>
      <c r="N1596" s="20" t="s">
        <v>3614</v>
      </c>
      <c r="O1596" s="20" t="s">
        <v>63</v>
      </c>
      <c r="P1596" s="20"/>
      <c r="Q1596" s="26"/>
      <c r="R1596" s="26"/>
      <c r="S1596" s="26"/>
      <c r="T1596" s="20"/>
      <c r="U1596" s="26"/>
      <c r="V1596" s="26"/>
      <c r="W1596" s="20"/>
      <c r="X1596" s="20"/>
      <c r="Y1596" s="20"/>
      <c r="Z1596" s="20"/>
      <c r="AA1596" s="20"/>
      <c r="AB1596" s="20"/>
      <c r="AC1596" s="20"/>
      <c r="AD1596" s="20"/>
      <c r="AE1596" s="20"/>
    </row>
    <row r="1597">
      <c r="A1597" s="21">
        <v>42.0</v>
      </c>
      <c r="B1597" s="20" t="s">
        <v>3592</v>
      </c>
      <c r="C1597" s="20" t="s">
        <v>3920</v>
      </c>
      <c r="I1597" s="25" t="s">
        <v>3586</v>
      </c>
      <c r="J1597" s="25" t="s">
        <v>3775</v>
      </c>
      <c r="K1597" s="25" t="s">
        <v>71</v>
      </c>
      <c r="L1597" s="25" t="s">
        <v>3978</v>
      </c>
      <c r="M1597" s="20" t="s">
        <v>61</v>
      </c>
      <c r="N1597" s="20" t="s">
        <v>3587</v>
      </c>
      <c r="O1597" s="20" t="s">
        <v>63</v>
      </c>
      <c r="P1597" s="20" t="s">
        <v>52</v>
      </c>
      <c r="Q1597" s="26"/>
      <c r="R1597" s="26"/>
      <c r="S1597" s="26"/>
      <c r="T1597" s="20"/>
      <c r="U1597" s="26"/>
      <c r="V1597" s="26"/>
      <c r="W1597" s="20"/>
      <c r="X1597" s="20"/>
      <c r="Y1597" s="20"/>
      <c r="Z1597" s="20"/>
      <c r="AA1597" s="20"/>
      <c r="AB1597" s="20"/>
      <c r="AC1597" s="20"/>
      <c r="AD1597" s="20"/>
      <c r="AE1597" s="20"/>
    </row>
    <row r="1598">
      <c r="A1598" s="21">
        <v>42.0</v>
      </c>
      <c r="B1598" s="20" t="s">
        <v>3592</v>
      </c>
      <c r="C1598" s="20" t="s">
        <v>3920</v>
      </c>
      <c r="I1598" s="25" t="s">
        <v>2957</v>
      </c>
      <c r="J1598" s="25" t="s">
        <v>3775</v>
      </c>
      <c r="K1598" s="25" t="s">
        <v>71</v>
      </c>
      <c r="L1598" s="25" t="s">
        <v>4071</v>
      </c>
      <c r="M1598" s="20" t="s">
        <v>61</v>
      </c>
      <c r="N1598" s="20" t="s">
        <v>3652</v>
      </c>
      <c r="O1598" s="20" t="s">
        <v>63</v>
      </c>
      <c r="P1598" s="20" t="s">
        <v>52</v>
      </c>
      <c r="Q1598" s="26"/>
      <c r="R1598" s="26"/>
      <c r="S1598" s="26"/>
      <c r="T1598" s="20"/>
      <c r="U1598" s="26"/>
      <c r="V1598" s="26"/>
      <c r="W1598" s="20"/>
      <c r="X1598" s="20"/>
      <c r="Y1598" s="20"/>
      <c r="Z1598" s="20"/>
      <c r="AA1598" s="20"/>
      <c r="AB1598" s="20"/>
      <c r="AC1598" s="20"/>
      <c r="AD1598" s="20"/>
      <c r="AE1598" s="20"/>
    </row>
    <row r="1599">
      <c r="A1599" s="21">
        <v>42.0</v>
      </c>
      <c r="B1599" s="20" t="s">
        <v>3592</v>
      </c>
      <c r="C1599" s="20" t="s">
        <v>3920</v>
      </c>
      <c r="I1599" s="25" t="s">
        <v>3554</v>
      </c>
      <c r="J1599" s="25" t="s">
        <v>3775</v>
      </c>
      <c r="K1599" s="25" t="s">
        <v>71</v>
      </c>
      <c r="L1599" s="25" t="s">
        <v>4071</v>
      </c>
      <c r="M1599" s="20" t="s">
        <v>3654</v>
      </c>
      <c r="N1599" s="20" t="s">
        <v>3655</v>
      </c>
      <c r="O1599" s="20" t="s">
        <v>63</v>
      </c>
      <c r="P1599" s="20" t="s">
        <v>52</v>
      </c>
      <c r="Q1599" s="26"/>
      <c r="R1599" s="26"/>
      <c r="S1599" s="26"/>
      <c r="T1599" s="20"/>
      <c r="U1599" s="26"/>
      <c r="V1599" s="26"/>
      <c r="W1599" s="20"/>
      <c r="X1599" s="20"/>
      <c r="Y1599" s="20"/>
      <c r="Z1599" s="20"/>
      <c r="AA1599" s="20"/>
      <c r="AB1599" s="20"/>
      <c r="AC1599" s="20"/>
      <c r="AD1599" s="20"/>
      <c r="AE1599" s="20"/>
    </row>
    <row r="1600">
      <c r="A1600" s="21">
        <v>42.0</v>
      </c>
      <c r="B1600" s="20" t="s">
        <v>3592</v>
      </c>
      <c r="C1600" s="20" t="s">
        <v>3920</v>
      </c>
      <c r="I1600" s="25" t="s">
        <v>3616</v>
      </c>
      <c r="J1600" s="25" t="s">
        <v>3767</v>
      </c>
      <c r="K1600" s="25" t="s">
        <v>71</v>
      </c>
      <c r="L1600" s="25" t="s">
        <v>3981</v>
      </c>
      <c r="M1600" s="20" t="s">
        <v>61</v>
      </c>
      <c r="N1600" s="20" t="s">
        <v>3778</v>
      </c>
      <c r="O1600" s="20" t="s">
        <v>63</v>
      </c>
      <c r="P1600" s="20" t="s">
        <v>52</v>
      </c>
      <c r="Q1600" s="26"/>
      <c r="R1600" s="26"/>
      <c r="S1600" s="26"/>
      <c r="T1600" s="20"/>
      <c r="U1600" s="26"/>
      <c r="V1600" s="26"/>
      <c r="W1600" s="20"/>
      <c r="X1600" s="20"/>
      <c r="Y1600" s="20"/>
      <c r="Z1600" s="20"/>
      <c r="AA1600" s="20"/>
      <c r="AB1600" s="20"/>
      <c r="AC1600" s="20"/>
      <c r="AD1600" s="20"/>
      <c r="AE1600" s="20"/>
    </row>
    <row r="1601">
      <c r="A1601" s="21">
        <v>42.0</v>
      </c>
      <c r="B1601" s="20" t="s">
        <v>3592</v>
      </c>
      <c r="C1601" s="20" t="s">
        <v>3920</v>
      </c>
      <c r="I1601" s="25" t="s">
        <v>3590</v>
      </c>
      <c r="J1601" s="25" t="s">
        <v>3767</v>
      </c>
      <c r="K1601" s="25" t="s">
        <v>71</v>
      </c>
      <c r="L1601" s="25" t="s">
        <v>3987</v>
      </c>
      <c r="M1601" s="20" t="s">
        <v>61</v>
      </c>
      <c r="N1601" s="20" t="s">
        <v>3667</v>
      </c>
      <c r="O1601" s="20" t="s">
        <v>63</v>
      </c>
      <c r="P1601" s="20" t="s">
        <v>52</v>
      </c>
      <c r="Q1601" s="26"/>
      <c r="R1601" s="26"/>
      <c r="S1601" s="26"/>
      <c r="T1601" s="20"/>
      <c r="U1601" s="26"/>
      <c r="V1601" s="26"/>
      <c r="W1601" s="20"/>
      <c r="X1601" s="20"/>
      <c r="Y1601" s="20"/>
      <c r="Z1601" s="20"/>
      <c r="AA1601" s="20"/>
      <c r="AB1601" s="20"/>
      <c r="AC1601" s="20"/>
      <c r="AD1601" s="20"/>
      <c r="AE1601" s="20"/>
    </row>
    <row r="1602">
      <c r="A1602" s="21">
        <v>42.0</v>
      </c>
      <c r="B1602" s="20" t="s">
        <v>3592</v>
      </c>
      <c r="C1602" s="20" t="s">
        <v>3920</v>
      </c>
      <c r="I1602" s="25" t="s">
        <v>3610</v>
      </c>
      <c r="J1602" s="25" t="s">
        <v>3767</v>
      </c>
      <c r="K1602" s="25" t="s">
        <v>71</v>
      </c>
      <c r="L1602" s="25" t="s">
        <v>4081</v>
      </c>
      <c r="M1602" s="20" t="s">
        <v>61</v>
      </c>
      <c r="N1602" s="20" t="s">
        <v>3668</v>
      </c>
      <c r="O1602" s="20" t="s">
        <v>63</v>
      </c>
      <c r="P1602" s="20" t="s">
        <v>52</v>
      </c>
      <c r="Q1602" s="26"/>
      <c r="R1602" s="26"/>
      <c r="S1602" s="26"/>
      <c r="T1602" s="20"/>
      <c r="U1602" s="26"/>
      <c r="V1602" s="26"/>
      <c r="W1602" s="20"/>
      <c r="X1602" s="20"/>
      <c r="Y1602" s="20"/>
      <c r="Z1602" s="20"/>
      <c r="AA1602" s="20"/>
      <c r="AB1602" s="20"/>
      <c r="AC1602" s="20"/>
      <c r="AD1602" s="20"/>
      <c r="AE1602" s="20"/>
    </row>
    <row r="1603">
      <c r="A1603" s="21">
        <v>42.0</v>
      </c>
      <c r="B1603" s="20" t="s">
        <v>3592</v>
      </c>
      <c r="C1603" s="20" t="s">
        <v>3920</v>
      </c>
      <c r="I1603" s="25" t="s">
        <v>2902</v>
      </c>
      <c r="J1603" s="25" t="s">
        <v>3767</v>
      </c>
      <c r="K1603" s="25" t="s">
        <v>71</v>
      </c>
      <c r="L1603" s="25" t="s">
        <v>3984</v>
      </c>
      <c r="M1603" s="20" t="s">
        <v>61</v>
      </c>
      <c r="N1603" s="20" t="s">
        <v>3665</v>
      </c>
      <c r="O1603" s="20" t="s">
        <v>63</v>
      </c>
      <c r="P1603" s="20" t="s">
        <v>52</v>
      </c>
      <c r="Q1603" s="26"/>
      <c r="R1603" s="26"/>
      <c r="S1603" s="26"/>
      <c r="T1603" s="20"/>
      <c r="U1603" s="26"/>
      <c r="V1603" s="26"/>
      <c r="W1603" s="20"/>
      <c r="X1603" s="20"/>
      <c r="Y1603" s="20"/>
      <c r="Z1603" s="20"/>
      <c r="AA1603" s="20"/>
      <c r="AB1603" s="20"/>
      <c r="AC1603" s="20"/>
      <c r="AD1603" s="20"/>
      <c r="AE1603" s="20"/>
    </row>
    <row r="1604">
      <c r="A1604" s="21">
        <v>42.0</v>
      </c>
      <c r="B1604" s="20" t="s">
        <v>3592</v>
      </c>
      <c r="C1604" s="20" t="s">
        <v>3920</v>
      </c>
      <c r="I1604" s="25" t="s">
        <v>2727</v>
      </c>
      <c r="J1604" s="25" t="s">
        <v>3767</v>
      </c>
      <c r="K1604" s="25" t="s">
        <v>71</v>
      </c>
      <c r="L1604" s="25" t="s">
        <v>4261</v>
      </c>
      <c r="M1604" s="20" t="s">
        <v>3781</v>
      </c>
      <c r="N1604" s="20" t="s">
        <v>3782</v>
      </c>
      <c r="O1604" s="20" t="s">
        <v>63</v>
      </c>
      <c r="P1604" s="20" t="s">
        <v>52</v>
      </c>
      <c r="Q1604" s="26"/>
      <c r="R1604" s="26"/>
      <c r="S1604" s="26"/>
      <c r="T1604" s="20"/>
      <c r="U1604" s="26"/>
      <c r="V1604" s="26"/>
      <c r="W1604" s="20"/>
      <c r="X1604" s="20"/>
      <c r="Y1604" s="20"/>
      <c r="Z1604" s="20"/>
      <c r="AA1604" s="20"/>
      <c r="AB1604" s="20"/>
      <c r="AC1604" s="20"/>
      <c r="AD1604" s="20"/>
      <c r="AE1604" s="20"/>
    </row>
    <row r="1605">
      <c r="A1605" s="21">
        <v>42.0</v>
      </c>
      <c r="B1605" s="20" t="s">
        <v>3592</v>
      </c>
      <c r="C1605" s="20" t="s">
        <v>3920</v>
      </c>
      <c r="I1605" s="25" t="s">
        <v>3676</v>
      </c>
      <c r="J1605" s="25" t="s">
        <v>3767</v>
      </c>
      <c r="K1605" s="25" t="s">
        <v>71</v>
      </c>
      <c r="L1605" s="25" t="s">
        <v>3987</v>
      </c>
      <c r="M1605" s="20" t="s">
        <v>61</v>
      </c>
      <c r="N1605" s="20" t="s">
        <v>3783</v>
      </c>
      <c r="O1605" s="20" t="s">
        <v>63</v>
      </c>
      <c r="P1605" s="20" t="s">
        <v>52</v>
      </c>
      <c r="Q1605" s="26"/>
      <c r="R1605" s="26"/>
      <c r="S1605" s="26"/>
      <c r="T1605" s="20"/>
      <c r="U1605" s="26"/>
      <c r="V1605" s="26"/>
      <c r="W1605" s="20"/>
      <c r="X1605" s="20"/>
      <c r="Y1605" s="20"/>
      <c r="Z1605" s="20"/>
      <c r="AA1605" s="20"/>
      <c r="AB1605" s="20"/>
      <c r="AC1605" s="20"/>
      <c r="AD1605" s="20"/>
      <c r="AE1605" s="20"/>
    </row>
    <row r="1606">
      <c r="A1606" s="21">
        <v>42.0</v>
      </c>
      <c r="B1606" s="20" t="s">
        <v>3592</v>
      </c>
      <c r="C1606" s="20" t="s">
        <v>3920</v>
      </c>
      <c r="I1606" s="25" t="s">
        <v>3558</v>
      </c>
      <c r="J1606" s="25" t="s">
        <v>3775</v>
      </c>
      <c r="K1606" s="25" t="s">
        <v>71</v>
      </c>
      <c r="L1606" s="25" t="s">
        <v>4087</v>
      </c>
      <c r="M1606" s="20" t="s">
        <v>61</v>
      </c>
      <c r="N1606" s="20" t="s">
        <v>3559</v>
      </c>
      <c r="O1606" s="20" t="s">
        <v>63</v>
      </c>
      <c r="P1606" s="20" t="s">
        <v>52</v>
      </c>
      <c r="Q1606" s="26"/>
      <c r="R1606" s="26"/>
      <c r="S1606" s="26"/>
      <c r="T1606" s="20"/>
      <c r="U1606" s="26"/>
      <c r="V1606" s="26"/>
      <c r="W1606" s="20"/>
      <c r="X1606" s="20"/>
      <c r="Y1606" s="20"/>
      <c r="Z1606" s="20"/>
      <c r="AA1606" s="20"/>
      <c r="AB1606" s="20"/>
      <c r="AC1606" s="20"/>
      <c r="AD1606" s="20"/>
      <c r="AE1606" s="20"/>
    </row>
    <row r="1607">
      <c r="A1607" s="21">
        <v>42.0</v>
      </c>
      <c r="B1607" s="20" t="s">
        <v>3592</v>
      </c>
      <c r="C1607" s="20" t="s">
        <v>3920</v>
      </c>
      <c r="I1607" s="25" t="s">
        <v>2947</v>
      </c>
      <c r="J1607" s="25" t="s">
        <v>3767</v>
      </c>
      <c r="K1607" s="25" t="s">
        <v>71</v>
      </c>
      <c r="L1607" s="25" t="s">
        <v>4089</v>
      </c>
      <c r="M1607" s="20" t="s">
        <v>61</v>
      </c>
      <c r="N1607" s="20" t="s">
        <v>3669</v>
      </c>
      <c r="O1607" s="20" t="s">
        <v>63</v>
      </c>
      <c r="P1607" s="20" t="s">
        <v>52</v>
      </c>
      <c r="Q1607" s="26"/>
      <c r="R1607" s="26"/>
      <c r="S1607" s="26"/>
      <c r="T1607" s="20"/>
      <c r="U1607" s="26"/>
      <c r="V1607" s="26"/>
      <c r="W1607" s="20"/>
      <c r="X1607" s="20"/>
      <c r="Y1607" s="20"/>
      <c r="Z1607" s="20"/>
      <c r="AA1607" s="20"/>
      <c r="AB1607" s="20"/>
      <c r="AC1607" s="20"/>
      <c r="AD1607" s="20"/>
      <c r="AE1607" s="20"/>
    </row>
    <row r="1608">
      <c r="A1608" s="21">
        <v>42.0</v>
      </c>
      <c r="B1608" s="20" t="s">
        <v>3592</v>
      </c>
      <c r="C1608" s="20" t="s">
        <v>3920</v>
      </c>
      <c r="I1608" s="25" t="s">
        <v>3618</v>
      </c>
      <c r="J1608" s="25" t="s">
        <v>3767</v>
      </c>
      <c r="K1608" s="25" t="s">
        <v>71</v>
      </c>
      <c r="L1608" s="25" t="s">
        <v>3992</v>
      </c>
      <c r="M1608" s="20" t="s">
        <v>61</v>
      </c>
      <c r="N1608" s="20" t="s">
        <v>3784</v>
      </c>
      <c r="O1608" s="20" t="s">
        <v>63</v>
      </c>
      <c r="P1608" s="20" t="s">
        <v>52</v>
      </c>
      <c r="Q1608" s="26"/>
      <c r="R1608" s="26"/>
      <c r="S1608" s="26"/>
      <c r="T1608" s="20"/>
      <c r="U1608" s="26"/>
      <c r="V1608" s="26"/>
      <c r="W1608" s="20"/>
      <c r="X1608" s="20"/>
      <c r="Y1608" s="20"/>
      <c r="Z1608" s="20"/>
      <c r="AA1608" s="20"/>
      <c r="AB1608" s="20"/>
      <c r="AC1608" s="20"/>
      <c r="AD1608" s="20"/>
      <c r="AE1608" s="20"/>
    </row>
    <row r="1609">
      <c r="A1609" s="21">
        <v>42.0</v>
      </c>
      <c r="B1609" s="20" t="s">
        <v>3592</v>
      </c>
      <c r="C1609" s="20" t="s">
        <v>3920</v>
      </c>
      <c r="I1609" s="25" t="s">
        <v>3620</v>
      </c>
      <c r="J1609" s="25" t="s">
        <v>3767</v>
      </c>
      <c r="K1609" s="25" t="s">
        <v>71</v>
      </c>
      <c r="L1609" s="25" t="s">
        <v>3992</v>
      </c>
      <c r="M1609" s="20" t="s">
        <v>61</v>
      </c>
      <c r="N1609" s="20" t="s">
        <v>3785</v>
      </c>
      <c r="O1609" s="20" t="s">
        <v>63</v>
      </c>
      <c r="P1609" s="20" t="s">
        <v>52</v>
      </c>
      <c r="Q1609" s="26"/>
      <c r="R1609" s="26"/>
      <c r="S1609" s="26"/>
      <c r="T1609" s="20"/>
      <c r="U1609" s="26"/>
      <c r="V1609" s="26"/>
      <c r="W1609" s="20"/>
      <c r="X1609" s="20"/>
      <c r="Y1609" s="20"/>
      <c r="Z1609" s="20"/>
      <c r="AA1609" s="20"/>
      <c r="AB1609" s="20"/>
      <c r="AC1609" s="20"/>
      <c r="AD1609" s="20"/>
      <c r="AE1609" s="20"/>
    </row>
    <row r="1610">
      <c r="A1610" s="21">
        <v>42.0</v>
      </c>
      <c r="B1610" s="20" t="s">
        <v>3592</v>
      </c>
      <c r="C1610" s="20" t="s">
        <v>3920</v>
      </c>
      <c r="I1610" s="25" t="s">
        <v>2810</v>
      </c>
      <c r="J1610" s="25" t="s">
        <v>3767</v>
      </c>
      <c r="K1610" s="25" t="s">
        <v>71</v>
      </c>
      <c r="L1610" s="25" t="s">
        <v>4276</v>
      </c>
      <c r="M1610" s="20" t="s">
        <v>2811</v>
      </c>
      <c r="N1610" s="20" t="s">
        <v>2812</v>
      </c>
      <c r="O1610" s="20" t="s">
        <v>63</v>
      </c>
      <c r="P1610" s="20" t="s">
        <v>52</v>
      </c>
      <c r="Q1610" s="26"/>
      <c r="R1610" s="26"/>
      <c r="S1610" s="26"/>
      <c r="T1610" s="20"/>
      <c r="U1610" s="26"/>
      <c r="V1610" s="26"/>
      <c r="W1610" s="20"/>
      <c r="X1610" s="20"/>
      <c r="Y1610" s="20"/>
      <c r="Z1610" s="20"/>
      <c r="AA1610" s="20"/>
      <c r="AB1610" s="20"/>
      <c r="AC1610" s="20"/>
      <c r="AD1610" s="20"/>
      <c r="AE1610" s="20"/>
    </row>
    <row r="1611">
      <c r="A1611" s="21">
        <v>42.0</v>
      </c>
      <c r="B1611" s="20" t="s">
        <v>3592</v>
      </c>
      <c r="C1611" s="20" t="s">
        <v>3920</v>
      </c>
      <c r="I1611" s="25" t="s">
        <v>3662</v>
      </c>
      <c r="J1611" s="25" t="s">
        <v>3767</v>
      </c>
      <c r="K1611" s="25" t="s">
        <v>71</v>
      </c>
      <c r="L1611" s="25" t="s">
        <v>4172</v>
      </c>
      <c r="M1611" s="20" t="s">
        <v>61</v>
      </c>
      <c r="N1611" s="20" t="s">
        <v>3722</v>
      </c>
      <c r="O1611" s="20" t="s">
        <v>63</v>
      </c>
      <c r="P1611" s="20" t="s">
        <v>52</v>
      </c>
      <c r="Q1611" s="26"/>
      <c r="R1611" s="26"/>
      <c r="S1611" s="26"/>
      <c r="T1611" s="20"/>
      <c r="U1611" s="26"/>
      <c r="V1611" s="26"/>
      <c r="W1611" s="20"/>
      <c r="X1611" s="20"/>
      <c r="Y1611" s="20"/>
      <c r="Z1611" s="20"/>
      <c r="AA1611" s="20"/>
      <c r="AB1611" s="20"/>
      <c r="AC1611" s="20"/>
      <c r="AD1611" s="20"/>
      <c r="AE1611" s="20"/>
    </row>
    <row r="1612">
      <c r="A1612" s="21">
        <v>42.0</v>
      </c>
      <c r="B1612" s="20" t="s">
        <v>3592</v>
      </c>
      <c r="C1612" s="20" t="s">
        <v>3920</v>
      </c>
      <c r="I1612" s="25" t="s">
        <v>919</v>
      </c>
      <c r="J1612" s="25" t="s">
        <v>3775</v>
      </c>
      <c r="K1612" s="25" t="s">
        <v>71</v>
      </c>
      <c r="L1612" s="25" t="s">
        <v>4087</v>
      </c>
      <c r="M1612" s="20" t="s">
        <v>3584</v>
      </c>
      <c r="N1612" s="20" t="s">
        <v>3585</v>
      </c>
      <c r="O1612" s="20" t="s">
        <v>63</v>
      </c>
      <c r="P1612" s="20" t="s">
        <v>52</v>
      </c>
      <c r="Q1612" s="26"/>
      <c r="R1612" s="26"/>
      <c r="S1612" s="26"/>
      <c r="T1612" s="20"/>
      <c r="U1612" s="26"/>
      <c r="V1612" s="26"/>
      <c r="W1612" s="20"/>
      <c r="X1612" s="20"/>
      <c r="Y1612" s="20"/>
      <c r="Z1612" s="20"/>
      <c r="AA1612" s="20"/>
      <c r="AB1612" s="20"/>
      <c r="AC1612" s="20"/>
      <c r="AD1612" s="20"/>
      <c r="AE1612" s="20"/>
    </row>
    <row r="1613">
      <c r="A1613" s="21">
        <v>42.0</v>
      </c>
      <c r="B1613" s="20" t="s">
        <v>3592</v>
      </c>
      <c r="C1613" s="20" t="s">
        <v>3920</v>
      </c>
      <c r="I1613" s="25" t="s">
        <v>3596</v>
      </c>
      <c r="J1613" s="25" t="s">
        <v>3775</v>
      </c>
      <c r="K1613" s="25" t="s">
        <v>71</v>
      </c>
      <c r="L1613" s="25" t="s">
        <v>3978</v>
      </c>
      <c r="M1613" s="20" t="s">
        <v>3750</v>
      </c>
      <c r="N1613" s="20" t="s">
        <v>3752</v>
      </c>
      <c r="O1613" s="20" t="s">
        <v>63</v>
      </c>
      <c r="P1613" s="20" t="s">
        <v>52</v>
      </c>
      <c r="Q1613" s="26"/>
      <c r="R1613" s="26"/>
      <c r="S1613" s="26"/>
      <c r="T1613" s="20"/>
      <c r="U1613" s="26"/>
      <c r="V1613" s="26"/>
      <c r="W1613" s="20"/>
      <c r="X1613" s="20"/>
      <c r="Y1613" s="20"/>
      <c r="Z1613" s="20"/>
      <c r="AA1613" s="20"/>
      <c r="AB1613" s="20"/>
      <c r="AC1613" s="20"/>
      <c r="AD1613" s="20"/>
      <c r="AE1613" s="20"/>
    </row>
    <row r="1614">
      <c r="A1614" s="21">
        <v>42.0</v>
      </c>
      <c r="B1614" s="20" t="s">
        <v>3592</v>
      </c>
      <c r="C1614" s="20" t="s">
        <v>3920</v>
      </c>
      <c r="I1614" s="25" t="s">
        <v>3594</v>
      </c>
      <c r="J1614" s="25" t="s">
        <v>3775</v>
      </c>
      <c r="K1614" s="25" t="s">
        <v>71</v>
      </c>
      <c r="L1614" s="25" t="s">
        <v>3984</v>
      </c>
      <c r="M1614" s="20" t="s">
        <v>61</v>
      </c>
      <c r="N1614" s="20" t="s">
        <v>3595</v>
      </c>
      <c r="O1614" s="20" t="s">
        <v>63</v>
      </c>
      <c r="P1614" s="20" t="s">
        <v>52</v>
      </c>
      <c r="Q1614" s="26"/>
      <c r="R1614" s="26"/>
      <c r="S1614" s="26"/>
      <c r="T1614" s="20"/>
      <c r="U1614" s="26"/>
      <c r="V1614" s="26"/>
      <c r="W1614" s="20"/>
      <c r="X1614" s="20"/>
      <c r="Y1614" s="20"/>
      <c r="Z1614" s="20"/>
      <c r="AA1614" s="20"/>
      <c r="AB1614" s="20"/>
      <c r="AC1614" s="20"/>
      <c r="AD1614" s="20"/>
      <c r="AE1614" s="20"/>
    </row>
    <row r="1615">
      <c r="A1615" s="21">
        <v>42.0</v>
      </c>
      <c r="B1615" s="20" t="s">
        <v>3592</v>
      </c>
      <c r="C1615" s="20" t="s">
        <v>3920</v>
      </c>
      <c r="I1615" s="25" t="s">
        <v>1338</v>
      </c>
      <c r="J1615" s="25" t="s">
        <v>3767</v>
      </c>
      <c r="K1615" s="25" t="s">
        <v>71</v>
      </c>
      <c r="L1615" s="25" t="s">
        <v>4006</v>
      </c>
      <c r="M1615" s="20" t="s">
        <v>61</v>
      </c>
      <c r="N1615" s="20" t="s">
        <v>1339</v>
      </c>
      <c r="O1615" s="20" t="s">
        <v>63</v>
      </c>
      <c r="P1615" s="20" t="s">
        <v>52</v>
      </c>
      <c r="Q1615" s="26"/>
      <c r="R1615" s="26"/>
      <c r="S1615" s="26"/>
      <c r="T1615" s="20"/>
      <c r="U1615" s="26"/>
      <c r="V1615" s="26"/>
      <c r="W1615" s="20"/>
      <c r="X1615" s="20"/>
      <c r="Y1615" s="20"/>
      <c r="Z1615" s="20"/>
      <c r="AA1615" s="20"/>
      <c r="AB1615" s="20"/>
      <c r="AC1615" s="20"/>
      <c r="AD1615" s="20"/>
      <c r="AE1615" s="20"/>
    </row>
    <row r="1616">
      <c r="A1616" s="21">
        <v>42.0</v>
      </c>
      <c r="B1616" s="20" t="s">
        <v>3592</v>
      </c>
      <c r="C1616" s="20" t="s">
        <v>3920</v>
      </c>
      <c r="I1616" s="25" t="s">
        <v>1803</v>
      </c>
      <c r="J1616" s="25" t="s">
        <v>3767</v>
      </c>
      <c r="K1616" s="25" t="s">
        <v>71</v>
      </c>
      <c r="L1616" s="25" t="s">
        <v>4289</v>
      </c>
      <c r="M1616" s="20" t="s">
        <v>3786</v>
      </c>
      <c r="N1616" s="20" t="s">
        <v>3787</v>
      </c>
      <c r="O1616" s="20" t="s">
        <v>63</v>
      </c>
      <c r="P1616" s="20" t="s">
        <v>52</v>
      </c>
      <c r="Q1616" s="26"/>
      <c r="R1616" s="26"/>
      <c r="S1616" s="26"/>
      <c r="T1616" s="20"/>
      <c r="U1616" s="26"/>
      <c r="V1616" s="26"/>
      <c r="W1616" s="20"/>
      <c r="X1616" s="20"/>
      <c r="Y1616" s="20"/>
      <c r="Z1616" s="20"/>
      <c r="AA1616" s="20"/>
      <c r="AB1616" s="20"/>
      <c r="AC1616" s="20"/>
      <c r="AD1616" s="20"/>
      <c r="AE1616" s="20"/>
    </row>
    <row r="1617">
      <c r="A1617" s="21">
        <v>42.0</v>
      </c>
      <c r="B1617" s="20" t="s">
        <v>3592</v>
      </c>
      <c r="C1617" s="20" t="s">
        <v>3920</v>
      </c>
      <c r="I1617" s="25" t="s">
        <v>3568</v>
      </c>
      <c r="J1617" s="25" t="s">
        <v>3767</v>
      </c>
      <c r="K1617" s="25" t="s">
        <v>71</v>
      </c>
      <c r="L1617" s="25" t="s">
        <v>4261</v>
      </c>
      <c r="M1617" s="20" t="s">
        <v>3701</v>
      </c>
      <c r="N1617" s="20" t="s">
        <v>3788</v>
      </c>
      <c r="O1617" s="20" t="s">
        <v>63</v>
      </c>
      <c r="P1617" s="20" t="s">
        <v>52</v>
      </c>
      <c r="Q1617" s="26"/>
      <c r="R1617" s="26"/>
      <c r="S1617" s="26"/>
      <c r="T1617" s="20"/>
      <c r="U1617" s="26"/>
      <c r="V1617" s="26"/>
      <c r="W1617" s="20"/>
      <c r="X1617" s="20"/>
      <c r="Y1617" s="20"/>
      <c r="Z1617" s="20"/>
      <c r="AA1617" s="20"/>
      <c r="AB1617" s="20"/>
      <c r="AC1617" s="20"/>
      <c r="AD1617" s="20"/>
      <c r="AE1617" s="20"/>
    </row>
    <row r="1618">
      <c r="A1618" s="21">
        <v>42.0</v>
      </c>
      <c r="B1618" s="20" t="s">
        <v>3592</v>
      </c>
      <c r="C1618" s="20" t="s">
        <v>3920</v>
      </c>
      <c r="I1618" s="25" t="s">
        <v>3746</v>
      </c>
      <c r="J1618" s="25" t="s">
        <v>3775</v>
      </c>
      <c r="K1618" s="25" t="s">
        <v>71</v>
      </c>
      <c r="L1618" s="25" t="s">
        <v>4105</v>
      </c>
      <c r="M1618" s="20" t="s">
        <v>61</v>
      </c>
      <c r="N1618" s="20" t="s">
        <v>3747</v>
      </c>
      <c r="O1618" s="20" t="s">
        <v>63</v>
      </c>
      <c r="P1618" s="20" t="s">
        <v>52</v>
      </c>
      <c r="Q1618" s="26"/>
      <c r="R1618" s="26"/>
      <c r="S1618" s="26"/>
      <c r="T1618" s="20"/>
      <c r="U1618" s="26"/>
      <c r="V1618" s="26"/>
      <c r="W1618" s="20"/>
      <c r="X1618" s="20"/>
      <c r="Y1618" s="20"/>
      <c r="Z1618" s="20"/>
      <c r="AA1618" s="20"/>
      <c r="AB1618" s="20"/>
      <c r="AC1618" s="20"/>
      <c r="AD1618" s="20"/>
      <c r="AE1618" s="20"/>
    </row>
    <row r="1619">
      <c r="A1619" s="21">
        <v>42.0</v>
      </c>
      <c r="B1619" s="20" t="s">
        <v>3592</v>
      </c>
      <c r="C1619" s="20" t="s">
        <v>3920</v>
      </c>
      <c r="I1619" s="25" t="s">
        <v>3565</v>
      </c>
      <c r="J1619" s="25" t="s">
        <v>3775</v>
      </c>
      <c r="K1619" s="25" t="s">
        <v>71</v>
      </c>
      <c r="L1619" s="25" t="s">
        <v>292</v>
      </c>
      <c r="M1619" s="20" t="s">
        <v>61</v>
      </c>
      <c r="N1619" s="20" t="s">
        <v>3741</v>
      </c>
      <c r="O1619" s="20" t="s">
        <v>63</v>
      </c>
      <c r="P1619" s="20" t="s">
        <v>52</v>
      </c>
      <c r="Q1619" s="26"/>
      <c r="R1619" s="26"/>
      <c r="S1619" s="26"/>
      <c r="T1619" s="22"/>
      <c r="U1619" s="26"/>
      <c r="V1619" s="26"/>
      <c r="W1619" s="20"/>
      <c r="X1619" s="20"/>
      <c r="Y1619" s="20"/>
      <c r="Z1619" s="20"/>
      <c r="AA1619" s="20"/>
      <c r="AB1619" s="20"/>
      <c r="AC1619" s="20"/>
      <c r="AD1619" s="20"/>
      <c r="AE1619" s="20"/>
    </row>
    <row r="1620">
      <c r="A1620" s="21">
        <v>42.0</v>
      </c>
      <c r="B1620" s="20" t="s">
        <v>3592</v>
      </c>
      <c r="C1620" s="20" t="s">
        <v>3920</v>
      </c>
      <c r="I1620" s="25" t="s">
        <v>3789</v>
      </c>
      <c r="J1620" s="25" t="s">
        <v>3767</v>
      </c>
      <c r="K1620" s="25" t="s">
        <v>71</v>
      </c>
      <c r="L1620" s="25" t="s">
        <v>4295</v>
      </c>
      <c r="M1620" s="20" t="s">
        <v>3790</v>
      </c>
      <c r="N1620" s="20" t="s">
        <v>3791</v>
      </c>
      <c r="O1620" s="20" t="s">
        <v>63</v>
      </c>
      <c r="P1620" s="20" t="s">
        <v>52</v>
      </c>
      <c r="Q1620" s="26"/>
      <c r="R1620" s="26"/>
      <c r="S1620" s="26"/>
      <c r="T1620" s="20"/>
      <c r="U1620" s="26"/>
      <c r="V1620" s="26"/>
      <c r="W1620" s="20"/>
      <c r="X1620" s="20"/>
      <c r="Y1620" s="20"/>
      <c r="Z1620" s="20"/>
      <c r="AA1620" s="20"/>
      <c r="AB1620" s="20"/>
      <c r="AC1620" s="20"/>
      <c r="AD1620" s="20"/>
      <c r="AE1620" s="20"/>
    </row>
    <row r="1621">
      <c r="A1621" s="21">
        <v>42.0</v>
      </c>
      <c r="B1621" s="20" t="s">
        <v>3592</v>
      </c>
      <c r="C1621" s="20" t="s">
        <v>3920</v>
      </c>
      <c r="I1621" s="25" t="s">
        <v>3679</v>
      </c>
      <c r="J1621" s="25" t="s">
        <v>3767</v>
      </c>
      <c r="K1621" s="25" t="s">
        <v>71</v>
      </c>
      <c r="L1621" s="25" t="s">
        <v>4298</v>
      </c>
      <c r="M1621" s="20" t="s">
        <v>3680</v>
      </c>
      <c r="N1621" s="20" t="s">
        <v>3681</v>
      </c>
      <c r="O1621" s="20" t="s">
        <v>63</v>
      </c>
      <c r="P1621" s="20" t="s">
        <v>52</v>
      </c>
      <c r="Q1621" s="26"/>
      <c r="R1621" s="26"/>
      <c r="S1621" s="26"/>
      <c r="T1621" s="20"/>
      <c r="U1621" s="26"/>
      <c r="V1621" s="26"/>
      <c r="W1621" s="20"/>
      <c r="X1621" s="20"/>
      <c r="Y1621" s="20"/>
      <c r="Z1621" s="20"/>
      <c r="AA1621" s="20"/>
      <c r="AB1621" s="20"/>
      <c r="AC1621" s="20"/>
      <c r="AD1621" s="20"/>
      <c r="AE1621" s="20"/>
    </row>
    <row r="1622">
      <c r="A1622" s="21">
        <v>43.0</v>
      </c>
      <c r="B1622" s="20" t="s">
        <v>919</v>
      </c>
      <c r="C1622" s="20" t="s">
        <v>3920</v>
      </c>
      <c r="D1622" s="35">
        <v>30.0</v>
      </c>
      <c r="E1622" s="35">
        <v>1.0</v>
      </c>
      <c r="F1622" s="35">
        <v>3.0</v>
      </c>
      <c r="G1622" s="35">
        <v>26.0</v>
      </c>
      <c r="H1622" s="36" t="s">
        <v>4302</v>
      </c>
      <c r="I1622" s="25" t="s">
        <v>3746</v>
      </c>
      <c r="J1622" s="25" t="s">
        <v>3792</v>
      </c>
      <c r="K1622" s="25" t="s">
        <v>57</v>
      </c>
      <c r="L1622" s="25" t="s">
        <v>4303</v>
      </c>
      <c r="M1622" s="20" t="s">
        <v>61</v>
      </c>
      <c r="N1622" s="20" t="s">
        <v>3793</v>
      </c>
      <c r="O1622" s="20" t="s">
        <v>56</v>
      </c>
      <c r="P1622" s="20"/>
      <c r="Q1622" s="26"/>
      <c r="R1622" s="26"/>
      <c r="S1622" s="26"/>
      <c r="T1622" s="20"/>
      <c r="U1622" s="26"/>
      <c r="V1622" s="26"/>
      <c r="W1622" s="20"/>
      <c r="X1622" s="20"/>
      <c r="Y1622" s="20"/>
      <c r="Z1622" s="20"/>
      <c r="AA1622" s="20"/>
      <c r="AB1622" s="20"/>
      <c r="AC1622" s="20"/>
      <c r="AD1622" s="20"/>
      <c r="AE1622" s="20"/>
    </row>
    <row r="1623">
      <c r="A1623" s="21">
        <v>43.0</v>
      </c>
      <c r="B1623" s="20" t="s">
        <v>919</v>
      </c>
      <c r="C1623" s="20" t="s">
        <v>3920</v>
      </c>
      <c r="I1623" s="25" t="s">
        <v>3598</v>
      </c>
      <c r="J1623" s="25" t="s">
        <v>3794</v>
      </c>
      <c r="K1623" s="25" t="s">
        <v>67</v>
      </c>
      <c r="L1623" s="25" t="s">
        <v>4307</v>
      </c>
      <c r="M1623" s="20" t="s">
        <v>3599</v>
      </c>
      <c r="N1623" s="20" t="s">
        <v>3600</v>
      </c>
      <c r="O1623" s="20" t="s">
        <v>63</v>
      </c>
      <c r="P1623" s="20"/>
      <c r="Q1623" s="26"/>
      <c r="R1623" s="26"/>
      <c r="S1623" s="26"/>
      <c r="T1623" s="20"/>
      <c r="U1623" s="26"/>
      <c r="V1623" s="26"/>
      <c r="W1623" s="20"/>
      <c r="X1623" s="20"/>
      <c r="Y1623" s="20"/>
      <c r="Z1623" s="20"/>
      <c r="AA1623" s="20"/>
      <c r="AB1623" s="20"/>
      <c r="AC1623" s="20"/>
      <c r="AD1623" s="20"/>
      <c r="AE1623" s="20"/>
    </row>
    <row r="1624">
      <c r="A1624" s="21">
        <v>43.0</v>
      </c>
      <c r="B1624" s="20" t="s">
        <v>919</v>
      </c>
      <c r="C1624" s="20" t="s">
        <v>3920</v>
      </c>
      <c r="I1624" s="25" t="s">
        <v>1707</v>
      </c>
      <c r="J1624" s="25" t="s">
        <v>3794</v>
      </c>
      <c r="K1624" s="25" t="s">
        <v>67</v>
      </c>
      <c r="L1624" s="25" t="s">
        <v>4311</v>
      </c>
      <c r="M1624" s="20" t="s">
        <v>61</v>
      </c>
      <c r="N1624" s="20" t="s">
        <v>3614</v>
      </c>
      <c r="O1624" s="20" t="s">
        <v>63</v>
      </c>
      <c r="P1624" s="20"/>
      <c r="Q1624" s="26"/>
      <c r="R1624" s="26"/>
      <c r="S1624" s="26"/>
      <c r="T1624" s="20"/>
      <c r="U1624" s="26"/>
      <c r="V1624" s="26"/>
      <c r="W1624" s="20"/>
      <c r="X1624" s="20"/>
      <c r="Y1624" s="20"/>
      <c r="Z1624" s="20"/>
      <c r="AA1624" s="20"/>
      <c r="AB1624" s="20"/>
      <c r="AC1624" s="20"/>
      <c r="AD1624" s="20"/>
      <c r="AE1624" s="20"/>
    </row>
    <row r="1625">
      <c r="A1625" s="21">
        <v>43.0</v>
      </c>
      <c r="B1625" s="20" t="s">
        <v>919</v>
      </c>
      <c r="C1625" s="20" t="s">
        <v>3920</v>
      </c>
      <c r="I1625" s="25" t="s">
        <v>3568</v>
      </c>
      <c r="J1625" s="25" t="s">
        <v>3794</v>
      </c>
      <c r="K1625" s="25" t="s">
        <v>67</v>
      </c>
      <c r="L1625" s="25" t="s">
        <v>4313</v>
      </c>
      <c r="M1625" s="20" t="s">
        <v>3701</v>
      </c>
      <c r="N1625" s="20" t="s">
        <v>3788</v>
      </c>
      <c r="O1625" s="20" t="s">
        <v>63</v>
      </c>
      <c r="P1625" s="20"/>
      <c r="Q1625" s="26"/>
      <c r="R1625" s="26"/>
      <c r="S1625" s="26"/>
      <c r="T1625" s="20"/>
      <c r="U1625" s="26"/>
      <c r="V1625" s="26"/>
      <c r="W1625" s="20"/>
      <c r="X1625" s="20"/>
      <c r="Y1625" s="20"/>
      <c r="Z1625" s="20"/>
      <c r="AA1625" s="20"/>
      <c r="AB1625" s="20"/>
      <c r="AC1625" s="20"/>
      <c r="AD1625" s="20"/>
      <c r="AE1625" s="20"/>
    </row>
    <row r="1626">
      <c r="A1626" s="21">
        <v>43.0</v>
      </c>
      <c r="B1626" s="20" t="s">
        <v>919</v>
      </c>
      <c r="C1626" s="20" t="s">
        <v>3920</v>
      </c>
      <c r="I1626" s="25" t="s">
        <v>3796</v>
      </c>
      <c r="J1626" s="25" t="s">
        <v>3795</v>
      </c>
      <c r="K1626" s="25" t="s">
        <v>71</v>
      </c>
      <c r="L1626" s="25" t="s">
        <v>4315</v>
      </c>
      <c r="M1626" s="20" t="s">
        <v>61</v>
      </c>
      <c r="N1626" s="20" t="s">
        <v>3797</v>
      </c>
      <c r="O1626" s="20" t="s">
        <v>63</v>
      </c>
      <c r="P1626" s="20"/>
      <c r="Q1626" s="26"/>
      <c r="R1626" s="26"/>
      <c r="S1626" s="26"/>
      <c r="T1626" s="20"/>
      <c r="U1626" s="26"/>
      <c r="V1626" s="26"/>
      <c r="W1626" s="20"/>
      <c r="X1626" s="20"/>
      <c r="Y1626" s="20"/>
      <c r="Z1626" s="20"/>
      <c r="AA1626" s="20"/>
      <c r="AB1626" s="20"/>
      <c r="AC1626" s="20"/>
      <c r="AD1626" s="20"/>
      <c r="AE1626" s="20"/>
    </row>
    <row r="1627">
      <c r="A1627" s="21">
        <v>43.0</v>
      </c>
      <c r="B1627" s="20" t="s">
        <v>919</v>
      </c>
      <c r="C1627" s="20" t="s">
        <v>3920</v>
      </c>
      <c r="I1627" s="25" t="s">
        <v>3586</v>
      </c>
      <c r="J1627" s="25" t="s">
        <v>3794</v>
      </c>
      <c r="K1627" s="25" t="s">
        <v>71</v>
      </c>
      <c r="L1627" s="25" t="s">
        <v>3978</v>
      </c>
      <c r="M1627" s="20" t="s">
        <v>61</v>
      </c>
      <c r="N1627" s="20" t="s">
        <v>3798</v>
      </c>
      <c r="O1627" s="20" t="s">
        <v>63</v>
      </c>
      <c r="P1627" s="20" t="s">
        <v>52</v>
      </c>
      <c r="Q1627" s="26"/>
      <c r="R1627" s="26"/>
      <c r="S1627" s="26"/>
      <c r="T1627" s="20"/>
      <c r="U1627" s="26"/>
      <c r="V1627" s="26"/>
      <c r="W1627" s="20"/>
      <c r="X1627" s="20"/>
      <c r="Y1627" s="20"/>
      <c r="Z1627" s="20"/>
      <c r="AA1627" s="20"/>
      <c r="AB1627" s="20"/>
      <c r="AC1627" s="20"/>
      <c r="AD1627" s="20"/>
      <c r="AE1627" s="20"/>
    </row>
    <row r="1628">
      <c r="A1628" s="21">
        <v>43.0</v>
      </c>
      <c r="B1628" s="20" t="s">
        <v>919</v>
      </c>
      <c r="C1628" s="20" t="s">
        <v>3920</v>
      </c>
      <c r="I1628" s="25" t="s">
        <v>2957</v>
      </c>
      <c r="J1628" s="25" t="s">
        <v>3794</v>
      </c>
      <c r="K1628" s="25" t="s">
        <v>71</v>
      </c>
      <c r="L1628" s="25" t="s">
        <v>4071</v>
      </c>
      <c r="M1628" s="20" t="s">
        <v>61</v>
      </c>
      <c r="N1628" s="20" t="s">
        <v>3799</v>
      </c>
      <c r="O1628" s="20" t="s">
        <v>63</v>
      </c>
      <c r="P1628" s="20" t="s">
        <v>52</v>
      </c>
      <c r="Q1628" s="26"/>
      <c r="R1628" s="26"/>
      <c r="S1628" s="26"/>
      <c r="T1628" s="20"/>
      <c r="U1628" s="26"/>
      <c r="V1628" s="26"/>
      <c r="W1628" s="20"/>
      <c r="X1628" s="20"/>
      <c r="Y1628" s="20"/>
      <c r="Z1628" s="20"/>
      <c r="AA1628" s="20"/>
      <c r="AB1628" s="20"/>
      <c r="AC1628" s="20"/>
      <c r="AD1628" s="20"/>
      <c r="AE1628" s="20"/>
    </row>
    <row r="1629">
      <c r="A1629" s="21">
        <v>43.0</v>
      </c>
      <c r="B1629" s="20" t="s">
        <v>919</v>
      </c>
      <c r="C1629" s="20" t="s">
        <v>3920</v>
      </c>
      <c r="I1629" s="25" t="s">
        <v>3554</v>
      </c>
      <c r="J1629" s="25" t="s">
        <v>3794</v>
      </c>
      <c r="K1629" s="25" t="s">
        <v>71</v>
      </c>
      <c r="L1629" s="25" t="s">
        <v>4071</v>
      </c>
      <c r="M1629" s="20" t="s">
        <v>61</v>
      </c>
      <c r="N1629" s="20" t="s">
        <v>3710</v>
      </c>
      <c r="O1629" s="20" t="s">
        <v>63</v>
      </c>
      <c r="P1629" s="20" t="s">
        <v>52</v>
      </c>
      <c r="Q1629" s="26"/>
      <c r="R1629" s="26"/>
      <c r="S1629" s="26"/>
      <c r="T1629" s="20"/>
      <c r="U1629" s="26"/>
      <c r="V1629" s="26"/>
      <c r="W1629" s="20"/>
      <c r="X1629" s="20"/>
      <c r="Y1629" s="20"/>
      <c r="Z1629" s="20"/>
      <c r="AA1629" s="20"/>
      <c r="AB1629" s="20"/>
      <c r="AC1629" s="20"/>
      <c r="AD1629" s="20"/>
      <c r="AE1629" s="20"/>
    </row>
    <row r="1630">
      <c r="A1630" s="21">
        <v>43.0</v>
      </c>
      <c r="B1630" s="20" t="s">
        <v>919</v>
      </c>
      <c r="C1630" s="20" t="s">
        <v>3920</v>
      </c>
      <c r="I1630" s="25" t="s">
        <v>3616</v>
      </c>
      <c r="J1630" s="25" t="s">
        <v>3794</v>
      </c>
      <c r="K1630" s="25" t="s">
        <v>71</v>
      </c>
      <c r="L1630" s="25" t="s">
        <v>3981</v>
      </c>
      <c r="M1630" s="20" t="s">
        <v>3611</v>
      </c>
      <c r="N1630" s="20" t="s">
        <v>3612</v>
      </c>
      <c r="O1630" s="20" t="s">
        <v>63</v>
      </c>
      <c r="P1630" s="20" t="s">
        <v>52</v>
      </c>
      <c r="Q1630" s="26"/>
      <c r="R1630" s="26"/>
      <c r="S1630" s="26"/>
      <c r="T1630" s="20"/>
      <c r="U1630" s="26"/>
      <c r="V1630" s="26"/>
      <c r="W1630" s="20"/>
      <c r="X1630" s="20"/>
      <c r="Y1630" s="20"/>
      <c r="Z1630" s="20"/>
      <c r="AA1630" s="20"/>
      <c r="AB1630" s="20"/>
      <c r="AC1630" s="20"/>
      <c r="AD1630" s="20"/>
      <c r="AE1630" s="20"/>
    </row>
    <row r="1631">
      <c r="A1631" s="21">
        <v>43.0</v>
      </c>
      <c r="B1631" s="20" t="s">
        <v>919</v>
      </c>
      <c r="C1631" s="20" t="s">
        <v>3920</v>
      </c>
      <c r="I1631" s="25" t="s">
        <v>3580</v>
      </c>
      <c r="J1631" s="25" t="s">
        <v>3794</v>
      </c>
      <c r="K1631" s="25" t="s">
        <v>71</v>
      </c>
      <c r="L1631" s="25" t="s">
        <v>4076</v>
      </c>
      <c r="M1631" s="20" t="s">
        <v>61</v>
      </c>
      <c r="N1631" s="20" t="s">
        <v>3666</v>
      </c>
      <c r="O1631" s="20" t="s">
        <v>63</v>
      </c>
      <c r="P1631" s="20" t="s">
        <v>52</v>
      </c>
      <c r="Q1631" s="26"/>
      <c r="R1631" s="26"/>
      <c r="S1631" s="26"/>
      <c r="T1631" s="20"/>
      <c r="U1631" s="26"/>
      <c r="V1631" s="26"/>
      <c r="W1631" s="20"/>
      <c r="X1631" s="20"/>
      <c r="Y1631" s="20"/>
      <c r="Z1631" s="20"/>
      <c r="AA1631" s="20"/>
      <c r="AB1631" s="20"/>
      <c r="AC1631" s="20"/>
      <c r="AD1631" s="20"/>
      <c r="AE1631" s="20"/>
    </row>
    <row r="1632">
      <c r="A1632" s="21">
        <v>43.0</v>
      </c>
      <c r="B1632" s="20" t="s">
        <v>919</v>
      </c>
      <c r="C1632" s="20" t="s">
        <v>3920</v>
      </c>
      <c r="I1632" s="25" t="s">
        <v>3590</v>
      </c>
      <c r="J1632" s="25" t="s">
        <v>3794</v>
      </c>
      <c r="K1632" s="25" t="s">
        <v>71</v>
      </c>
      <c r="L1632" s="25" t="s">
        <v>3987</v>
      </c>
      <c r="M1632" s="20" t="s">
        <v>61</v>
      </c>
      <c r="N1632" s="20" t="s">
        <v>3667</v>
      </c>
      <c r="O1632" s="20" t="s">
        <v>63</v>
      </c>
      <c r="P1632" s="20" t="s">
        <v>52</v>
      </c>
      <c r="Q1632" s="26"/>
      <c r="R1632" s="26"/>
      <c r="S1632" s="26"/>
      <c r="T1632" s="20"/>
      <c r="U1632" s="26"/>
      <c r="V1632" s="26"/>
      <c r="W1632" s="20"/>
      <c r="X1632" s="20"/>
      <c r="Y1632" s="20"/>
      <c r="Z1632" s="20"/>
      <c r="AA1632" s="20"/>
      <c r="AB1632" s="20"/>
      <c r="AC1632" s="20"/>
      <c r="AD1632" s="20"/>
      <c r="AE1632" s="20"/>
    </row>
    <row r="1633">
      <c r="A1633" s="21">
        <v>43.0</v>
      </c>
      <c r="B1633" s="20" t="s">
        <v>919</v>
      </c>
      <c r="C1633" s="20" t="s">
        <v>3920</v>
      </c>
      <c r="I1633" s="25" t="s">
        <v>3610</v>
      </c>
      <c r="J1633" s="25" t="s">
        <v>3794</v>
      </c>
      <c r="K1633" s="25" t="s">
        <v>71</v>
      </c>
      <c r="L1633" s="25" t="s">
        <v>4081</v>
      </c>
      <c r="M1633" s="20" t="s">
        <v>3611</v>
      </c>
      <c r="N1633" s="20" t="s">
        <v>3612</v>
      </c>
      <c r="O1633" s="20" t="s">
        <v>63</v>
      </c>
      <c r="P1633" s="20" t="s">
        <v>52</v>
      </c>
      <c r="Q1633" s="26"/>
      <c r="R1633" s="26"/>
      <c r="S1633" s="26"/>
      <c r="T1633" s="20"/>
      <c r="U1633" s="26"/>
      <c r="V1633" s="26"/>
      <c r="W1633" s="20"/>
      <c r="X1633" s="20"/>
      <c r="Y1633" s="20"/>
      <c r="Z1633" s="20"/>
      <c r="AA1633" s="20"/>
      <c r="AB1633" s="20"/>
      <c r="AC1633" s="20"/>
      <c r="AD1633" s="20"/>
      <c r="AE1633" s="20"/>
    </row>
    <row r="1634">
      <c r="A1634" s="21">
        <v>43.0</v>
      </c>
      <c r="B1634" s="20" t="s">
        <v>919</v>
      </c>
      <c r="C1634" s="20" t="s">
        <v>3920</v>
      </c>
      <c r="I1634" s="25" t="s">
        <v>2902</v>
      </c>
      <c r="J1634" s="25" t="s">
        <v>3794</v>
      </c>
      <c r="K1634" s="25" t="s">
        <v>71</v>
      </c>
      <c r="L1634" s="25" t="s">
        <v>3984</v>
      </c>
      <c r="M1634" s="20" t="s">
        <v>3800</v>
      </c>
      <c r="N1634" s="20" t="s">
        <v>3612</v>
      </c>
      <c r="O1634" s="20" t="s">
        <v>63</v>
      </c>
      <c r="P1634" s="20" t="s">
        <v>52</v>
      </c>
      <c r="Q1634" s="26"/>
      <c r="R1634" s="26"/>
      <c r="S1634" s="26"/>
      <c r="T1634" s="20"/>
      <c r="U1634" s="26"/>
      <c r="V1634" s="26"/>
      <c r="W1634" s="20"/>
      <c r="X1634" s="20"/>
      <c r="Y1634" s="20"/>
      <c r="Z1634" s="20"/>
      <c r="AA1634" s="20"/>
      <c r="AB1634" s="20"/>
      <c r="AC1634" s="20"/>
      <c r="AD1634" s="20"/>
      <c r="AE1634" s="20"/>
    </row>
    <row r="1635">
      <c r="A1635" s="21">
        <v>43.0</v>
      </c>
      <c r="B1635" s="20" t="s">
        <v>919</v>
      </c>
      <c r="C1635" s="20" t="s">
        <v>3920</v>
      </c>
      <c r="I1635" s="25" t="s">
        <v>2727</v>
      </c>
      <c r="J1635" s="25" t="s">
        <v>3794</v>
      </c>
      <c r="K1635" s="25" t="s">
        <v>71</v>
      </c>
      <c r="L1635" s="25" t="s">
        <v>4261</v>
      </c>
      <c r="M1635" s="20" t="s">
        <v>3601</v>
      </c>
      <c r="N1635" s="20" t="s">
        <v>3602</v>
      </c>
      <c r="O1635" s="20" t="s">
        <v>63</v>
      </c>
      <c r="P1635" s="20" t="s">
        <v>52</v>
      </c>
      <c r="Q1635" s="26"/>
      <c r="R1635" s="26"/>
      <c r="S1635" s="26"/>
      <c r="T1635" s="20"/>
      <c r="U1635" s="26"/>
      <c r="V1635" s="26"/>
      <c r="W1635" s="20"/>
      <c r="X1635" s="20"/>
      <c r="Y1635" s="20"/>
      <c r="Z1635" s="20"/>
      <c r="AA1635" s="20"/>
      <c r="AB1635" s="20"/>
      <c r="AC1635" s="20"/>
      <c r="AD1635" s="20"/>
      <c r="AE1635" s="20"/>
    </row>
    <row r="1636">
      <c r="A1636" s="21">
        <v>43.0</v>
      </c>
      <c r="B1636" s="20" t="s">
        <v>919</v>
      </c>
      <c r="C1636" s="20" t="s">
        <v>3920</v>
      </c>
      <c r="I1636" s="25" t="s">
        <v>3676</v>
      </c>
      <c r="J1636" s="25" t="s">
        <v>3794</v>
      </c>
      <c r="K1636" s="25" t="s">
        <v>71</v>
      </c>
      <c r="L1636" s="25" t="s">
        <v>3987</v>
      </c>
      <c r="M1636" s="20" t="s">
        <v>3738</v>
      </c>
      <c r="N1636" s="20" t="s">
        <v>3801</v>
      </c>
      <c r="O1636" s="20" t="s">
        <v>63</v>
      </c>
      <c r="P1636" s="20" t="s">
        <v>52</v>
      </c>
      <c r="Q1636" s="26"/>
      <c r="R1636" s="26"/>
      <c r="S1636" s="26"/>
      <c r="T1636" s="20"/>
      <c r="U1636" s="26"/>
      <c r="V1636" s="26"/>
      <c r="W1636" s="20"/>
      <c r="X1636" s="20"/>
      <c r="Y1636" s="20"/>
      <c r="Z1636" s="20"/>
      <c r="AA1636" s="20"/>
      <c r="AB1636" s="20"/>
      <c r="AC1636" s="20"/>
      <c r="AD1636" s="20"/>
      <c r="AE1636" s="20"/>
    </row>
    <row r="1637">
      <c r="A1637" s="21">
        <v>43.0</v>
      </c>
      <c r="B1637" s="20" t="s">
        <v>919</v>
      </c>
      <c r="C1637" s="20" t="s">
        <v>3920</v>
      </c>
      <c r="I1637" s="25" t="s">
        <v>3558</v>
      </c>
      <c r="J1637" s="25" t="s">
        <v>3794</v>
      </c>
      <c r="K1637" s="25" t="s">
        <v>71</v>
      </c>
      <c r="L1637" s="25" t="s">
        <v>4087</v>
      </c>
      <c r="M1637" s="20" t="s">
        <v>61</v>
      </c>
      <c r="N1637" s="20" t="s">
        <v>3802</v>
      </c>
      <c r="O1637" s="20" t="s">
        <v>63</v>
      </c>
      <c r="P1637" s="20" t="s">
        <v>52</v>
      </c>
      <c r="Q1637" s="26"/>
      <c r="R1637" s="26"/>
      <c r="S1637" s="26"/>
      <c r="T1637" s="20"/>
      <c r="U1637" s="26"/>
      <c r="V1637" s="26"/>
      <c r="W1637" s="20"/>
      <c r="X1637" s="20"/>
      <c r="Y1637" s="20"/>
      <c r="Z1637" s="20"/>
      <c r="AA1637" s="20"/>
      <c r="AB1637" s="20"/>
      <c r="AC1637" s="20"/>
      <c r="AD1637" s="20"/>
      <c r="AE1637" s="20"/>
    </row>
    <row r="1638">
      <c r="A1638" s="21">
        <v>43.0</v>
      </c>
      <c r="B1638" s="20" t="s">
        <v>919</v>
      </c>
      <c r="C1638" s="20" t="s">
        <v>3920</v>
      </c>
      <c r="I1638" s="25" t="s">
        <v>2947</v>
      </c>
      <c r="J1638" s="25" t="s">
        <v>3794</v>
      </c>
      <c r="K1638" s="25" t="s">
        <v>71</v>
      </c>
      <c r="L1638" s="25" t="s">
        <v>4089</v>
      </c>
      <c r="M1638" s="20" t="s">
        <v>61</v>
      </c>
      <c r="N1638" s="20" t="s">
        <v>3669</v>
      </c>
      <c r="O1638" s="20" t="s">
        <v>63</v>
      </c>
      <c r="P1638" s="20" t="s">
        <v>52</v>
      </c>
      <c r="Q1638" s="26"/>
      <c r="R1638" s="26"/>
      <c r="S1638" s="26"/>
      <c r="T1638" s="20"/>
      <c r="U1638" s="26"/>
      <c r="V1638" s="26"/>
      <c r="W1638" s="20"/>
      <c r="X1638" s="20"/>
      <c r="Y1638" s="20"/>
      <c r="Z1638" s="20"/>
      <c r="AA1638" s="20"/>
      <c r="AB1638" s="20"/>
      <c r="AC1638" s="20"/>
      <c r="AD1638" s="20"/>
      <c r="AE1638" s="20"/>
    </row>
    <row r="1639">
      <c r="A1639" s="21">
        <v>43.0</v>
      </c>
      <c r="B1639" s="20" t="s">
        <v>919</v>
      </c>
      <c r="C1639" s="20" t="s">
        <v>3920</v>
      </c>
      <c r="I1639" s="25" t="s">
        <v>3618</v>
      </c>
      <c r="J1639" s="25" t="s">
        <v>3794</v>
      </c>
      <c r="K1639" s="25" t="s">
        <v>71</v>
      </c>
      <c r="L1639" s="25" t="s">
        <v>3992</v>
      </c>
      <c r="M1639" s="20" t="s">
        <v>3619</v>
      </c>
      <c r="N1639" s="20" t="s">
        <v>3612</v>
      </c>
      <c r="O1639" s="20" t="s">
        <v>63</v>
      </c>
      <c r="P1639" s="20" t="s">
        <v>52</v>
      </c>
      <c r="Q1639" s="26"/>
      <c r="R1639" s="26"/>
      <c r="S1639" s="26"/>
      <c r="T1639" s="20"/>
      <c r="U1639" s="26"/>
      <c r="V1639" s="26"/>
      <c r="W1639" s="20"/>
      <c r="X1639" s="20"/>
      <c r="Y1639" s="20"/>
      <c r="Z1639" s="20"/>
      <c r="AA1639" s="20"/>
      <c r="AB1639" s="20"/>
      <c r="AC1639" s="20"/>
      <c r="AD1639" s="20"/>
      <c r="AE1639" s="20"/>
    </row>
    <row r="1640">
      <c r="A1640" s="21">
        <v>43.0</v>
      </c>
      <c r="B1640" s="20" t="s">
        <v>919</v>
      </c>
      <c r="C1640" s="20" t="s">
        <v>3920</v>
      </c>
      <c r="I1640" s="25" t="s">
        <v>3620</v>
      </c>
      <c r="J1640" s="25" t="s">
        <v>3794</v>
      </c>
      <c r="K1640" s="25" t="s">
        <v>71</v>
      </c>
      <c r="L1640" s="25" t="s">
        <v>3992</v>
      </c>
      <c r="M1640" s="20" t="s">
        <v>3621</v>
      </c>
      <c r="N1640" s="20" t="s">
        <v>3612</v>
      </c>
      <c r="O1640" s="20" t="s">
        <v>63</v>
      </c>
      <c r="P1640" s="20" t="s">
        <v>52</v>
      </c>
      <c r="Q1640" s="26"/>
      <c r="R1640" s="26"/>
      <c r="S1640" s="26"/>
      <c r="T1640" s="20"/>
      <c r="U1640" s="26"/>
      <c r="V1640" s="26"/>
      <c r="W1640" s="20"/>
      <c r="X1640" s="20"/>
      <c r="Y1640" s="20"/>
      <c r="Z1640" s="20"/>
      <c r="AA1640" s="20"/>
      <c r="AB1640" s="20"/>
      <c r="AC1640" s="20"/>
      <c r="AD1640" s="20"/>
      <c r="AE1640" s="20"/>
    </row>
    <row r="1641">
      <c r="A1641" s="21">
        <v>43.0</v>
      </c>
      <c r="B1641" s="20" t="s">
        <v>919</v>
      </c>
      <c r="C1641" s="20" t="s">
        <v>3920</v>
      </c>
      <c r="I1641" s="25" t="s">
        <v>3592</v>
      </c>
      <c r="J1641" s="25" t="s">
        <v>3794</v>
      </c>
      <c r="K1641" s="25" t="s">
        <v>71</v>
      </c>
      <c r="L1641" s="25" t="s">
        <v>4001</v>
      </c>
      <c r="M1641" s="20" t="s">
        <v>3803</v>
      </c>
      <c r="N1641" s="20" t="s">
        <v>3612</v>
      </c>
      <c r="O1641" s="20" t="s">
        <v>63</v>
      </c>
      <c r="P1641" s="20" t="s">
        <v>52</v>
      </c>
      <c r="Q1641" s="26"/>
      <c r="R1641" s="26"/>
      <c r="S1641" s="26"/>
      <c r="T1641" s="20"/>
      <c r="U1641" s="26"/>
      <c r="V1641" s="26"/>
      <c r="W1641" s="20"/>
      <c r="X1641" s="20"/>
      <c r="Y1641" s="20"/>
      <c r="Z1641" s="20"/>
      <c r="AA1641" s="20"/>
      <c r="AB1641" s="20"/>
      <c r="AC1641" s="20"/>
      <c r="AD1641" s="20"/>
      <c r="AE1641" s="20"/>
    </row>
    <row r="1642">
      <c r="A1642" s="21">
        <v>43.0</v>
      </c>
      <c r="B1642" s="20" t="s">
        <v>919</v>
      </c>
      <c r="C1642" s="20" t="s">
        <v>3920</v>
      </c>
      <c r="I1642" s="25" t="s">
        <v>2810</v>
      </c>
      <c r="J1642" s="25" t="s">
        <v>3794</v>
      </c>
      <c r="K1642" s="25" t="s">
        <v>71</v>
      </c>
      <c r="L1642" s="25" t="s">
        <v>4276</v>
      </c>
      <c r="M1642" s="20" t="s">
        <v>3804</v>
      </c>
      <c r="N1642" s="20" t="s">
        <v>3788</v>
      </c>
      <c r="O1642" s="20" t="s">
        <v>63</v>
      </c>
      <c r="P1642" s="20" t="s">
        <v>52</v>
      </c>
      <c r="Q1642" s="26"/>
      <c r="R1642" s="26"/>
      <c r="S1642" s="26"/>
      <c r="T1642" s="20"/>
      <c r="U1642" s="26"/>
      <c r="V1642" s="26"/>
      <c r="W1642" s="20"/>
      <c r="X1642" s="20"/>
      <c r="Y1642" s="20"/>
      <c r="Z1642" s="20"/>
      <c r="AA1642" s="20"/>
      <c r="AB1642" s="20"/>
      <c r="AC1642" s="20"/>
      <c r="AD1642" s="20"/>
      <c r="AE1642" s="20"/>
    </row>
    <row r="1643">
      <c r="A1643" s="21">
        <v>43.0</v>
      </c>
      <c r="B1643" s="20" t="s">
        <v>919</v>
      </c>
      <c r="C1643" s="20" t="s">
        <v>3920</v>
      </c>
      <c r="I1643" s="25" t="s">
        <v>3662</v>
      </c>
      <c r="J1643" s="25" t="s">
        <v>3794</v>
      </c>
      <c r="K1643" s="25" t="s">
        <v>71</v>
      </c>
      <c r="L1643" s="25" t="s">
        <v>4172</v>
      </c>
      <c r="M1643" s="20" t="s">
        <v>3611</v>
      </c>
      <c r="N1643" s="20" t="s">
        <v>3612</v>
      </c>
      <c r="O1643" s="20" t="s">
        <v>63</v>
      </c>
      <c r="P1643" s="20" t="s">
        <v>52</v>
      </c>
      <c r="Q1643" s="26"/>
      <c r="R1643" s="26"/>
      <c r="S1643" s="26"/>
      <c r="T1643" s="20"/>
      <c r="U1643" s="26"/>
      <c r="V1643" s="26"/>
      <c r="W1643" s="20"/>
      <c r="X1643" s="20"/>
      <c r="Y1643" s="20"/>
      <c r="Z1643" s="20"/>
      <c r="AA1643" s="20"/>
      <c r="AB1643" s="20"/>
      <c r="AC1643" s="20"/>
      <c r="AD1643" s="20"/>
      <c r="AE1643" s="20"/>
    </row>
    <row r="1644">
      <c r="A1644" s="21">
        <v>43.0</v>
      </c>
      <c r="B1644" s="20" t="s">
        <v>919</v>
      </c>
      <c r="C1644" s="20" t="s">
        <v>3920</v>
      </c>
      <c r="I1644" s="25" t="s">
        <v>3596</v>
      </c>
      <c r="J1644" s="25" t="s">
        <v>3794</v>
      </c>
      <c r="K1644" s="25" t="s">
        <v>71</v>
      </c>
      <c r="L1644" s="25" t="s">
        <v>3978</v>
      </c>
      <c r="M1644" s="20" t="s">
        <v>3611</v>
      </c>
      <c r="N1644" s="20" t="s">
        <v>3612</v>
      </c>
      <c r="O1644" s="20" t="s">
        <v>63</v>
      </c>
      <c r="P1644" s="20" t="s">
        <v>52</v>
      </c>
      <c r="Q1644" s="26"/>
      <c r="R1644" s="26"/>
      <c r="S1644" s="26"/>
      <c r="T1644" s="20"/>
      <c r="U1644" s="26"/>
      <c r="V1644" s="26"/>
      <c r="W1644" s="20"/>
      <c r="X1644" s="20"/>
      <c r="Y1644" s="20"/>
      <c r="Z1644" s="20"/>
      <c r="AA1644" s="20"/>
      <c r="AB1644" s="20"/>
      <c r="AC1644" s="20"/>
      <c r="AD1644" s="20"/>
      <c r="AE1644" s="20"/>
    </row>
    <row r="1645">
      <c r="A1645" s="21">
        <v>43.0</v>
      </c>
      <c r="B1645" s="20" t="s">
        <v>919</v>
      </c>
      <c r="C1645" s="20" t="s">
        <v>3920</v>
      </c>
      <c r="I1645" s="25" t="s">
        <v>3594</v>
      </c>
      <c r="J1645" s="25" t="s">
        <v>3794</v>
      </c>
      <c r="K1645" s="25" t="s">
        <v>71</v>
      </c>
      <c r="L1645" s="25" t="s">
        <v>3984</v>
      </c>
      <c r="M1645" s="20" t="s">
        <v>3806</v>
      </c>
      <c r="N1645" s="20" t="s">
        <v>3612</v>
      </c>
      <c r="O1645" s="20" t="s">
        <v>63</v>
      </c>
      <c r="P1645" s="20" t="s">
        <v>52</v>
      </c>
      <c r="Q1645" s="26"/>
      <c r="R1645" s="26"/>
      <c r="S1645" s="26"/>
      <c r="T1645" s="20"/>
      <c r="U1645" s="26"/>
      <c r="V1645" s="26"/>
      <c r="W1645" s="20"/>
      <c r="X1645" s="20"/>
      <c r="Y1645" s="20"/>
      <c r="Z1645" s="20"/>
      <c r="AA1645" s="20"/>
      <c r="AB1645" s="20"/>
      <c r="AC1645" s="20"/>
      <c r="AD1645" s="20"/>
      <c r="AE1645" s="20"/>
    </row>
    <row r="1646">
      <c r="A1646" s="21">
        <v>43.0</v>
      </c>
      <c r="B1646" s="20" t="s">
        <v>919</v>
      </c>
      <c r="C1646" s="20" t="s">
        <v>3920</v>
      </c>
      <c r="I1646" s="25" t="s">
        <v>1338</v>
      </c>
      <c r="J1646" s="25" t="s">
        <v>3794</v>
      </c>
      <c r="K1646" s="25" t="s">
        <v>71</v>
      </c>
      <c r="L1646" s="25" t="s">
        <v>4006</v>
      </c>
      <c r="M1646" s="20" t="s">
        <v>61</v>
      </c>
      <c r="N1646" s="20" t="s">
        <v>1339</v>
      </c>
      <c r="O1646" s="20" t="s">
        <v>63</v>
      </c>
      <c r="P1646" s="20" t="s">
        <v>52</v>
      </c>
      <c r="Q1646" s="26"/>
      <c r="R1646" s="26"/>
      <c r="S1646" s="26"/>
      <c r="T1646" s="20"/>
      <c r="U1646" s="26"/>
      <c r="V1646" s="26"/>
      <c r="W1646" s="20"/>
      <c r="X1646" s="20"/>
      <c r="Y1646" s="20"/>
      <c r="Z1646" s="20"/>
      <c r="AA1646" s="20"/>
      <c r="AB1646" s="20"/>
      <c r="AC1646" s="20"/>
      <c r="AD1646" s="20"/>
      <c r="AE1646" s="20"/>
    </row>
    <row r="1647">
      <c r="A1647" s="21">
        <v>43.0</v>
      </c>
      <c r="B1647" s="20" t="s">
        <v>919</v>
      </c>
      <c r="C1647" s="20" t="s">
        <v>3920</v>
      </c>
      <c r="I1647" s="25" t="s">
        <v>3809</v>
      </c>
      <c r="J1647" s="25" t="s">
        <v>3794</v>
      </c>
      <c r="K1647" s="25" t="s">
        <v>71</v>
      </c>
      <c r="L1647" s="25" t="s">
        <v>292</v>
      </c>
      <c r="M1647" s="20" t="s">
        <v>3810</v>
      </c>
      <c r="N1647" s="20" t="s">
        <v>3811</v>
      </c>
      <c r="O1647" s="20" t="s">
        <v>63</v>
      </c>
      <c r="P1647" s="20" t="s">
        <v>52</v>
      </c>
      <c r="Q1647" s="26"/>
      <c r="R1647" s="26"/>
      <c r="S1647" s="26"/>
      <c r="T1647" s="22"/>
      <c r="U1647" s="26"/>
      <c r="V1647" s="26"/>
      <c r="W1647" s="20"/>
      <c r="X1647" s="20"/>
      <c r="Y1647" s="20"/>
      <c r="Z1647" s="20"/>
      <c r="AA1647" s="20"/>
      <c r="AB1647" s="20"/>
      <c r="AC1647" s="20"/>
      <c r="AD1647" s="20"/>
      <c r="AE1647" s="20"/>
    </row>
    <row r="1648">
      <c r="A1648" s="21">
        <v>43.0</v>
      </c>
      <c r="B1648" s="20" t="s">
        <v>919</v>
      </c>
      <c r="C1648" s="20" t="s">
        <v>3920</v>
      </c>
      <c r="I1648" s="25" t="s">
        <v>2765</v>
      </c>
      <c r="J1648" s="25" t="s">
        <v>3794</v>
      </c>
      <c r="K1648" s="25" t="s">
        <v>71</v>
      </c>
      <c r="L1648" s="25" t="s">
        <v>4182</v>
      </c>
      <c r="M1648" s="20" t="s">
        <v>3812</v>
      </c>
      <c r="N1648" s="20" t="s">
        <v>921</v>
      </c>
      <c r="O1648" s="20" t="s">
        <v>63</v>
      </c>
      <c r="P1648" s="20" t="s">
        <v>52</v>
      </c>
      <c r="Q1648" s="26"/>
      <c r="R1648" s="26"/>
      <c r="S1648" s="26"/>
      <c r="T1648" s="20"/>
      <c r="U1648" s="26"/>
      <c r="V1648" s="26"/>
      <c r="W1648" s="20"/>
      <c r="X1648" s="20"/>
      <c r="Y1648" s="20"/>
      <c r="Z1648" s="20"/>
      <c r="AA1648" s="20"/>
      <c r="AB1648" s="20"/>
      <c r="AC1648" s="20"/>
      <c r="AD1648" s="20"/>
      <c r="AE1648" s="20"/>
    </row>
    <row r="1649">
      <c r="A1649" s="21">
        <v>43.0</v>
      </c>
      <c r="B1649" s="20" t="s">
        <v>919</v>
      </c>
      <c r="C1649" s="20" t="s">
        <v>3920</v>
      </c>
      <c r="I1649" s="25" t="s">
        <v>3813</v>
      </c>
      <c r="J1649" s="25" t="s">
        <v>3794</v>
      </c>
      <c r="K1649" s="25" t="s">
        <v>71</v>
      </c>
      <c r="L1649" s="25" t="s">
        <v>4351</v>
      </c>
      <c r="M1649" s="20" t="s">
        <v>3814</v>
      </c>
      <c r="N1649" s="20" t="s">
        <v>921</v>
      </c>
      <c r="O1649" s="20" t="s">
        <v>63</v>
      </c>
      <c r="P1649" s="20" t="s">
        <v>52</v>
      </c>
      <c r="Q1649" s="26"/>
      <c r="R1649" s="26"/>
      <c r="S1649" s="26"/>
      <c r="T1649" s="20"/>
      <c r="U1649" s="26"/>
      <c r="V1649" s="26"/>
      <c r="W1649" s="20"/>
      <c r="X1649" s="20"/>
      <c r="Y1649" s="20"/>
      <c r="Z1649" s="20"/>
      <c r="AA1649" s="20"/>
      <c r="AB1649" s="20"/>
      <c r="AC1649" s="20"/>
      <c r="AD1649" s="20"/>
      <c r="AE1649" s="20"/>
    </row>
    <row r="1650">
      <c r="A1650" s="21">
        <v>43.0</v>
      </c>
      <c r="B1650" s="20" t="s">
        <v>919</v>
      </c>
      <c r="C1650" s="20" t="s">
        <v>3920</v>
      </c>
      <c r="I1650" s="25" t="s">
        <v>2940</v>
      </c>
      <c r="J1650" s="25" t="s">
        <v>3794</v>
      </c>
      <c r="K1650" s="25" t="s">
        <v>71</v>
      </c>
      <c r="L1650" s="25" t="s">
        <v>4355</v>
      </c>
      <c r="M1650" s="20" t="s">
        <v>3611</v>
      </c>
      <c r="N1650" s="20" t="s">
        <v>3612</v>
      </c>
      <c r="O1650" s="20" t="s">
        <v>63</v>
      </c>
      <c r="P1650" s="20" t="s">
        <v>52</v>
      </c>
      <c r="Q1650" s="26"/>
      <c r="R1650" s="26"/>
      <c r="S1650" s="26"/>
      <c r="T1650" s="20"/>
      <c r="U1650" s="26"/>
      <c r="V1650" s="26"/>
      <c r="W1650" s="20"/>
      <c r="X1650" s="20"/>
      <c r="Y1650" s="20"/>
      <c r="Z1650" s="20"/>
      <c r="AA1650" s="20"/>
      <c r="AB1650" s="20"/>
      <c r="AC1650" s="20"/>
      <c r="AD1650" s="20"/>
      <c r="AE1650" s="20"/>
    </row>
    <row r="1651">
      <c r="A1651" s="21">
        <v>43.0</v>
      </c>
      <c r="B1651" s="20" t="s">
        <v>919</v>
      </c>
      <c r="C1651" s="20" t="s">
        <v>3920</v>
      </c>
      <c r="I1651" s="25" t="s">
        <v>3574</v>
      </c>
      <c r="J1651" s="25" t="s">
        <v>3794</v>
      </c>
      <c r="K1651" s="25" t="s">
        <v>71</v>
      </c>
      <c r="L1651" s="25" t="s">
        <v>4182</v>
      </c>
      <c r="M1651" s="20" t="s">
        <v>3611</v>
      </c>
      <c r="N1651" s="20" t="s">
        <v>3612</v>
      </c>
      <c r="O1651" s="20" t="s">
        <v>63</v>
      </c>
      <c r="P1651" s="20" t="s">
        <v>52</v>
      </c>
      <c r="Q1651" s="26"/>
      <c r="R1651" s="26"/>
      <c r="S1651" s="26"/>
      <c r="T1651" s="20"/>
      <c r="U1651" s="26"/>
      <c r="V1651" s="26"/>
      <c r="W1651" s="20"/>
      <c r="X1651" s="20"/>
      <c r="Y1651" s="20"/>
      <c r="Z1651" s="20"/>
      <c r="AA1651" s="20"/>
      <c r="AB1651" s="20"/>
      <c r="AC1651" s="20"/>
      <c r="AD1651" s="20"/>
      <c r="AE1651" s="20"/>
    </row>
    <row r="1652">
      <c r="A1652" s="21">
        <v>44.0</v>
      </c>
      <c r="B1652" s="20" t="s">
        <v>3565</v>
      </c>
      <c r="C1652" s="20" t="s">
        <v>3920</v>
      </c>
      <c r="D1652" s="35">
        <v>30.0</v>
      </c>
      <c r="E1652" s="35">
        <v>4.0</v>
      </c>
      <c r="F1652" s="35">
        <v>0.0</v>
      </c>
      <c r="G1652" s="35">
        <v>26.0</v>
      </c>
      <c r="H1652" s="36" t="s">
        <v>4362</v>
      </c>
      <c r="I1652" s="25" t="s">
        <v>3676</v>
      </c>
      <c r="J1652" s="25" t="s">
        <v>3818</v>
      </c>
      <c r="K1652" s="25" t="s">
        <v>57</v>
      </c>
      <c r="L1652" s="25" t="s">
        <v>4364</v>
      </c>
      <c r="M1652" s="20" t="s">
        <v>3677</v>
      </c>
      <c r="N1652" s="20" t="s">
        <v>3819</v>
      </c>
      <c r="O1652" s="20" t="s">
        <v>63</v>
      </c>
      <c r="P1652" s="20"/>
      <c r="Q1652" s="26"/>
      <c r="R1652" s="26"/>
      <c r="S1652" s="26"/>
      <c r="T1652" s="20"/>
      <c r="U1652" s="26"/>
      <c r="V1652" s="26"/>
      <c r="W1652" s="20"/>
      <c r="X1652" s="20"/>
      <c r="Y1652" s="20"/>
      <c r="Z1652" s="20"/>
      <c r="AA1652" s="20"/>
      <c r="AB1652" s="20"/>
      <c r="AC1652" s="20"/>
      <c r="AD1652" s="20"/>
      <c r="AE1652" s="20"/>
    </row>
    <row r="1653">
      <c r="A1653" s="21">
        <v>44.0</v>
      </c>
      <c r="B1653" s="20" t="s">
        <v>3565</v>
      </c>
      <c r="C1653" s="20" t="s">
        <v>3920</v>
      </c>
      <c r="I1653" s="25" t="s">
        <v>2949</v>
      </c>
      <c r="J1653" s="25" t="s">
        <v>3818</v>
      </c>
      <c r="K1653" s="25" t="s">
        <v>57</v>
      </c>
      <c r="L1653" s="25" t="s">
        <v>4367</v>
      </c>
      <c r="M1653" s="20" t="s">
        <v>3820</v>
      </c>
      <c r="N1653" s="20" t="s">
        <v>3821</v>
      </c>
      <c r="O1653" s="20" t="s">
        <v>63</v>
      </c>
      <c r="P1653" s="20"/>
      <c r="Q1653" s="26"/>
      <c r="R1653" s="26"/>
      <c r="S1653" s="26"/>
      <c r="T1653" s="20"/>
      <c r="U1653" s="26"/>
      <c r="V1653" s="26"/>
      <c r="W1653" s="20"/>
      <c r="X1653" s="20"/>
      <c r="Y1653" s="20"/>
      <c r="Z1653" s="20"/>
      <c r="AA1653" s="20"/>
      <c r="AB1653" s="20"/>
      <c r="AC1653" s="20"/>
      <c r="AD1653" s="20"/>
      <c r="AE1653" s="20"/>
    </row>
    <row r="1654">
      <c r="A1654" s="21">
        <v>44.0</v>
      </c>
      <c r="B1654" s="20" t="s">
        <v>3565</v>
      </c>
      <c r="C1654" s="20" t="s">
        <v>3920</v>
      </c>
      <c r="I1654" s="25" t="s">
        <v>3590</v>
      </c>
      <c r="J1654" s="25" t="s">
        <v>3816</v>
      </c>
      <c r="K1654" s="25" t="s">
        <v>57</v>
      </c>
      <c r="L1654" s="25" t="s">
        <v>4370</v>
      </c>
      <c r="M1654" s="20" t="s">
        <v>61</v>
      </c>
      <c r="N1654" s="20" t="s">
        <v>3591</v>
      </c>
      <c r="O1654" s="20" t="s">
        <v>63</v>
      </c>
      <c r="P1654" s="20"/>
      <c r="Q1654" s="26"/>
      <c r="R1654" s="26"/>
      <c r="S1654" s="26"/>
      <c r="T1654" s="20"/>
      <c r="U1654" s="26"/>
      <c r="V1654" s="26"/>
      <c r="W1654" s="20"/>
      <c r="X1654" s="20"/>
      <c r="Y1654" s="20"/>
      <c r="Z1654" s="20"/>
      <c r="AA1654" s="20"/>
      <c r="AB1654" s="20"/>
      <c r="AC1654" s="20"/>
      <c r="AD1654" s="20"/>
      <c r="AE1654" s="20"/>
    </row>
    <row r="1655">
      <c r="A1655" s="21">
        <v>44.0</v>
      </c>
      <c r="B1655" s="20" t="s">
        <v>3565</v>
      </c>
      <c r="C1655" s="20" t="s">
        <v>3920</v>
      </c>
      <c r="I1655" s="25" t="s">
        <v>3610</v>
      </c>
      <c r="J1655" s="25" t="s">
        <v>3818</v>
      </c>
      <c r="K1655" s="25" t="s">
        <v>57</v>
      </c>
      <c r="L1655" s="25" t="s">
        <v>4374</v>
      </c>
      <c r="M1655" s="20" t="s">
        <v>3687</v>
      </c>
      <c r="N1655" s="20" t="s">
        <v>3822</v>
      </c>
      <c r="O1655" s="20" t="s">
        <v>63</v>
      </c>
      <c r="P1655" s="20"/>
      <c r="Q1655" s="26"/>
      <c r="R1655" s="26"/>
      <c r="S1655" s="26"/>
      <c r="T1655" s="20"/>
      <c r="U1655" s="26"/>
      <c r="V1655" s="26"/>
      <c r="W1655" s="20"/>
      <c r="X1655" s="20"/>
      <c r="Y1655" s="20"/>
      <c r="Z1655" s="20"/>
      <c r="AA1655" s="20"/>
      <c r="AB1655" s="20"/>
      <c r="AC1655" s="20"/>
      <c r="AD1655" s="20"/>
      <c r="AE1655" s="20"/>
    </row>
    <row r="1656">
      <c r="A1656" s="21">
        <v>44.0</v>
      </c>
      <c r="B1656" s="20" t="s">
        <v>3565</v>
      </c>
      <c r="C1656" s="20" t="s">
        <v>3920</v>
      </c>
      <c r="I1656" s="25" t="s">
        <v>1972</v>
      </c>
      <c r="J1656" s="25" t="s">
        <v>3816</v>
      </c>
      <c r="K1656" s="25" t="s">
        <v>71</v>
      </c>
      <c r="L1656" s="25" t="s">
        <v>292</v>
      </c>
      <c r="M1656" s="20" t="s">
        <v>3039</v>
      </c>
      <c r="N1656" s="20" t="s">
        <v>3745</v>
      </c>
      <c r="O1656" s="20" t="s">
        <v>63</v>
      </c>
      <c r="P1656" s="20" t="s">
        <v>52</v>
      </c>
      <c r="Q1656" s="26"/>
      <c r="R1656" s="26"/>
      <c r="S1656" s="26"/>
      <c r="T1656" s="22"/>
      <c r="U1656" s="26"/>
      <c r="V1656" s="26"/>
      <c r="W1656" s="20"/>
      <c r="X1656" s="20"/>
      <c r="Y1656" s="20"/>
      <c r="Z1656" s="20"/>
      <c r="AA1656" s="20"/>
      <c r="AB1656" s="20"/>
      <c r="AC1656" s="20"/>
      <c r="AD1656" s="20"/>
      <c r="AE1656" s="20"/>
    </row>
    <row r="1657">
      <c r="A1657" s="21">
        <v>44.0</v>
      </c>
      <c r="B1657" s="20" t="s">
        <v>3565</v>
      </c>
      <c r="C1657" s="20" t="s">
        <v>3920</v>
      </c>
      <c r="I1657" s="25" t="s">
        <v>3746</v>
      </c>
      <c r="J1657" s="25" t="s">
        <v>3816</v>
      </c>
      <c r="K1657" s="25" t="s">
        <v>71</v>
      </c>
      <c r="L1657" s="25" t="s">
        <v>292</v>
      </c>
      <c r="M1657" s="20" t="s">
        <v>61</v>
      </c>
      <c r="N1657" s="20" t="s">
        <v>3747</v>
      </c>
      <c r="O1657" s="20" t="s">
        <v>63</v>
      </c>
      <c r="P1657" s="20" t="s">
        <v>52</v>
      </c>
      <c r="Q1657" s="26"/>
      <c r="R1657" s="26"/>
      <c r="S1657" s="26"/>
      <c r="T1657" s="22"/>
      <c r="U1657" s="26"/>
      <c r="V1657" s="26"/>
      <c r="W1657" s="20"/>
      <c r="X1657" s="20"/>
      <c r="Y1657" s="20"/>
      <c r="Z1657" s="20"/>
      <c r="AA1657" s="20"/>
      <c r="AB1657" s="20"/>
      <c r="AC1657" s="20"/>
      <c r="AD1657" s="20"/>
      <c r="AE1657" s="20"/>
    </row>
    <row r="1658">
      <c r="A1658" s="21">
        <v>44.0</v>
      </c>
      <c r="B1658" s="20" t="s">
        <v>3565</v>
      </c>
      <c r="C1658" s="20" t="s">
        <v>3920</v>
      </c>
      <c r="I1658" s="25" t="s">
        <v>3568</v>
      </c>
      <c r="J1658" s="25" t="s">
        <v>3816</v>
      </c>
      <c r="K1658" s="25" t="s">
        <v>71</v>
      </c>
      <c r="L1658" s="25" t="s">
        <v>4129</v>
      </c>
      <c r="M1658" s="20" t="s">
        <v>3569</v>
      </c>
      <c r="N1658" s="20" t="s">
        <v>3570</v>
      </c>
      <c r="O1658" s="20" t="s">
        <v>63</v>
      </c>
      <c r="P1658" s="20"/>
      <c r="Q1658" s="26"/>
      <c r="R1658" s="26"/>
      <c r="S1658" s="26"/>
      <c r="T1658" s="20"/>
      <c r="U1658" s="26"/>
      <c r="V1658" s="26"/>
      <c r="W1658" s="20"/>
      <c r="X1658" s="20"/>
      <c r="Y1658" s="20"/>
      <c r="Z1658" s="20"/>
      <c r="AA1658" s="20"/>
      <c r="AB1658" s="20"/>
      <c r="AC1658" s="20"/>
      <c r="AD1658" s="20"/>
      <c r="AE1658" s="20"/>
    </row>
    <row r="1659">
      <c r="A1659" s="21">
        <v>44.0</v>
      </c>
      <c r="B1659" s="20" t="s">
        <v>3565</v>
      </c>
      <c r="C1659" s="20" t="s">
        <v>3920</v>
      </c>
      <c r="I1659" s="25" t="s">
        <v>3586</v>
      </c>
      <c r="J1659" s="25" t="s">
        <v>3816</v>
      </c>
      <c r="K1659" s="25" t="s">
        <v>71</v>
      </c>
      <c r="L1659" s="25" t="s">
        <v>3978</v>
      </c>
      <c r="M1659" s="20" t="s">
        <v>61</v>
      </c>
      <c r="N1659" s="20" t="s">
        <v>3587</v>
      </c>
      <c r="O1659" s="20" t="s">
        <v>63</v>
      </c>
      <c r="P1659" s="20" t="s">
        <v>52</v>
      </c>
      <c r="Q1659" s="26"/>
      <c r="R1659" s="26"/>
      <c r="S1659" s="26"/>
      <c r="T1659" s="20"/>
      <c r="U1659" s="26"/>
      <c r="V1659" s="26"/>
      <c r="W1659" s="20"/>
      <c r="X1659" s="20"/>
      <c r="Y1659" s="20"/>
      <c r="Z1659" s="20"/>
      <c r="AA1659" s="20"/>
      <c r="AB1659" s="20"/>
      <c r="AC1659" s="20"/>
      <c r="AD1659" s="20"/>
      <c r="AE1659" s="20"/>
    </row>
    <row r="1660">
      <c r="A1660" s="21">
        <v>44.0</v>
      </c>
      <c r="B1660" s="20" t="s">
        <v>3565</v>
      </c>
      <c r="C1660" s="20" t="s">
        <v>3920</v>
      </c>
      <c r="I1660" s="25" t="s">
        <v>2957</v>
      </c>
      <c r="J1660" s="25" t="s">
        <v>3816</v>
      </c>
      <c r="K1660" s="25" t="s">
        <v>71</v>
      </c>
      <c r="L1660" s="25" t="s">
        <v>4071</v>
      </c>
      <c r="M1660" s="20" t="s">
        <v>61</v>
      </c>
      <c r="N1660" s="20" t="s">
        <v>3652</v>
      </c>
      <c r="O1660" s="20" t="s">
        <v>63</v>
      </c>
      <c r="P1660" s="20" t="s">
        <v>52</v>
      </c>
      <c r="Q1660" s="26"/>
      <c r="R1660" s="26"/>
      <c r="S1660" s="26"/>
      <c r="T1660" s="20"/>
      <c r="U1660" s="26"/>
      <c r="V1660" s="26"/>
      <c r="W1660" s="20"/>
      <c r="X1660" s="20"/>
      <c r="Y1660" s="20"/>
      <c r="Z1660" s="20"/>
      <c r="AA1660" s="20"/>
      <c r="AB1660" s="20"/>
      <c r="AC1660" s="20"/>
      <c r="AD1660" s="20"/>
      <c r="AE1660" s="20"/>
    </row>
    <row r="1661">
      <c r="A1661" s="21">
        <v>44.0</v>
      </c>
      <c r="B1661" s="20" t="s">
        <v>3565</v>
      </c>
      <c r="C1661" s="20" t="s">
        <v>3920</v>
      </c>
      <c r="I1661" s="25" t="s">
        <v>3554</v>
      </c>
      <c r="J1661" s="25" t="s">
        <v>3816</v>
      </c>
      <c r="K1661" s="25" t="s">
        <v>71</v>
      </c>
      <c r="L1661" s="25" t="s">
        <v>4071</v>
      </c>
      <c r="M1661" s="20" t="s">
        <v>3654</v>
      </c>
      <c r="N1661" s="20" t="s">
        <v>3655</v>
      </c>
      <c r="O1661" s="20" t="s">
        <v>63</v>
      </c>
      <c r="P1661" s="20" t="s">
        <v>52</v>
      </c>
      <c r="Q1661" s="26"/>
      <c r="R1661" s="26"/>
      <c r="S1661" s="26"/>
      <c r="T1661" s="20"/>
      <c r="U1661" s="26"/>
      <c r="V1661" s="26"/>
      <c r="W1661" s="20"/>
      <c r="X1661" s="20"/>
      <c r="Y1661" s="20"/>
      <c r="Z1661" s="20"/>
      <c r="AA1661" s="20"/>
      <c r="AB1661" s="20"/>
      <c r="AC1661" s="20"/>
      <c r="AD1661" s="20"/>
      <c r="AE1661" s="20"/>
    </row>
    <row r="1662">
      <c r="A1662" s="21">
        <v>44.0</v>
      </c>
      <c r="B1662" s="20" t="s">
        <v>3565</v>
      </c>
      <c r="C1662" s="20" t="s">
        <v>3920</v>
      </c>
      <c r="I1662" s="25" t="s">
        <v>3646</v>
      </c>
      <c r="J1662" s="25" t="s">
        <v>3816</v>
      </c>
      <c r="K1662" s="25" t="s">
        <v>71</v>
      </c>
      <c r="L1662" s="25" t="s">
        <v>292</v>
      </c>
      <c r="M1662" s="20" t="s">
        <v>61</v>
      </c>
      <c r="N1662" s="20" t="s">
        <v>3748</v>
      </c>
      <c r="O1662" s="20" t="s">
        <v>63</v>
      </c>
      <c r="P1662" s="20" t="s">
        <v>52</v>
      </c>
      <c r="Q1662" s="26"/>
      <c r="R1662" s="26"/>
      <c r="S1662" s="26"/>
      <c r="T1662" s="22"/>
      <c r="U1662" s="26"/>
      <c r="V1662" s="26"/>
      <c r="W1662" s="20"/>
      <c r="X1662" s="20"/>
      <c r="Y1662" s="20"/>
      <c r="Z1662" s="20"/>
      <c r="AA1662" s="20"/>
      <c r="AB1662" s="20"/>
      <c r="AC1662" s="20"/>
      <c r="AD1662" s="20"/>
      <c r="AE1662" s="20"/>
    </row>
    <row r="1663">
      <c r="A1663" s="21">
        <v>44.0</v>
      </c>
      <c r="B1663" s="20" t="s">
        <v>3565</v>
      </c>
      <c r="C1663" s="20" t="s">
        <v>3920</v>
      </c>
      <c r="I1663" s="25" t="s">
        <v>3580</v>
      </c>
      <c r="J1663" s="25" t="s">
        <v>3816</v>
      </c>
      <c r="K1663" s="25" t="s">
        <v>71</v>
      </c>
      <c r="L1663" s="25" t="s">
        <v>4076</v>
      </c>
      <c r="M1663" s="20" t="s">
        <v>61</v>
      </c>
      <c r="N1663" s="20" t="s">
        <v>3826</v>
      </c>
      <c r="O1663" s="20" t="s">
        <v>63</v>
      </c>
      <c r="P1663" s="20" t="s">
        <v>52</v>
      </c>
      <c r="Q1663" s="26"/>
      <c r="R1663" s="26"/>
      <c r="S1663" s="26"/>
      <c r="T1663" s="20"/>
      <c r="U1663" s="26"/>
      <c r="V1663" s="26"/>
      <c r="W1663" s="20"/>
      <c r="X1663" s="20"/>
      <c r="Y1663" s="20"/>
      <c r="Z1663" s="20"/>
      <c r="AA1663" s="20"/>
      <c r="AB1663" s="20"/>
      <c r="AC1663" s="20"/>
      <c r="AD1663" s="20"/>
      <c r="AE1663" s="20"/>
    </row>
    <row r="1664">
      <c r="A1664" s="21">
        <v>44.0</v>
      </c>
      <c r="B1664" s="20" t="s">
        <v>3565</v>
      </c>
      <c r="C1664" s="20" t="s">
        <v>3920</v>
      </c>
      <c r="I1664" s="25" t="s">
        <v>2902</v>
      </c>
      <c r="J1664" s="25" t="s">
        <v>3818</v>
      </c>
      <c r="K1664" s="25" t="s">
        <v>71</v>
      </c>
      <c r="L1664" s="25" t="s">
        <v>3984</v>
      </c>
      <c r="M1664" s="20" t="s">
        <v>2903</v>
      </c>
      <c r="N1664" s="20" t="s">
        <v>2904</v>
      </c>
      <c r="O1664" s="20" t="s">
        <v>63</v>
      </c>
      <c r="P1664" s="20" t="s">
        <v>52</v>
      </c>
      <c r="Q1664" s="26"/>
      <c r="R1664" s="26"/>
      <c r="S1664" s="26"/>
      <c r="T1664" s="20"/>
      <c r="U1664" s="26"/>
      <c r="V1664" s="26"/>
      <c r="W1664" s="20"/>
      <c r="X1664" s="20"/>
      <c r="Y1664" s="20"/>
      <c r="Z1664" s="20"/>
      <c r="AA1664" s="20"/>
      <c r="AB1664" s="20"/>
      <c r="AC1664" s="20"/>
      <c r="AD1664" s="20"/>
      <c r="AE1664" s="20"/>
    </row>
    <row r="1665">
      <c r="A1665" s="21">
        <v>44.0</v>
      </c>
      <c r="B1665" s="20" t="s">
        <v>3565</v>
      </c>
      <c r="C1665" s="20" t="s">
        <v>3920</v>
      </c>
      <c r="I1665" s="25" t="s">
        <v>1258</v>
      </c>
      <c r="J1665" s="25" t="s">
        <v>3816</v>
      </c>
      <c r="K1665" s="25" t="s">
        <v>71</v>
      </c>
      <c r="L1665" s="25" t="s">
        <v>292</v>
      </c>
      <c r="M1665" s="20" t="s">
        <v>1259</v>
      </c>
      <c r="N1665" s="20" t="s">
        <v>1260</v>
      </c>
      <c r="O1665" s="20" t="s">
        <v>63</v>
      </c>
      <c r="P1665" s="20" t="s">
        <v>52</v>
      </c>
      <c r="Q1665" s="26"/>
      <c r="R1665" s="26"/>
      <c r="S1665" s="26"/>
      <c r="T1665" s="22"/>
      <c r="U1665" s="26"/>
      <c r="V1665" s="26"/>
      <c r="W1665" s="20"/>
      <c r="X1665" s="20"/>
      <c r="Y1665" s="20"/>
      <c r="Z1665" s="20"/>
      <c r="AA1665" s="20"/>
      <c r="AB1665" s="20"/>
      <c r="AC1665" s="20"/>
      <c r="AD1665" s="20"/>
      <c r="AE1665" s="20"/>
    </row>
    <row r="1666">
      <c r="A1666" s="21">
        <v>44.0</v>
      </c>
      <c r="B1666" s="20" t="s">
        <v>3565</v>
      </c>
      <c r="C1666" s="20" t="s">
        <v>3920</v>
      </c>
      <c r="I1666" s="25" t="s">
        <v>919</v>
      </c>
      <c r="J1666" s="25" t="s">
        <v>3816</v>
      </c>
      <c r="K1666" s="25" t="s">
        <v>71</v>
      </c>
      <c r="L1666" s="25" t="s">
        <v>4087</v>
      </c>
      <c r="M1666" s="20" t="s">
        <v>3584</v>
      </c>
      <c r="N1666" s="20" t="s">
        <v>3585</v>
      </c>
      <c r="O1666" s="20" t="s">
        <v>63</v>
      </c>
      <c r="P1666" s="20" t="s">
        <v>52</v>
      </c>
      <c r="Q1666" s="26"/>
      <c r="R1666" s="26"/>
      <c r="S1666" s="26"/>
      <c r="T1666" s="20"/>
      <c r="U1666" s="26"/>
      <c r="V1666" s="26"/>
      <c r="W1666" s="20"/>
      <c r="X1666" s="20"/>
      <c r="Y1666" s="20"/>
      <c r="Z1666" s="20"/>
      <c r="AA1666" s="20"/>
      <c r="AB1666" s="20"/>
      <c r="AC1666" s="20"/>
      <c r="AD1666" s="20"/>
      <c r="AE1666" s="20"/>
    </row>
    <row r="1667">
      <c r="A1667" s="21">
        <v>44.0</v>
      </c>
      <c r="B1667" s="20" t="s">
        <v>3565</v>
      </c>
      <c r="C1667" s="20" t="s">
        <v>3920</v>
      </c>
      <c r="I1667" s="25" t="s">
        <v>3558</v>
      </c>
      <c r="J1667" s="25" t="s">
        <v>3816</v>
      </c>
      <c r="K1667" s="25" t="s">
        <v>71</v>
      </c>
      <c r="L1667" s="25" t="s">
        <v>4087</v>
      </c>
      <c r="M1667" s="20" t="s">
        <v>61</v>
      </c>
      <c r="N1667" s="20" t="s">
        <v>3559</v>
      </c>
      <c r="O1667" s="20" t="s">
        <v>63</v>
      </c>
      <c r="P1667" s="20" t="s">
        <v>52</v>
      </c>
      <c r="Q1667" s="26"/>
      <c r="R1667" s="26"/>
      <c r="S1667" s="26"/>
      <c r="T1667" s="20"/>
      <c r="U1667" s="26"/>
      <c r="V1667" s="26"/>
      <c r="W1667" s="20"/>
      <c r="X1667" s="20"/>
      <c r="Y1667" s="20"/>
      <c r="Z1667" s="20"/>
      <c r="AA1667" s="20"/>
      <c r="AB1667" s="20"/>
      <c r="AC1667" s="20"/>
      <c r="AD1667" s="20"/>
      <c r="AE1667" s="20"/>
    </row>
    <row r="1668">
      <c r="A1668" s="21">
        <v>44.0</v>
      </c>
      <c r="B1668" s="20" t="s">
        <v>3565</v>
      </c>
      <c r="C1668" s="20" t="s">
        <v>3920</v>
      </c>
      <c r="I1668" s="25" t="s">
        <v>2947</v>
      </c>
      <c r="J1668" s="25" t="s">
        <v>3816</v>
      </c>
      <c r="K1668" s="25" t="s">
        <v>71</v>
      </c>
      <c r="L1668" s="25" t="s">
        <v>4089</v>
      </c>
      <c r="M1668" s="20" t="s">
        <v>3827</v>
      </c>
      <c r="N1668" s="20" t="s">
        <v>3828</v>
      </c>
      <c r="O1668" s="20" t="s">
        <v>63</v>
      </c>
      <c r="P1668" s="20" t="s">
        <v>52</v>
      </c>
      <c r="Q1668" s="26"/>
      <c r="R1668" s="26"/>
      <c r="S1668" s="26"/>
      <c r="T1668" s="20"/>
      <c r="U1668" s="26"/>
      <c r="V1668" s="26"/>
      <c r="W1668" s="20"/>
      <c r="X1668" s="20"/>
      <c r="Y1668" s="20"/>
      <c r="Z1668" s="20"/>
      <c r="AA1668" s="20"/>
      <c r="AB1668" s="20"/>
      <c r="AC1668" s="20"/>
      <c r="AD1668" s="20"/>
      <c r="AE1668" s="20"/>
    </row>
    <row r="1669">
      <c r="A1669" s="21">
        <v>44.0</v>
      </c>
      <c r="B1669" s="20" t="s">
        <v>3565</v>
      </c>
      <c r="C1669" s="20" t="s">
        <v>3920</v>
      </c>
      <c r="I1669" s="25" t="s">
        <v>3618</v>
      </c>
      <c r="J1669" s="25" t="s">
        <v>3816</v>
      </c>
      <c r="K1669" s="25" t="s">
        <v>71</v>
      </c>
      <c r="L1669" s="25" t="s">
        <v>3992</v>
      </c>
      <c r="M1669" s="20" t="s">
        <v>61</v>
      </c>
      <c r="N1669" s="20" t="s">
        <v>3784</v>
      </c>
      <c r="O1669" s="20" t="s">
        <v>63</v>
      </c>
      <c r="P1669" s="20" t="s">
        <v>52</v>
      </c>
      <c r="Q1669" s="26"/>
      <c r="R1669" s="26"/>
      <c r="S1669" s="26"/>
      <c r="T1669" s="20"/>
      <c r="U1669" s="26"/>
      <c r="V1669" s="26"/>
      <c r="W1669" s="20"/>
      <c r="X1669" s="20"/>
      <c r="Y1669" s="20"/>
      <c r="Z1669" s="20"/>
      <c r="AA1669" s="20"/>
      <c r="AB1669" s="20"/>
      <c r="AC1669" s="20"/>
      <c r="AD1669" s="20"/>
      <c r="AE1669" s="20"/>
    </row>
    <row r="1670">
      <c r="A1670" s="21">
        <v>44.0</v>
      </c>
      <c r="B1670" s="20" t="s">
        <v>3565</v>
      </c>
      <c r="C1670" s="20" t="s">
        <v>3920</v>
      </c>
      <c r="I1670" s="25" t="s">
        <v>1265</v>
      </c>
      <c r="J1670" s="25" t="s">
        <v>3816</v>
      </c>
      <c r="K1670" s="25" t="s">
        <v>71</v>
      </c>
      <c r="L1670" s="25" t="s">
        <v>292</v>
      </c>
      <c r="M1670" s="20" t="s">
        <v>1266</v>
      </c>
      <c r="N1670" s="20" t="s">
        <v>1267</v>
      </c>
      <c r="O1670" s="20" t="s">
        <v>63</v>
      </c>
      <c r="P1670" s="20" t="s">
        <v>52</v>
      </c>
      <c r="Q1670" s="26"/>
      <c r="R1670" s="26"/>
      <c r="S1670" s="26"/>
      <c r="T1670" s="22"/>
      <c r="U1670" s="26"/>
      <c r="V1670" s="26"/>
      <c r="W1670" s="20"/>
      <c r="X1670" s="20"/>
      <c r="Y1670" s="20"/>
      <c r="Z1670" s="20"/>
      <c r="AA1670" s="20"/>
      <c r="AB1670" s="20"/>
      <c r="AC1670" s="20"/>
      <c r="AD1670" s="20"/>
      <c r="AE1670" s="20"/>
    </row>
    <row r="1671">
      <c r="A1671" s="21">
        <v>44.0</v>
      </c>
      <c r="B1671" s="20" t="s">
        <v>3565</v>
      </c>
      <c r="C1671" s="20" t="s">
        <v>3920</v>
      </c>
      <c r="I1671" s="25" t="s">
        <v>3592</v>
      </c>
      <c r="J1671" s="25" t="s">
        <v>3816</v>
      </c>
      <c r="K1671" s="25" t="s">
        <v>71</v>
      </c>
      <c r="L1671" s="25" t="s">
        <v>4001</v>
      </c>
      <c r="M1671" s="20" t="s">
        <v>61</v>
      </c>
      <c r="N1671" s="20" t="s">
        <v>3593</v>
      </c>
      <c r="O1671" s="20" t="s">
        <v>63</v>
      </c>
      <c r="P1671" s="20" t="s">
        <v>52</v>
      </c>
      <c r="Q1671" s="26"/>
      <c r="R1671" s="26"/>
      <c r="S1671" s="26"/>
      <c r="T1671" s="20"/>
      <c r="U1671" s="26"/>
      <c r="V1671" s="26"/>
      <c r="W1671" s="20"/>
      <c r="X1671" s="20"/>
      <c r="Y1671" s="20"/>
      <c r="Z1671" s="20"/>
      <c r="AA1671" s="20"/>
      <c r="AB1671" s="20"/>
      <c r="AC1671" s="20"/>
      <c r="AD1671" s="20"/>
      <c r="AE1671" s="20"/>
    </row>
    <row r="1672">
      <c r="A1672" s="21">
        <v>44.0</v>
      </c>
      <c r="B1672" s="20" t="s">
        <v>3565</v>
      </c>
      <c r="C1672" s="20" t="s">
        <v>3920</v>
      </c>
      <c r="I1672" s="25" t="s">
        <v>3830</v>
      </c>
      <c r="J1672" s="25" t="s">
        <v>3816</v>
      </c>
      <c r="K1672" s="25" t="s">
        <v>71</v>
      </c>
      <c r="L1672" s="25" t="s">
        <v>292</v>
      </c>
      <c r="M1672" s="20" t="s">
        <v>61</v>
      </c>
      <c r="N1672" s="20" t="s">
        <v>3831</v>
      </c>
      <c r="O1672" s="20" t="s">
        <v>63</v>
      </c>
      <c r="P1672" s="20" t="s">
        <v>52</v>
      </c>
      <c r="Q1672" s="26"/>
      <c r="R1672" s="26"/>
      <c r="S1672" s="26"/>
      <c r="T1672" s="22"/>
      <c r="U1672" s="26"/>
      <c r="V1672" s="26"/>
      <c r="W1672" s="20"/>
      <c r="X1672" s="20"/>
      <c r="Y1672" s="20"/>
      <c r="Z1672" s="20"/>
      <c r="AA1672" s="20"/>
      <c r="AB1672" s="20"/>
      <c r="AC1672" s="20"/>
      <c r="AD1672" s="20"/>
      <c r="AE1672" s="20"/>
    </row>
    <row r="1673">
      <c r="A1673" s="21">
        <v>44.0</v>
      </c>
      <c r="B1673" s="20" t="s">
        <v>3565</v>
      </c>
      <c r="C1673" s="20" t="s">
        <v>3920</v>
      </c>
      <c r="I1673" s="25" t="s">
        <v>3768</v>
      </c>
      <c r="J1673" s="25" t="s">
        <v>3816</v>
      </c>
      <c r="K1673" s="25" t="s">
        <v>71</v>
      </c>
      <c r="L1673" s="25" t="s">
        <v>292</v>
      </c>
      <c r="M1673" s="20" t="s">
        <v>61</v>
      </c>
      <c r="N1673" s="20" t="s">
        <v>3832</v>
      </c>
      <c r="O1673" s="20" t="s">
        <v>63</v>
      </c>
      <c r="P1673" s="20" t="s">
        <v>52</v>
      </c>
      <c r="Q1673" s="26"/>
      <c r="R1673" s="26"/>
      <c r="S1673" s="26"/>
      <c r="T1673" s="22"/>
      <c r="U1673" s="26"/>
      <c r="V1673" s="26"/>
      <c r="W1673" s="20"/>
      <c r="X1673" s="20"/>
      <c r="Y1673" s="20"/>
      <c r="Z1673" s="20"/>
      <c r="AA1673" s="20"/>
      <c r="AB1673" s="20"/>
      <c r="AC1673" s="20"/>
      <c r="AD1673" s="20"/>
      <c r="AE1673" s="20"/>
    </row>
    <row r="1674">
      <c r="A1674" s="21">
        <v>44.0</v>
      </c>
      <c r="B1674" s="20" t="s">
        <v>3565</v>
      </c>
      <c r="C1674" s="20" t="s">
        <v>3920</v>
      </c>
      <c r="I1674" s="25" t="s">
        <v>3596</v>
      </c>
      <c r="J1674" s="25" t="s">
        <v>3816</v>
      </c>
      <c r="K1674" s="25" t="s">
        <v>71</v>
      </c>
      <c r="L1674" s="25" t="s">
        <v>3978</v>
      </c>
      <c r="M1674" s="20" t="s">
        <v>3750</v>
      </c>
      <c r="N1674" s="20" t="s">
        <v>3752</v>
      </c>
      <c r="O1674" s="20" t="s">
        <v>63</v>
      </c>
      <c r="P1674" s="20" t="s">
        <v>52</v>
      </c>
      <c r="Q1674" s="26"/>
      <c r="R1674" s="26"/>
      <c r="S1674" s="26"/>
      <c r="T1674" s="20"/>
      <c r="U1674" s="26"/>
      <c r="V1674" s="26"/>
      <c r="W1674" s="20"/>
      <c r="X1674" s="20"/>
      <c r="Y1674" s="20"/>
      <c r="Z1674" s="20"/>
      <c r="AA1674" s="20"/>
      <c r="AB1674" s="20"/>
      <c r="AC1674" s="20"/>
      <c r="AD1674" s="20"/>
      <c r="AE1674" s="20"/>
    </row>
    <row r="1675">
      <c r="A1675" s="21">
        <v>44.0</v>
      </c>
      <c r="B1675" s="20" t="s">
        <v>3565</v>
      </c>
      <c r="C1675" s="20" t="s">
        <v>3920</v>
      </c>
      <c r="I1675" s="25" t="s">
        <v>3594</v>
      </c>
      <c r="J1675" s="25" t="s">
        <v>3816</v>
      </c>
      <c r="K1675" s="25" t="s">
        <v>71</v>
      </c>
      <c r="L1675" s="25" t="s">
        <v>3984</v>
      </c>
      <c r="M1675" s="20" t="s">
        <v>61</v>
      </c>
      <c r="N1675" s="20" t="s">
        <v>3595</v>
      </c>
      <c r="O1675" s="20" t="s">
        <v>63</v>
      </c>
      <c r="P1675" s="20" t="s">
        <v>52</v>
      </c>
      <c r="Q1675" s="26"/>
      <c r="R1675" s="26"/>
      <c r="S1675" s="26"/>
      <c r="T1675" s="20"/>
      <c r="U1675" s="26"/>
      <c r="V1675" s="26"/>
      <c r="W1675" s="20"/>
      <c r="X1675" s="20"/>
      <c r="Y1675" s="20"/>
      <c r="Z1675" s="20"/>
      <c r="AA1675" s="20"/>
      <c r="AB1675" s="20"/>
      <c r="AC1675" s="20"/>
      <c r="AD1675" s="20"/>
      <c r="AE1675" s="20"/>
    </row>
    <row r="1676">
      <c r="A1676" s="21">
        <v>44.0</v>
      </c>
      <c r="B1676" s="20" t="s">
        <v>3565</v>
      </c>
      <c r="C1676" s="20" t="s">
        <v>3920</v>
      </c>
      <c r="I1676" s="25" t="s">
        <v>2441</v>
      </c>
      <c r="J1676" s="25" t="s">
        <v>3818</v>
      </c>
      <c r="K1676" s="25" t="s">
        <v>71</v>
      </c>
      <c r="L1676" s="25" t="s">
        <v>292</v>
      </c>
      <c r="M1676" s="20" t="s">
        <v>3835</v>
      </c>
      <c r="N1676" s="20" t="s">
        <v>3836</v>
      </c>
      <c r="O1676" s="20" t="s">
        <v>63</v>
      </c>
      <c r="P1676" s="20" t="s">
        <v>52</v>
      </c>
      <c r="Q1676" s="26"/>
      <c r="R1676" s="26"/>
      <c r="S1676" s="26"/>
      <c r="T1676" s="22"/>
      <c r="U1676" s="26"/>
      <c r="V1676" s="26"/>
      <c r="W1676" s="20"/>
      <c r="X1676" s="20"/>
      <c r="Y1676" s="20"/>
      <c r="Z1676" s="20"/>
      <c r="AA1676" s="20"/>
      <c r="AB1676" s="20"/>
      <c r="AC1676" s="20"/>
      <c r="AD1676" s="20"/>
      <c r="AE1676" s="20"/>
    </row>
    <row r="1677">
      <c r="A1677" s="21">
        <v>44.0</v>
      </c>
      <c r="B1677" s="20" t="s">
        <v>3565</v>
      </c>
      <c r="C1677" s="20" t="s">
        <v>3920</v>
      </c>
      <c r="I1677" s="25" t="s">
        <v>1716</v>
      </c>
      <c r="J1677" s="25" t="s">
        <v>3818</v>
      </c>
      <c r="K1677" s="25" t="s">
        <v>71</v>
      </c>
      <c r="L1677" s="25" t="s">
        <v>292</v>
      </c>
      <c r="M1677" s="20" t="s">
        <v>1717</v>
      </c>
      <c r="N1677" s="20" t="s">
        <v>3698</v>
      </c>
      <c r="O1677" s="20" t="s">
        <v>63</v>
      </c>
      <c r="P1677" s="20" t="s">
        <v>52</v>
      </c>
      <c r="Q1677" s="26"/>
      <c r="R1677" s="26"/>
      <c r="S1677" s="26"/>
      <c r="T1677" s="22"/>
      <c r="U1677" s="26"/>
      <c r="V1677" s="26"/>
      <c r="W1677" s="20"/>
      <c r="X1677" s="20"/>
      <c r="Y1677" s="20"/>
      <c r="Z1677" s="20"/>
      <c r="AA1677" s="20"/>
      <c r="AB1677" s="20"/>
      <c r="AC1677" s="20"/>
      <c r="AD1677" s="20"/>
      <c r="AE1677" s="20"/>
    </row>
    <row r="1678">
      <c r="A1678" s="21">
        <v>44.0</v>
      </c>
      <c r="B1678" s="20" t="s">
        <v>3565</v>
      </c>
      <c r="C1678" s="20" t="s">
        <v>3920</v>
      </c>
      <c r="I1678" s="25" t="s">
        <v>3764</v>
      </c>
      <c r="J1678" s="25" t="s">
        <v>3816</v>
      </c>
      <c r="K1678" s="25" t="s">
        <v>71</v>
      </c>
      <c r="L1678" s="25" t="s">
        <v>4105</v>
      </c>
      <c r="M1678" s="20" t="s">
        <v>61</v>
      </c>
      <c r="N1678" s="20" t="s">
        <v>3833</v>
      </c>
      <c r="O1678" s="20" t="s">
        <v>63</v>
      </c>
      <c r="P1678" s="20" t="s">
        <v>52</v>
      </c>
      <c r="Q1678" s="26"/>
      <c r="R1678" s="26"/>
      <c r="S1678" s="26"/>
      <c r="T1678" s="20"/>
      <c r="U1678" s="26"/>
      <c r="V1678" s="26"/>
      <c r="W1678" s="20"/>
      <c r="X1678" s="20"/>
      <c r="Y1678" s="20"/>
      <c r="Z1678" s="20"/>
      <c r="AA1678" s="20"/>
      <c r="AB1678" s="20"/>
      <c r="AC1678" s="20"/>
      <c r="AD1678" s="20"/>
      <c r="AE1678" s="20"/>
    </row>
    <row r="1679">
      <c r="A1679" s="21">
        <v>44.0</v>
      </c>
      <c r="B1679" s="20" t="s">
        <v>3565</v>
      </c>
      <c r="C1679" s="20" t="s">
        <v>3920</v>
      </c>
      <c r="I1679" s="25" t="s">
        <v>3756</v>
      </c>
      <c r="J1679" s="25" t="s">
        <v>3816</v>
      </c>
      <c r="K1679" s="25" t="s">
        <v>71</v>
      </c>
      <c r="L1679" s="25" t="s">
        <v>4105</v>
      </c>
      <c r="M1679" s="20" t="s">
        <v>61</v>
      </c>
      <c r="N1679" s="20" t="s">
        <v>3757</v>
      </c>
      <c r="O1679" s="20" t="s">
        <v>63</v>
      </c>
      <c r="P1679" s="20" t="s">
        <v>52</v>
      </c>
      <c r="Q1679" s="26"/>
      <c r="R1679" s="26"/>
      <c r="S1679" s="26"/>
      <c r="T1679" s="20"/>
      <c r="U1679" s="26"/>
      <c r="V1679" s="26"/>
      <c r="W1679" s="20"/>
      <c r="X1679" s="20"/>
      <c r="Y1679" s="20"/>
      <c r="Z1679" s="20"/>
      <c r="AA1679" s="20"/>
      <c r="AB1679" s="20"/>
      <c r="AC1679" s="20"/>
      <c r="AD1679" s="20"/>
      <c r="AE1679" s="20"/>
    </row>
    <row r="1680">
      <c r="A1680" s="21">
        <v>44.0</v>
      </c>
      <c r="B1680" s="20" t="s">
        <v>3565</v>
      </c>
      <c r="C1680" s="20" t="s">
        <v>3920</v>
      </c>
      <c r="I1680" s="25" t="s">
        <v>1174</v>
      </c>
      <c r="J1680" s="25" t="s">
        <v>3818</v>
      </c>
      <c r="K1680" s="25" t="s">
        <v>71</v>
      </c>
      <c r="L1680" s="25" t="s">
        <v>292</v>
      </c>
      <c r="M1680" s="20" t="s">
        <v>3725</v>
      </c>
      <c r="N1680" s="20" t="s">
        <v>3726</v>
      </c>
      <c r="O1680" s="20" t="s">
        <v>63</v>
      </c>
      <c r="P1680" s="20" t="s">
        <v>52</v>
      </c>
      <c r="Q1680" s="26"/>
      <c r="R1680" s="26"/>
      <c r="S1680" s="26"/>
      <c r="T1680" s="22"/>
      <c r="U1680" s="26"/>
      <c r="V1680" s="26"/>
      <c r="W1680" s="20"/>
      <c r="X1680" s="20"/>
      <c r="Y1680" s="20"/>
      <c r="Z1680" s="20"/>
      <c r="AA1680" s="20"/>
      <c r="AB1680" s="20"/>
      <c r="AC1680" s="20"/>
      <c r="AD1680" s="20"/>
      <c r="AE1680" s="20"/>
    </row>
    <row r="1681">
      <c r="A1681" s="21">
        <v>44.0</v>
      </c>
      <c r="B1681" s="20" t="s">
        <v>3565</v>
      </c>
      <c r="C1681" s="20" t="s">
        <v>3920</v>
      </c>
      <c r="I1681" s="25" t="s">
        <v>2006</v>
      </c>
      <c r="J1681" s="25" t="s">
        <v>3818</v>
      </c>
      <c r="K1681" s="25" t="s">
        <v>71</v>
      </c>
      <c r="L1681" s="25" t="s">
        <v>292</v>
      </c>
      <c r="M1681" s="20" t="s">
        <v>3837</v>
      </c>
      <c r="N1681" s="20" t="s">
        <v>3838</v>
      </c>
      <c r="O1681" s="20" t="s">
        <v>63</v>
      </c>
      <c r="P1681" s="20" t="s">
        <v>52</v>
      </c>
      <c r="Q1681" s="26"/>
      <c r="R1681" s="26"/>
      <c r="S1681" s="26"/>
      <c r="T1681" s="22"/>
      <c r="U1681" s="26"/>
      <c r="V1681" s="26"/>
      <c r="W1681" s="20"/>
      <c r="X1681" s="20"/>
      <c r="Y1681" s="20"/>
      <c r="Z1681" s="20"/>
      <c r="AA1681" s="20"/>
      <c r="AB1681" s="20"/>
      <c r="AC1681" s="20"/>
      <c r="AD1681" s="20"/>
      <c r="AE1681" s="20"/>
    </row>
    <row r="1682">
      <c r="A1682" s="21">
        <v>45.0</v>
      </c>
      <c r="B1682" s="20" t="s">
        <v>3764</v>
      </c>
      <c r="C1682" s="20" t="s">
        <v>3920</v>
      </c>
      <c r="D1682" s="35">
        <v>30.0</v>
      </c>
      <c r="E1682" s="35">
        <v>2.0</v>
      </c>
      <c r="F1682" s="35">
        <v>0.0</v>
      </c>
      <c r="G1682" s="35">
        <v>28.0</v>
      </c>
      <c r="H1682" s="36" t="s">
        <v>4420</v>
      </c>
      <c r="I1682" s="25" t="s">
        <v>965</v>
      </c>
      <c r="J1682" s="25" t="s">
        <v>3839</v>
      </c>
      <c r="K1682" s="25" t="s">
        <v>57</v>
      </c>
      <c r="L1682" s="25" t="s">
        <v>4421</v>
      </c>
      <c r="M1682" s="20" t="s">
        <v>3840</v>
      </c>
      <c r="N1682" s="20" t="s">
        <v>3841</v>
      </c>
      <c r="O1682" s="20" t="s">
        <v>56</v>
      </c>
      <c r="P1682" s="20"/>
      <c r="Q1682" s="26"/>
      <c r="R1682" s="26"/>
      <c r="S1682" s="26"/>
      <c r="T1682" s="20"/>
      <c r="U1682" s="26"/>
      <c r="V1682" s="26"/>
      <c r="W1682" s="20"/>
      <c r="X1682" s="20"/>
      <c r="Y1682" s="20"/>
      <c r="Z1682" s="20"/>
      <c r="AA1682" s="20"/>
      <c r="AB1682" s="20"/>
      <c r="AC1682" s="20"/>
      <c r="AD1682" s="20"/>
      <c r="AE1682" s="20"/>
    </row>
    <row r="1683">
      <c r="A1683" s="21">
        <v>45.0</v>
      </c>
      <c r="B1683" s="20" t="s">
        <v>3764</v>
      </c>
      <c r="C1683" s="20" t="s">
        <v>3920</v>
      </c>
      <c r="I1683" s="25" t="s">
        <v>3843</v>
      </c>
      <c r="J1683" s="25" t="s">
        <v>3842</v>
      </c>
      <c r="K1683" s="25" t="s">
        <v>57</v>
      </c>
      <c r="L1683" s="25" t="s">
        <v>4423</v>
      </c>
      <c r="M1683" s="20" t="s">
        <v>3844</v>
      </c>
      <c r="N1683" s="20" t="s">
        <v>3845</v>
      </c>
      <c r="O1683" s="20" t="s">
        <v>63</v>
      </c>
      <c r="P1683" s="20"/>
      <c r="Q1683" s="26"/>
      <c r="R1683" s="26"/>
      <c r="S1683" s="26"/>
      <c r="T1683" s="20"/>
      <c r="U1683" s="26"/>
      <c r="V1683" s="26"/>
      <c r="W1683" s="20"/>
      <c r="X1683" s="20"/>
      <c r="Y1683" s="20"/>
      <c r="Z1683" s="20"/>
      <c r="AA1683" s="20"/>
      <c r="AB1683" s="20"/>
      <c r="AC1683" s="20"/>
      <c r="AD1683" s="20"/>
      <c r="AE1683" s="20"/>
    </row>
    <row r="1684">
      <c r="A1684" s="21">
        <v>45.0</v>
      </c>
      <c r="B1684" s="20" t="s">
        <v>3764</v>
      </c>
      <c r="C1684" s="20" t="s">
        <v>3920</v>
      </c>
      <c r="I1684" s="25" t="s">
        <v>3646</v>
      </c>
      <c r="J1684" s="25" t="s">
        <v>3842</v>
      </c>
      <c r="K1684" s="25" t="s">
        <v>71</v>
      </c>
      <c r="L1684" s="25" t="s">
        <v>292</v>
      </c>
      <c r="M1684" s="20" t="s">
        <v>3874</v>
      </c>
      <c r="N1684" s="20" t="s">
        <v>3875</v>
      </c>
      <c r="O1684" s="20" t="s">
        <v>63</v>
      </c>
      <c r="P1684" s="20" t="s">
        <v>52</v>
      </c>
      <c r="Q1684" s="26"/>
      <c r="R1684" s="26"/>
      <c r="S1684" s="26"/>
      <c r="T1684" s="22"/>
      <c r="U1684" s="26"/>
      <c r="V1684" s="26"/>
      <c r="W1684" s="20"/>
      <c r="X1684" s="20"/>
      <c r="Y1684" s="20"/>
      <c r="Z1684" s="20"/>
      <c r="AA1684" s="20"/>
      <c r="AB1684" s="20"/>
      <c r="AC1684" s="20"/>
      <c r="AD1684" s="20"/>
      <c r="AE1684" s="20"/>
    </row>
    <row r="1685">
      <c r="A1685" s="21">
        <v>45.0</v>
      </c>
      <c r="B1685" s="20" t="s">
        <v>3764</v>
      </c>
      <c r="C1685" s="20" t="s">
        <v>3920</v>
      </c>
      <c r="I1685" s="25" t="s">
        <v>3077</v>
      </c>
      <c r="J1685" s="25" t="s">
        <v>3842</v>
      </c>
      <c r="K1685" s="25" t="s">
        <v>71</v>
      </c>
      <c r="L1685" s="25" t="s">
        <v>292</v>
      </c>
      <c r="M1685" s="20" t="s">
        <v>3877</v>
      </c>
      <c r="N1685" s="20" t="s">
        <v>3878</v>
      </c>
      <c r="O1685" s="20" t="s">
        <v>63</v>
      </c>
      <c r="P1685" s="20" t="s">
        <v>52</v>
      </c>
      <c r="Q1685" s="26"/>
      <c r="R1685" s="26"/>
      <c r="S1685" s="26"/>
      <c r="T1685" s="22"/>
      <c r="U1685" s="26"/>
      <c r="V1685" s="26"/>
      <c r="W1685" s="20"/>
      <c r="X1685" s="20"/>
      <c r="Y1685" s="20"/>
      <c r="Z1685" s="20"/>
      <c r="AA1685" s="20"/>
      <c r="AB1685" s="20"/>
      <c r="AC1685" s="20"/>
      <c r="AD1685" s="20"/>
      <c r="AE1685" s="20"/>
    </row>
    <row r="1686">
      <c r="A1686" s="21">
        <v>45.0</v>
      </c>
      <c r="B1686" s="20" t="s">
        <v>3764</v>
      </c>
      <c r="C1686" s="20" t="s">
        <v>3920</v>
      </c>
      <c r="I1686" s="25" t="s">
        <v>3847</v>
      </c>
      <c r="J1686" s="25" t="s">
        <v>3846</v>
      </c>
      <c r="K1686" s="25" t="s">
        <v>71</v>
      </c>
      <c r="L1686" s="25" t="s">
        <v>292</v>
      </c>
      <c r="M1686" s="20" t="s">
        <v>3848</v>
      </c>
      <c r="N1686" s="20" t="s">
        <v>3849</v>
      </c>
      <c r="O1686" s="20" t="s">
        <v>63</v>
      </c>
      <c r="P1686" s="20" t="s">
        <v>52</v>
      </c>
      <c r="Q1686" s="26"/>
      <c r="R1686" s="26"/>
      <c r="S1686" s="26"/>
      <c r="T1686" s="22"/>
      <c r="U1686" s="26"/>
      <c r="V1686" s="26"/>
      <c r="W1686" s="20"/>
      <c r="X1686" s="20"/>
      <c r="Y1686" s="20"/>
      <c r="Z1686" s="20"/>
      <c r="AA1686" s="20"/>
      <c r="AB1686" s="20"/>
      <c r="AC1686" s="20"/>
      <c r="AD1686" s="20"/>
      <c r="AE1686" s="20"/>
    </row>
    <row r="1687">
      <c r="A1687" s="21">
        <v>45.0</v>
      </c>
      <c r="B1687" s="20" t="s">
        <v>3764</v>
      </c>
      <c r="C1687" s="20" t="s">
        <v>3920</v>
      </c>
      <c r="I1687" s="25" t="s">
        <v>2570</v>
      </c>
      <c r="J1687" s="25" t="s">
        <v>3842</v>
      </c>
      <c r="K1687" s="25" t="s">
        <v>71</v>
      </c>
      <c r="L1687" s="25" t="s">
        <v>292</v>
      </c>
      <c r="M1687" s="20" t="s">
        <v>3880</v>
      </c>
      <c r="N1687" s="20" t="s">
        <v>3881</v>
      </c>
      <c r="O1687" s="20" t="s">
        <v>63</v>
      </c>
      <c r="P1687" s="20" t="s">
        <v>52</v>
      </c>
      <c r="Q1687" s="26"/>
      <c r="R1687" s="26"/>
      <c r="S1687" s="26"/>
      <c r="T1687" s="22"/>
      <c r="U1687" s="26"/>
      <c r="V1687" s="26"/>
      <c r="W1687" s="20"/>
      <c r="X1687" s="20"/>
      <c r="Y1687" s="20"/>
      <c r="Z1687" s="20"/>
      <c r="AA1687" s="20"/>
      <c r="AB1687" s="20"/>
      <c r="AC1687" s="20"/>
      <c r="AD1687" s="20"/>
      <c r="AE1687" s="20"/>
    </row>
    <row r="1688">
      <c r="A1688" s="21">
        <v>45.0</v>
      </c>
      <c r="B1688" s="20" t="s">
        <v>3764</v>
      </c>
      <c r="C1688" s="20" t="s">
        <v>3920</v>
      </c>
      <c r="I1688" s="25" t="s">
        <v>2833</v>
      </c>
      <c r="J1688" s="25" t="s">
        <v>3842</v>
      </c>
      <c r="K1688" s="25" t="s">
        <v>71</v>
      </c>
      <c r="L1688" s="25" t="s">
        <v>292</v>
      </c>
      <c r="M1688" s="20" t="s">
        <v>3883</v>
      </c>
      <c r="N1688" s="20" t="s">
        <v>3884</v>
      </c>
      <c r="O1688" s="20" t="s">
        <v>63</v>
      </c>
      <c r="P1688" s="20" t="s">
        <v>52</v>
      </c>
      <c r="Q1688" s="26"/>
      <c r="R1688" s="26"/>
      <c r="S1688" s="26"/>
      <c r="T1688" s="22"/>
      <c r="U1688" s="26"/>
      <c r="V1688" s="26"/>
      <c r="W1688" s="20"/>
      <c r="X1688" s="20"/>
      <c r="Y1688" s="20"/>
      <c r="Z1688" s="20"/>
      <c r="AA1688" s="20"/>
      <c r="AB1688" s="20"/>
      <c r="AC1688" s="20"/>
      <c r="AD1688" s="20"/>
      <c r="AE1688" s="20"/>
    </row>
    <row r="1689">
      <c r="A1689" s="21">
        <v>45.0</v>
      </c>
      <c r="B1689" s="20" t="s">
        <v>3764</v>
      </c>
      <c r="C1689" s="20" t="s">
        <v>3920</v>
      </c>
      <c r="I1689" s="25" t="s">
        <v>716</v>
      </c>
      <c r="J1689" s="25" t="s">
        <v>3846</v>
      </c>
      <c r="K1689" s="25" t="s">
        <v>71</v>
      </c>
      <c r="L1689" s="25" t="s">
        <v>292</v>
      </c>
      <c r="M1689" s="20" t="s">
        <v>1003</v>
      </c>
      <c r="N1689" s="20" t="s">
        <v>3850</v>
      </c>
      <c r="O1689" s="20" t="s">
        <v>63</v>
      </c>
      <c r="P1689" s="20" t="s">
        <v>52</v>
      </c>
      <c r="Q1689" s="26"/>
      <c r="R1689" s="26"/>
      <c r="S1689" s="26"/>
      <c r="T1689" s="22"/>
      <c r="U1689" s="26"/>
      <c r="V1689" s="26"/>
      <c r="W1689" s="20"/>
      <c r="X1689" s="20"/>
      <c r="Y1689" s="20"/>
      <c r="Z1689" s="20"/>
      <c r="AA1689" s="20"/>
      <c r="AB1689" s="20"/>
      <c r="AC1689" s="20"/>
      <c r="AD1689" s="20"/>
      <c r="AE1689" s="20"/>
    </row>
    <row r="1690">
      <c r="A1690" s="21">
        <v>45.0</v>
      </c>
      <c r="B1690" s="20" t="s">
        <v>3764</v>
      </c>
      <c r="C1690" s="20" t="s">
        <v>3920</v>
      </c>
      <c r="I1690" s="25" t="s">
        <v>274</v>
      </c>
      <c r="J1690" s="25" t="s">
        <v>3846</v>
      </c>
      <c r="K1690" s="25" t="s">
        <v>71</v>
      </c>
      <c r="L1690" s="25" t="s">
        <v>292</v>
      </c>
      <c r="M1690" s="20" t="s">
        <v>3720</v>
      </c>
      <c r="N1690" s="20" t="s">
        <v>3721</v>
      </c>
      <c r="O1690" s="20" t="s">
        <v>63</v>
      </c>
      <c r="P1690" s="20" t="s">
        <v>52</v>
      </c>
      <c r="Q1690" s="26"/>
      <c r="R1690" s="26"/>
      <c r="S1690" s="26"/>
      <c r="T1690" s="22"/>
      <c r="U1690" s="26"/>
      <c r="V1690" s="26"/>
      <c r="W1690" s="20"/>
      <c r="X1690" s="20"/>
      <c r="Y1690" s="20"/>
      <c r="Z1690" s="20"/>
      <c r="AA1690" s="20"/>
      <c r="AB1690" s="20"/>
      <c r="AC1690" s="20"/>
      <c r="AD1690" s="20"/>
      <c r="AE1690" s="20"/>
    </row>
    <row r="1691">
      <c r="A1691" s="21">
        <v>45.0</v>
      </c>
      <c r="B1691" s="20" t="s">
        <v>3764</v>
      </c>
      <c r="C1691" s="20" t="s">
        <v>3920</v>
      </c>
      <c r="I1691" s="25" t="s">
        <v>471</v>
      </c>
      <c r="J1691" s="25" t="s">
        <v>3846</v>
      </c>
      <c r="K1691" s="25" t="s">
        <v>71</v>
      </c>
      <c r="L1691" s="25" t="s">
        <v>292</v>
      </c>
      <c r="M1691" s="20" t="s">
        <v>3851</v>
      </c>
      <c r="N1691" s="20" t="s">
        <v>3852</v>
      </c>
      <c r="O1691" s="20" t="s">
        <v>63</v>
      </c>
      <c r="P1691" s="20" t="s">
        <v>52</v>
      </c>
      <c r="Q1691" s="26"/>
      <c r="R1691" s="26"/>
      <c r="S1691" s="26"/>
      <c r="T1691" s="22"/>
      <c r="U1691" s="26"/>
      <c r="V1691" s="26"/>
      <c r="W1691" s="20"/>
      <c r="X1691" s="20"/>
      <c r="Y1691" s="20"/>
      <c r="Z1691" s="20"/>
      <c r="AA1691" s="20"/>
      <c r="AB1691" s="20"/>
      <c r="AC1691" s="20"/>
      <c r="AD1691" s="20"/>
      <c r="AE1691" s="20"/>
    </row>
    <row r="1692">
      <c r="A1692" s="21">
        <v>45.0</v>
      </c>
      <c r="B1692" s="20" t="s">
        <v>3764</v>
      </c>
      <c r="C1692" s="20" t="s">
        <v>3920</v>
      </c>
      <c r="I1692" s="25" t="s">
        <v>2693</v>
      </c>
      <c r="J1692" s="25" t="s">
        <v>3842</v>
      </c>
      <c r="K1692" s="25" t="s">
        <v>71</v>
      </c>
      <c r="L1692" s="25" t="s">
        <v>292</v>
      </c>
      <c r="M1692" s="20" t="s">
        <v>2694</v>
      </c>
      <c r="N1692" s="20" t="s">
        <v>3885</v>
      </c>
      <c r="O1692" s="20" t="s">
        <v>63</v>
      </c>
      <c r="P1692" s="20" t="s">
        <v>52</v>
      </c>
      <c r="Q1692" s="26"/>
      <c r="R1692" s="26"/>
      <c r="S1692" s="26"/>
      <c r="T1692" s="22"/>
      <c r="U1692" s="26"/>
      <c r="V1692" s="26"/>
      <c r="W1692" s="20"/>
      <c r="X1692" s="20"/>
      <c r="Y1692" s="20"/>
      <c r="Z1692" s="20"/>
      <c r="AA1692" s="20"/>
      <c r="AB1692" s="20"/>
      <c r="AC1692" s="20"/>
      <c r="AD1692" s="20"/>
      <c r="AE1692" s="20"/>
    </row>
    <row r="1693">
      <c r="A1693" s="21">
        <v>45.0</v>
      </c>
      <c r="B1693" s="20" t="s">
        <v>3764</v>
      </c>
      <c r="C1693" s="20" t="s">
        <v>3920</v>
      </c>
      <c r="I1693" s="25" t="s">
        <v>2042</v>
      </c>
      <c r="J1693" s="25" t="s">
        <v>3846</v>
      </c>
      <c r="K1693" s="25" t="s">
        <v>71</v>
      </c>
      <c r="L1693" s="25" t="s">
        <v>292</v>
      </c>
      <c r="M1693" s="20" t="s">
        <v>3853</v>
      </c>
      <c r="N1693" s="20" t="s">
        <v>3854</v>
      </c>
      <c r="O1693" s="20" t="s">
        <v>63</v>
      </c>
      <c r="P1693" s="20" t="s">
        <v>52</v>
      </c>
      <c r="Q1693" s="26"/>
      <c r="R1693" s="26"/>
      <c r="S1693" s="26"/>
      <c r="T1693" s="22"/>
      <c r="U1693" s="26"/>
      <c r="V1693" s="26"/>
      <c r="W1693" s="20"/>
      <c r="X1693" s="20"/>
      <c r="Y1693" s="20"/>
      <c r="Z1693" s="20"/>
      <c r="AA1693" s="20"/>
      <c r="AB1693" s="20"/>
      <c r="AC1693" s="20"/>
      <c r="AD1693" s="20"/>
      <c r="AE1693" s="20"/>
    </row>
    <row r="1694">
      <c r="A1694" s="21">
        <v>45.0</v>
      </c>
      <c r="B1694" s="20" t="s">
        <v>3764</v>
      </c>
      <c r="C1694" s="20" t="s">
        <v>3920</v>
      </c>
      <c r="I1694" s="25" t="s">
        <v>2006</v>
      </c>
      <c r="J1694" s="25" t="s">
        <v>3842</v>
      </c>
      <c r="K1694" s="25" t="s">
        <v>71</v>
      </c>
      <c r="L1694" s="25" t="s">
        <v>292</v>
      </c>
      <c r="M1694" s="20" t="s">
        <v>3886</v>
      </c>
      <c r="N1694" s="20" t="s">
        <v>3887</v>
      </c>
      <c r="O1694" s="20" t="s">
        <v>63</v>
      </c>
      <c r="P1694" s="20" t="s">
        <v>52</v>
      </c>
      <c r="Q1694" s="26"/>
      <c r="R1694" s="26"/>
      <c r="S1694" s="26"/>
      <c r="T1694" s="22"/>
      <c r="U1694" s="26"/>
      <c r="V1694" s="26"/>
      <c r="W1694" s="20"/>
      <c r="X1694" s="20"/>
      <c r="Y1694" s="20"/>
      <c r="Z1694" s="20"/>
      <c r="AA1694" s="20"/>
      <c r="AB1694" s="20"/>
      <c r="AC1694" s="20"/>
      <c r="AD1694" s="20"/>
      <c r="AE1694" s="20"/>
    </row>
    <row r="1695">
      <c r="A1695" s="21">
        <v>45.0</v>
      </c>
      <c r="B1695" s="20" t="s">
        <v>3764</v>
      </c>
      <c r="C1695" s="20" t="s">
        <v>3920</v>
      </c>
      <c r="I1695" s="25" t="s">
        <v>2328</v>
      </c>
      <c r="J1695" s="25" t="s">
        <v>3842</v>
      </c>
      <c r="K1695" s="25" t="s">
        <v>71</v>
      </c>
      <c r="L1695" s="25" t="s">
        <v>292</v>
      </c>
      <c r="M1695" s="20" t="s">
        <v>3889</v>
      </c>
      <c r="N1695" s="20" t="s">
        <v>3890</v>
      </c>
      <c r="O1695" s="20" t="s">
        <v>63</v>
      </c>
      <c r="P1695" s="20" t="s">
        <v>52</v>
      </c>
      <c r="Q1695" s="26"/>
      <c r="R1695" s="26"/>
      <c r="S1695" s="26"/>
      <c r="T1695" s="22"/>
      <c r="U1695" s="26"/>
      <c r="V1695" s="26"/>
      <c r="W1695" s="20"/>
      <c r="X1695" s="20"/>
      <c r="Y1695" s="20"/>
      <c r="Z1695" s="20"/>
      <c r="AA1695" s="20"/>
      <c r="AB1695" s="20"/>
      <c r="AC1695" s="20"/>
      <c r="AD1695" s="20"/>
      <c r="AE1695" s="20"/>
    </row>
    <row r="1696">
      <c r="A1696" s="21">
        <v>45.0</v>
      </c>
      <c r="B1696" s="20" t="s">
        <v>3764</v>
      </c>
      <c r="C1696" s="20" t="s">
        <v>3920</v>
      </c>
      <c r="I1696" s="25" t="s">
        <v>576</v>
      </c>
      <c r="J1696" s="25" t="s">
        <v>3846</v>
      </c>
      <c r="K1696" s="25" t="s">
        <v>71</v>
      </c>
      <c r="L1696" s="25" t="s">
        <v>292</v>
      </c>
      <c r="M1696" s="20" t="s">
        <v>3855</v>
      </c>
      <c r="N1696" s="20" t="s">
        <v>3850</v>
      </c>
      <c r="O1696" s="20" t="s">
        <v>63</v>
      </c>
      <c r="P1696" s="20" t="s">
        <v>52</v>
      </c>
      <c r="Q1696" s="26"/>
      <c r="R1696" s="26"/>
      <c r="S1696" s="26"/>
      <c r="T1696" s="22"/>
      <c r="U1696" s="26"/>
      <c r="V1696" s="26"/>
      <c r="W1696" s="20"/>
      <c r="X1696" s="20"/>
      <c r="Y1696" s="20"/>
      <c r="Z1696" s="20"/>
      <c r="AA1696" s="20"/>
      <c r="AB1696" s="20"/>
      <c r="AC1696" s="20"/>
      <c r="AD1696" s="20"/>
      <c r="AE1696" s="20"/>
    </row>
    <row r="1697">
      <c r="A1697" s="21">
        <v>45.0</v>
      </c>
      <c r="B1697" s="20" t="s">
        <v>3764</v>
      </c>
      <c r="C1697" s="20" t="s">
        <v>3920</v>
      </c>
      <c r="I1697" s="25" t="s">
        <v>2842</v>
      </c>
      <c r="J1697" s="25" t="s">
        <v>3842</v>
      </c>
      <c r="K1697" s="25" t="s">
        <v>71</v>
      </c>
      <c r="L1697" s="25" t="s">
        <v>292</v>
      </c>
      <c r="M1697" s="20" t="s">
        <v>2843</v>
      </c>
      <c r="N1697" s="20" t="s">
        <v>3891</v>
      </c>
      <c r="O1697" s="20" t="s">
        <v>63</v>
      </c>
      <c r="P1697" s="20" t="s">
        <v>52</v>
      </c>
      <c r="Q1697" s="26"/>
      <c r="R1697" s="26"/>
      <c r="S1697" s="26"/>
      <c r="T1697" s="22"/>
      <c r="U1697" s="26"/>
      <c r="V1697" s="26"/>
      <c r="W1697" s="20"/>
      <c r="X1697" s="20"/>
      <c r="Y1697" s="20"/>
      <c r="Z1697" s="20"/>
      <c r="AA1697" s="20"/>
      <c r="AB1697" s="20"/>
      <c r="AC1697" s="20"/>
      <c r="AD1697" s="20"/>
      <c r="AE1697" s="20"/>
    </row>
    <row r="1698">
      <c r="A1698" s="21">
        <v>45.0</v>
      </c>
      <c r="B1698" s="20" t="s">
        <v>3764</v>
      </c>
      <c r="C1698" s="20" t="s">
        <v>3920</v>
      </c>
      <c r="I1698" s="25" t="s">
        <v>3856</v>
      </c>
      <c r="J1698" s="25" t="s">
        <v>3846</v>
      </c>
      <c r="K1698" s="25" t="s">
        <v>71</v>
      </c>
      <c r="L1698" s="25" t="s">
        <v>292</v>
      </c>
      <c r="M1698" s="20" t="s">
        <v>3857</v>
      </c>
      <c r="N1698" s="20" t="s">
        <v>3858</v>
      </c>
      <c r="O1698" s="20" t="s">
        <v>63</v>
      </c>
      <c r="P1698" s="20" t="s">
        <v>52</v>
      </c>
      <c r="Q1698" s="26"/>
      <c r="R1698" s="26"/>
      <c r="S1698" s="26"/>
      <c r="T1698" s="22"/>
      <c r="U1698" s="26"/>
      <c r="V1698" s="26"/>
      <c r="W1698" s="20"/>
      <c r="X1698" s="20"/>
      <c r="Y1698" s="20"/>
      <c r="Z1698" s="20"/>
      <c r="AA1698" s="20"/>
      <c r="AB1698" s="20"/>
      <c r="AC1698" s="20"/>
      <c r="AD1698" s="20"/>
      <c r="AE1698" s="20"/>
    </row>
    <row r="1699">
      <c r="A1699" s="21">
        <v>45.0</v>
      </c>
      <c r="B1699" s="20" t="s">
        <v>3764</v>
      </c>
      <c r="C1699" s="20" t="s">
        <v>3920</v>
      </c>
      <c r="I1699" s="25" t="s">
        <v>1682</v>
      </c>
      <c r="J1699" s="25" t="s">
        <v>3846</v>
      </c>
      <c r="K1699" s="25" t="s">
        <v>71</v>
      </c>
      <c r="L1699" s="25" t="s">
        <v>292</v>
      </c>
      <c r="M1699" s="20" t="s">
        <v>3859</v>
      </c>
      <c r="N1699" s="20" t="s">
        <v>3860</v>
      </c>
      <c r="O1699" s="20" t="s">
        <v>63</v>
      </c>
      <c r="P1699" s="20" t="s">
        <v>52</v>
      </c>
      <c r="Q1699" s="26"/>
      <c r="R1699" s="26"/>
      <c r="S1699" s="26"/>
      <c r="T1699" s="22"/>
      <c r="U1699" s="26"/>
      <c r="V1699" s="26"/>
      <c r="W1699" s="20"/>
      <c r="X1699" s="20"/>
      <c r="Y1699" s="20"/>
      <c r="Z1699" s="20"/>
      <c r="AA1699" s="20"/>
      <c r="AB1699" s="20"/>
      <c r="AC1699" s="20"/>
      <c r="AD1699" s="20"/>
      <c r="AE1699" s="20"/>
    </row>
    <row r="1700">
      <c r="A1700" s="21">
        <v>45.0</v>
      </c>
      <c r="B1700" s="20" t="s">
        <v>3764</v>
      </c>
      <c r="C1700" s="20" t="s">
        <v>3920</v>
      </c>
      <c r="I1700" s="25" t="s">
        <v>3474</v>
      </c>
      <c r="J1700" s="25" t="s">
        <v>3842</v>
      </c>
      <c r="K1700" s="25" t="s">
        <v>71</v>
      </c>
      <c r="L1700" s="25" t="s">
        <v>292</v>
      </c>
      <c r="M1700" s="20" t="s">
        <v>3475</v>
      </c>
      <c r="N1700" s="20" t="s">
        <v>3892</v>
      </c>
      <c r="O1700" s="20" t="s">
        <v>63</v>
      </c>
      <c r="P1700" s="20" t="s">
        <v>52</v>
      </c>
      <c r="Q1700" s="26"/>
      <c r="R1700" s="26"/>
      <c r="S1700" s="26"/>
      <c r="T1700" s="22"/>
      <c r="U1700" s="26"/>
      <c r="V1700" s="26"/>
      <c r="W1700" s="20"/>
      <c r="X1700" s="20"/>
      <c r="Y1700" s="20"/>
      <c r="Z1700" s="20"/>
      <c r="AA1700" s="20"/>
      <c r="AB1700" s="20"/>
      <c r="AC1700" s="20"/>
      <c r="AD1700" s="20"/>
      <c r="AE1700" s="20"/>
    </row>
    <row r="1701">
      <c r="A1701" s="21">
        <v>45.0</v>
      </c>
      <c r="B1701" s="20" t="s">
        <v>3764</v>
      </c>
      <c r="C1701" s="20" t="s">
        <v>3920</v>
      </c>
      <c r="I1701" s="25" t="s">
        <v>3861</v>
      </c>
      <c r="J1701" s="25" t="s">
        <v>3846</v>
      </c>
      <c r="K1701" s="25" t="s">
        <v>71</v>
      </c>
      <c r="L1701" s="25" t="s">
        <v>292</v>
      </c>
      <c r="M1701" s="20" t="s">
        <v>3862</v>
      </c>
      <c r="N1701" s="20" t="s">
        <v>3863</v>
      </c>
      <c r="O1701" s="20" t="s">
        <v>63</v>
      </c>
      <c r="P1701" s="20" t="s">
        <v>52</v>
      </c>
      <c r="Q1701" s="26"/>
      <c r="R1701" s="26"/>
      <c r="S1701" s="26"/>
      <c r="T1701" s="22"/>
      <c r="U1701" s="26"/>
      <c r="V1701" s="26"/>
      <c r="W1701" s="20"/>
      <c r="X1701" s="20"/>
      <c r="Y1701" s="20"/>
      <c r="Z1701" s="20"/>
      <c r="AA1701" s="20"/>
      <c r="AB1701" s="20"/>
      <c r="AC1701" s="20"/>
      <c r="AD1701" s="20"/>
      <c r="AE1701" s="20"/>
    </row>
    <row r="1702">
      <c r="A1702" s="21">
        <v>45.0</v>
      </c>
      <c r="B1702" s="20" t="s">
        <v>3764</v>
      </c>
      <c r="C1702" s="20" t="s">
        <v>3920</v>
      </c>
      <c r="I1702" s="25" t="s">
        <v>1272</v>
      </c>
      <c r="J1702" s="25" t="s">
        <v>3842</v>
      </c>
      <c r="K1702" s="25" t="s">
        <v>71</v>
      </c>
      <c r="L1702" s="25" t="s">
        <v>292</v>
      </c>
      <c r="M1702" s="20" t="s">
        <v>1273</v>
      </c>
      <c r="N1702" s="20" t="s">
        <v>3893</v>
      </c>
      <c r="O1702" s="20" t="s">
        <v>63</v>
      </c>
      <c r="P1702" s="20" t="s">
        <v>52</v>
      </c>
      <c r="Q1702" s="26"/>
      <c r="R1702" s="26"/>
      <c r="S1702" s="26"/>
      <c r="T1702" s="22"/>
      <c r="U1702" s="26"/>
      <c r="V1702" s="26"/>
      <c r="W1702" s="20"/>
      <c r="X1702" s="20"/>
      <c r="Y1702" s="20"/>
      <c r="Z1702" s="20"/>
      <c r="AA1702" s="20"/>
      <c r="AB1702" s="20"/>
      <c r="AC1702" s="20"/>
      <c r="AD1702" s="20"/>
      <c r="AE1702" s="20"/>
    </row>
    <row r="1703">
      <c r="A1703" s="21">
        <v>45.0</v>
      </c>
      <c r="B1703" s="20" t="s">
        <v>3764</v>
      </c>
      <c r="C1703" s="20" t="s">
        <v>3920</v>
      </c>
      <c r="I1703" s="25" t="s">
        <v>3662</v>
      </c>
      <c r="J1703" s="25" t="s">
        <v>3846</v>
      </c>
      <c r="K1703" s="25" t="s">
        <v>71</v>
      </c>
      <c r="L1703" s="25" t="s">
        <v>4172</v>
      </c>
      <c r="M1703" s="20" t="s">
        <v>61</v>
      </c>
      <c r="N1703" s="20" t="s">
        <v>3722</v>
      </c>
      <c r="O1703" s="20" t="s">
        <v>63</v>
      </c>
      <c r="P1703" s="20" t="s">
        <v>52</v>
      </c>
      <c r="Q1703" s="26"/>
      <c r="R1703" s="26"/>
      <c r="S1703" s="26"/>
      <c r="T1703" s="20"/>
      <c r="U1703" s="26"/>
      <c r="V1703" s="26"/>
      <c r="W1703" s="20"/>
      <c r="X1703" s="20"/>
      <c r="Y1703" s="20"/>
      <c r="Z1703" s="20"/>
      <c r="AA1703" s="20"/>
      <c r="AB1703" s="20"/>
      <c r="AC1703" s="20"/>
      <c r="AD1703" s="20"/>
      <c r="AE1703" s="20"/>
    </row>
    <row r="1704">
      <c r="A1704" s="21">
        <v>45.0</v>
      </c>
      <c r="B1704" s="20" t="s">
        <v>3764</v>
      </c>
      <c r="C1704" s="20" t="s">
        <v>3920</v>
      </c>
      <c r="I1704" s="25" t="s">
        <v>1413</v>
      </c>
      <c r="J1704" s="25" t="s">
        <v>3846</v>
      </c>
      <c r="K1704" s="25" t="s">
        <v>71</v>
      </c>
      <c r="L1704" s="25" t="s">
        <v>292</v>
      </c>
      <c r="M1704" s="20" t="s">
        <v>3864</v>
      </c>
      <c r="N1704" s="20" t="s">
        <v>3865</v>
      </c>
      <c r="O1704" s="20" t="s">
        <v>63</v>
      </c>
      <c r="P1704" s="20" t="s">
        <v>52</v>
      </c>
      <c r="Q1704" s="26"/>
      <c r="R1704" s="26"/>
      <c r="S1704" s="26"/>
      <c r="T1704" s="22"/>
      <c r="U1704" s="26"/>
      <c r="V1704" s="26"/>
      <c r="W1704" s="20"/>
      <c r="X1704" s="20"/>
      <c r="Y1704" s="20"/>
      <c r="Z1704" s="20"/>
      <c r="AA1704" s="20"/>
      <c r="AB1704" s="20"/>
      <c r="AC1704" s="20"/>
      <c r="AD1704" s="20"/>
      <c r="AE1704" s="20"/>
    </row>
    <row r="1705">
      <c r="A1705" s="21">
        <v>45.0</v>
      </c>
      <c r="B1705" s="20" t="s">
        <v>3764</v>
      </c>
      <c r="C1705" s="20" t="s">
        <v>3920</v>
      </c>
      <c r="I1705" s="25" t="s">
        <v>3894</v>
      </c>
      <c r="J1705" s="25" t="s">
        <v>3842</v>
      </c>
      <c r="K1705" s="25" t="s">
        <v>71</v>
      </c>
      <c r="L1705" s="25" t="s">
        <v>292</v>
      </c>
      <c r="M1705" s="20" t="s">
        <v>3895</v>
      </c>
      <c r="N1705" s="20" t="s">
        <v>3896</v>
      </c>
      <c r="O1705" s="20" t="s">
        <v>63</v>
      </c>
      <c r="P1705" s="20" t="s">
        <v>52</v>
      </c>
      <c r="Q1705" s="26"/>
      <c r="R1705" s="26"/>
      <c r="S1705" s="26"/>
      <c r="T1705" s="22"/>
      <c r="U1705" s="26"/>
      <c r="V1705" s="26"/>
      <c r="W1705" s="20"/>
      <c r="X1705" s="20"/>
      <c r="Y1705" s="20"/>
      <c r="Z1705" s="20"/>
      <c r="AA1705" s="20"/>
      <c r="AB1705" s="20"/>
      <c r="AC1705" s="20"/>
      <c r="AD1705" s="20"/>
      <c r="AE1705" s="20"/>
    </row>
    <row r="1706">
      <c r="A1706" s="21">
        <v>45.0</v>
      </c>
      <c r="B1706" s="20" t="s">
        <v>3764</v>
      </c>
      <c r="C1706" s="20" t="s">
        <v>3920</v>
      </c>
      <c r="I1706" s="25" t="s">
        <v>1338</v>
      </c>
      <c r="J1706" s="25" t="s">
        <v>3846</v>
      </c>
      <c r="K1706" s="25" t="s">
        <v>71</v>
      </c>
      <c r="L1706" s="25" t="s">
        <v>4006</v>
      </c>
      <c r="M1706" s="20" t="s">
        <v>3674</v>
      </c>
      <c r="N1706" s="20" t="s">
        <v>3867</v>
      </c>
      <c r="O1706" s="20" t="s">
        <v>63</v>
      </c>
      <c r="P1706" s="20" t="s">
        <v>52</v>
      </c>
      <c r="Q1706" s="26"/>
      <c r="R1706" s="26"/>
      <c r="S1706" s="26"/>
      <c r="T1706" s="20"/>
      <c r="U1706" s="26"/>
      <c r="V1706" s="26"/>
      <c r="W1706" s="20"/>
      <c r="X1706" s="20"/>
      <c r="Y1706" s="20"/>
      <c r="Z1706" s="20"/>
      <c r="AA1706" s="20"/>
      <c r="AB1706" s="20"/>
      <c r="AC1706" s="20"/>
      <c r="AD1706" s="20"/>
      <c r="AE1706" s="20"/>
    </row>
    <row r="1707">
      <c r="A1707" s="21">
        <v>45.0</v>
      </c>
      <c r="B1707" s="20" t="s">
        <v>3764</v>
      </c>
      <c r="C1707" s="20" t="s">
        <v>3920</v>
      </c>
      <c r="I1707" s="25" t="s">
        <v>2134</v>
      </c>
      <c r="J1707" s="25" t="s">
        <v>3842</v>
      </c>
      <c r="K1707" s="25" t="s">
        <v>71</v>
      </c>
      <c r="L1707" s="25" t="s">
        <v>292</v>
      </c>
      <c r="M1707" s="20" t="s">
        <v>2135</v>
      </c>
      <c r="N1707" s="20" t="s">
        <v>3897</v>
      </c>
      <c r="O1707" s="20" t="s">
        <v>63</v>
      </c>
      <c r="P1707" s="20" t="s">
        <v>52</v>
      </c>
      <c r="Q1707" s="26"/>
      <c r="R1707" s="26"/>
      <c r="S1707" s="26"/>
      <c r="T1707" s="22"/>
      <c r="U1707" s="26"/>
      <c r="V1707" s="26"/>
      <c r="W1707" s="20"/>
      <c r="X1707" s="20"/>
      <c r="Y1707" s="20"/>
      <c r="Z1707" s="20"/>
      <c r="AA1707" s="20"/>
      <c r="AB1707" s="20"/>
      <c r="AC1707" s="20"/>
      <c r="AD1707" s="20"/>
      <c r="AE1707" s="20"/>
    </row>
    <row r="1708">
      <c r="A1708" s="21">
        <v>45.0</v>
      </c>
      <c r="B1708" s="20" t="s">
        <v>3764</v>
      </c>
      <c r="C1708" s="20" t="s">
        <v>3920</v>
      </c>
      <c r="I1708" s="25" t="s">
        <v>3813</v>
      </c>
      <c r="J1708" s="25" t="s">
        <v>3846</v>
      </c>
      <c r="K1708" s="25" t="s">
        <v>71</v>
      </c>
      <c r="L1708" s="25" t="s">
        <v>292</v>
      </c>
      <c r="M1708" s="20" t="s">
        <v>2766</v>
      </c>
      <c r="N1708" s="20" t="s">
        <v>3869</v>
      </c>
      <c r="O1708" s="20" t="s">
        <v>63</v>
      </c>
      <c r="P1708" s="20" t="s">
        <v>52</v>
      </c>
      <c r="Q1708" s="26"/>
      <c r="R1708" s="26"/>
      <c r="S1708" s="26"/>
      <c r="T1708" s="22"/>
      <c r="U1708" s="26"/>
      <c r="V1708" s="26"/>
      <c r="W1708" s="20"/>
      <c r="X1708" s="20"/>
      <c r="Y1708" s="20"/>
      <c r="Z1708" s="20"/>
      <c r="AA1708" s="20"/>
      <c r="AB1708" s="20"/>
      <c r="AC1708" s="20"/>
      <c r="AD1708" s="20"/>
      <c r="AE1708" s="20"/>
    </row>
    <row r="1709">
      <c r="A1709" s="21">
        <v>45.0</v>
      </c>
      <c r="B1709" s="20" t="s">
        <v>3764</v>
      </c>
      <c r="C1709" s="20" t="s">
        <v>3920</v>
      </c>
      <c r="I1709" s="25" t="s">
        <v>2839</v>
      </c>
      <c r="J1709" s="25" t="s">
        <v>3842</v>
      </c>
      <c r="K1709" s="25" t="s">
        <v>71</v>
      </c>
      <c r="L1709" s="25" t="s">
        <v>292</v>
      </c>
      <c r="M1709" s="20" t="s">
        <v>3898</v>
      </c>
      <c r="N1709" s="20" t="s">
        <v>3899</v>
      </c>
      <c r="O1709" s="20" t="s">
        <v>63</v>
      </c>
      <c r="P1709" s="20" t="s">
        <v>52</v>
      </c>
      <c r="Q1709" s="26"/>
      <c r="R1709" s="26"/>
      <c r="S1709" s="26"/>
      <c r="T1709" s="22"/>
      <c r="U1709" s="26"/>
      <c r="V1709" s="26"/>
      <c r="W1709" s="20"/>
      <c r="X1709" s="20"/>
      <c r="Y1709" s="20"/>
      <c r="Z1709" s="20"/>
      <c r="AA1709" s="20"/>
      <c r="AB1709" s="20"/>
      <c r="AC1709" s="20"/>
      <c r="AD1709" s="20"/>
      <c r="AE1709" s="20"/>
    </row>
    <row r="1710">
      <c r="A1710" s="21">
        <v>45.0</v>
      </c>
      <c r="B1710" s="20" t="s">
        <v>3764</v>
      </c>
      <c r="C1710" s="20" t="s">
        <v>3920</v>
      </c>
      <c r="I1710" s="25" t="s">
        <v>3870</v>
      </c>
      <c r="J1710" s="25" t="s">
        <v>3846</v>
      </c>
      <c r="K1710" s="25" t="s">
        <v>71</v>
      </c>
      <c r="L1710" s="25" t="s">
        <v>292</v>
      </c>
      <c r="M1710" s="20" t="s">
        <v>3871</v>
      </c>
      <c r="N1710" s="20" t="s">
        <v>3872</v>
      </c>
      <c r="O1710" s="20" t="s">
        <v>63</v>
      </c>
      <c r="P1710" s="20" t="s">
        <v>52</v>
      </c>
      <c r="Q1710" s="26"/>
      <c r="R1710" s="26"/>
      <c r="S1710" s="26"/>
      <c r="T1710" s="22"/>
      <c r="U1710" s="26"/>
      <c r="V1710" s="26"/>
      <c r="W1710" s="20"/>
      <c r="X1710" s="20"/>
      <c r="Y1710" s="20"/>
      <c r="Z1710" s="20"/>
      <c r="AA1710" s="20"/>
      <c r="AB1710" s="20"/>
      <c r="AC1710" s="20"/>
      <c r="AD1710" s="20"/>
      <c r="AE1710" s="20"/>
    </row>
    <row r="1711">
      <c r="A1711" s="21">
        <v>45.0</v>
      </c>
      <c r="B1711" s="20" t="s">
        <v>3764</v>
      </c>
      <c r="C1711" s="20" t="s">
        <v>3920</v>
      </c>
      <c r="I1711" s="25" t="s">
        <v>2122</v>
      </c>
      <c r="J1711" s="25" t="s">
        <v>3842</v>
      </c>
      <c r="K1711" s="25" t="s">
        <v>71</v>
      </c>
      <c r="L1711" s="25" t="s">
        <v>292</v>
      </c>
      <c r="M1711" s="20" t="s">
        <v>2123</v>
      </c>
      <c r="N1711" s="20" t="s">
        <v>3900</v>
      </c>
      <c r="O1711" s="20" t="s">
        <v>63</v>
      </c>
      <c r="P1711" s="20" t="s">
        <v>52</v>
      </c>
      <c r="Q1711" s="26"/>
      <c r="R1711" s="26"/>
      <c r="S1711" s="26"/>
      <c r="T1711" s="22"/>
      <c r="U1711" s="26"/>
      <c r="V1711" s="26"/>
      <c r="W1711" s="20"/>
      <c r="X1711" s="20"/>
      <c r="Y1711" s="20"/>
      <c r="Z1711" s="20"/>
      <c r="AA1711" s="20"/>
      <c r="AB1711" s="20"/>
      <c r="AC1711" s="20"/>
      <c r="AD1711" s="20"/>
      <c r="AE1711" s="20"/>
    </row>
    <row r="1712">
      <c r="A1712" s="21">
        <v>46.0</v>
      </c>
      <c r="B1712" s="20" t="s">
        <v>3646</v>
      </c>
      <c r="C1712" s="20" t="s">
        <v>3920</v>
      </c>
      <c r="D1712" s="35">
        <v>18.0</v>
      </c>
      <c r="E1712" s="35">
        <v>1.0</v>
      </c>
      <c r="F1712" s="35">
        <v>0.0</v>
      </c>
      <c r="G1712" s="35">
        <v>17.0</v>
      </c>
      <c r="H1712" s="36" t="s">
        <v>4462</v>
      </c>
      <c r="I1712" s="25" t="s">
        <v>3586</v>
      </c>
      <c r="J1712" s="25" t="s">
        <v>3901</v>
      </c>
      <c r="K1712" s="25" t="s">
        <v>57</v>
      </c>
      <c r="L1712" s="25" t="s">
        <v>4463</v>
      </c>
      <c r="M1712" s="20" t="s">
        <v>61</v>
      </c>
      <c r="N1712" s="20" t="s">
        <v>3587</v>
      </c>
      <c r="O1712" s="20" t="s">
        <v>63</v>
      </c>
      <c r="P1712" s="20"/>
      <c r="Q1712" s="26"/>
      <c r="R1712" s="26"/>
      <c r="S1712" s="26"/>
      <c r="T1712" s="20"/>
      <c r="U1712" s="26"/>
      <c r="V1712" s="26"/>
      <c r="W1712" s="20"/>
      <c r="X1712" s="20"/>
      <c r="Y1712" s="20"/>
      <c r="Z1712" s="20"/>
      <c r="AA1712" s="20"/>
      <c r="AB1712" s="20"/>
      <c r="AC1712" s="20"/>
      <c r="AD1712" s="20"/>
      <c r="AE1712" s="20"/>
    </row>
    <row r="1713">
      <c r="A1713" s="21">
        <v>46.0</v>
      </c>
      <c r="B1713" s="20" t="s">
        <v>3646</v>
      </c>
      <c r="C1713" s="20" t="s">
        <v>3920</v>
      </c>
      <c r="I1713" s="25" t="s">
        <v>3756</v>
      </c>
      <c r="J1713" s="25" t="s">
        <v>3901</v>
      </c>
      <c r="K1713" s="25" t="s">
        <v>71</v>
      </c>
      <c r="L1713" s="25" t="s">
        <v>292</v>
      </c>
      <c r="M1713" s="20" t="s">
        <v>61</v>
      </c>
      <c r="N1713" s="20" t="s">
        <v>3757</v>
      </c>
      <c r="O1713" s="20" t="s">
        <v>63</v>
      </c>
      <c r="P1713" s="20" t="s">
        <v>52</v>
      </c>
      <c r="Q1713" s="26"/>
      <c r="R1713" s="26"/>
      <c r="S1713" s="26"/>
      <c r="T1713" s="22"/>
      <c r="U1713" s="26"/>
      <c r="V1713" s="26"/>
      <c r="W1713" s="20"/>
      <c r="X1713" s="20"/>
      <c r="Y1713" s="20"/>
      <c r="Z1713" s="20"/>
      <c r="AA1713" s="20"/>
      <c r="AB1713" s="20"/>
      <c r="AC1713" s="20"/>
      <c r="AD1713" s="20"/>
      <c r="AE1713" s="20"/>
    </row>
    <row r="1714">
      <c r="A1714" s="21">
        <v>46.0</v>
      </c>
      <c r="B1714" s="20" t="s">
        <v>3646</v>
      </c>
      <c r="C1714" s="20" t="s">
        <v>3920</v>
      </c>
      <c r="I1714" s="25" t="s">
        <v>3768</v>
      </c>
      <c r="J1714" s="25" t="s">
        <v>3901</v>
      </c>
      <c r="K1714" s="25" t="s">
        <v>71</v>
      </c>
      <c r="L1714" s="25" t="s">
        <v>292</v>
      </c>
      <c r="M1714" s="20" t="s">
        <v>61</v>
      </c>
      <c r="N1714" s="20" t="s">
        <v>3832</v>
      </c>
      <c r="O1714" s="20" t="s">
        <v>63</v>
      </c>
      <c r="P1714" s="20" t="s">
        <v>52</v>
      </c>
      <c r="Q1714" s="26"/>
      <c r="R1714" s="26"/>
      <c r="S1714" s="26"/>
      <c r="T1714" s="22"/>
      <c r="U1714" s="26"/>
      <c r="V1714" s="26"/>
      <c r="W1714" s="20"/>
      <c r="X1714" s="20"/>
      <c r="Y1714" s="20"/>
      <c r="Z1714" s="20"/>
      <c r="AA1714" s="20"/>
      <c r="AB1714" s="20"/>
      <c r="AC1714" s="20"/>
      <c r="AD1714" s="20"/>
      <c r="AE1714" s="20"/>
    </row>
    <row r="1715">
      <c r="A1715" s="21">
        <v>46.0</v>
      </c>
      <c r="B1715" s="20" t="s">
        <v>3646</v>
      </c>
      <c r="C1715" s="20" t="s">
        <v>3920</v>
      </c>
      <c r="I1715" s="25" t="s">
        <v>3565</v>
      </c>
      <c r="J1715" s="25" t="s">
        <v>3901</v>
      </c>
      <c r="K1715" s="25" t="s">
        <v>71</v>
      </c>
      <c r="L1715" s="25" t="s">
        <v>292</v>
      </c>
      <c r="M1715" s="20" t="s">
        <v>61</v>
      </c>
      <c r="N1715" s="20" t="s">
        <v>3741</v>
      </c>
      <c r="O1715" s="20" t="s">
        <v>63</v>
      </c>
      <c r="P1715" s="20" t="s">
        <v>52</v>
      </c>
      <c r="Q1715" s="26"/>
      <c r="R1715" s="26"/>
      <c r="S1715" s="26"/>
      <c r="T1715" s="22"/>
      <c r="U1715" s="26"/>
      <c r="V1715" s="26"/>
      <c r="W1715" s="20"/>
      <c r="X1715" s="20"/>
      <c r="Y1715" s="20"/>
      <c r="Z1715" s="20"/>
      <c r="AA1715" s="20"/>
      <c r="AB1715" s="20"/>
      <c r="AC1715" s="20"/>
      <c r="AD1715" s="20"/>
      <c r="AE1715" s="20"/>
    </row>
    <row r="1716">
      <c r="A1716" s="21">
        <v>46.0</v>
      </c>
      <c r="B1716" s="20" t="s">
        <v>3646</v>
      </c>
      <c r="C1716" s="20" t="s">
        <v>3920</v>
      </c>
      <c r="I1716" s="25" t="s">
        <v>1972</v>
      </c>
      <c r="J1716" s="25" t="s">
        <v>3901</v>
      </c>
      <c r="K1716" s="25" t="s">
        <v>71</v>
      </c>
      <c r="L1716" s="25" t="s">
        <v>292</v>
      </c>
      <c r="M1716" s="20" t="s">
        <v>3039</v>
      </c>
      <c r="N1716" s="20" t="s">
        <v>3745</v>
      </c>
      <c r="O1716" s="20" t="s">
        <v>63</v>
      </c>
      <c r="P1716" s="20" t="s">
        <v>52</v>
      </c>
      <c r="Q1716" s="26"/>
      <c r="R1716" s="26"/>
      <c r="S1716" s="26"/>
      <c r="T1716" s="22"/>
      <c r="U1716" s="26"/>
      <c r="V1716" s="26"/>
      <c r="W1716" s="20"/>
      <c r="X1716" s="20"/>
      <c r="Y1716" s="20"/>
      <c r="Z1716" s="20"/>
      <c r="AA1716" s="20"/>
      <c r="AB1716" s="20"/>
      <c r="AC1716" s="20"/>
      <c r="AD1716" s="20"/>
      <c r="AE1716" s="20"/>
    </row>
    <row r="1717">
      <c r="A1717" s="21">
        <v>46.0</v>
      </c>
      <c r="B1717" s="20" t="s">
        <v>3646</v>
      </c>
      <c r="C1717" s="20" t="s">
        <v>3920</v>
      </c>
      <c r="I1717" s="25" t="s">
        <v>2949</v>
      </c>
      <c r="J1717" s="25" t="s">
        <v>3901</v>
      </c>
      <c r="K1717" s="25" t="s">
        <v>71</v>
      </c>
      <c r="L1717" s="25" t="s">
        <v>292</v>
      </c>
      <c r="M1717" s="20" t="s">
        <v>61</v>
      </c>
      <c r="N1717" s="20" t="s">
        <v>3904</v>
      </c>
      <c r="O1717" s="20" t="s">
        <v>63</v>
      </c>
      <c r="P1717" s="20" t="s">
        <v>52</v>
      </c>
      <c r="Q1717" s="26"/>
      <c r="R1717" s="26"/>
      <c r="S1717" s="26"/>
      <c r="T1717" s="22"/>
      <c r="U1717" s="26"/>
      <c r="V1717" s="26"/>
      <c r="W1717" s="20"/>
      <c r="X1717" s="20"/>
      <c r="Y1717" s="20"/>
      <c r="Z1717" s="20"/>
      <c r="AA1717" s="20"/>
      <c r="AB1717" s="20"/>
      <c r="AC1717" s="20"/>
      <c r="AD1717" s="20"/>
      <c r="AE1717" s="20"/>
    </row>
    <row r="1718">
      <c r="A1718" s="21">
        <v>46.0</v>
      </c>
      <c r="B1718" s="20" t="s">
        <v>3646</v>
      </c>
      <c r="C1718" s="20" t="s">
        <v>3920</v>
      </c>
      <c r="I1718" s="25" t="s">
        <v>3746</v>
      </c>
      <c r="J1718" s="25" t="s">
        <v>3901</v>
      </c>
      <c r="K1718" s="25" t="s">
        <v>71</v>
      </c>
      <c r="L1718" s="25" t="s">
        <v>292</v>
      </c>
      <c r="M1718" s="20" t="s">
        <v>61</v>
      </c>
      <c r="N1718" s="20" t="s">
        <v>3747</v>
      </c>
      <c r="O1718" s="20" t="s">
        <v>63</v>
      </c>
      <c r="P1718" s="20" t="s">
        <v>52</v>
      </c>
      <c r="Q1718" s="26"/>
      <c r="R1718" s="26"/>
      <c r="S1718" s="26"/>
      <c r="T1718" s="22"/>
      <c r="U1718" s="26"/>
      <c r="V1718" s="26"/>
      <c r="W1718" s="20"/>
      <c r="X1718" s="20"/>
      <c r="Y1718" s="20"/>
      <c r="Z1718" s="20"/>
      <c r="AA1718" s="20"/>
      <c r="AB1718" s="20"/>
      <c r="AC1718" s="20"/>
      <c r="AD1718" s="20"/>
      <c r="AE1718" s="20"/>
    </row>
    <row r="1719">
      <c r="A1719" s="21">
        <v>46.0</v>
      </c>
      <c r="B1719" s="20" t="s">
        <v>3646</v>
      </c>
      <c r="C1719" s="20" t="s">
        <v>3920</v>
      </c>
      <c r="I1719" s="25" t="s">
        <v>1969</v>
      </c>
      <c r="J1719" s="25" t="s">
        <v>3901</v>
      </c>
      <c r="K1719" s="25" t="s">
        <v>71</v>
      </c>
      <c r="L1719" s="25" t="s">
        <v>292</v>
      </c>
      <c r="M1719" s="20" t="s">
        <v>1970</v>
      </c>
      <c r="N1719" s="20" t="s">
        <v>3906</v>
      </c>
      <c r="O1719" s="20" t="s">
        <v>63</v>
      </c>
      <c r="P1719" s="20" t="s">
        <v>52</v>
      </c>
      <c r="Q1719" s="26"/>
      <c r="R1719" s="26"/>
      <c r="S1719" s="26"/>
      <c r="T1719" s="22"/>
      <c r="U1719" s="26"/>
      <c r="V1719" s="26"/>
      <c r="W1719" s="20"/>
      <c r="X1719" s="20"/>
      <c r="Y1719" s="20"/>
      <c r="Z1719" s="20"/>
      <c r="AA1719" s="20"/>
      <c r="AB1719" s="20"/>
      <c r="AC1719" s="20"/>
      <c r="AD1719" s="20"/>
      <c r="AE1719" s="20"/>
    </row>
    <row r="1720">
      <c r="A1720" s="21">
        <v>46.0</v>
      </c>
      <c r="B1720" s="20" t="s">
        <v>3646</v>
      </c>
      <c r="C1720" s="20" t="s">
        <v>3920</v>
      </c>
      <c r="I1720" s="25" t="s">
        <v>1258</v>
      </c>
      <c r="J1720" s="25" t="s">
        <v>3901</v>
      </c>
      <c r="K1720" s="25" t="s">
        <v>71</v>
      </c>
      <c r="L1720" s="25" t="s">
        <v>292</v>
      </c>
      <c r="M1720" s="20" t="s">
        <v>1259</v>
      </c>
      <c r="N1720" s="20" t="s">
        <v>1260</v>
      </c>
      <c r="O1720" s="20" t="s">
        <v>63</v>
      </c>
      <c r="P1720" s="20" t="s">
        <v>52</v>
      </c>
      <c r="Q1720" s="26"/>
      <c r="R1720" s="26"/>
      <c r="S1720" s="26"/>
      <c r="T1720" s="22"/>
      <c r="U1720" s="26"/>
      <c r="V1720" s="26"/>
      <c r="W1720" s="20"/>
      <c r="X1720" s="20"/>
      <c r="Y1720" s="20"/>
      <c r="Z1720" s="20"/>
      <c r="AA1720" s="20"/>
      <c r="AB1720" s="20"/>
      <c r="AC1720" s="20"/>
      <c r="AD1720" s="20"/>
      <c r="AE1720" s="20"/>
    </row>
    <row r="1721">
      <c r="A1721" s="21">
        <v>46.0</v>
      </c>
      <c r="B1721" s="20" t="s">
        <v>3646</v>
      </c>
      <c r="C1721" s="20" t="s">
        <v>3920</v>
      </c>
      <c r="I1721" s="25" t="s">
        <v>1265</v>
      </c>
      <c r="J1721" s="25" t="s">
        <v>3901</v>
      </c>
      <c r="K1721" s="25" t="s">
        <v>71</v>
      </c>
      <c r="L1721" s="25" t="s">
        <v>292</v>
      </c>
      <c r="M1721" s="20" t="s">
        <v>1266</v>
      </c>
      <c r="N1721" s="20" t="s">
        <v>1267</v>
      </c>
      <c r="O1721" s="20" t="s">
        <v>63</v>
      </c>
      <c r="P1721" s="20" t="s">
        <v>52</v>
      </c>
      <c r="Q1721" s="26"/>
      <c r="R1721" s="26"/>
      <c r="S1721" s="26"/>
      <c r="T1721" s="22"/>
      <c r="U1721" s="26"/>
      <c r="V1721" s="26"/>
      <c r="W1721" s="20"/>
      <c r="X1721" s="20"/>
      <c r="Y1721" s="20"/>
      <c r="Z1721" s="20"/>
      <c r="AA1721" s="20"/>
      <c r="AB1721" s="20"/>
      <c r="AC1721" s="20"/>
      <c r="AD1721" s="20"/>
      <c r="AE1721" s="20"/>
    </row>
    <row r="1722">
      <c r="A1722" s="21">
        <v>46.0</v>
      </c>
      <c r="B1722" s="20" t="s">
        <v>3646</v>
      </c>
      <c r="C1722" s="20" t="s">
        <v>3920</v>
      </c>
      <c r="I1722" s="25" t="s">
        <v>3830</v>
      </c>
      <c r="J1722" s="25" t="s">
        <v>3901</v>
      </c>
      <c r="K1722" s="25" t="s">
        <v>71</v>
      </c>
      <c r="L1722" s="25" t="s">
        <v>292</v>
      </c>
      <c r="M1722" s="20" t="s">
        <v>61</v>
      </c>
      <c r="N1722" s="20" t="s">
        <v>3831</v>
      </c>
      <c r="O1722" s="20" t="s">
        <v>63</v>
      </c>
      <c r="P1722" s="20" t="s">
        <v>52</v>
      </c>
      <c r="Q1722" s="26"/>
      <c r="R1722" s="26"/>
      <c r="S1722" s="26"/>
      <c r="T1722" s="22"/>
      <c r="U1722" s="26"/>
      <c r="V1722" s="26"/>
      <c r="W1722" s="20"/>
      <c r="X1722" s="20"/>
      <c r="Y1722" s="20"/>
      <c r="Z1722" s="20"/>
      <c r="AA1722" s="20"/>
      <c r="AB1722" s="20"/>
      <c r="AC1722" s="20"/>
      <c r="AD1722" s="20"/>
      <c r="AE1722" s="20"/>
    </row>
    <row r="1723">
      <c r="A1723" s="21">
        <v>46.0</v>
      </c>
      <c r="B1723" s="20" t="s">
        <v>3646</v>
      </c>
      <c r="C1723" s="20" t="s">
        <v>3920</v>
      </c>
      <c r="I1723" s="25" t="s">
        <v>3596</v>
      </c>
      <c r="J1723" s="25" t="s">
        <v>3901</v>
      </c>
      <c r="K1723" s="25" t="s">
        <v>71</v>
      </c>
      <c r="L1723" s="25" t="s">
        <v>4047</v>
      </c>
      <c r="M1723" s="20" t="s">
        <v>3750</v>
      </c>
      <c r="N1723" s="20" t="s">
        <v>3752</v>
      </c>
      <c r="O1723" s="20" t="s">
        <v>63</v>
      </c>
      <c r="P1723" s="20"/>
      <c r="Q1723" s="26"/>
      <c r="R1723" s="26"/>
      <c r="S1723" s="26"/>
      <c r="T1723" s="20"/>
      <c r="U1723" s="26"/>
      <c r="V1723" s="26"/>
      <c r="W1723" s="20"/>
      <c r="X1723" s="20"/>
      <c r="Y1723" s="20"/>
      <c r="Z1723" s="20"/>
      <c r="AA1723" s="20"/>
      <c r="AB1723" s="20"/>
      <c r="AC1723" s="20"/>
      <c r="AD1723" s="20"/>
      <c r="AE1723" s="20"/>
    </row>
    <row r="1724">
      <c r="A1724" s="21">
        <v>46.0</v>
      </c>
      <c r="B1724" s="20" t="s">
        <v>3646</v>
      </c>
      <c r="C1724" s="20" t="s">
        <v>3920</v>
      </c>
      <c r="I1724" s="25" t="s">
        <v>3594</v>
      </c>
      <c r="J1724" s="25" t="s">
        <v>3901</v>
      </c>
      <c r="K1724" s="25" t="s">
        <v>71</v>
      </c>
      <c r="L1724" s="25" t="s">
        <v>4486</v>
      </c>
      <c r="M1724" s="20" t="s">
        <v>3660</v>
      </c>
      <c r="N1724" s="20" t="s">
        <v>3661</v>
      </c>
      <c r="O1724" s="20" t="s">
        <v>63</v>
      </c>
      <c r="P1724" s="20"/>
      <c r="Q1724" s="26"/>
      <c r="R1724" s="26"/>
      <c r="S1724" s="26"/>
      <c r="T1724" s="20"/>
      <c r="U1724" s="26"/>
      <c r="V1724" s="26"/>
      <c r="W1724" s="20"/>
      <c r="X1724" s="20"/>
      <c r="Y1724" s="20"/>
      <c r="Z1724" s="20"/>
      <c r="AA1724" s="20"/>
      <c r="AB1724" s="20"/>
      <c r="AC1724" s="20"/>
      <c r="AD1724" s="20"/>
      <c r="AE1724" s="20"/>
    </row>
    <row r="1725">
      <c r="A1725" s="21">
        <v>46.0</v>
      </c>
      <c r="B1725" s="20" t="s">
        <v>3646</v>
      </c>
      <c r="C1725" s="20" t="s">
        <v>3920</v>
      </c>
      <c r="I1725" s="25" t="s">
        <v>2957</v>
      </c>
      <c r="J1725" s="25" t="s">
        <v>3901</v>
      </c>
      <c r="K1725" s="25" t="s">
        <v>71</v>
      </c>
      <c r="L1725" s="25" t="s">
        <v>4071</v>
      </c>
      <c r="M1725" s="20" t="s">
        <v>61</v>
      </c>
      <c r="N1725" s="20" t="s">
        <v>3652</v>
      </c>
      <c r="O1725" s="20" t="s">
        <v>63</v>
      </c>
      <c r="P1725" s="20" t="s">
        <v>52</v>
      </c>
      <c r="Q1725" s="26"/>
      <c r="R1725" s="26"/>
      <c r="S1725" s="26"/>
      <c r="T1725" s="20"/>
      <c r="U1725" s="26"/>
      <c r="V1725" s="26"/>
      <c r="W1725" s="20"/>
      <c r="X1725" s="20"/>
      <c r="Y1725" s="20"/>
      <c r="Z1725" s="20"/>
      <c r="AA1725" s="20"/>
      <c r="AB1725" s="20"/>
      <c r="AC1725" s="20"/>
      <c r="AD1725" s="20"/>
      <c r="AE1725" s="20"/>
    </row>
    <row r="1726">
      <c r="A1726" s="21">
        <v>46.0</v>
      </c>
      <c r="B1726" s="20" t="s">
        <v>3646</v>
      </c>
      <c r="C1726" s="20" t="s">
        <v>3920</v>
      </c>
      <c r="I1726" s="25" t="s">
        <v>3554</v>
      </c>
      <c r="J1726" s="25" t="s">
        <v>3901</v>
      </c>
      <c r="K1726" s="25" t="s">
        <v>71</v>
      </c>
      <c r="L1726" s="25" t="s">
        <v>4071</v>
      </c>
      <c r="M1726" s="20" t="s">
        <v>3654</v>
      </c>
      <c r="N1726" s="20" t="s">
        <v>3655</v>
      </c>
      <c r="O1726" s="20" t="s">
        <v>63</v>
      </c>
      <c r="P1726" s="20" t="s">
        <v>52</v>
      </c>
      <c r="Q1726" s="26"/>
      <c r="R1726" s="26"/>
      <c r="S1726" s="26"/>
      <c r="T1726" s="20"/>
      <c r="U1726" s="26"/>
      <c r="V1726" s="26"/>
      <c r="W1726" s="20"/>
      <c r="X1726" s="20"/>
      <c r="Y1726" s="20"/>
      <c r="Z1726" s="20"/>
      <c r="AA1726" s="20"/>
      <c r="AB1726" s="20"/>
      <c r="AC1726" s="20"/>
      <c r="AD1726" s="20"/>
      <c r="AE1726" s="20"/>
    </row>
    <row r="1727">
      <c r="A1727" s="21">
        <v>46.0</v>
      </c>
      <c r="B1727" s="20" t="s">
        <v>3646</v>
      </c>
      <c r="C1727" s="20" t="s">
        <v>3920</v>
      </c>
      <c r="I1727" s="25" t="s">
        <v>3590</v>
      </c>
      <c r="J1727" s="25" t="s">
        <v>3901</v>
      </c>
      <c r="K1727" s="25" t="s">
        <v>418</v>
      </c>
      <c r="L1727" s="25" t="s">
        <v>537</v>
      </c>
      <c r="M1727" s="20" t="s">
        <v>415</v>
      </c>
      <c r="N1727" s="20" t="s">
        <v>415</v>
      </c>
      <c r="O1727" s="20" t="s">
        <v>416</v>
      </c>
      <c r="P1727" s="20" t="s">
        <v>52</v>
      </c>
      <c r="Q1727" s="26"/>
      <c r="R1727" s="26"/>
      <c r="S1727" s="26"/>
      <c r="T1727" s="20"/>
      <c r="U1727" s="26"/>
      <c r="V1727" s="26"/>
      <c r="W1727" s="20"/>
      <c r="X1727" s="20"/>
      <c r="Y1727" s="20"/>
      <c r="Z1727" s="20"/>
      <c r="AA1727" s="20"/>
      <c r="AB1727" s="20"/>
      <c r="AC1727" s="20"/>
      <c r="AD1727" s="20"/>
      <c r="AE1727" s="20"/>
    </row>
    <row r="1728">
      <c r="A1728" s="21">
        <v>46.0</v>
      </c>
      <c r="B1728" s="20" t="s">
        <v>3646</v>
      </c>
      <c r="C1728" s="20" t="s">
        <v>3920</v>
      </c>
      <c r="I1728" s="25" t="s">
        <v>3610</v>
      </c>
      <c r="J1728" s="25" t="s">
        <v>3901</v>
      </c>
      <c r="K1728" s="25" t="s">
        <v>418</v>
      </c>
      <c r="L1728" s="25" t="s">
        <v>537</v>
      </c>
      <c r="M1728" s="20" t="s">
        <v>415</v>
      </c>
      <c r="N1728" s="20" t="s">
        <v>415</v>
      </c>
      <c r="O1728" s="20" t="s">
        <v>416</v>
      </c>
      <c r="P1728" s="20" t="s">
        <v>52</v>
      </c>
      <c r="Q1728" s="26"/>
      <c r="R1728" s="26"/>
      <c r="S1728" s="26"/>
      <c r="T1728" s="20"/>
      <c r="U1728" s="26"/>
      <c r="V1728" s="26"/>
      <c r="W1728" s="20"/>
      <c r="X1728" s="20"/>
      <c r="Y1728" s="20"/>
      <c r="Z1728" s="20"/>
      <c r="AA1728" s="20"/>
      <c r="AB1728" s="20"/>
      <c r="AC1728" s="20"/>
      <c r="AD1728" s="20"/>
      <c r="AE1728" s="20"/>
    </row>
    <row r="1729">
      <c r="A1729" s="21">
        <v>46.0</v>
      </c>
      <c r="B1729" s="20" t="s">
        <v>3646</v>
      </c>
      <c r="C1729" s="20" t="s">
        <v>3920</v>
      </c>
      <c r="I1729" s="25" t="s">
        <v>3580</v>
      </c>
      <c r="J1729" s="25" t="s">
        <v>3901</v>
      </c>
      <c r="K1729" s="25" t="s">
        <v>418</v>
      </c>
      <c r="L1729" s="25" t="s">
        <v>537</v>
      </c>
      <c r="M1729" s="20" t="s">
        <v>415</v>
      </c>
      <c r="N1729" s="20" t="s">
        <v>415</v>
      </c>
      <c r="O1729" s="20" t="s">
        <v>416</v>
      </c>
      <c r="P1729" s="20" t="s">
        <v>52</v>
      </c>
      <c r="Q1729" s="26"/>
      <c r="R1729" s="26"/>
      <c r="S1729" s="26"/>
      <c r="T1729" s="20"/>
      <c r="U1729" s="26"/>
      <c r="V1729" s="26"/>
      <c r="W1729" s="20"/>
      <c r="X1729" s="20"/>
      <c r="Y1729" s="20"/>
      <c r="Z1729" s="20"/>
      <c r="AA1729" s="20"/>
      <c r="AB1729" s="20"/>
      <c r="AC1729" s="20"/>
      <c r="AD1729" s="20"/>
      <c r="AE1729" s="20"/>
    </row>
    <row r="1730">
      <c r="A1730" s="21">
        <v>46.0</v>
      </c>
      <c r="B1730" s="20" t="s">
        <v>3646</v>
      </c>
      <c r="C1730" s="20" t="s">
        <v>3920</v>
      </c>
      <c r="I1730" s="25" t="s">
        <v>2727</v>
      </c>
      <c r="J1730" s="25" t="s">
        <v>3901</v>
      </c>
      <c r="K1730" s="25" t="s">
        <v>418</v>
      </c>
      <c r="L1730" s="25" t="s">
        <v>537</v>
      </c>
      <c r="M1730" s="20" t="s">
        <v>415</v>
      </c>
      <c r="N1730" s="20" t="s">
        <v>415</v>
      </c>
      <c r="O1730" s="20" t="s">
        <v>416</v>
      </c>
      <c r="P1730" s="20" t="s">
        <v>52</v>
      </c>
      <c r="Q1730" s="26"/>
      <c r="R1730" s="26"/>
      <c r="S1730" s="26"/>
      <c r="T1730" s="20"/>
      <c r="U1730" s="26"/>
      <c r="V1730" s="26"/>
      <c r="W1730" s="20"/>
      <c r="X1730" s="20"/>
      <c r="Y1730" s="20"/>
      <c r="Z1730" s="20"/>
      <c r="AA1730" s="20"/>
      <c r="AB1730" s="20"/>
      <c r="AC1730" s="20"/>
      <c r="AD1730" s="20"/>
      <c r="AE1730" s="20"/>
    </row>
    <row r="1731">
      <c r="A1731" s="21">
        <v>46.0</v>
      </c>
      <c r="B1731" s="20" t="s">
        <v>3646</v>
      </c>
      <c r="C1731" s="20" t="s">
        <v>3920</v>
      </c>
      <c r="I1731" s="25" t="s">
        <v>3676</v>
      </c>
      <c r="J1731" s="25" t="s">
        <v>3901</v>
      </c>
      <c r="K1731" s="25" t="s">
        <v>418</v>
      </c>
      <c r="L1731" s="25" t="s">
        <v>537</v>
      </c>
      <c r="M1731" s="20" t="s">
        <v>415</v>
      </c>
      <c r="N1731" s="20" t="s">
        <v>415</v>
      </c>
      <c r="O1731" s="20" t="s">
        <v>416</v>
      </c>
      <c r="P1731" s="20" t="s">
        <v>52</v>
      </c>
      <c r="Q1731" s="26"/>
      <c r="R1731" s="26"/>
      <c r="S1731" s="26"/>
      <c r="T1731" s="20"/>
      <c r="U1731" s="26"/>
      <c r="V1731" s="26"/>
      <c r="W1731" s="20"/>
      <c r="X1731" s="20"/>
      <c r="Y1731" s="20"/>
      <c r="Z1731" s="20"/>
      <c r="AA1731" s="20"/>
      <c r="AB1731" s="20"/>
      <c r="AC1731" s="20"/>
      <c r="AD1731" s="20"/>
      <c r="AE1731" s="20"/>
    </row>
    <row r="1732">
      <c r="A1732" s="21">
        <v>46.0</v>
      </c>
      <c r="B1732" s="20" t="s">
        <v>3646</v>
      </c>
      <c r="C1732" s="20" t="s">
        <v>3920</v>
      </c>
      <c r="I1732" s="25" t="s">
        <v>919</v>
      </c>
      <c r="J1732" s="25" t="s">
        <v>3901</v>
      </c>
      <c r="K1732" s="25" t="s">
        <v>71</v>
      </c>
      <c r="L1732" s="25" t="s">
        <v>4087</v>
      </c>
      <c r="M1732" s="20" t="s">
        <v>3584</v>
      </c>
      <c r="N1732" s="20" t="s">
        <v>3585</v>
      </c>
      <c r="O1732" s="20" t="s">
        <v>63</v>
      </c>
      <c r="P1732" s="20" t="s">
        <v>52</v>
      </c>
      <c r="Q1732" s="26"/>
      <c r="R1732" s="26"/>
      <c r="S1732" s="26"/>
      <c r="T1732" s="20"/>
      <c r="U1732" s="26"/>
      <c r="V1732" s="26"/>
      <c r="W1732" s="20"/>
      <c r="X1732" s="20"/>
      <c r="Y1732" s="20"/>
      <c r="Z1732" s="20"/>
      <c r="AA1732" s="20"/>
      <c r="AB1732" s="20"/>
      <c r="AC1732" s="20"/>
      <c r="AD1732" s="20"/>
      <c r="AE1732" s="20"/>
    </row>
    <row r="1733">
      <c r="A1733" s="21">
        <v>46.0</v>
      </c>
      <c r="B1733" s="20" t="s">
        <v>3646</v>
      </c>
      <c r="C1733" s="20" t="s">
        <v>3920</v>
      </c>
      <c r="I1733" s="25" t="s">
        <v>3558</v>
      </c>
      <c r="J1733" s="25" t="s">
        <v>3901</v>
      </c>
      <c r="K1733" s="25" t="s">
        <v>71</v>
      </c>
      <c r="L1733" s="25" t="s">
        <v>4087</v>
      </c>
      <c r="M1733" s="20" t="s">
        <v>61</v>
      </c>
      <c r="N1733" s="20" t="s">
        <v>3559</v>
      </c>
      <c r="O1733" s="20" t="s">
        <v>63</v>
      </c>
      <c r="P1733" s="20" t="s">
        <v>52</v>
      </c>
      <c r="Q1733" s="26"/>
      <c r="R1733" s="26"/>
      <c r="S1733" s="26"/>
      <c r="T1733" s="20"/>
      <c r="U1733" s="26"/>
      <c r="V1733" s="26"/>
      <c r="W1733" s="20"/>
      <c r="X1733" s="20"/>
      <c r="Y1733" s="20"/>
      <c r="Z1733" s="20"/>
      <c r="AA1733" s="20"/>
      <c r="AB1733" s="20"/>
      <c r="AC1733" s="20"/>
      <c r="AD1733" s="20"/>
      <c r="AE1733" s="20"/>
    </row>
    <row r="1734">
      <c r="A1734" s="21">
        <v>46.0</v>
      </c>
      <c r="B1734" s="20" t="s">
        <v>3646</v>
      </c>
      <c r="C1734" s="20" t="s">
        <v>3920</v>
      </c>
      <c r="I1734" s="25" t="s">
        <v>2947</v>
      </c>
      <c r="J1734" s="25" t="s">
        <v>3901</v>
      </c>
      <c r="K1734" s="25" t="s">
        <v>418</v>
      </c>
      <c r="L1734" s="25" t="s">
        <v>537</v>
      </c>
      <c r="M1734" s="20" t="s">
        <v>415</v>
      </c>
      <c r="N1734" s="20" t="s">
        <v>415</v>
      </c>
      <c r="O1734" s="20" t="s">
        <v>416</v>
      </c>
      <c r="P1734" s="20" t="s">
        <v>52</v>
      </c>
      <c r="Q1734" s="26"/>
      <c r="R1734" s="26"/>
      <c r="S1734" s="26"/>
      <c r="T1734" s="20"/>
      <c r="U1734" s="26"/>
      <c r="V1734" s="26"/>
      <c r="W1734" s="20"/>
      <c r="X1734" s="20"/>
      <c r="Y1734" s="20"/>
      <c r="Z1734" s="20"/>
      <c r="AA1734" s="20"/>
      <c r="AB1734" s="20"/>
      <c r="AC1734" s="20"/>
      <c r="AD1734" s="20"/>
      <c r="AE1734" s="20"/>
    </row>
    <row r="1735">
      <c r="A1735" s="21">
        <v>46.0</v>
      </c>
      <c r="B1735" s="20" t="s">
        <v>3646</v>
      </c>
      <c r="C1735" s="20" t="s">
        <v>3920</v>
      </c>
      <c r="I1735" s="25" t="s">
        <v>3618</v>
      </c>
      <c r="J1735" s="25" t="s">
        <v>3901</v>
      </c>
      <c r="K1735" s="25" t="s">
        <v>418</v>
      </c>
      <c r="L1735" s="25" t="s">
        <v>537</v>
      </c>
      <c r="M1735" s="20" t="s">
        <v>415</v>
      </c>
      <c r="N1735" s="20" t="s">
        <v>415</v>
      </c>
      <c r="O1735" s="20" t="s">
        <v>416</v>
      </c>
      <c r="P1735" s="20" t="s">
        <v>52</v>
      </c>
      <c r="Q1735" s="26"/>
      <c r="R1735" s="26"/>
      <c r="S1735" s="26"/>
      <c r="T1735" s="20"/>
      <c r="U1735" s="26"/>
      <c r="V1735" s="26"/>
      <c r="W1735" s="20"/>
      <c r="X1735" s="20"/>
      <c r="Y1735" s="20"/>
      <c r="Z1735" s="20"/>
      <c r="AA1735" s="20"/>
      <c r="AB1735" s="20"/>
      <c r="AC1735" s="20"/>
      <c r="AD1735" s="20"/>
      <c r="AE1735" s="20"/>
    </row>
    <row r="1736">
      <c r="A1736" s="21">
        <v>46.0</v>
      </c>
      <c r="B1736" s="20" t="s">
        <v>3646</v>
      </c>
      <c r="C1736" s="20" t="s">
        <v>3920</v>
      </c>
      <c r="I1736" s="25" t="s">
        <v>3620</v>
      </c>
      <c r="J1736" s="25" t="s">
        <v>3901</v>
      </c>
      <c r="K1736" s="25" t="s">
        <v>418</v>
      </c>
      <c r="L1736" s="25" t="s">
        <v>537</v>
      </c>
      <c r="M1736" s="20" t="s">
        <v>415</v>
      </c>
      <c r="N1736" s="20" t="s">
        <v>415</v>
      </c>
      <c r="O1736" s="20" t="s">
        <v>416</v>
      </c>
      <c r="P1736" s="20" t="s">
        <v>52</v>
      </c>
      <c r="Q1736" s="26"/>
      <c r="R1736" s="26"/>
      <c r="S1736" s="26"/>
      <c r="T1736" s="20"/>
      <c r="U1736" s="26"/>
      <c r="V1736" s="26"/>
      <c r="W1736" s="20"/>
      <c r="X1736" s="20"/>
      <c r="Y1736" s="20"/>
      <c r="Z1736" s="20"/>
      <c r="AA1736" s="20"/>
      <c r="AB1736" s="20"/>
      <c r="AC1736" s="20"/>
      <c r="AD1736" s="20"/>
      <c r="AE1736" s="20"/>
    </row>
    <row r="1737">
      <c r="A1737" s="21">
        <v>46.0</v>
      </c>
      <c r="B1737" s="20" t="s">
        <v>3646</v>
      </c>
      <c r="C1737" s="20" t="s">
        <v>3920</v>
      </c>
      <c r="I1737" s="25" t="s">
        <v>3592</v>
      </c>
      <c r="J1737" s="25" t="s">
        <v>3901</v>
      </c>
      <c r="K1737" s="25" t="s">
        <v>71</v>
      </c>
      <c r="L1737" s="25" t="s">
        <v>4001</v>
      </c>
      <c r="M1737" s="20" t="s">
        <v>61</v>
      </c>
      <c r="N1737" s="20" t="s">
        <v>3593</v>
      </c>
      <c r="O1737" s="20" t="s">
        <v>63</v>
      </c>
      <c r="P1737" s="20" t="s">
        <v>52</v>
      </c>
      <c r="Q1737" s="26"/>
      <c r="R1737" s="26"/>
      <c r="S1737" s="26"/>
      <c r="T1737" s="20"/>
      <c r="U1737" s="26"/>
      <c r="V1737" s="26"/>
      <c r="W1737" s="20"/>
      <c r="X1737" s="20"/>
      <c r="Y1737" s="20"/>
      <c r="Z1737" s="20"/>
      <c r="AA1737" s="20"/>
      <c r="AB1737" s="20"/>
      <c r="AC1737" s="20"/>
      <c r="AD1737" s="20"/>
      <c r="AE1737" s="20"/>
    </row>
    <row r="1738">
      <c r="A1738" s="21">
        <v>46.0</v>
      </c>
      <c r="B1738" s="20" t="s">
        <v>3646</v>
      </c>
      <c r="C1738" s="20" t="s">
        <v>3920</v>
      </c>
      <c r="I1738" s="25" t="s">
        <v>3568</v>
      </c>
      <c r="J1738" s="25" t="s">
        <v>3901</v>
      </c>
      <c r="K1738" s="25" t="s">
        <v>418</v>
      </c>
      <c r="L1738" s="25" t="s">
        <v>537</v>
      </c>
      <c r="M1738" s="20" t="s">
        <v>415</v>
      </c>
      <c r="N1738" s="20" t="s">
        <v>415</v>
      </c>
      <c r="O1738" s="20" t="s">
        <v>416</v>
      </c>
      <c r="P1738" s="20" t="s">
        <v>52</v>
      </c>
      <c r="Q1738" s="26"/>
      <c r="R1738" s="26"/>
      <c r="S1738" s="26"/>
      <c r="T1738" s="20"/>
      <c r="U1738" s="26"/>
      <c r="V1738" s="26"/>
      <c r="W1738" s="20"/>
      <c r="X1738" s="20"/>
      <c r="Y1738" s="20"/>
      <c r="Z1738" s="20"/>
      <c r="AA1738" s="20"/>
      <c r="AB1738" s="20"/>
      <c r="AC1738" s="20"/>
      <c r="AD1738" s="20"/>
      <c r="AE1738" s="20"/>
    </row>
    <row r="1739">
      <c r="A1739" s="21">
        <v>46.0</v>
      </c>
      <c r="B1739" s="20" t="s">
        <v>3646</v>
      </c>
      <c r="C1739" s="20" t="s">
        <v>3920</v>
      </c>
      <c r="I1739" s="25" t="s">
        <v>1338</v>
      </c>
      <c r="J1739" s="25" t="s">
        <v>3901</v>
      </c>
      <c r="K1739" s="25" t="s">
        <v>418</v>
      </c>
      <c r="L1739" s="25" t="s">
        <v>537</v>
      </c>
      <c r="M1739" s="20" t="s">
        <v>415</v>
      </c>
      <c r="N1739" s="20" t="s">
        <v>415</v>
      </c>
      <c r="O1739" s="20" t="s">
        <v>416</v>
      </c>
      <c r="P1739" s="20" t="s">
        <v>52</v>
      </c>
      <c r="Q1739" s="26"/>
      <c r="R1739" s="26"/>
      <c r="S1739" s="26"/>
      <c r="T1739" s="20"/>
      <c r="U1739" s="26"/>
      <c r="V1739" s="26"/>
      <c r="W1739" s="20"/>
      <c r="X1739" s="20"/>
      <c r="Y1739" s="20"/>
      <c r="Z1739" s="20"/>
      <c r="AA1739" s="20"/>
      <c r="AB1739" s="20"/>
      <c r="AC1739" s="20"/>
      <c r="AD1739" s="20"/>
      <c r="AE1739" s="20"/>
    </row>
    <row r="1740">
      <c r="A1740" s="21">
        <v>46.0</v>
      </c>
      <c r="B1740" s="20" t="s">
        <v>3646</v>
      </c>
      <c r="C1740" s="20" t="s">
        <v>3920</v>
      </c>
      <c r="I1740" s="25" t="s">
        <v>1803</v>
      </c>
      <c r="J1740" s="25" t="s">
        <v>3901</v>
      </c>
      <c r="K1740" s="25" t="s">
        <v>418</v>
      </c>
      <c r="L1740" s="25" t="s">
        <v>537</v>
      </c>
      <c r="M1740" s="20" t="s">
        <v>415</v>
      </c>
      <c r="N1740" s="20" t="s">
        <v>415</v>
      </c>
      <c r="O1740" s="20" t="s">
        <v>416</v>
      </c>
      <c r="P1740" s="20" t="s">
        <v>52</v>
      </c>
      <c r="Q1740" s="26"/>
      <c r="R1740" s="26"/>
      <c r="S1740" s="26"/>
      <c r="T1740" s="20"/>
      <c r="U1740" s="26"/>
      <c r="V1740" s="26"/>
      <c r="W1740" s="20"/>
      <c r="X1740" s="20"/>
      <c r="Y1740" s="20"/>
      <c r="Z1740" s="20"/>
      <c r="AA1740" s="20"/>
      <c r="AB1740" s="20"/>
      <c r="AC1740" s="20"/>
      <c r="AD1740" s="20"/>
      <c r="AE1740" s="20"/>
    </row>
    <row r="1741">
      <c r="A1741" s="21">
        <v>46.0</v>
      </c>
      <c r="B1741" s="20" t="s">
        <v>3646</v>
      </c>
      <c r="C1741" s="20" t="s">
        <v>3920</v>
      </c>
      <c r="I1741" s="25" t="s">
        <v>1724</v>
      </c>
      <c r="J1741" s="25" t="s">
        <v>3901</v>
      </c>
      <c r="K1741" s="25" t="s">
        <v>418</v>
      </c>
      <c r="L1741" s="25" t="s">
        <v>537</v>
      </c>
      <c r="M1741" s="20" t="s">
        <v>415</v>
      </c>
      <c r="N1741" s="20" t="s">
        <v>415</v>
      </c>
      <c r="O1741" s="20" t="s">
        <v>416</v>
      </c>
      <c r="P1741" s="20" t="s">
        <v>52</v>
      </c>
      <c r="Q1741" s="26"/>
      <c r="R1741" s="26"/>
      <c r="S1741" s="26"/>
      <c r="T1741" s="20"/>
      <c r="U1741" s="26"/>
      <c r="V1741" s="26"/>
      <c r="W1741" s="20"/>
      <c r="X1741" s="20"/>
      <c r="Y1741" s="20"/>
      <c r="Z1741" s="20"/>
      <c r="AA1741" s="20"/>
      <c r="AB1741" s="20"/>
      <c r="AC1741" s="20"/>
      <c r="AD1741" s="20"/>
      <c r="AE1741" s="20"/>
    </row>
    <row r="1742">
      <c r="A1742" s="21">
        <v>47.0</v>
      </c>
      <c r="B1742" s="20" t="s">
        <v>3580</v>
      </c>
      <c r="C1742" s="20" t="s">
        <v>3920</v>
      </c>
      <c r="D1742" s="35">
        <v>30.0</v>
      </c>
      <c r="E1742" s="35">
        <v>3.0</v>
      </c>
      <c r="F1742" s="35">
        <v>1.0</v>
      </c>
      <c r="G1742" s="35">
        <v>26.0</v>
      </c>
      <c r="H1742" s="36" t="s">
        <v>4521</v>
      </c>
      <c r="I1742" s="25" t="s">
        <v>3592</v>
      </c>
      <c r="J1742" s="25" t="s">
        <v>3912</v>
      </c>
      <c r="K1742" s="25" t="s">
        <v>57</v>
      </c>
      <c r="L1742" s="25" t="s">
        <v>4522</v>
      </c>
      <c r="M1742" s="20" t="s">
        <v>3913</v>
      </c>
      <c r="N1742" s="20" t="s">
        <v>3914</v>
      </c>
      <c r="O1742" s="20" t="s">
        <v>56</v>
      </c>
      <c r="P1742" s="20"/>
      <c r="Q1742" s="26"/>
      <c r="R1742" s="26"/>
      <c r="S1742" s="26"/>
      <c r="T1742" s="20"/>
      <c r="U1742" s="26"/>
      <c r="V1742" s="26"/>
      <c r="W1742" s="20"/>
      <c r="X1742" s="20"/>
      <c r="Y1742" s="20"/>
      <c r="Z1742" s="20"/>
      <c r="AA1742" s="20"/>
      <c r="AB1742" s="20"/>
      <c r="AC1742" s="20"/>
      <c r="AD1742" s="20"/>
      <c r="AE1742" s="20"/>
    </row>
    <row r="1743">
      <c r="A1743" s="21">
        <v>47.0</v>
      </c>
      <c r="B1743" s="20" t="s">
        <v>3580</v>
      </c>
      <c r="C1743" s="20" t="s">
        <v>3920</v>
      </c>
      <c r="I1743" s="25" t="s">
        <v>3768</v>
      </c>
      <c r="J1743" s="25" t="s">
        <v>3915</v>
      </c>
      <c r="K1743" s="25" t="s">
        <v>57</v>
      </c>
      <c r="L1743" s="25" t="s">
        <v>4525</v>
      </c>
      <c r="M1743" s="20" t="s">
        <v>61</v>
      </c>
      <c r="N1743" s="20" t="s">
        <v>3832</v>
      </c>
      <c r="O1743" s="20" t="s">
        <v>63</v>
      </c>
      <c r="P1743" s="20"/>
      <c r="Q1743" s="26"/>
      <c r="R1743" s="26"/>
      <c r="S1743" s="26"/>
      <c r="T1743" s="20"/>
      <c r="U1743" s="26"/>
      <c r="V1743" s="26"/>
      <c r="W1743" s="20"/>
      <c r="X1743" s="20"/>
      <c r="Y1743" s="20"/>
      <c r="Z1743" s="20"/>
      <c r="AA1743" s="20"/>
      <c r="AB1743" s="20"/>
      <c r="AC1743" s="20"/>
      <c r="AD1743" s="20"/>
      <c r="AE1743" s="20"/>
    </row>
    <row r="1744">
      <c r="A1744" s="21">
        <v>47.0</v>
      </c>
      <c r="B1744" s="20" t="s">
        <v>3580</v>
      </c>
      <c r="C1744" s="20" t="s">
        <v>3920</v>
      </c>
      <c r="I1744" s="25" t="s">
        <v>2816</v>
      </c>
      <c r="J1744" s="25" t="s">
        <v>3915</v>
      </c>
      <c r="K1744" s="25" t="s">
        <v>57</v>
      </c>
      <c r="L1744" s="25" t="s">
        <v>4529</v>
      </c>
      <c r="M1744" s="20" t="s">
        <v>3917</v>
      </c>
      <c r="N1744" s="20" t="s">
        <v>3918</v>
      </c>
      <c r="O1744" s="20" t="s">
        <v>63</v>
      </c>
      <c r="P1744" s="20"/>
      <c r="Q1744" s="26"/>
      <c r="R1744" s="26"/>
      <c r="S1744" s="26"/>
      <c r="T1744" s="20"/>
      <c r="U1744" s="26"/>
      <c r="V1744" s="26"/>
      <c r="W1744" s="20"/>
      <c r="X1744" s="20"/>
      <c r="Y1744" s="20"/>
      <c r="Z1744" s="20"/>
      <c r="AA1744" s="20"/>
      <c r="AB1744" s="20"/>
      <c r="AC1744" s="20"/>
      <c r="AD1744" s="20"/>
      <c r="AE1744" s="20"/>
    </row>
    <row r="1745">
      <c r="A1745" s="21">
        <v>47.0</v>
      </c>
      <c r="B1745" s="20" t="s">
        <v>3580</v>
      </c>
      <c r="C1745" s="20" t="s">
        <v>3920</v>
      </c>
      <c r="I1745" s="25" t="s">
        <v>2666</v>
      </c>
      <c r="J1745" s="25" t="s">
        <v>3912</v>
      </c>
      <c r="K1745" s="25" t="s">
        <v>67</v>
      </c>
      <c r="L1745" s="25" t="s">
        <v>4533</v>
      </c>
      <c r="M1745" s="20" t="s">
        <v>2667</v>
      </c>
      <c r="N1745" s="20" t="s">
        <v>3919</v>
      </c>
      <c r="O1745" s="20" t="s">
        <v>63</v>
      </c>
      <c r="P1745" s="20"/>
      <c r="Q1745" s="26"/>
      <c r="R1745" s="26"/>
      <c r="S1745" s="26"/>
      <c r="T1745" s="20"/>
      <c r="U1745" s="26"/>
      <c r="V1745" s="26"/>
      <c r="W1745" s="20"/>
      <c r="X1745" s="20"/>
      <c r="Y1745" s="20"/>
      <c r="Z1745" s="20"/>
      <c r="AA1745" s="20"/>
      <c r="AB1745" s="20"/>
      <c r="AC1745" s="20"/>
      <c r="AD1745" s="20"/>
      <c r="AE1745" s="20"/>
    </row>
    <row r="1746">
      <c r="A1746" s="21">
        <v>47.0</v>
      </c>
      <c r="B1746" s="20" t="s">
        <v>3580</v>
      </c>
      <c r="C1746" s="20" t="s">
        <v>3920</v>
      </c>
      <c r="I1746" s="25" t="s">
        <v>3586</v>
      </c>
      <c r="J1746" s="25" t="s">
        <v>3915</v>
      </c>
      <c r="K1746" s="25" t="s">
        <v>71</v>
      </c>
      <c r="L1746" s="25" t="s">
        <v>3978</v>
      </c>
      <c r="M1746" s="20" t="s">
        <v>61</v>
      </c>
      <c r="N1746" s="20" t="s">
        <v>3944</v>
      </c>
      <c r="O1746" s="20" t="s">
        <v>63</v>
      </c>
      <c r="P1746" s="20" t="s">
        <v>52</v>
      </c>
      <c r="Q1746" s="26"/>
      <c r="R1746" s="26"/>
      <c r="S1746" s="26"/>
      <c r="T1746" s="20"/>
      <c r="U1746" s="26"/>
      <c r="V1746" s="26"/>
      <c r="W1746" s="20"/>
      <c r="X1746" s="20"/>
      <c r="Y1746" s="20"/>
      <c r="Z1746" s="20"/>
      <c r="AA1746" s="20"/>
      <c r="AB1746" s="20"/>
      <c r="AC1746" s="20"/>
      <c r="AD1746" s="20"/>
      <c r="AE1746" s="20"/>
    </row>
    <row r="1747">
      <c r="A1747" s="21">
        <v>47.0</v>
      </c>
      <c r="B1747" s="20" t="s">
        <v>3580</v>
      </c>
      <c r="C1747" s="20" t="s">
        <v>3920</v>
      </c>
      <c r="I1747" s="25" t="s">
        <v>2957</v>
      </c>
      <c r="J1747" s="25" t="s">
        <v>3915</v>
      </c>
      <c r="K1747" s="25" t="s">
        <v>71</v>
      </c>
      <c r="L1747" s="25" t="s">
        <v>4071</v>
      </c>
      <c r="M1747" s="20" t="s">
        <v>61</v>
      </c>
      <c r="N1747" s="20" t="s">
        <v>3652</v>
      </c>
      <c r="O1747" s="20" t="s">
        <v>63</v>
      </c>
      <c r="P1747" s="20" t="s">
        <v>52</v>
      </c>
      <c r="Q1747" s="26"/>
      <c r="R1747" s="26"/>
      <c r="S1747" s="26"/>
      <c r="T1747" s="20"/>
      <c r="U1747" s="26"/>
      <c r="V1747" s="26"/>
      <c r="W1747" s="20"/>
      <c r="X1747" s="20"/>
      <c r="Y1747" s="20"/>
      <c r="Z1747" s="20"/>
      <c r="AA1747" s="20"/>
      <c r="AB1747" s="20"/>
      <c r="AC1747" s="20"/>
      <c r="AD1747" s="20"/>
      <c r="AE1747" s="20"/>
    </row>
    <row r="1748">
      <c r="A1748" s="21">
        <v>47.0</v>
      </c>
      <c r="B1748" s="20" t="s">
        <v>3580</v>
      </c>
      <c r="C1748" s="20" t="s">
        <v>3920</v>
      </c>
      <c r="I1748" s="25" t="s">
        <v>3764</v>
      </c>
      <c r="J1748" s="25" t="s">
        <v>3915</v>
      </c>
      <c r="K1748" s="25" t="s">
        <v>71</v>
      </c>
      <c r="L1748" s="25" t="s">
        <v>292</v>
      </c>
      <c r="M1748" s="20" t="s">
        <v>61</v>
      </c>
      <c r="N1748" s="20" t="s">
        <v>3833</v>
      </c>
      <c r="O1748" s="20" t="s">
        <v>63</v>
      </c>
      <c r="P1748" s="20" t="s">
        <v>52</v>
      </c>
      <c r="Q1748" s="26"/>
      <c r="R1748" s="26"/>
      <c r="S1748" s="26"/>
      <c r="T1748" s="22"/>
      <c r="U1748" s="26"/>
      <c r="V1748" s="26"/>
      <c r="W1748" s="20"/>
      <c r="X1748" s="20"/>
      <c r="Y1748" s="20"/>
      <c r="Z1748" s="20"/>
      <c r="AA1748" s="20"/>
      <c r="AB1748" s="20"/>
      <c r="AC1748" s="20"/>
      <c r="AD1748" s="20"/>
      <c r="AE1748" s="20"/>
    </row>
    <row r="1749">
      <c r="A1749" s="21">
        <v>47.0</v>
      </c>
      <c r="B1749" s="20" t="s">
        <v>3580</v>
      </c>
      <c r="C1749" s="20" t="s">
        <v>3920</v>
      </c>
      <c r="I1749" s="25" t="s">
        <v>3554</v>
      </c>
      <c r="J1749" s="25" t="s">
        <v>3915</v>
      </c>
      <c r="K1749" s="25" t="s">
        <v>71</v>
      </c>
      <c r="L1749" s="25" t="s">
        <v>4071</v>
      </c>
      <c r="M1749" s="20" t="s">
        <v>61</v>
      </c>
      <c r="N1749" s="20" t="s">
        <v>3945</v>
      </c>
      <c r="O1749" s="20" t="s">
        <v>63</v>
      </c>
      <c r="P1749" s="20" t="s">
        <v>52</v>
      </c>
      <c r="Q1749" s="26"/>
      <c r="R1749" s="26"/>
      <c r="S1749" s="26"/>
      <c r="T1749" s="20"/>
      <c r="U1749" s="26"/>
      <c r="V1749" s="26"/>
      <c r="W1749" s="20"/>
      <c r="X1749" s="20"/>
      <c r="Y1749" s="20"/>
      <c r="Z1749" s="20"/>
      <c r="AA1749" s="20"/>
      <c r="AB1749" s="20"/>
      <c r="AC1749" s="20"/>
      <c r="AD1749" s="20"/>
      <c r="AE1749" s="20"/>
    </row>
    <row r="1750">
      <c r="A1750" s="21">
        <v>47.0</v>
      </c>
      <c r="B1750" s="20" t="s">
        <v>3580</v>
      </c>
      <c r="C1750" s="20" t="s">
        <v>3920</v>
      </c>
      <c r="I1750" s="25" t="s">
        <v>3590</v>
      </c>
      <c r="J1750" s="25" t="s">
        <v>3915</v>
      </c>
      <c r="K1750" s="25" t="s">
        <v>71</v>
      </c>
      <c r="L1750" s="25" t="s">
        <v>3987</v>
      </c>
      <c r="M1750" s="20" t="s">
        <v>61</v>
      </c>
      <c r="N1750" s="20" t="s">
        <v>3591</v>
      </c>
      <c r="O1750" s="20" t="s">
        <v>63</v>
      </c>
      <c r="P1750" s="20" t="s">
        <v>52</v>
      </c>
      <c r="Q1750" s="26"/>
      <c r="R1750" s="26"/>
      <c r="S1750" s="26"/>
      <c r="T1750" s="20"/>
      <c r="U1750" s="26"/>
      <c r="V1750" s="26"/>
      <c r="W1750" s="20"/>
      <c r="X1750" s="20"/>
      <c r="Y1750" s="20"/>
      <c r="Z1750" s="20"/>
      <c r="AA1750" s="20"/>
      <c r="AB1750" s="20"/>
      <c r="AC1750" s="20"/>
      <c r="AD1750" s="20"/>
      <c r="AE1750" s="20"/>
    </row>
    <row r="1751">
      <c r="A1751" s="21">
        <v>47.0</v>
      </c>
      <c r="B1751" s="20" t="s">
        <v>3580</v>
      </c>
      <c r="C1751" s="20" t="s">
        <v>3920</v>
      </c>
      <c r="I1751" s="25" t="s">
        <v>3610</v>
      </c>
      <c r="J1751" s="25" t="s">
        <v>3912</v>
      </c>
      <c r="K1751" s="25" t="s">
        <v>71</v>
      </c>
      <c r="L1751" s="25" t="s">
        <v>4081</v>
      </c>
      <c r="M1751" s="20" t="s">
        <v>3687</v>
      </c>
      <c r="N1751" s="20" t="s">
        <v>3921</v>
      </c>
      <c r="O1751" s="20" t="s">
        <v>63</v>
      </c>
      <c r="P1751" s="20" t="s">
        <v>52</v>
      </c>
      <c r="Q1751" s="26"/>
      <c r="R1751" s="26"/>
      <c r="S1751" s="26"/>
      <c r="T1751" s="20"/>
      <c r="U1751" s="26"/>
      <c r="V1751" s="26"/>
      <c r="W1751" s="20"/>
      <c r="X1751" s="20"/>
      <c r="Y1751" s="20"/>
      <c r="Z1751" s="20"/>
      <c r="AA1751" s="20"/>
      <c r="AB1751" s="20"/>
      <c r="AC1751" s="20"/>
      <c r="AD1751" s="20"/>
      <c r="AE1751" s="20"/>
    </row>
    <row r="1752">
      <c r="A1752" s="21">
        <v>47.0</v>
      </c>
      <c r="B1752" s="20" t="s">
        <v>3580</v>
      </c>
      <c r="C1752" s="20" t="s">
        <v>3920</v>
      </c>
      <c r="I1752" s="25" t="s">
        <v>2902</v>
      </c>
      <c r="J1752" s="25" t="s">
        <v>3915</v>
      </c>
      <c r="K1752" s="25" t="s">
        <v>71</v>
      </c>
      <c r="L1752" s="25" t="s">
        <v>3984</v>
      </c>
      <c r="M1752" s="20" t="s">
        <v>3588</v>
      </c>
      <c r="N1752" s="20" t="s">
        <v>3589</v>
      </c>
      <c r="O1752" s="20" t="s">
        <v>63</v>
      </c>
      <c r="P1752" s="20" t="s">
        <v>52</v>
      </c>
      <c r="Q1752" s="26"/>
      <c r="R1752" s="26"/>
      <c r="S1752" s="26"/>
      <c r="T1752" s="20"/>
      <c r="U1752" s="26"/>
      <c r="V1752" s="26"/>
      <c r="W1752" s="20"/>
      <c r="X1752" s="20"/>
      <c r="Y1752" s="20"/>
      <c r="Z1752" s="20"/>
      <c r="AA1752" s="20"/>
      <c r="AB1752" s="20"/>
      <c r="AC1752" s="20"/>
      <c r="AD1752" s="20"/>
      <c r="AE1752" s="20"/>
    </row>
    <row r="1753">
      <c r="A1753" s="21">
        <v>47.0</v>
      </c>
      <c r="B1753" s="20" t="s">
        <v>3580</v>
      </c>
      <c r="C1753" s="20" t="s">
        <v>3920</v>
      </c>
      <c r="I1753" s="25" t="s">
        <v>2520</v>
      </c>
      <c r="J1753" s="25" t="s">
        <v>3912</v>
      </c>
      <c r="K1753" s="25" t="s">
        <v>71</v>
      </c>
      <c r="L1753" s="25" t="s">
        <v>292</v>
      </c>
      <c r="M1753" s="20" t="s">
        <v>3331</v>
      </c>
      <c r="N1753" s="20" t="s">
        <v>3923</v>
      </c>
      <c r="O1753" s="20" t="s">
        <v>63</v>
      </c>
      <c r="P1753" s="20" t="s">
        <v>52</v>
      </c>
      <c r="Q1753" s="26"/>
      <c r="R1753" s="26"/>
      <c r="S1753" s="26"/>
      <c r="T1753" s="22"/>
      <c r="U1753" s="26"/>
      <c r="V1753" s="26"/>
      <c r="W1753" s="20"/>
      <c r="X1753" s="20"/>
      <c r="Y1753" s="20"/>
      <c r="Z1753" s="20"/>
      <c r="AA1753" s="20"/>
      <c r="AB1753" s="20"/>
      <c r="AC1753" s="20"/>
      <c r="AD1753" s="20"/>
      <c r="AE1753" s="20"/>
    </row>
    <row r="1754">
      <c r="A1754" s="21">
        <v>47.0</v>
      </c>
      <c r="B1754" s="20" t="s">
        <v>3580</v>
      </c>
      <c r="C1754" s="20" t="s">
        <v>3920</v>
      </c>
      <c r="I1754" s="25" t="s">
        <v>3676</v>
      </c>
      <c r="J1754" s="25" t="s">
        <v>3912</v>
      </c>
      <c r="K1754" s="25" t="s">
        <v>71</v>
      </c>
      <c r="L1754" s="25" t="s">
        <v>3987</v>
      </c>
      <c r="M1754" s="20" t="s">
        <v>3925</v>
      </c>
      <c r="N1754" s="20" t="s">
        <v>3926</v>
      </c>
      <c r="O1754" s="20" t="s">
        <v>63</v>
      </c>
      <c r="P1754" s="20" t="s">
        <v>52</v>
      </c>
      <c r="Q1754" s="26"/>
      <c r="R1754" s="26"/>
      <c r="S1754" s="26"/>
      <c r="T1754" s="20"/>
      <c r="U1754" s="26"/>
      <c r="V1754" s="26"/>
      <c r="W1754" s="20"/>
      <c r="X1754" s="20"/>
      <c r="Y1754" s="20"/>
      <c r="Z1754" s="20"/>
      <c r="AA1754" s="20"/>
      <c r="AB1754" s="20"/>
      <c r="AC1754" s="20"/>
      <c r="AD1754" s="20"/>
      <c r="AE1754" s="20"/>
    </row>
    <row r="1755">
      <c r="A1755" s="21">
        <v>47.0</v>
      </c>
      <c r="B1755" s="20" t="s">
        <v>3580</v>
      </c>
      <c r="C1755" s="20" t="s">
        <v>3920</v>
      </c>
      <c r="I1755" s="25" t="s">
        <v>2441</v>
      </c>
      <c r="J1755" s="25" t="s">
        <v>3912</v>
      </c>
      <c r="K1755" s="25" t="s">
        <v>71</v>
      </c>
      <c r="L1755" s="25" t="s">
        <v>292</v>
      </c>
      <c r="M1755" s="20" t="s">
        <v>1368</v>
      </c>
      <c r="N1755" s="20" t="s">
        <v>3927</v>
      </c>
      <c r="O1755" s="20" t="s">
        <v>63</v>
      </c>
      <c r="P1755" s="20" t="s">
        <v>52</v>
      </c>
      <c r="Q1755" s="26"/>
      <c r="R1755" s="26"/>
      <c r="S1755" s="26"/>
      <c r="T1755" s="22"/>
      <c r="U1755" s="26"/>
      <c r="V1755" s="26"/>
      <c r="W1755" s="20"/>
      <c r="X1755" s="20"/>
      <c r="Y1755" s="20"/>
      <c r="Z1755" s="20"/>
      <c r="AA1755" s="20"/>
      <c r="AB1755" s="20"/>
      <c r="AC1755" s="20"/>
      <c r="AD1755" s="20"/>
      <c r="AE1755" s="20"/>
    </row>
    <row r="1756">
      <c r="A1756" s="21">
        <v>47.0</v>
      </c>
      <c r="B1756" s="20" t="s">
        <v>3580</v>
      </c>
      <c r="C1756" s="20" t="s">
        <v>3920</v>
      </c>
      <c r="I1756" s="25" t="s">
        <v>3662</v>
      </c>
      <c r="J1756" s="25" t="s">
        <v>3912</v>
      </c>
      <c r="K1756" s="25" t="s">
        <v>71</v>
      </c>
      <c r="L1756" s="25" t="s">
        <v>4172</v>
      </c>
      <c r="M1756" s="20" t="s">
        <v>3663</v>
      </c>
      <c r="N1756" s="20" t="s">
        <v>3929</v>
      </c>
      <c r="O1756" s="20" t="s">
        <v>63</v>
      </c>
      <c r="P1756" s="20" t="s">
        <v>52</v>
      </c>
      <c r="Q1756" s="26"/>
      <c r="R1756" s="26"/>
      <c r="S1756" s="26"/>
      <c r="T1756" s="20"/>
      <c r="U1756" s="26"/>
      <c r="V1756" s="26"/>
      <c r="W1756" s="20"/>
      <c r="X1756" s="20"/>
      <c r="Y1756" s="20"/>
      <c r="Z1756" s="20"/>
      <c r="AA1756" s="20"/>
      <c r="AB1756" s="20"/>
      <c r="AC1756" s="20"/>
      <c r="AD1756" s="20"/>
      <c r="AE1756" s="20"/>
    </row>
    <row r="1757">
      <c r="A1757" s="21">
        <v>47.0</v>
      </c>
      <c r="B1757" s="20" t="s">
        <v>3580</v>
      </c>
      <c r="C1757" s="20" t="s">
        <v>3920</v>
      </c>
      <c r="I1757" s="25" t="s">
        <v>919</v>
      </c>
      <c r="J1757" s="25" t="s">
        <v>3915</v>
      </c>
      <c r="K1757" s="25" t="s">
        <v>71</v>
      </c>
      <c r="L1757" s="25" t="s">
        <v>4087</v>
      </c>
      <c r="M1757" s="20" t="s">
        <v>3584</v>
      </c>
      <c r="N1757" s="20" t="s">
        <v>3585</v>
      </c>
      <c r="O1757" s="20" t="s">
        <v>63</v>
      </c>
      <c r="P1757" s="20" t="s">
        <v>52</v>
      </c>
      <c r="Q1757" s="26"/>
      <c r="R1757" s="26"/>
      <c r="S1757" s="26"/>
      <c r="T1757" s="20"/>
      <c r="U1757" s="26"/>
      <c r="V1757" s="26"/>
      <c r="W1757" s="20"/>
      <c r="X1757" s="20"/>
      <c r="Y1757" s="20"/>
      <c r="Z1757" s="20"/>
      <c r="AA1757" s="20"/>
      <c r="AB1757" s="20"/>
      <c r="AC1757" s="20"/>
      <c r="AD1757" s="20"/>
      <c r="AE1757" s="20"/>
    </row>
    <row r="1758">
      <c r="A1758" s="21">
        <v>47.0</v>
      </c>
      <c r="B1758" s="20" t="s">
        <v>3580</v>
      </c>
      <c r="C1758" s="20" t="s">
        <v>3920</v>
      </c>
      <c r="I1758" s="25" t="s">
        <v>3558</v>
      </c>
      <c r="J1758" s="25" t="s">
        <v>3912</v>
      </c>
      <c r="K1758" s="25" t="s">
        <v>71</v>
      </c>
      <c r="L1758" s="25" t="s">
        <v>4087</v>
      </c>
      <c r="M1758" s="20" t="s">
        <v>3930</v>
      </c>
      <c r="N1758" s="20" t="s">
        <v>3931</v>
      </c>
      <c r="O1758" s="20" t="s">
        <v>63</v>
      </c>
      <c r="P1758" s="20" t="s">
        <v>52</v>
      </c>
      <c r="Q1758" s="26"/>
      <c r="R1758" s="26"/>
      <c r="S1758" s="26"/>
      <c r="T1758" s="20"/>
      <c r="U1758" s="26"/>
      <c r="V1758" s="26"/>
      <c r="W1758" s="20"/>
      <c r="X1758" s="20"/>
      <c r="Y1758" s="20"/>
      <c r="Z1758" s="20"/>
      <c r="AA1758" s="20"/>
      <c r="AB1758" s="20"/>
      <c r="AC1758" s="20"/>
      <c r="AD1758" s="20"/>
      <c r="AE1758" s="20"/>
    </row>
    <row r="1759">
      <c r="A1759" s="21">
        <v>47.0</v>
      </c>
      <c r="B1759" s="20" t="s">
        <v>3580</v>
      </c>
      <c r="C1759" s="20" t="s">
        <v>3920</v>
      </c>
      <c r="I1759" s="25" t="s">
        <v>3596</v>
      </c>
      <c r="J1759" s="25" t="s">
        <v>3915</v>
      </c>
      <c r="K1759" s="25" t="s">
        <v>71</v>
      </c>
      <c r="L1759" s="25" t="s">
        <v>3978</v>
      </c>
      <c r="M1759" s="20" t="s">
        <v>3750</v>
      </c>
      <c r="N1759" s="20" t="s">
        <v>3752</v>
      </c>
      <c r="O1759" s="20" t="s">
        <v>63</v>
      </c>
      <c r="P1759" s="20" t="s">
        <v>52</v>
      </c>
      <c r="Q1759" s="26"/>
      <c r="R1759" s="26"/>
      <c r="S1759" s="26"/>
      <c r="T1759" s="20"/>
      <c r="U1759" s="26"/>
      <c r="V1759" s="26"/>
      <c r="W1759" s="20"/>
      <c r="X1759" s="20"/>
      <c r="Y1759" s="20"/>
      <c r="Z1759" s="20"/>
      <c r="AA1759" s="20"/>
      <c r="AB1759" s="20"/>
      <c r="AC1759" s="20"/>
      <c r="AD1759" s="20"/>
      <c r="AE1759" s="20"/>
    </row>
    <row r="1760">
      <c r="A1760" s="21">
        <v>47.0</v>
      </c>
      <c r="B1760" s="20" t="s">
        <v>3580</v>
      </c>
      <c r="C1760" s="20" t="s">
        <v>3920</v>
      </c>
      <c r="I1760" s="25" t="s">
        <v>2947</v>
      </c>
      <c r="J1760" s="25" t="s">
        <v>3915</v>
      </c>
      <c r="K1760" s="25" t="s">
        <v>71</v>
      </c>
      <c r="L1760" s="25" t="s">
        <v>4089</v>
      </c>
      <c r="M1760" s="20" t="s">
        <v>3827</v>
      </c>
      <c r="N1760" s="20" t="s">
        <v>3828</v>
      </c>
      <c r="O1760" s="20" t="s">
        <v>63</v>
      </c>
      <c r="P1760" s="20" t="s">
        <v>52</v>
      </c>
      <c r="Q1760" s="26"/>
      <c r="R1760" s="26"/>
      <c r="S1760" s="26"/>
      <c r="T1760" s="20"/>
      <c r="U1760" s="26"/>
      <c r="V1760" s="26"/>
      <c r="W1760" s="20"/>
      <c r="X1760" s="20"/>
      <c r="Y1760" s="20"/>
      <c r="Z1760" s="20"/>
      <c r="AA1760" s="20"/>
      <c r="AB1760" s="20"/>
      <c r="AC1760" s="20"/>
      <c r="AD1760" s="20"/>
      <c r="AE1760" s="20"/>
    </row>
    <row r="1761">
      <c r="A1761" s="21">
        <v>47.0</v>
      </c>
      <c r="B1761" s="20" t="s">
        <v>3580</v>
      </c>
      <c r="C1761" s="20" t="s">
        <v>3920</v>
      </c>
      <c r="I1761" s="25" t="s">
        <v>3618</v>
      </c>
      <c r="J1761" s="25" t="s">
        <v>3915</v>
      </c>
      <c r="K1761" s="25" t="s">
        <v>71</v>
      </c>
      <c r="L1761" s="25" t="s">
        <v>3992</v>
      </c>
      <c r="M1761" s="20" t="s">
        <v>61</v>
      </c>
      <c r="N1761" s="20" t="s">
        <v>3784</v>
      </c>
      <c r="O1761" s="20" t="s">
        <v>63</v>
      </c>
      <c r="P1761" s="20" t="s">
        <v>52</v>
      </c>
      <c r="Q1761" s="26"/>
      <c r="R1761" s="26"/>
      <c r="S1761" s="26"/>
      <c r="T1761" s="20"/>
      <c r="U1761" s="26"/>
      <c r="V1761" s="26"/>
      <c r="W1761" s="20"/>
      <c r="X1761" s="20"/>
      <c r="Y1761" s="20"/>
      <c r="Z1761" s="20"/>
      <c r="AA1761" s="20"/>
      <c r="AB1761" s="20"/>
      <c r="AC1761" s="20"/>
      <c r="AD1761" s="20"/>
      <c r="AE1761" s="20"/>
    </row>
    <row r="1762">
      <c r="A1762" s="21">
        <v>47.0</v>
      </c>
      <c r="B1762" s="20" t="s">
        <v>3580</v>
      </c>
      <c r="C1762" s="20" t="s">
        <v>3920</v>
      </c>
      <c r="I1762" s="25" t="s">
        <v>3620</v>
      </c>
      <c r="J1762" s="25" t="s">
        <v>3912</v>
      </c>
      <c r="K1762" s="25" t="s">
        <v>71</v>
      </c>
      <c r="L1762" s="25" t="s">
        <v>3992</v>
      </c>
      <c r="M1762" s="20" t="s">
        <v>3933</v>
      </c>
      <c r="N1762" s="20" t="s">
        <v>3934</v>
      </c>
      <c r="O1762" s="20" t="s">
        <v>63</v>
      </c>
      <c r="P1762" s="20" t="s">
        <v>52</v>
      </c>
      <c r="Q1762" s="26"/>
      <c r="R1762" s="26"/>
      <c r="S1762" s="26"/>
      <c r="T1762" s="20"/>
      <c r="U1762" s="26"/>
      <c r="V1762" s="26"/>
      <c r="W1762" s="20"/>
      <c r="X1762" s="20"/>
      <c r="Y1762" s="20"/>
      <c r="Z1762" s="20"/>
      <c r="AA1762" s="20"/>
      <c r="AB1762" s="20"/>
      <c r="AC1762" s="20"/>
      <c r="AD1762" s="20"/>
      <c r="AE1762" s="20"/>
    </row>
    <row r="1763">
      <c r="A1763" s="21">
        <v>47.0</v>
      </c>
      <c r="B1763" s="20" t="s">
        <v>3580</v>
      </c>
      <c r="C1763" s="20" t="s">
        <v>3920</v>
      </c>
      <c r="I1763" s="25" t="s">
        <v>3594</v>
      </c>
      <c r="J1763" s="25" t="s">
        <v>3915</v>
      </c>
      <c r="K1763" s="25" t="s">
        <v>71</v>
      </c>
      <c r="L1763" s="25" t="s">
        <v>3984</v>
      </c>
      <c r="M1763" s="20" t="s">
        <v>61</v>
      </c>
      <c r="N1763" s="20" t="s">
        <v>3595</v>
      </c>
      <c r="O1763" s="20" t="s">
        <v>63</v>
      </c>
      <c r="P1763" s="20" t="s">
        <v>52</v>
      </c>
      <c r="Q1763" s="26"/>
      <c r="R1763" s="26"/>
      <c r="S1763" s="26"/>
      <c r="T1763" s="20"/>
      <c r="U1763" s="26"/>
      <c r="V1763" s="26"/>
      <c r="W1763" s="20"/>
      <c r="X1763" s="20"/>
      <c r="Y1763" s="20"/>
      <c r="Z1763" s="20"/>
      <c r="AA1763" s="20"/>
      <c r="AB1763" s="20"/>
      <c r="AC1763" s="20"/>
      <c r="AD1763" s="20"/>
      <c r="AE1763" s="20"/>
    </row>
    <row r="1764">
      <c r="A1764" s="21">
        <v>47.0</v>
      </c>
      <c r="B1764" s="20" t="s">
        <v>3580</v>
      </c>
      <c r="C1764" s="20" t="s">
        <v>3920</v>
      </c>
      <c r="I1764" s="25" t="s">
        <v>3568</v>
      </c>
      <c r="J1764" s="25" t="s">
        <v>3915</v>
      </c>
      <c r="K1764" s="25" t="s">
        <v>71</v>
      </c>
      <c r="L1764" s="25" t="s">
        <v>4261</v>
      </c>
      <c r="M1764" s="20" t="s">
        <v>3946</v>
      </c>
      <c r="N1764" s="20" t="s">
        <v>3947</v>
      </c>
      <c r="O1764" s="20" t="s">
        <v>63</v>
      </c>
      <c r="P1764" s="20" t="s">
        <v>52</v>
      </c>
      <c r="Q1764" s="26"/>
      <c r="R1764" s="26"/>
      <c r="S1764" s="26"/>
      <c r="T1764" s="20"/>
      <c r="U1764" s="26"/>
      <c r="V1764" s="26"/>
      <c r="W1764" s="20"/>
      <c r="X1764" s="20"/>
      <c r="Y1764" s="20"/>
      <c r="Z1764" s="20"/>
      <c r="AA1764" s="20"/>
      <c r="AB1764" s="20"/>
      <c r="AC1764" s="20"/>
      <c r="AD1764" s="20"/>
      <c r="AE1764" s="20"/>
    </row>
    <row r="1765">
      <c r="A1765" s="21">
        <v>47.0</v>
      </c>
      <c r="B1765" s="20" t="s">
        <v>3580</v>
      </c>
      <c r="C1765" s="20" t="s">
        <v>3920</v>
      </c>
      <c r="I1765" s="25" t="s">
        <v>2601</v>
      </c>
      <c r="J1765" s="25" t="s">
        <v>3912</v>
      </c>
      <c r="K1765" s="25" t="s">
        <v>71</v>
      </c>
      <c r="L1765" s="25" t="s">
        <v>292</v>
      </c>
      <c r="M1765" s="20" t="s">
        <v>1282</v>
      </c>
      <c r="N1765" s="20" t="s">
        <v>3935</v>
      </c>
      <c r="O1765" s="20" t="s">
        <v>63</v>
      </c>
      <c r="P1765" s="20" t="s">
        <v>52</v>
      </c>
      <c r="Q1765" s="26"/>
      <c r="R1765" s="26"/>
      <c r="S1765" s="26"/>
      <c r="T1765" s="22"/>
      <c r="U1765" s="26"/>
      <c r="V1765" s="26"/>
      <c r="W1765" s="20"/>
      <c r="X1765" s="20"/>
      <c r="Y1765" s="20"/>
      <c r="Z1765" s="20"/>
      <c r="AA1765" s="20"/>
      <c r="AB1765" s="20"/>
      <c r="AC1765" s="20"/>
      <c r="AD1765" s="20"/>
      <c r="AE1765" s="20"/>
    </row>
    <row r="1766">
      <c r="A1766" s="21">
        <v>47.0</v>
      </c>
      <c r="B1766" s="20" t="s">
        <v>3580</v>
      </c>
      <c r="C1766" s="20" t="s">
        <v>3920</v>
      </c>
      <c r="I1766" s="25" t="s">
        <v>1315</v>
      </c>
      <c r="J1766" s="25" t="s">
        <v>3912</v>
      </c>
      <c r="K1766" s="25" t="s">
        <v>71</v>
      </c>
      <c r="L1766" s="25" t="s">
        <v>292</v>
      </c>
      <c r="M1766" s="20" t="s">
        <v>3937</v>
      </c>
      <c r="N1766" s="20" t="s">
        <v>3938</v>
      </c>
      <c r="O1766" s="20" t="s">
        <v>63</v>
      </c>
      <c r="P1766" s="20" t="s">
        <v>52</v>
      </c>
      <c r="Q1766" s="26"/>
      <c r="R1766" s="26"/>
      <c r="S1766" s="26"/>
      <c r="T1766" s="22"/>
      <c r="U1766" s="26"/>
      <c r="V1766" s="26"/>
      <c r="W1766" s="20"/>
      <c r="X1766" s="20"/>
      <c r="Y1766" s="20"/>
      <c r="Z1766" s="20"/>
      <c r="AA1766" s="20"/>
      <c r="AB1766" s="20"/>
      <c r="AC1766" s="20"/>
      <c r="AD1766" s="20"/>
      <c r="AE1766" s="20"/>
    </row>
    <row r="1767">
      <c r="A1767" s="21">
        <v>47.0</v>
      </c>
      <c r="B1767" s="20" t="s">
        <v>3580</v>
      </c>
      <c r="C1767" s="20" t="s">
        <v>3920</v>
      </c>
      <c r="I1767" s="25" t="s">
        <v>3646</v>
      </c>
      <c r="J1767" s="25" t="s">
        <v>3912</v>
      </c>
      <c r="K1767" s="25" t="s">
        <v>71</v>
      </c>
      <c r="L1767" s="25" t="s">
        <v>4578</v>
      </c>
      <c r="M1767" s="20" t="s">
        <v>3647</v>
      </c>
      <c r="N1767" s="20" t="s">
        <v>3939</v>
      </c>
      <c r="O1767" s="20" t="s">
        <v>63</v>
      </c>
      <c r="P1767" s="20" t="s">
        <v>52</v>
      </c>
      <c r="Q1767" s="26"/>
      <c r="R1767" s="26"/>
      <c r="S1767" s="26"/>
      <c r="T1767" s="20"/>
      <c r="U1767" s="26"/>
      <c r="V1767" s="26"/>
      <c r="W1767" s="20"/>
      <c r="X1767" s="20"/>
      <c r="Y1767" s="20"/>
      <c r="Z1767" s="20"/>
      <c r="AA1767" s="20"/>
      <c r="AB1767" s="20"/>
      <c r="AC1767" s="20"/>
      <c r="AD1767" s="20"/>
      <c r="AE1767" s="20"/>
    </row>
    <row r="1768">
      <c r="A1768" s="21">
        <v>47.0</v>
      </c>
      <c r="B1768" s="20" t="s">
        <v>3580</v>
      </c>
      <c r="C1768" s="20" t="s">
        <v>3920</v>
      </c>
      <c r="I1768" s="25" t="s">
        <v>2643</v>
      </c>
      <c r="J1768" s="25" t="s">
        <v>3912</v>
      </c>
      <c r="K1768" s="25" t="s">
        <v>71</v>
      </c>
      <c r="L1768" s="25" t="s">
        <v>292</v>
      </c>
      <c r="M1768" s="20" t="s">
        <v>3941</v>
      </c>
      <c r="N1768" s="20" t="s">
        <v>3935</v>
      </c>
      <c r="O1768" s="20" t="s">
        <v>63</v>
      </c>
      <c r="P1768" s="20" t="s">
        <v>52</v>
      </c>
      <c r="Q1768" s="26"/>
      <c r="R1768" s="26"/>
      <c r="S1768" s="26"/>
      <c r="T1768" s="22"/>
      <c r="U1768" s="26"/>
      <c r="V1768" s="26"/>
      <c r="W1768" s="20"/>
      <c r="X1768" s="20"/>
      <c r="Y1768" s="20"/>
      <c r="Z1768" s="20"/>
      <c r="AA1768" s="20"/>
      <c r="AB1768" s="20"/>
      <c r="AC1768" s="20"/>
      <c r="AD1768" s="20"/>
      <c r="AE1768" s="20"/>
    </row>
    <row r="1769">
      <c r="A1769" s="21">
        <v>47.0</v>
      </c>
      <c r="B1769" s="20" t="s">
        <v>3580</v>
      </c>
      <c r="C1769" s="20" t="s">
        <v>3920</v>
      </c>
      <c r="I1769" s="25" t="s">
        <v>3789</v>
      </c>
      <c r="J1769" s="25" t="s">
        <v>3915</v>
      </c>
      <c r="K1769" s="25" t="s">
        <v>71</v>
      </c>
      <c r="L1769" s="25" t="s">
        <v>4295</v>
      </c>
      <c r="M1769" s="20" t="s">
        <v>3948</v>
      </c>
      <c r="N1769" s="20" t="s">
        <v>3949</v>
      </c>
      <c r="O1769" s="20" t="s">
        <v>63</v>
      </c>
      <c r="P1769" s="20" t="s">
        <v>52</v>
      </c>
      <c r="Q1769" s="26"/>
      <c r="R1769" s="26"/>
      <c r="S1769" s="26"/>
      <c r="T1769" s="20"/>
      <c r="U1769" s="26"/>
      <c r="V1769" s="26"/>
      <c r="W1769" s="20"/>
      <c r="X1769" s="20"/>
      <c r="Y1769" s="20"/>
      <c r="Z1769" s="20"/>
      <c r="AA1769" s="20"/>
      <c r="AB1769" s="20"/>
      <c r="AC1769" s="20"/>
      <c r="AD1769" s="20"/>
      <c r="AE1769" s="20"/>
    </row>
    <row r="1770">
      <c r="A1770" s="21">
        <v>47.0</v>
      </c>
      <c r="B1770" s="20" t="s">
        <v>3580</v>
      </c>
      <c r="C1770" s="20" t="s">
        <v>3920</v>
      </c>
      <c r="I1770" s="25" t="s">
        <v>3679</v>
      </c>
      <c r="J1770" s="25" t="s">
        <v>3912</v>
      </c>
      <c r="K1770" s="25" t="s">
        <v>71</v>
      </c>
      <c r="L1770" s="25" t="s">
        <v>4298</v>
      </c>
      <c r="M1770" s="20" t="s">
        <v>3680</v>
      </c>
      <c r="N1770" s="20" t="s">
        <v>3942</v>
      </c>
      <c r="O1770" s="20" t="s">
        <v>63</v>
      </c>
      <c r="P1770" s="20" t="s">
        <v>52</v>
      </c>
      <c r="Q1770" s="26"/>
      <c r="R1770" s="26"/>
      <c r="S1770" s="26"/>
      <c r="T1770" s="20"/>
      <c r="U1770" s="26"/>
      <c r="V1770" s="26"/>
      <c r="W1770" s="20"/>
      <c r="X1770" s="20"/>
      <c r="Y1770" s="20"/>
      <c r="Z1770" s="20"/>
      <c r="AA1770" s="20"/>
      <c r="AB1770" s="20"/>
      <c r="AC1770" s="20"/>
      <c r="AD1770" s="20"/>
      <c r="AE1770" s="20"/>
    </row>
    <row r="1771">
      <c r="A1771" s="21">
        <v>47.0</v>
      </c>
      <c r="B1771" s="20" t="s">
        <v>3580</v>
      </c>
      <c r="C1771" s="20" t="s">
        <v>3920</v>
      </c>
      <c r="I1771" s="25" t="s">
        <v>1716</v>
      </c>
      <c r="J1771" s="25" t="s">
        <v>3912</v>
      </c>
      <c r="K1771" s="25" t="s">
        <v>71</v>
      </c>
      <c r="L1771" s="25" t="s">
        <v>292</v>
      </c>
      <c r="M1771" s="20" t="s">
        <v>1717</v>
      </c>
      <c r="N1771" s="20" t="s">
        <v>3943</v>
      </c>
      <c r="O1771" s="20" t="s">
        <v>63</v>
      </c>
      <c r="P1771" s="20" t="s">
        <v>52</v>
      </c>
      <c r="Q1771" s="26"/>
      <c r="R1771" s="26"/>
      <c r="S1771" s="26"/>
      <c r="T1771" s="22"/>
      <c r="U1771" s="26"/>
      <c r="V1771" s="26"/>
      <c r="W1771" s="20"/>
      <c r="X1771" s="20"/>
      <c r="Y1771" s="20"/>
      <c r="Z1771" s="20"/>
      <c r="AA1771" s="20"/>
      <c r="AB1771" s="20"/>
      <c r="AC1771" s="20"/>
      <c r="AD1771" s="20"/>
      <c r="AE1771" s="20"/>
    </row>
    <row r="1772">
      <c r="A1772" s="21">
        <v>48.0</v>
      </c>
      <c r="B1772" s="20" t="s">
        <v>3574</v>
      </c>
      <c r="C1772" s="20" t="s">
        <v>3920</v>
      </c>
      <c r="D1772" s="35">
        <v>30.0</v>
      </c>
      <c r="E1772" s="35">
        <v>3.0</v>
      </c>
      <c r="F1772" s="35">
        <v>9.0</v>
      </c>
      <c r="G1772" s="35">
        <v>18.0</v>
      </c>
      <c r="H1772" s="36" t="s">
        <v>4591</v>
      </c>
      <c r="I1772" s="25" t="s">
        <v>3646</v>
      </c>
      <c r="J1772" s="25" t="s">
        <v>3953</v>
      </c>
      <c r="K1772" s="25" t="s">
        <v>67</v>
      </c>
      <c r="L1772" s="25" t="s">
        <v>1133</v>
      </c>
      <c r="M1772" s="20" t="s">
        <v>3962</v>
      </c>
      <c r="N1772" s="20" t="s">
        <v>3963</v>
      </c>
      <c r="O1772" s="20" t="s">
        <v>56</v>
      </c>
      <c r="P1772" s="20" t="s">
        <v>52</v>
      </c>
      <c r="Q1772" s="26"/>
      <c r="R1772" s="26"/>
      <c r="S1772" s="26"/>
      <c r="T1772" s="22"/>
      <c r="U1772" s="26"/>
      <c r="V1772" s="26"/>
      <c r="W1772" s="20"/>
      <c r="X1772" s="20"/>
      <c r="Y1772" s="20"/>
      <c r="Z1772" s="20"/>
      <c r="AA1772" s="20"/>
      <c r="AB1772" s="20"/>
      <c r="AC1772" s="20"/>
      <c r="AD1772" s="20"/>
      <c r="AE1772" s="20"/>
    </row>
    <row r="1773">
      <c r="A1773" s="21">
        <v>48.0</v>
      </c>
      <c r="B1773" s="20" t="s">
        <v>3574</v>
      </c>
      <c r="C1773" s="20" t="s">
        <v>3920</v>
      </c>
      <c r="I1773" s="25" t="s">
        <v>3894</v>
      </c>
      <c r="J1773" s="25" t="s">
        <v>3953</v>
      </c>
      <c r="K1773" s="25" t="s">
        <v>57</v>
      </c>
      <c r="L1773" s="25" t="s">
        <v>4595</v>
      </c>
      <c r="M1773" s="20" t="s">
        <v>61</v>
      </c>
      <c r="N1773" s="20" t="s">
        <v>3954</v>
      </c>
      <c r="O1773" s="20" t="s">
        <v>56</v>
      </c>
      <c r="P1773" s="20"/>
      <c r="Q1773" s="26"/>
      <c r="R1773" s="26"/>
      <c r="S1773" s="26"/>
      <c r="T1773" s="20"/>
      <c r="U1773" s="26"/>
      <c r="V1773" s="26"/>
      <c r="W1773" s="20"/>
      <c r="X1773" s="20"/>
      <c r="Y1773" s="20"/>
      <c r="Z1773" s="20"/>
      <c r="AA1773" s="20"/>
      <c r="AB1773" s="20"/>
      <c r="AC1773" s="20"/>
      <c r="AD1773" s="20"/>
      <c r="AE1773" s="20"/>
    </row>
    <row r="1774">
      <c r="A1774" s="21">
        <v>48.0</v>
      </c>
      <c r="B1774" s="20" t="s">
        <v>3574</v>
      </c>
      <c r="C1774" s="20" t="s">
        <v>3920</v>
      </c>
      <c r="I1774" s="25" t="s">
        <v>2919</v>
      </c>
      <c r="J1774" s="25" t="s">
        <v>3953</v>
      </c>
      <c r="K1774" s="25" t="s">
        <v>57</v>
      </c>
      <c r="L1774" s="25" t="s">
        <v>4599</v>
      </c>
      <c r="M1774" s="20" t="s">
        <v>3955</v>
      </c>
      <c r="N1774" s="20" t="s">
        <v>3956</v>
      </c>
      <c r="O1774" s="20" t="s">
        <v>63</v>
      </c>
      <c r="P1774" s="20"/>
      <c r="Q1774" s="26"/>
      <c r="R1774" s="26"/>
      <c r="S1774" s="26"/>
      <c r="T1774" s="20"/>
      <c r="U1774" s="26"/>
      <c r="V1774" s="26"/>
      <c r="W1774" s="20"/>
      <c r="X1774" s="20"/>
      <c r="Y1774" s="20"/>
      <c r="Z1774" s="20"/>
      <c r="AA1774" s="20"/>
      <c r="AB1774" s="20"/>
      <c r="AC1774" s="20"/>
      <c r="AD1774" s="20"/>
      <c r="AE1774" s="20"/>
    </row>
    <row r="1775">
      <c r="A1775" s="21">
        <v>48.0</v>
      </c>
      <c r="B1775" s="20" t="s">
        <v>3574</v>
      </c>
      <c r="C1775" s="20" t="s">
        <v>3920</v>
      </c>
      <c r="I1775" s="25" t="s">
        <v>3830</v>
      </c>
      <c r="J1775" s="25" t="s">
        <v>3951</v>
      </c>
      <c r="K1775" s="25" t="s">
        <v>67</v>
      </c>
      <c r="L1775" s="25" t="s">
        <v>1133</v>
      </c>
      <c r="M1775" s="20" t="s">
        <v>3957</v>
      </c>
      <c r="N1775" s="20" t="s">
        <v>3958</v>
      </c>
      <c r="O1775" s="20" t="s">
        <v>56</v>
      </c>
      <c r="P1775" s="20" t="s">
        <v>52</v>
      </c>
      <c r="Q1775" s="26"/>
      <c r="R1775" s="26"/>
      <c r="S1775" s="26"/>
      <c r="T1775" s="22"/>
      <c r="U1775" s="26"/>
      <c r="V1775" s="26"/>
      <c r="W1775" s="20"/>
      <c r="X1775" s="20"/>
      <c r="Y1775" s="20"/>
      <c r="Z1775" s="20"/>
      <c r="AA1775" s="20"/>
      <c r="AB1775" s="20"/>
      <c r="AC1775" s="20"/>
      <c r="AD1775" s="20"/>
      <c r="AE1775" s="20"/>
    </row>
    <row r="1776">
      <c r="A1776" s="21">
        <v>48.0</v>
      </c>
      <c r="B1776" s="20" t="s">
        <v>3574</v>
      </c>
      <c r="C1776" s="20" t="s">
        <v>3920</v>
      </c>
      <c r="I1776" s="25" t="s">
        <v>1342</v>
      </c>
      <c r="J1776" s="25" t="s">
        <v>3951</v>
      </c>
      <c r="K1776" s="25" t="s">
        <v>57</v>
      </c>
      <c r="L1776" s="25" t="s">
        <v>4603</v>
      </c>
      <c r="M1776" s="20" t="s">
        <v>2744</v>
      </c>
      <c r="N1776" s="20" t="s">
        <v>3952</v>
      </c>
      <c r="O1776" s="20" t="s">
        <v>56</v>
      </c>
      <c r="P1776" s="20"/>
      <c r="Q1776" s="26"/>
      <c r="R1776" s="26"/>
      <c r="S1776" s="26"/>
      <c r="T1776" s="20"/>
      <c r="U1776" s="26"/>
      <c r="V1776" s="26"/>
      <c r="W1776" s="20"/>
      <c r="X1776" s="20"/>
      <c r="Y1776" s="20"/>
      <c r="Z1776" s="20"/>
      <c r="AA1776" s="20"/>
      <c r="AB1776" s="20"/>
      <c r="AC1776" s="20"/>
      <c r="AD1776" s="20"/>
      <c r="AE1776" s="20"/>
    </row>
    <row r="1777">
      <c r="A1777" s="21">
        <v>48.0</v>
      </c>
      <c r="B1777" s="20" t="s">
        <v>3574</v>
      </c>
      <c r="C1777" s="20" t="s">
        <v>3920</v>
      </c>
      <c r="I1777" s="25" t="s">
        <v>2713</v>
      </c>
      <c r="J1777" s="25" t="s">
        <v>3953</v>
      </c>
      <c r="K1777" s="25" t="s">
        <v>71</v>
      </c>
      <c r="L1777" s="25" t="s">
        <v>4607</v>
      </c>
      <c r="M1777" s="20" t="s">
        <v>2714</v>
      </c>
      <c r="N1777" s="20" t="s">
        <v>3973</v>
      </c>
      <c r="O1777" s="20" t="s">
        <v>63</v>
      </c>
      <c r="P1777" s="20"/>
      <c r="Q1777" s="26"/>
      <c r="R1777" s="26"/>
      <c r="S1777" s="26"/>
      <c r="T1777" s="20"/>
      <c r="U1777" s="26"/>
      <c r="V1777" s="26"/>
      <c r="W1777" s="20"/>
      <c r="X1777" s="20"/>
      <c r="Y1777" s="20"/>
      <c r="Z1777" s="20"/>
      <c r="AA1777" s="20"/>
      <c r="AB1777" s="20"/>
      <c r="AC1777" s="20"/>
      <c r="AD1777" s="20"/>
      <c r="AE1777" s="20"/>
    </row>
    <row r="1778">
      <c r="A1778" s="21">
        <v>48.0</v>
      </c>
      <c r="B1778" s="20" t="s">
        <v>3574</v>
      </c>
      <c r="C1778" s="20" t="s">
        <v>3920</v>
      </c>
      <c r="I1778" s="25" t="s">
        <v>2902</v>
      </c>
      <c r="J1778" s="25" t="s">
        <v>3951</v>
      </c>
      <c r="K1778" s="25" t="s">
        <v>67</v>
      </c>
      <c r="L1778" s="25" t="s">
        <v>1025</v>
      </c>
      <c r="M1778" s="20" t="s">
        <v>3588</v>
      </c>
      <c r="N1778" s="20" t="s">
        <v>3959</v>
      </c>
      <c r="O1778" s="20" t="s">
        <v>56</v>
      </c>
      <c r="P1778" s="20" t="s">
        <v>52</v>
      </c>
      <c r="Q1778" s="26"/>
      <c r="R1778" s="26"/>
      <c r="S1778" s="26"/>
      <c r="T1778" s="22"/>
      <c r="U1778" s="26"/>
      <c r="V1778" s="26"/>
      <c r="W1778" s="20"/>
      <c r="X1778" s="20"/>
      <c r="Y1778" s="20"/>
      <c r="Z1778" s="20"/>
      <c r="AA1778" s="20"/>
      <c r="AB1778" s="20"/>
      <c r="AC1778" s="20"/>
      <c r="AD1778" s="20"/>
      <c r="AE1778" s="20"/>
    </row>
    <row r="1779">
      <c r="A1779" s="21">
        <v>48.0</v>
      </c>
      <c r="B1779" s="20" t="s">
        <v>3574</v>
      </c>
      <c r="C1779" s="20" t="s">
        <v>3920</v>
      </c>
      <c r="I1779" s="25" t="s">
        <v>3565</v>
      </c>
      <c r="J1779" s="25" t="s">
        <v>3953</v>
      </c>
      <c r="K1779" s="25" t="s">
        <v>67</v>
      </c>
      <c r="L1779" s="25" t="s">
        <v>1025</v>
      </c>
      <c r="M1779" s="20" t="s">
        <v>3566</v>
      </c>
      <c r="N1779" s="20" t="s">
        <v>3963</v>
      </c>
      <c r="O1779" s="20" t="s">
        <v>56</v>
      </c>
      <c r="P1779" s="20" t="s">
        <v>52</v>
      </c>
      <c r="Q1779" s="26"/>
      <c r="R1779" s="26"/>
      <c r="S1779" s="26"/>
      <c r="T1779" s="22"/>
      <c r="U1779" s="26"/>
      <c r="V1779" s="26"/>
      <c r="W1779" s="20"/>
      <c r="X1779" s="20"/>
      <c r="Y1779" s="20"/>
      <c r="Z1779" s="20"/>
      <c r="AA1779" s="20"/>
      <c r="AB1779" s="20"/>
      <c r="AC1779" s="20"/>
      <c r="AD1779" s="20"/>
      <c r="AE1779" s="20"/>
    </row>
    <row r="1780">
      <c r="A1780" s="21">
        <v>48.0</v>
      </c>
      <c r="B1780" s="20" t="s">
        <v>3574</v>
      </c>
      <c r="C1780" s="20" t="s">
        <v>3920</v>
      </c>
      <c r="I1780" s="25" t="s">
        <v>2016</v>
      </c>
      <c r="J1780" s="25" t="s">
        <v>3953</v>
      </c>
      <c r="K1780" s="25" t="s">
        <v>71</v>
      </c>
      <c r="L1780" s="25" t="s">
        <v>4607</v>
      </c>
      <c r="M1780" s="20" t="s">
        <v>3974</v>
      </c>
      <c r="N1780" s="20" t="s">
        <v>3975</v>
      </c>
      <c r="O1780" s="20" t="s">
        <v>63</v>
      </c>
      <c r="P1780" s="20"/>
      <c r="Q1780" s="26"/>
      <c r="R1780" s="26"/>
      <c r="S1780" s="26"/>
      <c r="T1780" s="20"/>
      <c r="U1780" s="26"/>
      <c r="V1780" s="26"/>
      <c r="W1780" s="20"/>
      <c r="X1780" s="20"/>
      <c r="Y1780" s="20"/>
      <c r="Z1780" s="20"/>
      <c r="AA1780" s="20"/>
      <c r="AB1780" s="20"/>
      <c r="AC1780" s="20"/>
      <c r="AD1780" s="20"/>
      <c r="AE1780" s="20"/>
    </row>
    <row r="1781">
      <c r="A1781" s="21">
        <v>48.0</v>
      </c>
      <c r="B1781" s="20" t="s">
        <v>3574</v>
      </c>
      <c r="C1781" s="20" t="s">
        <v>3920</v>
      </c>
      <c r="I1781" s="25" t="s">
        <v>2947</v>
      </c>
      <c r="J1781" s="25" t="s">
        <v>3951</v>
      </c>
      <c r="K1781" s="25" t="s">
        <v>67</v>
      </c>
      <c r="L1781" s="25" t="s">
        <v>1025</v>
      </c>
      <c r="M1781" s="20" t="s">
        <v>3960</v>
      </c>
      <c r="N1781" s="20" t="s">
        <v>3958</v>
      </c>
      <c r="O1781" s="20" t="s">
        <v>56</v>
      </c>
      <c r="P1781" s="20" t="s">
        <v>52</v>
      </c>
      <c r="Q1781" s="26"/>
      <c r="R1781" s="26"/>
      <c r="S1781" s="26"/>
      <c r="T1781" s="22"/>
      <c r="U1781" s="26"/>
      <c r="V1781" s="26"/>
      <c r="W1781" s="20"/>
      <c r="X1781" s="20"/>
      <c r="Y1781" s="20"/>
      <c r="Z1781" s="20"/>
      <c r="AA1781" s="20"/>
      <c r="AB1781" s="20"/>
      <c r="AC1781" s="20"/>
      <c r="AD1781" s="20"/>
      <c r="AE1781" s="20"/>
    </row>
    <row r="1782">
      <c r="A1782" s="21">
        <v>48.0</v>
      </c>
      <c r="B1782" s="20" t="s">
        <v>3574</v>
      </c>
      <c r="C1782" s="20" t="s">
        <v>3920</v>
      </c>
      <c r="I1782" s="25" t="s">
        <v>2481</v>
      </c>
      <c r="J1782" s="25" t="s">
        <v>3953</v>
      </c>
      <c r="K1782" s="25" t="s">
        <v>71</v>
      </c>
      <c r="L1782" s="25" t="s">
        <v>4607</v>
      </c>
      <c r="M1782" s="20" t="s">
        <v>3976</v>
      </c>
      <c r="N1782" s="20" t="s">
        <v>3977</v>
      </c>
      <c r="O1782" s="20" t="s">
        <v>63</v>
      </c>
      <c r="P1782" s="20"/>
      <c r="Q1782" s="26"/>
      <c r="R1782" s="26"/>
      <c r="S1782" s="26"/>
      <c r="T1782" s="20"/>
      <c r="U1782" s="26"/>
      <c r="V1782" s="26"/>
      <c r="W1782" s="20"/>
      <c r="X1782" s="20"/>
      <c r="Y1782" s="20"/>
      <c r="Z1782" s="20"/>
      <c r="AA1782" s="20"/>
      <c r="AB1782" s="20"/>
      <c r="AC1782" s="20"/>
      <c r="AD1782" s="20"/>
      <c r="AE1782" s="20"/>
    </row>
    <row r="1783">
      <c r="A1783" s="21">
        <v>48.0</v>
      </c>
      <c r="B1783" s="20" t="s">
        <v>3574</v>
      </c>
      <c r="C1783" s="20" t="s">
        <v>3920</v>
      </c>
      <c r="I1783" s="25" t="s">
        <v>1781</v>
      </c>
      <c r="J1783" s="25" t="s">
        <v>3953</v>
      </c>
      <c r="K1783" s="25" t="s">
        <v>71</v>
      </c>
      <c r="L1783" s="25" t="s">
        <v>4616</v>
      </c>
      <c r="M1783" s="20" t="s">
        <v>3967</v>
      </c>
      <c r="N1783" s="20" t="s">
        <v>3968</v>
      </c>
      <c r="O1783" s="20" t="s">
        <v>56</v>
      </c>
      <c r="P1783" s="20"/>
      <c r="Q1783" s="26"/>
      <c r="R1783" s="26"/>
      <c r="S1783" s="26"/>
      <c r="T1783" s="20"/>
      <c r="U1783" s="26"/>
      <c r="V1783" s="26"/>
      <c r="W1783" s="20"/>
      <c r="X1783" s="20"/>
      <c r="Y1783" s="20"/>
      <c r="Z1783" s="20"/>
      <c r="AA1783" s="20"/>
      <c r="AB1783" s="20"/>
      <c r="AC1783" s="20"/>
      <c r="AD1783" s="20"/>
      <c r="AE1783" s="20"/>
    </row>
    <row r="1784">
      <c r="A1784" s="21">
        <v>48.0</v>
      </c>
      <c r="B1784" s="20" t="s">
        <v>3574</v>
      </c>
      <c r="C1784" s="20" t="s">
        <v>3920</v>
      </c>
      <c r="I1784" s="25" t="s">
        <v>3554</v>
      </c>
      <c r="J1784" s="25" t="s">
        <v>3953</v>
      </c>
      <c r="K1784" s="25" t="s">
        <v>67</v>
      </c>
      <c r="L1784" s="25" t="s">
        <v>1025</v>
      </c>
      <c r="M1784" s="20" t="s">
        <v>3964</v>
      </c>
      <c r="N1784" s="20" t="s">
        <v>3963</v>
      </c>
      <c r="O1784" s="20" t="s">
        <v>56</v>
      </c>
      <c r="P1784" s="20" t="s">
        <v>52</v>
      </c>
      <c r="Q1784" s="26"/>
      <c r="R1784" s="26"/>
      <c r="S1784" s="26"/>
      <c r="T1784" s="22"/>
      <c r="U1784" s="26"/>
      <c r="V1784" s="26"/>
      <c r="W1784" s="20"/>
      <c r="X1784" s="20"/>
      <c r="Y1784" s="20"/>
      <c r="Z1784" s="20"/>
      <c r="AA1784" s="20"/>
      <c r="AB1784" s="20"/>
      <c r="AC1784" s="20"/>
      <c r="AD1784" s="20"/>
      <c r="AE1784" s="20"/>
    </row>
    <row r="1785">
      <c r="A1785" s="21">
        <v>48.0</v>
      </c>
      <c r="B1785" s="20" t="s">
        <v>3574</v>
      </c>
      <c r="C1785" s="20" t="s">
        <v>3920</v>
      </c>
      <c r="I1785" s="25" t="s">
        <v>3594</v>
      </c>
      <c r="J1785" s="25" t="s">
        <v>3951</v>
      </c>
      <c r="K1785" s="25" t="s">
        <v>67</v>
      </c>
      <c r="L1785" s="25" t="s">
        <v>1025</v>
      </c>
      <c r="M1785" s="20" t="s">
        <v>3961</v>
      </c>
      <c r="N1785" s="20" t="s">
        <v>3958</v>
      </c>
      <c r="O1785" s="20" t="s">
        <v>56</v>
      </c>
      <c r="P1785" s="20" t="s">
        <v>52</v>
      </c>
      <c r="Q1785" s="26"/>
      <c r="R1785" s="26"/>
      <c r="S1785" s="26"/>
      <c r="T1785" s="22"/>
      <c r="U1785" s="26"/>
      <c r="V1785" s="26"/>
      <c r="W1785" s="20"/>
      <c r="X1785" s="20"/>
      <c r="Y1785" s="20"/>
      <c r="Z1785" s="20"/>
      <c r="AA1785" s="20"/>
      <c r="AB1785" s="20"/>
      <c r="AC1785" s="20"/>
      <c r="AD1785" s="20"/>
      <c r="AE1785" s="20"/>
    </row>
    <row r="1786">
      <c r="A1786" s="21">
        <v>48.0</v>
      </c>
      <c r="B1786" s="20" t="s">
        <v>3574</v>
      </c>
      <c r="C1786" s="20" t="s">
        <v>3920</v>
      </c>
      <c r="I1786" s="25" t="s">
        <v>3558</v>
      </c>
      <c r="J1786" s="25" t="s">
        <v>3953</v>
      </c>
      <c r="K1786" s="25" t="s">
        <v>67</v>
      </c>
      <c r="L1786" s="25" t="s">
        <v>1025</v>
      </c>
      <c r="M1786" s="20" t="s">
        <v>3965</v>
      </c>
      <c r="N1786" s="20" t="s">
        <v>3963</v>
      </c>
      <c r="O1786" s="20" t="s">
        <v>56</v>
      </c>
      <c r="P1786" s="20" t="s">
        <v>52</v>
      </c>
      <c r="Q1786" s="26"/>
      <c r="R1786" s="26"/>
      <c r="S1786" s="26"/>
      <c r="T1786" s="22"/>
      <c r="U1786" s="26"/>
      <c r="V1786" s="26"/>
      <c r="W1786" s="20"/>
      <c r="X1786" s="20"/>
      <c r="Y1786" s="20"/>
      <c r="Z1786" s="20"/>
      <c r="AA1786" s="20"/>
      <c r="AB1786" s="20"/>
      <c r="AC1786" s="20"/>
      <c r="AD1786" s="20"/>
      <c r="AE1786" s="20"/>
    </row>
    <row r="1787">
      <c r="A1787" s="21">
        <v>48.0</v>
      </c>
      <c r="B1787" s="20" t="s">
        <v>3574</v>
      </c>
      <c r="C1787" s="20" t="s">
        <v>3920</v>
      </c>
      <c r="I1787" s="25" t="s">
        <v>1881</v>
      </c>
      <c r="J1787" s="25" t="s">
        <v>3953</v>
      </c>
      <c r="K1787" s="25" t="s">
        <v>71</v>
      </c>
      <c r="L1787" s="25" t="s">
        <v>4607</v>
      </c>
      <c r="M1787" s="20" t="s">
        <v>61</v>
      </c>
      <c r="N1787" s="20" t="s">
        <v>3979</v>
      </c>
      <c r="O1787" s="20" t="s">
        <v>63</v>
      </c>
      <c r="P1787" s="20"/>
      <c r="Q1787" s="26"/>
      <c r="R1787" s="26"/>
      <c r="S1787" s="26"/>
      <c r="T1787" s="20"/>
      <c r="U1787" s="26"/>
      <c r="V1787" s="26"/>
      <c r="W1787" s="20"/>
      <c r="X1787" s="20"/>
      <c r="Y1787" s="20"/>
      <c r="Z1787" s="20"/>
      <c r="AA1787" s="20"/>
      <c r="AB1787" s="20"/>
      <c r="AC1787" s="20"/>
      <c r="AD1787" s="20"/>
      <c r="AE1787" s="20"/>
    </row>
    <row r="1788">
      <c r="A1788" s="21">
        <v>48.0</v>
      </c>
      <c r="B1788" s="20" t="s">
        <v>3574</v>
      </c>
      <c r="C1788" s="20" t="s">
        <v>3920</v>
      </c>
      <c r="I1788" s="25" t="s">
        <v>1946</v>
      </c>
      <c r="J1788" s="25" t="s">
        <v>3953</v>
      </c>
      <c r="K1788" s="25" t="s">
        <v>71</v>
      </c>
      <c r="L1788" s="25" t="s">
        <v>4607</v>
      </c>
      <c r="M1788" s="20" t="s">
        <v>2582</v>
      </c>
      <c r="N1788" s="20" t="s">
        <v>3980</v>
      </c>
      <c r="O1788" s="20" t="s">
        <v>63</v>
      </c>
      <c r="P1788" s="20"/>
      <c r="Q1788" s="26"/>
      <c r="R1788" s="26"/>
      <c r="S1788" s="26"/>
      <c r="T1788" s="20"/>
      <c r="U1788" s="26"/>
      <c r="V1788" s="26"/>
      <c r="W1788" s="20"/>
      <c r="X1788" s="20"/>
      <c r="Y1788" s="20"/>
      <c r="Z1788" s="20"/>
      <c r="AA1788" s="20"/>
      <c r="AB1788" s="20"/>
      <c r="AC1788" s="20"/>
      <c r="AD1788" s="20"/>
      <c r="AE1788" s="20"/>
    </row>
    <row r="1789">
      <c r="A1789" s="21">
        <v>48.0</v>
      </c>
      <c r="B1789" s="20" t="s">
        <v>3574</v>
      </c>
      <c r="C1789" s="20" t="s">
        <v>3920</v>
      </c>
      <c r="I1789" s="25" t="s">
        <v>2747</v>
      </c>
      <c r="J1789" s="25" t="s">
        <v>3953</v>
      </c>
      <c r="K1789" s="25" t="s">
        <v>71</v>
      </c>
      <c r="L1789" s="25" t="s">
        <v>4631</v>
      </c>
      <c r="M1789" s="20" t="s">
        <v>3982</v>
      </c>
      <c r="N1789" s="20" t="s">
        <v>3983</v>
      </c>
      <c r="O1789" s="20" t="s">
        <v>63</v>
      </c>
      <c r="P1789" s="20"/>
      <c r="Q1789" s="26"/>
      <c r="R1789" s="26"/>
      <c r="S1789" s="26"/>
      <c r="T1789" s="20"/>
      <c r="U1789" s="26"/>
      <c r="V1789" s="26"/>
      <c r="W1789" s="20"/>
      <c r="X1789" s="20"/>
      <c r="Y1789" s="20"/>
      <c r="Z1789" s="20"/>
      <c r="AA1789" s="20"/>
      <c r="AB1789" s="20"/>
      <c r="AC1789" s="20"/>
      <c r="AD1789" s="20"/>
      <c r="AE1789" s="20"/>
    </row>
    <row r="1790">
      <c r="A1790" s="21">
        <v>48.0</v>
      </c>
      <c r="B1790" s="20" t="s">
        <v>3574</v>
      </c>
      <c r="C1790" s="20" t="s">
        <v>3920</v>
      </c>
      <c r="I1790" s="25" t="s">
        <v>1803</v>
      </c>
      <c r="J1790" s="25" t="s">
        <v>3953</v>
      </c>
      <c r="K1790" s="25" t="s">
        <v>71</v>
      </c>
      <c r="L1790" s="25" t="s">
        <v>4634</v>
      </c>
      <c r="M1790" s="20" t="s">
        <v>61</v>
      </c>
      <c r="N1790" s="20" t="s">
        <v>1804</v>
      </c>
      <c r="O1790" s="20" t="s">
        <v>63</v>
      </c>
      <c r="P1790" s="20"/>
      <c r="Q1790" s="26"/>
      <c r="R1790" s="26"/>
      <c r="S1790" s="26"/>
      <c r="T1790" s="20"/>
      <c r="U1790" s="26"/>
      <c r="V1790" s="26"/>
      <c r="W1790" s="20"/>
      <c r="X1790" s="20"/>
      <c r="Y1790" s="20"/>
      <c r="Z1790" s="20"/>
      <c r="AA1790" s="20"/>
      <c r="AB1790" s="20"/>
      <c r="AC1790" s="20"/>
      <c r="AD1790" s="20"/>
      <c r="AE1790" s="20"/>
    </row>
    <row r="1791">
      <c r="A1791" s="21">
        <v>48.0</v>
      </c>
      <c r="B1791" s="20" t="s">
        <v>3574</v>
      </c>
      <c r="C1791" s="20" t="s">
        <v>3920</v>
      </c>
      <c r="I1791" s="25" t="s">
        <v>3789</v>
      </c>
      <c r="J1791" s="25" t="s">
        <v>3953</v>
      </c>
      <c r="K1791" s="25" t="s">
        <v>71</v>
      </c>
      <c r="L1791" s="25" t="s">
        <v>4631</v>
      </c>
      <c r="M1791" s="20" t="s">
        <v>61</v>
      </c>
      <c r="N1791" s="20" t="s">
        <v>3985</v>
      </c>
      <c r="O1791" s="20" t="s">
        <v>63</v>
      </c>
      <c r="P1791" s="20"/>
      <c r="Q1791" s="26"/>
      <c r="R1791" s="26"/>
      <c r="S1791" s="26"/>
      <c r="T1791" s="20"/>
      <c r="U1791" s="26"/>
      <c r="V1791" s="26"/>
      <c r="W1791" s="20"/>
      <c r="X1791" s="20"/>
      <c r="Y1791" s="20"/>
      <c r="Z1791" s="20"/>
      <c r="AA1791" s="20"/>
      <c r="AB1791" s="20"/>
      <c r="AC1791" s="20"/>
      <c r="AD1791" s="20"/>
      <c r="AE1791" s="20"/>
    </row>
    <row r="1792">
      <c r="A1792" s="21">
        <v>48.0</v>
      </c>
      <c r="B1792" s="20" t="s">
        <v>3574</v>
      </c>
      <c r="C1792" s="20" t="s">
        <v>3920</v>
      </c>
      <c r="I1792" s="25" t="s">
        <v>3568</v>
      </c>
      <c r="J1792" s="25" t="s">
        <v>3969</v>
      </c>
      <c r="K1792" s="25" t="s">
        <v>71</v>
      </c>
      <c r="L1792" s="25" t="s">
        <v>4634</v>
      </c>
      <c r="M1792" s="20" t="s">
        <v>3970</v>
      </c>
      <c r="N1792" s="20" t="s">
        <v>3971</v>
      </c>
      <c r="O1792" s="20" t="s">
        <v>63</v>
      </c>
      <c r="P1792" s="20"/>
      <c r="Q1792" s="26"/>
      <c r="R1792" s="26"/>
      <c r="S1792" s="26"/>
      <c r="T1792" s="20"/>
      <c r="U1792" s="26"/>
      <c r="V1792" s="26"/>
      <c r="W1792" s="20"/>
      <c r="X1792" s="20"/>
      <c r="Y1792" s="20"/>
      <c r="Z1792" s="20"/>
      <c r="AA1792" s="20"/>
      <c r="AB1792" s="20"/>
      <c r="AC1792" s="20"/>
      <c r="AD1792" s="20"/>
      <c r="AE1792" s="20"/>
    </row>
    <row r="1793">
      <c r="A1793" s="21">
        <v>48.0</v>
      </c>
      <c r="B1793" s="20" t="s">
        <v>3574</v>
      </c>
      <c r="C1793" s="20" t="s">
        <v>3920</v>
      </c>
      <c r="I1793" s="25" t="s">
        <v>3598</v>
      </c>
      <c r="J1793" s="25" t="s">
        <v>3953</v>
      </c>
      <c r="K1793" s="25" t="s">
        <v>71</v>
      </c>
      <c r="L1793" s="25" t="s">
        <v>4607</v>
      </c>
      <c r="M1793" s="20" t="s">
        <v>3599</v>
      </c>
      <c r="N1793" s="20" t="s">
        <v>3986</v>
      </c>
      <c r="O1793" s="20" t="s">
        <v>63</v>
      </c>
      <c r="P1793" s="20"/>
      <c r="Q1793" s="26"/>
      <c r="R1793" s="26"/>
      <c r="S1793" s="26"/>
      <c r="T1793" s="20"/>
      <c r="U1793" s="26"/>
      <c r="V1793" s="26"/>
      <c r="W1793" s="20"/>
      <c r="X1793" s="20"/>
      <c r="Y1793" s="20"/>
      <c r="Z1793" s="20"/>
      <c r="AA1793" s="20"/>
      <c r="AB1793" s="20"/>
      <c r="AC1793" s="20"/>
      <c r="AD1793" s="20"/>
      <c r="AE1793" s="20"/>
    </row>
    <row r="1794">
      <c r="A1794" s="21">
        <v>48.0</v>
      </c>
      <c r="B1794" s="20" t="s">
        <v>3574</v>
      </c>
      <c r="C1794" s="20" t="s">
        <v>3920</v>
      </c>
      <c r="I1794" s="25" t="s">
        <v>1319</v>
      </c>
      <c r="J1794" s="25" t="s">
        <v>3953</v>
      </c>
      <c r="K1794" s="25" t="s">
        <v>71</v>
      </c>
      <c r="L1794" s="25" t="s">
        <v>4607</v>
      </c>
      <c r="M1794" s="20" t="s">
        <v>3988</v>
      </c>
      <c r="N1794" s="20" t="s">
        <v>3989</v>
      </c>
      <c r="O1794" s="20" t="s">
        <v>63</v>
      </c>
      <c r="P1794" s="20"/>
      <c r="Q1794" s="26"/>
      <c r="R1794" s="26"/>
      <c r="S1794" s="26"/>
      <c r="T1794" s="20"/>
      <c r="U1794" s="26"/>
      <c r="V1794" s="26"/>
      <c r="W1794" s="20"/>
      <c r="X1794" s="20"/>
      <c r="Y1794" s="20"/>
      <c r="Z1794" s="20"/>
      <c r="AA1794" s="20"/>
      <c r="AB1794" s="20"/>
      <c r="AC1794" s="20"/>
      <c r="AD1794" s="20"/>
      <c r="AE1794" s="20"/>
    </row>
    <row r="1795">
      <c r="A1795" s="21">
        <v>48.0</v>
      </c>
      <c r="B1795" s="20" t="s">
        <v>3574</v>
      </c>
      <c r="C1795" s="20" t="s">
        <v>3920</v>
      </c>
      <c r="I1795" s="25" t="s">
        <v>1805</v>
      </c>
      <c r="J1795" s="25" t="s">
        <v>3953</v>
      </c>
      <c r="K1795" s="25" t="s">
        <v>71</v>
      </c>
      <c r="L1795" s="25" t="s">
        <v>4607</v>
      </c>
      <c r="M1795" s="20" t="s">
        <v>3990</v>
      </c>
      <c r="N1795" s="20" t="s">
        <v>3991</v>
      </c>
      <c r="O1795" s="20" t="s">
        <v>63</v>
      </c>
      <c r="P1795" s="20"/>
      <c r="Q1795" s="26"/>
      <c r="R1795" s="26"/>
      <c r="S1795" s="26"/>
      <c r="T1795" s="20"/>
      <c r="U1795" s="26"/>
      <c r="V1795" s="26"/>
      <c r="W1795" s="20"/>
      <c r="X1795" s="20"/>
      <c r="Y1795" s="20"/>
      <c r="Z1795" s="20"/>
      <c r="AA1795" s="20"/>
      <c r="AB1795" s="20"/>
      <c r="AC1795" s="20"/>
      <c r="AD1795" s="20"/>
      <c r="AE1795" s="20"/>
    </row>
    <row r="1796">
      <c r="A1796" s="21">
        <v>48.0</v>
      </c>
      <c r="B1796" s="20" t="s">
        <v>3574</v>
      </c>
      <c r="C1796" s="20" t="s">
        <v>3920</v>
      </c>
      <c r="I1796" s="25" t="s">
        <v>3679</v>
      </c>
      <c r="J1796" s="25" t="s">
        <v>3969</v>
      </c>
      <c r="K1796" s="25" t="s">
        <v>71</v>
      </c>
      <c r="L1796" s="25" t="s">
        <v>4634</v>
      </c>
      <c r="M1796" s="20" t="s">
        <v>3680</v>
      </c>
      <c r="N1796" s="20" t="s">
        <v>3972</v>
      </c>
      <c r="O1796" s="20" t="s">
        <v>63</v>
      </c>
      <c r="P1796" s="20"/>
      <c r="Q1796" s="26"/>
      <c r="R1796" s="26"/>
      <c r="S1796" s="26"/>
      <c r="T1796" s="20"/>
      <c r="U1796" s="26"/>
      <c r="V1796" s="26"/>
      <c r="W1796" s="20"/>
      <c r="X1796" s="20"/>
      <c r="Y1796" s="20"/>
      <c r="Z1796" s="20"/>
      <c r="AA1796" s="20"/>
      <c r="AB1796" s="20"/>
      <c r="AC1796" s="20"/>
      <c r="AD1796" s="20"/>
      <c r="AE1796" s="20"/>
    </row>
    <row r="1797">
      <c r="A1797" s="21">
        <v>48.0</v>
      </c>
      <c r="B1797" s="20" t="s">
        <v>3574</v>
      </c>
      <c r="C1797" s="20" t="s">
        <v>3920</v>
      </c>
      <c r="I1797" s="25" t="s">
        <v>2727</v>
      </c>
      <c r="J1797" s="25" t="s">
        <v>3953</v>
      </c>
      <c r="K1797" s="25" t="s">
        <v>71</v>
      </c>
      <c r="L1797" s="25" t="s">
        <v>4631</v>
      </c>
      <c r="M1797" s="20" t="s">
        <v>3601</v>
      </c>
      <c r="N1797" s="20" t="s">
        <v>3993</v>
      </c>
      <c r="O1797" s="20" t="s">
        <v>63</v>
      </c>
      <c r="P1797" s="20"/>
      <c r="Q1797" s="26"/>
      <c r="R1797" s="26"/>
      <c r="S1797" s="26"/>
      <c r="T1797" s="20"/>
      <c r="U1797" s="26"/>
      <c r="V1797" s="26"/>
      <c r="W1797" s="20"/>
      <c r="X1797" s="20"/>
      <c r="Y1797" s="20"/>
      <c r="Z1797" s="20"/>
      <c r="AA1797" s="20"/>
      <c r="AB1797" s="20"/>
      <c r="AC1797" s="20"/>
      <c r="AD1797" s="20"/>
      <c r="AE1797" s="20"/>
    </row>
    <row r="1798">
      <c r="A1798" s="21">
        <v>48.0</v>
      </c>
      <c r="B1798" s="20" t="s">
        <v>3574</v>
      </c>
      <c r="C1798" s="20" t="s">
        <v>3920</v>
      </c>
      <c r="I1798" s="25" t="s">
        <v>2765</v>
      </c>
      <c r="J1798" s="25" t="s">
        <v>3953</v>
      </c>
      <c r="K1798" s="25" t="s">
        <v>71</v>
      </c>
      <c r="L1798" s="25" t="s">
        <v>4631</v>
      </c>
      <c r="M1798" s="20" t="s">
        <v>3994</v>
      </c>
      <c r="N1798" s="20" t="s">
        <v>3995</v>
      </c>
      <c r="O1798" s="20" t="s">
        <v>63</v>
      </c>
      <c r="P1798" s="20"/>
      <c r="Q1798" s="26"/>
      <c r="R1798" s="26"/>
      <c r="S1798" s="26"/>
      <c r="T1798" s="20"/>
      <c r="U1798" s="26"/>
      <c r="V1798" s="26"/>
      <c r="W1798" s="20"/>
      <c r="X1798" s="20"/>
      <c r="Y1798" s="20"/>
      <c r="Z1798" s="20"/>
      <c r="AA1798" s="20"/>
      <c r="AB1798" s="20"/>
      <c r="AC1798" s="20"/>
      <c r="AD1798" s="20"/>
      <c r="AE1798" s="20"/>
    </row>
    <row r="1799">
      <c r="A1799" s="21">
        <v>48.0</v>
      </c>
      <c r="B1799" s="20" t="s">
        <v>3574</v>
      </c>
      <c r="C1799" s="20" t="s">
        <v>3920</v>
      </c>
      <c r="I1799" s="25" t="s">
        <v>3813</v>
      </c>
      <c r="J1799" s="25" t="s">
        <v>3953</v>
      </c>
      <c r="K1799" s="25" t="s">
        <v>71</v>
      </c>
      <c r="L1799" s="25" t="s">
        <v>4634</v>
      </c>
      <c r="M1799" s="20" t="s">
        <v>3996</v>
      </c>
      <c r="N1799" s="20" t="s">
        <v>3997</v>
      </c>
      <c r="O1799" s="20" t="s">
        <v>63</v>
      </c>
      <c r="P1799" s="20"/>
      <c r="Q1799" s="26"/>
      <c r="R1799" s="26"/>
      <c r="S1799" s="26"/>
      <c r="T1799" s="20"/>
      <c r="U1799" s="26"/>
      <c r="V1799" s="26"/>
      <c r="W1799" s="20"/>
      <c r="X1799" s="20"/>
      <c r="Y1799" s="20"/>
      <c r="Z1799" s="20"/>
      <c r="AA1799" s="20"/>
      <c r="AB1799" s="20"/>
      <c r="AC1799" s="20"/>
      <c r="AD1799" s="20"/>
      <c r="AE1799" s="20"/>
    </row>
    <row r="1800">
      <c r="A1800" s="21">
        <v>48.0</v>
      </c>
      <c r="B1800" s="20" t="s">
        <v>3574</v>
      </c>
      <c r="C1800" s="20" t="s">
        <v>3920</v>
      </c>
      <c r="I1800" s="25" t="s">
        <v>721</v>
      </c>
      <c r="J1800" s="25" t="s">
        <v>3953</v>
      </c>
      <c r="K1800" s="25" t="s">
        <v>67</v>
      </c>
      <c r="L1800" s="25" t="s">
        <v>1025</v>
      </c>
      <c r="M1800" s="20" t="s">
        <v>917</v>
      </c>
      <c r="N1800" s="20" t="s">
        <v>3966</v>
      </c>
      <c r="O1800" s="20" t="s">
        <v>56</v>
      </c>
      <c r="P1800" s="20" t="s">
        <v>52</v>
      </c>
      <c r="Q1800" s="26"/>
      <c r="R1800" s="26"/>
      <c r="S1800" s="26"/>
      <c r="T1800" s="22"/>
      <c r="U1800" s="26"/>
      <c r="V1800" s="26"/>
      <c r="W1800" s="20"/>
      <c r="X1800" s="20"/>
      <c r="Y1800" s="20"/>
      <c r="Z1800" s="20"/>
      <c r="AA1800" s="20"/>
      <c r="AB1800" s="20"/>
      <c r="AC1800" s="20"/>
      <c r="AD1800" s="20"/>
      <c r="AE1800" s="20"/>
    </row>
    <row r="1801">
      <c r="A1801" s="21">
        <v>48.0</v>
      </c>
      <c r="B1801" s="20" t="s">
        <v>3574</v>
      </c>
      <c r="C1801" s="20" t="s">
        <v>3920</v>
      </c>
      <c r="I1801" s="25" t="s">
        <v>1338</v>
      </c>
      <c r="J1801" s="25" t="s">
        <v>3953</v>
      </c>
      <c r="K1801" s="25" t="s">
        <v>71</v>
      </c>
      <c r="L1801" s="25" t="s">
        <v>4607</v>
      </c>
      <c r="M1801" s="20" t="s">
        <v>1779</v>
      </c>
      <c r="N1801" s="20" t="s">
        <v>3998</v>
      </c>
      <c r="O1801" s="20" t="s">
        <v>63</v>
      </c>
      <c r="P1801" s="20"/>
      <c r="Q1801" s="26"/>
      <c r="R1801" s="26"/>
      <c r="S1801" s="26"/>
      <c r="T1801" s="20"/>
      <c r="U1801" s="26"/>
      <c r="V1801" s="26"/>
      <c r="W1801" s="20"/>
      <c r="X1801" s="20"/>
      <c r="Y1801" s="20"/>
      <c r="Z1801" s="20"/>
      <c r="AA1801" s="20"/>
      <c r="AB1801" s="20"/>
      <c r="AC1801" s="20"/>
      <c r="AD1801" s="20"/>
      <c r="AE1801" s="20"/>
    </row>
    <row r="1802">
      <c r="A1802" s="21">
        <v>49.0</v>
      </c>
      <c r="B1802" s="20" t="s">
        <v>3616</v>
      </c>
      <c r="C1802" s="20" t="s">
        <v>3920</v>
      </c>
      <c r="D1802" s="35">
        <v>30.0</v>
      </c>
      <c r="E1802" s="35">
        <v>0.0</v>
      </c>
      <c r="F1802" s="35">
        <v>2.0</v>
      </c>
      <c r="G1802" s="35">
        <v>28.0</v>
      </c>
      <c r="H1802" s="36" t="s">
        <v>4648</v>
      </c>
      <c r="I1802" s="25" t="s">
        <v>3733</v>
      </c>
      <c r="J1802" s="25" t="s">
        <v>4051</v>
      </c>
      <c r="K1802" s="25" t="s">
        <v>71</v>
      </c>
      <c r="L1802" s="25" t="s">
        <v>292</v>
      </c>
      <c r="M1802" s="20" t="s">
        <v>4052</v>
      </c>
      <c r="N1802" s="20" t="s">
        <v>4053</v>
      </c>
      <c r="O1802" s="20" t="s">
        <v>63</v>
      </c>
      <c r="P1802" s="20" t="s">
        <v>52</v>
      </c>
      <c r="Q1802" s="26"/>
      <c r="R1802" s="26"/>
      <c r="S1802" s="26"/>
      <c r="T1802" s="22"/>
      <c r="U1802" s="26"/>
      <c r="V1802" s="26"/>
      <c r="W1802" s="20"/>
      <c r="X1802" s="20"/>
      <c r="Y1802" s="20"/>
      <c r="Z1802" s="20"/>
      <c r="AA1802" s="20"/>
      <c r="AB1802" s="20"/>
      <c r="AC1802" s="20"/>
      <c r="AD1802" s="20"/>
      <c r="AE1802" s="20"/>
    </row>
    <row r="1803">
      <c r="A1803" s="21">
        <v>49.0</v>
      </c>
      <c r="B1803" s="20" t="s">
        <v>3616</v>
      </c>
      <c r="C1803" s="20" t="s">
        <v>3920</v>
      </c>
      <c r="I1803" s="25" t="s">
        <v>3554</v>
      </c>
      <c r="J1803" s="25" t="s">
        <v>3999</v>
      </c>
      <c r="K1803" s="25" t="s">
        <v>71</v>
      </c>
      <c r="L1803" s="25" t="s">
        <v>292</v>
      </c>
      <c r="M1803" s="20" t="s">
        <v>61</v>
      </c>
      <c r="N1803" s="20" t="s">
        <v>3710</v>
      </c>
      <c r="O1803" s="20" t="s">
        <v>63</v>
      </c>
      <c r="P1803" s="20" t="s">
        <v>52</v>
      </c>
      <c r="Q1803" s="26"/>
      <c r="R1803" s="26"/>
      <c r="S1803" s="26"/>
      <c r="T1803" s="22"/>
      <c r="U1803" s="26"/>
      <c r="V1803" s="26"/>
      <c r="W1803" s="20"/>
      <c r="X1803" s="20"/>
      <c r="Y1803" s="20"/>
      <c r="Z1803" s="20"/>
      <c r="AA1803" s="20"/>
      <c r="AB1803" s="20"/>
      <c r="AC1803" s="20"/>
      <c r="AD1803" s="20"/>
      <c r="AE1803" s="20"/>
    </row>
    <row r="1804">
      <c r="A1804" s="21">
        <v>49.0</v>
      </c>
      <c r="B1804" s="20" t="s">
        <v>3616</v>
      </c>
      <c r="C1804" s="20" t="s">
        <v>3920</v>
      </c>
      <c r="I1804" s="25" t="s">
        <v>3682</v>
      </c>
      <c r="J1804" s="25" t="s">
        <v>3999</v>
      </c>
      <c r="K1804" s="25" t="s">
        <v>71</v>
      </c>
      <c r="L1804" s="25" t="s">
        <v>292</v>
      </c>
      <c r="M1804" s="20" t="s">
        <v>61</v>
      </c>
      <c r="N1804" s="20" t="s">
        <v>3683</v>
      </c>
      <c r="O1804" s="20" t="s">
        <v>63</v>
      </c>
      <c r="P1804" s="20" t="s">
        <v>52</v>
      </c>
      <c r="Q1804" s="26"/>
      <c r="R1804" s="26"/>
      <c r="S1804" s="26"/>
      <c r="T1804" s="22"/>
      <c r="U1804" s="26"/>
      <c r="V1804" s="26"/>
      <c r="W1804" s="20"/>
      <c r="X1804" s="20"/>
      <c r="Y1804" s="20"/>
      <c r="Z1804" s="20"/>
      <c r="AA1804" s="20"/>
      <c r="AB1804" s="20"/>
      <c r="AC1804" s="20"/>
      <c r="AD1804" s="20"/>
      <c r="AE1804" s="20"/>
    </row>
    <row r="1805">
      <c r="A1805" s="21">
        <v>49.0</v>
      </c>
      <c r="B1805" s="20" t="s">
        <v>3616</v>
      </c>
      <c r="C1805" s="20" t="s">
        <v>3920</v>
      </c>
      <c r="I1805" s="25" t="s">
        <v>2727</v>
      </c>
      <c r="J1805" s="25" t="s">
        <v>3999</v>
      </c>
      <c r="K1805" s="25" t="s">
        <v>67</v>
      </c>
      <c r="L1805" s="25" t="s">
        <v>4654</v>
      </c>
      <c r="M1805" s="20" t="s">
        <v>3601</v>
      </c>
      <c r="N1805" s="20" t="s">
        <v>4000</v>
      </c>
      <c r="O1805" s="20" t="s">
        <v>63</v>
      </c>
      <c r="P1805" s="20"/>
      <c r="Q1805" s="26"/>
      <c r="R1805" s="26"/>
      <c r="S1805" s="26"/>
      <c r="T1805" s="20"/>
      <c r="U1805" s="26"/>
      <c r="V1805" s="26"/>
      <c r="W1805" s="20"/>
      <c r="X1805" s="20"/>
      <c r="Y1805" s="20"/>
      <c r="Z1805" s="20"/>
      <c r="AA1805" s="20"/>
      <c r="AB1805" s="20"/>
      <c r="AC1805" s="20"/>
      <c r="AD1805" s="20"/>
      <c r="AE1805" s="20"/>
    </row>
    <row r="1806">
      <c r="A1806" s="21">
        <v>49.0</v>
      </c>
      <c r="B1806" s="20" t="s">
        <v>3616</v>
      </c>
      <c r="C1806" s="20" t="s">
        <v>3920</v>
      </c>
      <c r="I1806" s="25" t="s">
        <v>3646</v>
      </c>
      <c r="J1806" s="25" t="s">
        <v>3999</v>
      </c>
      <c r="K1806" s="25" t="s">
        <v>67</v>
      </c>
      <c r="L1806" s="25" t="s">
        <v>4657</v>
      </c>
      <c r="M1806" s="20" t="s">
        <v>61</v>
      </c>
      <c r="N1806" s="20" t="s">
        <v>3748</v>
      </c>
      <c r="O1806" s="20" t="s">
        <v>63</v>
      </c>
      <c r="P1806" s="20"/>
      <c r="Q1806" s="26"/>
      <c r="R1806" s="26"/>
      <c r="S1806" s="26"/>
      <c r="T1806" s="20"/>
      <c r="U1806" s="26"/>
      <c r="V1806" s="26"/>
      <c r="W1806" s="20"/>
      <c r="X1806" s="20"/>
      <c r="Y1806" s="20"/>
      <c r="Z1806" s="20"/>
      <c r="AA1806" s="20"/>
      <c r="AB1806" s="20"/>
      <c r="AC1806" s="20"/>
      <c r="AD1806" s="20"/>
      <c r="AE1806" s="20"/>
    </row>
    <row r="1807">
      <c r="A1807" s="21">
        <v>49.0</v>
      </c>
      <c r="B1807" s="20" t="s">
        <v>3616</v>
      </c>
      <c r="C1807" s="20" t="s">
        <v>3920</v>
      </c>
      <c r="I1807" s="25" t="s">
        <v>150</v>
      </c>
      <c r="J1807" s="25" t="s">
        <v>3999</v>
      </c>
      <c r="K1807" s="25" t="s">
        <v>71</v>
      </c>
      <c r="L1807" s="25" t="s">
        <v>292</v>
      </c>
      <c r="M1807" s="20" t="s">
        <v>4002</v>
      </c>
      <c r="N1807" s="20" t="s">
        <v>4003</v>
      </c>
      <c r="O1807" s="20" t="s">
        <v>63</v>
      </c>
      <c r="P1807" s="20" t="s">
        <v>52</v>
      </c>
      <c r="Q1807" s="26"/>
      <c r="R1807" s="26"/>
      <c r="S1807" s="26"/>
      <c r="T1807" s="22"/>
      <c r="U1807" s="26"/>
      <c r="V1807" s="26"/>
      <c r="W1807" s="20"/>
      <c r="X1807" s="20"/>
      <c r="Y1807" s="20"/>
      <c r="Z1807" s="20"/>
      <c r="AA1807" s="20"/>
      <c r="AB1807" s="20"/>
      <c r="AC1807" s="20"/>
      <c r="AD1807" s="20"/>
      <c r="AE1807" s="20"/>
    </row>
    <row r="1808">
      <c r="A1808" s="21">
        <v>49.0</v>
      </c>
      <c r="B1808" s="20" t="s">
        <v>3616</v>
      </c>
      <c r="C1808" s="20" t="s">
        <v>3920</v>
      </c>
      <c r="I1808" s="25" t="s">
        <v>1319</v>
      </c>
      <c r="J1808" s="25" t="s">
        <v>3999</v>
      </c>
      <c r="K1808" s="25" t="s">
        <v>71</v>
      </c>
      <c r="L1808" s="25" t="s">
        <v>292</v>
      </c>
      <c r="M1808" s="20" t="s">
        <v>4004</v>
      </c>
      <c r="N1808" s="20" t="s">
        <v>4005</v>
      </c>
      <c r="O1808" s="20" t="s">
        <v>63</v>
      </c>
      <c r="P1808" s="20" t="s">
        <v>52</v>
      </c>
      <c r="Q1808" s="26"/>
      <c r="R1808" s="26"/>
      <c r="S1808" s="26"/>
      <c r="T1808" s="22"/>
      <c r="U1808" s="26"/>
      <c r="V1808" s="26"/>
      <c r="W1808" s="20"/>
      <c r="X1808" s="20"/>
      <c r="Y1808" s="20"/>
      <c r="Z1808" s="20"/>
      <c r="AA1808" s="20"/>
      <c r="AB1808" s="20"/>
      <c r="AC1808" s="20"/>
      <c r="AD1808" s="20"/>
      <c r="AE1808" s="20"/>
    </row>
    <row r="1809">
      <c r="A1809" s="21">
        <v>49.0</v>
      </c>
      <c r="B1809" s="20" t="s">
        <v>3616</v>
      </c>
      <c r="C1809" s="20" t="s">
        <v>3920</v>
      </c>
      <c r="I1809" s="25" t="s">
        <v>1335</v>
      </c>
      <c r="J1809" s="25" t="s">
        <v>3999</v>
      </c>
      <c r="K1809" s="25" t="s">
        <v>71</v>
      </c>
      <c r="L1809" s="25" t="s">
        <v>292</v>
      </c>
      <c r="M1809" s="20" t="s">
        <v>4007</v>
      </c>
      <c r="N1809" s="20" t="s">
        <v>4008</v>
      </c>
      <c r="O1809" s="20" t="s">
        <v>63</v>
      </c>
      <c r="P1809" s="20" t="s">
        <v>52</v>
      </c>
      <c r="Q1809" s="26"/>
      <c r="R1809" s="26"/>
      <c r="S1809" s="26"/>
      <c r="T1809" s="22"/>
      <c r="U1809" s="26"/>
      <c r="V1809" s="26"/>
      <c r="W1809" s="20"/>
      <c r="X1809" s="20"/>
      <c r="Y1809" s="20"/>
      <c r="Z1809" s="20"/>
      <c r="AA1809" s="20"/>
      <c r="AB1809" s="20"/>
      <c r="AC1809" s="20"/>
      <c r="AD1809" s="20"/>
      <c r="AE1809" s="20"/>
    </row>
    <row r="1810">
      <c r="A1810" s="21">
        <v>49.0</v>
      </c>
      <c r="B1810" s="20" t="s">
        <v>3616</v>
      </c>
      <c r="C1810" s="20" t="s">
        <v>3920</v>
      </c>
      <c r="I1810" s="25" t="s">
        <v>1430</v>
      </c>
      <c r="J1810" s="25" t="s">
        <v>3999</v>
      </c>
      <c r="K1810" s="25" t="s">
        <v>71</v>
      </c>
      <c r="L1810" s="25" t="s">
        <v>292</v>
      </c>
      <c r="M1810" s="20" t="s">
        <v>4009</v>
      </c>
      <c r="N1810" s="20" t="s">
        <v>4010</v>
      </c>
      <c r="O1810" s="20" t="s">
        <v>63</v>
      </c>
      <c r="P1810" s="20" t="s">
        <v>52</v>
      </c>
      <c r="Q1810" s="26"/>
      <c r="R1810" s="26"/>
      <c r="S1810" s="26"/>
      <c r="T1810" s="22"/>
      <c r="U1810" s="26"/>
      <c r="V1810" s="26"/>
      <c r="W1810" s="20"/>
      <c r="X1810" s="20"/>
      <c r="Y1810" s="20"/>
      <c r="Z1810" s="20"/>
      <c r="AA1810" s="20"/>
      <c r="AB1810" s="20"/>
      <c r="AC1810" s="20"/>
      <c r="AD1810" s="20"/>
      <c r="AE1810" s="20"/>
    </row>
    <row r="1811">
      <c r="A1811" s="21">
        <v>49.0</v>
      </c>
      <c r="B1811" s="20" t="s">
        <v>3616</v>
      </c>
      <c r="C1811" s="20" t="s">
        <v>3920</v>
      </c>
      <c r="I1811" s="25" t="s">
        <v>2801</v>
      </c>
      <c r="J1811" s="25" t="s">
        <v>3999</v>
      </c>
      <c r="K1811" s="25" t="s">
        <v>71</v>
      </c>
      <c r="L1811" s="25" t="s">
        <v>292</v>
      </c>
      <c r="M1811" s="20" t="s">
        <v>2802</v>
      </c>
      <c r="N1811" s="20" t="s">
        <v>4011</v>
      </c>
      <c r="O1811" s="20" t="s">
        <v>63</v>
      </c>
      <c r="P1811" s="20" t="s">
        <v>52</v>
      </c>
      <c r="Q1811" s="26"/>
      <c r="R1811" s="26"/>
      <c r="S1811" s="26"/>
      <c r="T1811" s="22"/>
      <c r="U1811" s="26"/>
      <c r="V1811" s="26"/>
      <c r="W1811" s="20"/>
      <c r="X1811" s="20"/>
      <c r="Y1811" s="20"/>
      <c r="Z1811" s="20"/>
      <c r="AA1811" s="20"/>
      <c r="AB1811" s="20"/>
      <c r="AC1811" s="20"/>
      <c r="AD1811" s="20"/>
      <c r="AE1811" s="20"/>
    </row>
    <row r="1812">
      <c r="A1812" s="21">
        <v>49.0</v>
      </c>
      <c r="B1812" s="20" t="s">
        <v>3616</v>
      </c>
      <c r="C1812" s="20" t="s">
        <v>3920</v>
      </c>
      <c r="I1812" s="25" t="s">
        <v>2870</v>
      </c>
      <c r="J1812" s="25" t="s">
        <v>3999</v>
      </c>
      <c r="K1812" s="25" t="s">
        <v>71</v>
      </c>
      <c r="L1812" s="25" t="s">
        <v>292</v>
      </c>
      <c r="M1812" s="20" t="s">
        <v>61</v>
      </c>
      <c r="N1812" s="20" t="s">
        <v>4012</v>
      </c>
      <c r="O1812" s="20" t="s">
        <v>63</v>
      </c>
      <c r="P1812" s="20" t="s">
        <v>52</v>
      </c>
      <c r="Q1812" s="26"/>
      <c r="R1812" s="26"/>
      <c r="S1812" s="26"/>
      <c r="T1812" s="22"/>
      <c r="U1812" s="26"/>
      <c r="V1812" s="26"/>
      <c r="W1812" s="20"/>
      <c r="X1812" s="20"/>
      <c r="Y1812" s="20"/>
      <c r="Z1812" s="20"/>
      <c r="AA1812" s="20"/>
      <c r="AB1812" s="20"/>
      <c r="AC1812" s="20"/>
      <c r="AD1812" s="20"/>
      <c r="AE1812" s="20"/>
    </row>
    <row r="1813">
      <c r="A1813" s="21">
        <v>49.0</v>
      </c>
      <c r="B1813" s="20" t="s">
        <v>3616</v>
      </c>
      <c r="C1813" s="20" t="s">
        <v>3920</v>
      </c>
      <c r="I1813" s="25" t="s">
        <v>1351</v>
      </c>
      <c r="J1813" s="25" t="s">
        <v>3999</v>
      </c>
      <c r="K1813" s="25" t="s">
        <v>71</v>
      </c>
      <c r="L1813" s="25" t="s">
        <v>292</v>
      </c>
      <c r="M1813" s="20" t="s">
        <v>1352</v>
      </c>
      <c r="N1813" s="20" t="s">
        <v>1353</v>
      </c>
      <c r="O1813" s="20" t="s">
        <v>63</v>
      </c>
      <c r="P1813" s="20" t="s">
        <v>52</v>
      </c>
      <c r="Q1813" s="26"/>
      <c r="R1813" s="26"/>
      <c r="S1813" s="26"/>
      <c r="T1813" s="22"/>
      <c r="U1813" s="26"/>
      <c r="V1813" s="26"/>
      <c r="W1813" s="20"/>
      <c r="X1813" s="20"/>
      <c r="Y1813" s="20"/>
      <c r="Z1813" s="20"/>
      <c r="AA1813" s="20"/>
      <c r="AB1813" s="20"/>
      <c r="AC1813" s="20"/>
      <c r="AD1813" s="20"/>
      <c r="AE1813" s="20"/>
    </row>
    <row r="1814">
      <c r="A1814" s="21">
        <v>49.0</v>
      </c>
      <c r="B1814" s="20" t="s">
        <v>3616</v>
      </c>
      <c r="C1814" s="20" t="s">
        <v>3920</v>
      </c>
      <c r="I1814" s="25" t="s">
        <v>1297</v>
      </c>
      <c r="J1814" s="25" t="s">
        <v>3999</v>
      </c>
      <c r="K1814" s="25" t="s">
        <v>71</v>
      </c>
      <c r="L1814" s="25" t="s">
        <v>292</v>
      </c>
      <c r="M1814" s="20" t="s">
        <v>4014</v>
      </c>
      <c r="N1814" s="20" t="s">
        <v>4016</v>
      </c>
      <c r="O1814" s="20" t="s">
        <v>63</v>
      </c>
      <c r="P1814" s="20" t="s">
        <v>52</v>
      </c>
      <c r="Q1814" s="26"/>
      <c r="R1814" s="26"/>
      <c r="S1814" s="26"/>
      <c r="T1814" s="22"/>
      <c r="U1814" s="26"/>
      <c r="V1814" s="26"/>
      <c r="W1814" s="20"/>
      <c r="X1814" s="20"/>
      <c r="Y1814" s="20"/>
      <c r="Z1814" s="20"/>
      <c r="AA1814" s="20"/>
      <c r="AB1814" s="20"/>
      <c r="AC1814" s="20"/>
      <c r="AD1814" s="20"/>
      <c r="AE1814" s="20"/>
    </row>
    <row r="1815">
      <c r="A1815" s="21">
        <v>49.0</v>
      </c>
      <c r="B1815" s="20" t="s">
        <v>3616</v>
      </c>
      <c r="C1815" s="20" t="s">
        <v>3920</v>
      </c>
      <c r="I1815" s="25" t="s">
        <v>3620</v>
      </c>
      <c r="J1815" s="25" t="s">
        <v>3999</v>
      </c>
      <c r="K1815" s="25" t="s">
        <v>71</v>
      </c>
      <c r="L1815" s="25" t="s">
        <v>292</v>
      </c>
      <c r="M1815" s="20" t="s">
        <v>4017</v>
      </c>
      <c r="N1815" s="20" t="s">
        <v>4018</v>
      </c>
      <c r="O1815" s="20" t="s">
        <v>63</v>
      </c>
      <c r="P1815" s="20" t="s">
        <v>52</v>
      </c>
      <c r="Q1815" s="26"/>
      <c r="R1815" s="26"/>
      <c r="S1815" s="26"/>
      <c r="T1815" s="22"/>
      <c r="U1815" s="26"/>
      <c r="V1815" s="26"/>
      <c r="W1815" s="20"/>
      <c r="X1815" s="20"/>
      <c r="Y1815" s="20"/>
      <c r="Z1815" s="20"/>
      <c r="AA1815" s="20"/>
      <c r="AB1815" s="20"/>
      <c r="AC1815" s="20"/>
      <c r="AD1815" s="20"/>
      <c r="AE1815" s="20"/>
    </row>
    <row r="1816">
      <c r="A1816" s="21">
        <v>49.0</v>
      </c>
      <c r="B1816" s="20" t="s">
        <v>3616</v>
      </c>
      <c r="C1816" s="20" t="s">
        <v>3920</v>
      </c>
      <c r="I1816" s="25" t="s">
        <v>3894</v>
      </c>
      <c r="J1816" s="25" t="s">
        <v>3999</v>
      </c>
      <c r="K1816" s="25" t="s">
        <v>71</v>
      </c>
      <c r="L1816" s="25" t="s">
        <v>292</v>
      </c>
      <c r="M1816" s="20" t="s">
        <v>4020</v>
      </c>
      <c r="N1816" s="20" t="s">
        <v>4021</v>
      </c>
      <c r="O1816" s="20" t="s">
        <v>63</v>
      </c>
      <c r="P1816" s="20" t="s">
        <v>52</v>
      </c>
      <c r="Q1816" s="26"/>
      <c r="R1816" s="26"/>
      <c r="S1816" s="26"/>
      <c r="T1816" s="22"/>
      <c r="U1816" s="26"/>
      <c r="V1816" s="26"/>
      <c r="W1816" s="20"/>
      <c r="X1816" s="20"/>
      <c r="Y1816" s="20"/>
      <c r="Z1816" s="20"/>
      <c r="AA1816" s="20"/>
      <c r="AB1816" s="20"/>
      <c r="AC1816" s="20"/>
      <c r="AD1816" s="20"/>
      <c r="AE1816" s="20"/>
    </row>
    <row r="1817">
      <c r="A1817" s="21">
        <v>49.0</v>
      </c>
      <c r="B1817" s="20" t="s">
        <v>3616</v>
      </c>
      <c r="C1817" s="20" t="s">
        <v>3920</v>
      </c>
      <c r="I1817" s="25" t="s">
        <v>4023</v>
      </c>
      <c r="J1817" s="25" t="s">
        <v>3999</v>
      </c>
      <c r="K1817" s="25" t="s">
        <v>71</v>
      </c>
      <c r="L1817" s="25" t="s">
        <v>292</v>
      </c>
      <c r="M1817" s="20" t="s">
        <v>4024</v>
      </c>
      <c r="N1817" s="20" t="s">
        <v>4025</v>
      </c>
      <c r="O1817" s="20" t="s">
        <v>63</v>
      </c>
      <c r="P1817" s="20" t="s">
        <v>52</v>
      </c>
      <c r="Q1817" s="26"/>
      <c r="R1817" s="26"/>
      <c r="S1817" s="26"/>
      <c r="T1817" s="22"/>
      <c r="U1817" s="26"/>
      <c r="V1817" s="26"/>
      <c r="W1817" s="20"/>
      <c r="X1817" s="20"/>
      <c r="Y1817" s="20"/>
      <c r="Z1817" s="20"/>
      <c r="AA1817" s="20"/>
      <c r="AB1817" s="20"/>
      <c r="AC1817" s="20"/>
      <c r="AD1817" s="20"/>
      <c r="AE1817" s="20"/>
    </row>
    <row r="1818">
      <c r="A1818" s="21">
        <v>49.0</v>
      </c>
      <c r="B1818" s="20" t="s">
        <v>3616</v>
      </c>
      <c r="C1818" s="20" t="s">
        <v>3920</v>
      </c>
      <c r="I1818" s="25" t="s">
        <v>4026</v>
      </c>
      <c r="J1818" s="25" t="s">
        <v>3999</v>
      </c>
      <c r="K1818" s="25" t="s">
        <v>71</v>
      </c>
      <c r="L1818" s="25" t="s">
        <v>292</v>
      </c>
      <c r="M1818" s="20" t="s">
        <v>4027</v>
      </c>
      <c r="N1818" s="20" t="s">
        <v>4028</v>
      </c>
      <c r="O1818" s="20" t="s">
        <v>63</v>
      </c>
      <c r="P1818" s="20" t="s">
        <v>52</v>
      </c>
      <c r="Q1818" s="26"/>
      <c r="R1818" s="26"/>
      <c r="S1818" s="26"/>
      <c r="T1818" s="22"/>
      <c r="U1818" s="26"/>
      <c r="V1818" s="26"/>
      <c r="W1818" s="20"/>
      <c r="X1818" s="20"/>
      <c r="Y1818" s="20"/>
      <c r="Z1818" s="20"/>
      <c r="AA1818" s="20"/>
      <c r="AB1818" s="20"/>
      <c r="AC1818" s="20"/>
      <c r="AD1818" s="20"/>
      <c r="AE1818" s="20"/>
    </row>
    <row r="1819">
      <c r="A1819" s="21">
        <v>49.0</v>
      </c>
      <c r="B1819" s="20" t="s">
        <v>3616</v>
      </c>
      <c r="C1819" s="20" t="s">
        <v>3920</v>
      </c>
      <c r="I1819" s="25" t="s">
        <v>1370</v>
      </c>
      <c r="J1819" s="25" t="s">
        <v>3999</v>
      </c>
      <c r="K1819" s="25" t="s">
        <v>71</v>
      </c>
      <c r="L1819" s="25" t="s">
        <v>292</v>
      </c>
      <c r="M1819" s="20" t="s">
        <v>4030</v>
      </c>
      <c r="N1819" s="20" t="s">
        <v>4008</v>
      </c>
      <c r="O1819" s="20" t="s">
        <v>63</v>
      </c>
      <c r="P1819" s="20" t="s">
        <v>52</v>
      </c>
      <c r="Q1819" s="26"/>
      <c r="R1819" s="26"/>
      <c r="S1819" s="26"/>
      <c r="T1819" s="22"/>
      <c r="U1819" s="26"/>
      <c r="V1819" s="26"/>
      <c r="W1819" s="20"/>
      <c r="X1819" s="20"/>
      <c r="Y1819" s="20"/>
      <c r="Z1819" s="20"/>
      <c r="AA1819" s="20"/>
      <c r="AB1819" s="20"/>
      <c r="AC1819" s="20"/>
      <c r="AD1819" s="20"/>
      <c r="AE1819" s="20"/>
    </row>
    <row r="1820">
      <c r="A1820" s="21">
        <v>49.0</v>
      </c>
      <c r="B1820" s="20" t="s">
        <v>3616</v>
      </c>
      <c r="C1820" s="20" t="s">
        <v>3920</v>
      </c>
      <c r="I1820" s="25" t="s">
        <v>3577</v>
      </c>
      <c r="J1820" s="25" t="s">
        <v>3999</v>
      </c>
      <c r="K1820" s="25" t="s">
        <v>71</v>
      </c>
      <c r="L1820" s="25" t="s">
        <v>4693</v>
      </c>
      <c r="M1820" s="20" t="s">
        <v>4031</v>
      </c>
      <c r="N1820" s="20" t="s">
        <v>4032</v>
      </c>
      <c r="O1820" s="20" t="s">
        <v>63</v>
      </c>
      <c r="P1820" s="20"/>
      <c r="Q1820" s="26"/>
      <c r="R1820" s="26"/>
      <c r="S1820" s="26"/>
      <c r="T1820" s="20"/>
      <c r="U1820" s="26"/>
      <c r="V1820" s="26"/>
      <c r="W1820" s="20"/>
      <c r="X1820" s="20"/>
      <c r="Y1820" s="20"/>
      <c r="Z1820" s="20"/>
      <c r="AA1820" s="20"/>
      <c r="AB1820" s="20"/>
      <c r="AC1820" s="20"/>
      <c r="AD1820" s="20"/>
      <c r="AE1820" s="20"/>
    </row>
    <row r="1821">
      <c r="A1821" s="21">
        <v>49.0</v>
      </c>
      <c r="B1821" s="20" t="s">
        <v>3616</v>
      </c>
      <c r="C1821" s="20" t="s">
        <v>3920</v>
      </c>
      <c r="I1821" s="25" t="s">
        <v>3594</v>
      </c>
      <c r="J1821" s="25" t="s">
        <v>3999</v>
      </c>
      <c r="K1821" s="25" t="s">
        <v>71</v>
      </c>
      <c r="L1821" s="25" t="s">
        <v>292</v>
      </c>
      <c r="M1821" s="20" t="s">
        <v>61</v>
      </c>
      <c r="N1821" s="20" t="s">
        <v>3729</v>
      </c>
      <c r="O1821" s="20" t="s">
        <v>63</v>
      </c>
      <c r="P1821" s="20" t="s">
        <v>52</v>
      </c>
      <c r="Q1821" s="26"/>
      <c r="R1821" s="26"/>
      <c r="S1821" s="26"/>
      <c r="T1821" s="22"/>
      <c r="U1821" s="26"/>
      <c r="V1821" s="26"/>
      <c r="W1821" s="20"/>
      <c r="X1821" s="20"/>
      <c r="Y1821" s="20"/>
      <c r="Z1821" s="20"/>
      <c r="AA1821" s="20"/>
      <c r="AB1821" s="20"/>
      <c r="AC1821" s="20"/>
      <c r="AD1821" s="20"/>
      <c r="AE1821" s="20"/>
    </row>
    <row r="1822">
      <c r="A1822" s="21">
        <v>49.0</v>
      </c>
      <c r="B1822" s="20" t="s">
        <v>3616</v>
      </c>
      <c r="C1822" s="20" t="s">
        <v>3920</v>
      </c>
      <c r="I1822" s="25" t="s">
        <v>4034</v>
      </c>
      <c r="J1822" s="25" t="s">
        <v>3999</v>
      </c>
      <c r="K1822" s="25" t="s">
        <v>71</v>
      </c>
      <c r="L1822" s="25" t="s">
        <v>292</v>
      </c>
      <c r="M1822" s="20" t="s">
        <v>4035</v>
      </c>
      <c r="N1822" s="20" t="s">
        <v>4036</v>
      </c>
      <c r="O1822" s="20" t="s">
        <v>63</v>
      </c>
      <c r="P1822" s="20" t="s">
        <v>52</v>
      </c>
      <c r="Q1822" s="26"/>
      <c r="R1822" s="26"/>
      <c r="S1822" s="26"/>
      <c r="T1822" s="22"/>
      <c r="U1822" s="26"/>
      <c r="V1822" s="26"/>
      <c r="W1822" s="20"/>
      <c r="X1822" s="20"/>
      <c r="Y1822" s="20"/>
      <c r="Z1822" s="20"/>
      <c r="AA1822" s="20"/>
      <c r="AB1822" s="20"/>
      <c r="AC1822" s="20"/>
      <c r="AD1822" s="20"/>
      <c r="AE1822" s="20"/>
    </row>
    <row r="1823">
      <c r="A1823" s="21">
        <v>49.0</v>
      </c>
      <c r="B1823" s="20" t="s">
        <v>3616</v>
      </c>
      <c r="C1823" s="20" t="s">
        <v>3920</v>
      </c>
      <c r="I1823" s="25" t="s">
        <v>2902</v>
      </c>
      <c r="J1823" s="25" t="s">
        <v>3999</v>
      </c>
      <c r="K1823" s="25" t="s">
        <v>71</v>
      </c>
      <c r="L1823" s="25" t="s">
        <v>4696</v>
      </c>
      <c r="M1823" s="20" t="s">
        <v>61</v>
      </c>
      <c r="N1823" s="20" t="s">
        <v>3665</v>
      </c>
      <c r="O1823" s="20" t="s">
        <v>63</v>
      </c>
      <c r="P1823" s="20"/>
      <c r="Q1823" s="26"/>
      <c r="R1823" s="26"/>
      <c r="S1823" s="26"/>
      <c r="T1823" s="20"/>
      <c r="U1823" s="26"/>
      <c r="V1823" s="26"/>
      <c r="W1823" s="20"/>
      <c r="X1823" s="20"/>
      <c r="Y1823" s="20"/>
      <c r="Z1823" s="20"/>
      <c r="AA1823" s="20"/>
      <c r="AB1823" s="20"/>
      <c r="AC1823" s="20"/>
      <c r="AD1823" s="20"/>
      <c r="AE1823" s="20"/>
    </row>
    <row r="1824">
      <c r="A1824" s="21">
        <v>49.0</v>
      </c>
      <c r="B1824" s="20" t="s">
        <v>3616</v>
      </c>
      <c r="C1824" s="20" t="s">
        <v>3920</v>
      </c>
      <c r="I1824" s="25" t="s">
        <v>3596</v>
      </c>
      <c r="J1824" s="25" t="s">
        <v>3999</v>
      </c>
      <c r="K1824" s="25" t="s">
        <v>71</v>
      </c>
      <c r="L1824" s="25" t="s">
        <v>292</v>
      </c>
      <c r="M1824" s="20" t="s">
        <v>61</v>
      </c>
      <c r="N1824" s="20" t="s">
        <v>4037</v>
      </c>
      <c r="O1824" s="20" t="s">
        <v>63</v>
      </c>
      <c r="P1824" s="20" t="s">
        <v>52</v>
      </c>
      <c r="Q1824" s="26"/>
      <c r="R1824" s="26"/>
      <c r="S1824" s="26"/>
      <c r="T1824" s="22"/>
      <c r="U1824" s="26"/>
      <c r="V1824" s="26"/>
      <c r="W1824" s="20"/>
      <c r="X1824" s="20"/>
      <c r="Y1824" s="20"/>
      <c r="Z1824" s="20"/>
      <c r="AA1824" s="20"/>
      <c r="AB1824" s="20"/>
      <c r="AC1824" s="20"/>
      <c r="AD1824" s="20"/>
      <c r="AE1824" s="20"/>
    </row>
    <row r="1825">
      <c r="A1825" s="21">
        <v>49.0</v>
      </c>
      <c r="B1825" s="20" t="s">
        <v>3616</v>
      </c>
      <c r="C1825" s="20" t="s">
        <v>3920</v>
      </c>
      <c r="I1825" s="25" t="s">
        <v>1729</v>
      </c>
      <c r="J1825" s="25" t="s">
        <v>3999</v>
      </c>
      <c r="K1825" s="25" t="s">
        <v>71</v>
      </c>
      <c r="L1825" s="25" t="s">
        <v>292</v>
      </c>
      <c r="M1825" s="20" t="s">
        <v>1730</v>
      </c>
      <c r="N1825" s="20" t="s">
        <v>4038</v>
      </c>
      <c r="O1825" s="20" t="s">
        <v>63</v>
      </c>
      <c r="P1825" s="20" t="s">
        <v>52</v>
      </c>
      <c r="Q1825" s="26"/>
      <c r="R1825" s="26"/>
      <c r="S1825" s="26"/>
      <c r="T1825" s="22"/>
      <c r="U1825" s="26"/>
      <c r="V1825" s="26"/>
      <c r="W1825" s="20"/>
      <c r="X1825" s="20"/>
      <c r="Y1825" s="20"/>
      <c r="Z1825" s="20"/>
      <c r="AA1825" s="20"/>
      <c r="AB1825" s="20"/>
      <c r="AC1825" s="20"/>
      <c r="AD1825" s="20"/>
      <c r="AE1825" s="20"/>
    </row>
    <row r="1826">
      <c r="A1826" s="21">
        <v>49.0</v>
      </c>
      <c r="B1826" s="20" t="s">
        <v>3616</v>
      </c>
      <c r="C1826" s="20" t="s">
        <v>3920</v>
      </c>
      <c r="I1826" s="25" t="s">
        <v>1487</v>
      </c>
      <c r="J1826" s="25" t="s">
        <v>3999</v>
      </c>
      <c r="K1826" s="25" t="s">
        <v>71</v>
      </c>
      <c r="L1826" s="25" t="s">
        <v>292</v>
      </c>
      <c r="M1826" s="20" t="s">
        <v>4040</v>
      </c>
      <c r="N1826" s="20" t="s">
        <v>4041</v>
      </c>
      <c r="O1826" s="20" t="s">
        <v>63</v>
      </c>
      <c r="P1826" s="20" t="s">
        <v>52</v>
      </c>
      <c r="Q1826" s="26"/>
      <c r="R1826" s="26"/>
      <c r="S1826" s="26"/>
      <c r="T1826" s="22"/>
      <c r="U1826" s="26"/>
      <c r="V1826" s="26"/>
      <c r="W1826" s="20"/>
      <c r="X1826" s="20"/>
      <c r="Y1826" s="20"/>
      <c r="Z1826" s="20"/>
      <c r="AA1826" s="20"/>
      <c r="AB1826" s="20"/>
      <c r="AC1826" s="20"/>
      <c r="AD1826" s="20"/>
      <c r="AE1826" s="20"/>
    </row>
    <row r="1827">
      <c r="A1827" s="21">
        <v>49.0</v>
      </c>
      <c r="B1827" s="20" t="s">
        <v>3616</v>
      </c>
      <c r="C1827" s="20" t="s">
        <v>3920</v>
      </c>
      <c r="I1827" s="25" t="s">
        <v>3662</v>
      </c>
      <c r="J1827" s="25" t="s">
        <v>3999</v>
      </c>
      <c r="K1827" s="25" t="s">
        <v>71</v>
      </c>
      <c r="L1827" s="25" t="s">
        <v>4486</v>
      </c>
      <c r="M1827" s="20" t="s">
        <v>4042</v>
      </c>
      <c r="N1827" s="20" t="s">
        <v>4043</v>
      </c>
      <c r="O1827" s="20" t="s">
        <v>63</v>
      </c>
      <c r="P1827" s="20"/>
      <c r="Q1827" s="26"/>
      <c r="R1827" s="26"/>
      <c r="S1827" s="26"/>
      <c r="T1827" s="20"/>
      <c r="U1827" s="26"/>
      <c r="V1827" s="26"/>
      <c r="W1827" s="20"/>
      <c r="X1827" s="20"/>
      <c r="Y1827" s="20"/>
      <c r="Z1827" s="20"/>
      <c r="AA1827" s="20"/>
      <c r="AB1827" s="20"/>
      <c r="AC1827" s="20"/>
      <c r="AD1827" s="20"/>
      <c r="AE1827" s="20"/>
    </row>
    <row r="1828">
      <c r="A1828" s="21">
        <v>49.0</v>
      </c>
      <c r="B1828" s="20" t="s">
        <v>3616</v>
      </c>
      <c r="C1828" s="20" t="s">
        <v>3920</v>
      </c>
      <c r="I1828" s="25" t="s">
        <v>3843</v>
      </c>
      <c r="J1828" s="25" t="s">
        <v>3999</v>
      </c>
      <c r="K1828" s="25" t="s">
        <v>71</v>
      </c>
      <c r="L1828" s="25" t="s">
        <v>292</v>
      </c>
      <c r="M1828" s="20" t="s">
        <v>4044</v>
      </c>
      <c r="N1828" s="20" t="s">
        <v>4045</v>
      </c>
      <c r="O1828" s="20" t="s">
        <v>63</v>
      </c>
      <c r="P1828" s="20" t="s">
        <v>52</v>
      </c>
      <c r="Q1828" s="26"/>
      <c r="R1828" s="26"/>
      <c r="S1828" s="26"/>
      <c r="T1828" s="22"/>
      <c r="U1828" s="26"/>
      <c r="V1828" s="26"/>
      <c r="W1828" s="20"/>
      <c r="X1828" s="20"/>
      <c r="Y1828" s="20"/>
      <c r="Z1828" s="20"/>
      <c r="AA1828" s="20"/>
      <c r="AB1828" s="20"/>
      <c r="AC1828" s="20"/>
      <c r="AD1828" s="20"/>
      <c r="AE1828" s="20"/>
    </row>
    <row r="1829">
      <c r="A1829" s="21">
        <v>49.0</v>
      </c>
      <c r="B1829" s="20" t="s">
        <v>3616</v>
      </c>
      <c r="C1829" s="20" t="s">
        <v>3920</v>
      </c>
      <c r="I1829" s="25" t="s">
        <v>2686</v>
      </c>
      <c r="J1829" s="25" t="s">
        <v>3999</v>
      </c>
      <c r="K1829" s="25" t="s">
        <v>71</v>
      </c>
      <c r="L1829" s="25" t="s">
        <v>4710</v>
      </c>
      <c r="M1829" s="20" t="s">
        <v>3627</v>
      </c>
      <c r="N1829" s="20" t="s">
        <v>4046</v>
      </c>
      <c r="O1829" s="20" t="s">
        <v>63</v>
      </c>
      <c r="P1829" s="20"/>
      <c r="Q1829" s="26"/>
      <c r="R1829" s="26"/>
      <c r="S1829" s="26"/>
      <c r="T1829" s="20"/>
      <c r="U1829" s="26"/>
      <c r="V1829" s="26"/>
      <c r="W1829" s="20"/>
      <c r="X1829" s="20"/>
      <c r="Y1829" s="20"/>
      <c r="Z1829" s="20"/>
      <c r="AA1829" s="20"/>
      <c r="AB1829" s="20"/>
      <c r="AC1829" s="20"/>
      <c r="AD1829" s="20"/>
      <c r="AE1829" s="20"/>
    </row>
    <row r="1830">
      <c r="A1830" s="21">
        <v>49.0</v>
      </c>
      <c r="B1830" s="20" t="s">
        <v>3616</v>
      </c>
      <c r="C1830" s="20" t="s">
        <v>3920</v>
      </c>
      <c r="I1830" s="25" t="s">
        <v>3586</v>
      </c>
      <c r="J1830" s="25" t="s">
        <v>3999</v>
      </c>
      <c r="K1830" s="25" t="s">
        <v>71</v>
      </c>
      <c r="L1830" s="25" t="s">
        <v>292</v>
      </c>
      <c r="M1830" s="20" t="s">
        <v>61</v>
      </c>
      <c r="N1830" s="20" t="s">
        <v>3587</v>
      </c>
      <c r="O1830" s="20" t="s">
        <v>63</v>
      </c>
      <c r="P1830" s="20" t="s">
        <v>52</v>
      </c>
      <c r="Q1830" s="26"/>
      <c r="R1830" s="26"/>
      <c r="S1830" s="26"/>
      <c r="T1830" s="22"/>
      <c r="U1830" s="26"/>
      <c r="V1830" s="26"/>
      <c r="W1830" s="20"/>
      <c r="X1830" s="20"/>
      <c r="Y1830" s="20"/>
      <c r="Z1830" s="20"/>
      <c r="AA1830" s="20"/>
      <c r="AB1830" s="20"/>
      <c r="AC1830" s="20"/>
      <c r="AD1830" s="20"/>
      <c r="AE1830" s="20"/>
    </row>
    <row r="1831">
      <c r="A1831" s="21">
        <v>49.0</v>
      </c>
      <c r="B1831" s="20" t="s">
        <v>3616</v>
      </c>
      <c r="C1831" s="20" t="s">
        <v>3920</v>
      </c>
      <c r="I1831" s="25" t="s">
        <v>4048</v>
      </c>
      <c r="J1831" s="25" t="s">
        <v>3999</v>
      </c>
      <c r="K1831" s="25" t="s">
        <v>71</v>
      </c>
      <c r="L1831" s="25" t="s">
        <v>292</v>
      </c>
      <c r="M1831" s="20" t="s">
        <v>4049</v>
      </c>
      <c r="N1831" s="20" t="s">
        <v>4050</v>
      </c>
      <c r="O1831" s="20" t="s">
        <v>63</v>
      </c>
      <c r="P1831" s="20" t="s">
        <v>52</v>
      </c>
      <c r="Q1831" s="26"/>
      <c r="R1831" s="26"/>
      <c r="S1831" s="26"/>
      <c r="T1831" s="22"/>
      <c r="U1831" s="26"/>
      <c r="V1831" s="26"/>
      <c r="W1831" s="20"/>
      <c r="X1831" s="20"/>
      <c r="Y1831" s="20"/>
      <c r="Z1831" s="20"/>
      <c r="AA1831" s="20"/>
      <c r="AB1831" s="20"/>
      <c r="AC1831" s="20"/>
      <c r="AD1831" s="20"/>
      <c r="AE1831" s="20"/>
    </row>
    <row r="1832">
      <c r="A1832" s="21">
        <v>50.0</v>
      </c>
      <c r="B1832" s="20" t="s">
        <v>2895</v>
      </c>
      <c r="C1832" s="20" t="s">
        <v>4716</v>
      </c>
      <c r="D1832" s="35">
        <v>30.0</v>
      </c>
      <c r="E1832" s="35">
        <v>1.0</v>
      </c>
      <c r="F1832" s="35">
        <v>1.0</v>
      </c>
      <c r="G1832" s="35">
        <v>28.0</v>
      </c>
      <c r="H1832" s="36" t="s">
        <v>4718</v>
      </c>
      <c r="I1832" s="25" t="s">
        <v>4055</v>
      </c>
      <c r="J1832" s="25" t="s">
        <v>4054</v>
      </c>
      <c r="K1832" s="25" t="s">
        <v>57</v>
      </c>
      <c r="L1832" s="25" t="s">
        <v>4719</v>
      </c>
      <c r="M1832" s="20" t="s">
        <v>4056</v>
      </c>
      <c r="N1832" s="20" t="s">
        <v>4057</v>
      </c>
      <c r="O1832" s="20" t="s">
        <v>63</v>
      </c>
      <c r="P1832" s="20"/>
      <c r="Q1832" s="26"/>
      <c r="R1832" s="26"/>
      <c r="S1832" s="26"/>
      <c r="T1832" s="20"/>
      <c r="U1832" s="26"/>
      <c r="V1832" s="26"/>
      <c r="W1832" s="20"/>
      <c r="X1832" s="20"/>
      <c r="Y1832" s="20"/>
      <c r="Z1832" s="20"/>
      <c r="AA1832" s="20"/>
      <c r="AB1832" s="20"/>
      <c r="AC1832" s="20"/>
      <c r="AD1832" s="20"/>
      <c r="AE1832" s="20"/>
    </row>
    <row r="1833">
      <c r="A1833" s="21">
        <v>50.0</v>
      </c>
      <c r="B1833" s="20" t="s">
        <v>2895</v>
      </c>
      <c r="C1833" s="20" t="s">
        <v>4716</v>
      </c>
      <c r="I1833" s="25" t="s">
        <v>2545</v>
      </c>
      <c r="J1833" s="25" t="s">
        <v>4060</v>
      </c>
      <c r="K1833" s="25" t="s">
        <v>71</v>
      </c>
      <c r="L1833" s="25" t="s">
        <v>292</v>
      </c>
      <c r="M1833" s="20" t="s">
        <v>4061</v>
      </c>
      <c r="N1833" s="20" t="s">
        <v>4062</v>
      </c>
      <c r="O1833" s="20" t="s">
        <v>63</v>
      </c>
      <c r="P1833" s="20" t="s">
        <v>52</v>
      </c>
      <c r="Q1833" s="26"/>
      <c r="R1833" s="26"/>
      <c r="S1833" s="26"/>
      <c r="T1833" s="22"/>
      <c r="U1833" s="26"/>
      <c r="V1833" s="26"/>
      <c r="W1833" s="20"/>
      <c r="X1833" s="20"/>
      <c r="Y1833" s="20"/>
      <c r="Z1833" s="20"/>
      <c r="AA1833" s="20"/>
      <c r="AB1833" s="20"/>
      <c r="AC1833" s="20"/>
      <c r="AD1833" s="20"/>
      <c r="AE1833" s="20"/>
    </row>
    <row r="1834">
      <c r="A1834" s="21">
        <v>50.0</v>
      </c>
      <c r="B1834" s="20" t="s">
        <v>2895</v>
      </c>
      <c r="C1834" s="20" t="s">
        <v>4716</v>
      </c>
      <c r="I1834" s="25" t="s">
        <v>2804</v>
      </c>
      <c r="J1834" s="25" t="s">
        <v>4060</v>
      </c>
      <c r="K1834" s="25" t="s">
        <v>71</v>
      </c>
      <c r="L1834" s="25" t="s">
        <v>226</v>
      </c>
      <c r="M1834" s="20" t="s">
        <v>4064</v>
      </c>
      <c r="N1834" s="20" t="s">
        <v>4065</v>
      </c>
      <c r="O1834" s="20" t="s">
        <v>63</v>
      </c>
      <c r="P1834" s="20" t="s">
        <v>52</v>
      </c>
      <c r="Q1834" s="26"/>
      <c r="R1834" s="26"/>
      <c r="S1834" s="26"/>
      <c r="T1834" s="22"/>
      <c r="U1834" s="26"/>
      <c r="V1834" s="26"/>
      <c r="W1834" s="20"/>
      <c r="X1834" s="20"/>
      <c r="Y1834" s="20"/>
      <c r="Z1834" s="20"/>
      <c r="AA1834" s="20"/>
      <c r="AB1834" s="20"/>
      <c r="AC1834" s="20"/>
      <c r="AD1834" s="20"/>
      <c r="AE1834" s="20"/>
    </row>
    <row r="1835">
      <c r="A1835" s="21">
        <v>50.0</v>
      </c>
      <c r="B1835" s="20" t="s">
        <v>2895</v>
      </c>
      <c r="C1835" s="20" t="s">
        <v>4716</v>
      </c>
      <c r="I1835" s="25" t="s">
        <v>3054</v>
      </c>
      <c r="J1835" s="25" t="s">
        <v>4054</v>
      </c>
      <c r="K1835" s="25" t="s">
        <v>71</v>
      </c>
      <c r="L1835" s="25" t="s">
        <v>292</v>
      </c>
      <c r="M1835" s="20" t="s">
        <v>3055</v>
      </c>
      <c r="N1835" s="20" t="s">
        <v>4101</v>
      </c>
      <c r="O1835" s="20" t="s">
        <v>63</v>
      </c>
      <c r="P1835" s="20" t="s">
        <v>52</v>
      </c>
      <c r="Q1835" s="26"/>
      <c r="R1835" s="26"/>
      <c r="S1835" s="26"/>
      <c r="T1835" s="22"/>
      <c r="U1835" s="26"/>
      <c r="V1835" s="26"/>
      <c r="W1835" s="20"/>
      <c r="X1835" s="20"/>
      <c r="Y1835" s="20"/>
      <c r="Z1835" s="20"/>
      <c r="AA1835" s="20"/>
      <c r="AB1835" s="20"/>
      <c r="AC1835" s="20"/>
      <c r="AD1835" s="20"/>
      <c r="AE1835" s="20"/>
    </row>
    <row r="1836">
      <c r="A1836" s="21">
        <v>50.0</v>
      </c>
      <c r="B1836" s="20" t="s">
        <v>2895</v>
      </c>
      <c r="C1836" s="20" t="s">
        <v>4716</v>
      </c>
      <c r="I1836" s="25" t="s">
        <v>107</v>
      </c>
      <c r="J1836" s="25" t="s">
        <v>4054</v>
      </c>
      <c r="K1836" s="25" t="s">
        <v>67</v>
      </c>
      <c r="L1836" s="25" t="s">
        <v>4727</v>
      </c>
      <c r="M1836" s="20" t="s">
        <v>61</v>
      </c>
      <c r="N1836" s="20" t="s">
        <v>108</v>
      </c>
      <c r="O1836" s="20" t="s">
        <v>63</v>
      </c>
      <c r="P1836" s="25" t="s">
        <v>4059</v>
      </c>
      <c r="Q1836" s="26"/>
      <c r="R1836" s="26"/>
      <c r="S1836" s="26"/>
      <c r="T1836" s="20"/>
      <c r="U1836" s="26"/>
      <c r="V1836" s="26"/>
      <c r="W1836" s="20"/>
      <c r="X1836" s="20"/>
      <c r="Y1836" s="20"/>
      <c r="Z1836" s="20"/>
      <c r="AA1836" s="20"/>
      <c r="AB1836" s="20"/>
      <c r="AC1836" s="20"/>
      <c r="AD1836" s="20"/>
      <c r="AE1836" s="20"/>
    </row>
    <row r="1837">
      <c r="A1837" s="21">
        <v>50.0</v>
      </c>
      <c r="B1837" s="20" t="s">
        <v>2895</v>
      </c>
      <c r="C1837" s="20" t="s">
        <v>4716</v>
      </c>
      <c r="I1837" s="25" t="s">
        <v>4098</v>
      </c>
      <c r="J1837" s="25" t="s">
        <v>4097</v>
      </c>
      <c r="K1837" s="25" t="s">
        <v>71</v>
      </c>
      <c r="L1837" s="25" t="s">
        <v>292</v>
      </c>
      <c r="M1837" s="20" t="s">
        <v>4099</v>
      </c>
      <c r="N1837" s="20" t="s">
        <v>4100</v>
      </c>
      <c r="O1837" s="20" t="s">
        <v>63</v>
      </c>
      <c r="P1837" s="20" t="s">
        <v>52</v>
      </c>
      <c r="Q1837" s="26"/>
      <c r="R1837" s="26"/>
      <c r="S1837" s="26"/>
      <c r="T1837" s="22"/>
      <c r="U1837" s="26"/>
      <c r="V1837" s="26"/>
      <c r="W1837" s="20"/>
      <c r="X1837" s="20"/>
      <c r="Y1837" s="20"/>
      <c r="Z1837" s="20"/>
      <c r="AA1837" s="20"/>
      <c r="AB1837" s="20"/>
      <c r="AC1837" s="20"/>
      <c r="AD1837" s="20"/>
      <c r="AE1837" s="20"/>
    </row>
    <row r="1838">
      <c r="A1838" s="21">
        <v>50.0</v>
      </c>
      <c r="B1838" s="20" t="s">
        <v>2895</v>
      </c>
      <c r="C1838" s="20" t="s">
        <v>4716</v>
      </c>
      <c r="I1838" s="25" t="s">
        <v>81</v>
      </c>
      <c r="J1838" s="25" t="s">
        <v>4054</v>
      </c>
      <c r="K1838" s="25" t="s">
        <v>71</v>
      </c>
      <c r="L1838" s="25" t="s">
        <v>292</v>
      </c>
      <c r="M1838" s="20" t="s">
        <v>4102</v>
      </c>
      <c r="N1838" s="20" t="s">
        <v>4103</v>
      </c>
      <c r="O1838" s="20" t="s">
        <v>63</v>
      </c>
      <c r="P1838" s="20" t="s">
        <v>52</v>
      </c>
      <c r="Q1838" s="26"/>
      <c r="R1838" s="26"/>
      <c r="S1838" s="26"/>
      <c r="T1838" s="22"/>
      <c r="U1838" s="26"/>
      <c r="V1838" s="26"/>
      <c r="W1838" s="20"/>
      <c r="X1838" s="20"/>
      <c r="Y1838" s="20"/>
      <c r="Z1838" s="20"/>
      <c r="AA1838" s="20"/>
      <c r="AB1838" s="20"/>
      <c r="AC1838" s="20"/>
      <c r="AD1838" s="20"/>
      <c r="AE1838" s="20"/>
    </row>
    <row r="1839">
      <c r="A1839" s="21">
        <v>50.0</v>
      </c>
      <c r="B1839" s="20" t="s">
        <v>2895</v>
      </c>
      <c r="C1839" s="20" t="s">
        <v>4716</v>
      </c>
      <c r="I1839" s="25" t="s">
        <v>3079</v>
      </c>
      <c r="J1839" s="25" t="s">
        <v>4054</v>
      </c>
      <c r="K1839" s="25" t="s">
        <v>71</v>
      </c>
      <c r="L1839" s="25" t="s">
        <v>292</v>
      </c>
      <c r="M1839" s="20" t="s">
        <v>3080</v>
      </c>
      <c r="N1839" s="20" t="s">
        <v>4104</v>
      </c>
      <c r="O1839" s="20" t="s">
        <v>63</v>
      </c>
      <c r="P1839" s="20" t="s">
        <v>52</v>
      </c>
      <c r="Q1839" s="26"/>
      <c r="R1839" s="26"/>
      <c r="S1839" s="26"/>
      <c r="T1839" s="22"/>
      <c r="U1839" s="26"/>
      <c r="V1839" s="26"/>
      <c r="W1839" s="20"/>
      <c r="X1839" s="20"/>
      <c r="Y1839" s="20"/>
      <c r="Z1839" s="20"/>
      <c r="AA1839" s="20"/>
      <c r="AB1839" s="20"/>
      <c r="AC1839" s="20"/>
      <c r="AD1839" s="20"/>
      <c r="AE1839" s="20"/>
    </row>
    <row r="1840">
      <c r="A1840" s="21">
        <v>50.0</v>
      </c>
      <c r="B1840" s="20" t="s">
        <v>2895</v>
      </c>
      <c r="C1840" s="20" t="s">
        <v>4716</v>
      </c>
      <c r="I1840" s="25" t="s">
        <v>3295</v>
      </c>
      <c r="J1840" s="25" t="s">
        <v>4054</v>
      </c>
      <c r="K1840" s="25" t="s">
        <v>71</v>
      </c>
      <c r="L1840" s="25" t="s">
        <v>292</v>
      </c>
      <c r="M1840" s="20" t="s">
        <v>4106</v>
      </c>
      <c r="N1840" s="20" t="s">
        <v>4107</v>
      </c>
      <c r="O1840" s="20" t="s">
        <v>63</v>
      </c>
      <c r="P1840" s="20" t="s">
        <v>52</v>
      </c>
      <c r="Q1840" s="22"/>
      <c r="R1840" s="22"/>
      <c r="S1840" s="22"/>
      <c r="T1840" s="22"/>
      <c r="U1840" s="26"/>
      <c r="V1840" s="26"/>
      <c r="W1840" s="20"/>
      <c r="X1840" s="20"/>
      <c r="Y1840" s="20"/>
      <c r="Z1840" s="20"/>
      <c r="AA1840" s="20"/>
      <c r="AB1840" s="20"/>
      <c r="AC1840" s="20"/>
      <c r="AD1840" s="20"/>
      <c r="AE1840" s="20"/>
    </row>
    <row r="1841">
      <c r="A1841" s="21">
        <v>50.0</v>
      </c>
      <c r="B1841" s="20" t="s">
        <v>2895</v>
      </c>
      <c r="C1841" s="20" t="s">
        <v>4716</v>
      </c>
      <c r="I1841" s="25" t="s">
        <v>3351</v>
      </c>
      <c r="J1841" s="25" t="s">
        <v>4054</v>
      </c>
      <c r="K1841" s="25" t="s">
        <v>71</v>
      </c>
      <c r="L1841" s="25" t="s">
        <v>4737</v>
      </c>
      <c r="M1841" s="20" t="s">
        <v>4108</v>
      </c>
      <c r="N1841" s="20" t="s">
        <v>4109</v>
      </c>
      <c r="O1841" s="20" t="s">
        <v>63</v>
      </c>
      <c r="P1841" s="20"/>
      <c r="Q1841" s="22"/>
      <c r="R1841" s="22"/>
      <c r="S1841" s="22"/>
      <c r="T1841" s="20"/>
      <c r="U1841" s="26"/>
      <c r="V1841" s="26"/>
      <c r="W1841" s="20"/>
      <c r="X1841" s="20"/>
      <c r="Y1841" s="20"/>
      <c r="Z1841" s="20"/>
      <c r="AA1841" s="20"/>
      <c r="AB1841" s="20"/>
      <c r="AC1841" s="20"/>
      <c r="AD1841" s="20"/>
      <c r="AE1841" s="20"/>
    </row>
    <row r="1842">
      <c r="A1842" s="21">
        <v>50.0</v>
      </c>
      <c r="B1842" s="20" t="s">
        <v>2895</v>
      </c>
      <c r="C1842" s="20" t="s">
        <v>4716</v>
      </c>
      <c r="I1842" s="25" t="s">
        <v>2520</v>
      </c>
      <c r="J1842" s="25" t="s">
        <v>4060</v>
      </c>
      <c r="K1842" s="25" t="s">
        <v>71</v>
      </c>
      <c r="L1842" s="25" t="s">
        <v>292</v>
      </c>
      <c r="M1842" s="20" t="s">
        <v>2997</v>
      </c>
      <c r="N1842" s="20" t="s">
        <v>4067</v>
      </c>
      <c r="O1842" s="20" t="s">
        <v>63</v>
      </c>
      <c r="P1842" s="20" t="s">
        <v>52</v>
      </c>
      <c r="Q1842" s="22"/>
      <c r="R1842" s="22"/>
      <c r="S1842" s="22"/>
      <c r="T1842" s="22"/>
      <c r="U1842" s="26"/>
      <c r="V1842" s="26"/>
      <c r="W1842" s="20"/>
      <c r="X1842" s="20"/>
      <c r="Y1842" s="20"/>
      <c r="Z1842" s="20"/>
      <c r="AA1842" s="20"/>
      <c r="AB1842" s="20"/>
      <c r="AC1842" s="20"/>
      <c r="AD1842" s="20"/>
      <c r="AE1842" s="20"/>
    </row>
    <row r="1843">
      <c r="A1843" s="21">
        <v>50.0</v>
      </c>
      <c r="B1843" s="20" t="s">
        <v>2895</v>
      </c>
      <c r="C1843" s="20" t="s">
        <v>4716</v>
      </c>
      <c r="I1843" s="25" t="s">
        <v>186</v>
      </c>
      <c r="J1843" s="25" t="s">
        <v>4060</v>
      </c>
      <c r="K1843" s="25" t="s">
        <v>71</v>
      </c>
      <c r="L1843" s="25" t="s">
        <v>4742</v>
      </c>
      <c r="M1843" s="20" t="s">
        <v>61</v>
      </c>
      <c r="N1843" s="20" t="s">
        <v>188</v>
      </c>
      <c r="O1843" s="20" t="s">
        <v>63</v>
      </c>
      <c r="P1843" s="20"/>
      <c r="Q1843" s="22"/>
      <c r="R1843" s="22"/>
      <c r="S1843" s="22"/>
      <c r="T1843" s="26"/>
      <c r="U1843" s="26"/>
      <c r="V1843" s="26"/>
      <c r="W1843" s="20"/>
      <c r="X1843" s="20"/>
      <c r="Y1843" s="20"/>
      <c r="Z1843" s="20"/>
      <c r="AA1843" s="20"/>
      <c r="AB1843" s="20"/>
      <c r="AC1843" s="20"/>
      <c r="AD1843" s="20"/>
      <c r="AE1843" s="20"/>
    </row>
    <row r="1844">
      <c r="A1844" s="21">
        <v>50.0</v>
      </c>
      <c r="B1844" s="20" t="s">
        <v>2895</v>
      </c>
      <c r="C1844" s="20" t="s">
        <v>4716</v>
      </c>
      <c r="I1844" s="25" t="s">
        <v>4068</v>
      </c>
      <c r="J1844" s="25" t="s">
        <v>4060</v>
      </c>
      <c r="K1844" s="25" t="s">
        <v>71</v>
      </c>
      <c r="L1844" s="25" t="s">
        <v>292</v>
      </c>
      <c r="M1844" s="20" t="s">
        <v>4069</v>
      </c>
      <c r="N1844" s="20" t="s">
        <v>4070</v>
      </c>
      <c r="O1844" s="20" t="s">
        <v>63</v>
      </c>
      <c r="P1844" s="20" t="s">
        <v>52</v>
      </c>
      <c r="Q1844" s="22"/>
      <c r="R1844" s="22"/>
      <c r="S1844" s="22"/>
      <c r="T1844" s="22"/>
      <c r="U1844" s="26"/>
      <c r="V1844" s="26"/>
      <c r="W1844" s="20"/>
      <c r="X1844" s="20"/>
      <c r="Y1844" s="20"/>
      <c r="Z1844" s="20"/>
      <c r="AA1844" s="20"/>
      <c r="AB1844" s="20"/>
      <c r="AC1844" s="20"/>
      <c r="AD1844" s="20"/>
      <c r="AE1844" s="20"/>
    </row>
    <row r="1845">
      <c r="A1845" s="21">
        <v>50.0</v>
      </c>
      <c r="B1845" s="20" t="s">
        <v>2895</v>
      </c>
      <c r="C1845" s="20" t="s">
        <v>4716</v>
      </c>
      <c r="I1845" s="25" t="s">
        <v>4072</v>
      </c>
      <c r="J1845" s="25" t="s">
        <v>4060</v>
      </c>
      <c r="K1845" s="25" t="s">
        <v>71</v>
      </c>
      <c r="L1845" s="25" t="s">
        <v>292</v>
      </c>
      <c r="M1845" s="20" t="s">
        <v>61</v>
      </c>
      <c r="N1845" s="20" t="s">
        <v>4073</v>
      </c>
      <c r="O1845" s="20" t="s">
        <v>63</v>
      </c>
      <c r="P1845" s="20" t="s">
        <v>52</v>
      </c>
      <c r="Q1845" s="22"/>
      <c r="R1845" s="22"/>
      <c r="S1845" s="22"/>
      <c r="T1845" s="22"/>
      <c r="U1845" s="26"/>
      <c r="V1845" s="26"/>
      <c r="W1845" s="20"/>
      <c r="X1845" s="20"/>
      <c r="Y1845" s="20"/>
      <c r="Z1845" s="20"/>
      <c r="AA1845" s="20"/>
      <c r="AB1845" s="20"/>
      <c r="AC1845" s="20"/>
      <c r="AD1845" s="20"/>
      <c r="AE1845" s="20"/>
    </row>
    <row r="1846">
      <c r="A1846" s="21">
        <v>50.0</v>
      </c>
      <c r="B1846" s="20" t="s">
        <v>2895</v>
      </c>
      <c r="C1846" s="20" t="s">
        <v>4716</v>
      </c>
      <c r="I1846" s="25" t="s">
        <v>1643</v>
      </c>
      <c r="J1846" s="25" t="s">
        <v>4060</v>
      </c>
      <c r="K1846" s="25" t="s">
        <v>71</v>
      </c>
      <c r="L1846" s="25" t="s">
        <v>292</v>
      </c>
      <c r="M1846" s="20" t="s">
        <v>4074</v>
      </c>
      <c r="N1846" s="20" t="s">
        <v>4075</v>
      </c>
      <c r="O1846" s="20" t="s">
        <v>63</v>
      </c>
      <c r="P1846" s="20" t="s">
        <v>52</v>
      </c>
      <c r="Q1846" s="22"/>
      <c r="R1846" s="22"/>
      <c r="S1846" s="22"/>
      <c r="T1846" s="22"/>
      <c r="U1846" s="26"/>
      <c r="V1846" s="26"/>
      <c r="W1846" s="20"/>
      <c r="X1846" s="20"/>
      <c r="Y1846" s="20"/>
      <c r="Z1846" s="20"/>
      <c r="AA1846" s="20"/>
      <c r="AB1846" s="20"/>
      <c r="AC1846" s="20"/>
      <c r="AD1846" s="20"/>
      <c r="AE1846" s="20"/>
    </row>
    <row r="1847">
      <c r="A1847" s="21">
        <v>50.0</v>
      </c>
      <c r="B1847" s="20" t="s">
        <v>2895</v>
      </c>
      <c r="C1847" s="20" t="s">
        <v>4716</v>
      </c>
      <c r="I1847" s="25" t="s">
        <v>4112</v>
      </c>
      <c r="J1847" s="25" t="s">
        <v>4054</v>
      </c>
      <c r="K1847" s="25" t="s">
        <v>71</v>
      </c>
      <c r="L1847" s="25" t="s">
        <v>4737</v>
      </c>
      <c r="M1847" s="20" t="s">
        <v>4113</v>
      </c>
      <c r="N1847" s="20" t="s">
        <v>4114</v>
      </c>
      <c r="O1847" s="20" t="s">
        <v>63</v>
      </c>
      <c r="P1847" s="20"/>
      <c r="Q1847" s="22"/>
      <c r="R1847" s="22"/>
      <c r="S1847" s="22"/>
      <c r="T1847" s="26"/>
      <c r="U1847" s="26"/>
      <c r="V1847" s="26"/>
      <c r="W1847" s="20"/>
      <c r="X1847" s="20"/>
      <c r="Y1847" s="20"/>
      <c r="Z1847" s="20"/>
      <c r="AA1847" s="20"/>
      <c r="AB1847" s="20"/>
      <c r="AC1847" s="20"/>
      <c r="AD1847" s="20"/>
      <c r="AE1847" s="20"/>
    </row>
    <row r="1848">
      <c r="A1848" s="21">
        <v>50.0</v>
      </c>
      <c r="B1848" s="20" t="s">
        <v>2895</v>
      </c>
      <c r="C1848" s="20" t="s">
        <v>4716</v>
      </c>
      <c r="I1848" s="25" t="s">
        <v>724</v>
      </c>
      <c r="J1848" s="25" t="s">
        <v>4060</v>
      </c>
      <c r="K1848" s="25" t="s">
        <v>71</v>
      </c>
      <c r="L1848" s="25" t="s">
        <v>292</v>
      </c>
      <c r="M1848" s="20" t="s">
        <v>1626</v>
      </c>
      <c r="N1848" s="20" t="s">
        <v>4077</v>
      </c>
      <c r="O1848" s="20" t="s">
        <v>63</v>
      </c>
      <c r="P1848" s="20" t="s">
        <v>52</v>
      </c>
      <c r="Q1848" s="22"/>
      <c r="R1848" s="22"/>
      <c r="S1848" s="22"/>
      <c r="T1848" s="22"/>
      <c r="U1848" s="26"/>
      <c r="V1848" s="26"/>
      <c r="W1848" s="20"/>
      <c r="X1848" s="20"/>
      <c r="Y1848" s="20"/>
      <c r="Z1848" s="20"/>
      <c r="AA1848" s="20"/>
      <c r="AB1848" s="20"/>
      <c r="AC1848" s="20"/>
      <c r="AD1848" s="20"/>
      <c r="AE1848" s="20"/>
    </row>
    <row r="1849">
      <c r="A1849" s="21">
        <v>50.0</v>
      </c>
      <c r="B1849" s="20" t="s">
        <v>2895</v>
      </c>
      <c r="C1849" s="20" t="s">
        <v>4716</v>
      </c>
      <c r="I1849" s="25" t="s">
        <v>115</v>
      </c>
      <c r="J1849" s="25" t="s">
        <v>4060</v>
      </c>
      <c r="K1849" s="25" t="s">
        <v>71</v>
      </c>
      <c r="L1849" s="25" t="s">
        <v>292</v>
      </c>
      <c r="M1849" s="20" t="s">
        <v>117</v>
      </c>
      <c r="N1849" s="20" t="s">
        <v>4078</v>
      </c>
      <c r="O1849" s="20" t="s">
        <v>63</v>
      </c>
      <c r="P1849" s="20" t="s">
        <v>52</v>
      </c>
      <c r="Q1849" s="22"/>
      <c r="R1849" s="22"/>
      <c r="S1849" s="22"/>
      <c r="T1849" s="22"/>
      <c r="U1849" s="26"/>
      <c r="V1849" s="26"/>
      <c r="W1849" s="20"/>
      <c r="X1849" s="20"/>
      <c r="Y1849" s="20"/>
      <c r="Z1849" s="20"/>
      <c r="AA1849" s="20"/>
      <c r="AB1849" s="20"/>
      <c r="AC1849" s="20"/>
      <c r="AD1849" s="20"/>
      <c r="AE1849" s="20"/>
    </row>
    <row r="1850">
      <c r="A1850" s="21">
        <v>50.0</v>
      </c>
      <c r="B1850" s="20" t="s">
        <v>2895</v>
      </c>
      <c r="C1850" s="20" t="s">
        <v>4716</v>
      </c>
      <c r="I1850" s="25" t="s">
        <v>731</v>
      </c>
      <c r="J1850" s="25" t="s">
        <v>4060</v>
      </c>
      <c r="K1850" s="25" t="s">
        <v>71</v>
      </c>
      <c r="L1850" s="25" t="s">
        <v>292</v>
      </c>
      <c r="M1850" s="20" t="s">
        <v>4079</v>
      </c>
      <c r="N1850" s="20" t="s">
        <v>4077</v>
      </c>
      <c r="O1850" s="20" t="s">
        <v>63</v>
      </c>
      <c r="P1850" s="20" t="s">
        <v>52</v>
      </c>
      <c r="Q1850" s="22"/>
      <c r="R1850" s="22"/>
      <c r="S1850" s="22"/>
      <c r="T1850" s="22"/>
      <c r="U1850" s="26"/>
      <c r="V1850" s="26"/>
      <c r="W1850" s="20"/>
      <c r="X1850" s="20"/>
      <c r="Y1850" s="20"/>
      <c r="Z1850" s="20"/>
      <c r="AA1850" s="20"/>
      <c r="AB1850" s="20"/>
      <c r="AC1850" s="20"/>
      <c r="AD1850" s="20"/>
      <c r="AE1850" s="20"/>
    </row>
    <row r="1851">
      <c r="A1851" s="21">
        <v>50.0</v>
      </c>
      <c r="B1851" s="20" t="s">
        <v>2895</v>
      </c>
      <c r="C1851" s="20" t="s">
        <v>4716</v>
      </c>
      <c r="I1851" s="25" t="s">
        <v>2883</v>
      </c>
      <c r="J1851" s="25" t="s">
        <v>4054</v>
      </c>
      <c r="K1851" s="25" t="s">
        <v>71</v>
      </c>
      <c r="L1851" s="25" t="s">
        <v>4737</v>
      </c>
      <c r="M1851" s="20" t="s">
        <v>4115</v>
      </c>
      <c r="N1851" s="20" t="s">
        <v>4117</v>
      </c>
      <c r="O1851" s="20" t="s">
        <v>63</v>
      </c>
      <c r="P1851" s="20"/>
      <c r="Q1851" s="22"/>
      <c r="R1851" s="22"/>
      <c r="S1851" s="22"/>
      <c r="T1851" s="26"/>
      <c r="U1851" s="26"/>
      <c r="V1851" s="26"/>
      <c r="W1851" s="20"/>
      <c r="X1851" s="20"/>
      <c r="Y1851" s="20"/>
      <c r="Z1851" s="20"/>
      <c r="AA1851" s="20"/>
      <c r="AB1851" s="20"/>
      <c r="AC1851" s="20"/>
      <c r="AD1851" s="20"/>
      <c r="AE1851" s="20"/>
    </row>
    <row r="1852">
      <c r="A1852" s="21">
        <v>50.0</v>
      </c>
      <c r="B1852" s="20" t="s">
        <v>2895</v>
      </c>
      <c r="C1852" s="20" t="s">
        <v>4716</v>
      </c>
      <c r="I1852" s="25" t="s">
        <v>1690</v>
      </c>
      <c r="J1852" s="25" t="s">
        <v>4054</v>
      </c>
      <c r="K1852" s="25" t="s">
        <v>71</v>
      </c>
      <c r="L1852" s="25" t="s">
        <v>4742</v>
      </c>
      <c r="M1852" s="20" t="s">
        <v>1691</v>
      </c>
      <c r="N1852" s="20" t="s">
        <v>4118</v>
      </c>
      <c r="O1852" s="20" t="s">
        <v>63</v>
      </c>
      <c r="P1852" s="20"/>
      <c r="Q1852" s="22"/>
      <c r="R1852" s="22"/>
      <c r="S1852" s="22"/>
      <c r="T1852" s="26"/>
      <c r="U1852" s="26"/>
      <c r="V1852" s="26"/>
      <c r="W1852" s="20"/>
      <c r="X1852" s="20"/>
      <c r="Y1852" s="20"/>
      <c r="Z1852" s="20"/>
      <c r="AA1852" s="20"/>
      <c r="AB1852" s="20"/>
      <c r="AC1852" s="20"/>
      <c r="AD1852" s="20"/>
      <c r="AE1852" s="20"/>
    </row>
    <row r="1853">
      <c r="A1853" s="21">
        <v>50.0</v>
      </c>
      <c r="B1853" s="20" t="s">
        <v>2895</v>
      </c>
      <c r="C1853" s="20" t="s">
        <v>4716</v>
      </c>
      <c r="I1853" s="25" t="s">
        <v>4080</v>
      </c>
      <c r="J1853" s="25" t="s">
        <v>4060</v>
      </c>
      <c r="K1853" s="25" t="s">
        <v>71</v>
      </c>
      <c r="L1853" s="25" t="s">
        <v>292</v>
      </c>
      <c r="M1853" s="20" t="s">
        <v>4082</v>
      </c>
      <c r="N1853" s="20" t="s">
        <v>4083</v>
      </c>
      <c r="O1853" s="20" t="s">
        <v>63</v>
      </c>
      <c r="P1853" s="25" t="s">
        <v>52</v>
      </c>
      <c r="Q1853" s="22"/>
      <c r="R1853" s="22"/>
      <c r="S1853" s="22"/>
      <c r="T1853" s="22"/>
      <c r="U1853" s="26"/>
      <c r="V1853" s="26"/>
      <c r="W1853" s="20"/>
      <c r="X1853" s="20"/>
      <c r="Y1853" s="20"/>
      <c r="Z1853" s="20"/>
      <c r="AA1853" s="20"/>
      <c r="AB1853" s="20"/>
      <c r="AC1853" s="20"/>
      <c r="AD1853" s="20"/>
      <c r="AE1853" s="20"/>
    </row>
    <row r="1854">
      <c r="A1854" s="21">
        <v>50.0</v>
      </c>
      <c r="B1854" s="20" t="s">
        <v>2895</v>
      </c>
      <c r="C1854" s="20" t="s">
        <v>4716</v>
      </c>
      <c r="I1854" s="25" t="s">
        <v>4084</v>
      </c>
      <c r="J1854" s="25" t="s">
        <v>4060</v>
      </c>
      <c r="K1854" s="25" t="s">
        <v>71</v>
      </c>
      <c r="L1854" s="25" t="s">
        <v>4767</v>
      </c>
      <c r="M1854" s="20" t="s">
        <v>4085</v>
      </c>
      <c r="N1854" s="20" t="s">
        <v>4086</v>
      </c>
      <c r="O1854" s="20" t="s">
        <v>63</v>
      </c>
      <c r="P1854" s="20"/>
      <c r="Q1854" s="22"/>
      <c r="R1854" s="22"/>
      <c r="S1854" s="22"/>
      <c r="T1854" s="26"/>
      <c r="U1854" s="26"/>
      <c r="V1854" s="26"/>
      <c r="W1854" s="20"/>
      <c r="X1854" s="20"/>
      <c r="Y1854" s="20"/>
      <c r="Z1854" s="20"/>
      <c r="AA1854" s="20"/>
      <c r="AB1854" s="20"/>
      <c r="AC1854" s="20"/>
      <c r="AD1854" s="20"/>
      <c r="AE1854" s="20"/>
    </row>
    <row r="1855">
      <c r="A1855" s="21">
        <v>50.0</v>
      </c>
      <c r="B1855" s="20" t="s">
        <v>2895</v>
      </c>
      <c r="C1855" s="20" t="s">
        <v>4716</v>
      </c>
      <c r="I1855" s="25" t="s">
        <v>75</v>
      </c>
      <c r="J1855" s="25" t="s">
        <v>4060</v>
      </c>
      <c r="K1855" s="25" t="s">
        <v>71</v>
      </c>
      <c r="L1855" s="25" t="s">
        <v>292</v>
      </c>
      <c r="M1855" s="20" t="s">
        <v>76</v>
      </c>
      <c r="N1855" s="20" t="s">
        <v>4088</v>
      </c>
      <c r="O1855" s="20" t="s">
        <v>63</v>
      </c>
      <c r="P1855" s="20" t="s">
        <v>52</v>
      </c>
      <c r="Q1855" s="22"/>
      <c r="R1855" s="22"/>
      <c r="S1855" s="22"/>
      <c r="T1855" s="22"/>
      <c r="U1855" s="26"/>
      <c r="V1855" s="26"/>
      <c r="W1855" s="20"/>
      <c r="X1855" s="20"/>
      <c r="Y1855" s="20"/>
      <c r="Z1855" s="20"/>
      <c r="AA1855" s="20"/>
      <c r="AB1855" s="20"/>
      <c r="AC1855" s="20"/>
      <c r="AD1855" s="20"/>
      <c r="AE1855" s="20"/>
    </row>
    <row r="1856">
      <c r="A1856" s="21">
        <v>50.0</v>
      </c>
      <c r="B1856" s="20" t="s">
        <v>2895</v>
      </c>
      <c r="C1856" s="20" t="s">
        <v>4716</v>
      </c>
      <c r="I1856" s="25" t="s">
        <v>705</v>
      </c>
      <c r="J1856" s="25" t="s">
        <v>4060</v>
      </c>
      <c r="K1856" s="25" t="s">
        <v>71</v>
      </c>
      <c r="L1856" s="25" t="s">
        <v>292</v>
      </c>
      <c r="M1856" s="20" t="s">
        <v>4090</v>
      </c>
      <c r="N1856" s="20" t="s">
        <v>4077</v>
      </c>
      <c r="O1856" s="20" t="s">
        <v>63</v>
      </c>
      <c r="P1856" s="20" t="s">
        <v>52</v>
      </c>
      <c r="Q1856" s="22"/>
      <c r="R1856" s="22"/>
      <c r="S1856" s="22"/>
      <c r="T1856" s="22"/>
      <c r="U1856" s="26"/>
      <c r="V1856" s="26"/>
      <c r="W1856" s="20"/>
      <c r="X1856" s="20"/>
      <c r="Y1856" s="20"/>
      <c r="Z1856" s="20"/>
      <c r="AA1856" s="20"/>
      <c r="AB1856" s="20"/>
      <c r="AC1856" s="20"/>
      <c r="AD1856" s="20"/>
      <c r="AE1856" s="20"/>
    </row>
    <row r="1857">
      <c r="A1857" s="21">
        <v>50.0</v>
      </c>
      <c r="B1857" s="20" t="s">
        <v>2895</v>
      </c>
      <c r="C1857" s="20" t="s">
        <v>4716</v>
      </c>
      <c r="I1857" s="25" t="s">
        <v>4091</v>
      </c>
      <c r="J1857" s="25" t="s">
        <v>4060</v>
      </c>
      <c r="K1857" s="25" t="s">
        <v>71</v>
      </c>
      <c r="L1857" s="25" t="s">
        <v>4742</v>
      </c>
      <c r="M1857" s="20" t="s">
        <v>4092</v>
      </c>
      <c r="N1857" s="20" t="s">
        <v>4093</v>
      </c>
      <c r="O1857" s="20" t="s">
        <v>63</v>
      </c>
      <c r="P1857" s="20"/>
      <c r="Q1857" s="22"/>
      <c r="R1857" s="22"/>
      <c r="S1857" s="22"/>
      <c r="T1857" s="26"/>
      <c r="U1857" s="26"/>
      <c r="V1857" s="26"/>
      <c r="W1857" s="20"/>
      <c r="X1857" s="20"/>
      <c r="Y1857" s="20"/>
      <c r="Z1857" s="20"/>
      <c r="AA1857" s="20"/>
      <c r="AB1857" s="20"/>
      <c r="AC1857" s="20"/>
      <c r="AD1857" s="20"/>
      <c r="AE1857" s="20"/>
    </row>
    <row r="1858">
      <c r="A1858" s="21">
        <v>50.0</v>
      </c>
      <c r="B1858" s="20" t="s">
        <v>2895</v>
      </c>
      <c r="C1858" s="20" t="s">
        <v>4716</v>
      </c>
      <c r="I1858" s="25" t="s">
        <v>738</v>
      </c>
      <c r="J1858" s="25" t="s">
        <v>4060</v>
      </c>
      <c r="K1858" s="25" t="s">
        <v>71</v>
      </c>
      <c r="L1858" s="25" t="s">
        <v>292</v>
      </c>
      <c r="M1858" s="20" t="s">
        <v>4094</v>
      </c>
      <c r="N1858" s="20" t="s">
        <v>4077</v>
      </c>
      <c r="O1858" s="20" t="s">
        <v>63</v>
      </c>
      <c r="P1858" s="20" t="s">
        <v>52</v>
      </c>
      <c r="Q1858" s="22"/>
      <c r="R1858" s="22"/>
      <c r="S1858" s="22"/>
      <c r="T1858" s="22"/>
      <c r="U1858" s="26"/>
      <c r="V1858" s="26"/>
      <c r="W1858" s="20"/>
      <c r="X1858" s="20"/>
      <c r="Y1858" s="20"/>
      <c r="Z1858" s="20"/>
      <c r="AA1858" s="20"/>
      <c r="AB1858" s="20"/>
      <c r="AC1858" s="20"/>
      <c r="AD1858" s="20"/>
      <c r="AE1858" s="20"/>
    </row>
    <row r="1859">
      <c r="A1859" s="21">
        <v>50.0</v>
      </c>
      <c r="B1859" s="20" t="s">
        <v>2895</v>
      </c>
      <c r="C1859" s="20" t="s">
        <v>4716</v>
      </c>
      <c r="I1859" s="25" t="s">
        <v>60</v>
      </c>
      <c r="J1859" s="25" t="s">
        <v>4054</v>
      </c>
      <c r="K1859" s="25" t="s">
        <v>71</v>
      </c>
      <c r="L1859" s="25" t="s">
        <v>4742</v>
      </c>
      <c r="M1859" s="20" t="s">
        <v>61</v>
      </c>
      <c r="N1859" s="20" t="s">
        <v>4119</v>
      </c>
      <c r="O1859" s="20" t="s">
        <v>63</v>
      </c>
      <c r="P1859" s="20"/>
      <c r="Q1859" s="22"/>
      <c r="R1859" s="22"/>
      <c r="S1859" s="22"/>
      <c r="T1859" s="26"/>
      <c r="U1859" s="26"/>
      <c r="V1859" s="26"/>
      <c r="W1859" s="20"/>
      <c r="X1859" s="20"/>
      <c r="Y1859" s="20"/>
      <c r="Z1859" s="20"/>
      <c r="AA1859" s="20"/>
      <c r="AB1859" s="20"/>
      <c r="AC1859" s="20"/>
      <c r="AD1859" s="20"/>
      <c r="AE1859" s="20"/>
    </row>
    <row r="1860">
      <c r="A1860" s="21">
        <v>50.0</v>
      </c>
      <c r="B1860" s="20" t="s">
        <v>2895</v>
      </c>
      <c r="C1860" s="20" t="s">
        <v>4716</v>
      </c>
      <c r="I1860" s="25" t="s">
        <v>193</v>
      </c>
      <c r="J1860" s="25" t="s">
        <v>4060</v>
      </c>
      <c r="K1860" s="25" t="s">
        <v>71</v>
      </c>
      <c r="L1860" s="25" t="s">
        <v>4742</v>
      </c>
      <c r="M1860" s="20" t="s">
        <v>4095</v>
      </c>
      <c r="N1860" s="20" t="s">
        <v>4070</v>
      </c>
      <c r="O1860" s="20" t="s">
        <v>63</v>
      </c>
      <c r="P1860" s="20"/>
      <c r="Q1860" s="22"/>
      <c r="R1860" s="22"/>
      <c r="S1860" s="22"/>
      <c r="T1860" s="26"/>
      <c r="U1860" s="26"/>
      <c r="V1860" s="26"/>
      <c r="W1860" s="20"/>
      <c r="X1860" s="20"/>
      <c r="Y1860" s="20"/>
      <c r="Z1860" s="20"/>
      <c r="AA1860" s="20"/>
      <c r="AB1860" s="20"/>
      <c r="AC1860" s="20"/>
      <c r="AD1860" s="20"/>
      <c r="AE1860" s="20"/>
    </row>
    <row r="1861">
      <c r="A1861" s="21">
        <v>50.0</v>
      </c>
      <c r="B1861" s="20" t="s">
        <v>2895</v>
      </c>
      <c r="C1861" s="20" t="s">
        <v>4716</v>
      </c>
      <c r="I1861" s="25" t="s">
        <v>658</v>
      </c>
      <c r="J1861" s="25" t="s">
        <v>4060</v>
      </c>
      <c r="K1861" s="25" t="s">
        <v>71</v>
      </c>
      <c r="L1861" s="25" t="s">
        <v>292</v>
      </c>
      <c r="M1861" s="20" t="s">
        <v>4096</v>
      </c>
      <c r="N1861" s="20" t="s">
        <v>4077</v>
      </c>
      <c r="O1861" s="20" t="s">
        <v>63</v>
      </c>
      <c r="P1861" s="20" t="s">
        <v>52</v>
      </c>
      <c r="Q1861" s="22"/>
      <c r="R1861" s="22"/>
      <c r="S1861" s="22"/>
      <c r="T1861" s="22"/>
      <c r="U1861" s="26"/>
      <c r="V1861" s="26"/>
      <c r="W1861" s="20"/>
      <c r="X1861" s="20"/>
      <c r="Y1861" s="20"/>
      <c r="Z1861" s="20"/>
      <c r="AA1861" s="20"/>
      <c r="AB1861" s="20"/>
      <c r="AC1861" s="20"/>
      <c r="AD1861" s="20"/>
      <c r="AE1861" s="20"/>
    </row>
    <row r="1862">
      <c r="A1862" s="21">
        <v>51.0</v>
      </c>
      <c r="B1862" s="20" t="s">
        <v>4121</v>
      </c>
      <c r="C1862" s="20" t="s">
        <v>4781</v>
      </c>
      <c r="D1862" s="35">
        <v>20.0</v>
      </c>
      <c r="E1862" s="35">
        <v>0.0</v>
      </c>
      <c r="F1862" s="35">
        <v>0.0</v>
      </c>
      <c r="G1862" s="35">
        <v>20.0</v>
      </c>
      <c r="H1862" s="36" t="s">
        <v>4783</v>
      </c>
      <c r="I1862" s="25" t="s">
        <v>1896</v>
      </c>
      <c r="J1862" s="25" t="s">
        <v>4173</v>
      </c>
      <c r="K1862" s="25" t="s">
        <v>71</v>
      </c>
      <c r="L1862" s="25" t="s">
        <v>292</v>
      </c>
      <c r="M1862" s="20" t="s">
        <v>4174</v>
      </c>
      <c r="N1862" s="20" t="s">
        <v>4175</v>
      </c>
      <c r="O1862" s="20" t="s">
        <v>63</v>
      </c>
      <c r="P1862" s="20" t="s">
        <v>52</v>
      </c>
      <c r="Q1862" s="22"/>
      <c r="R1862" s="22"/>
      <c r="S1862" s="22"/>
      <c r="T1862" s="22"/>
      <c r="U1862" s="26"/>
      <c r="V1862" s="26"/>
      <c r="W1862" s="20"/>
      <c r="X1862" s="20"/>
      <c r="Y1862" s="20"/>
      <c r="Z1862" s="20"/>
      <c r="AA1862" s="20"/>
      <c r="AB1862" s="20"/>
      <c r="AC1862" s="20"/>
      <c r="AD1862" s="20"/>
      <c r="AE1862" s="20"/>
    </row>
    <row r="1863">
      <c r="A1863" s="21">
        <v>51.0</v>
      </c>
      <c r="B1863" s="20" t="s">
        <v>4121</v>
      </c>
      <c r="C1863" s="20" t="s">
        <v>4781</v>
      </c>
      <c r="I1863" s="25" t="s">
        <v>1284</v>
      </c>
      <c r="J1863" s="25" t="s">
        <v>4122</v>
      </c>
      <c r="K1863" s="25" t="s">
        <v>71</v>
      </c>
      <c r="L1863" s="25" t="s">
        <v>292</v>
      </c>
      <c r="M1863" s="20" t="s">
        <v>4123</v>
      </c>
      <c r="N1863" s="20" t="s">
        <v>4124</v>
      </c>
      <c r="O1863" s="20" t="s">
        <v>63</v>
      </c>
      <c r="P1863" s="20" t="s">
        <v>52</v>
      </c>
      <c r="Q1863" s="22"/>
      <c r="R1863" s="22"/>
      <c r="S1863" s="22"/>
      <c r="T1863" s="22"/>
      <c r="U1863" s="26"/>
      <c r="V1863" s="26"/>
      <c r="W1863" s="20"/>
      <c r="X1863" s="20"/>
      <c r="Y1863" s="20"/>
      <c r="Z1863" s="20"/>
      <c r="AA1863" s="20"/>
      <c r="AB1863" s="20"/>
      <c r="AC1863" s="20"/>
      <c r="AD1863" s="20"/>
      <c r="AE1863" s="20"/>
    </row>
    <row r="1864">
      <c r="A1864" s="21">
        <v>51.0</v>
      </c>
      <c r="B1864" s="20" t="s">
        <v>4121</v>
      </c>
      <c r="C1864" s="20" t="s">
        <v>4781</v>
      </c>
      <c r="I1864" s="25" t="s">
        <v>4126</v>
      </c>
      <c r="J1864" s="25" t="s">
        <v>4122</v>
      </c>
      <c r="K1864" s="25" t="s">
        <v>71</v>
      </c>
      <c r="L1864" s="25" t="s">
        <v>292</v>
      </c>
      <c r="M1864" s="20" t="s">
        <v>61</v>
      </c>
      <c r="N1864" s="20" t="s">
        <v>4127</v>
      </c>
      <c r="O1864" s="20" t="s">
        <v>63</v>
      </c>
      <c r="P1864" s="20" t="s">
        <v>52</v>
      </c>
      <c r="Q1864" s="22"/>
      <c r="R1864" s="22"/>
      <c r="S1864" s="22"/>
      <c r="T1864" s="22"/>
      <c r="U1864" s="26"/>
      <c r="V1864" s="26"/>
      <c r="W1864" s="20"/>
      <c r="X1864" s="20"/>
      <c r="Y1864" s="20"/>
      <c r="Z1864" s="20"/>
      <c r="AA1864" s="20"/>
      <c r="AB1864" s="20"/>
      <c r="AC1864" s="20"/>
      <c r="AD1864" s="20"/>
      <c r="AE1864" s="20"/>
    </row>
    <row r="1865">
      <c r="A1865" s="21">
        <v>51.0</v>
      </c>
      <c r="B1865" s="20" t="s">
        <v>4121</v>
      </c>
      <c r="C1865" s="20" t="s">
        <v>4781</v>
      </c>
      <c r="I1865" s="25" t="s">
        <v>4128</v>
      </c>
      <c r="J1865" s="25" t="s">
        <v>4122</v>
      </c>
      <c r="K1865" s="25" t="s">
        <v>71</v>
      </c>
      <c r="L1865" s="25" t="s">
        <v>292</v>
      </c>
      <c r="M1865" s="20" t="s">
        <v>61</v>
      </c>
      <c r="N1865" s="20" t="s">
        <v>4127</v>
      </c>
      <c r="O1865" s="20" t="s">
        <v>63</v>
      </c>
      <c r="P1865" s="20" t="s">
        <v>52</v>
      </c>
      <c r="Q1865" s="22"/>
      <c r="R1865" s="22"/>
      <c r="S1865" s="22"/>
      <c r="T1865" s="22"/>
      <c r="U1865" s="26"/>
      <c r="V1865" s="26"/>
      <c r="W1865" s="20"/>
      <c r="X1865" s="20"/>
      <c r="Y1865" s="20"/>
      <c r="Z1865" s="20"/>
      <c r="AA1865" s="20"/>
      <c r="AB1865" s="20"/>
      <c r="AC1865" s="20"/>
      <c r="AD1865" s="20"/>
      <c r="AE1865" s="20"/>
    </row>
    <row r="1866">
      <c r="A1866" s="21">
        <v>51.0</v>
      </c>
      <c r="B1866" s="20" t="s">
        <v>4121</v>
      </c>
      <c r="C1866" s="20" t="s">
        <v>4781</v>
      </c>
      <c r="I1866" s="25" t="s">
        <v>4130</v>
      </c>
      <c r="J1866" s="25" t="s">
        <v>4122</v>
      </c>
      <c r="K1866" s="25" t="s">
        <v>71</v>
      </c>
      <c r="L1866" s="25" t="s">
        <v>226</v>
      </c>
      <c r="M1866" s="20" t="s">
        <v>61</v>
      </c>
      <c r="N1866" s="20" t="s">
        <v>4131</v>
      </c>
      <c r="O1866" s="20" t="s">
        <v>63</v>
      </c>
      <c r="P1866" s="20" t="s">
        <v>52</v>
      </c>
      <c r="Q1866" s="22"/>
      <c r="R1866" s="22"/>
      <c r="S1866" s="22"/>
      <c r="T1866" s="22"/>
      <c r="U1866" s="26"/>
      <c r="V1866" s="26"/>
      <c r="W1866" s="20"/>
      <c r="X1866" s="20"/>
      <c r="Y1866" s="20"/>
      <c r="Z1866" s="20"/>
      <c r="AA1866" s="20"/>
      <c r="AB1866" s="20"/>
      <c r="AC1866" s="20"/>
      <c r="AD1866" s="20"/>
      <c r="AE1866" s="20"/>
    </row>
    <row r="1867">
      <c r="A1867" s="21">
        <v>51.0</v>
      </c>
      <c r="B1867" s="20" t="s">
        <v>4121</v>
      </c>
      <c r="C1867" s="20" t="s">
        <v>4781</v>
      </c>
      <c r="I1867" s="25" t="s">
        <v>4132</v>
      </c>
      <c r="J1867" s="25" t="s">
        <v>4122</v>
      </c>
      <c r="K1867" s="25" t="s">
        <v>71</v>
      </c>
      <c r="L1867" s="25" t="s">
        <v>4785</v>
      </c>
      <c r="M1867" s="20" t="s">
        <v>4133</v>
      </c>
      <c r="N1867" s="20" t="s">
        <v>4134</v>
      </c>
      <c r="O1867" s="20" t="s">
        <v>63</v>
      </c>
      <c r="P1867" s="20"/>
      <c r="Q1867" s="22"/>
      <c r="R1867" s="22"/>
      <c r="S1867" s="22"/>
      <c r="T1867" s="26"/>
      <c r="U1867" s="26"/>
      <c r="V1867" s="26"/>
      <c r="W1867" s="20"/>
      <c r="X1867" s="20"/>
      <c r="Y1867" s="20"/>
      <c r="Z1867" s="20"/>
      <c r="AA1867" s="20"/>
      <c r="AB1867" s="20"/>
      <c r="AC1867" s="20"/>
      <c r="AD1867" s="20"/>
      <c r="AE1867" s="20"/>
    </row>
    <row r="1868">
      <c r="A1868" s="21">
        <v>51.0</v>
      </c>
      <c r="B1868" s="20" t="s">
        <v>4121</v>
      </c>
      <c r="C1868" s="20" t="s">
        <v>4781</v>
      </c>
      <c r="I1868" s="25" t="s">
        <v>4136</v>
      </c>
      <c r="J1868" s="25" t="s">
        <v>4122</v>
      </c>
      <c r="K1868" s="25" t="s">
        <v>71</v>
      </c>
      <c r="L1868" s="25" t="s">
        <v>292</v>
      </c>
      <c r="M1868" s="20" t="s">
        <v>4137</v>
      </c>
      <c r="N1868" s="20" t="s">
        <v>4138</v>
      </c>
      <c r="O1868" s="20" t="s">
        <v>63</v>
      </c>
      <c r="P1868" s="20" t="s">
        <v>52</v>
      </c>
      <c r="Q1868" s="22"/>
      <c r="R1868" s="22"/>
      <c r="S1868" s="22"/>
      <c r="T1868" s="22"/>
      <c r="U1868" s="26"/>
      <c r="V1868" s="26"/>
      <c r="W1868" s="20"/>
      <c r="X1868" s="20"/>
      <c r="Y1868" s="20"/>
      <c r="Z1868" s="20"/>
      <c r="AA1868" s="20"/>
      <c r="AB1868" s="20"/>
      <c r="AC1868" s="20"/>
      <c r="AD1868" s="20"/>
      <c r="AE1868" s="20"/>
    </row>
    <row r="1869">
      <c r="A1869" s="21">
        <v>51.0</v>
      </c>
      <c r="B1869" s="20" t="s">
        <v>4121</v>
      </c>
      <c r="C1869" s="20" t="s">
        <v>4781</v>
      </c>
      <c r="I1869" s="25" t="s">
        <v>4139</v>
      </c>
      <c r="J1869" s="25" t="s">
        <v>4122</v>
      </c>
      <c r="K1869" s="25" t="s">
        <v>71</v>
      </c>
      <c r="L1869" s="25" t="s">
        <v>292</v>
      </c>
      <c r="M1869" s="20" t="s">
        <v>61</v>
      </c>
      <c r="N1869" s="20" t="s">
        <v>4140</v>
      </c>
      <c r="O1869" s="20" t="s">
        <v>63</v>
      </c>
      <c r="P1869" s="20" t="s">
        <v>52</v>
      </c>
      <c r="Q1869" s="22"/>
      <c r="R1869" s="22"/>
      <c r="S1869" s="22"/>
      <c r="T1869" s="22"/>
      <c r="U1869" s="26"/>
      <c r="V1869" s="26"/>
      <c r="W1869" s="20"/>
      <c r="X1869" s="20"/>
      <c r="Y1869" s="20"/>
      <c r="Z1869" s="20"/>
      <c r="AA1869" s="20"/>
      <c r="AB1869" s="20"/>
      <c r="AC1869" s="20"/>
      <c r="AD1869" s="20"/>
      <c r="AE1869" s="20"/>
    </row>
    <row r="1870">
      <c r="A1870" s="21">
        <v>51.0</v>
      </c>
      <c r="B1870" s="20" t="s">
        <v>4121</v>
      </c>
      <c r="C1870" s="20" t="s">
        <v>4781</v>
      </c>
      <c r="I1870" s="25" t="s">
        <v>4176</v>
      </c>
      <c r="J1870" s="25" t="s">
        <v>4173</v>
      </c>
      <c r="K1870" s="25" t="s">
        <v>418</v>
      </c>
      <c r="L1870" s="25" t="s">
        <v>537</v>
      </c>
      <c r="M1870" s="20" t="s">
        <v>415</v>
      </c>
      <c r="N1870" s="20" t="s">
        <v>415</v>
      </c>
      <c r="O1870" s="20" t="s">
        <v>416</v>
      </c>
      <c r="P1870" s="20"/>
      <c r="Q1870" s="22"/>
      <c r="R1870" s="22"/>
      <c r="S1870" s="22"/>
      <c r="T1870" s="26"/>
      <c r="U1870" s="26"/>
      <c r="V1870" s="26"/>
      <c r="W1870" s="20"/>
      <c r="X1870" s="20"/>
      <c r="Y1870" s="20"/>
      <c r="Z1870" s="20"/>
      <c r="AA1870" s="20"/>
      <c r="AB1870" s="20"/>
      <c r="AC1870" s="20"/>
      <c r="AD1870" s="20"/>
      <c r="AE1870" s="20"/>
    </row>
    <row r="1871">
      <c r="A1871" s="21">
        <v>51.0</v>
      </c>
      <c r="B1871" s="20" t="s">
        <v>4121</v>
      </c>
      <c r="C1871" s="20" t="s">
        <v>4781</v>
      </c>
      <c r="I1871" s="25" t="s">
        <v>4177</v>
      </c>
      <c r="J1871" s="25" t="s">
        <v>4173</v>
      </c>
      <c r="K1871" s="25" t="s">
        <v>418</v>
      </c>
      <c r="L1871" s="25" t="s">
        <v>537</v>
      </c>
      <c r="M1871" s="20" t="s">
        <v>415</v>
      </c>
      <c r="N1871" s="20" t="s">
        <v>415</v>
      </c>
      <c r="O1871" s="20" t="s">
        <v>416</v>
      </c>
      <c r="P1871" s="20"/>
      <c r="Q1871" s="22"/>
      <c r="R1871" s="22"/>
      <c r="S1871" s="22"/>
      <c r="T1871" s="26"/>
      <c r="U1871" s="26"/>
      <c r="V1871" s="26"/>
      <c r="W1871" s="20"/>
      <c r="X1871" s="20"/>
      <c r="Y1871" s="20"/>
      <c r="Z1871" s="20"/>
      <c r="AA1871" s="20"/>
      <c r="AB1871" s="20"/>
      <c r="AC1871" s="20"/>
      <c r="AD1871" s="20"/>
      <c r="AE1871" s="20"/>
    </row>
    <row r="1872">
      <c r="A1872" s="21">
        <v>51.0</v>
      </c>
      <c r="B1872" s="20" t="s">
        <v>4121</v>
      </c>
      <c r="C1872" s="20" t="s">
        <v>4781</v>
      </c>
      <c r="I1872" s="25" t="s">
        <v>4178</v>
      </c>
      <c r="J1872" s="25" t="s">
        <v>4173</v>
      </c>
      <c r="K1872" s="25" t="s">
        <v>418</v>
      </c>
      <c r="L1872" s="25" t="s">
        <v>537</v>
      </c>
      <c r="M1872" s="20" t="s">
        <v>415</v>
      </c>
      <c r="N1872" s="20" t="s">
        <v>415</v>
      </c>
      <c r="O1872" s="20" t="s">
        <v>416</v>
      </c>
      <c r="P1872" s="20"/>
      <c r="Q1872" s="22"/>
      <c r="R1872" s="22"/>
      <c r="S1872" s="22"/>
      <c r="T1872" s="26"/>
      <c r="U1872" s="26"/>
      <c r="V1872" s="26"/>
      <c r="W1872" s="20"/>
      <c r="X1872" s="20"/>
      <c r="Y1872" s="20"/>
      <c r="Z1872" s="20"/>
      <c r="AA1872" s="20"/>
      <c r="AB1872" s="20"/>
      <c r="AC1872" s="20"/>
      <c r="AD1872" s="20"/>
      <c r="AE1872" s="20"/>
    </row>
    <row r="1873">
      <c r="A1873" s="21">
        <v>51.0</v>
      </c>
      <c r="B1873" s="20" t="s">
        <v>4121</v>
      </c>
      <c r="C1873" s="20" t="s">
        <v>4781</v>
      </c>
      <c r="I1873" s="25" t="s">
        <v>4141</v>
      </c>
      <c r="J1873" s="25" t="s">
        <v>4122</v>
      </c>
      <c r="K1873" s="25" t="s">
        <v>71</v>
      </c>
      <c r="L1873" s="25" t="s">
        <v>4785</v>
      </c>
      <c r="M1873" s="20" t="s">
        <v>4142</v>
      </c>
      <c r="N1873" s="20" t="s">
        <v>4143</v>
      </c>
      <c r="O1873" s="20" t="s">
        <v>63</v>
      </c>
      <c r="P1873" s="20"/>
      <c r="Q1873" s="22"/>
      <c r="R1873" s="22"/>
      <c r="S1873" s="22"/>
      <c r="T1873" s="26"/>
      <c r="U1873" s="26"/>
      <c r="V1873" s="26"/>
      <c r="W1873" s="20"/>
      <c r="X1873" s="20"/>
      <c r="Y1873" s="20"/>
      <c r="Z1873" s="20"/>
      <c r="AA1873" s="20"/>
      <c r="AB1873" s="20"/>
      <c r="AC1873" s="20"/>
      <c r="AD1873" s="20"/>
      <c r="AE1873" s="20"/>
    </row>
    <row r="1874">
      <c r="A1874" s="21">
        <v>51.0</v>
      </c>
      <c r="B1874" s="20" t="s">
        <v>4121</v>
      </c>
      <c r="C1874" s="20" t="s">
        <v>4781</v>
      </c>
      <c r="I1874" s="25" t="s">
        <v>4144</v>
      </c>
      <c r="J1874" s="25" t="s">
        <v>4122</v>
      </c>
      <c r="K1874" s="25" t="s">
        <v>71</v>
      </c>
      <c r="L1874" s="25" t="s">
        <v>4796</v>
      </c>
      <c r="M1874" s="20" t="s">
        <v>4145</v>
      </c>
      <c r="N1874" s="20" t="s">
        <v>4146</v>
      </c>
      <c r="O1874" s="20" t="s">
        <v>63</v>
      </c>
      <c r="P1874" s="20"/>
      <c r="Q1874" s="22"/>
      <c r="R1874" s="22"/>
      <c r="S1874" s="22"/>
      <c r="T1874" s="26"/>
      <c r="U1874" s="26"/>
      <c r="V1874" s="26"/>
      <c r="W1874" s="20"/>
      <c r="X1874" s="20"/>
      <c r="Y1874" s="20"/>
      <c r="Z1874" s="20"/>
      <c r="AA1874" s="20"/>
      <c r="AB1874" s="20"/>
      <c r="AC1874" s="20"/>
      <c r="AD1874" s="20"/>
      <c r="AE1874" s="20"/>
    </row>
    <row r="1875">
      <c r="A1875" s="21">
        <v>51.0</v>
      </c>
      <c r="B1875" s="20" t="s">
        <v>4121</v>
      </c>
      <c r="C1875" s="20" t="s">
        <v>4781</v>
      </c>
      <c r="I1875" s="25" t="s">
        <v>2432</v>
      </c>
      <c r="J1875" s="25" t="s">
        <v>4122</v>
      </c>
      <c r="K1875" s="25" t="s">
        <v>71</v>
      </c>
      <c r="L1875" s="25" t="s">
        <v>4796</v>
      </c>
      <c r="M1875" s="20" t="s">
        <v>4147</v>
      </c>
      <c r="N1875" s="20" t="s">
        <v>4148</v>
      </c>
      <c r="O1875" s="20" t="s">
        <v>63</v>
      </c>
      <c r="P1875" s="20"/>
      <c r="Q1875" s="22"/>
      <c r="R1875" s="22"/>
      <c r="S1875" s="22"/>
      <c r="T1875" s="26"/>
      <c r="U1875" s="26"/>
      <c r="V1875" s="26"/>
      <c r="W1875" s="20"/>
      <c r="X1875" s="20"/>
      <c r="Y1875" s="20"/>
      <c r="Z1875" s="20"/>
      <c r="AA1875" s="20"/>
      <c r="AB1875" s="20"/>
      <c r="AC1875" s="20"/>
      <c r="AD1875" s="20"/>
      <c r="AE1875" s="20"/>
    </row>
    <row r="1876">
      <c r="A1876" s="21">
        <v>51.0</v>
      </c>
      <c r="B1876" s="20" t="s">
        <v>4121</v>
      </c>
      <c r="C1876" s="20" t="s">
        <v>4781</v>
      </c>
      <c r="I1876" s="25" t="s">
        <v>4179</v>
      </c>
      <c r="J1876" s="25" t="s">
        <v>4173</v>
      </c>
      <c r="K1876" s="25" t="s">
        <v>418</v>
      </c>
      <c r="L1876" s="25" t="s">
        <v>537</v>
      </c>
      <c r="M1876" s="20" t="s">
        <v>415</v>
      </c>
      <c r="N1876" s="20" t="s">
        <v>415</v>
      </c>
      <c r="O1876" s="20" t="s">
        <v>416</v>
      </c>
      <c r="P1876" s="20"/>
      <c r="Q1876" s="22"/>
      <c r="R1876" s="22"/>
      <c r="S1876" s="22"/>
      <c r="T1876" s="26"/>
      <c r="U1876" s="26"/>
      <c r="V1876" s="26"/>
      <c r="W1876" s="20"/>
      <c r="X1876" s="20"/>
      <c r="Y1876" s="20"/>
      <c r="Z1876" s="20"/>
      <c r="AA1876" s="20"/>
      <c r="AB1876" s="20"/>
      <c r="AC1876" s="20"/>
      <c r="AD1876" s="20"/>
      <c r="AE1876" s="20"/>
    </row>
    <row r="1877">
      <c r="A1877" s="21">
        <v>51.0</v>
      </c>
      <c r="B1877" s="20" t="s">
        <v>4121</v>
      </c>
      <c r="C1877" s="20" t="s">
        <v>4781</v>
      </c>
      <c r="I1877" s="25" t="s">
        <v>2928</v>
      </c>
      <c r="J1877" s="25" t="s">
        <v>4122</v>
      </c>
      <c r="K1877" s="25" t="s">
        <v>71</v>
      </c>
      <c r="L1877" s="25" t="s">
        <v>4796</v>
      </c>
      <c r="M1877" s="20" t="s">
        <v>4149</v>
      </c>
      <c r="N1877" s="20" t="s">
        <v>4150</v>
      </c>
      <c r="O1877" s="20" t="s">
        <v>63</v>
      </c>
      <c r="P1877" s="20"/>
      <c r="Q1877" s="22"/>
      <c r="R1877" s="22"/>
      <c r="S1877" s="22"/>
      <c r="T1877" s="26"/>
      <c r="U1877" s="26"/>
      <c r="V1877" s="26"/>
      <c r="W1877" s="20"/>
      <c r="X1877" s="20"/>
      <c r="Y1877" s="20"/>
      <c r="Z1877" s="20"/>
      <c r="AA1877" s="20"/>
      <c r="AB1877" s="20"/>
      <c r="AC1877" s="20"/>
      <c r="AD1877" s="20"/>
      <c r="AE1877" s="20"/>
    </row>
    <row r="1878">
      <c r="A1878" s="21">
        <v>51.0</v>
      </c>
      <c r="B1878" s="20" t="s">
        <v>4121</v>
      </c>
      <c r="C1878" s="20" t="s">
        <v>4781</v>
      </c>
      <c r="I1878" s="25" t="s">
        <v>2643</v>
      </c>
      <c r="J1878" s="25" t="s">
        <v>4173</v>
      </c>
      <c r="K1878" s="25" t="s">
        <v>418</v>
      </c>
      <c r="L1878" s="25" t="s">
        <v>537</v>
      </c>
      <c r="M1878" s="20" t="s">
        <v>415</v>
      </c>
      <c r="N1878" s="20" t="s">
        <v>415</v>
      </c>
      <c r="O1878" s="20" t="s">
        <v>416</v>
      </c>
      <c r="P1878" s="20"/>
      <c r="Q1878" s="22"/>
      <c r="R1878" s="22"/>
      <c r="S1878" s="22"/>
      <c r="T1878" s="26"/>
      <c r="U1878" s="26"/>
      <c r="V1878" s="26"/>
      <c r="W1878" s="20"/>
      <c r="X1878" s="20"/>
      <c r="Y1878" s="20"/>
      <c r="Z1878" s="20"/>
      <c r="AA1878" s="20"/>
      <c r="AB1878" s="20"/>
      <c r="AC1878" s="20"/>
      <c r="AD1878" s="20"/>
      <c r="AE1878" s="20"/>
    </row>
    <row r="1879">
      <c r="A1879" s="21">
        <v>51.0</v>
      </c>
      <c r="B1879" s="20" t="s">
        <v>4121</v>
      </c>
      <c r="C1879" s="20" t="s">
        <v>4781</v>
      </c>
      <c r="I1879" s="25" t="s">
        <v>4151</v>
      </c>
      <c r="J1879" s="25" t="s">
        <v>4122</v>
      </c>
      <c r="K1879" s="25" t="s">
        <v>71</v>
      </c>
      <c r="L1879" s="25" t="s">
        <v>4785</v>
      </c>
      <c r="M1879" s="20" t="s">
        <v>4152</v>
      </c>
      <c r="N1879" s="20" t="s">
        <v>4153</v>
      </c>
      <c r="O1879" s="20" t="s">
        <v>63</v>
      </c>
      <c r="P1879" s="20"/>
      <c r="Q1879" s="22"/>
      <c r="R1879" s="22"/>
      <c r="S1879" s="22"/>
      <c r="T1879" s="26"/>
      <c r="U1879" s="26"/>
      <c r="V1879" s="26"/>
      <c r="W1879" s="20"/>
      <c r="X1879" s="20"/>
      <c r="Y1879" s="20"/>
      <c r="Z1879" s="20"/>
      <c r="AA1879" s="20"/>
      <c r="AB1879" s="20"/>
      <c r="AC1879" s="20"/>
      <c r="AD1879" s="20"/>
      <c r="AE1879" s="20"/>
    </row>
    <row r="1880">
      <c r="A1880" s="21">
        <v>51.0</v>
      </c>
      <c r="B1880" s="20" t="s">
        <v>4121</v>
      </c>
      <c r="C1880" s="20" t="s">
        <v>4781</v>
      </c>
      <c r="I1880" s="25" t="s">
        <v>4154</v>
      </c>
      <c r="J1880" s="25" t="s">
        <v>4122</v>
      </c>
      <c r="K1880" s="25" t="s">
        <v>71</v>
      </c>
      <c r="L1880" s="25" t="s">
        <v>4785</v>
      </c>
      <c r="M1880" s="20" t="s">
        <v>4155</v>
      </c>
      <c r="N1880" s="20" t="s">
        <v>4156</v>
      </c>
      <c r="O1880" s="20" t="s">
        <v>63</v>
      </c>
      <c r="P1880" s="20"/>
      <c r="Q1880" s="22"/>
      <c r="R1880" s="22"/>
      <c r="S1880" s="22"/>
      <c r="T1880" s="26"/>
      <c r="U1880" s="26"/>
      <c r="V1880" s="26"/>
      <c r="W1880" s="20"/>
      <c r="X1880" s="20"/>
      <c r="Y1880" s="20"/>
      <c r="Z1880" s="20"/>
      <c r="AA1880" s="20"/>
      <c r="AB1880" s="20"/>
      <c r="AC1880" s="20"/>
      <c r="AD1880" s="20"/>
      <c r="AE1880" s="20"/>
    </row>
    <row r="1881">
      <c r="A1881" s="21">
        <v>51.0</v>
      </c>
      <c r="B1881" s="20" t="s">
        <v>4121</v>
      </c>
      <c r="C1881" s="20" t="s">
        <v>4781</v>
      </c>
      <c r="I1881" s="25" t="s">
        <v>2445</v>
      </c>
      <c r="J1881" s="25" t="s">
        <v>4122</v>
      </c>
      <c r="K1881" s="25" t="s">
        <v>71</v>
      </c>
      <c r="L1881" s="25" t="s">
        <v>4808</v>
      </c>
      <c r="M1881" s="20" t="s">
        <v>4157</v>
      </c>
      <c r="N1881" s="20" t="s">
        <v>4158</v>
      </c>
      <c r="O1881" s="20" t="s">
        <v>63</v>
      </c>
      <c r="P1881" s="20"/>
      <c r="Q1881" s="22"/>
      <c r="R1881" s="22"/>
      <c r="S1881" s="22"/>
      <c r="T1881" s="26"/>
      <c r="U1881" s="26"/>
      <c r="V1881" s="26"/>
      <c r="W1881" s="20"/>
      <c r="X1881" s="20"/>
      <c r="Y1881" s="20"/>
      <c r="Z1881" s="20"/>
      <c r="AA1881" s="20"/>
      <c r="AB1881" s="20"/>
      <c r="AC1881" s="20"/>
      <c r="AD1881" s="20"/>
      <c r="AE1881" s="20"/>
    </row>
    <row r="1882">
      <c r="A1882" s="21">
        <v>51.0</v>
      </c>
      <c r="B1882" s="20" t="s">
        <v>4121</v>
      </c>
      <c r="C1882" s="20" t="s">
        <v>4781</v>
      </c>
      <c r="I1882" s="25" t="s">
        <v>4159</v>
      </c>
      <c r="J1882" s="25" t="s">
        <v>4122</v>
      </c>
      <c r="K1882" s="25" t="s">
        <v>71</v>
      </c>
      <c r="L1882" s="25" t="s">
        <v>4796</v>
      </c>
      <c r="M1882" s="20" t="s">
        <v>4160</v>
      </c>
      <c r="N1882" s="20" t="s">
        <v>4161</v>
      </c>
      <c r="O1882" s="20" t="s">
        <v>63</v>
      </c>
      <c r="P1882" s="20"/>
      <c r="Q1882" s="22"/>
      <c r="R1882" s="22"/>
      <c r="S1882" s="22"/>
      <c r="T1882" s="26"/>
      <c r="U1882" s="26"/>
      <c r="V1882" s="26"/>
      <c r="W1882" s="20"/>
      <c r="X1882" s="20"/>
      <c r="Y1882" s="20"/>
      <c r="Z1882" s="20"/>
      <c r="AA1882" s="20"/>
      <c r="AB1882" s="20"/>
      <c r="AC1882" s="20"/>
      <c r="AD1882" s="20"/>
      <c r="AE1882" s="20"/>
    </row>
    <row r="1883">
      <c r="A1883" s="21">
        <v>51.0</v>
      </c>
      <c r="B1883" s="20" t="s">
        <v>4121</v>
      </c>
      <c r="C1883" s="20" t="s">
        <v>4781</v>
      </c>
      <c r="I1883" s="25" t="s">
        <v>4162</v>
      </c>
      <c r="J1883" s="25" t="s">
        <v>4122</v>
      </c>
      <c r="K1883" s="25" t="s">
        <v>71</v>
      </c>
      <c r="L1883" s="25" t="s">
        <v>4796</v>
      </c>
      <c r="M1883" s="20" t="s">
        <v>4163</v>
      </c>
      <c r="N1883" s="20" t="s">
        <v>4164</v>
      </c>
      <c r="O1883" s="20" t="s">
        <v>63</v>
      </c>
      <c r="P1883" s="20"/>
      <c r="Q1883" s="22"/>
      <c r="R1883" s="22"/>
      <c r="S1883" s="22"/>
      <c r="T1883" s="26"/>
      <c r="U1883" s="26"/>
      <c r="V1883" s="26"/>
      <c r="W1883" s="20"/>
      <c r="X1883" s="20"/>
      <c r="Y1883" s="20"/>
      <c r="Z1883" s="20"/>
      <c r="AA1883" s="20"/>
      <c r="AB1883" s="20"/>
      <c r="AC1883" s="20"/>
      <c r="AD1883" s="20"/>
      <c r="AE1883" s="20"/>
    </row>
    <row r="1884">
      <c r="A1884" s="21">
        <v>51.0</v>
      </c>
      <c r="B1884" s="20" t="s">
        <v>4121</v>
      </c>
      <c r="C1884" s="20" t="s">
        <v>4781</v>
      </c>
      <c r="I1884" s="25" t="s">
        <v>4165</v>
      </c>
      <c r="J1884" s="25" t="s">
        <v>4122</v>
      </c>
      <c r="K1884" s="25" t="s">
        <v>71</v>
      </c>
      <c r="L1884" s="25" t="s">
        <v>4785</v>
      </c>
      <c r="M1884" s="20" t="s">
        <v>4166</v>
      </c>
      <c r="N1884" s="20" t="s">
        <v>4167</v>
      </c>
      <c r="O1884" s="20" t="s">
        <v>63</v>
      </c>
      <c r="P1884" s="20"/>
      <c r="Q1884" s="22"/>
      <c r="R1884" s="22"/>
      <c r="S1884" s="22"/>
      <c r="T1884" s="26"/>
      <c r="U1884" s="26"/>
      <c r="V1884" s="26"/>
      <c r="W1884" s="20"/>
      <c r="X1884" s="20"/>
      <c r="Y1884" s="20"/>
      <c r="Z1884" s="20"/>
      <c r="AA1884" s="20"/>
      <c r="AB1884" s="20"/>
      <c r="AC1884" s="20"/>
      <c r="AD1884" s="20"/>
      <c r="AE1884" s="20"/>
    </row>
    <row r="1885">
      <c r="A1885" s="21">
        <v>51.0</v>
      </c>
      <c r="B1885" s="20" t="s">
        <v>4121</v>
      </c>
      <c r="C1885" s="20" t="s">
        <v>4781</v>
      </c>
      <c r="I1885" s="25" t="s">
        <v>3796</v>
      </c>
      <c r="J1885" s="25" t="s">
        <v>4173</v>
      </c>
      <c r="K1885" s="25" t="s">
        <v>418</v>
      </c>
      <c r="L1885" s="25" t="s">
        <v>537</v>
      </c>
      <c r="M1885" s="20" t="s">
        <v>415</v>
      </c>
      <c r="N1885" s="20" t="s">
        <v>415</v>
      </c>
      <c r="O1885" s="20" t="s">
        <v>416</v>
      </c>
      <c r="P1885" s="20"/>
      <c r="Q1885" s="22"/>
      <c r="R1885" s="22"/>
      <c r="S1885" s="22"/>
      <c r="T1885" s="26"/>
      <c r="U1885" s="26"/>
      <c r="V1885" s="26"/>
      <c r="W1885" s="20"/>
      <c r="X1885" s="20"/>
      <c r="Y1885" s="20"/>
      <c r="Z1885" s="20"/>
      <c r="AA1885" s="20"/>
      <c r="AB1885" s="20"/>
      <c r="AC1885" s="20"/>
      <c r="AD1885" s="20"/>
      <c r="AE1885" s="20"/>
    </row>
    <row r="1886">
      <c r="A1886" s="21">
        <v>51.0</v>
      </c>
      <c r="B1886" s="20" t="s">
        <v>4121</v>
      </c>
      <c r="C1886" s="20" t="s">
        <v>4781</v>
      </c>
      <c r="I1886" s="25" t="s">
        <v>2601</v>
      </c>
      <c r="J1886" s="25" t="s">
        <v>4122</v>
      </c>
      <c r="K1886" s="25" t="s">
        <v>71</v>
      </c>
      <c r="L1886" s="25" t="s">
        <v>4785</v>
      </c>
      <c r="M1886" s="20" t="s">
        <v>4137</v>
      </c>
      <c r="N1886" s="20" t="s">
        <v>4168</v>
      </c>
      <c r="O1886" s="20" t="s">
        <v>63</v>
      </c>
      <c r="P1886" s="20"/>
      <c r="Q1886" s="22"/>
      <c r="R1886" s="22"/>
      <c r="S1886" s="22"/>
      <c r="T1886" s="26"/>
      <c r="U1886" s="26"/>
      <c r="V1886" s="26"/>
      <c r="W1886" s="20"/>
      <c r="X1886" s="20"/>
      <c r="Y1886" s="20"/>
      <c r="Z1886" s="20"/>
      <c r="AA1886" s="20"/>
      <c r="AB1886" s="20"/>
      <c r="AC1886" s="20"/>
      <c r="AD1886" s="20"/>
      <c r="AE1886" s="20"/>
    </row>
    <row r="1887">
      <c r="A1887" s="21">
        <v>51.0</v>
      </c>
      <c r="B1887" s="20" t="s">
        <v>4121</v>
      </c>
      <c r="C1887" s="20" t="s">
        <v>4781</v>
      </c>
      <c r="I1887" s="25" t="s">
        <v>4180</v>
      </c>
      <c r="J1887" s="25" t="s">
        <v>4173</v>
      </c>
      <c r="K1887" s="25" t="s">
        <v>418</v>
      </c>
      <c r="L1887" s="25" t="s">
        <v>537</v>
      </c>
      <c r="M1887" s="20" t="s">
        <v>415</v>
      </c>
      <c r="N1887" s="20" t="s">
        <v>415</v>
      </c>
      <c r="O1887" s="20" t="s">
        <v>416</v>
      </c>
      <c r="P1887" s="20"/>
      <c r="Q1887" s="22"/>
      <c r="R1887" s="22"/>
      <c r="S1887" s="22"/>
      <c r="T1887" s="26"/>
      <c r="U1887" s="26"/>
      <c r="V1887" s="26"/>
      <c r="W1887" s="20"/>
      <c r="X1887" s="20"/>
      <c r="Y1887" s="20"/>
      <c r="Z1887" s="20"/>
      <c r="AA1887" s="20"/>
      <c r="AB1887" s="20"/>
      <c r="AC1887" s="20"/>
      <c r="AD1887" s="20"/>
      <c r="AE1887" s="20"/>
    </row>
    <row r="1888">
      <c r="A1888" s="21">
        <v>51.0</v>
      </c>
      <c r="B1888" s="20" t="s">
        <v>4121</v>
      </c>
      <c r="C1888" s="20" t="s">
        <v>4781</v>
      </c>
      <c r="I1888" s="25" t="s">
        <v>4169</v>
      </c>
      <c r="J1888" s="25" t="s">
        <v>4122</v>
      </c>
      <c r="K1888" s="25" t="s">
        <v>71</v>
      </c>
      <c r="L1888" s="25" t="s">
        <v>4785</v>
      </c>
      <c r="M1888" s="20" t="s">
        <v>4170</v>
      </c>
      <c r="N1888" s="20" t="s">
        <v>4171</v>
      </c>
      <c r="O1888" s="20" t="s">
        <v>63</v>
      </c>
      <c r="P1888" s="20"/>
      <c r="Q1888" s="22"/>
      <c r="R1888" s="22"/>
      <c r="S1888" s="22"/>
      <c r="T1888" s="26"/>
      <c r="U1888" s="26"/>
      <c r="V1888" s="26"/>
      <c r="W1888" s="20"/>
      <c r="X1888" s="20"/>
      <c r="Y1888" s="20"/>
      <c r="Z1888" s="20"/>
      <c r="AA1888" s="20"/>
      <c r="AB1888" s="20"/>
      <c r="AC1888" s="20"/>
      <c r="AD1888" s="20"/>
      <c r="AE1888" s="20"/>
    </row>
    <row r="1889">
      <c r="A1889" s="21">
        <v>51.0</v>
      </c>
      <c r="B1889" s="20" t="s">
        <v>4121</v>
      </c>
      <c r="C1889" s="20" t="s">
        <v>4781</v>
      </c>
      <c r="I1889" s="25" t="s">
        <v>4181</v>
      </c>
      <c r="J1889" s="25" t="s">
        <v>4173</v>
      </c>
      <c r="K1889" s="25" t="s">
        <v>418</v>
      </c>
      <c r="L1889" s="25" t="s">
        <v>537</v>
      </c>
      <c r="M1889" s="20" t="s">
        <v>415</v>
      </c>
      <c r="N1889" s="20" t="s">
        <v>415</v>
      </c>
      <c r="O1889" s="20" t="s">
        <v>416</v>
      </c>
      <c r="P1889" s="20"/>
      <c r="Q1889" s="22"/>
      <c r="R1889" s="22"/>
      <c r="S1889" s="22"/>
      <c r="T1889" s="26"/>
      <c r="U1889" s="26"/>
      <c r="V1889" s="26"/>
      <c r="W1889" s="20"/>
      <c r="X1889" s="20"/>
      <c r="Y1889" s="20"/>
      <c r="Z1889" s="20"/>
      <c r="AA1889" s="20"/>
      <c r="AB1889" s="20"/>
      <c r="AC1889" s="20"/>
      <c r="AD1889" s="20"/>
      <c r="AE1889" s="20"/>
    </row>
    <row r="1890">
      <c r="A1890" s="21">
        <v>51.0</v>
      </c>
      <c r="B1890" s="20" t="s">
        <v>4121</v>
      </c>
      <c r="C1890" s="20" t="s">
        <v>4781</v>
      </c>
      <c r="I1890" s="25" t="s">
        <v>2239</v>
      </c>
      <c r="J1890" s="25" t="s">
        <v>4122</v>
      </c>
      <c r="K1890" s="25" t="s">
        <v>418</v>
      </c>
      <c r="L1890" s="25" t="s">
        <v>537</v>
      </c>
      <c r="M1890" s="20" t="s">
        <v>415</v>
      </c>
      <c r="N1890" s="20" t="s">
        <v>415</v>
      </c>
      <c r="O1890" s="20" t="s">
        <v>416</v>
      </c>
      <c r="P1890" s="20"/>
      <c r="Q1890" s="22"/>
      <c r="R1890" s="22"/>
      <c r="S1890" s="22"/>
      <c r="T1890" s="26"/>
      <c r="U1890" s="26"/>
      <c r="V1890" s="26"/>
      <c r="W1890" s="20"/>
      <c r="X1890" s="20"/>
      <c r="Y1890" s="20"/>
      <c r="Z1890" s="20"/>
      <c r="AA1890" s="20"/>
      <c r="AB1890" s="20"/>
      <c r="AC1890" s="20"/>
      <c r="AD1890" s="20"/>
      <c r="AE1890" s="20"/>
    </row>
    <row r="1891">
      <c r="A1891" s="21">
        <v>51.0</v>
      </c>
      <c r="B1891" s="20" t="s">
        <v>4121</v>
      </c>
      <c r="C1891" s="20" t="s">
        <v>4781</v>
      </c>
      <c r="I1891" s="25" t="s">
        <v>3132</v>
      </c>
      <c r="J1891" s="25" t="s">
        <v>4173</v>
      </c>
      <c r="K1891" s="25" t="s">
        <v>418</v>
      </c>
      <c r="L1891" s="25" t="s">
        <v>537</v>
      </c>
      <c r="M1891" s="20" t="s">
        <v>415</v>
      </c>
      <c r="N1891" s="20" t="s">
        <v>415</v>
      </c>
      <c r="O1891" s="20" t="s">
        <v>416</v>
      </c>
      <c r="P1891" s="20"/>
      <c r="Q1891" s="22"/>
      <c r="R1891" s="22"/>
      <c r="S1891" s="22"/>
      <c r="T1891" s="26"/>
      <c r="U1891" s="26"/>
      <c r="V1891" s="26"/>
      <c r="W1891" s="20"/>
      <c r="X1891" s="20"/>
      <c r="Y1891" s="20"/>
      <c r="Z1891" s="20"/>
      <c r="AA1891" s="20"/>
      <c r="AB1891" s="20"/>
      <c r="AC1891" s="20"/>
      <c r="AD1891" s="20"/>
      <c r="AE1891" s="20"/>
    </row>
    <row r="1892">
      <c r="A1892" s="21">
        <v>52.0</v>
      </c>
      <c r="B1892" s="20" t="s">
        <v>314</v>
      </c>
      <c r="C1892" s="20" t="s">
        <v>4825</v>
      </c>
      <c r="D1892" s="35">
        <v>50.0</v>
      </c>
      <c r="E1892" s="35">
        <v>2.0</v>
      </c>
      <c r="F1892" s="35">
        <v>3.0</v>
      </c>
      <c r="G1892" s="35">
        <v>45.0</v>
      </c>
      <c r="H1892" s="36" t="s">
        <v>4828</v>
      </c>
      <c r="I1892" s="25" t="s">
        <v>506</v>
      </c>
      <c r="J1892" s="25" t="s">
        <v>4183</v>
      </c>
      <c r="K1892" s="25" t="s">
        <v>67</v>
      </c>
      <c r="L1892" s="25" t="s">
        <v>1133</v>
      </c>
      <c r="M1892" s="20" t="s">
        <v>61</v>
      </c>
      <c r="N1892" s="20" t="s">
        <v>4188</v>
      </c>
      <c r="O1892" s="20" t="s">
        <v>56</v>
      </c>
      <c r="P1892" s="20" t="s">
        <v>52</v>
      </c>
      <c r="Q1892" s="22"/>
      <c r="R1892" s="22"/>
      <c r="S1892" s="22"/>
      <c r="T1892" s="22"/>
      <c r="U1892" s="26"/>
      <c r="V1892" s="26"/>
      <c r="W1892" s="20"/>
      <c r="X1892" s="20"/>
      <c r="Y1892" s="20"/>
      <c r="Z1892" s="20"/>
      <c r="AA1892" s="20"/>
      <c r="AB1892" s="20"/>
      <c r="AC1892" s="20"/>
      <c r="AD1892" s="20"/>
      <c r="AE1892" s="20"/>
    </row>
    <row r="1893">
      <c r="A1893" s="21">
        <v>52.0</v>
      </c>
      <c r="B1893" s="20" t="s">
        <v>314</v>
      </c>
      <c r="C1893" s="20" t="s">
        <v>4825</v>
      </c>
      <c r="I1893" s="25" t="s">
        <v>320</v>
      </c>
      <c r="J1893" s="25" t="s">
        <v>4183</v>
      </c>
      <c r="K1893" s="25" t="s">
        <v>57</v>
      </c>
      <c r="L1893" s="25" t="s">
        <v>4834</v>
      </c>
      <c r="M1893" s="20" t="s">
        <v>1214</v>
      </c>
      <c r="N1893" s="20" t="s">
        <v>4184</v>
      </c>
      <c r="O1893" s="20" t="s">
        <v>56</v>
      </c>
      <c r="P1893" s="20"/>
      <c r="Q1893" s="22"/>
      <c r="R1893" s="22"/>
      <c r="S1893" s="22"/>
      <c r="T1893" s="26"/>
      <c r="U1893" s="26"/>
      <c r="V1893" s="26"/>
      <c r="W1893" s="20"/>
      <c r="X1893" s="20"/>
      <c r="Y1893" s="20"/>
      <c r="Z1893" s="20"/>
      <c r="AA1893" s="20"/>
      <c r="AB1893" s="20"/>
      <c r="AC1893" s="20"/>
      <c r="AD1893" s="20"/>
      <c r="AE1893" s="20"/>
    </row>
    <row r="1894">
      <c r="A1894" s="21">
        <v>52.0</v>
      </c>
      <c r="B1894" s="20" t="s">
        <v>314</v>
      </c>
      <c r="C1894" s="20" t="s">
        <v>4825</v>
      </c>
      <c r="I1894" s="25" t="s">
        <v>592</v>
      </c>
      <c r="J1894" s="25" t="s">
        <v>4183</v>
      </c>
      <c r="K1894" s="25" t="s">
        <v>67</v>
      </c>
      <c r="L1894" s="25" t="s">
        <v>1133</v>
      </c>
      <c r="M1894" s="20" t="s">
        <v>61</v>
      </c>
      <c r="N1894" s="20" t="s">
        <v>4190</v>
      </c>
      <c r="O1894" s="20" t="s">
        <v>56</v>
      </c>
      <c r="P1894" s="20" t="s">
        <v>52</v>
      </c>
      <c r="Q1894" s="22"/>
      <c r="R1894" s="22"/>
      <c r="S1894" s="22"/>
      <c r="T1894" s="22"/>
      <c r="U1894" s="26"/>
      <c r="V1894" s="26"/>
      <c r="W1894" s="20"/>
      <c r="X1894" s="20"/>
      <c r="Y1894" s="20"/>
      <c r="Z1894" s="20"/>
      <c r="AA1894" s="20"/>
      <c r="AB1894" s="20"/>
      <c r="AC1894" s="20"/>
      <c r="AD1894" s="20"/>
      <c r="AE1894" s="20"/>
    </row>
    <row r="1895">
      <c r="A1895" s="21">
        <v>52.0</v>
      </c>
      <c r="B1895" s="20" t="s">
        <v>314</v>
      </c>
      <c r="C1895" s="20" t="s">
        <v>4825</v>
      </c>
      <c r="I1895" s="25" t="s">
        <v>535</v>
      </c>
      <c r="J1895" s="25" t="s">
        <v>4183</v>
      </c>
      <c r="K1895" s="25" t="s">
        <v>57</v>
      </c>
      <c r="L1895" s="25" t="s">
        <v>4841</v>
      </c>
      <c r="M1895" s="20" t="s">
        <v>61</v>
      </c>
      <c r="N1895" s="20" t="s">
        <v>4186</v>
      </c>
      <c r="O1895" s="20" t="s">
        <v>56</v>
      </c>
      <c r="P1895" s="20"/>
      <c r="Q1895" s="22"/>
      <c r="R1895" s="22"/>
      <c r="S1895" s="22"/>
      <c r="T1895" s="26"/>
      <c r="U1895" s="26"/>
      <c r="V1895" s="26"/>
      <c r="W1895" s="20"/>
      <c r="X1895" s="20"/>
      <c r="Y1895" s="20"/>
      <c r="Z1895" s="20"/>
      <c r="AA1895" s="20"/>
      <c r="AB1895" s="20"/>
      <c r="AC1895" s="20"/>
      <c r="AD1895" s="20"/>
      <c r="AE1895" s="20"/>
    </row>
    <row r="1896">
      <c r="A1896" s="21">
        <v>52.0</v>
      </c>
      <c r="B1896" s="20" t="s">
        <v>314</v>
      </c>
      <c r="C1896" s="20" t="s">
        <v>4825</v>
      </c>
      <c r="I1896" s="25" t="s">
        <v>222</v>
      </c>
      <c r="J1896" s="25" t="s">
        <v>4183</v>
      </c>
      <c r="K1896" s="25" t="s">
        <v>67</v>
      </c>
      <c r="L1896" s="25" t="s">
        <v>1133</v>
      </c>
      <c r="M1896" s="20" t="s">
        <v>1026</v>
      </c>
      <c r="N1896" s="20" t="s">
        <v>4192</v>
      </c>
      <c r="O1896" s="20" t="s">
        <v>56</v>
      </c>
      <c r="P1896" s="25" t="s">
        <v>52</v>
      </c>
      <c r="Q1896" s="22"/>
      <c r="R1896" s="22"/>
      <c r="S1896" s="22"/>
      <c r="T1896" s="22"/>
      <c r="U1896" s="26"/>
      <c r="V1896" s="26"/>
      <c r="W1896" s="20"/>
      <c r="X1896" s="20"/>
      <c r="Y1896" s="20"/>
      <c r="Z1896" s="20"/>
      <c r="AA1896" s="20"/>
      <c r="AB1896" s="20"/>
      <c r="AC1896" s="20"/>
      <c r="AD1896" s="20"/>
      <c r="AE1896" s="20"/>
    </row>
    <row r="1897">
      <c r="A1897" s="21">
        <v>52.0</v>
      </c>
      <c r="B1897" s="20" t="s">
        <v>314</v>
      </c>
      <c r="C1897" s="20" t="s">
        <v>4825</v>
      </c>
      <c r="I1897" s="25" t="s">
        <v>716</v>
      </c>
      <c r="J1897" s="25" t="s">
        <v>4183</v>
      </c>
      <c r="K1897" s="25" t="s">
        <v>71</v>
      </c>
      <c r="L1897" s="25" t="s">
        <v>4846</v>
      </c>
      <c r="M1897" s="20" t="s">
        <v>937</v>
      </c>
      <c r="N1897" s="20" t="s">
        <v>4204</v>
      </c>
      <c r="O1897" s="20" t="s">
        <v>63</v>
      </c>
      <c r="P1897" s="20"/>
      <c r="Q1897" s="22"/>
      <c r="R1897" s="22"/>
      <c r="S1897" s="22"/>
      <c r="T1897" s="26"/>
      <c r="U1897" s="26"/>
      <c r="V1897" s="26"/>
      <c r="W1897" s="20"/>
      <c r="X1897" s="20"/>
      <c r="Y1897" s="20"/>
      <c r="Z1897" s="20"/>
      <c r="AA1897" s="20"/>
      <c r="AB1897" s="20"/>
      <c r="AC1897" s="20"/>
      <c r="AD1897" s="20"/>
      <c r="AE1897" s="20"/>
    </row>
    <row r="1898">
      <c r="A1898" s="21">
        <v>52.0</v>
      </c>
      <c r="B1898" s="20" t="s">
        <v>314</v>
      </c>
      <c r="C1898" s="20" t="s">
        <v>4825</v>
      </c>
      <c r="I1898" s="25" t="s">
        <v>727</v>
      </c>
      <c r="J1898" s="25" t="s">
        <v>4183</v>
      </c>
      <c r="K1898" s="25" t="s">
        <v>71</v>
      </c>
      <c r="L1898" s="25" t="s">
        <v>4850</v>
      </c>
      <c r="M1898" s="20" t="s">
        <v>4205</v>
      </c>
      <c r="N1898" s="20" t="s">
        <v>4206</v>
      </c>
      <c r="O1898" s="20" t="s">
        <v>63</v>
      </c>
      <c r="P1898" s="20"/>
      <c r="Q1898" s="22"/>
      <c r="R1898" s="22"/>
      <c r="S1898" s="22"/>
      <c r="T1898" s="26"/>
      <c r="U1898" s="26"/>
      <c r="V1898" s="26"/>
      <c r="W1898" s="20"/>
      <c r="X1898" s="20"/>
      <c r="Y1898" s="20"/>
      <c r="Z1898" s="20"/>
      <c r="AA1898" s="20"/>
      <c r="AB1898" s="20"/>
      <c r="AC1898" s="20"/>
      <c r="AD1898" s="20"/>
      <c r="AE1898" s="20"/>
    </row>
    <row r="1899">
      <c r="A1899" s="21">
        <v>52.0</v>
      </c>
      <c r="B1899" s="20" t="s">
        <v>314</v>
      </c>
      <c r="C1899" s="20" t="s">
        <v>4825</v>
      </c>
      <c r="I1899" s="25" t="s">
        <v>612</v>
      </c>
      <c r="J1899" s="25" t="s">
        <v>4183</v>
      </c>
      <c r="K1899" s="25" t="s">
        <v>71</v>
      </c>
      <c r="L1899" s="25" t="s">
        <v>4846</v>
      </c>
      <c r="M1899" s="20" t="s">
        <v>879</v>
      </c>
      <c r="N1899" s="20" t="s">
        <v>4207</v>
      </c>
      <c r="O1899" s="20" t="s">
        <v>63</v>
      </c>
      <c r="P1899" s="25" t="s">
        <v>253</v>
      </c>
      <c r="Q1899" s="22"/>
      <c r="R1899" s="22"/>
      <c r="S1899" s="22"/>
      <c r="T1899" s="26"/>
      <c r="U1899" s="26"/>
      <c r="V1899" s="26"/>
      <c r="W1899" s="20"/>
      <c r="X1899" s="20"/>
      <c r="Y1899" s="20"/>
      <c r="Z1899" s="20"/>
      <c r="AA1899" s="20"/>
      <c r="AB1899" s="20"/>
      <c r="AC1899" s="20"/>
      <c r="AD1899" s="20"/>
      <c r="AE1899" s="20"/>
    </row>
    <row r="1900">
      <c r="A1900" s="21">
        <v>52.0</v>
      </c>
      <c r="B1900" s="20" t="s">
        <v>314</v>
      </c>
      <c r="C1900" s="20" t="s">
        <v>4825</v>
      </c>
      <c r="I1900" s="25" t="s">
        <v>451</v>
      </c>
      <c r="J1900" s="25" t="s">
        <v>4183</v>
      </c>
      <c r="K1900" s="25" t="s">
        <v>71</v>
      </c>
      <c r="L1900" s="25" t="s">
        <v>4855</v>
      </c>
      <c r="M1900" s="20" t="s">
        <v>61</v>
      </c>
      <c r="N1900" s="20" t="s">
        <v>4208</v>
      </c>
      <c r="O1900" s="20" t="s">
        <v>63</v>
      </c>
      <c r="P1900" s="20"/>
      <c r="Q1900" s="22"/>
      <c r="R1900" s="22"/>
      <c r="S1900" s="22"/>
      <c r="T1900" s="26"/>
      <c r="U1900" s="26"/>
      <c r="V1900" s="26"/>
      <c r="W1900" s="20"/>
      <c r="X1900" s="20"/>
      <c r="Y1900" s="20"/>
      <c r="Z1900" s="20"/>
      <c r="AA1900" s="20"/>
      <c r="AB1900" s="20"/>
      <c r="AC1900" s="20"/>
      <c r="AD1900" s="20"/>
      <c r="AE1900" s="20"/>
    </row>
    <row r="1901">
      <c r="A1901" s="21">
        <v>52.0</v>
      </c>
      <c r="B1901" s="20" t="s">
        <v>314</v>
      </c>
      <c r="C1901" s="20" t="s">
        <v>4825</v>
      </c>
      <c r="I1901" s="25" t="s">
        <v>391</v>
      </c>
      <c r="J1901" s="25" t="s">
        <v>4183</v>
      </c>
      <c r="K1901" s="25" t="s">
        <v>71</v>
      </c>
      <c r="L1901" s="25" t="s">
        <v>226</v>
      </c>
      <c r="M1901" s="20" t="s">
        <v>4209</v>
      </c>
      <c r="N1901" s="20" t="s">
        <v>4210</v>
      </c>
      <c r="O1901" s="20" t="s">
        <v>63</v>
      </c>
      <c r="P1901" s="20" t="s">
        <v>52</v>
      </c>
      <c r="Q1901" s="22"/>
      <c r="R1901" s="22"/>
      <c r="S1901" s="22"/>
      <c r="T1901" s="22"/>
      <c r="U1901" s="26"/>
      <c r="V1901" s="26"/>
      <c r="W1901" s="20"/>
      <c r="X1901" s="20"/>
      <c r="Y1901" s="20"/>
      <c r="Z1901" s="20"/>
      <c r="AA1901" s="20"/>
      <c r="AB1901" s="20"/>
      <c r="AC1901" s="20"/>
      <c r="AD1901" s="20"/>
      <c r="AE1901" s="20"/>
    </row>
    <row r="1902">
      <c r="A1902" s="21">
        <v>52.0</v>
      </c>
      <c r="B1902" s="20" t="s">
        <v>314</v>
      </c>
      <c r="C1902" s="20" t="s">
        <v>4825</v>
      </c>
      <c r="I1902" s="25" t="s">
        <v>660</v>
      </c>
      <c r="J1902" s="25" t="s">
        <v>4183</v>
      </c>
      <c r="K1902" s="25" t="s">
        <v>71</v>
      </c>
      <c r="L1902" s="25" t="s">
        <v>4855</v>
      </c>
      <c r="M1902" s="20" t="s">
        <v>882</v>
      </c>
      <c r="N1902" s="20" t="s">
        <v>4211</v>
      </c>
      <c r="O1902" s="20" t="s">
        <v>63</v>
      </c>
      <c r="P1902" s="20"/>
      <c r="Q1902" s="22"/>
      <c r="R1902" s="22"/>
      <c r="S1902" s="22"/>
      <c r="T1902" s="26"/>
      <c r="U1902" s="26"/>
      <c r="V1902" s="26"/>
      <c r="W1902" s="20"/>
      <c r="X1902" s="20"/>
      <c r="Y1902" s="20"/>
      <c r="Z1902" s="20"/>
      <c r="AA1902" s="20"/>
      <c r="AB1902" s="20"/>
      <c r="AC1902" s="20"/>
      <c r="AD1902" s="20"/>
      <c r="AE1902" s="20"/>
    </row>
    <row r="1903">
      <c r="A1903" s="21">
        <v>52.0</v>
      </c>
      <c r="B1903" s="20" t="s">
        <v>314</v>
      </c>
      <c r="C1903" s="20" t="s">
        <v>4825</v>
      </c>
      <c r="I1903" s="25" t="s">
        <v>672</v>
      </c>
      <c r="J1903" s="25" t="s">
        <v>4183</v>
      </c>
      <c r="K1903" s="25" t="s">
        <v>71</v>
      </c>
      <c r="L1903" s="25" t="s">
        <v>4855</v>
      </c>
      <c r="M1903" s="20" t="s">
        <v>4212</v>
      </c>
      <c r="N1903" s="20" t="s">
        <v>4213</v>
      </c>
      <c r="O1903" s="20" t="s">
        <v>63</v>
      </c>
      <c r="P1903" s="20"/>
      <c r="Q1903" s="22"/>
      <c r="R1903" s="22"/>
      <c r="S1903" s="22"/>
      <c r="T1903" s="26"/>
      <c r="U1903" s="26"/>
      <c r="V1903" s="26"/>
      <c r="W1903" s="20"/>
      <c r="X1903" s="20"/>
      <c r="Y1903" s="20"/>
      <c r="Z1903" s="20"/>
      <c r="AA1903" s="20"/>
      <c r="AB1903" s="20"/>
      <c r="AC1903" s="20"/>
      <c r="AD1903" s="20"/>
      <c r="AE1903" s="20"/>
    </row>
    <row r="1904">
      <c r="A1904" s="21">
        <v>52.0</v>
      </c>
      <c r="B1904" s="20" t="s">
        <v>314</v>
      </c>
      <c r="C1904" s="20" t="s">
        <v>4825</v>
      </c>
      <c r="I1904" s="25" t="s">
        <v>570</v>
      </c>
      <c r="J1904" s="25" t="s">
        <v>4183</v>
      </c>
      <c r="K1904" s="25" t="s">
        <v>71</v>
      </c>
      <c r="L1904" s="25" t="s">
        <v>292</v>
      </c>
      <c r="M1904" s="20" t="s">
        <v>817</v>
      </c>
      <c r="N1904" s="20" t="s">
        <v>4214</v>
      </c>
      <c r="O1904" s="20" t="s">
        <v>63</v>
      </c>
      <c r="P1904" s="25" t="s">
        <v>52</v>
      </c>
      <c r="Q1904" s="22"/>
      <c r="R1904" s="22"/>
      <c r="S1904" s="22"/>
      <c r="T1904" s="22"/>
      <c r="U1904" s="26"/>
      <c r="V1904" s="26"/>
      <c r="W1904" s="20"/>
      <c r="X1904" s="20"/>
      <c r="Y1904" s="20"/>
      <c r="Z1904" s="20"/>
      <c r="AA1904" s="20"/>
      <c r="AB1904" s="20"/>
      <c r="AC1904" s="20"/>
      <c r="AD1904" s="20"/>
      <c r="AE1904" s="20"/>
    </row>
    <row r="1905">
      <c r="A1905" s="21">
        <v>52.0</v>
      </c>
      <c r="B1905" s="20" t="s">
        <v>314</v>
      </c>
      <c r="C1905" s="20" t="s">
        <v>4825</v>
      </c>
      <c r="I1905" s="25" t="s">
        <v>341</v>
      </c>
      <c r="J1905" s="25" t="s">
        <v>4183</v>
      </c>
      <c r="K1905" s="25" t="s">
        <v>71</v>
      </c>
      <c r="L1905" s="25" t="s">
        <v>4846</v>
      </c>
      <c r="M1905" s="20" t="s">
        <v>4215</v>
      </c>
      <c r="N1905" s="20" t="s">
        <v>4216</v>
      </c>
      <c r="O1905" s="20" t="s">
        <v>63</v>
      </c>
      <c r="P1905" s="20"/>
      <c r="Q1905" s="22"/>
      <c r="R1905" s="22"/>
      <c r="S1905" s="22"/>
      <c r="T1905" s="26"/>
      <c r="U1905" s="26"/>
      <c r="V1905" s="26"/>
      <c r="W1905" s="20"/>
      <c r="X1905" s="20"/>
      <c r="Y1905" s="20"/>
      <c r="Z1905" s="20"/>
      <c r="AA1905" s="20"/>
      <c r="AB1905" s="20"/>
      <c r="AC1905" s="20"/>
      <c r="AD1905" s="20"/>
      <c r="AE1905" s="20"/>
    </row>
    <row r="1906">
      <c r="A1906" s="21">
        <v>52.0</v>
      </c>
      <c r="B1906" s="20" t="s">
        <v>314</v>
      </c>
      <c r="C1906" s="20" t="s">
        <v>4825</v>
      </c>
      <c r="I1906" s="25" t="s">
        <v>457</v>
      </c>
      <c r="J1906" s="25" t="s">
        <v>4183</v>
      </c>
      <c r="K1906" s="25" t="s">
        <v>71</v>
      </c>
      <c r="L1906" s="25" t="s">
        <v>4855</v>
      </c>
      <c r="M1906" s="20" t="s">
        <v>61</v>
      </c>
      <c r="N1906" s="20" t="s">
        <v>4217</v>
      </c>
      <c r="O1906" s="20" t="s">
        <v>63</v>
      </c>
      <c r="P1906" s="20"/>
      <c r="Q1906" s="22"/>
      <c r="R1906" s="22"/>
      <c r="S1906" s="22"/>
      <c r="T1906" s="26"/>
      <c r="U1906" s="26"/>
      <c r="V1906" s="26"/>
      <c r="W1906" s="20"/>
      <c r="X1906" s="20"/>
      <c r="Y1906" s="20"/>
      <c r="Z1906" s="20"/>
      <c r="AA1906" s="20"/>
      <c r="AB1906" s="20"/>
      <c r="AC1906" s="20"/>
      <c r="AD1906" s="20"/>
      <c r="AE1906" s="20"/>
    </row>
    <row r="1907">
      <c r="A1907" s="21">
        <v>52.0</v>
      </c>
      <c r="B1907" s="20" t="s">
        <v>314</v>
      </c>
      <c r="C1907" s="20" t="s">
        <v>4825</v>
      </c>
      <c r="I1907" s="25" t="s">
        <v>722</v>
      </c>
      <c r="J1907" s="25" t="s">
        <v>4183</v>
      </c>
      <c r="K1907" s="25" t="s">
        <v>71</v>
      </c>
      <c r="L1907" s="25" t="s">
        <v>4846</v>
      </c>
      <c r="M1907" s="20" t="s">
        <v>780</v>
      </c>
      <c r="N1907" s="20" t="s">
        <v>781</v>
      </c>
      <c r="O1907" s="20" t="s">
        <v>63</v>
      </c>
      <c r="P1907" s="20"/>
      <c r="Q1907" s="22"/>
      <c r="R1907" s="22"/>
      <c r="S1907" s="22"/>
      <c r="T1907" s="26"/>
      <c r="U1907" s="26"/>
      <c r="V1907" s="26"/>
      <c r="W1907" s="20"/>
      <c r="X1907" s="20"/>
      <c r="Y1907" s="20"/>
      <c r="Z1907" s="20"/>
      <c r="AA1907" s="20"/>
      <c r="AB1907" s="20"/>
      <c r="AC1907" s="20"/>
      <c r="AD1907" s="20"/>
      <c r="AE1907" s="20"/>
    </row>
    <row r="1908">
      <c r="A1908" s="21">
        <v>52.0</v>
      </c>
      <c r="B1908" s="20" t="s">
        <v>314</v>
      </c>
      <c r="C1908" s="20" t="s">
        <v>4825</v>
      </c>
      <c r="I1908" s="25" t="s">
        <v>334</v>
      </c>
      <c r="J1908" s="25" t="s">
        <v>4183</v>
      </c>
      <c r="K1908" s="25" t="s">
        <v>71</v>
      </c>
      <c r="L1908" s="25" t="s">
        <v>4846</v>
      </c>
      <c r="M1908" s="20" t="s">
        <v>61</v>
      </c>
      <c r="N1908" s="20" t="s">
        <v>4218</v>
      </c>
      <c r="O1908" s="20" t="s">
        <v>63</v>
      </c>
      <c r="P1908" s="20"/>
      <c r="Q1908" s="22"/>
      <c r="R1908" s="22"/>
      <c r="S1908" s="22"/>
      <c r="T1908" s="26"/>
      <c r="U1908" s="26"/>
      <c r="V1908" s="26"/>
      <c r="W1908" s="20"/>
      <c r="X1908" s="20"/>
      <c r="Y1908" s="20"/>
      <c r="Z1908" s="20"/>
      <c r="AA1908" s="20"/>
      <c r="AB1908" s="20"/>
      <c r="AC1908" s="20"/>
      <c r="AD1908" s="20"/>
      <c r="AE1908" s="20"/>
    </row>
    <row r="1909">
      <c r="A1909" s="21">
        <v>52.0</v>
      </c>
      <c r="B1909" s="20" t="s">
        <v>314</v>
      </c>
      <c r="C1909" s="20" t="s">
        <v>4825</v>
      </c>
      <c r="I1909" s="25" t="s">
        <v>247</v>
      </c>
      <c r="J1909" s="25" t="s">
        <v>4183</v>
      </c>
      <c r="K1909" s="25" t="s">
        <v>71</v>
      </c>
      <c r="L1909" s="25" t="s">
        <v>4846</v>
      </c>
      <c r="M1909" s="20" t="s">
        <v>4219</v>
      </c>
      <c r="N1909" s="20" t="s">
        <v>4220</v>
      </c>
      <c r="O1909" s="20" t="s">
        <v>63</v>
      </c>
      <c r="P1909" s="25" t="s">
        <v>253</v>
      </c>
      <c r="Q1909" s="22"/>
      <c r="R1909" s="22"/>
      <c r="S1909" s="22"/>
      <c r="T1909" s="26"/>
      <c r="U1909" s="26"/>
      <c r="V1909" s="26"/>
      <c r="W1909" s="20"/>
      <c r="X1909" s="20"/>
      <c r="Y1909" s="20"/>
      <c r="Z1909" s="20"/>
      <c r="AA1909" s="20"/>
      <c r="AB1909" s="20"/>
      <c r="AC1909" s="20"/>
      <c r="AD1909" s="20"/>
      <c r="AE1909" s="20"/>
    </row>
    <row r="1910">
      <c r="A1910" s="21">
        <v>52.0</v>
      </c>
      <c r="B1910" s="20" t="s">
        <v>314</v>
      </c>
      <c r="C1910" s="20" t="s">
        <v>4825</v>
      </c>
      <c r="I1910" s="25" t="s">
        <v>495</v>
      </c>
      <c r="J1910" s="25" t="s">
        <v>4183</v>
      </c>
      <c r="K1910" s="25" t="s">
        <v>71</v>
      </c>
      <c r="L1910" s="25" t="s">
        <v>4850</v>
      </c>
      <c r="M1910" s="20" t="s">
        <v>796</v>
      </c>
      <c r="N1910" s="20" t="s">
        <v>4221</v>
      </c>
      <c r="O1910" s="20" t="s">
        <v>63</v>
      </c>
      <c r="P1910" s="20"/>
      <c r="Q1910" s="22"/>
      <c r="R1910" s="22"/>
      <c r="S1910" s="22"/>
      <c r="T1910" s="26"/>
      <c r="U1910" s="26"/>
      <c r="V1910" s="26"/>
      <c r="W1910" s="20"/>
      <c r="X1910" s="20"/>
      <c r="Y1910" s="20"/>
      <c r="Z1910" s="20"/>
      <c r="AA1910" s="20"/>
      <c r="AB1910" s="20"/>
      <c r="AC1910" s="20"/>
      <c r="AD1910" s="20"/>
      <c r="AE1910" s="20"/>
    </row>
    <row r="1911">
      <c r="A1911" s="21">
        <v>52.0</v>
      </c>
      <c r="B1911" s="20" t="s">
        <v>314</v>
      </c>
      <c r="C1911" s="20" t="s">
        <v>4825</v>
      </c>
      <c r="I1911" s="25" t="s">
        <v>4222</v>
      </c>
      <c r="J1911" s="25" t="s">
        <v>4183</v>
      </c>
      <c r="K1911" s="25" t="s">
        <v>71</v>
      </c>
      <c r="L1911" s="25" t="s">
        <v>4855</v>
      </c>
      <c r="M1911" s="20" t="s">
        <v>4223</v>
      </c>
      <c r="N1911" s="20" t="s">
        <v>4224</v>
      </c>
      <c r="O1911" s="20" t="s">
        <v>63</v>
      </c>
      <c r="P1911" s="20"/>
      <c r="Q1911" s="22"/>
      <c r="R1911" s="22"/>
      <c r="S1911" s="22"/>
      <c r="T1911" s="26"/>
      <c r="U1911" s="26"/>
      <c r="V1911" s="26"/>
      <c r="W1911" s="20"/>
      <c r="X1911" s="20"/>
      <c r="Y1911" s="20"/>
      <c r="Z1911" s="20"/>
      <c r="AA1911" s="20"/>
      <c r="AB1911" s="20"/>
      <c r="AC1911" s="20"/>
      <c r="AD1911" s="20"/>
      <c r="AE1911" s="20"/>
    </row>
    <row r="1912">
      <c r="A1912" s="21">
        <v>52.0</v>
      </c>
      <c r="B1912" s="20" t="s">
        <v>314</v>
      </c>
      <c r="C1912" s="20" t="s">
        <v>4825</v>
      </c>
      <c r="I1912" s="25" t="s">
        <v>1643</v>
      </c>
      <c r="J1912" s="25" t="s">
        <v>4183</v>
      </c>
      <c r="K1912" s="25" t="s">
        <v>71</v>
      </c>
      <c r="L1912" s="25" t="s">
        <v>4855</v>
      </c>
      <c r="M1912" s="20" t="s">
        <v>4225</v>
      </c>
      <c r="N1912" s="20" t="s">
        <v>4226</v>
      </c>
      <c r="O1912" s="20" t="s">
        <v>63</v>
      </c>
      <c r="P1912" s="20"/>
      <c r="Q1912" s="22"/>
      <c r="R1912" s="22"/>
      <c r="S1912" s="22"/>
      <c r="T1912" s="26"/>
      <c r="U1912" s="26"/>
      <c r="V1912" s="26"/>
      <c r="W1912" s="20"/>
      <c r="X1912" s="20"/>
      <c r="Y1912" s="20"/>
      <c r="Z1912" s="20"/>
      <c r="AA1912" s="20"/>
      <c r="AB1912" s="20"/>
      <c r="AC1912" s="20"/>
      <c r="AD1912" s="20"/>
      <c r="AE1912" s="20"/>
    </row>
    <row r="1913">
      <c r="A1913" s="21">
        <v>52.0</v>
      </c>
      <c r="B1913" s="20" t="s">
        <v>314</v>
      </c>
      <c r="C1913" s="20" t="s">
        <v>4825</v>
      </c>
      <c r="I1913" s="25" t="s">
        <v>541</v>
      </c>
      <c r="J1913" s="25" t="s">
        <v>4183</v>
      </c>
      <c r="K1913" s="25" t="s">
        <v>71</v>
      </c>
      <c r="L1913" s="25" t="s">
        <v>4846</v>
      </c>
      <c r="M1913" s="20" t="s">
        <v>944</v>
      </c>
      <c r="N1913" s="20" t="s">
        <v>4227</v>
      </c>
      <c r="O1913" s="20" t="s">
        <v>63</v>
      </c>
      <c r="P1913" s="20"/>
      <c r="Q1913" s="22"/>
      <c r="R1913" s="22"/>
      <c r="S1913" s="22"/>
      <c r="T1913" s="26"/>
      <c r="U1913" s="26"/>
      <c r="V1913" s="26"/>
      <c r="W1913" s="20"/>
      <c r="X1913" s="20"/>
      <c r="Y1913" s="20"/>
      <c r="Z1913" s="20"/>
      <c r="AA1913" s="20"/>
      <c r="AB1913" s="20"/>
      <c r="AC1913" s="20"/>
      <c r="AD1913" s="20"/>
      <c r="AE1913" s="20"/>
    </row>
    <row r="1914">
      <c r="A1914" s="21">
        <v>52.0</v>
      </c>
      <c r="B1914" s="20" t="s">
        <v>314</v>
      </c>
      <c r="C1914" s="20" t="s">
        <v>4825</v>
      </c>
      <c r="I1914" s="25" t="s">
        <v>278</v>
      </c>
      <c r="J1914" s="25" t="s">
        <v>4183</v>
      </c>
      <c r="K1914" s="25" t="s">
        <v>71</v>
      </c>
      <c r="L1914" s="25" t="s">
        <v>4846</v>
      </c>
      <c r="M1914" s="20" t="s">
        <v>61</v>
      </c>
      <c r="N1914" s="20" t="s">
        <v>4228</v>
      </c>
      <c r="O1914" s="20" t="s">
        <v>63</v>
      </c>
      <c r="P1914" s="20"/>
      <c r="Q1914" s="22"/>
      <c r="R1914" s="22"/>
      <c r="S1914" s="22"/>
      <c r="T1914" s="26"/>
      <c r="U1914" s="26"/>
      <c r="V1914" s="26"/>
      <c r="W1914" s="20"/>
      <c r="X1914" s="20"/>
      <c r="Y1914" s="20"/>
      <c r="Z1914" s="20"/>
      <c r="AA1914" s="20"/>
      <c r="AB1914" s="20"/>
      <c r="AC1914" s="20"/>
      <c r="AD1914" s="20"/>
      <c r="AE1914" s="20"/>
    </row>
    <row r="1915">
      <c r="A1915" s="21">
        <v>52.0</v>
      </c>
      <c r="B1915" s="20" t="s">
        <v>314</v>
      </c>
      <c r="C1915" s="20" t="s">
        <v>4825</v>
      </c>
      <c r="I1915" s="25" t="s">
        <v>501</v>
      </c>
      <c r="J1915" s="25" t="s">
        <v>4183</v>
      </c>
      <c r="K1915" s="25" t="s">
        <v>71</v>
      </c>
      <c r="L1915" s="25" t="s">
        <v>4850</v>
      </c>
      <c r="M1915" s="20" t="s">
        <v>798</v>
      </c>
      <c r="N1915" s="20" t="s">
        <v>1497</v>
      </c>
      <c r="O1915" s="20" t="s">
        <v>63</v>
      </c>
      <c r="P1915" s="20"/>
      <c r="Q1915" s="22"/>
      <c r="R1915" s="22"/>
      <c r="S1915" s="22"/>
      <c r="T1915" s="26"/>
      <c r="U1915" s="26"/>
      <c r="V1915" s="26"/>
      <c r="W1915" s="20"/>
      <c r="X1915" s="20"/>
      <c r="Y1915" s="20"/>
      <c r="Z1915" s="20"/>
      <c r="AA1915" s="20"/>
      <c r="AB1915" s="20"/>
      <c r="AC1915" s="20"/>
      <c r="AD1915" s="20"/>
      <c r="AE1915" s="20"/>
    </row>
    <row r="1916">
      <c r="A1916" s="21">
        <v>52.0</v>
      </c>
      <c r="B1916" s="20" t="s">
        <v>314</v>
      </c>
      <c r="C1916" s="20" t="s">
        <v>4825</v>
      </c>
      <c r="I1916" s="25" t="s">
        <v>218</v>
      </c>
      <c r="J1916" s="25" t="s">
        <v>4183</v>
      </c>
      <c r="K1916" s="25" t="s">
        <v>71</v>
      </c>
      <c r="L1916" s="25" t="s">
        <v>292</v>
      </c>
      <c r="M1916" s="20" t="s">
        <v>4229</v>
      </c>
      <c r="N1916" s="20" t="s">
        <v>4230</v>
      </c>
      <c r="O1916" s="20" t="s">
        <v>63</v>
      </c>
      <c r="P1916" s="20" t="s">
        <v>52</v>
      </c>
      <c r="Q1916" s="22"/>
      <c r="R1916" s="22"/>
      <c r="S1916" s="22"/>
      <c r="T1916" s="22"/>
      <c r="U1916" s="26"/>
      <c r="V1916" s="26"/>
      <c r="W1916" s="20"/>
      <c r="X1916" s="20"/>
      <c r="Y1916" s="20"/>
      <c r="Z1916" s="20"/>
      <c r="AA1916" s="20"/>
      <c r="AB1916" s="20"/>
      <c r="AC1916" s="20"/>
      <c r="AD1916" s="20"/>
      <c r="AE1916" s="20"/>
    </row>
    <row r="1917">
      <c r="A1917" s="21">
        <v>52.0</v>
      </c>
      <c r="B1917" s="20" t="s">
        <v>314</v>
      </c>
      <c r="C1917" s="20" t="s">
        <v>4825</v>
      </c>
      <c r="I1917" s="25" t="s">
        <v>3321</v>
      </c>
      <c r="J1917" s="25" t="s">
        <v>4183</v>
      </c>
      <c r="K1917" s="25" t="s">
        <v>71</v>
      </c>
      <c r="L1917" s="25" t="s">
        <v>4855</v>
      </c>
      <c r="M1917" s="20" t="s">
        <v>4231</v>
      </c>
      <c r="N1917" s="20" t="s">
        <v>4232</v>
      </c>
      <c r="O1917" s="20" t="s">
        <v>63</v>
      </c>
      <c r="P1917" s="20"/>
      <c r="Q1917" s="22"/>
      <c r="R1917" s="22"/>
      <c r="S1917" s="22"/>
      <c r="T1917" s="26"/>
      <c r="U1917" s="26"/>
      <c r="V1917" s="26"/>
      <c r="W1917" s="20"/>
      <c r="X1917" s="20"/>
      <c r="Y1917" s="20"/>
      <c r="Z1917" s="20"/>
      <c r="AA1917" s="20"/>
      <c r="AB1917" s="20"/>
      <c r="AC1917" s="20"/>
      <c r="AD1917" s="20"/>
      <c r="AE1917" s="20"/>
    </row>
    <row r="1918">
      <c r="A1918" s="21">
        <v>52.0</v>
      </c>
      <c r="B1918" s="20" t="s">
        <v>314</v>
      </c>
      <c r="C1918" s="20" t="s">
        <v>4825</v>
      </c>
      <c r="I1918" s="25" t="s">
        <v>257</v>
      </c>
      <c r="J1918" s="25" t="s">
        <v>4183</v>
      </c>
      <c r="K1918" s="25" t="s">
        <v>71</v>
      </c>
      <c r="L1918" s="25" t="s">
        <v>4850</v>
      </c>
      <c r="M1918" s="20" t="s">
        <v>61</v>
      </c>
      <c r="N1918" s="20" t="s">
        <v>4193</v>
      </c>
      <c r="O1918" s="20" t="s">
        <v>56</v>
      </c>
      <c r="P1918" s="20"/>
      <c r="Q1918" s="22"/>
      <c r="R1918" s="22"/>
      <c r="S1918" s="22"/>
      <c r="T1918" s="26"/>
      <c r="U1918" s="26"/>
      <c r="V1918" s="26"/>
      <c r="W1918" s="20"/>
      <c r="X1918" s="20"/>
      <c r="Y1918" s="20"/>
      <c r="Z1918" s="20"/>
      <c r="AA1918" s="20"/>
      <c r="AB1918" s="20"/>
      <c r="AC1918" s="20"/>
      <c r="AD1918" s="20"/>
      <c r="AE1918" s="20"/>
    </row>
    <row r="1919">
      <c r="A1919" s="21">
        <v>52.0</v>
      </c>
      <c r="B1919" s="20" t="s">
        <v>314</v>
      </c>
      <c r="C1919" s="20" t="s">
        <v>4825</v>
      </c>
      <c r="I1919" s="25" t="s">
        <v>744</v>
      </c>
      <c r="J1919" s="25" t="s">
        <v>4183</v>
      </c>
      <c r="K1919" s="25" t="s">
        <v>71</v>
      </c>
      <c r="L1919" s="25" t="s">
        <v>4850</v>
      </c>
      <c r="M1919" s="20" t="s">
        <v>1621</v>
      </c>
      <c r="N1919" s="20" t="s">
        <v>4234</v>
      </c>
      <c r="O1919" s="20" t="s">
        <v>63</v>
      </c>
      <c r="P1919" s="20"/>
      <c r="Q1919" s="22"/>
      <c r="R1919" s="22"/>
      <c r="S1919" s="22"/>
      <c r="T1919" s="26"/>
      <c r="U1919" s="26"/>
      <c r="V1919" s="26"/>
      <c r="W1919" s="20"/>
      <c r="X1919" s="20"/>
      <c r="Y1919" s="20"/>
      <c r="Z1919" s="20"/>
      <c r="AA1919" s="20"/>
      <c r="AB1919" s="20"/>
      <c r="AC1919" s="20"/>
      <c r="AD1919" s="20"/>
      <c r="AE1919" s="20"/>
    </row>
    <row r="1920">
      <c r="A1920" s="21">
        <v>52.0</v>
      </c>
      <c r="B1920" s="20" t="s">
        <v>314</v>
      </c>
      <c r="C1920" s="20" t="s">
        <v>4825</v>
      </c>
      <c r="I1920" s="25" t="s">
        <v>4236</v>
      </c>
      <c r="J1920" s="25" t="s">
        <v>4183</v>
      </c>
      <c r="K1920" s="25" t="s">
        <v>71</v>
      </c>
      <c r="L1920" s="25" t="s">
        <v>4855</v>
      </c>
      <c r="M1920" s="20" t="s">
        <v>61</v>
      </c>
      <c r="N1920" s="20" t="s">
        <v>4237</v>
      </c>
      <c r="O1920" s="20" t="s">
        <v>63</v>
      </c>
      <c r="P1920" s="20"/>
      <c r="Q1920" s="22"/>
      <c r="R1920" s="22"/>
      <c r="S1920" s="22"/>
      <c r="T1920" s="26"/>
      <c r="U1920" s="26"/>
      <c r="V1920" s="26"/>
      <c r="W1920" s="20"/>
      <c r="X1920" s="20"/>
      <c r="Y1920" s="20"/>
      <c r="Z1920" s="20"/>
      <c r="AA1920" s="20"/>
      <c r="AB1920" s="20"/>
      <c r="AC1920" s="20"/>
      <c r="AD1920" s="20"/>
      <c r="AE1920" s="20"/>
    </row>
    <row r="1921">
      <c r="A1921" s="21">
        <v>52.0</v>
      </c>
      <c r="B1921" s="20" t="s">
        <v>314</v>
      </c>
      <c r="C1921" s="20" t="s">
        <v>4825</v>
      </c>
      <c r="I1921" s="25" t="s">
        <v>544</v>
      </c>
      <c r="J1921" s="25" t="s">
        <v>4183</v>
      </c>
      <c r="K1921" s="25" t="s">
        <v>71</v>
      </c>
      <c r="L1921" s="25" t="s">
        <v>4850</v>
      </c>
      <c r="M1921" s="20" t="s">
        <v>61</v>
      </c>
      <c r="N1921" s="20" t="s">
        <v>4195</v>
      </c>
      <c r="O1921" s="20" t="s">
        <v>56</v>
      </c>
      <c r="P1921" s="20"/>
      <c r="Q1921" s="22"/>
      <c r="R1921" s="22"/>
      <c r="S1921" s="22"/>
      <c r="T1921" s="26"/>
      <c r="U1921" s="26"/>
      <c r="V1921" s="26"/>
      <c r="W1921" s="20"/>
      <c r="X1921" s="20"/>
      <c r="Y1921" s="20"/>
      <c r="Z1921" s="20"/>
      <c r="AA1921" s="20"/>
      <c r="AB1921" s="20"/>
      <c r="AC1921" s="20"/>
      <c r="AD1921" s="20"/>
      <c r="AE1921" s="20"/>
    </row>
    <row r="1922">
      <c r="A1922" s="21">
        <v>52.0</v>
      </c>
      <c r="B1922" s="20" t="s">
        <v>314</v>
      </c>
      <c r="C1922" s="20" t="s">
        <v>4825</v>
      </c>
      <c r="I1922" s="25" t="s">
        <v>552</v>
      </c>
      <c r="J1922" s="25" t="s">
        <v>4183</v>
      </c>
      <c r="K1922" s="25" t="s">
        <v>71</v>
      </c>
      <c r="L1922" s="25" t="s">
        <v>4850</v>
      </c>
      <c r="M1922" s="20" t="s">
        <v>870</v>
      </c>
      <c r="N1922" s="20" t="s">
        <v>4239</v>
      </c>
      <c r="O1922" s="20" t="s">
        <v>63</v>
      </c>
      <c r="P1922" s="20"/>
      <c r="Q1922" s="22"/>
      <c r="R1922" s="22"/>
      <c r="S1922" s="22"/>
      <c r="T1922" s="26"/>
      <c r="U1922" s="26"/>
      <c r="V1922" s="26"/>
      <c r="W1922" s="20"/>
      <c r="X1922" s="20"/>
      <c r="Y1922" s="20"/>
      <c r="Z1922" s="20"/>
      <c r="AA1922" s="20"/>
      <c r="AB1922" s="20"/>
      <c r="AC1922" s="20"/>
      <c r="AD1922" s="20"/>
      <c r="AE1922" s="20"/>
    </row>
    <row r="1923">
      <c r="A1923" s="21">
        <v>52.0</v>
      </c>
      <c r="B1923" s="20" t="s">
        <v>314</v>
      </c>
      <c r="C1923" s="20" t="s">
        <v>4825</v>
      </c>
      <c r="I1923" s="25" t="s">
        <v>683</v>
      </c>
      <c r="J1923" s="25" t="s">
        <v>4183</v>
      </c>
      <c r="K1923" s="25" t="s">
        <v>71</v>
      </c>
      <c r="L1923" s="25" t="s">
        <v>4855</v>
      </c>
      <c r="M1923" s="20" t="s">
        <v>4241</v>
      </c>
      <c r="N1923" s="20" t="s">
        <v>4242</v>
      </c>
      <c r="O1923" s="20" t="s">
        <v>63</v>
      </c>
      <c r="P1923" s="20"/>
      <c r="Q1923" s="22"/>
      <c r="R1923" s="22"/>
      <c r="S1923" s="22"/>
      <c r="T1923" s="26"/>
      <c r="U1923" s="26"/>
      <c r="V1923" s="26"/>
      <c r="W1923" s="20"/>
      <c r="X1923" s="20"/>
      <c r="Y1923" s="20"/>
      <c r="Z1923" s="20"/>
      <c r="AA1923" s="20"/>
      <c r="AB1923" s="20"/>
      <c r="AC1923" s="20"/>
      <c r="AD1923" s="20"/>
      <c r="AE1923" s="20"/>
    </row>
    <row r="1924">
      <c r="A1924" s="21">
        <v>52.0</v>
      </c>
      <c r="B1924" s="20" t="s">
        <v>314</v>
      </c>
      <c r="C1924" s="20" t="s">
        <v>4825</v>
      </c>
      <c r="I1924" s="25" t="s">
        <v>475</v>
      </c>
      <c r="J1924" s="25" t="s">
        <v>4183</v>
      </c>
      <c r="K1924" s="25" t="s">
        <v>71</v>
      </c>
      <c r="L1924" s="25" t="s">
        <v>4846</v>
      </c>
      <c r="M1924" s="20" t="s">
        <v>4243</v>
      </c>
      <c r="N1924" s="20" t="s">
        <v>4245</v>
      </c>
      <c r="O1924" s="20" t="s">
        <v>63</v>
      </c>
      <c r="P1924" s="20"/>
      <c r="Q1924" s="22"/>
      <c r="R1924" s="22"/>
      <c r="S1924" s="22"/>
      <c r="T1924" s="26"/>
      <c r="U1924" s="26"/>
      <c r="V1924" s="26"/>
      <c r="W1924" s="20"/>
      <c r="X1924" s="20"/>
      <c r="Y1924" s="20"/>
      <c r="Z1924" s="20"/>
      <c r="AA1924" s="20"/>
      <c r="AB1924" s="20"/>
      <c r="AC1924" s="20"/>
      <c r="AD1924" s="20"/>
      <c r="AE1924" s="20"/>
    </row>
    <row r="1925">
      <c r="A1925" s="21">
        <v>52.0</v>
      </c>
      <c r="B1925" s="20" t="s">
        <v>314</v>
      </c>
      <c r="C1925" s="20" t="s">
        <v>4825</v>
      </c>
      <c r="I1925" s="25" t="s">
        <v>703</v>
      </c>
      <c r="J1925" s="25" t="s">
        <v>4183</v>
      </c>
      <c r="K1925" s="25" t="s">
        <v>71</v>
      </c>
      <c r="L1925" s="25" t="s">
        <v>4855</v>
      </c>
      <c r="M1925" s="20" t="s">
        <v>61</v>
      </c>
      <c r="N1925" s="20" t="s">
        <v>4246</v>
      </c>
      <c r="O1925" s="20" t="s">
        <v>63</v>
      </c>
      <c r="P1925" s="20"/>
      <c r="Q1925" s="22"/>
      <c r="R1925" s="22"/>
      <c r="S1925" s="22"/>
      <c r="T1925" s="26"/>
      <c r="U1925" s="26"/>
      <c r="V1925" s="26"/>
      <c r="W1925" s="20"/>
      <c r="X1925" s="20"/>
      <c r="Y1925" s="20"/>
      <c r="Z1925" s="20"/>
      <c r="AA1925" s="20"/>
      <c r="AB1925" s="20"/>
      <c r="AC1925" s="20"/>
      <c r="AD1925" s="20"/>
      <c r="AE1925" s="20"/>
    </row>
    <row r="1926">
      <c r="A1926" s="21">
        <v>52.0</v>
      </c>
      <c r="B1926" s="20" t="s">
        <v>314</v>
      </c>
      <c r="C1926" s="20" t="s">
        <v>4825</v>
      </c>
      <c r="I1926" s="25" t="s">
        <v>724</v>
      </c>
      <c r="J1926" s="25" t="s">
        <v>4183</v>
      </c>
      <c r="K1926" s="25" t="s">
        <v>71</v>
      </c>
      <c r="L1926" s="25" t="s">
        <v>292</v>
      </c>
      <c r="M1926" s="20" t="s">
        <v>61</v>
      </c>
      <c r="N1926" s="20" t="s">
        <v>1410</v>
      </c>
      <c r="O1926" s="20" t="s">
        <v>63</v>
      </c>
      <c r="P1926" s="25" t="s">
        <v>52</v>
      </c>
      <c r="Q1926" s="22"/>
      <c r="R1926" s="22"/>
      <c r="S1926" s="22"/>
      <c r="T1926" s="22"/>
      <c r="U1926" s="26"/>
      <c r="V1926" s="26"/>
      <c r="W1926" s="20"/>
      <c r="X1926" s="20"/>
      <c r="Y1926" s="20"/>
      <c r="Z1926" s="20"/>
      <c r="AA1926" s="20"/>
      <c r="AB1926" s="20"/>
      <c r="AC1926" s="20"/>
      <c r="AD1926" s="20"/>
      <c r="AE1926" s="20"/>
    </row>
    <row r="1927">
      <c r="A1927" s="21">
        <v>52.0</v>
      </c>
      <c r="B1927" s="20" t="s">
        <v>314</v>
      </c>
      <c r="C1927" s="20" t="s">
        <v>4825</v>
      </c>
      <c r="I1927" s="25" t="s">
        <v>692</v>
      </c>
      <c r="J1927" s="25" t="s">
        <v>4183</v>
      </c>
      <c r="K1927" s="25" t="s">
        <v>71</v>
      </c>
      <c r="L1927" s="25" t="s">
        <v>4855</v>
      </c>
      <c r="M1927" s="20" t="s">
        <v>61</v>
      </c>
      <c r="N1927" s="20" t="s">
        <v>4248</v>
      </c>
      <c r="O1927" s="20" t="s">
        <v>63</v>
      </c>
      <c r="P1927" s="20"/>
      <c r="Q1927" s="22"/>
      <c r="R1927" s="22"/>
      <c r="S1927" s="22"/>
      <c r="T1927" s="26"/>
      <c r="U1927" s="26"/>
      <c r="V1927" s="26"/>
      <c r="W1927" s="20"/>
      <c r="X1927" s="20"/>
      <c r="Y1927" s="20"/>
      <c r="Z1927" s="20"/>
      <c r="AA1927" s="20"/>
      <c r="AB1927" s="20"/>
      <c r="AC1927" s="20"/>
      <c r="AD1927" s="20"/>
      <c r="AE1927" s="20"/>
    </row>
    <row r="1928">
      <c r="A1928" s="21">
        <v>52.0</v>
      </c>
      <c r="B1928" s="20" t="s">
        <v>314</v>
      </c>
      <c r="C1928" s="20" t="s">
        <v>4825</v>
      </c>
      <c r="I1928" s="25" t="s">
        <v>731</v>
      </c>
      <c r="J1928" s="25" t="s">
        <v>4183</v>
      </c>
      <c r="K1928" s="25" t="s">
        <v>71</v>
      </c>
      <c r="L1928" s="25" t="s">
        <v>4850</v>
      </c>
      <c r="M1928" s="20" t="s">
        <v>61</v>
      </c>
      <c r="N1928" s="20" t="s">
        <v>4249</v>
      </c>
      <c r="O1928" s="20" t="s">
        <v>63</v>
      </c>
      <c r="P1928" s="20"/>
      <c r="Q1928" s="22"/>
      <c r="R1928" s="22"/>
      <c r="S1928" s="22"/>
      <c r="T1928" s="26"/>
      <c r="U1928" s="26"/>
      <c r="V1928" s="26"/>
      <c r="W1928" s="20"/>
      <c r="X1928" s="20"/>
      <c r="Y1928" s="20"/>
      <c r="Z1928" s="20"/>
      <c r="AA1928" s="20"/>
      <c r="AB1928" s="20"/>
      <c r="AC1928" s="20"/>
      <c r="AD1928" s="20"/>
      <c r="AE1928" s="20"/>
    </row>
    <row r="1929">
      <c r="A1929" s="21">
        <v>52.0</v>
      </c>
      <c r="B1929" s="20" t="s">
        <v>314</v>
      </c>
      <c r="C1929" s="20" t="s">
        <v>4825</v>
      </c>
      <c r="I1929" s="25" t="s">
        <v>289</v>
      </c>
      <c r="J1929" s="25" t="s">
        <v>4183</v>
      </c>
      <c r="K1929" s="25" t="s">
        <v>71</v>
      </c>
      <c r="L1929" s="25" t="s">
        <v>4850</v>
      </c>
      <c r="M1929" s="20" t="s">
        <v>61</v>
      </c>
      <c r="N1929" s="20" t="s">
        <v>291</v>
      </c>
      <c r="O1929" s="20" t="s">
        <v>56</v>
      </c>
      <c r="P1929" s="20"/>
      <c r="Q1929" s="22"/>
      <c r="R1929" s="22"/>
      <c r="S1929" s="22"/>
      <c r="T1929" s="26"/>
      <c r="U1929" s="26"/>
      <c r="V1929" s="26"/>
      <c r="W1929" s="20"/>
      <c r="X1929" s="20"/>
      <c r="Y1929" s="20"/>
      <c r="Z1929" s="20"/>
      <c r="AA1929" s="20"/>
      <c r="AB1929" s="20"/>
      <c r="AC1929" s="20"/>
      <c r="AD1929" s="20"/>
      <c r="AE1929" s="20"/>
    </row>
    <row r="1930">
      <c r="A1930" s="21">
        <v>52.0</v>
      </c>
      <c r="B1930" s="20" t="s">
        <v>314</v>
      </c>
      <c r="C1930" s="20" t="s">
        <v>4825</v>
      </c>
      <c r="I1930" s="25" t="s">
        <v>732</v>
      </c>
      <c r="J1930" s="25" t="s">
        <v>4183</v>
      </c>
      <c r="K1930" s="25" t="s">
        <v>71</v>
      </c>
      <c r="L1930" s="25" t="s">
        <v>4855</v>
      </c>
      <c r="M1930" s="20" t="s">
        <v>840</v>
      </c>
      <c r="N1930" s="20" t="s">
        <v>4250</v>
      </c>
      <c r="O1930" s="20" t="s">
        <v>63</v>
      </c>
      <c r="P1930" s="20"/>
      <c r="Q1930" s="22"/>
      <c r="R1930" s="22"/>
      <c r="S1930" s="22"/>
      <c r="T1930" s="26"/>
      <c r="U1930" s="26"/>
      <c r="V1930" s="26"/>
      <c r="W1930" s="20"/>
      <c r="X1930" s="20"/>
      <c r="Y1930" s="20"/>
      <c r="Z1930" s="20"/>
      <c r="AA1930" s="20"/>
      <c r="AB1930" s="20"/>
      <c r="AC1930" s="20"/>
      <c r="AD1930" s="20"/>
      <c r="AE1930" s="20"/>
    </row>
    <row r="1931">
      <c r="A1931" s="21">
        <v>52.0</v>
      </c>
      <c r="B1931" s="20" t="s">
        <v>314</v>
      </c>
      <c r="C1931" s="20" t="s">
        <v>4825</v>
      </c>
      <c r="I1931" s="25" t="s">
        <v>2953</v>
      </c>
      <c r="J1931" s="25" t="s">
        <v>4183</v>
      </c>
      <c r="K1931" s="25" t="s">
        <v>71</v>
      </c>
      <c r="L1931" s="25" t="s">
        <v>292</v>
      </c>
      <c r="M1931" s="20" t="s">
        <v>4251</v>
      </c>
      <c r="N1931" s="20" t="s">
        <v>4224</v>
      </c>
      <c r="O1931" s="20" t="s">
        <v>63</v>
      </c>
      <c r="P1931" s="20" t="s">
        <v>52</v>
      </c>
      <c r="Q1931" s="22"/>
      <c r="R1931" s="22"/>
      <c r="S1931" s="22"/>
      <c r="T1931" s="22"/>
      <c r="U1931" s="26"/>
      <c r="V1931" s="26"/>
      <c r="W1931" s="20"/>
      <c r="X1931" s="20"/>
      <c r="Y1931" s="20"/>
      <c r="Z1931" s="20"/>
      <c r="AA1931" s="20"/>
      <c r="AB1931" s="20"/>
      <c r="AC1931" s="20"/>
      <c r="AD1931" s="20"/>
      <c r="AE1931" s="20"/>
    </row>
    <row r="1932">
      <c r="A1932" s="21">
        <v>52.0</v>
      </c>
      <c r="B1932" s="20" t="s">
        <v>314</v>
      </c>
      <c r="C1932" s="20" t="s">
        <v>4825</v>
      </c>
      <c r="I1932" s="25" t="s">
        <v>632</v>
      </c>
      <c r="J1932" s="25" t="s">
        <v>4183</v>
      </c>
      <c r="K1932" s="25" t="s">
        <v>71</v>
      </c>
      <c r="L1932" s="25" t="s">
        <v>292</v>
      </c>
      <c r="M1932" s="20" t="s">
        <v>1054</v>
      </c>
      <c r="N1932" s="20" t="s">
        <v>4252</v>
      </c>
      <c r="O1932" s="20" t="s">
        <v>63</v>
      </c>
      <c r="P1932" s="20" t="s">
        <v>52</v>
      </c>
      <c r="Q1932" s="22"/>
      <c r="R1932" s="22"/>
      <c r="S1932" s="22"/>
      <c r="T1932" s="22"/>
      <c r="U1932" s="26"/>
      <c r="V1932" s="26"/>
      <c r="W1932" s="20"/>
      <c r="X1932" s="20"/>
      <c r="Y1932" s="20"/>
      <c r="Z1932" s="20"/>
      <c r="AA1932" s="20"/>
      <c r="AB1932" s="20"/>
      <c r="AC1932" s="20"/>
      <c r="AD1932" s="20"/>
      <c r="AE1932" s="20"/>
    </row>
    <row r="1933">
      <c r="A1933" s="21">
        <v>52.0</v>
      </c>
      <c r="B1933" s="20" t="s">
        <v>314</v>
      </c>
      <c r="C1933" s="20" t="s">
        <v>4825</v>
      </c>
      <c r="I1933" s="25" t="s">
        <v>4199</v>
      </c>
      <c r="J1933" s="25" t="s">
        <v>4198</v>
      </c>
      <c r="K1933" s="25" t="s">
        <v>71</v>
      </c>
      <c r="L1933" s="25" t="s">
        <v>4855</v>
      </c>
      <c r="M1933" s="20" t="s">
        <v>4200</v>
      </c>
      <c r="N1933" s="20" t="s">
        <v>4201</v>
      </c>
      <c r="O1933" s="20" t="s">
        <v>63</v>
      </c>
      <c r="P1933" s="20"/>
      <c r="Q1933" s="22"/>
      <c r="R1933" s="22"/>
      <c r="S1933" s="22"/>
      <c r="T1933" s="26"/>
      <c r="U1933" s="26"/>
      <c r="V1933" s="26"/>
      <c r="W1933" s="20"/>
      <c r="X1933" s="20"/>
      <c r="Y1933" s="20"/>
      <c r="Z1933" s="20"/>
      <c r="AA1933" s="20"/>
      <c r="AB1933" s="20"/>
      <c r="AC1933" s="20"/>
      <c r="AD1933" s="20"/>
      <c r="AE1933" s="20"/>
    </row>
    <row r="1934">
      <c r="A1934" s="21">
        <v>52.0</v>
      </c>
      <c r="B1934" s="20" t="s">
        <v>314</v>
      </c>
      <c r="C1934" s="20" t="s">
        <v>4825</v>
      </c>
      <c r="I1934" s="25" t="s">
        <v>302</v>
      </c>
      <c r="J1934" s="25" t="s">
        <v>4183</v>
      </c>
      <c r="K1934" s="25" t="s">
        <v>71</v>
      </c>
      <c r="L1934" s="25" t="s">
        <v>4850</v>
      </c>
      <c r="M1934" s="20" t="s">
        <v>61</v>
      </c>
      <c r="N1934" s="20" t="s">
        <v>4196</v>
      </c>
      <c r="O1934" s="20" t="s">
        <v>56</v>
      </c>
      <c r="P1934" s="20"/>
      <c r="Q1934" s="22"/>
      <c r="R1934" s="22"/>
      <c r="S1934" s="22"/>
      <c r="T1934" s="26"/>
      <c r="U1934" s="26"/>
      <c r="V1934" s="26"/>
      <c r="W1934" s="20"/>
      <c r="X1934" s="20"/>
      <c r="Y1934" s="20"/>
      <c r="Z1934" s="20"/>
      <c r="AA1934" s="20"/>
      <c r="AB1934" s="20"/>
      <c r="AC1934" s="20"/>
      <c r="AD1934" s="20"/>
      <c r="AE1934" s="20"/>
    </row>
    <row r="1935">
      <c r="A1935" s="21">
        <v>52.0</v>
      </c>
      <c r="B1935" s="20" t="s">
        <v>314</v>
      </c>
      <c r="C1935" s="20" t="s">
        <v>4825</v>
      </c>
      <c r="I1935" s="25" t="s">
        <v>403</v>
      </c>
      <c r="J1935" s="25" t="s">
        <v>4183</v>
      </c>
      <c r="K1935" s="25" t="s">
        <v>71</v>
      </c>
      <c r="L1935" s="25" t="s">
        <v>4905</v>
      </c>
      <c r="M1935" s="20" t="s">
        <v>61</v>
      </c>
      <c r="N1935" s="20" t="s">
        <v>4197</v>
      </c>
      <c r="O1935" s="20" t="s">
        <v>56</v>
      </c>
      <c r="P1935" s="20"/>
      <c r="Q1935" s="22"/>
      <c r="R1935" s="22"/>
      <c r="S1935" s="22"/>
      <c r="T1935" s="26"/>
      <c r="U1935" s="26"/>
      <c r="V1935" s="26"/>
      <c r="W1935" s="20"/>
      <c r="X1935" s="20"/>
      <c r="Y1935" s="20"/>
      <c r="Z1935" s="20"/>
      <c r="AA1935" s="20"/>
      <c r="AB1935" s="20"/>
      <c r="AC1935" s="20"/>
      <c r="AD1935" s="20"/>
      <c r="AE1935" s="20"/>
    </row>
    <row r="1936">
      <c r="A1936" s="21">
        <v>52.0</v>
      </c>
      <c r="B1936" s="20" t="s">
        <v>314</v>
      </c>
      <c r="C1936" s="20" t="s">
        <v>4825</v>
      </c>
      <c r="I1936" s="25" t="s">
        <v>4253</v>
      </c>
      <c r="J1936" s="25" t="s">
        <v>4183</v>
      </c>
      <c r="K1936" s="25" t="s">
        <v>71</v>
      </c>
      <c r="L1936" s="25" t="s">
        <v>4855</v>
      </c>
      <c r="M1936" s="20" t="s">
        <v>4254</v>
      </c>
      <c r="N1936" s="20" t="s">
        <v>909</v>
      </c>
      <c r="O1936" s="20" t="s">
        <v>63</v>
      </c>
      <c r="P1936" s="20"/>
      <c r="Q1936" s="22"/>
      <c r="R1936" s="22"/>
      <c r="S1936" s="22"/>
      <c r="T1936" s="26"/>
      <c r="U1936" s="26"/>
      <c r="V1936" s="26"/>
      <c r="W1936" s="20"/>
      <c r="X1936" s="20"/>
      <c r="Y1936" s="20"/>
      <c r="Z1936" s="20"/>
      <c r="AA1936" s="20"/>
      <c r="AB1936" s="20"/>
      <c r="AC1936" s="20"/>
      <c r="AD1936" s="20"/>
      <c r="AE1936" s="20"/>
    </row>
    <row r="1937">
      <c r="A1937" s="21">
        <v>52.0</v>
      </c>
      <c r="B1937" s="20" t="s">
        <v>314</v>
      </c>
      <c r="C1937" s="20" t="s">
        <v>4825</v>
      </c>
      <c r="I1937" s="25" t="s">
        <v>735</v>
      </c>
      <c r="J1937" s="25" t="s">
        <v>4198</v>
      </c>
      <c r="K1937" s="25" t="s">
        <v>71</v>
      </c>
      <c r="L1937" s="25" t="s">
        <v>4850</v>
      </c>
      <c r="M1937" s="20" t="s">
        <v>932</v>
      </c>
      <c r="N1937" s="20" t="s">
        <v>933</v>
      </c>
      <c r="O1937" s="20" t="s">
        <v>63</v>
      </c>
      <c r="P1937" s="20"/>
      <c r="Q1937" s="22"/>
      <c r="R1937" s="22"/>
      <c r="S1937" s="22"/>
      <c r="T1937" s="26"/>
      <c r="U1937" s="26"/>
      <c r="V1937" s="26"/>
      <c r="W1937" s="20"/>
      <c r="X1937" s="20"/>
      <c r="Y1937" s="20"/>
      <c r="Z1937" s="20"/>
      <c r="AA1937" s="20"/>
      <c r="AB1937" s="20"/>
      <c r="AC1937" s="20"/>
      <c r="AD1937" s="20"/>
      <c r="AE1937" s="20"/>
    </row>
    <row r="1938">
      <c r="A1938" s="21">
        <v>52.0</v>
      </c>
      <c r="B1938" s="20" t="s">
        <v>314</v>
      </c>
      <c r="C1938" s="20" t="s">
        <v>4825</v>
      </c>
      <c r="I1938" s="25" t="s">
        <v>704</v>
      </c>
      <c r="J1938" s="25" t="s">
        <v>4198</v>
      </c>
      <c r="K1938" s="25" t="s">
        <v>71</v>
      </c>
      <c r="L1938" s="25" t="s">
        <v>4850</v>
      </c>
      <c r="M1938" s="20" t="s">
        <v>4202</v>
      </c>
      <c r="N1938" s="20" t="s">
        <v>4203</v>
      </c>
      <c r="O1938" s="20" t="s">
        <v>63</v>
      </c>
      <c r="P1938" s="20"/>
      <c r="Q1938" s="22"/>
      <c r="R1938" s="22"/>
      <c r="S1938" s="22"/>
      <c r="T1938" s="26"/>
      <c r="U1938" s="26"/>
      <c r="V1938" s="26"/>
      <c r="W1938" s="20"/>
      <c r="X1938" s="20"/>
      <c r="Y1938" s="20"/>
      <c r="Z1938" s="20"/>
      <c r="AA1938" s="20"/>
      <c r="AB1938" s="20"/>
      <c r="AC1938" s="20"/>
      <c r="AD1938" s="20"/>
      <c r="AE1938" s="20"/>
    </row>
    <row r="1939">
      <c r="A1939" s="21">
        <v>52.0</v>
      </c>
      <c r="B1939" s="20" t="s">
        <v>314</v>
      </c>
      <c r="C1939" s="20" t="s">
        <v>4825</v>
      </c>
      <c r="I1939" s="25" t="s">
        <v>582</v>
      </c>
      <c r="J1939" s="25" t="s">
        <v>4183</v>
      </c>
      <c r="K1939" s="25" t="s">
        <v>71</v>
      </c>
      <c r="L1939" s="25" t="s">
        <v>4855</v>
      </c>
      <c r="M1939" s="20" t="s">
        <v>772</v>
      </c>
      <c r="N1939" s="20" t="s">
        <v>4255</v>
      </c>
      <c r="O1939" s="20" t="s">
        <v>63</v>
      </c>
      <c r="P1939" s="20"/>
      <c r="Q1939" s="22"/>
      <c r="R1939" s="22"/>
      <c r="S1939" s="22"/>
      <c r="T1939" s="26"/>
      <c r="U1939" s="26"/>
      <c r="V1939" s="26"/>
      <c r="W1939" s="20"/>
      <c r="X1939" s="20"/>
      <c r="Y1939" s="20"/>
      <c r="Z1939" s="20"/>
      <c r="AA1939" s="20"/>
      <c r="AB1939" s="20"/>
      <c r="AC1939" s="20"/>
      <c r="AD1939" s="20"/>
      <c r="AE1939" s="20"/>
    </row>
    <row r="1940">
      <c r="A1940" s="21">
        <v>52.0</v>
      </c>
      <c r="B1940" s="20" t="s">
        <v>314</v>
      </c>
      <c r="C1940" s="20" t="s">
        <v>4825</v>
      </c>
      <c r="I1940" s="25" t="s">
        <v>367</v>
      </c>
      <c r="J1940" s="25" t="s">
        <v>4183</v>
      </c>
      <c r="K1940" s="25" t="s">
        <v>71</v>
      </c>
      <c r="L1940" s="25" t="s">
        <v>4850</v>
      </c>
      <c r="M1940" s="20" t="s">
        <v>61</v>
      </c>
      <c r="N1940" s="20" t="s">
        <v>369</v>
      </c>
      <c r="O1940" s="20" t="s">
        <v>56</v>
      </c>
      <c r="P1940" s="20"/>
      <c r="Q1940" s="22"/>
      <c r="R1940" s="22"/>
      <c r="S1940" s="22"/>
      <c r="T1940" s="26"/>
      <c r="U1940" s="26"/>
      <c r="V1940" s="26"/>
      <c r="W1940" s="20"/>
      <c r="X1940" s="20"/>
      <c r="Y1940" s="20"/>
      <c r="Z1940" s="20"/>
      <c r="AA1940" s="20"/>
      <c r="AB1940" s="20"/>
      <c r="AC1940" s="20"/>
      <c r="AD1940" s="20"/>
      <c r="AE1940" s="20"/>
    </row>
    <row r="1941">
      <c r="A1941" s="21">
        <v>52.0</v>
      </c>
      <c r="B1941" s="20" t="s">
        <v>314</v>
      </c>
      <c r="C1941" s="20" t="s">
        <v>4825</v>
      </c>
      <c r="I1941" s="25" t="s">
        <v>104</v>
      </c>
      <c r="J1941" s="25" t="s">
        <v>4183</v>
      </c>
      <c r="K1941" s="25" t="s">
        <v>71</v>
      </c>
      <c r="L1941" s="25" t="s">
        <v>4855</v>
      </c>
      <c r="M1941" s="20" t="s">
        <v>61</v>
      </c>
      <c r="N1941" s="20" t="s">
        <v>4256</v>
      </c>
      <c r="O1941" s="20" t="s">
        <v>63</v>
      </c>
      <c r="P1941" s="20"/>
      <c r="Q1941" s="22"/>
      <c r="R1941" s="22"/>
      <c r="S1941" s="22"/>
      <c r="T1941" s="26"/>
      <c r="U1941" s="26"/>
      <c r="V1941" s="26"/>
      <c r="W1941" s="20"/>
      <c r="X1941" s="20"/>
      <c r="Y1941" s="20"/>
      <c r="Z1941" s="20"/>
      <c r="AA1941" s="20"/>
      <c r="AB1941" s="20"/>
      <c r="AC1941" s="20"/>
      <c r="AD1941" s="20"/>
      <c r="AE1941" s="20"/>
    </row>
    <row r="1942">
      <c r="A1942" s="21">
        <v>53.0</v>
      </c>
      <c r="B1942" s="20" t="s">
        <v>4257</v>
      </c>
      <c r="C1942" s="20" t="s">
        <v>4825</v>
      </c>
      <c r="D1942" s="35">
        <v>30.0</v>
      </c>
      <c r="E1942" s="35">
        <v>2.0</v>
      </c>
      <c r="F1942" s="35">
        <v>13.0</v>
      </c>
      <c r="G1942" s="35">
        <v>15.0</v>
      </c>
      <c r="H1942" s="36" t="s">
        <v>4917</v>
      </c>
      <c r="I1942" s="25" t="s">
        <v>4259</v>
      </c>
      <c r="J1942" s="25" t="s">
        <v>4258</v>
      </c>
      <c r="K1942" s="25" t="s">
        <v>57</v>
      </c>
      <c r="L1942" s="25" t="s">
        <v>4918</v>
      </c>
      <c r="M1942" s="20" t="s">
        <v>4260</v>
      </c>
      <c r="N1942" s="20" t="s">
        <v>4262</v>
      </c>
      <c r="O1942" s="20" t="s">
        <v>56</v>
      </c>
      <c r="P1942" s="20"/>
      <c r="Q1942" s="22"/>
      <c r="R1942" s="22"/>
      <c r="S1942" s="22"/>
      <c r="T1942" s="26"/>
      <c r="U1942" s="26"/>
      <c r="V1942" s="26"/>
      <c r="W1942" s="20"/>
      <c r="X1942" s="20"/>
      <c r="Y1942" s="20"/>
      <c r="Z1942" s="20"/>
      <c r="AA1942" s="20"/>
      <c r="AB1942" s="20"/>
      <c r="AC1942" s="20"/>
      <c r="AD1942" s="20"/>
      <c r="AE1942" s="20"/>
    </row>
    <row r="1943">
      <c r="A1943" s="21">
        <v>53.0</v>
      </c>
      <c r="B1943" s="20" t="s">
        <v>4257</v>
      </c>
      <c r="C1943" s="20" t="s">
        <v>4825</v>
      </c>
      <c r="I1943" s="25" t="s">
        <v>360</v>
      </c>
      <c r="J1943" s="25" t="s">
        <v>4263</v>
      </c>
      <c r="K1943" s="25" t="s">
        <v>57</v>
      </c>
      <c r="L1943" s="25" t="s">
        <v>4920</v>
      </c>
      <c r="M1943" s="20" t="s">
        <v>61</v>
      </c>
      <c r="N1943" s="20" t="s">
        <v>4264</v>
      </c>
      <c r="O1943" s="20" t="s">
        <v>63</v>
      </c>
      <c r="P1943" s="25" t="s">
        <v>749</v>
      </c>
      <c r="Q1943" s="22"/>
      <c r="R1943" s="22"/>
      <c r="S1943" s="22"/>
      <c r="T1943" s="26"/>
      <c r="U1943" s="26"/>
      <c r="V1943" s="26"/>
      <c r="W1943" s="20"/>
      <c r="X1943" s="20"/>
      <c r="Y1943" s="20"/>
      <c r="Z1943" s="20"/>
      <c r="AA1943" s="20"/>
      <c r="AB1943" s="20"/>
      <c r="AC1943" s="20"/>
      <c r="AD1943" s="20"/>
      <c r="AE1943" s="20"/>
    </row>
    <row r="1944">
      <c r="A1944" s="21">
        <v>53.0</v>
      </c>
      <c r="B1944" s="20" t="s">
        <v>4257</v>
      </c>
      <c r="C1944" s="20" t="s">
        <v>4825</v>
      </c>
      <c r="I1944" s="25" t="s">
        <v>706</v>
      </c>
      <c r="J1944" s="25" t="s">
        <v>4263</v>
      </c>
      <c r="K1944" s="25" t="s">
        <v>67</v>
      </c>
      <c r="L1944" s="25" t="s">
        <v>4924</v>
      </c>
      <c r="M1944" s="20" t="s">
        <v>61</v>
      </c>
      <c r="N1944" s="20" t="s">
        <v>4290</v>
      </c>
      <c r="O1944" s="20" t="s">
        <v>63</v>
      </c>
      <c r="P1944" s="20"/>
      <c r="Q1944" s="22"/>
      <c r="R1944" s="22"/>
      <c r="S1944" s="22"/>
      <c r="T1944" s="26"/>
      <c r="U1944" s="26"/>
      <c r="V1944" s="26"/>
      <c r="W1944" s="20"/>
      <c r="X1944" s="20"/>
      <c r="Y1944" s="20"/>
      <c r="Z1944" s="20"/>
      <c r="AA1944" s="20"/>
      <c r="AB1944" s="20"/>
      <c r="AC1944" s="20"/>
      <c r="AD1944" s="20"/>
      <c r="AE1944" s="20"/>
    </row>
    <row r="1945">
      <c r="A1945" s="21">
        <v>53.0</v>
      </c>
      <c r="B1945" s="20" t="s">
        <v>4257</v>
      </c>
      <c r="C1945" s="20" t="s">
        <v>4825</v>
      </c>
      <c r="I1945" s="25" t="s">
        <v>1151</v>
      </c>
      <c r="J1945" s="25" t="s">
        <v>4263</v>
      </c>
      <c r="K1945" s="25" t="s">
        <v>67</v>
      </c>
      <c r="L1945" s="25" t="s">
        <v>4926</v>
      </c>
      <c r="M1945" s="20" t="s">
        <v>61</v>
      </c>
      <c r="N1945" s="20" t="s">
        <v>4291</v>
      </c>
      <c r="O1945" s="20" t="s">
        <v>63</v>
      </c>
      <c r="P1945" s="20"/>
      <c r="Q1945" s="22"/>
      <c r="R1945" s="22"/>
      <c r="S1945" s="22"/>
      <c r="T1945" s="26"/>
      <c r="U1945" s="26"/>
      <c r="V1945" s="26"/>
      <c r="W1945" s="20"/>
      <c r="X1945" s="20"/>
      <c r="Y1945" s="20"/>
      <c r="Z1945" s="20"/>
      <c r="AA1945" s="20"/>
      <c r="AB1945" s="20"/>
      <c r="AC1945" s="20"/>
      <c r="AD1945" s="20"/>
      <c r="AE1945" s="20"/>
    </row>
    <row r="1946">
      <c r="A1946" s="21">
        <v>53.0</v>
      </c>
      <c r="B1946" s="20" t="s">
        <v>4257</v>
      </c>
      <c r="C1946" s="20" t="s">
        <v>4825</v>
      </c>
      <c r="I1946" s="25" t="s">
        <v>4265</v>
      </c>
      <c r="J1946" s="25" t="s">
        <v>4258</v>
      </c>
      <c r="K1946" s="25" t="s">
        <v>67</v>
      </c>
      <c r="L1946" s="25" t="s">
        <v>1025</v>
      </c>
      <c r="M1946" s="20" t="s">
        <v>4266</v>
      </c>
      <c r="N1946" s="20" t="s">
        <v>4267</v>
      </c>
      <c r="O1946" s="20" t="s">
        <v>56</v>
      </c>
      <c r="P1946" s="20" t="s">
        <v>52</v>
      </c>
      <c r="Q1946" s="22"/>
      <c r="R1946" s="22"/>
      <c r="S1946" s="22"/>
      <c r="T1946" s="22"/>
      <c r="U1946" s="26"/>
      <c r="V1946" s="26"/>
      <c r="W1946" s="20"/>
      <c r="X1946" s="20"/>
      <c r="Y1946" s="20"/>
      <c r="Z1946" s="20"/>
      <c r="AA1946" s="20"/>
      <c r="AB1946" s="20"/>
      <c r="AC1946" s="20"/>
      <c r="AD1946" s="20"/>
      <c r="AE1946" s="20"/>
    </row>
    <row r="1947">
      <c r="A1947" s="21">
        <v>53.0</v>
      </c>
      <c r="B1947" s="20" t="s">
        <v>4257</v>
      </c>
      <c r="C1947" s="20" t="s">
        <v>4825</v>
      </c>
      <c r="I1947" s="25" t="s">
        <v>1073</v>
      </c>
      <c r="J1947" s="25" t="s">
        <v>4263</v>
      </c>
      <c r="K1947" s="25" t="s">
        <v>71</v>
      </c>
      <c r="L1947" s="25" t="s">
        <v>4932</v>
      </c>
      <c r="M1947" s="20" t="s">
        <v>4296</v>
      </c>
      <c r="N1947" s="20" t="s">
        <v>4297</v>
      </c>
      <c r="O1947" s="20" t="s">
        <v>63</v>
      </c>
      <c r="P1947" s="20"/>
      <c r="Q1947" s="22"/>
      <c r="R1947" s="22"/>
      <c r="S1947" s="22"/>
      <c r="T1947" s="26"/>
      <c r="U1947" s="26"/>
      <c r="V1947" s="26"/>
      <c r="W1947" s="20"/>
      <c r="X1947" s="20"/>
      <c r="Y1947" s="20"/>
      <c r="Z1947" s="20"/>
      <c r="AA1947" s="20"/>
      <c r="AB1947" s="20"/>
      <c r="AC1947" s="20"/>
      <c r="AD1947" s="20"/>
      <c r="AE1947" s="20"/>
    </row>
    <row r="1948">
      <c r="A1948" s="21">
        <v>53.0</v>
      </c>
      <c r="B1948" s="20" t="s">
        <v>4257</v>
      </c>
      <c r="C1948" s="20" t="s">
        <v>4825</v>
      </c>
      <c r="I1948" s="25" t="s">
        <v>708</v>
      </c>
      <c r="J1948" s="25" t="s">
        <v>4258</v>
      </c>
      <c r="K1948" s="25" t="s">
        <v>67</v>
      </c>
      <c r="L1948" s="25" t="s">
        <v>1025</v>
      </c>
      <c r="M1948" s="20" t="s">
        <v>61</v>
      </c>
      <c r="N1948" s="20" t="s">
        <v>4268</v>
      </c>
      <c r="O1948" s="20" t="s">
        <v>56</v>
      </c>
      <c r="P1948" s="20" t="s">
        <v>52</v>
      </c>
      <c r="Q1948" s="22"/>
      <c r="R1948" s="22"/>
      <c r="S1948" s="22"/>
      <c r="T1948" s="22"/>
      <c r="U1948" s="26"/>
      <c r="V1948" s="26"/>
      <c r="W1948" s="20"/>
      <c r="X1948" s="20"/>
      <c r="Y1948" s="20"/>
      <c r="Z1948" s="20"/>
      <c r="AA1948" s="20"/>
      <c r="AB1948" s="20"/>
      <c r="AC1948" s="20"/>
      <c r="AD1948" s="20"/>
      <c r="AE1948" s="20"/>
    </row>
    <row r="1949">
      <c r="A1949" s="21">
        <v>53.0</v>
      </c>
      <c r="B1949" s="20" t="s">
        <v>4257</v>
      </c>
      <c r="C1949" s="20" t="s">
        <v>4825</v>
      </c>
      <c r="I1949" s="25" t="s">
        <v>1643</v>
      </c>
      <c r="J1949" s="25" t="s">
        <v>4263</v>
      </c>
      <c r="K1949" s="25" t="s">
        <v>71</v>
      </c>
      <c r="L1949" s="25" t="s">
        <v>4937</v>
      </c>
      <c r="M1949" s="20" t="s">
        <v>4299</v>
      </c>
      <c r="N1949" s="20" t="s">
        <v>4300</v>
      </c>
      <c r="O1949" s="20" t="s">
        <v>63</v>
      </c>
      <c r="P1949" s="20"/>
      <c r="Q1949" s="22"/>
      <c r="R1949" s="22"/>
      <c r="S1949" s="22"/>
      <c r="T1949" s="26"/>
      <c r="U1949" s="26"/>
      <c r="V1949" s="26"/>
      <c r="W1949" s="20"/>
      <c r="X1949" s="20"/>
      <c r="Y1949" s="20"/>
      <c r="Z1949" s="20"/>
      <c r="AA1949" s="20"/>
      <c r="AB1949" s="20"/>
      <c r="AC1949" s="20"/>
      <c r="AD1949" s="20"/>
      <c r="AE1949" s="20"/>
    </row>
    <row r="1950">
      <c r="A1950" s="21">
        <v>53.0</v>
      </c>
      <c r="B1950" s="20" t="s">
        <v>4257</v>
      </c>
      <c r="C1950" s="20" t="s">
        <v>4825</v>
      </c>
      <c r="I1950" s="25" t="s">
        <v>1826</v>
      </c>
      <c r="J1950" s="25" t="s">
        <v>4263</v>
      </c>
      <c r="K1950" s="25" t="s">
        <v>71</v>
      </c>
      <c r="L1950" s="25" t="s">
        <v>4940</v>
      </c>
      <c r="M1950" s="20" t="s">
        <v>1827</v>
      </c>
      <c r="N1950" s="20" t="s">
        <v>4301</v>
      </c>
      <c r="O1950" s="20" t="s">
        <v>63</v>
      </c>
      <c r="P1950" s="20"/>
      <c r="Q1950" s="22"/>
      <c r="R1950" s="22"/>
      <c r="S1950" s="22"/>
      <c r="T1950" s="26"/>
      <c r="U1950" s="26"/>
      <c r="V1950" s="26"/>
      <c r="W1950" s="20"/>
      <c r="X1950" s="20"/>
      <c r="Y1950" s="20"/>
      <c r="Z1950" s="20"/>
      <c r="AA1950" s="20"/>
      <c r="AB1950" s="20"/>
      <c r="AC1950" s="20"/>
      <c r="AD1950" s="20"/>
      <c r="AE1950" s="20"/>
    </row>
    <row r="1951">
      <c r="A1951" s="21">
        <v>53.0</v>
      </c>
      <c r="B1951" s="20" t="s">
        <v>4257</v>
      </c>
      <c r="C1951" s="20" t="s">
        <v>4825</v>
      </c>
      <c r="I1951" s="25" t="s">
        <v>2215</v>
      </c>
      <c r="J1951" s="25" t="s">
        <v>4258</v>
      </c>
      <c r="K1951" s="25" t="s">
        <v>67</v>
      </c>
      <c r="L1951" s="25" t="s">
        <v>1025</v>
      </c>
      <c r="M1951" s="20" t="s">
        <v>4269</v>
      </c>
      <c r="N1951" s="20" t="s">
        <v>4270</v>
      </c>
      <c r="O1951" s="20" t="s">
        <v>56</v>
      </c>
      <c r="P1951" s="20" t="s">
        <v>52</v>
      </c>
      <c r="Q1951" s="22"/>
      <c r="R1951" s="22"/>
      <c r="S1951" s="22"/>
      <c r="T1951" s="22"/>
      <c r="U1951" s="26"/>
      <c r="V1951" s="26"/>
      <c r="W1951" s="20"/>
      <c r="X1951" s="20"/>
      <c r="Y1951" s="20"/>
      <c r="Z1951" s="20"/>
      <c r="AA1951" s="20"/>
      <c r="AB1951" s="20"/>
      <c r="AC1951" s="20"/>
      <c r="AD1951" s="20"/>
      <c r="AE1951" s="20"/>
    </row>
    <row r="1952">
      <c r="A1952" s="21">
        <v>53.0</v>
      </c>
      <c r="B1952" s="20" t="s">
        <v>4257</v>
      </c>
      <c r="C1952" s="20" t="s">
        <v>4825</v>
      </c>
      <c r="I1952" s="25" t="s">
        <v>2340</v>
      </c>
      <c r="J1952" s="25" t="s">
        <v>4258</v>
      </c>
      <c r="K1952" s="25" t="s">
        <v>67</v>
      </c>
      <c r="L1952" s="25" t="s">
        <v>1025</v>
      </c>
      <c r="M1952" s="20" t="s">
        <v>4271</v>
      </c>
      <c r="N1952" s="20" t="s">
        <v>4272</v>
      </c>
      <c r="O1952" s="20" t="s">
        <v>56</v>
      </c>
      <c r="P1952" s="20" t="s">
        <v>52</v>
      </c>
      <c r="Q1952" s="22"/>
      <c r="R1952" s="22"/>
      <c r="S1952" s="22"/>
      <c r="T1952" s="22"/>
      <c r="U1952" s="26"/>
      <c r="V1952" s="26"/>
      <c r="W1952" s="20"/>
      <c r="X1952" s="20"/>
      <c r="Y1952" s="20"/>
      <c r="Z1952" s="20"/>
      <c r="AA1952" s="20"/>
      <c r="AB1952" s="20"/>
      <c r="AC1952" s="20"/>
      <c r="AD1952" s="20"/>
      <c r="AE1952" s="20"/>
    </row>
    <row r="1953">
      <c r="A1953" s="21">
        <v>53.0</v>
      </c>
      <c r="B1953" s="20" t="s">
        <v>4257</v>
      </c>
      <c r="C1953" s="20" t="s">
        <v>4825</v>
      </c>
      <c r="I1953" s="25" t="s">
        <v>4273</v>
      </c>
      <c r="J1953" s="25" t="s">
        <v>4258</v>
      </c>
      <c r="K1953" s="25" t="s">
        <v>67</v>
      </c>
      <c r="L1953" s="25" t="s">
        <v>1025</v>
      </c>
      <c r="M1953" s="20" t="s">
        <v>4274</v>
      </c>
      <c r="N1953" s="20" t="s">
        <v>4275</v>
      </c>
      <c r="O1953" s="20" t="s">
        <v>56</v>
      </c>
      <c r="P1953" s="20" t="s">
        <v>52</v>
      </c>
      <c r="Q1953" s="22"/>
      <c r="R1953" s="22"/>
      <c r="S1953" s="22"/>
      <c r="T1953" s="22"/>
      <c r="U1953" s="26"/>
      <c r="V1953" s="26"/>
      <c r="W1953" s="20"/>
      <c r="X1953" s="20"/>
      <c r="Y1953" s="20"/>
      <c r="Z1953" s="20"/>
      <c r="AA1953" s="20"/>
      <c r="AB1953" s="20"/>
      <c r="AC1953" s="20"/>
      <c r="AD1953" s="20"/>
      <c r="AE1953" s="20"/>
    </row>
    <row r="1954">
      <c r="A1954" s="21">
        <v>53.0</v>
      </c>
      <c r="B1954" s="20" t="s">
        <v>4257</v>
      </c>
      <c r="C1954" s="20" t="s">
        <v>4825</v>
      </c>
      <c r="I1954" s="25" t="s">
        <v>302</v>
      </c>
      <c r="J1954" s="25" t="s">
        <v>4263</v>
      </c>
      <c r="K1954" s="25" t="s">
        <v>71</v>
      </c>
      <c r="L1954" s="25" t="s">
        <v>4937</v>
      </c>
      <c r="M1954" s="20" t="s">
        <v>4304</v>
      </c>
      <c r="N1954" s="20" t="s">
        <v>4305</v>
      </c>
      <c r="O1954" s="20" t="s">
        <v>63</v>
      </c>
      <c r="P1954" s="20"/>
      <c r="Q1954" s="22"/>
      <c r="R1954" s="22"/>
      <c r="S1954" s="22"/>
      <c r="T1954" s="26"/>
      <c r="U1954" s="26"/>
      <c r="V1954" s="26"/>
      <c r="W1954" s="20"/>
      <c r="X1954" s="20"/>
      <c r="Y1954" s="20"/>
      <c r="Z1954" s="20"/>
      <c r="AA1954" s="20"/>
      <c r="AB1954" s="20"/>
      <c r="AC1954" s="20"/>
      <c r="AD1954" s="20"/>
      <c r="AE1954" s="20"/>
    </row>
    <row r="1955">
      <c r="A1955" s="21">
        <v>53.0</v>
      </c>
      <c r="B1955" s="20" t="s">
        <v>4257</v>
      </c>
      <c r="C1955" s="20" t="s">
        <v>4825</v>
      </c>
      <c r="I1955" s="25" t="s">
        <v>570</v>
      </c>
      <c r="J1955" s="25" t="s">
        <v>4258</v>
      </c>
      <c r="K1955" s="25" t="s">
        <v>67</v>
      </c>
      <c r="L1955" s="25" t="s">
        <v>1025</v>
      </c>
      <c r="M1955" s="20" t="s">
        <v>817</v>
      </c>
      <c r="N1955" s="20" t="s">
        <v>4277</v>
      </c>
      <c r="O1955" s="20" t="s">
        <v>56</v>
      </c>
      <c r="P1955" s="20" t="s">
        <v>52</v>
      </c>
      <c r="Q1955" s="22"/>
      <c r="R1955" s="22"/>
      <c r="S1955" s="22"/>
      <c r="T1955" s="22"/>
      <c r="U1955" s="26"/>
      <c r="V1955" s="26"/>
      <c r="W1955" s="20"/>
      <c r="X1955" s="20"/>
      <c r="Y1955" s="20"/>
      <c r="Z1955" s="20"/>
      <c r="AA1955" s="20"/>
      <c r="AB1955" s="20"/>
      <c r="AC1955" s="20"/>
      <c r="AD1955" s="20"/>
      <c r="AE1955" s="20"/>
    </row>
    <row r="1956">
      <c r="A1956" s="21">
        <v>53.0</v>
      </c>
      <c r="B1956" s="20" t="s">
        <v>4257</v>
      </c>
      <c r="C1956" s="20" t="s">
        <v>4825</v>
      </c>
      <c r="I1956" s="25" t="s">
        <v>2328</v>
      </c>
      <c r="J1956" s="25" t="s">
        <v>4258</v>
      </c>
      <c r="K1956" s="25" t="s">
        <v>67</v>
      </c>
      <c r="L1956" s="25" t="s">
        <v>1025</v>
      </c>
      <c r="M1956" s="20" t="s">
        <v>2329</v>
      </c>
      <c r="N1956" s="20" t="s">
        <v>4278</v>
      </c>
      <c r="O1956" s="20" t="s">
        <v>56</v>
      </c>
      <c r="P1956" s="20" t="s">
        <v>52</v>
      </c>
      <c r="Q1956" s="22"/>
      <c r="R1956" s="22"/>
      <c r="S1956" s="22"/>
      <c r="T1956" s="22"/>
      <c r="U1956" s="26"/>
      <c r="V1956" s="26"/>
      <c r="W1956" s="20"/>
      <c r="X1956" s="20"/>
      <c r="Y1956" s="20"/>
      <c r="Z1956" s="20"/>
      <c r="AA1956" s="20"/>
      <c r="AB1956" s="20"/>
      <c r="AC1956" s="20"/>
      <c r="AD1956" s="20"/>
      <c r="AE1956" s="20"/>
    </row>
    <row r="1957">
      <c r="A1957" s="21">
        <v>53.0</v>
      </c>
      <c r="B1957" s="20" t="s">
        <v>4257</v>
      </c>
      <c r="C1957" s="20" t="s">
        <v>4825</v>
      </c>
      <c r="I1957" s="25" t="s">
        <v>4279</v>
      </c>
      <c r="J1957" s="25" t="s">
        <v>4258</v>
      </c>
      <c r="K1957" s="25" t="s">
        <v>67</v>
      </c>
      <c r="L1957" s="25" t="s">
        <v>1025</v>
      </c>
      <c r="M1957" s="20" t="s">
        <v>4280</v>
      </c>
      <c r="N1957" s="20" t="s">
        <v>4281</v>
      </c>
      <c r="O1957" s="20" t="s">
        <v>56</v>
      </c>
      <c r="P1957" s="20" t="s">
        <v>52</v>
      </c>
      <c r="Q1957" s="22"/>
      <c r="R1957" s="22"/>
      <c r="S1957" s="22"/>
      <c r="T1957" s="22"/>
      <c r="U1957" s="26"/>
      <c r="V1957" s="26"/>
      <c r="W1957" s="20"/>
      <c r="X1957" s="20"/>
      <c r="Y1957" s="20"/>
      <c r="Z1957" s="20"/>
      <c r="AA1957" s="20"/>
      <c r="AB1957" s="20"/>
      <c r="AC1957" s="20"/>
      <c r="AD1957" s="20"/>
      <c r="AE1957" s="20"/>
    </row>
    <row r="1958">
      <c r="A1958" s="21">
        <v>53.0</v>
      </c>
      <c r="B1958" s="20" t="s">
        <v>4257</v>
      </c>
      <c r="C1958" s="20" t="s">
        <v>4825</v>
      </c>
      <c r="I1958" s="25" t="s">
        <v>4282</v>
      </c>
      <c r="J1958" s="25" t="s">
        <v>4258</v>
      </c>
      <c r="K1958" s="25" t="s">
        <v>67</v>
      </c>
      <c r="L1958" s="25" t="s">
        <v>1025</v>
      </c>
      <c r="M1958" s="20" t="s">
        <v>4283</v>
      </c>
      <c r="N1958" s="20" t="s">
        <v>4284</v>
      </c>
      <c r="O1958" s="20" t="s">
        <v>56</v>
      </c>
      <c r="P1958" s="20" t="s">
        <v>52</v>
      </c>
      <c r="Q1958" s="22"/>
      <c r="R1958" s="22"/>
      <c r="S1958" s="22"/>
      <c r="T1958" s="22"/>
      <c r="U1958" s="26"/>
      <c r="V1958" s="26"/>
      <c r="W1958" s="20"/>
      <c r="X1958" s="20"/>
      <c r="Y1958" s="20"/>
      <c r="Z1958" s="20"/>
      <c r="AA1958" s="20"/>
      <c r="AB1958" s="20"/>
      <c r="AC1958" s="20"/>
      <c r="AD1958" s="20"/>
      <c r="AE1958" s="20"/>
    </row>
    <row r="1959">
      <c r="A1959" s="21">
        <v>53.0</v>
      </c>
      <c r="B1959" s="20" t="s">
        <v>4257</v>
      </c>
      <c r="C1959" s="20" t="s">
        <v>4825</v>
      </c>
      <c r="I1959" s="25" t="s">
        <v>4285</v>
      </c>
      <c r="J1959" s="25" t="s">
        <v>4258</v>
      </c>
      <c r="K1959" s="25" t="s">
        <v>67</v>
      </c>
      <c r="L1959" s="25" t="s">
        <v>1025</v>
      </c>
      <c r="M1959" s="20" t="s">
        <v>4286</v>
      </c>
      <c r="N1959" s="20" t="s">
        <v>4287</v>
      </c>
      <c r="O1959" s="20" t="s">
        <v>56</v>
      </c>
      <c r="P1959" s="20" t="s">
        <v>52</v>
      </c>
      <c r="Q1959" s="22"/>
      <c r="R1959" s="22"/>
      <c r="S1959" s="22"/>
      <c r="T1959" s="22"/>
      <c r="U1959" s="26"/>
      <c r="V1959" s="26"/>
      <c r="W1959" s="20"/>
      <c r="X1959" s="20"/>
      <c r="Y1959" s="20"/>
      <c r="Z1959" s="20"/>
      <c r="AA1959" s="20"/>
      <c r="AB1959" s="20"/>
      <c r="AC1959" s="20"/>
      <c r="AD1959" s="20"/>
      <c r="AE1959" s="20"/>
    </row>
    <row r="1960">
      <c r="A1960" s="21">
        <v>53.0</v>
      </c>
      <c r="B1960" s="20" t="s">
        <v>4257</v>
      </c>
      <c r="C1960" s="20" t="s">
        <v>4825</v>
      </c>
      <c r="I1960" s="25" t="s">
        <v>2458</v>
      </c>
      <c r="J1960" s="25" t="s">
        <v>4263</v>
      </c>
      <c r="K1960" s="25" t="s">
        <v>71</v>
      </c>
      <c r="L1960" s="25" t="s">
        <v>4958</v>
      </c>
      <c r="M1960" s="20" t="s">
        <v>4306</v>
      </c>
      <c r="N1960" s="20" t="s">
        <v>4308</v>
      </c>
      <c r="O1960" s="20" t="s">
        <v>63</v>
      </c>
      <c r="P1960" s="20"/>
      <c r="Q1960" s="22"/>
      <c r="R1960" s="22"/>
      <c r="S1960" s="22"/>
      <c r="T1960" s="26"/>
      <c r="U1960" s="26"/>
      <c r="V1960" s="26"/>
      <c r="W1960" s="20"/>
      <c r="X1960" s="20"/>
      <c r="Y1960" s="20"/>
      <c r="Z1960" s="20"/>
      <c r="AA1960" s="20"/>
      <c r="AB1960" s="20"/>
      <c r="AC1960" s="20"/>
      <c r="AD1960" s="20"/>
      <c r="AE1960" s="20"/>
    </row>
    <row r="1961">
      <c r="A1961" s="21">
        <v>53.0</v>
      </c>
      <c r="B1961" s="20" t="s">
        <v>4257</v>
      </c>
      <c r="C1961" s="20" t="s">
        <v>4825</v>
      </c>
      <c r="I1961" s="25" t="s">
        <v>717</v>
      </c>
      <c r="J1961" s="25" t="s">
        <v>4258</v>
      </c>
      <c r="K1961" s="25" t="s">
        <v>71</v>
      </c>
      <c r="L1961" s="25" t="s">
        <v>4962</v>
      </c>
      <c r="M1961" s="20" t="s">
        <v>61</v>
      </c>
      <c r="N1961" s="20" t="s">
        <v>4292</v>
      </c>
      <c r="O1961" s="20" t="s">
        <v>56</v>
      </c>
      <c r="P1961" s="20" t="s">
        <v>52</v>
      </c>
      <c r="Q1961" s="22"/>
      <c r="R1961" s="22"/>
      <c r="S1961" s="22"/>
      <c r="T1961" s="26"/>
      <c r="U1961" s="26"/>
      <c r="V1961" s="26"/>
      <c r="W1961" s="20"/>
      <c r="X1961" s="20"/>
      <c r="Y1961" s="20"/>
      <c r="Z1961" s="20"/>
      <c r="AA1961" s="20"/>
      <c r="AB1961" s="20"/>
      <c r="AC1961" s="20"/>
      <c r="AD1961" s="20"/>
      <c r="AE1961" s="20"/>
    </row>
    <row r="1962">
      <c r="A1962" s="21">
        <v>53.0</v>
      </c>
      <c r="B1962" s="20" t="s">
        <v>4257</v>
      </c>
      <c r="C1962" s="20" t="s">
        <v>4825</v>
      </c>
      <c r="I1962" s="25" t="s">
        <v>403</v>
      </c>
      <c r="J1962" s="25" t="s">
        <v>4258</v>
      </c>
      <c r="K1962" s="25" t="s">
        <v>67</v>
      </c>
      <c r="L1962" s="25" t="s">
        <v>1025</v>
      </c>
      <c r="M1962" s="20" t="s">
        <v>61</v>
      </c>
      <c r="N1962" s="20" t="s">
        <v>4288</v>
      </c>
      <c r="O1962" s="20" t="s">
        <v>56</v>
      </c>
      <c r="P1962" s="20" t="s">
        <v>52</v>
      </c>
      <c r="Q1962" s="22"/>
      <c r="R1962" s="22"/>
      <c r="S1962" s="22"/>
      <c r="T1962" s="22"/>
      <c r="U1962" s="26"/>
      <c r="V1962" s="26"/>
      <c r="W1962" s="20"/>
      <c r="X1962" s="20"/>
      <c r="Y1962" s="20"/>
      <c r="Z1962" s="20"/>
      <c r="AA1962" s="20"/>
      <c r="AB1962" s="20"/>
      <c r="AC1962" s="20"/>
      <c r="AD1962" s="20"/>
      <c r="AE1962" s="20"/>
    </row>
    <row r="1963">
      <c r="A1963" s="21">
        <v>53.0</v>
      </c>
      <c r="B1963" s="20" t="s">
        <v>4257</v>
      </c>
      <c r="C1963" s="20" t="s">
        <v>4825</v>
      </c>
      <c r="I1963" s="25" t="s">
        <v>530</v>
      </c>
      <c r="J1963" s="25" t="s">
        <v>4263</v>
      </c>
      <c r="K1963" s="25" t="s">
        <v>71</v>
      </c>
      <c r="L1963" s="25" t="s">
        <v>4962</v>
      </c>
      <c r="M1963" s="20" t="s">
        <v>4309</v>
      </c>
      <c r="N1963" s="20" t="s">
        <v>4310</v>
      </c>
      <c r="O1963" s="20" t="s">
        <v>63</v>
      </c>
      <c r="P1963" s="20" t="s">
        <v>52</v>
      </c>
      <c r="Q1963" s="22"/>
      <c r="R1963" s="22"/>
      <c r="S1963" s="22"/>
      <c r="T1963" s="26"/>
      <c r="U1963" s="26"/>
      <c r="V1963" s="26"/>
      <c r="W1963" s="20"/>
      <c r="X1963" s="20"/>
      <c r="Y1963" s="20"/>
      <c r="Z1963" s="20"/>
      <c r="AA1963" s="20"/>
      <c r="AB1963" s="20"/>
      <c r="AC1963" s="20"/>
      <c r="AD1963" s="20"/>
      <c r="AE1963" s="20"/>
    </row>
    <row r="1964">
      <c r="A1964" s="21">
        <v>53.0</v>
      </c>
      <c r="B1964" s="20" t="s">
        <v>4257</v>
      </c>
      <c r="C1964" s="20" t="s">
        <v>4825</v>
      </c>
      <c r="I1964" s="25" t="s">
        <v>283</v>
      </c>
      <c r="J1964" s="25" t="s">
        <v>4258</v>
      </c>
      <c r="K1964" s="25" t="s">
        <v>71</v>
      </c>
      <c r="L1964" s="25" t="s">
        <v>4962</v>
      </c>
      <c r="M1964" s="20" t="s">
        <v>61</v>
      </c>
      <c r="N1964" s="20" t="s">
        <v>4293</v>
      </c>
      <c r="O1964" s="20" t="s">
        <v>56</v>
      </c>
      <c r="P1964" s="20" t="s">
        <v>52</v>
      </c>
      <c r="Q1964" s="22"/>
      <c r="R1964" s="22"/>
      <c r="S1964" s="22"/>
      <c r="T1964" s="26"/>
      <c r="U1964" s="26"/>
      <c r="V1964" s="26"/>
      <c r="W1964" s="20"/>
      <c r="X1964" s="20"/>
      <c r="Y1964" s="20"/>
      <c r="Z1964" s="20"/>
      <c r="AA1964" s="20"/>
      <c r="AB1964" s="20"/>
      <c r="AC1964" s="20"/>
      <c r="AD1964" s="20"/>
      <c r="AE1964" s="20"/>
    </row>
    <row r="1965">
      <c r="A1965" s="21">
        <v>53.0</v>
      </c>
      <c r="B1965" s="20" t="s">
        <v>4257</v>
      </c>
      <c r="C1965" s="20" t="s">
        <v>4825</v>
      </c>
      <c r="I1965" s="25" t="s">
        <v>552</v>
      </c>
      <c r="J1965" s="25" t="s">
        <v>4263</v>
      </c>
      <c r="K1965" s="25" t="s">
        <v>71</v>
      </c>
      <c r="L1965" s="25" t="s">
        <v>4962</v>
      </c>
      <c r="M1965" s="20" t="s">
        <v>61</v>
      </c>
      <c r="N1965" s="20" t="s">
        <v>4312</v>
      </c>
      <c r="O1965" s="20" t="s">
        <v>63</v>
      </c>
      <c r="P1965" s="20" t="s">
        <v>52</v>
      </c>
      <c r="Q1965" s="22"/>
      <c r="R1965" s="22"/>
      <c r="S1965" s="22"/>
      <c r="T1965" s="26"/>
      <c r="U1965" s="26"/>
      <c r="V1965" s="26"/>
      <c r="W1965" s="20"/>
      <c r="X1965" s="20"/>
      <c r="Y1965" s="20"/>
      <c r="Z1965" s="20"/>
      <c r="AA1965" s="20"/>
      <c r="AB1965" s="20"/>
      <c r="AC1965" s="20"/>
      <c r="AD1965" s="20"/>
      <c r="AE1965" s="20"/>
    </row>
    <row r="1966">
      <c r="A1966" s="21">
        <v>53.0</v>
      </c>
      <c r="B1966" s="20" t="s">
        <v>4257</v>
      </c>
      <c r="C1966" s="20" t="s">
        <v>4825</v>
      </c>
      <c r="I1966" s="25" t="s">
        <v>489</v>
      </c>
      <c r="J1966" s="25" t="s">
        <v>4263</v>
      </c>
      <c r="K1966" s="25" t="s">
        <v>71</v>
      </c>
      <c r="L1966" s="25" t="s">
        <v>4962</v>
      </c>
      <c r="M1966" s="20" t="s">
        <v>762</v>
      </c>
      <c r="N1966" s="20" t="s">
        <v>4314</v>
      </c>
      <c r="O1966" s="20" t="s">
        <v>63</v>
      </c>
      <c r="P1966" s="20" t="s">
        <v>52</v>
      </c>
      <c r="Q1966" s="22"/>
      <c r="R1966" s="22"/>
      <c r="S1966" s="22"/>
      <c r="T1966" s="26"/>
      <c r="U1966" s="26"/>
      <c r="V1966" s="26"/>
      <c r="W1966" s="20"/>
      <c r="X1966" s="20"/>
      <c r="Y1966" s="20"/>
      <c r="Z1966" s="20"/>
      <c r="AA1966" s="20"/>
      <c r="AB1966" s="20"/>
      <c r="AC1966" s="20"/>
      <c r="AD1966" s="20"/>
      <c r="AE1966" s="20"/>
    </row>
    <row r="1967">
      <c r="A1967" s="21">
        <v>53.0</v>
      </c>
      <c r="B1967" s="20" t="s">
        <v>4257</v>
      </c>
      <c r="C1967" s="20" t="s">
        <v>4825</v>
      </c>
      <c r="I1967" s="25" t="s">
        <v>495</v>
      </c>
      <c r="J1967" s="25" t="s">
        <v>4263</v>
      </c>
      <c r="K1967" s="25" t="s">
        <v>71</v>
      </c>
      <c r="L1967" s="25" t="s">
        <v>4962</v>
      </c>
      <c r="M1967" s="20" t="s">
        <v>61</v>
      </c>
      <c r="N1967" s="20" t="s">
        <v>4316</v>
      </c>
      <c r="O1967" s="20" t="s">
        <v>63</v>
      </c>
      <c r="P1967" s="20" t="s">
        <v>52</v>
      </c>
      <c r="Q1967" s="22"/>
      <c r="R1967" s="22"/>
      <c r="S1967" s="22"/>
      <c r="T1967" s="26"/>
      <c r="U1967" s="26"/>
      <c r="V1967" s="26"/>
      <c r="W1967" s="20"/>
      <c r="X1967" s="20"/>
      <c r="Y1967" s="20"/>
      <c r="Z1967" s="20"/>
      <c r="AA1967" s="20"/>
      <c r="AB1967" s="20"/>
      <c r="AC1967" s="20"/>
      <c r="AD1967" s="20"/>
      <c r="AE1967" s="20"/>
    </row>
    <row r="1968">
      <c r="A1968" s="21">
        <v>53.0</v>
      </c>
      <c r="B1968" s="20" t="s">
        <v>4257</v>
      </c>
      <c r="C1968" s="20" t="s">
        <v>4825</v>
      </c>
      <c r="I1968" s="25" t="s">
        <v>501</v>
      </c>
      <c r="J1968" s="25" t="s">
        <v>4258</v>
      </c>
      <c r="K1968" s="25" t="s">
        <v>71</v>
      </c>
      <c r="L1968" s="25" t="s">
        <v>4962</v>
      </c>
      <c r="M1968" s="20" t="s">
        <v>61</v>
      </c>
      <c r="N1968" s="20" t="s">
        <v>4294</v>
      </c>
      <c r="O1968" s="20" t="s">
        <v>56</v>
      </c>
      <c r="P1968" s="20" t="s">
        <v>52</v>
      </c>
      <c r="Q1968" s="22"/>
      <c r="R1968" s="22"/>
      <c r="S1968" s="22"/>
      <c r="T1968" s="26"/>
      <c r="U1968" s="26"/>
      <c r="V1968" s="26"/>
      <c r="W1968" s="20"/>
      <c r="X1968" s="20"/>
      <c r="Y1968" s="20"/>
      <c r="Z1968" s="20"/>
      <c r="AA1968" s="20"/>
      <c r="AB1968" s="20"/>
      <c r="AC1968" s="20"/>
      <c r="AD1968" s="20"/>
      <c r="AE1968" s="20"/>
    </row>
    <row r="1969">
      <c r="A1969" s="21">
        <v>53.0</v>
      </c>
      <c r="B1969" s="20" t="s">
        <v>4257</v>
      </c>
      <c r="C1969" s="20" t="s">
        <v>4825</v>
      </c>
      <c r="I1969" s="25" t="s">
        <v>672</v>
      </c>
      <c r="J1969" s="25" t="s">
        <v>4263</v>
      </c>
      <c r="K1969" s="25" t="s">
        <v>71</v>
      </c>
      <c r="L1969" s="25" t="s">
        <v>4962</v>
      </c>
      <c r="M1969" s="20" t="s">
        <v>61</v>
      </c>
      <c r="N1969" s="20" t="s">
        <v>4317</v>
      </c>
      <c r="O1969" s="20" t="s">
        <v>63</v>
      </c>
      <c r="P1969" s="20" t="s">
        <v>52</v>
      </c>
      <c r="Q1969" s="22"/>
      <c r="R1969" s="22"/>
      <c r="S1969" s="22"/>
      <c r="T1969" s="26"/>
      <c r="U1969" s="26"/>
      <c r="V1969" s="26"/>
      <c r="W1969" s="20"/>
      <c r="X1969" s="20"/>
      <c r="Y1969" s="20"/>
      <c r="Z1969" s="20"/>
      <c r="AA1969" s="20"/>
      <c r="AB1969" s="20"/>
      <c r="AC1969" s="20"/>
      <c r="AD1969" s="20"/>
      <c r="AE1969" s="20"/>
    </row>
    <row r="1970">
      <c r="A1970" s="21">
        <v>53.0</v>
      </c>
      <c r="B1970" s="20" t="s">
        <v>4257</v>
      </c>
      <c r="C1970" s="20" t="s">
        <v>4825</v>
      </c>
      <c r="I1970" s="25" t="s">
        <v>683</v>
      </c>
      <c r="J1970" s="25" t="s">
        <v>4263</v>
      </c>
      <c r="K1970" s="25" t="s">
        <v>71</v>
      </c>
      <c r="L1970" s="25" t="s">
        <v>4962</v>
      </c>
      <c r="M1970" s="20" t="s">
        <v>4241</v>
      </c>
      <c r="N1970" s="20" t="s">
        <v>4318</v>
      </c>
      <c r="O1970" s="20" t="s">
        <v>63</v>
      </c>
      <c r="P1970" s="20" t="s">
        <v>52</v>
      </c>
      <c r="Q1970" s="22"/>
      <c r="R1970" s="22"/>
      <c r="S1970" s="22"/>
      <c r="T1970" s="20"/>
      <c r="U1970" s="26"/>
      <c r="V1970" s="26"/>
      <c r="W1970" s="20"/>
      <c r="X1970" s="20"/>
      <c r="Y1970" s="20"/>
      <c r="Z1970" s="20"/>
      <c r="AA1970" s="20"/>
      <c r="AB1970" s="20"/>
      <c r="AC1970" s="20"/>
      <c r="AD1970" s="20"/>
      <c r="AE1970" s="20"/>
    </row>
    <row r="1971">
      <c r="A1971" s="21">
        <v>53.0</v>
      </c>
      <c r="B1971" s="20" t="s">
        <v>4257</v>
      </c>
      <c r="C1971" s="20" t="s">
        <v>4825</v>
      </c>
      <c r="I1971" s="25" t="s">
        <v>692</v>
      </c>
      <c r="J1971" s="25" t="s">
        <v>4263</v>
      </c>
      <c r="K1971" s="25" t="s">
        <v>71</v>
      </c>
      <c r="L1971" s="25" t="s">
        <v>4962</v>
      </c>
      <c r="M1971" s="20" t="s">
        <v>4319</v>
      </c>
      <c r="N1971" s="20" t="s">
        <v>4320</v>
      </c>
      <c r="O1971" s="20" t="s">
        <v>63</v>
      </c>
      <c r="P1971" s="20" t="s">
        <v>52</v>
      </c>
      <c r="Q1971" s="22"/>
      <c r="R1971" s="22"/>
      <c r="S1971" s="22"/>
      <c r="T1971" s="20"/>
      <c r="U1971" s="26"/>
      <c r="V1971" s="26"/>
      <c r="W1971" s="20"/>
      <c r="X1971" s="20"/>
      <c r="Y1971" s="20"/>
      <c r="Z1971" s="20"/>
      <c r="AA1971" s="20"/>
      <c r="AB1971" s="20"/>
      <c r="AC1971" s="20"/>
      <c r="AD1971" s="20"/>
      <c r="AE1971" s="20"/>
    </row>
    <row r="1972">
      <c r="A1972" s="21">
        <v>54.0</v>
      </c>
      <c r="B1972" s="20" t="s">
        <v>2236</v>
      </c>
      <c r="C1972" s="20" t="s">
        <v>4825</v>
      </c>
      <c r="D1972" s="35">
        <v>30.0</v>
      </c>
      <c r="E1972" s="35">
        <v>4.0</v>
      </c>
      <c r="F1972" s="35">
        <v>1.0</v>
      </c>
      <c r="G1972" s="35">
        <v>25.0</v>
      </c>
      <c r="H1972" s="36" t="s">
        <v>4977</v>
      </c>
      <c r="I1972" s="25" t="s">
        <v>451</v>
      </c>
      <c r="J1972" s="25" t="s">
        <v>4321</v>
      </c>
      <c r="K1972" s="25" t="s">
        <v>57</v>
      </c>
      <c r="L1972" s="25" t="s">
        <v>4979</v>
      </c>
      <c r="M1972" s="20" t="s">
        <v>61</v>
      </c>
      <c r="N1972" s="20" t="s">
        <v>4208</v>
      </c>
      <c r="O1972" s="20" t="s">
        <v>63</v>
      </c>
      <c r="P1972" s="20"/>
      <c r="Q1972" s="22"/>
      <c r="R1972" s="22"/>
      <c r="S1972" s="22"/>
      <c r="T1972" s="20"/>
      <c r="U1972" s="26"/>
      <c r="V1972" s="26"/>
      <c r="W1972" s="20"/>
      <c r="X1972" s="20"/>
      <c r="Y1972" s="20"/>
      <c r="Z1972" s="20"/>
      <c r="AA1972" s="20"/>
      <c r="AB1972" s="20"/>
      <c r="AC1972" s="20"/>
      <c r="AD1972" s="20"/>
      <c r="AE1972" s="20"/>
    </row>
    <row r="1973">
      <c r="A1973" s="21">
        <v>54.0</v>
      </c>
      <c r="B1973" s="20" t="s">
        <v>2236</v>
      </c>
      <c r="C1973" s="20" t="s">
        <v>4825</v>
      </c>
      <c r="I1973" s="25" t="s">
        <v>2359</v>
      </c>
      <c r="J1973" s="25" t="s">
        <v>4321</v>
      </c>
      <c r="K1973" s="25" t="s">
        <v>57</v>
      </c>
      <c r="L1973" s="25" t="s">
        <v>4982</v>
      </c>
      <c r="M1973" s="20" t="s">
        <v>61</v>
      </c>
      <c r="N1973" s="20" t="s">
        <v>4322</v>
      </c>
      <c r="O1973" s="20" t="s">
        <v>63</v>
      </c>
      <c r="P1973" s="20"/>
      <c r="Q1973" s="22"/>
      <c r="R1973" s="22"/>
      <c r="S1973" s="22"/>
      <c r="T1973" s="20"/>
      <c r="U1973" s="26"/>
      <c r="V1973" s="26"/>
      <c r="W1973" s="20"/>
      <c r="X1973" s="20"/>
      <c r="Y1973" s="20"/>
      <c r="Z1973" s="20"/>
      <c r="AA1973" s="20"/>
      <c r="AB1973" s="20"/>
      <c r="AC1973" s="20"/>
      <c r="AD1973" s="20"/>
      <c r="AE1973" s="20"/>
    </row>
    <row r="1974">
      <c r="A1974" s="21">
        <v>54.0</v>
      </c>
      <c r="B1974" s="20" t="s">
        <v>2236</v>
      </c>
      <c r="C1974" s="20" t="s">
        <v>4825</v>
      </c>
      <c r="I1974" s="25" t="s">
        <v>1423</v>
      </c>
      <c r="J1974" s="25" t="s">
        <v>4321</v>
      </c>
      <c r="K1974" s="25" t="s">
        <v>57</v>
      </c>
      <c r="L1974" s="25" t="s">
        <v>4985</v>
      </c>
      <c r="M1974" s="20" t="s">
        <v>1594</v>
      </c>
      <c r="N1974" s="20" t="s">
        <v>4323</v>
      </c>
      <c r="O1974" s="20" t="s">
        <v>63</v>
      </c>
      <c r="P1974" s="20"/>
      <c r="Q1974" s="22"/>
      <c r="R1974" s="22"/>
      <c r="S1974" s="22"/>
      <c r="T1974" s="20"/>
      <c r="U1974" s="26"/>
      <c r="V1974" s="26"/>
      <c r="W1974" s="20"/>
      <c r="X1974" s="20"/>
      <c r="Y1974" s="20"/>
      <c r="Z1974" s="20"/>
      <c r="AA1974" s="20"/>
      <c r="AB1974" s="20"/>
      <c r="AC1974" s="20"/>
      <c r="AD1974" s="20"/>
      <c r="AE1974" s="20"/>
    </row>
    <row r="1975">
      <c r="A1975" s="21">
        <v>54.0</v>
      </c>
      <c r="B1975" s="20" t="s">
        <v>2236</v>
      </c>
      <c r="C1975" s="20" t="s">
        <v>4825</v>
      </c>
      <c r="I1975" s="25" t="s">
        <v>2332</v>
      </c>
      <c r="J1975" s="25" t="s">
        <v>4324</v>
      </c>
      <c r="K1975" s="25" t="s">
        <v>57</v>
      </c>
      <c r="L1975" s="25" t="s">
        <v>4989</v>
      </c>
      <c r="M1975" s="20" t="s">
        <v>61</v>
      </c>
      <c r="N1975" s="20" t="s">
        <v>4325</v>
      </c>
      <c r="O1975" s="20" t="s">
        <v>63</v>
      </c>
      <c r="P1975" s="20"/>
      <c r="Q1975" s="22"/>
      <c r="R1975" s="22"/>
      <c r="S1975" s="22"/>
      <c r="T1975" s="20"/>
      <c r="U1975" s="26"/>
      <c r="V1975" s="26"/>
      <c r="W1975" s="20"/>
      <c r="X1975" s="20"/>
      <c r="Y1975" s="20"/>
      <c r="Z1975" s="20"/>
      <c r="AA1975" s="20"/>
      <c r="AB1975" s="20"/>
      <c r="AC1975" s="20"/>
      <c r="AD1975" s="20"/>
      <c r="AE1975" s="20"/>
    </row>
    <row r="1976">
      <c r="A1976" s="21">
        <v>54.0</v>
      </c>
      <c r="B1976" s="20" t="s">
        <v>2236</v>
      </c>
      <c r="C1976" s="20" t="s">
        <v>4825</v>
      </c>
      <c r="I1976" s="25" t="s">
        <v>1428</v>
      </c>
      <c r="J1976" s="25" t="s">
        <v>4321</v>
      </c>
      <c r="K1976" s="25" t="s">
        <v>67</v>
      </c>
      <c r="L1976" s="25" t="s">
        <v>4991</v>
      </c>
      <c r="M1976" s="20" t="s">
        <v>61</v>
      </c>
      <c r="N1976" s="20" t="s">
        <v>4326</v>
      </c>
      <c r="O1976" s="20" t="s">
        <v>63</v>
      </c>
      <c r="P1976" s="20"/>
      <c r="Q1976" s="22"/>
      <c r="R1976" s="22"/>
      <c r="S1976" s="22"/>
      <c r="T1976" s="20"/>
      <c r="U1976" s="26"/>
      <c r="V1976" s="26"/>
      <c r="W1976" s="20"/>
      <c r="X1976" s="20"/>
      <c r="Y1976" s="20"/>
      <c r="Z1976" s="20"/>
      <c r="AA1976" s="20"/>
      <c r="AB1976" s="20"/>
      <c r="AC1976" s="20"/>
      <c r="AD1976" s="20"/>
      <c r="AE1976" s="20"/>
    </row>
    <row r="1977">
      <c r="A1977" s="21">
        <v>54.0</v>
      </c>
      <c r="B1977" s="20" t="s">
        <v>2236</v>
      </c>
      <c r="C1977" s="20" t="s">
        <v>4825</v>
      </c>
      <c r="I1977" s="25" t="s">
        <v>2309</v>
      </c>
      <c r="J1977" s="25" t="s">
        <v>4321</v>
      </c>
      <c r="K1977" s="25" t="s">
        <v>71</v>
      </c>
      <c r="L1977" s="25" t="s">
        <v>4992</v>
      </c>
      <c r="M1977" s="20" t="s">
        <v>4327</v>
      </c>
      <c r="N1977" s="20" t="s">
        <v>4328</v>
      </c>
      <c r="O1977" s="20" t="s">
        <v>63</v>
      </c>
      <c r="P1977" s="20"/>
      <c r="Q1977" s="22"/>
      <c r="R1977" s="22"/>
      <c r="S1977" s="22"/>
      <c r="T1977" s="20"/>
      <c r="U1977" s="26"/>
      <c r="V1977" s="26"/>
      <c r="W1977" s="20"/>
      <c r="X1977" s="20"/>
      <c r="Y1977" s="20"/>
      <c r="Z1977" s="20"/>
      <c r="AA1977" s="20"/>
      <c r="AB1977" s="20"/>
      <c r="AC1977" s="20"/>
      <c r="AD1977" s="20"/>
      <c r="AE1977" s="20"/>
    </row>
    <row r="1978">
      <c r="A1978" s="21">
        <v>54.0</v>
      </c>
      <c r="B1978" s="20" t="s">
        <v>2236</v>
      </c>
      <c r="C1978" s="20" t="s">
        <v>4825</v>
      </c>
      <c r="I1978" s="25" t="s">
        <v>1420</v>
      </c>
      <c r="J1978" s="25" t="s">
        <v>4321</v>
      </c>
      <c r="K1978" s="25" t="s">
        <v>71</v>
      </c>
      <c r="L1978" s="25" t="s">
        <v>4992</v>
      </c>
      <c r="M1978" s="20" t="s">
        <v>4329</v>
      </c>
      <c r="N1978" s="20" t="s">
        <v>4330</v>
      </c>
      <c r="O1978" s="20" t="s">
        <v>63</v>
      </c>
      <c r="P1978" s="20"/>
      <c r="Q1978" s="22"/>
      <c r="R1978" s="22"/>
      <c r="S1978" s="22"/>
      <c r="T1978" s="20"/>
      <c r="U1978" s="26"/>
      <c r="V1978" s="26"/>
      <c r="W1978" s="20"/>
      <c r="X1978" s="20"/>
      <c r="Y1978" s="20"/>
      <c r="Z1978" s="20"/>
      <c r="AA1978" s="20"/>
      <c r="AB1978" s="20"/>
      <c r="AC1978" s="20"/>
      <c r="AD1978" s="20"/>
      <c r="AE1978" s="20"/>
    </row>
    <row r="1979">
      <c r="A1979" s="21">
        <v>54.0</v>
      </c>
      <c r="B1979" s="20" t="s">
        <v>2236</v>
      </c>
      <c r="C1979" s="20" t="s">
        <v>4825</v>
      </c>
      <c r="I1979" s="25" t="s">
        <v>2340</v>
      </c>
      <c r="J1979" s="25" t="s">
        <v>4324</v>
      </c>
      <c r="K1979" s="25" t="s">
        <v>71</v>
      </c>
      <c r="L1979" s="25" t="s">
        <v>4992</v>
      </c>
      <c r="M1979" s="20" t="s">
        <v>2342</v>
      </c>
      <c r="N1979" s="20" t="s">
        <v>2343</v>
      </c>
      <c r="O1979" s="20" t="s">
        <v>63</v>
      </c>
      <c r="P1979" s="20"/>
      <c r="Q1979" s="22"/>
      <c r="R1979" s="22"/>
      <c r="S1979" s="22"/>
      <c r="T1979" s="20"/>
      <c r="U1979" s="26"/>
      <c r="V1979" s="26"/>
      <c r="W1979" s="20"/>
      <c r="X1979" s="20"/>
      <c r="Y1979" s="20"/>
      <c r="Z1979" s="20"/>
      <c r="AA1979" s="20"/>
      <c r="AB1979" s="20"/>
      <c r="AC1979" s="20"/>
      <c r="AD1979" s="20"/>
      <c r="AE1979" s="20"/>
    </row>
    <row r="1980">
      <c r="A1980" s="21">
        <v>54.0</v>
      </c>
      <c r="B1980" s="20" t="s">
        <v>2236</v>
      </c>
      <c r="C1980" s="20" t="s">
        <v>4825</v>
      </c>
      <c r="I1980" s="25" t="s">
        <v>2417</v>
      </c>
      <c r="J1980" s="25" t="s">
        <v>4321</v>
      </c>
      <c r="K1980" s="25" t="s">
        <v>71</v>
      </c>
      <c r="L1980" s="25" t="s">
        <v>292</v>
      </c>
      <c r="M1980" s="20" t="s">
        <v>3193</v>
      </c>
      <c r="N1980" s="20" t="s">
        <v>4331</v>
      </c>
      <c r="O1980" s="20" t="s">
        <v>63</v>
      </c>
      <c r="P1980" s="20" t="s">
        <v>52</v>
      </c>
      <c r="Q1980" s="22"/>
      <c r="R1980" s="22"/>
      <c r="S1980" s="22"/>
      <c r="T1980" s="22"/>
      <c r="U1980" s="26"/>
      <c r="V1980" s="26"/>
      <c r="W1980" s="20"/>
      <c r="X1980" s="20"/>
      <c r="Y1980" s="20"/>
      <c r="Z1980" s="20"/>
      <c r="AA1980" s="20"/>
      <c r="AB1980" s="20"/>
      <c r="AC1980" s="20"/>
      <c r="AD1980" s="20"/>
      <c r="AE1980" s="20"/>
    </row>
    <row r="1981">
      <c r="A1981" s="21">
        <v>54.0</v>
      </c>
      <c r="B1981" s="20" t="s">
        <v>2236</v>
      </c>
      <c r="C1981" s="20" t="s">
        <v>4825</v>
      </c>
      <c r="I1981" s="25" t="s">
        <v>2953</v>
      </c>
      <c r="J1981" s="25" t="s">
        <v>4324</v>
      </c>
      <c r="K1981" s="25" t="s">
        <v>71</v>
      </c>
      <c r="L1981" s="25" t="s">
        <v>4998</v>
      </c>
      <c r="M1981" s="20" t="s">
        <v>4344</v>
      </c>
      <c r="N1981" s="20" t="s">
        <v>4345</v>
      </c>
      <c r="O1981" s="20" t="s">
        <v>63</v>
      </c>
      <c r="P1981" s="20"/>
      <c r="Q1981" s="22"/>
      <c r="R1981" s="22"/>
      <c r="S1981" s="22"/>
      <c r="T1981" s="20"/>
      <c r="U1981" s="26"/>
      <c r="V1981" s="26"/>
      <c r="W1981" s="20"/>
      <c r="X1981" s="20"/>
      <c r="Y1981" s="20"/>
      <c r="Z1981" s="20"/>
      <c r="AA1981" s="20"/>
      <c r="AB1981" s="20"/>
      <c r="AC1981" s="20"/>
      <c r="AD1981" s="20"/>
      <c r="AE1981" s="20"/>
    </row>
    <row r="1982">
      <c r="A1982" s="21">
        <v>54.0</v>
      </c>
      <c r="B1982" s="20" t="s">
        <v>2236</v>
      </c>
      <c r="C1982" s="20" t="s">
        <v>4825</v>
      </c>
      <c r="I1982" s="25" t="s">
        <v>1643</v>
      </c>
      <c r="J1982" s="25" t="s">
        <v>4321</v>
      </c>
      <c r="K1982" s="25" t="s">
        <v>71</v>
      </c>
      <c r="L1982" s="25" t="s">
        <v>226</v>
      </c>
      <c r="M1982" s="20" t="s">
        <v>4225</v>
      </c>
      <c r="N1982" s="20" t="s">
        <v>4332</v>
      </c>
      <c r="O1982" s="20" t="s">
        <v>63</v>
      </c>
      <c r="P1982" s="20" t="s">
        <v>52</v>
      </c>
      <c r="Q1982" s="22"/>
      <c r="R1982" s="22"/>
      <c r="S1982" s="22"/>
      <c r="T1982" s="22"/>
      <c r="U1982" s="26"/>
      <c r="V1982" s="26"/>
      <c r="W1982" s="20"/>
      <c r="X1982" s="20"/>
      <c r="Y1982" s="20"/>
      <c r="Z1982" s="20"/>
      <c r="AA1982" s="20"/>
      <c r="AB1982" s="20"/>
      <c r="AC1982" s="20"/>
      <c r="AD1982" s="20"/>
      <c r="AE1982" s="20"/>
    </row>
    <row r="1983">
      <c r="A1983" s="21">
        <v>54.0</v>
      </c>
      <c r="B1983" s="20" t="s">
        <v>2236</v>
      </c>
      <c r="C1983" s="20" t="s">
        <v>4825</v>
      </c>
      <c r="I1983" s="25" t="s">
        <v>2322</v>
      </c>
      <c r="J1983" s="25" t="s">
        <v>4324</v>
      </c>
      <c r="K1983" s="25" t="s">
        <v>71</v>
      </c>
      <c r="L1983" s="25" t="s">
        <v>4992</v>
      </c>
      <c r="M1983" s="20" t="s">
        <v>4346</v>
      </c>
      <c r="N1983" s="20" t="s">
        <v>4347</v>
      </c>
      <c r="O1983" s="20" t="s">
        <v>63</v>
      </c>
      <c r="P1983" s="20"/>
      <c r="Q1983" s="22"/>
      <c r="R1983" s="22"/>
      <c r="S1983" s="22"/>
      <c r="T1983" s="20"/>
      <c r="U1983" s="26"/>
      <c r="V1983" s="26"/>
      <c r="W1983" s="20"/>
      <c r="X1983" s="20"/>
      <c r="Y1983" s="20"/>
      <c r="Z1983" s="20"/>
      <c r="AA1983" s="20"/>
      <c r="AB1983" s="20"/>
      <c r="AC1983" s="20"/>
      <c r="AD1983" s="20"/>
      <c r="AE1983" s="20"/>
    </row>
    <row r="1984">
      <c r="A1984" s="21">
        <v>54.0</v>
      </c>
      <c r="B1984" s="20" t="s">
        <v>2236</v>
      </c>
      <c r="C1984" s="20" t="s">
        <v>4825</v>
      </c>
      <c r="I1984" s="25" t="s">
        <v>4348</v>
      </c>
      <c r="J1984" s="25" t="s">
        <v>4324</v>
      </c>
      <c r="K1984" s="25" t="s">
        <v>71</v>
      </c>
      <c r="L1984" s="25" t="s">
        <v>4992</v>
      </c>
      <c r="M1984" s="20" t="s">
        <v>4349</v>
      </c>
      <c r="N1984" s="20" t="s">
        <v>4350</v>
      </c>
      <c r="O1984" s="20" t="s">
        <v>63</v>
      </c>
      <c r="P1984" s="20"/>
      <c r="Q1984" s="22"/>
      <c r="R1984" s="22"/>
      <c r="S1984" s="22"/>
      <c r="T1984" s="20"/>
      <c r="U1984" s="26"/>
      <c r="V1984" s="26"/>
      <c r="W1984" s="20"/>
      <c r="X1984" s="20"/>
      <c r="Y1984" s="20"/>
      <c r="Z1984" s="20"/>
      <c r="AA1984" s="20"/>
      <c r="AB1984" s="20"/>
      <c r="AC1984" s="20"/>
      <c r="AD1984" s="20"/>
      <c r="AE1984" s="20"/>
    </row>
    <row r="1985">
      <c r="A1985" s="21">
        <v>54.0</v>
      </c>
      <c r="B1985" s="20" t="s">
        <v>2236</v>
      </c>
      <c r="C1985" s="20" t="s">
        <v>4825</v>
      </c>
      <c r="I1985" s="25" t="s">
        <v>2344</v>
      </c>
      <c r="J1985" s="25" t="s">
        <v>4324</v>
      </c>
      <c r="K1985" s="25" t="s">
        <v>71</v>
      </c>
      <c r="L1985" s="25" t="s">
        <v>4992</v>
      </c>
      <c r="M1985" s="20" t="s">
        <v>2345</v>
      </c>
      <c r="N1985" s="20" t="s">
        <v>4352</v>
      </c>
      <c r="O1985" s="20" t="s">
        <v>63</v>
      </c>
      <c r="P1985" s="20"/>
      <c r="Q1985" s="22"/>
      <c r="R1985" s="22"/>
      <c r="S1985" s="22"/>
      <c r="T1985" s="20"/>
      <c r="U1985" s="26"/>
      <c r="V1985" s="26"/>
      <c r="W1985" s="20"/>
      <c r="X1985" s="20"/>
      <c r="Y1985" s="20"/>
      <c r="Z1985" s="20"/>
      <c r="AA1985" s="20"/>
      <c r="AB1985" s="20"/>
      <c r="AC1985" s="20"/>
      <c r="AD1985" s="20"/>
      <c r="AE1985" s="20"/>
    </row>
    <row r="1986">
      <c r="A1986" s="21">
        <v>54.0</v>
      </c>
      <c r="B1986" s="20" t="s">
        <v>2236</v>
      </c>
      <c r="C1986" s="20" t="s">
        <v>4825</v>
      </c>
      <c r="I1986" s="25" t="s">
        <v>2328</v>
      </c>
      <c r="J1986" s="25" t="s">
        <v>4321</v>
      </c>
      <c r="K1986" s="25" t="s">
        <v>71</v>
      </c>
      <c r="L1986" s="25" t="s">
        <v>4992</v>
      </c>
      <c r="M1986" s="20" t="s">
        <v>4333</v>
      </c>
      <c r="N1986" s="20" t="s">
        <v>4334</v>
      </c>
      <c r="O1986" s="20" t="s">
        <v>63</v>
      </c>
      <c r="P1986" s="20"/>
      <c r="Q1986" s="22"/>
      <c r="R1986" s="22"/>
      <c r="S1986" s="22"/>
      <c r="T1986" s="20"/>
      <c r="U1986" s="26"/>
      <c r="V1986" s="26"/>
      <c r="W1986" s="20"/>
      <c r="X1986" s="20"/>
      <c r="Y1986" s="20"/>
      <c r="Z1986" s="20"/>
      <c r="AA1986" s="20"/>
      <c r="AB1986" s="20"/>
      <c r="AC1986" s="20"/>
      <c r="AD1986" s="20"/>
      <c r="AE1986" s="20"/>
    </row>
    <row r="1987">
      <c r="A1987" s="21">
        <v>54.0</v>
      </c>
      <c r="B1987" s="20" t="s">
        <v>2236</v>
      </c>
      <c r="C1987" s="20" t="s">
        <v>4825</v>
      </c>
      <c r="I1987" s="25" t="s">
        <v>1278</v>
      </c>
      <c r="J1987" s="25" t="s">
        <v>4321</v>
      </c>
      <c r="K1987" s="25" t="s">
        <v>71</v>
      </c>
      <c r="L1987" s="25" t="s">
        <v>226</v>
      </c>
      <c r="M1987" s="20" t="s">
        <v>4335</v>
      </c>
      <c r="N1987" s="20" t="s">
        <v>4336</v>
      </c>
      <c r="O1987" s="20" t="s">
        <v>63</v>
      </c>
      <c r="P1987" s="20" t="s">
        <v>52</v>
      </c>
      <c r="Q1987" s="22"/>
      <c r="R1987" s="22"/>
      <c r="S1987" s="22"/>
      <c r="T1987" s="22"/>
      <c r="U1987" s="26"/>
      <c r="V1987" s="26"/>
      <c r="W1987" s="20"/>
      <c r="X1987" s="20"/>
      <c r="Y1987" s="20"/>
      <c r="Z1987" s="20"/>
      <c r="AA1987" s="20"/>
      <c r="AB1987" s="20"/>
      <c r="AC1987" s="20"/>
      <c r="AD1987" s="20"/>
      <c r="AE1987" s="20"/>
    </row>
    <row r="1988">
      <c r="A1988" s="21">
        <v>54.0</v>
      </c>
      <c r="B1988" s="20" t="s">
        <v>2236</v>
      </c>
      <c r="C1988" s="20" t="s">
        <v>4825</v>
      </c>
      <c r="I1988" s="25" t="s">
        <v>2347</v>
      </c>
      <c r="J1988" s="25" t="s">
        <v>4324</v>
      </c>
      <c r="K1988" s="25" t="s">
        <v>71</v>
      </c>
      <c r="L1988" s="25" t="s">
        <v>4992</v>
      </c>
      <c r="M1988" s="20" t="s">
        <v>4353</v>
      </c>
      <c r="N1988" s="20" t="s">
        <v>4354</v>
      </c>
      <c r="O1988" s="20" t="s">
        <v>63</v>
      </c>
      <c r="P1988" s="20"/>
      <c r="Q1988" s="22"/>
      <c r="R1988" s="22"/>
      <c r="S1988" s="22"/>
      <c r="T1988" s="20"/>
      <c r="U1988" s="26"/>
      <c r="V1988" s="26"/>
      <c r="W1988" s="20"/>
      <c r="X1988" s="20"/>
      <c r="Y1988" s="20"/>
      <c r="Z1988" s="20"/>
      <c r="AA1988" s="20"/>
      <c r="AB1988" s="20"/>
      <c r="AC1988" s="20"/>
      <c r="AD1988" s="20"/>
      <c r="AE1988" s="20"/>
    </row>
    <row r="1989">
      <c r="A1989" s="21">
        <v>54.0</v>
      </c>
      <c r="B1989" s="20" t="s">
        <v>2236</v>
      </c>
      <c r="C1989" s="20" t="s">
        <v>4825</v>
      </c>
      <c r="I1989" s="25" t="s">
        <v>1431</v>
      </c>
      <c r="J1989" s="25" t="s">
        <v>4324</v>
      </c>
      <c r="K1989" s="25" t="s">
        <v>71</v>
      </c>
      <c r="L1989" s="25" t="s">
        <v>4992</v>
      </c>
      <c r="M1989" s="20" t="s">
        <v>61</v>
      </c>
      <c r="N1989" s="20" t="s">
        <v>4356</v>
      </c>
      <c r="O1989" s="20" t="s">
        <v>63</v>
      </c>
      <c r="P1989" s="20"/>
      <c r="Q1989" s="22"/>
      <c r="R1989" s="22"/>
      <c r="S1989" s="22"/>
      <c r="T1989" s="20"/>
      <c r="U1989" s="26"/>
      <c r="V1989" s="26"/>
      <c r="W1989" s="20"/>
      <c r="X1989" s="20"/>
      <c r="Y1989" s="20"/>
      <c r="Z1989" s="20"/>
      <c r="AA1989" s="20"/>
      <c r="AB1989" s="20"/>
      <c r="AC1989" s="20"/>
      <c r="AD1989" s="20"/>
      <c r="AE1989" s="20"/>
    </row>
    <row r="1990">
      <c r="A1990" s="21">
        <v>54.0</v>
      </c>
      <c r="B1990" s="20" t="s">
        <v>2236</v>
      </c>
      <c r="C1990" s="20" t="s">
        <v>4825</v>
      </c>
      <c r="I1990" s="25" t="s">
        <v>2351</v>
      </c>
      <c r="J1990" s="25" t="s">
        <v>4324</v>
      </c>
      <c r="K1990" s="25" t="s">
        <v>71</v>
      </c>
      <c r="L1990" s="25" t="s">
        <v>4992</v>
      </c>
      <c r="M1990" s="20" t="s">
        <v>2352</v>
      </c>
      <c r="N1990" s="20" t="s">
        <v>4357</v>
      </c>
      <c r="O1990" s="20" t="s">
        <v>63</v>
      </c>
      <c r="P1990" s="20"/>
      <c r="Q1990" s="22"/>
      <c r="R1990" s="22"/>
      <c r="S1990" s="22"/>
      <c r="T1990" s="20"/>
      <c r="U1990" s="26"/>
      <c r="V1990" s="26"/>
      <c r="W1990" s="20"/>
      <c r="X1990" s="20"/>
      <c r="Y1990" s="20"/>
      <c r="Z1990" s="20"/>
      <c r="AA1990" s="20"/>
      <c r="AB1990" s="20"/>
      <c r="AC1990" s="20"/>
      <c r="AD1990" s="20"/>
      <c r="AE1990" s="20"/>
    </row>
    <row r="1991">
      <c r="A1991" s="21">
        <v>54.0</v>
      </c>
      <c r="B1991" s="20" t="s">
        <v>2236</v>
      </c>
      <c r="C1991" s="20" t="s">
        <v>4825</v>
      </c>
      <c r="I1991" s="25" t="s">
        <v>4358</v>
      </c>
      <c r="J1991" s="25" t="s">
        <v>4324</v>
      </c>
      <c r="K1991" s="25" t="s">
        <v>71</v>
      </c>
      <c r="L1991" s="25" t="s">
        <v>4992</v>
      </c>
      <c r="M1991" s="20" t="s">
        <v>4359</v>
      </c>
      <c r="N1991" s="20" t="s">
        <v>4360</v>
      </c>
      <c r="O1991" s="20" t="s">
        <v>63</v>
      </c>
      <c r="P1991" s="20"/>
      <c r="Q1991" s="22"/>
      <c r="R1991" s="22"/>
      <c r="S1991" s="22"/>
      <c r="T1991" s="20"/>
      <c r="U1991" s="26"/>
      <c r="V1991" s="26"/>
      <c r="W1991" s="20"/>
      <c r="X1991" s="20"/>
      <c r="Y1991" s="20"/>
      <c r="Z1991" s="20"/>
      <c r="AA1991" s="20"/>
      <c r="AB1991" s="20"/>
      <c r="AC1991" s="20"/>
      <c r="AD1991" s="20"/>
      <c r="AE1991" s="20"/>
    </row>
    <row r="1992">
      <c r="A1992" s="21">
        <v>54.0</v>
      </c>
      <c r="B1992" s="20" t="s">
        <v>2236</v>
      </c>
      <c r="C1992" s="20" t="s">
        <v>4825</v>
      </c>
      <c r="I1992" s="25" t="s">
        <v>1966</v>
      </c>
      <c r="J1992" s="25" t="s">
        <v>4321</v>
      </c>
      <c r="K1992" s="25" t="s">
        <v>71</v>
      </c>
      <c r="L1992" s="25" t="s">
        <v>4992</v>
      </c>
      <c r="M1992" s="20" t="s">
        <v>3017</v>
      </c>
      <c r="N1992" s="20" t="s">
        <v>4337</v>
      </c>
      <c r="O1992" s="20" t="s">
        <v>63</v>
      </c>
      <c r="P1992" s="20"/>
      <c r="Q1992" s="22"/>
      <c r="R1992" s="22"/>
      <c r="S1992" s="22"/>
      <c r="T1992" s="26"/>
      <c r="U1992" s="26"/>
      <c r="V1992" s="26"/>
      <c r="W1992" s="20"/>
      <c r="X1992" s="20"/>
      <c r="Y1992" s="20"/>
      <c r="Z1992" s="20"/>
      <c r="AA1992" s="20"/>
      <c r="AB1992" s="20"/>
      <c r="AC1992" s="20"/>
      <c r="AD1992" s="20"/>
      <c r="AE1992" s="20"/>
    </row>
    <row r="1993">
      <c r="A1993" s="21">
        <v>54.0</v>
      </c>
      <c r="B1993" s="20" t="s">
        <v>2236</v>
      </c>
      <c r="C1993" s="20" t="s">
        <v>4825</v>
      </c>
      <c r="I1993" s="25" t="s">
        <v>1262</v>
      </c>
      <c r="J1993" s="25" t="s">
        <v>4324</v>
      </c>
      <c r="K1993" s="25" t="s">
        <v>71</v>
      </c>
      <c r="L1993" s="25" t="s">
        <v>4992</v>
      </c>
      <c r="M1993" s="20" t="s">
        <v>4361</v>
      </c>
      <c r="N1993" s="20" t="s">
        <v>4363</v>
      </c>
      <c r="O1993" s="20" t="s">
        <v>63</v>
      </c>
      <c r="P1993" s="20"/>
      <c r="Q1993" s="22"/>
      <c r="R1993" s="22"/>
      <c r="S1993" s="22"/>
      <c r="T1993" s="26"/>
      <c r="U1993" s="26"/>
      <c r="V1993" s="26"/>
      <c r="W1993" s="20"/>
      <c r="X1993" s="20"/>
      <c r="Y1993" s="20"/>
      <c r="Z1993" s="20"/>
      <c r="AA1993" s="20"/>
      <c r="AB1993" s="20"/>
      <c r="AC1993" s="20"/>
      <c r="AD1993" s="20"/>
      <c r="AE1993" s="20"/>
    </row>
    <row r="1994">
      <c r="A1994" s="21">
        <v>54.0</v>
      </c>
      <c r="B1994" s="20" t="s">
        <v>2236</v>
      </c>
      <c r="C1994" s="20" t="s">
        <v>4825</v>
      </c>
      <c r="I1994" s="25" t="s">
        <v>1972</v>
      </c>
      <c r="J1994" s="25" t="s">
        <v>4321</v>
      </c>
      <c r="K1994" s="25" t="s">
        <v>71</v>
      </c>
      <c r="L1994" s="25" t="s">
        <v>4992</v>
      </c>
      <c r="M1994" s="20" t="s">
        <v>3039</v>
      </c>
      <c r="N1994" s="20" t="s">
        <v>3745</v>
      </c>
      <c r="O1994" s="20" t="s">
        <v>63</v>
      </c>
      <c r="P1994" s="20"/>
      <c r="Q1994" s="22"/>
      <c r="R1994" s="22"/>
      <c r="S1994" s="22"/>
      <c r="T1994" s="26"/>
      <c r="U1994" s="26"/>
      <c r="V1994" s="26"/>
      <c r="W1994" s="20"/>
      <c r="X1994" s="20"/>
      <c r="Y1994" s="20"/>
      <c r="Z1994" s="20"/>
      <c r="AA1994" s="20"/>
      <c r="AB1994" s="20"/>
      <c r="AC1994" s="20"/>
      <c r="AD1994" s="20"/>
      <c r="AE1994" s="20"/>
    </row>
    <row r="1995">
      <c r="A1995" s="21">
        <v>54.0</v>
      </c>
      <c r="B1995" s="20" t="s">
        <v>2236</v>
      </c>
      <c r="C1995" s="20" t="s">
        <v>4825</v>
      </c>
      <c r="I1995" s="25" t="s">
        <v>1563</v>
      </c>
      <c r="J1995" s="25" t="s">
        <v>4321</v>
      </c>
      <c r="K1995" s="25" t="s">
        <v>71</v>
      </c>
      <c r="L1995" s="25" t="s">
        <v>4992</v>
      </c>
      <c r="M1995" s="20" t="s">
        <v>1565</v>
      </c>
      <c r="N1995" s="20" t="s">
        <v>1746</v>
      </c>
      <c r="O1995" s="20" t="s">
        <v>63</v>
      </c>
      <c r="P1995" s="20"/>
      <c r="Q1995" s="22"/>
      <c r="R1995" s="22"/>
      <c r="S1995" s="22"/>
      <c r="T1995" s="26"/>
      <c r="U1995" s="26"/>
      <c r="V1995" s="26"/>
      <c r="W1995" s="20"/>
      <c r="X1995" s="20"/>
      <c r="Y1995" s="20"/>
      <c r="Z1995" s="20"/>
      <c r="AA1995" s="20"/>
      <c r="AB1995" s="20"/>
      <c r="AC1995" s="20"/>
      <c r="AD1995" s="20"/>
      <c r="AE1995" s="20"/>
    </row>
    <row r="1996">
      <c r="A1996" s="21">
        <v>54.0</v>
      </c>
      <c r="B1996" s="20" t="s">
        <v>2236</v>
      </c>
      <c r="C1996" s="20" t="s">
        <v>4825</v>
      </c>
      <c r="I1996" s="25" t="s">
        <v>1764</v>
      </c>
      <c r="J1996" s="25" t="s">
        <v>4324</v>
      </c>
      <c r="K1996" s="25" t="s">
        <v>71</v>
      </c>
      <c r="L1996" s="25" t="s">
        <v>4992</v>
      </c>
      <c r="M1996" s="20" t="s">
        <v>4365</v>
      </c>
      <c r="N1996" s="20" t="s">
        <v>4366</v>
      </c>
      <c r="O1996" s="20" t="s">
        <v>63</v>
      </c>
      <c r="P1996" s="20"/>
      <c r="Q1996" s="22"/>
      <c r="R1996" s="22"/>
      <c r="S1996" s="22"/>
      <c r="T1996" s="26"/>
      <c r="U1996" s="26"/>
      <c r="V1996" s="26"/>
      <c r="W1996" s="20"/>
      <c r="X1996" s="20"/>
      <c r="Y1996" s="20"/>
      <c r="Z1996" s="20"/>
      <c r="AA1996" s="20"/>
      <c r="AB1996" s="20"/>
      <c r="AC1996" s="20"/>
      <c r="AD1996" s="20"/>
      <c r="AE1996" s="20"/>
    </row>
    <row r="1997">
      <c r="A1997" s="21">
        <v>54.0</v>
      </c>
      <c r="B1997" s="20" t="s">
        <v>2236</v>
      </c>
      <c r="C1997" s="20" t="s">
        <v>4825</v>
      </c>
      <c r="I1997" s="25" t="s">
        <v>3843</v>
      </c>
      <c r="J1997" s="25" t="s">
        <v>4321</v>
      </c>
      <c r="K1997" s="25" t="s">
        <v>71</v>
      </c>
      <c r="L1997" s="25" t="s">
        <v>4998</v>
      </c>
      <c r="M1997" s="20" t="s">
        <v>4338</v>
      </c>
      <c r="N1997" s="20" t="s">
        <v>4339</v>
      </c>
      <c r="O1997" s="20" t="s">
        <v>63</v>
      </c>
      <c r="P1997" s="20"/>
      <c r="Q1997" s="22"/>
      <c r="R1997" s="22"/>
      <c r="S1997" s="22"/>
      <c r="T1997" s="26"/>
      <c r="U1997" s="26"/>
      <c r="V1997" s="26"/>
      <c r="W1997" s="20"/>
      <c r="X1997" s="20"/>
      <c r="Y1997" s="20"/>
      <c r="Z1997" s="20"/>
      <c r="AA1997" s="20"/>
      <c r="AB1997" s="20"/>
      <c r="AC1997" s="20"/>
      <c r="AD1997" s="20"/>
      <c r="AE1997" s="20"/>
    </row>
    <row r="1998">
      <c r="A1998" s="21">
        <v>54.0</v>
      </c>
      <c r="B1998" s="20" t="s">
        <v>2236</v>
      </c>
      <c r="C1998" s="20" t="s">
        <v>4825</v>
      </c>
      <c r="I1998" s="25" t="s">
        <v>706</v>
      </c>
      <c r="J1998" s="25" t="s">
        <v>4321</v>
      </c>
      <c r="K1998" s="25" t="s">
        <v>71</v>
      </c>
      <c r="L1998" s="25" t="s">
        <v>5009</v>
      </c>
      <c r="M1998" s="20" t="s">
        <v>4340</v>
      </c>
      <c r="N1998" s="20" t="s">
        <v>4341</v>
      </c>
      <c r="O1998" s="20" t="s">
        <v>63</v>
      </c>
      <c r="P1998" s="20" t="s">
        <v>52</v>
      </c>
      <c r="Q1998" s="22"/>
      <c r="R1998" s="22"/>
      <c r="S1998" s="22"/>
      <c r="T1998" s="26"/>
      <c r="U1998" s="26"/>
      <c r="V1998" s="26"/>
      <c r="W1998" s="20"/>
      <c r="X1998" s="20"/>
      <c r="Y1998" s="20"/>
      <c r="Z1998" s="20"/>
      <c r="AA1998" s="20"/>
      <c r="AB1998" s="20"/>
      <c r="AC1998" s="20"/>
      <c r="AD1998" s="20"/>
      <c r="AE1998" s="20"/>
    </row>
    <row r="1999">
      <c r="A1999" s="21">
        <v>54.0</v>
      </c>
      <c r="B1999" s="20" t="s">
        <v>2236</v>
      </c>
      <c r="C1999" s="20" t="s">
        <v>4825</v>
      </c>
      <c r="I1999" s="25" t="s">
        <v>1769</v>
      </c>
      <c r="J1999" s="25" t="s">
        <v>4321</v>
      </c>
      <c r="K1999" s="25" t="s">
        <v>71</v>
      </c>
      <c r="L1999" s="25" t="s">
        <v>5010</v>
      </c>
      <c r="M1999" s="20" t="s">
        <v>4342</v>
      </c>
      <c r="N1999" s="20" t="s">
        <v>4343</v>
      </c>
      <c r="O1999" s="20" t="s">
        <v>63</v>
      </c>
      <c r="P1999" s="20" t="s">
        <v>52</v>
      </c>
      <c r="Q1999" s="22"/>
      <c r="R1999" s="22"/>
      <c r="S1999" s="22"/>
      <c r="T1999" s="20"/>
      <c r="U1999" s="26"/>
      <c r="V1999" s="26"/>
      <c r="W1999" s="20"/>
      <c r="X1999" s="20"/>
      <c r="Y1999" s="20"/>
      <c r="Z1999" s="20"/>
      <c r="AA1999" s="20"/>
      <c r="AB1999" s="20"/>
      <c r="AC1999" s="20"/>
      <c r="AD1999" s="20"/>
      <c r="AE1999" s="20"/>
    </row>
    <row r="2000">
      <c r="A2000" s="21">
        <v>54.0</v>
      </c>
      <c r="B2000" s="20" t="s">
        <v>2236</v>
      </c>
      <c r="C2000" s="20" t="s">
        <v>4825</v>
      </c>
      <c r="I2000" s="25" t="s">
        <v>717</v>
      </c>
      <c r="J2000" s="25" t="s">
        <v>4324</v>
      </c>
      <c r="K2000" s="25" t="s">
        <v>71</v>
      </c>
      <c r="L2000" s="25" t="s">
        <v>5009</v>
      </c>
      <c r="M2000" s="20" t="s">
        <v>4368</v>
      </c>
      <c r="N2000" s="20" t="s">
        <v>4369</v>
      </c>
      <c r="O2000" s="20" t="s">
        <v>63</v>
      </c>
      <c r="P2000" s="20" t="s">
        <v>52</v>
      </c>
      <c r="Q2000" s="22"/>
      <c r="R2000" s="22"/>
      <c r="S2000" s="22"/>
      <c r="T2000" s="20"/>
      <c r="U2000" s="26"/>
      <c r="V2000" s="26"/>
      <c r="W2000" s="20"/>
      <c r="X2000" s="20"/>
      <c r="Y2000" s="20"/>
      <c r="Z2000" s="20"/>
      <c r="AA2000" s="20"/>
      <c r="AB2000" s="20"/>
      <c r="AC2000" s="20"/>
      <c r="AD2000" s="20"/>
      <c r="AE2000" s="20"/>
    </row>
    <row r="2001">
      <c r="A2001" s="21">
        <v>54.0</v>
      </c>
      <c r="B2001" s="20" t="s">
        <v>2236</v>
      </c>
      <c r="C2001" s="20" t="s">
        <v>4825</v>
      </c>
      <c r="I2001" s="25" t="s">
        <v>1759</v>
      </c>
      <c r="J2001" s="25" t="s">
        <v>4324</v>
      </c>
      <c r="K2001" s="25" t="s">
        <v>71</v>
      </c>
      <c r="L2001" s="25" t="s">
        <v>5012</v>
      </c>
      <c r="M2001" s="20" t="s">
        <v>4371</v>
      </c>
      <c r="N2001" s="20" t="s">
        <v>4372</v>
      </c>
      <c r="O2001" s="20" t="s">
        <v>63</v>
      </c>
      <c r="P2001" s="20" t="s">
        <v>52</v>
      </c>
      <c r="Q2001" s="22"/>
      <c r="R2001" s="22"/>
      <c r="S2001" s="22"/>
      <c r="T2001" s="20"/>
      <c r="U2001" s="26"/>
      <c r="V2001" s="26"/>
      <c r="W2001" s="20"/>
      <c r="X2001" s="20"/>
      <c r="Y2001" s="20"/>
      <c r="Z2001" s="20"/>
      <c r="AA2001" s="20"/>
      <c r="AB2001" s="20"/>
      <c r="AC2001" s="20"/>
      <c r="AD2001" s="20"/>
      <c r="AE2001" s="20"/>
    </row>
    <row r="2002">
      <c r="A2002" s="21">
        <v>55.0</v>
      </c>
      <c r="B2002" s="20" t="s">
        <v>1643</v>
      </c>
      <c r="C2002" s="20" t="s">
        <v>4825</v>
      </c>
      <c r="D2002" s="35">
        <v>30.0</v>
      </c>
      <c r="E2002" s="35">
        <v>3.0</v>
      </c>
      <c r="F2002" s="35">
        <v>3.0</v>
      </c>
      <c r="G2002" s="35">
        <v>24.0</v>
      </c>
      <c r="H2002" s="36" t="s">
        <v>5015</v>
      </c>
      <c r="I2002" s="25" t="s">
        <v>1351</v>
      </c>
      <c r="J2002" s="25" t="s">
        <v>4377</v>
      </c>
      <c r="K2002" s="25" t="s">
        <v>57</v>
      </c>
      <c r="L2002" s="25" t="s">
        <v>5016</v>
      </c>
      <c r="M2002" s="20" t="s">
        <v>61</v>
      </c>
      <c r="N2002" s="20" t="s">
        <v>4379</v>
      </c>
      <c r="O2002" s="20" t="s">
        <v>63</v>
      </c>
      <c r="P2002" s="20"/>
      <c r="Q2002" s="22"/>
      <c r="R2002" s="22"/>
      <c r="S2002" s="22"/>
      <c r="T2002" s="20"/>
      <c r="U2002" s="26"/>
      <c r="V2002" s="26"/>
      <c r="W2002" s="20"/>
      <c r="X2002" s="20"/>
      <c r="Y2002" s="20"/>
      <c r="Z2002" s="20"/>
      <c r="AA2002" s="20"/>
      <c r="AB2002" s="20"/>
      <c r="AC2002" s="20"/>
      <c r="AD2002" s="20"/>
      <c r="AE2002" s="20"/>
    </row>
    <row r="2003">
      <c r="A2003" s="21">
        <v>55.0</v>
      </c>
      <c r="B2003" s="20" t="s">
        <v>1643</v>
      </c>
      <c r="C2003" s="20" t="s">
        <v>4825</v>
      </c>
      <c r="I2003" s="25" t="s">
        <v>727</v>
      </c>
      <c r="J2003" s="25" t="s">
        <v>4373</v>
      </c>
      <c r="K2003" s="25" t="s">
        <v>57</v>
      </c>
      <c r="L2003" s="25" t="s">
        <v>5019</v>
      </c>
      <c r="M2003" s="20" t="s">
        <v>4375</v>
      </c>
      <c r="N2003" s="20" t="s">
        <v>4376</v>
      </c>
      <c r="O2003" s="20" t="s">
        <v>56</v>
      </c>
      <c r="P2003" s="20"/>
      <c r="Q2003" s="22"/>
      <c r="R2003" s="22"/>
      <c r="S2003" s="22"/>
      <c r="T2003" s="20"/>
      <c r="U2003" s="26"/>
      <c r="V2003" s="26"/>
      <c r="W2003" s="20"/>
      <c r="X2003" s="20"/>
      <c r="Y2003" s="20"/>
      <c r="Z2003" s="20"/>
      <c r="AA2003" s="20"/>
      <c r="AB2003" s="20"/>
      <c r="AC2003" s="20"/>
      <c r="AD2003" s="20"/>
      <c r="AE2003" s="20"/>
    </row>
    <row r="2004">
      <c r="A2004" s="21">
        <v>55.0</v>
      </c>
      <c r="B2004" s="20" t="s">
        <v>1643</v>
      </c>
      <c r="C2004" s="20" t="s">
        <v>4825</v>
      </c>
      <c r="I2004" s="25" t="s">
        <v>724</v>
      </c>
      <c r="J2004" s="25" t="s">
        <v>4377</v>
      </c>
      <c r="K2004" s="25" t="s">
        <v>57</v>
      </c>
      <c r="L2004" s="25" t="s">
        <v>5020</v>
      </c>
      <c r="M2004" s="20" t="s">
        <v>1626</v>
      </c>
      <c r="N2004" s="20" t="s">
        <v>4378</v>
      </c>
      <c r="O2004" s="20" t="s">
        <v>56</v>
      </c>
      <c r="P2004" s="20"/>
      <c r="Q2004" s="22"/>
      <c r="R2004" s="22"/>
      <c r="S2004" s="22"/>
      <c r="T2004" s="20"/>
      <c r="U2004" s="26"/>
      <c r="V2004" s="26"/>
      <c r="W2004" s="20"/>
      <c r="X2004" s="20"/>
      <c r="Y2004" s="20"/>
      <c r="Z2004" s="20"/>
      <c r="AA2004" s="20"/>
      <c r="AB2004" s="20"/>
      <c r="AC2004" s="20"/>
      <c r="AD2004" s="20"/>
      <c r="AE2004" s="20"/>
    </row>
    <row r="2005">
      <c r="A2005" s="21">
        <v>55.0</v>
      </c>
      <c r="B2005" s="20" t="s">
        <v>1643</v>
      </c>
      <c r="C2005" s="20" t="s">
        <v>4825</v>
      </c>
      <c r="I2005" s="25" t="s">
        <v>283</v>
      </c>
      <c r="J2005" s="25" t="s">
        <v>4373</v>
      </c>
      <c r="K2005" s="25" t="s">
        <v>67</v>
      </c>
      <c r="L2005" s="25" t="s">
        <v>5022</v>
      </c>
      <c r="M2005" s="20" t="s">
        <v>4380</v>
      </c>
      <c r="N2005" s="20" t="s">
        <v>4381</v>
      </c>
      <c r="O2005" s="20" t="s">
        <v>56</v>
      </c>
      <c r="P2005" s="20"/>
      <c r="Q2005" s="22"/>
      <c r="R2005" s="22"/>
      <c r="S2005" s="22"/>
      <c r="T2005" s="20"/>
      <c r="U2005" s="26"/>
      <c r="V2005" s="26"/>
      <c r="W2005" s="20"/>
      <c r="X2005" s="20"/>
      <c r="Y2005" s="20"/>
      <c r="Z2005" s="20"/>
      <c r="AA2005" s="20"/>
      <c r="AB2005" s="20"/>
      <c r="AC2005" s="20"/>
      <c r="AD2005" s="20"/>
      <c r="AE2005" s="20"/>
    </row>
    <row r="2006">
      <c r="A2006" s="21">
        <v>55.0</v>
      </c>
      <c r="B2006" s="20" t="s">
        <v>1643</v>
      </c>
      <c r="C2006" s="20" t="s">
        <v>4825</v>
      </c>
      <c r="I2006" s="25" t="s">
        <v>289</v>
      </c>
      <c r="J2006" s="25" t="s">
        <v>4373</v>
      </c>
      <c r="K2006" s="25" t="s">
        <v>67</v>
      </c>
      <c r="L2006" s="25" t="s">
        <v>5025</v>
      </c>
      <c r="M2006" s="20" t="s">
        <v>4382</v>
      </c>
      <c r="N2006" s="20" t="s">
        <v>4383</v>
      </c>
      <c r="O2006" s="20" t="s">
        <v>56</v>
      </c>
      <c r="P2006" s="20"/>
      <c r="Q2006" s="22"/>
      <c r="R2006" s="22"/>
      <c r="S2006" s="22"/>
      <c r="T2006" s="20"/>
      <c r="U2006" s="26"/>
      <c r="V2006" s="26"/>
      <c r="W2006" s="20"/>
      <c r="X2006" s="20"/>
      <c r="Y2006" s="20"/>
      <c r="Z2006" s="20"/>
      <c r="AA2006" s="20"/>
      <c r="AB2006" s="20"/>
      <c r="AC2006" s="20"/>
      <c r="AD2006" s="20"/>
      <c r="AE2006" s="20"/>
    </row>
    <row r="2007">
      <c r="A2007" s="21">
        <v>55.0</v>
      </c>
      <c r="B2007" s="20" t="s">
        <v>1643</v>
      </c>
      <c r="C2007" s="20" t="s">
        <v>4825</v>
      </c>
      <c r="I2007" s="25" t="s">
        <v>651</v>
      </c>
      <c r="J2007" s="25" t="s">
        <v>4377</v>
      </c>
      <c r="K2007" s="25" t="s">
        <v>71</v>
      </c>
      <c r="L2007" s="25" t="s">
        <v>4855</v>
      </c>
      <c r="M2007" s="20" t="s">
        <v>4392</v>
      </c>
      <c r="N2007" s="20" t="s">
        <v>4393</v>
      </c>
      <c r="O2007" s="20" t="s">
        <v>56</v>
      </c>
      <c r="P2007" s="20"/>
      <c r="Q2007" s="22"/>
      <c r="R2007" s="22"/>
      <c r="S2007" s="22"/>
      <c r="T2007" s="20"/>
      <c r="U2007" s="26"/>
      <c r="V2007" s="26"/>
      <c r="W2007" s="20"/>
      <c r="X2007" s="20"/>
      <c r="Y2007" s="20"/>
      <c r="Z2007" s="20"/>
      <c r="AA2007" s="20"/>
      <c r="AB2007" s="20"/>
      <c r="AC2007" s="20"/>
      <c r="AD2007" s="20"/>
      <c r="AE2007" s="20"/>
    </row>
    <row r="2008">
      <c r="A2008" s="21">
        <v>55.0</v>
      </c>
      <c r="B2008" s="20" t="s">
        <v>1643</v>
      </c>
      <c r="C2008" s="20" t="s">
        <v>4825</v>
      </c>
      <c r="I2008" s="25" t="s">
        <v>658</v>
      </c>
      <c r="J2008" s="25" t="s">
        <v>4386</v>
      </c>
      <c r="K2008" s="25" t="s">
        <v>71</v>
      </c>
      <c r="L2008" s="25" t="s">
        <v>4855</v>
      </c>
      <c r="M2008" s="20" t="s">
        <v>4096</v>
      </c>
      <c r="N2008" s="20" t="s">
        <v>4387</v>
      </c>
      <c r="O2008" s="20" t="s">
        <v>56</v>
      </c>
      <c r="P2008" s="25" t="s">
        <v>253</v>
      </c>
      <c r="Q2008" s="22"/>
      <c r="R2008" s="22"/>
      <c r="S2008" s="22"/>
      <c r="T2008" s="20"/>
      <c r="U2008" s="26"/>
      <c r="V2008" s="26"/>
      <c r="W2008" s="20"/>
      <c r="X2008" s="20"/>
      <c r="Y2008" s="20"/>
      <c r="Z2008" s="20"/>
      <c r="AA2008" s="20"/>
      <c r="AB2008" s="20"/>
      <c r="AC2008" s="20"/>
      <c r="AD2008" s="20"/>
      <c r="AE2008" s="20"/>
    </row>
    <row r="2009">
      <c r="A2009" s="21">
        <v>55.0</v>
      </c>
      <c r="B2009" s="20" t="s">
        <v>1643</v>
      </c>
      <c r="C2009" s="20" t="s">
        <v>4825</v>
      </c>
      <c r="I2009" s="25" t="s">
        <v>451</v>
      </c>
      <c r="J2009" s="25" t="s">
        <v>4377</v>
      </c>
      <c r="K2009" s="25" t="s">
        <v>71</v>
      </c>
      <c r="L2009" s="25" t="s">
        <v>4855</v>
      </c>
      <c r="M2009" s="20" t="s">
        <v>61</v>
      </c>
      <c r="N2009" s="20" t="s">
        <v>4208</v>
      </c>
      <c r="O2009" s="20" t="s">
        <v>63</v>
      </c>
      <c r="P2009" s="20"/>
      <c r="Q2009" s="22"/>
      <c r="R2009" s="22"/>
      <c r="S2009" s="22"/>
      <c r="T2009" s="26"/>
      <c r="U2009" s="26"/>
      <c r="V2009" s="26"/>
      <c r="W2009" s="20"/>
      <c r="X2009" s="20"/>
      <c r="Y2009" s="20"/>
      <c r="Z2009" s="20"/>
      <c r="AA2009" s="20"/>
      <c r="AB2009" s="20"/>
      <c r="AC2009" s="20"/>
      <c r="AD2009" s="20"/>
      <c r="AE2009" s="20"/>
    </row>
    <row r="2010">
      <c r="A2010" s="21">
        <v>55.0</v>
      </c>
      <c r="B2010" s="20" t="s">
        <v>1643</v>
      </c>
      <c r="C2010" s="20" t="s">
        <v>4825</v>
      </c>
      <c r="I2010" s="25" t="s">
        <v>738</v>
      </c>
      <c r="J2010" s="25" t="s">
        <v>4373</v>
      </c>
      <c r="K2010" s="25" t="s">
        <v>71</v>
      </c>
      <c r="L2010" s="25" t="s">
        <v>4855</v>
      </c>
      <c r="M2010" s="20" t="s">
        <v>4094</v>
      </c>
      <c r="N2010" s="20" t="s">
        <v>4387</v>
      </c>
      <c r="O2010" s="20" t="s">
        <v>56</v>
      </c>
      <c r="P2010" s="20"/>
      <c r="Q2010" s="22"/>
      <c r="R2010" s="22"/>
      <c r="S2010" s="22"/>
      <c r="T2010" s="20"/>
      <c r="U2010" s="26"/>
      <c r="V2010" s="26"/>
      <c r="W2010" s="20"/>
      <c r="X2010" s="20"/>
      <c r="Y2010" s="20"/>
      <c r="Z2010" s="20"/>
      <c r="AA2010" s="20"/>
      <c r="AB2010" s="20"/>
      <c r="AC2010" s="20"/>
      <c r="AD2010" s="20"/>
      <c r="AE2010" s="20"/>
    </row>
    <row r="2011">
      <c r="A2011" s="21">
        <v>55.0</v>
      </c>
      <c r="B2011" s="20" t="s">
        <v>1643</v>
      </c>
      <c r="C2011" s="20" t="s">
        <v>4825</v>
      </c>
      <c r="I2011" s="25" t="s">
        <v>660</v>
      </c>
      <c r="J2011" s="25" t="s">
        <v>4373</v>
      </c>
      <c r="K2011" s="25" t="s">
        <v>71</v>
      </c>
      <c r="L2011" s="25" t="s">
        <v>4855</v>
      </c>
      <c r="M2011" s="20" t="s">
        <v>4401</v>
      </c>
      <c r="N2011" s="20" t="s">
        <v>4402</v>
      </c>
      <c r="O2011" s="20" t="s">
        <v>63</v>
      </c>
      <c r="P2011" s="20"/>
      <c r="Q2011" s="22"/>
      <c r="R2011" s="22"/>
      <c r="S2011" s="22"/>
      <c r="T2011" s="20"/>
      <c r="U2011" s="26"/>
      <c r="V2011" s="26"/>
      <c r="W2011" s="20"/>
      <c r="X2011" s="20"/>
      <c r="Y2011" s="20"/>
      <c r="Z2011" s="20"/>
      <c r="AA2011" s="20"/>
      <c r="AB2011" s="20"/>
      <c r="AC2011" s="20"/>
      <c r="AD2011" s="20"/>
      <c r="AE2011" s="20"/>
    </row>
    <row r="2012">
      <c r="A2012" s="21">
        <v>55.0</v>
      </c>
      <c r="B2012" s="20" t="s">
        <v>1643</v>
      </c>
      <c r="C2012" s="20" t="s">
        <v>4825</v>
      </c>
      <c r="I2012" s="25" t="s">
        <v>672</v>
      </c>
      <c r="J2012" s="25" t="s">
        <v>4373</v>
      </c>
      <c r="K2012" s="25" t="s">
        <v>71</v>
      </c>
      <c r="L2012" s="25" t="s">
        <v>4855</v>
      </c>
      <c r="M2012" s="20" t="s">
        <v>843</v>
      </c>
      <c r="N2012" s="20" t="s">
        <v>4403</v>
      </c>
      <c r="O2012" s="20" t="s">
        <v>63</v>
      </c>
      <c r="P2012" s="20"/>
      <c r="Q2012" s="22"/>
      <c r="R2012" s="22"/>
      <c r="S2012" s="22"/>
      <c r="T2012" s="20"/>
      <c r="U2012" s="26"/>
      <c r="V2012" s="26"/>
      <c r="W2012" s="20"/>
      <c r="X2012" s="20"/>
      <c r="Y2012" s="20"/>
      <c r="Z2012" s="20"/>
      <c r="AA2012" s="20"/>
      <c r="AB2012" s="20"/>
      <c r="AC2012" s="20"/>
      <c r="AD2012" s="20"/>
      <c r="AE2012" s="20"/>
    </row>
    <row r="2013">
      <c r="A2013" s="21">
        <v>55.0</v>
      </c>
      <c r="B2013" s="20" t="s">
        <v>1643</v>
      </c>
      <c r="C2013" s="20" t="s">
        <v>4825</v>
      </c>
      <c r="I2013" s="25" t="s">
        <v>457</v>
      </c>
      <c r="J2013" s="25" t="s">
        <v>4377</v>
      </c>
      <c r="K2013" s="25" t="s">
        <v>71</v>
      </c>
      <c r="L2013" s="25" t="s">
        <v>4855</v>
      </c>
      <c r="M2013" s="20" t="s">
        <v>4408</v>
      </c>
      <c r="N2013" s="20" t="s">
        <v>4409</v>
      </c>
      <c r="O2013" s="20" t="s">
        <v>63</v>
      </c>
      <c r="P2013" s="20"/>
      <c r="Q2013" s="22"/>
      <c r="R2013" s="22"/>
      <c r="S2013" s="22"/>
      <c r="T2013" s="26"/>
      <c r="U2013" s="26"/>
      <c r="V2013" s="26"/>
      <c r="W2013" s="20"/>
      <c r="X2013" s="20"/>
      <c r="Y2013" s="20"/>
      <c r="Z2013" s="20"/>
      <c r="AA2013" s="20"/>
      <c r="AB2013" s="20"/>
      <c r="AC2013" s="20"/>
      <c r="AD2013" s="20"/>
      <c r="AE2013" s="20"/>
    </row>
    <row r="2014">
      <c r="A2014" s="21">
        <v>55.0</v>
      </c>
      <c r="B2014" s="20" t="s">
        <v>1643</v>
      </c>
      <c r="C2014" s="20" t="s">
        <v>4825</v>
      </c>
      <c r="I2014" s="25" t="s">
        <v>495</v>
      </c>
      <c r="J2014" s="25" t="s">
        <v>4377</v>
      </c>
      <c r="K2014" s="25" t="s">
        <v>71</v>
      </c>
      <c r="L2014" s="25" t="s">
        <v>4855</v>
      </c>
      <c r="M2014" s="20" t="s">
        <v>4410</v>
      </c>
      <c r="N2014" s="20" t="s">
        <v>4411</v>
      </c>
      <c r="O2014" s="20" t="s">
        <v>63</v>
      </c>
      <c r="P2014" s="20"/>
      <c r="Q2014" s="22"/>
      <c r="R2014" s="22"/>
      <c r="S2014" s="22"/>
      <c r="T2014" s="26"/>
      <c r="U2014" s="26"/>
      <c r="V2014" s="26"/>
      <c r="W2014" s="20"/>
      <c r="X2014" s="20"/>
      <c r="Y2014" s="20"/>
      <c r="Z2014" s="20"/>
      <c r="AA2014" s="20"/>
      <c r="AB2014" s="20"/>
      <c r="AC2014" s="20"/>
      <c r="AD2014" s="20"/>
      <c r="AE2014" s="20"/>
    </row>
    <row r="2015">
      <c r="A2015" s="21">
        <v>55.0</v>
      </c>
      <c r="B2015" s="20" t="s">
        <v>1643</v>
      </c>
      <c r="C2015" s="20" t="s">
        <v>4825</v>
      </c>
      <c r="I2015" s="25" t="s">
        <v>4222</v>
      </c>
      <c r="J2015" s="25" t="s">
        <v>4377</v>
      </c>
      <c r="K2015" s="25" t="s">
        <v>71</v>
      </c>
      <c r="L2015" s="25" t="s">
        <v>4855</v>
      </c>
      <c r="M2015" s="20" t="s">
        <v>4223</v>
      </c>
      <c r="N2015" s="20" t="s">
        <v>4224</v>
      </c>
      <c r="O2015" s="20" t="s">
        <v>63</v>
      </c>
      <c r="P2015" s="20"/>
      <c r="Q2015" s="22"/>
      <c r="R2015" s="22"/>
      <c r="S2015" s="22"/>
      <c r="T2015" s="26"/>
      <c r="U2015" s="26"/>
      <c r="V2015" s="26"/>
      <c r="W2015" s="20"/>
      <c r="X2015" s="20"/>
      <c r="Y2015" s="20"/>
      <c r="Z2015" s="20"/>
      <c r="AA2015" s="20"/>
      <c r="AB2015" s="20"/>
      <c r="AC2015" s="20"/>
      <c r="AD2015" s="20"/>
      <c r="AE2015" s="20"/>
    </row>
    <row r="2016">
      <c r="A2016" s="21">
        <v>55.0</v>
      </c>
      <c r="B2016" s="20" t="s">
        <v>1643</v>
      </c>
      <c r="C2016" s="20" t="s">
        <v>4825</v>
      </c>
      <c r="I2016" s="25" t="s">
        <v>501</v>
      </c>
      <c r="J2016" s="25" t="s">
        <v>4377</v>
      </c>
      <c r="K2016" s="25" t="s">
        <v>71</v>
      </c>
      <c r="L2016" s="25" t="s">
        <v>4855</v>
      </c>
      <c r="M2016" s="20" t="s">
        <v>975</v>
      </c>
      <c r="N2016" s="20" t="s">
        <v>4394</v>
      </c>
      <c r="O2016" s="20" t="s">
        <v>56</v>
      </c>
      <c r="P2016" s="20"/>
      <c r="Q2016" s="22"/>
      <c r="R2016" s="22"/>
      <c r="S2016" s="22"/>
      <c r="T2016" s="26"/>
      <c r="U2016" s="26"/>
      <c r="V2016" s="26"/>
      <c r="W2016" s="20"/>
      <c r="X2016" s="20"/>
      <c r="Y2016" s="20"/>
      <c r="Z2016" s="20"/>
      <c r="AA2016" s="20"/>
      <c r="AB2016" s="20"/>
      <c r="AC2016" s="20"/>
      <c r="AD2016" s="20"/>
      <c r="AE2016" s="20"/>
    </row>
    <row r="2017">
      <c r="A2017" s="21">
        <v>55.0</v>
      </c>
      <c r="B2017" s="20" t="s">
        <v>1643</v>
      </c>
      <c r="C2017" s="20" t="s">
        <v>4825</v>
      </c>
      <c r="I2017" s="25" t="s">
        <v>3321</v>
      </c>
      <c r="J2017" s="25" t="s">
        <v>4377</v>
      </c>
      <c r="K2017" s="25" t="s">
        <v>71</v>
      </c>
      <c r="L2017" s="25" t="s">
        <v>4855</v>
      </c>
      <c r="M2017" s="20" t="s">
        <v>4412</v>
      </c>
      <c r="N2017" s="20" t="s">
        <v>4413</v>
      </c>
      <c r="O2017" s="20" t="s">
        <v>63</v>
      </c>
      <c r="P2017" s="20"/>
      <c r="Q2017" s="22"/>
      <c r="R2017" s="22"/>
      <c r="S2017" s="22"/>
      <c r="T2017" s="26"/>
      <c r="U2017" s="26"/>
      <c r="V2017" s="26"/>
      <c r="W2017" s="20"/>
      <c r="X2017" s="20"/>
      <c r="Y2017" s="20"/>
      <c r="Z2017" s="20"/>
      <c r="AA2017" s="20"/>
      <c r="AB2017" s="20"/>
      <c r="AC2017" s="20"/>
      <c r="AD2017" s="20"/>
      <c r="AE2017" s="20"/>
    </row>
    <row r="2018">
      <c r="A2018" s="21">
        <v>55.0</v>
      </c>
      <c r="B2018" s="20" t="s">
        <v>1643</v>
      </c>
      <c r="C2018" s="20" t="s">
        <v>4825</v>
      </c>
      <c r="I2018" s="25" t="s">
        <v>257</v>
      </c>
      <c r="J2018" s="25" t="s">
        <v>4373</v>
      </c>
      <c r="K2018" s="25" t="s">
        <v>71</v>
      </c>
      <c r="L2018" s="25" t="s">
        <v>4855</v>
      </c>
      <c r="M2018" s="20" t="s">
        <v>4388</v>
      </c>
      <c r="N2018" s="20" t="s">
        <v>4389</v>
      </c>
      <c r="O2018" s="20" t="s">
        <v>56</v>
      </c>
      <c r="P2018" s="20"/>
      <c r="Q2018" s="22"/>
      <c r="R2018" s="22"/>
      <c r="S2018" s="22"/>
      <c r="T2018" s="26"/>
      <c r="U2018" s="26"/>
      <c r="V2018" s="26"/>
      <c r="W2018" s="20"/>
      <c r="X2018" s="20"/>
      <c r="Y2018" s="20"/>
      <c r="Z2018" s="20"/>
      <c r="AA2018" s="20"/>
      <c r="AB2018" s="20"/>
      <c r="AC2018" s="20"/>
      <c r="AD2018" s="20"/>
      <c r="AE2018" s="20"/>
    </row>
    <row r="2019">
      <c r="A2019" s="21">
        <v>55.0</v>
      </c>
      <c r="B2019" s="20" t="s">
        <v>1643</v>
      </c>
      <c r="C2019" s="20" t="s">
        <v>4825</v>
      </c>
      <c r="I2019" s="25" t="s">
        <v>1826</v>
      </c>
      <c r="J2019" s="25" t="s">
        <v>4377</v>
      </c>
      <c r="K2019" s="25" t="s">
        <v>67</v>
      </c>
      <c r="L2019" s="25" t="s">
        <v>1133</v>
      </c>
      <c r="M2019" s="20" t="s">
        <v>4384</v>
      </c>
      <c r="N2019" s="20" t="s">
        <v>4385</v>
      </c>
      <c r="O2019" s="20" t="s">
        <v>56</v>
      </c>
      <c r="P2019" s="20" t="s">
        <v>52</v>
      </c>
      <c r="Q2019" s="22"/>
      <c r="R2019" s="22"/>
      <c r="S2019" s="22"/>
      <c r="T2019" s="22"/>
      <c r="U2019" s="26"/>
      <c r="V2019" s="26"/>
      <c r="W2019" s="20"/>
      <c r="X2019" s="20"/>
      <c r="Y2019" s="20"/>
      <c r="Z2019" s="20"/>
      <c r="AA2019" s="20"/>
      <c r="AB2019" s="20"/>
      <c r="AC2019" s="20"/>
      <c r="AD2019" s="20"/>
      <c r="AE2019" s="20"/>
    </row>
    <row r="2020">
      <c r="A2020" s="21">
        <v>55.0</v>
      </c>
      <c r="B2020" s="20" t="s">
        <v>1643</v>
      </c>
      <c r="C2020" s="20" t="s">
        <v>4825</v>
      </c>
      <c r="I2020" s="25" t="s">
        <v>4236</v>
      </c>
      <c r="J2020" s="25" t="s">
        <v>4377</v>
      </c>
      <c r="K2020" s="25" t="s">
        <v>71</v>
      </c>
      <c r="L2020" s="25" t="s">
        <v>4855</v>
      </c>
      <c r="M2020" s="20" t="s">
        <v>4395</v>
      </c>
      <c r="N2020" s="20" t="s">
        <v>4396</v>
      </c>
      <c r="O2020" s="20" t="s">
        <v>56</v>
      </c>
      <c r="P2020" s="20"/>
      <c r="Q2020" s="22"/>
      <c r="R2020" s="22"/>
      <c r="S2020" s="22"/>
      <c r="T2020" s="20"/>
      <c r="U2020" s="26"/>
      <c r="V2020" s="26"/>
      <c r="W2020" s="20"/>
      <c r="X2020" s="20"/>
      <c r="Y2020" s="20"/>
      <c r="Z2020" s="20"/>
      <c r="AA2020" s="20"/>
      <c r="AB2020" s="20"/>
      <c r="AC2020" s="20"/>
      <c r="AD2020" s="20"/>
      <c r="AE2020" s="20"/>
    </row>
    <row r="2021">
      <c r="A2021" s="21">
        <v>55.0</v>
      </c>
      <c r="B2021" s="20" t="s">
        <v>1643</v>
      </c>
      <c r="C2021" s="20" t="s">
        <v>4825</v>
      </c>
      <c r="I2021" s="25" t="s">
        <v>535</v>
      </c>
      <c r="J2021" s="25" t="s">
        <v>4377</v>
      </c>
      <c r="K2021" s="25" t="s">
        <v>71</v>
      </c>
      <c r="L2021" s="25" t="s">
        <v>4855</v>
      </c>
      <c r="M2021" s="20" t="s">
        <v>1515</v>
      </c>
      <c r="N2021" s="20" t="s">
        <v>1516</v>
      </c>
      <c r="O2021" s="20" t="s">
        <v>56</v>
      </c>
      <c r="P2021" s="20"/>
      <c r="Q2021" s="22"/>
      <c r="R2021" s="22"/>
      <c r="S2021" s="22"/>
      <c r="T2021" s="20"/>
      <c r="U2021" s="26"/>
      <c r="V2021" s="26"/>
      <c r="W2021" s="20"/>
      <c r="X2021" s="20"/>
      <c r="Y2021" s="20"/>
      <c r="Z2021" s="20"/>
      <c r="AA2021" s="20"/>
      <c r="AB2021" s="20"/>
      <c r="AC2021" s="20"/>
      <c r="AD2021" s="20"/>
      <c r="AE2021" s="20"/>
    </row>
    <row r="2022">
      <c r="A2022" s="21">
        <v>55.0</v>
      </c>
      <c r="B2022" s="20" t="s">
        <v>1643</v>
      </c>
      <c r="C2022" s="20" t="s">
        <v>4825</v>
      </c>
      <c r="I2022" s="25" t="s">
        <v>544</v>
      </c>
      <c r="J2022" s="25" t="s">
        <v>4373</v>
      </c>
      <c r="K2022" s="25" t="s">
        <v>71</v>
      </c>
      <c r="L2022" s="25" t="s">
        <v>4855</v>
      </c>
      <c r="M2022" s="20" t="s">
        <v>4390</v>
      </c>
      <c r="N2022" s="20" t="s">
        <v>4391</v>
      </c>
      <c r="O2022" s="20" t="s">
        <v>56</v>
      </c>
      <c r="P2022" s="20"/>
      <c r="Q2022" s="22"/>
      <c r="R2022" s="22"/>
      <c r="S2022" s="22"/>
      <c r="T2022" s="20"/>
      <c r="U2022" s="26"/>
      <c r="V2022" s="26"/>
      <c r="W2022" s="20"/>
      <c r="X2022" s="20"/>
      <c r="Y2022" s="20"/>
      <c r="Z2022" s="20"/>
      <c r="AA2022" s="20"/>
      <c r="AB2022" s="20"/>
      <c r="AC2022" s="20"/>
      <c r="AD2022" s="20"/>
      <c r="AE2022" s="20"/>
    </row>
    <row r="2023">
      <c r="A2023" s="21">
        <v>55.0</v>
      </c>
      <c r="B2023" s="20" t="s">
        <v>1643</v>
      </c>
      <c r="C2023" s="20" t="s">
        <v>4825</v>
      </c>
      <c r="I2023" s="25" t="s">
        <v>552</v>
      </c>
      <c r="J2023" s="25" t="s">
        <v>4373</v>
      </c>
      <c r="K2023" s="25" t="s">
        <v>71</v>
      </c>
      <c r="L2023" s="25" t="s">
        <v>4855</v>
      </c>
      <c r="M2023" s="20" t="s">
        <v>4404</v>
      </c>
      <c r="N2023" s="20" t="s">
        <v>4405</v>
      </c>
      <c r="O2023" s="20" t="s">
        <v>63</v>
      </c>
      <c r="P2023" s="20"/>
      <c r="Q2023" s="22"/>
      <c r="R2023" s="22"/>
      <c r="S2023" s="22"/>
      <c r="T2023" s="20"/>
      <c r="U2023" s="26"/>
      <c r="V2023" s="26"/>
      <c r="W2023" s="20"/>
      <c r="X2023" s="20"/>
      <c r="Y2023" s="20"/>
      <c r="Z2023" s="20"/>
      <c r="AA2023" s="20"/>
      <c r="AB2023" s="20"/>
      <c r="AC2023" s="20"/>
      <c r="AD2023" s="20"/>
      <c r="AE2023" s="20"/>
    </row>
    <row r="2024">
      <c r="A2024" s="21">
        <v>55.0</v>
      </c>
      <c r="B2024" s="20" t="s">
        <v>1643</v>
      </c>
      <c r="C2024" s="20" t="s">
        <v>4825</v>
      </c>
      <c r="I2024" s="25" t="s">
        <v>683</v>
      </c>
      <c r="J2024" s="25" t="s">
        <v>4373</v>
      </c>
      <c r="K2024" s="25" t="s">
        <v>71</v>
      </c>
      <c r="L2024" s="25" t="s">
        <v>4855</v>
      </c>
      <c r="M2024" s="20" t="s">
        <v>4406</v>
      </c>
      <c r="N2024" s="20" t="s">
        <v>4407</v>
      </c>
      <c r="O2024" s="20" t="s">
        <v>63</v>
      </c>
      <c r="P2024" s="20"/>
      <c r="Q2024" s="22"/>
      <c r="R2024" s="22"/>
      <c r="S2024" s="22"/>
      <c r="T2024" s="20"/>
      <c r="U2024" s="26"/>
      <c r="V2024" s="26"/>
      <c r="W2024" s="20"/>
      <c r="X2024" s="20"/>
      <c r="Y2024" s="20"/>
      <c r="Z2024" s="20"/>
      <c r="AA2024" s="20"/>
      <c r="AB2024" s="20"/>
      <c r="AC2024" s="20"/>
      <c r="AD2024" s="20"/>
      <c r="AE2024" s="20"/>
    </row>
    <row r="2025">
      <c r="A2025" s="21">
        <v>55.0</v>
      </c>
      <c r="B2025" s="20" t="s">
        <v>1643</v>
      </c>
      <c r="C2025" s="20" t="s">
        <v>4825</v>
      </c>
      <c r="I2025" s="25" t="s">
        <v>703</v>
      </c>
      <c r="J2025" s="25" t="s">
        <v>4377</v>
      </c>
      <c r="K2025" s="25" t="s">
        <v>71</v>
      </c>
      <c r="L2025" s="25" t="s">
        <v>4855</v>
      </c>
      <c r="M2025" s="20" t="s">
        <v>4414</v>
      </c>
      <c r="N2025" s="20" t="s">
        <v>4415</v>
      </c>
      <c r="O2025" s="20" t="s">
        <v>63</v>
      </c>
      <c r="P2025" s="20"/>
      <c r="Q2025" s="22"/>
      <c r="R2025" s="22"/>
      <c r="S2025" s="22"/>
      <c r="T2025" s="20"/>
      <c r="U2025" s="26"/>
      <c r="V2025" s="26"/>
      <c r="W2025" s="20"/>
      <c r="X2025" s="20"/>
      <c r="Y2025" s="20"/>
      <c r="Z2025" s="20"/>
      <c r="AA2025" s="20"/>
      <c r="AB2025" s="20"/>
      <c r="AC2025" s="20"/>
      <c r="AD2025" s="20"/>
      <c r="AE2025" s="20"/>
    </row>
    <row r="2026">
      <c r="A2026" s="21">
        <v>55.0</v>
      </c>
      <c r="B2026" s="20" t="s">
        <v>1643</v>
      </c>
      <c r="C2026" s="20" t="s">
        <v>4825</v>
      </c>
      <c r="I2026" s="25" t="s">
        <v>692</v>
      </c>
      <c r="J2026" s="25" t="s">
        <v>4377</v>
      </c>
      <c r="K2026" s="25" t="s">
        <v>71</v>
      </c>
      <c r="L2026" s="25" t="s">
        <v>4855</v>
      </c>
      <c r="M2026" s="20" t="s">
        <v>61</v>
      </c>
      <c r="N2026" s="20" t="s">
        <v>4248</v>
      </c>
      <c r="O2026" s="20" t="s">
        <v>63</v>
      </c>
      <c r="P2026" s="20"/>
      <c r="Q2026" s="22"/>
      <c r="R2026" s="22"/>
      <c r="S2026" s="22"/>
      <c r="T2026" s="20"/>
      <c r="U2026" s="26"/>
      <c r="V2026" s="26"/>
      <c r="W2026" s="20"/>
      <c r="X2026" s="20"/>
      <c r="Y2026" s="20"/>
      <c r="Z2026" s="20"/>
      <c r="AA2026" s="20"/>
      <c r="AB2026" s="20"/>
      <c r="AC2026" s="20"/>
      <c r="AD2026" s="20"/>
      <c r="AE2026" s="20"/>
    </row>
    <row r="2027">
      <c r="A2027" s="21">
        <v>55.0</v>
      </c>
      <c r="B2027" s="20" t="s">
        <v>1643</v>
      </c>
      <c r="C2027" s="20" t="s">
        <v>4825</v>
      </c>
      <c r="I2027" s="25" t="s">
        <v>731</v>
      </c>
      <c r="J2027" s="25" t="s">
        <v>4377</v>
      </c>
      <c r="K2027" s="25" t="s">
        <v>71</v>
      </c>
      <c r="L2027" s="25" t="s">
        <v>4855</v>
      </c>
      <c r="M2027" s="20" t="s">
        <v>4079</v>
      </c>
      <c r="N2027" s="20" t="s">
        <v>4397</v>
      </c>
      <c r="O2027" s="20" t="s">
        <v>56</v>
      </c>
      <c r="P2027" s="20"/>
      <c r="Q2027" s="22"/>
      <c r="R2027" s="22"/>
      <c r="S2027" s="22"/>
      <c r="T2027" s="20"/>
      <c r="U2027" s="26"/>
      <c r="V2027" s="26"/>
      <c r="W2027" s="20"/>
      <c r="X2027" s="20"/>
      <c r="Y2027" s="20"/>
      <c r="Z2027" s="20"/>
      <c r="AA2027" s="20"/>
      <c r="AB2027" s="20"/>
      <c r="AC2027" s="20"/>
      <c r="AD2027" s="20"/>
      <c r="AE2027" s="20"/>
    </row>
    <row r="2028">
      <c r="A2028" s="21">
        <v>55.0</v>
      </c>
      <c r="B2028" s="20" t="s">
        <v>1643</v>
      </c>
      <c r="C2028" s="20" t="s">
        <v>4825</v>
      </c>
      <c r="I2028" s="25" t="s">
        <v>705</v>
      </c>
      <c r="J2028" s="25" t="s">
        <v>4377</v>
      </c>
      <c r="K2028" s="25" t="s">
        <v>71</v>
      </c>
      <c r="L2028" s="25" t="s">
        <v>4855</v>
      </c>
      <c r="M2028" s="20" t="s">
        <v>4090</v>
      </c>
      <c r="N2028" s="20" t="s">
        <v>4398</v>
      </c>
      <c r="O2028" s="20" t="s">
        <v>56</v>
      </c>
      <c r="P2028" s="20"/>
      <c r="Q2028" s="22"/>
      <c r="R2028" s="22"/>
      <c r="S2028" s="22"/>
      <c r="T2028" s="20"/>
      <c r="U2028" s="26"/>
      <c r="V2028" s="26"/>
      <c r="W2028" s="20"/>
      <c r="X2028" s="20"/>
      <c r="Y2028" s="20"/>
      <c r="Z2028" s="20"/>
      <c r="AA2028" s="20"/>
      <c r="AB2028" s="20"/>
      <c r="AC2028" s="20"/>
      <c r="AD2028" s="20"/>
      <c r="AE2028" s="20"/>
    </row>
    <row r="2029">
      <c r="A2029" s="21">
        <v>55.0</v>
      </c>
      <c r="B2029" s="20" t="s">
        <v>1643</v>
      </c>
      <c r="C2029" s="20" t="s">
        <v>4825</v>
      </c>
      <c r="I2029" s="25" t="s">
        <v>732</v>
      </c>
      <c r="J2029" s="25" t="s">
        <v>4377</v>
      </c>
      <c r="K2029" s="25" t="s">
        <v>71</v>
      </c>
      <c r="L2029" s="25" t="s">
        <v>4855</v>
      </c>
      <c r="M2029" s="20" t="s">
        <v>4416</v>
      </c>
      <c r="N2029" s="20" t="s">
        <v>4417</v>
      </c>
      <c r="O2029" s="20" t="s">
        <v>63</v>
      </c>
      <c r="P2029" s="20"/>
      <c r="Q2029" s="22"/>
      <c r="R2029" s="22"/>
      <c r="S2029" s="22"/>
      <c r="T2029" s="20"/>
      <c r="U2029" s="26"/>
      <c r="V2029" s="26"/>
      <c r="W2029" s="20"/>
      <c r="X2029" s="20"/>
      <c r="Y2029" s="20"/>
      <c r="Z2029" s="20"/>
      <c r="AA2029" s="20"/>
      <c r="AB2029" s="20"/>
      <c r="AC2029" s="20"/>
      <c r="AD2029" s="20"/>
      <c r="AE2029" s="20"/>
    </row>
    <row r="2030">
      <c r="A2030" s="21">
        <v>55.0</v>
      </c>
      <c r="B2030" s="20" t="s">
        <v>1643</v>
      </c>
      <c r="C2030" s="20" t="s">
        <v>4825</v>
      </c>
      <c r="I2030" s="25" t="s">
        <v>4199</v>
      </c>
      <c r="J2030" s="25" t="s">
        <v>4377</v>
      </c>
      <c r="K2030" s="25" t="s">
        <v>71</v>
      </c>
      <c r="L2030" s="25" t="s">
        <v>4855</v>
      </c>
      <c r="M2030" s="20" t="s">
        <v>4399</v>
      </c>
      <c r="N2030" s="20" t="s">
        <v>4400</v>
      </c>
      <c r="O2030" s="20" t="s">
        <v>56</v>
      </c>
      <c r="P2030" s="20"/>
      <c r="Q2030" s="22"/>
      <c r="R2030" s="22"/>
      <c r="S2030" s="22"/>
      <c r="T2030" s="20"/>
      <c r="U2030" s="26"/>
      <c r="V2030" s="26"/>
      <c r="W2030" s="20"/>
      <c r="X2030" s="20"/>
      <c r="Y2030" s="20"/>
      <c r="Z2030" s="20"/>
      <c r="AA2030" s="20"/>
      <c r="AB2030" s="20"/>
      <c r="AC2030" s="20"/>
      <c r="AD2030" s="20"/>
      <c r="AE2030" s="20"/>
    </row>
    <row r="2031">
      <c r="A2031" s="21">
        <v>55.0</v>
      </c>
      <c r="B2031" s="20" t="s">
        <v>1643</v>
      </c>
      <c r="C2031" s="20" t="s">
        <v>4825</v>
      </c>
      <c r="I2031" s="25" t="s">
        <v>302</v>
      </c>
      <c r="J2031" s="25" t="s">
        <v>4377</v>
      </c>
      <c r="K2031" s="25" t="s">
        <v>71</v>
      </c>
      <c r="L2031" s="25" t="s">
        <v>4855</v>
      </c>
      <c r="M2031" s="20" t="s">
        <v>4304</v>
      </c>
      <c r="N2031" s="20" t="s">
        <v>4381</v>
      </c>
      <c r="O2031" s="20" t="s">
        <v>56</v>
      </c>
      <c r="P2031" s="20"/>
      <c r="Q2031" s="22"/>
      <c r="R2031" s="22"/>
      <c r="S2031" s="22"/>
      <c r="T2031" s="26"/>
      <c r="U2031" s="26"/>
      <c r="V2031" s="26"/>
      <c r="W2031" s="20"/>
      <c r="X2031" s="20"/>
      <c r="Y2031" s="20"/>
      <c r="Z2031" s="20"/>
      <c r="AA2031" s="20"/>
      <c r="AB2031" s="20"/>
      <c r="AC2031" s="20"/>
      <c r="AD2031" s="20"/>
      <c r="AE2031" s="20"/>
    </row>
    <row r="2032">
      <c r="A2032" s="21">
        <v>56.0</v>
      </c>
      <c r="B2032" s="20" t="s">
        <v>738</v>
      </c>
      <c r="C2032" s="20" t="s">
        <v>4825</v>
      </c>
      <c r="D2032" s="35">
        <v>30.0</v>
      </c>
      <c r="E2032" s="35">
        <v>3.0</v>
      </c>
      <c r="F2032" s="35">
        <v>2.0</v>
      </c>
      <c r="G2032" s="35">
        <v>25.0</v>
      </c>
      <c r="H2032" s="36" t="s">
        <v>5042</v>
      </c>
      <c r="I2032" s="25" t="s">
        <v>367</v>
      </c>
      <c r="J2032" s="25" t="s">
        <v>4418</v>
      </c>
      <c r="K2032" s="25" t="s">
        <v>57</v>
      </c>
      <c r="L2032" s="25" t="s">
        <v>5043</v>
      </c>
      <c r="M2032" s="20" t="s">
        <v>61</v>
      </c>
      <c r="N2032" s="20" t="s">
        <v>4419</v>
      </c>
      <c r="O2032" s="20" t="s">
        <v>63</v>
      </c>
      <c r="P2032" s="20"/>
      <c r="Q2032" s="22"/>
      <c r="R2032" s="22"/>
      <c r="S2032" s="22"/>
      <c r="T2032" s="26"/>
      <c r="U2032" s="26"/>
      <c r="V2032" s="26"/>
      <c r="W2032" s="20"/>
      <c r="X2032" s="20"/>
      <c r="Y2032" s="20"/>
      <c r="Z2032" s="20"/>
      <c r="AA2032" s="20"/>
      <c r="AB2032" s="20"/>
      <c r="AC2032" s="20"/>
      <c r="AD2032" s="20"/>
      <c r="AE2032" s="20"/>
    </row>
    <row r="2033">
      <c r="A2033" s="21">
        <v>56.0</v>
      </c>
      <c r="B2033" s="20" t="s">
        <v>738</v>
      </c>
      <c r="C2033" s="20" t="s">
        <v>4825</v>
      </c>
      <c r="I2033" s="25" t="s">
        <v>544</v>
      </c>
      <c r="J2033" s="25" t="s">
        <v>4418</v>
      </c>
      <c r="K2033" s="25" t="s">
        <v>57</v>
      </c>
      <c r="L2033" s="25" t="s">
        <v>5046</v>
      </c>
      <c r="M2033" s="20" t="s">
        <v>2181</v>
      </c>
      <c r="N2033" s="20" t="s">
        <v>4422</v>
      </c>
      <c r="O2033" s="20" t="s">
        <v>63</v>
      </c>
      <c r="P2033" s="20"/>
      <c r="Q2033" s="22"/>
      <c r="R2033" s="22"/>
      <c r="S2033" s="22"/>
      <c r="T2033" s="20"/>
      <c r="U2033" s="26"/>
      <c r="V2033" s="26"/>
      <c r="W2033" s="20"/>
      <c r="X2033" s="20"/>
      <c r="Y2033" s="20"/>
      <c r="Z2033" s="20"/>
      <c r="AA2033" s="20"/>
      <c r="AB2033" s="20"/>
      <c r="AC2033" s="20"/>
      <c r="AD2033" s="20"/>
      <c r="AE2033" s="20"/>
    </row>
    <row r="2034">
      <c r="A2034" s="21">
        <v>56.0</v>
      </c>
      <c r="B2034" s="20" t="s">
        <v>738</v>
      </c>
      <c r="C2034" s="20" t="s">
        <v>4825</v>
      </c>
      <c r="I2034" s="25" t="s">
        <v>265</v>
      </c>
      <c r="J2034" s="25" t="s">
        <v>4418</v>
      </c>
      <c r="K2034" s="25" t="s">
        <v>57</v>
      </c>
      <c r="L2034" s="25" t="s">
        <v>5047</v>
      </c>
      <c r="M2034" s="20" t="s">
        <v>2291</v>
      </c>
      <c r="N2034" s="20" t="s">
        <v>2292</v>
      </c>
      <c r="O2034" s="20" t="s">
        <v>63</v>
      </c>
      <c r="P2034" s="20"/>
      <c r="Q2034" s="22"/>
      <c r="R2034" s="22"/>
      <c r="S2034" s="22"/>
      <c r="T2034" s="20"/>
      <c r="U2034" s="26"/>
      <c r="V2034" s="26"/>
      <c r="W2034" s="20"/>
      <c r="X2034" s="20"/>
      <c r="Y2034" s="20"/>
      <c r="Z2034" s="20"/>
      <c r="AA2034" s="20"/>
      <c r="AB2034" s="20"/>
      <c r="AC2034" s="20"/>
      <c r="AD2034" s="20"/>
      <c r="AE2034" s="20"/>
    </row>
    <row r="2035">
      <c r="A2035" s="21">
        <v>56.0</v>
      </c>
      <c r="B2035" s="20" t="s">
        <v>738</v>
      </c>
      <c r="C2035" s="20" t="s">
        <v>4825</v>
      </c>
      <c r="I2035" s="25" t="s">
        <v>735</v>
      </c>
      <c r="J2035" s="25" t="s">
        <v>4418</v>
      </c>
      <c r="K2035" s="25" t="s">
        <v>67</v>
      </c>
      <c r="L2035" s="25" t="s">
        <v>5048</v>
      </c>
      <c r="M2035" s="20" t="s">
        <v>61</v>
      </c>
      <c r="N2035" s="20" t="s">
        <v>4424</v>
      </c>
      <c r="O2035" s="20" t="s">
        <v>63</v>
      </c>
      <c r="P2035" s="20"/>
      <c r="Q2035" s="22"/>
      <c r="R2035" s="22"/>
      <c r="S2035" s="22"/>
      <c r="T2035" s="20"/>
      <c r="U2035" s="26"/>
      <c r="V2035" s="26"/>
      <c r="W2035" s="20"/>
      <c r="X2035" s="20"/>
      <c r="Y2035" s="20"/>
      <c r="Z2035" s="20"/>
      <c r="AA2035" s="20"/>
      <c r="AB2035" s="20"/>
      <c r="AC2035" s="20"/>
      <c r="AD2035" s="20"/>
      <c r="AE2035" s="20"/>
    </row>
    <row r="2036">
      <c r="A2036" s="21">
        <v>56.0</v>
      </c>
      <c r="B2036" s="20" t="s">
        <v>738</v>
      </c>
      <c r="C2036" s="20" t="s">
        <v>4825</v>
      </c>
      <c r="I2036" s="25" t="s">
        <v>283</v>
      </c>
      <c r="J2036" s="25" t="s">
        <v>4418</v>
      </c>
      <c r="K2036" s="25" t="s">
        <v>67</v>
      </c>
      <c r="L2036" s="25" t="s">
        <v>5049</v>
      </c>
      <c r="M2036" s="20" t="s">
        <v>4425</v>
      </c>
      <c r="N2036" s="20" t="s">
        <v>4426</v>
      </c>
      <c r="O2036" s="20" t="s">
        <v>63</v>
      </c>
      <c r="P2036" s="20"/>
      <c r="Q2036" s="22"/>
      <c r="R2036" s="22"/>
      <c r="S2036" s="22"/>
      <c r="T2036" s="26"/>
      <c r="U2036" s="26"/>
      <c r="V2036" s="26"/>
      <c r="W2036" s="20"/>
      <c r="X2036" s="20"/>
      <c r="Y2036" s="20"/>
      <c r="Z2036" s="20"/>
      <c r="AA2036" s="20"/>
      <c r="AB2036" s="20"/>
      <c r="AC2036" s="20"/>
      <c r="AD2036" s="20"/>
      <c r="AE2036" s="20"/>
    </row>
    <row r="2037">
      <c r="A2037" s="21">
        <v>56.0</v>
      </c>
      <c r="B2037" s="20" t="s">
        <v>738</v>
      </c>
      <c r="C2037" s="20" t="s">
        <v>4825</v>
      </c>
      <c r="I2037" s="25" t="s">
        <v>651</v>
      </c>
      <c r="J2037" s="25" t="s">
        <v>4418</v>
      </c>
      <c r="K2037" s="25" t="s">
        <v>71</v>
      </c>
      <c r="L2037" s="25" t="s">
        <v>4855</v>
      </c>
      <c r="M2037" s="20" t="s">
        <v>61</v>
      </c>
      <c r="N2037" s="20" t="s">
        <v>4427</v>
      </c>
      <c r="O2037" s="20" t="s">
        <v>63</v>
      </c>
      <c r="P2037" s="20"/>
      <c r="Q2037" s="22"/>
      <c r="R2037" s="22"/>
      <c r="S2037" s="22"/>
      <c r="T2037" s="20"/>
      <c r="U2037" s="26"/>
      <c r="V2037" s="26"/>
      <c r="W2037" s="20"/>
      <c r="X2037" s="20"/>
      <c r="Y2037" s="20"/>
      <c r="Z2037" s="20"/>
      <c r="AA2037" s="20"/>
      <c r="AB2037" s="20"/>
      <c r="AC2037" s="20"/>
      <c r="AD2037" s="20"/>
      <c r="AE2037" s="20"/>
    </row>
    <row r="2038">
      <c r="A2038" s="21">
        <v>56.0</v>
      </c>
      <c r="B2038" s="20" t="s">
        <v>738</v>
      </c>
      <c r="C2038" s="20" t="s">
        <v>4825</v>
      </c>
      <c r="I2038" s="25" t="s">
        <v>727</v>
      </c>
      <c r="J2038" s="25" t="s">
        <v>4418</v>
      </c>
      <c r="K2038" s="25" t="s">
        <v>71</v>
      </c>
      <c r="L2038" s="25" t="s">
        <v>4855</v>
      </c>
      <c r="M2038" s="20" t="s">
        <v>4205</v>
      </c>
      <c r="N2038" s="20" t="s">
        <v>4206</v>
      </c>
      <c r="O2038" s="20" t="s">
        <v>63</v>
      </c>
      <c r="P2038" s="20"/>
      <c r="Q2038" s="22"/>
      <c r="R2038" s="22"/>
      <c r="S2038" s="22"/>
      <c r="T2038" s="26"/>
      <c r="U2038" s="26"/>
      <c r="V2038" s="26"/>
      <c r="W2038" s="20"/>
      <c r="X2038" s="20"/>
      <c r="Y2038" s="20"/>
      <c r="Z2038" s="20"/>
      <c r="AA2038" s="20"/>
      <c r="AB2038" s="20"/>
      <c r="AC2038" s="20"/>
      <c r="AD2038" s="20"/>
      <c r="AE2038" s="20"/>
    </row>
    <row r="2039">
      <c r="A2039" s="21">
        <v>56.0</v>
      </c>
      <c r="B2039" s="20" t="s">
        <v>738</v>
      </c>
      <c r="C2039" s="20" t="s">
        <v>4825</v>
      </c>
      <c r="I2039" s="25" t="s">
        <v>658</v>
      </c>
      <c r="J2039" s="25" t="s">
        <v>4418</v>
      </c>
      <c r="K2039" s="25" t="s">
        <v>71</v>
      </c>
      <c r="L2039" s="25" t="s">
        <v>4855</v>
      </c>
      <c r="M2039" s="20" t="s">
        <v>61</v>
      </c>
      <c r="N2039" s="20" t="s">
        <v>4428</v>
      </c>
      <c r="O2039" s="20" t="s">
        <v>63</v>
      </c>
      <c r="P2039" s="25" t="s">
        <v>253</v>
      </c>
      <c r="Q2039" s="22"/>
      <c r="R2039" s="22"/>
      <c r="S2039" s="22"/>
      <c r="T2039" s="26"/>
      <c r="U2039" s="26"/>
      <c r="V2039" s="26"/>
      <c r="W2039" s="20"/>
      <c r="X2039" s="20"/>
      <c r="Y2039" s="20"/>
      <c r="Z2039" s="20"/>
      <c r="AA2039" s="20"/>
      <c r="AB2039" s="20"/>
      <c r="AC2039" s="20"/>
      <c r="AD2039" s="20"/>
      <c r="AE2039" s="20"/>
    </row>
    <row r="2040">
      <c r="A2040" s="21">
        <v>56.0</v>
      </c>
      <c r="B2040" s="20" t="s">
        <v>738</v>
      </c>
      <c r="C2040" s="20" t="s">
        <v>4825</v>
      </c>
      <c r="I2040" s="25" t="s">
        <v>451</v>
      </c>
      <c r="J2040" s="25" t="s">
        <v>4418</v>
      </c>
      <c r="K2040" s="25" t="s">
        <v>71</v>
      </c>
      <c r="L2040" s="25" t="s">
        <v>4855</v>
      </c>
      <c r="M2040" s="20" t="s">
        <v>61</v>
      </c>
      <c r="N2040" s="20" t="s">
        <v>4208</v>
      </c>
      <c r="O2040" s="20" t="s">
        <v>63</v>
      </c>
      <c r="P2040" s="20"/>
      <c r="Q2040" s="22"/>
      <c r="R2040" s="22"/>
      <c r="S2040" s="22"/>
      <c r="T2040" s="26"/>
      <c r="U2040" s="26"/>
      <c r="V2040" s="26"/>
      <c r="W2040" s="20"/>
      <c r="X2040" s="20"/>
      <c r="Y2040" s="20"/>
      <c r="Z2040" s="20"/>
      <c r="AA2040" s="20"/>
      <c r="AB2040" s="20"/>
      <c r="AC2040" s="20"/>
      <c r="AD2040" s="20"/>
      <c r="AE2040" s="20"/>
    </row>
    <row r="2041">
      <c r="A2041" s="21">
        <v>56.0</v>
      </c>
      <c r="B2041" s="20" t="s">
        <v>738</v>
      </c>
      <c r="C2041" s="20" t="s">
        <v>4825</v>
      </c>
      <c r="I2041" s="25" t="s">
        <v>660</v>
      </c>
      <c r="J2041" s="25" t="s">
        <v>4418</v>
      </c>
      <c r="K2041" s="25" t="s">
        <v>71</v>
      </c>
      <c r="L2041" s="25" t="s">
        <v>4855</v>
      </c>
      <c r="M2041" s="20" t="s">
        <v>882</v>
      </c>
      <c r="N2041" s="20" t="s">
        <v>4211</v>
      </c>
      <c r="O2041" s="20" t="s">
        <v>63</v>
      </c>
      <c r="P2041" s="20"/>
      <c r="Q2041" s="22"/>
      <c r="R2041" s="22"/>
      <c r="S2041" s="22"/>
      <c r="T2041" s="26"/>
      <c r="U2041" s="26"/>
      <c r="V2041" s="26"/>
      <c r="W2041" s="20"/>
      <c r="X2041" s="20"/>
      <c r="Y2041" s="20"/>
      <c r="Z2041" s="20"/>
      <c r="AA2041" s="20"/>
      <c r="AB2041" s="20"/>
      <c r="AC2041" s="20"/>
      <c r="AD2041" s="20"/>
      <c r="AE2041" s="20"/>
    </row>
    <row r="2042">
      <c r="A2042" s="21">
        <v>56.0</v>
      </c>
      <c r="B2042" s="20" t="s">
        <v>738</v>
      </c>
      <c r="C2042" s="20" t="s">
        <v>4825</v>
      </c>
      <c r="I2042" s="25" t="s">
        <v>672</v>
      </c>
      <c r="J2042" s="25" t="s">
        <v>4418</v>
      </c>
      <c r="K2042" s="25" t="s">
        <v>71</v>
      </c>
      <c r="L2042" s="25" t="s">
        <v>4855</v>
      </c>
      <c r="M2042" s="20" t="s">
        <v>4212</v>
      </c>
      <c r="N2042" s="20" t="s">
        <v>4213</v>
      </c>
      <c r="O2042" s="20" t="s">
        <v>63</v>
      </c>
      <c r="P2042" s="20"/>
      <c r="Q2042" s="22"/>
      <c r="R2042" s="22"/>
      <c r="S2042" s="22"/>
      <c r="T2042" s="26"/>
      <c r="U2042" s="26"/>
      <c r="V2042" s="26"/>
      <c r="W2042" s="20"/>
      <c r="X2042" s="20"/>
      <c r="Y2042" s="20"/>
      <c r="Z2042" s="20"/>
      <c r="AA2042" s="20"/>
      <c r="AB2042" s="20"/>
      <c r="AC2042" s="20"/>
      <c r="AD2042" s="20"/>
      <c r="AE2042" s="20"/>
    </row>
    <row r="2043">
      <c r="A2043" s="21">
        <v>56.0</v>
      </c>
      <c r="B2043" s="20" t="s">
        <v>738</v>
      </c>
      <c r="C2043" s="20" t="s">
        <v>4825</v>
      </c>
      <c r="I2043" s="25" t="s">
        <v>457</v>
      </c>
      <c r="J2043" s="25" t="s">
        <v>4418</v>
      </c>
      <c r="K2043" s="25" t="s">
        <v>71</v>
      </c>
      <c r="L2043" s="25" t="s">
        <v>4855</v>
      </c>
      <c r="M2043" s="20" t="s">
        <v>4408</v>
      </c>
      <c r="N2043" s="20" t="s">
        <v>4409</v>
      </c>
      <c r="O2043" s="20" t="s">
        <v>63</v>
      </c>
      <c r="P2043" s="20"/>
      <c r="Q2043" s="22"/>
      <c r="R2043" s="22"/>
      <c r="S2043" s="22"/>
      <c r="T2043" s="26"/>
      <c r="U2043" s="26"/>
      <c r="V2043" s="26"/>
      <c r="W2043" s="20"/>
      <c r="X2043" s="20"/>
      <c r="Y2043" s="20"/>
      <c r="Z2043" s="20"/>
      <c r="AA2043" s="20"/>
      <c r="AB2043" s="20"/>
      <c r="AC2043" s="20"/>
      <c r="AD2043" s="20"/>
      <c r="AE2043" s="20"/>
    </row>
    <row r="2044">
      <c r="A2044" s="21">
        <v>56.0</v>
      </c>
      <c r="B2044" s="20" t="s">
        <v>738</v>
      </c>
      <c r="C2044" s="20" t="s">
        <v>4825</v>
      </c>
      <c r="I2044" s="25" t="s">
        <v>495</v>
      </c>
      <c r="J2044" s="25" t="s">
        <v>4418</v>
      </c>
      <c r="K2044" s="25" t="s">
        <v>71</v>
      </c>
      <c r="L2044" s="25" t="s">
        <v>4855</v>
      </c>
      <c r="M2044" s="20" t="s">
        <v>796</v>
      </c>
      <c r="N2044" s="20" t="s">
        <v>4221</v>
      </c>
      <c r="O2044" s="20" t="s">
        <v>63</v>
      </c>
      <c r="P2044" s="20"/>
      <c r="Q2044" s="22"/>
      <c r="R2044" s="22"/>
      <c r="S2044" s="22"/>
      <c r="T2044" s="26"/>
      <c r="U2044" s="26"/>
      <c r="V2044" s="26"/>
      <c r="W2044" s="20"/>
      <c r="X2044" s="20"/>
      <c r="Y2044" s="20"/>
      <c r="Z2044" s="20"/>
      <c r="AA2044" s="20"/>
      <c r="AB2044" s="20"/>
      <c r="AC2044" s="20"/>
      <c r="AD2044" s="20"/>
      <c r="AE2044" s="20"/>
    </row>
    <row r="2045">
      <c r="A2045" s="21">
        <v>56.0</v>
      </c>
      <c r="B2045" s="20" t="s">
        <v>738</v>
      </c>
      <c r="C2045" s="20" t="s">
        <v>4825</v>
      </c>
      <c r="I2045" s="25" t="s">
        <v>4222</v>
      </c>
      <c r="J2045" s="25" t="s">
        <v>4418</v>
      </c>
      <c r="K2045" s="25" t="s">
        <v>71</v>
      </c>
      <c r="L2045" s="25" t="s">
        <v>4855</v>
      </c>
      <c r="M2045" s="20" t="s">
        <v>4223</v>
      </c>
      <c r="N2045" s="20" t="s">
        <v>4224</v>
      </c>
      <c r="O2045" s="20" t="s">
        <v>63</v>
      </c>
      <c r="P2045" s="20"/>
      <c r="Q2045" s="22"/>
      <c r="R2045" s="22"/>
      <c r="S2045" s="22"/>
      <c r="T2045" s="26"/>
      <c r="U2045" s="26"/>
      <c r="V2045" s="26"/>
      <c r="W2045" s="20"/>
      <c r="X2045" s="20"/>
      <c r="Y2045" s="20"/>
      <c r="Z2045" s="20"/>
      <c r="AA2045" s="20"/>
      <c r="AB2045" s="20"/>
      <c r="AC2045" s="20"/>
      <c r="AD2045" s="20"/>
      <c r="AE2045" s="20"/>
    </row>
    <row r="2046">
      <c r="A2046" s="21">
        <v>56.0</v>
      </c>
      <c r="B2046" s="20" t="s">
        <v>738</v>
      </c>
      <c r="C2046" s="20" t="s">
        <v>4825</v>
      </c>
      <c r="I2046" s="25" t="s">
        <v>1643</v>
      </c>
      <c r="J2046" s="25" t="s">
        <v>4418</v>
      </c>
      <c r="K2046" s="25" t="s">
        <v>71</v>
      </c>
      <c r="L2046" s="25" t="s">
        <v>4855</v>
      </c>
      <c r="M2046" s="20" t="s">
        <v>61</v>
      </c>
      <c r="N2046" s="20" t="s">
        <v>4429</v>
      </c>
      <c r="O2046" s="20" t="s">
        <v>63</v>
      </c>
      <c r="P2046" s="20"/>
      <c r="Q2046" s="22"/>
      <c r="R2046" s="22"/>
      <c r="S2046" s="22"/>
      <c r="T2046" s="26"/>
      <c r="U2046" s="26"/>
      <c r="V2046" s="26"/>
      <c r="W2046" s="20"/>
      <c r="X2046" s="20"/>
      <c r="Y2046" s="20"/>
      <c r="Z2046" s="20"/>
      <c r="AA2046" s="20"/>
      <c r="AB2046" s="20"/>
      <c r="AC2046" s="20"/>
      <c r="AD2046" s="20"/>
      <c r="AE2046" s="20"/>
    </row>
    <row r="2047">
      <c r="A2047" s="21">
        <v>56.0</v>
      </c>
      <c r="B2047" s="20" t="s">
        <v>738</v>
      </c>
      <c r="C2047" s="20" t="s">
        <v>4825</v>
      </c>
      <c r="I2047" s="25" t="s">
        <v>501</v>
      </c>
      <c r="J2047" s="25" t="s">
        <v>4436</v>
      </c>
      <c r="K2047" s="25" t="s">
        <v>71</v>
      </c>
      <c r="L2047" s="25" t="s">
        <v>4855</v>
      </c>
      <c r="M2047" s="20" t="s">
        <v>4437</v>
      </c>
      <c r="N2047" s="20" t="s">
        <v>4438</v>
      </c>
      <c r="O2047" s="20" t="s">
        <v>63</v>
      </c>
      <c r="P2047" s="20"/>
      <c r="Q2047" s="22"/>
      <c r="R2047" s="22"/>
      <c r="S2047" s="22"/>
      <c r="T2047" s="20"/>
      <c r="U2047" s="26"/>
      <c r="V2047" s="26"/>
      <c r="W2047" s="20"/>
      <c r="X2047" s="20"/>
      <c r="Y2047" s="20"/>
      <c r="Z2047" s="20"/>
      <c r="AA2047" s="20"/>
      <c r="AB2047" s="20"/>
      <c r="AC2047" s="20"/>
      <c r="AD2047" s="20"/>
      <c r="AE2047" s="20"/>
    </row>
    <row r="2048">
      <c r="A2048" s="21">
        <v>56.0</v>
      </c>
      <c r="B2048" s="20" t="s">
        <v>738</v>
      </c>
      <c r="C2048" s="20" t="s">
        <v>4825</v>
      </c>
      <c r="I2048" s="25" t="s">
        <v>3321</v>
      </c>
      <c r="J2048" s="25" t="s">
        <v>4436</v>
      </c>
      <c r="K2048" s="25" t="s">
        <v>71</v>
      </c>
      <c r="L2048" s="25" t="s">
        <v>4855</v>
      </c>
      <c r="M2048" s="20" t="s">
        <v>4439</v>
      </c>
      <c r="N2048" s="20" t="s">
        <v>4440</v>
      </c>
      <c r="O2048" s="20" t="s">
        <v>63</v>
      </c>
      <c r="P2048" s="20"/>
      <c r="Q2048" s="22"/>
      <c r="R2048" s="22"/>
      <c r="S2048" s="22"/>
      <c r="T2048" s="20"/>
      <c r="U2048" s="26"/>
      <c r="V2048" s="26"/>
      <c r="W2048" s="20"/>
      <c r="X2048" s="20"/>
      <c r="Y2048" s="20"/>
      <c r="Z2048" s="20"/>
      <c r="AA2048" s="20"/>
      <c r="AB2048" s="20"/>
      <c r="AC2048" s="20"/>
      <c r="AD2048" s="20"/>
      <c r="AE2048" s="20"/>
    </row>
    <row r="2049">
      <c r="A2049" s="21">
        <v>56.0</v>
      </c>
      <c r="B2049" s="20" t="s">
        <v>738</v>
      </c>
      <c r="C2049" s="20" t="s">
        <v>4825</v>
      </c>
      <c r="I2049" s="25" t="s">
        <v>257</v>
      </c>
      <c r="J2049" s="25" t="s">
        <v>4418</v>
      </c>
      <c r="K2049" s="25" t="s">
        <v>71</v>
      </c>
      <c r="L2049" s="25" t="s">
        <v>4855</v>
      </c>
      <c r="M2049" s="20" t="s">
        <v>61</v>
      </c>
      <c r="N2049" s="20" t="s">
        <v>259</v>
      </c>
      <c r="O2049" s="20" t="s">
        <v>63</v>
      </c>
      <c r="P2049" s="20"/>
      <c r="Q2049" s="22"/>
      <c r="R2049" s="22"/>
      <c r="S2049" s="22"/>
      <c r="T2049" s="20"/>
      <c r="U2049" s="26"/>
      <c r="V2049" s="26"/>
      <c r="W2049" s="20"/>
      <c r="X2049" s="20"/>
      <c r="Y2049" s="20"/>
      <c r="Z2049" s="20"/>
      <c r="AA2049" s="20"/>
      <c r="AB2049" s="20"/>
      <c r="AC2049" s="20"/>
      <c r="AD2049" s="20"/>
      <c r="AE2049" s="20"/>
    </row>
    <row r="2050">
      <c r="A2050" s="21">
        <v>56.0</v>
      </c>
      <c r="B2050" s="20" t="s">
        <v>738</v>
      </c>
      <c r="C2050" s="20" t="s">
        <v>4825</v>
      </c>
      <c r="I2050" s="25" t="s">
        <v>744</v>
      </c>
      <c r="J2050" s="25" t="s">
        <v>4418</v>
      </c>
      <c r="K2050" s="25" t="s">
        <v>71</v>
      </c>
      <c r="L2050" s="25" t="s">
        <v>4855</v>
      </c>
      <c r="M2050" s="20" t="s">
        <v>1621</v>
      </c>
      <c r="N2050" s="20" t="s">
        <v>1622</v>
      </c>
      <c r="O2050" s="20" t="s">
        <v>63</v>
      </c>
      <c r="P2050" s="20"/>
      <c r="Q2050" s="22"/>
      <c r="R2050" s="22"/>
      <c r="S2050" s="22"/>
      <c r="T2050" s="20"/>
      <c r="U2050" s="26"/>
      <c r="V2050" s="26"/>
      <c r="W2050" s="20"/>
      <c r="X2050" s="20"/>
      <c r="Y2050" s="20"/>
      <c r="Z2050" s="20"/>
      <c r="AA2050" s="20"/>
      <c r="AB2050" s="20"/>
      <c r="AC2050" s="20"/>
      <c r="AD2050" s="20"/>
      <c r="AE2050" s="20"/>
    </row>
    <row r="2051">
      <c r="A2051" s="21">
        <v>56.0</v>
      </c>
      <c r="B2051" s="20" t="s">
        <v>738</v>
      </c>
      <c r="C2051" s="20" t="s">
        <v>4825</v>
      </c>
      <c r="I2051" s="25" t="s">
        <v>704</v>
      </c>
      <c r="J2051" s="25" t="s">
        <v>4418</v>
      </c>
      <c r="K2051" s="25" t="s">
        <v>71</v>
      </c>
      <c r="L2051" s="25" t="s">
        <v>292</v>
      </c>
      <c r="M2051" s="20" t="s">
        <v>984</v>
      </c>
      <c r="N2051" s="20" t="s">
        <v>4430</v>
      </c>
      <c r="O2051" s="20" t="s">
        <v>63</v>
      </c>
      <c r="P2051" s="20" t="s">
        <v>52</v>
      </c>
      <c r="Q2051" s="22"/>
      <c r="R2051" s="22"/>
      <c r="S2051" s="22"/>
      <c r="T2051" s="22"/>
      <c r="U2051" s="26"/>
      <c r="V2051" s="26"/>
      <c r="W2051" s="20"/>
      <c r="X2051" s="20"/>
      <c r="Y2051" s="20"/>
      <c r="Z2051" s="20"/>
      <c r="AA2051" s="20"/>
      <c r="AB2051" s="20"/>
      <c r="AC2051" s="20"/>
      <c r="AD2051" s="20"/>
      <c r="AE2051" s="20"/>
    </row>
    <row r="2052">
      <c r="A2052" s="21">
        <v>56.0</v>
      </c>
      <c r="B2052" s="20" t="s">
        <v>738</v>
      </c>
      <c r="C2052" s="20" t="s">
        <v>4825</v>
      </c>
      <c r="I2052" s="25" t="s">
        <v>535</v>
      </c>
      <c r="J2052" s="25" t="s">
        <v>4418</v>
      </c>
      <c r="K2052" s="25" t="s">
        <v>71</v>
      </c>
      <c r="L2052" s="25" t="s">
        <v>4855</v>
      </c>
      <c r="M2052" s="20" t="s">
        <v>784</v>
      </c>
      <c r="N2052" s="20" t="s">
        <v>4431</v>
      </c>
      <c r="O2052" s="20" t="s">
        <v>63</v>
      </c>
      <c r="P2052" s="20"/>
      <c r="Q2052" s="22"/>
      <c r="R2052" s="22"/>
      <c r="S2052" s="22"/>
      <c r="T2052" s="20"/>
      <c r="U2052" s="26"/>
      <c r="V2052" s="26"/>
      <c r="W2052" s="20"/>
      <c r="X2052" s="20"/>
      <c r="Y2052" s="20"/>
      <c r="Z2052" s="20"/>
      <c r="AA2052" s="20"/>
      <c r="AB2052" s="20"/>
      <c r="AC2052" s="20"/>
      <c r="AD2052" s="20"/>
      <c r="AE2052" s="20"/>
    </row>
    <row r="2053">
      <c r="A2053" s="21">
        <v>56.0</v>
      </c>
      <c r="B2053" s="20" t="s">
        <v>738</v>
      </c>
      <c r="C2053" s="20" t="s">
        <v>4825</v>
      </c>
      <c r="I2053" s="25" t="s">
        <v>552</v>
      </c>
      <c r="J2053" s="25" t="s">
        <v>4418</v>
      </c>
      <c r="K2053" s="25" t="s">
        <v>71</v>
      </c>
      <c r="L2053" s="25" t="s">
        <v>4855</v>
      </c>
      <c r="M2053" s="20" t="s">
        <v>870</v>
      </c>
      <c r="N2053" s="20" t="s">
        <v>4239</v>
      </c>
      <c r="O2053" s="20" t="s">
        <v>63</v>
      </c>
      <c r="P2053" s="20"/>
      <c r="Q2053" s="22"/>
      <c r="R2053" s="22"/>
      <c r="S2053" s="22"/>
      <c r="T2053" s="20"/>
      <c r="U2053" s="26"/>
      <c r="V2053" s="26"/>
      <c r="W2053" s="20"/>
      <c r="X2053" s="20"/>
      <c r="Y2053" s="20"/>
      <c r="Z2053" s="20"/>
      <c r="AA2053" s="20"/>
      <c r="AB2053" s="20"/>
      <c r="AC2053" s="20"/>
      <c r="AD2053" s="20"/>
      <c r="AE2053" s="20"/>
    </row>
    <row r="2054">
      <c r="A2054" s="21">
        <v>56.0</v>
      </c>
      <c r="B2054" s="20" t="s">
        <v>738</v>
      </c>
      <c r="C2054" s="20" t="s">
        <v>4825</v>
      </c>
      <c r="I2054" s="25" t="s">
        <v>314</v>
      </c>
      <c r="J2054" s="25" t="s">
        <v>4436</v>
      </c>
      <c r="K2054" s="25" t="s">
        <v>71</v>
      </c>
      <c r="L2054" s="25" t="s">
        <v>292</v>
      </c>
      <c r="M2054" s="20" t="s">
        <v>61</v>
      </c>
      <c r="N2054" s="20" t="s">
        <v>4441</v>
      </c>
      <c r="O2054" s="20" t="s">
        <v>63</v>
      </c>
      <c r="P2054" s="20" t="s">
        <v>52</v>
      </c>
      <c r="Q2054" s="22"/>
      <c r="R2054" s="22"/>
      <c r="S2054" s="22"/>
      <c r="T2054" s="22"/>
      <c r="U2054" s="26"/>
      <c r="V2054" s="26"/>
      <c r="W2054" s="20"/>
      <c r="X2054" s="20"/>
      <c r="Y2054" s="20"/>
      <c r="Z2054" s="20"/>
      <c r="AA2054" s="20"/>
      <c r="AB2054" s="20"/>
      <c r="AC2054" s="20"/>
      <c r="AD2054" s="20"/>
      <c r="AE2054" s="20"/>
    </row>
    <row r="2055">
      <c r="A2055" s="21">
        <v>56.0</v>
      </c>
      <c r="B2055" s="20" t="s">
        <v>738</v>
      </c>
      <c r="C2055" s="20" t="s">
        <v>4825</v>
      </c>
      <c r="I2055" s="25" t="s">
        <v>703</v>
      </c>
      <c r="J2055" s="25" t="s">
        <v>4418</v>
      </c>
      <c r="K2055" s="25" t="s">
        <v>71</v>
      </c>
      <c r="L2055" s="25" t="s">
        <v>4855</v>
      </c>
      <c r="M2055" s="20" t="s">
        <v>4414</v>
      </c>
      <c r="N2055" s="20" t="s">
        <v>4415</v>
      </c>
      <c r="O2055" s="20" t="s">
        <v>63</v>
      </c>
      <c r="P2055" s="20"/>
      <c r="Q2055" s="22"/>
      <c r="R2055" s="22"/>
      <c r="S2055" s="22"/>
      <c r="T2055" s="20"/>
      <c r="U2055" s="26"/>
      <c r="V2055" s="26"/>
      <c r="W2055" s="20"/>
      <c r="X2055" s="20"/>
      <c r="Y2055" s="20"/>
      <c r="Z2055" s="20"/>
      <c r="AA2055" s="20"/>
      <c r="AB2055" s="20"/>
      <c r="AC2055" s="20"/>
      <c r="AD2055" s="20"/>
      <c r="AE2055" s="20"/>
    </row>
    <row r="2056">
      <c r="A2056" s="21">
        <v>56.0</v>
      </c>
      <c r="B2056" s="20" t="s">
        <v>738</v>
      </c>
      <c r="C2056" s="20" t="s">
        <v>4825</v>
      </c>
      <c r="I2056" s="25" t="s">
        <v>692</v>
      </c>
      <c r="J2056" s="25" t="s">
        <v>4418</v>
      </c>
      <c r="K2056" s="25" t="s">
        <v>71</v>
      </c>
      <c r="L2056" s="25" t="s">
        <v>4855</v>
      </c>
      <c r="M2056" s="20" t="s">
        <v>4319</v>
      </c>
      <c r="N2056" s="20" t="s">
        <v>4320</v>
      </c>
      <c r="O2056" s="20" t="s">
        <v>63</v>
      </c>
      <c r="P2056" s="20"/>
      <c r="Q2056" s="22"/>
      <c r="R2056" s="22"/>
      <c r="S2056" s="22"/>
      <c r="T2056" s="20"/>
      <c r="U2056" s="26"/>
      <c r="V2056" s="26"/>
      <c r="W2056" s="20"/>
      <c r="X2056" s="20"/>
      <c r="Y2056" s="20"/>
      <c r="Z2056" s="20"/>
      <c r="AA2056" s="20"/>
      <c r="AB2056" s="20"/>
      <c r="AC2056" s="20"/>
      <c r="AD2056" s="20"/>
      <c r="AE2056" s="20"/>
    </row>
    <row r="2057">
      <c r="A2057" s="21">
        <v>56.0</v>
      </c>
      <c r="B2057" s="20" t="s">
        <v>738</v>
      </c>
      <c r="C2057" s="20" t="s">
        <v>4825</v>
      </c>
      <c r="I2057" s="25" t="s">
        <v>731</v>
      </c>
      <c r="J2057" s="25" t="s">
        <v>4418</v>
      </c>
      <c r="K2057" s="25" t="s">
        <v>71</v>
      </c>
      <c r="L2057" s="25" t="s">
        <v>4855</v>
      </c>
      <c r="M2057" s="20" t="s">
        <v>4079</v>
      </c>
      <c r="N2057" s="20" t="s">
        <v>4432</v>
      </c>
      <c r="O2057" s="20" t="s">
        <v>63</v>
      </c>
      <c r="P2057" s="20"/>
      <c r="Q2057" s="22"/>
      <c r="R2057" s="22"/>
      <c r="S2057" s="22"/>
      <c r="T2057" s="26"/>
      <c r="U2057" s="26"/>
      <c r="V2057" s="26"/>
      <c r="W2057" s="20"/>
      <c r="X2057" s="20"/>
      <c r="Y2057" s="20"/>
      <c r="Z2057" s="20"/>
      <c r="AA2057" s="20"/>
      <c r="AB2057" s="20"/>
      <c r="AC2057" s="20"/>
      <c r="AD2057" s="20"/>
      <c r="AE2057" s="20"/>
    </row>
    <row r="2058">
      <c r="A2058" s="21">
        <v>56.0</v>
      </c>
      <c r="B2058" s="20" t="s">
        <v>738</v>
      </c>
      <c r="C2058" s="20" t="s">
        <v>4825</v>
      </c>
      <c r="I2058" s="25" t="s">
        <v>289</v>
      </c>
      <c r="J2058" s="25" t="s">
        <v>4418</v>
      </c>
      <c r="K2058" s="25" t="s">
        <v>71</v>
      </c>
      <c r="L2058" s="25" t="s">
        <v>4855</v>
      </c>
      <c r="M2058" s="20" t="s">
        <v>61</v>
      </c>
      <c r="N2058" s="20" t="s">
        <v>291</v>
      </c>
      <c r="O2058" s="20" t="s">
        <v>63</v>
      </c>
      <c r="P2058" s="20"/>
      <c r="Q2058" s="22"/>
      <c r="R2058" s="22"/>
      <c r="S2058" s="22"/>
      <c r="T2058" s="20"/>
      <c r="U2058" s="26"/>
      <c r="V2058" s="26"/>
      <c r="W2058" s="20"/>
      <c r="X2058" s="20"/>
      <c r="Y2058" s="20"/>
      <c r="Z2058" s="20"/>
      <c r="AA2058" s="20"/>
      <c r="AB2058" s="20"/>
      <c r="AC2058" s="20"/>
      <c r="AD2058" s="20"/>
      <c r="AE2058" s="20"/>
    </row>
    <row r="2059">
      <c r="A2059" s="21">
        <v>56.0</v>
      </c>
      <c r="B2059" s="20" t="s">
        <v>738</v>
      </c>
      <c r="C2059" s="20" t="s">
        <v>4825</v>
      </c>
      <c r="I2059" s="25" t="s">
        <v>705</v>
      </c>
      <c r="J2059" s="25" t="s">
        <v>4418</v>
      </c>
      <c r="K2059" s="25" t="s">
        <v>71</v>
      </c>
      <c r="L2059" s="25" t="s">
        <v>4855</v>
      </c>
      <c r="M2059" s="20" t="s">
        <v>61</v>
      </c>
      <c r="N2059" s="20" t="s">
        <v>4433</v>
      </c>
      <c r="O2059" s="20" t="s">
        <v>63</v>
      </c>
      <c r="P2059" s="20"/>
      <c r="Q2059" s="22"/>
      <c r="R2059" s="22"/>
      <c r="S2059" s="22"/>
      <c r="T2059" s="20"/>
      <c r="U2059" s="26"/>
      <c r="V2059" s="26"/>
      <c r="W2059" s="20"/>
      <c r="X2059" s="20"/>
      <c r="Y2059" s="20"/>
      <c r="Z2059" s="20"/>
      <c r="AA2059" s="20"/>
      <c r="AB2059" s="20"/>
      <c r="AC2059" s="20"/>
      <c r="AD2059" s="20"/>
      <c r="AE2059" s="20"/>
    </row>
    <row r="2060">
      <c r="A2060" s="21">
        <v>56.0</v>
      </c>
      <c r="B2060" s="20" t="s">
        <v>738</v>
      </c>
      <c r="C2060" s="20" t="s">
        <v>4825</v>
      </c>
      <c r="I2060" s="25" t="s">
        <v>732</v>
      </c>
      <c r="J2060" s="25" t="s">
        <v>4418</v>
      </c>
      <c r="K2060" s="25" t="s">
        <v>71</v>
      </c>
      <c r="L2060" s="25" t="s">
        <v>4855</v>
      </c>
      <c r="M2060" s="20" t="s">
        <v>840</v>
      </c>
      <c r="N2060" s="20" t="s">
        <v>4250</v>
      </c>
      <c r="O2060" s="20" t="s">
        <v>63</v>
      </c>
      <c r="P2060" s="20"/>
      <c r="Q2060" s="22"/>
      <c r="R2060" s="22"/>
      <c r="S2060" s="22"/>
      <c r="T2060" s="20"/>
      <c r="U2060" s="26"/>
      <c r="V2060" s="26"/>
      <c r="W2060" s="20"/>
      <c r="X2060" s="20"/>
      <c r="Y2060" s="20"/>
      <c r="Z2060" s="20"/>
      <c r="AA2060" s="20"/>
      <c r="AB2060" s="20"/>
      <c r="AC2060" s="20"/>
      <c r="AD2060" s="20"/>
      <c r="AE2060" s="20"/>
    </row>
    <row r="2061">
      <c r="A2061" s="21">
        <v>56.0</v>
      </c>
      <c r="B2061" s="20" t="s">
        <v>738</v>
      </c>
      <c r="C2061" s="20" t="s">
        <v>4825</v>
      </c>
      <c r="I2061" s="25" t="s">
        <v>4199</v>
      </c>
      <c r="J2061" s="25" t="s">
        <v>4418</v>
      </c>
      <c r="K2061" s="25" t="s">
        <v>71</v>
      </c>
      <c r="L2061" s="25" t="s">
        <v>4855</v>
      </c>
      <c r="M2061" s="20" t="s">
        <v>4434</v>
      </c>
      <c r="N2061" s="20" t="s">
        <v>4435</v>
      </c>
      <c r="O2061" s="20" t="s">
        <v>63</v>
      </c>
      <c r="P2061" s="20"/>
      <c r="Q2061" s="22"/>
      <c r="R2061" s="22"/>
      <c r="S2061" s="22"/>
      <c r="T2061" s="26"/>
      <c r="U2061" s="26"/>
      <c r="V2061" s="26"/>
      <c r="W2061" s="20"/>
      <c r="X2061" s="20"/>
      <c r="Y2061" s="20"/>
      <c r="Z2061" s="20"/>
      <c r="AA2061" s="20"/>
      <c r="AB2061" s="20"/>
      <c r="AC2061" s="20"/>
      <c r="AD2061" s="20"/>
      <c r="AE2061" s="20"/>
    </row>
    <row r="2062">
      <c r="A2062" s="21">
        <v>57.0</v>
      </c>
      <c r="B2062" s="20" t="s">
        <v>94</v>
      </c>
      <c r="C2062" s="20" t="s">
        <v>5061</v>
      </c>
      <c r="D2062" s="35">
        <v>50.0</v>
      </c>
      <c r="E2062" s="35">
        <v>4.0</v>
      </c>
      <c r="F2062" s="35">
        <v>7.0</v>
      </c>
      <c r="G2062" s="35">
        <v>39.0</v>
      </c>
      <c r="H2062" s="36" t="s">
        <v>5062</v>
      </c>
      <c r="I2062" s="25" t="s">
        <v>2545</v>
      </c>
      <c r="J2062" s="25" t="s">
        <v>4442</v>
      </c>
      <c r="K2062" s="25" t="s">
        <v>57</v>
      </c>
      <c r="L2062" s="25" t="s">
        <v>5063</v>
      </c>
      <c r="M2062" s="20" t="s">
        <v>4443</v>
      </c>
      <c r="N2062" s="20" t="s">
        <v>4444</v>
      </c>
      <c r="O2062" s="20" t="s">
        <v>63</v>
      </c>
      <c r="P2062" s="20"/>
      <c r="Q2062" s="22"/>
      <c r="R2062" s="22"/>
      <c r="S2062" s="22"/>
      <c r="T2062" s="26"/>
      <c r="U2062" s="26"/>
      <c r="V2062" s="26"/>
      <c r="W2062" s="20"/>
      <c r="X2062" s="20"/>
      <c r="Y2062" s="20"/>
      <c r="Z2062" s="20"/>
      <c r="AA2062" s="20"/>
      <c r="AB2062" s="20"/>
      <c r="AC2062" s="20"/>
      <c r="AD2062" s="20"/>
      <c r="AE2062" s="20"/>
    </row>
    <row r="2063">
      <c r="A2063" s="21">
        <v>57.0</v>
      </c>
      <c r="B2063" s="20" t="s">
        <v>94</v>
      </c>
      <c r="C2063" s="20" t="s">
        <v>5061</v>
      </c>
      <c r="I2063" s="25" t="s">
        <v>4449</v>
      </c>
      <c r="J2063" s="25" t="s">
        <v>4448</v>
      </c>
      <c r="K2063" s="25" t="s">
        <v>57</v>
      </c>
      <c r="L2063" s="25" t="s">
        <v>5066</v>
      </c>
      <c r="M2063" s="20" t="s">
        <v>4450</v>
      </c>
      <c r="N2063" s="20" t="s">
        <v>4451</v>
      </c>
      <c r="O2063" s="20" t="s">
        <v>63</v>
      </c>
      <c r="P2063" s="20"/>
      <c r="Q2063" s="22"/>
      <c r="R2063" s="22"/>
      <c r="S2063" s="22"/>
      <c r="T2063" s="26"/>
      <c r="U2063" s="26"/>
      <c r="V2063" s="26"/>
      <c r="W2063" s="20"/>
      <c r="X2063" s="20"/>
      <c r="Y2063" s="20"/>
      <c r="Z2063" s="20"/>
      <c r="AA2063" s="20"/>
      <c r="AB2063" s="20"/>
      <c r="AC2063" s="20"/>
      <c r="AD2063" s="20"/>
      <c r="AE2063" s="20"/>
    </row>
    <row r="2064">
      <c r="A2064" s="21">
        <v>57.0</v>
      </c>
      <c r="B2064" s="20" t="s">
        <v>94</v>
      </c>
      <c r="C2064" s="20" t="s">
        <v>5061</v>
      </c>
      <c r="I2064" s="25" t="s">
        <v>4445</v>
      </c>
      <c r="J2064" s="25" t="s">
        <v>4442</v>
      </c>
      <c r="K2064" s="25" t="s">
        <v>57</v>
      </c>
      <c r="L2064" s="25" t="s">
        <v>5069</v>
      </c>
      <c r="M2064" s="20" t="s">
        <v>4446</v>
      </c>
      <c r="N2064" s="20" t="s">
        <v>4447</v>
      </c>
      <c r="O2064" s="20" t="s">
        <v>63</v>
      </c>
      <c r="P2064" s="20"/>
      <c r="Q2064" s="22"/>
      <c r="R2064" s="22"/>
      <c r="S2064" s="22"/>
      <c r="T2064" s="20"/>
      <c r="U2064" s="26"/>
      <c r="V2064" s="26"/>
      <c r="W2064" s="20"/>
      <c r="X2064" s="20"/>
      <c r="Y2064" s="20"/>
      <c r="Z2064" s="20"/>
      <c r="AA2064" s="20"/>
      <c r="AB2064" s="20"/>
      <c r="AC2064" s="20"/>
      <c r="AD2064" s="20"/>
      <c r="AE2064" s="20"/>
    </row>
    <row r="2065">
      <c r="A2065" s="21">
        <v>57.0</v>
      </c>
      <c r="B2065" s="20" t="s">
        <v>94</v>
      </c>
      <c r="C2065" s="20" t="s">
        <v>5061</v>
      </c>
      <c r="I2065" s="25" t="s">
        <v>4452</v>
      </c>
      <c r="J2065" s="25" t="s">
        <v>4448</v>
      </c>
      <c r="K2065" s="25" t="s">
        <v>57</v>
      </c>
      <c r="L2065" s="25" t="s">
        <v>5071</v>
      </c>
      <c r="M2065" s="20" t="s">
        <v>4453</v>
      </c>
      <c r="N2065" s="20" t="s">
        <v>4454</v>
      </c>
      <c r="O2065" s="20" t="s">
        <v>63</v>
      </c>
      <c r="P2065" s="20"/>
      <c r="Q2065" s="22"/>
      <c r="R2065" s="22"/>
      <c r="S2065" s="22"/>
      <c r="T2065" s="26"/>
      <c r="U2065" s="26"/>
      <c r="V2065" s="26"/>
      <c r="W2065" s="20"/>
      <c r="X2065" s="20"/>
      <c r="Y2065" s="20"/>
      <c r="Z2065" s="20"/>
      <c r="AA2065" s="20"/>
      <c r="AB2065" s="20"/>
      <c r="AC2065" s="20"/>
      <c r="AD2065" s="20"/>
      <c r="AE2065" s="20"/>
    </row>
    <row r="2066">
      <c r="A2066" s="21">
        <v>57.0</v>
      </c>
      <c r="B2066" s="20" t="s">
        <v>94</v>
      </c>
      <c r="C2066" s="20" t="s">
        <v>5061</v>
      </c>
      <c r="I2066" s="25" t="s">
        <v>81</v>
      </c>
      <c r="J2066" s="25" t="s">
        <v>4442</v>
      </c>
      <c r="K2066" s="25" t="s">
        <v>67</v>
      </c>
      <c r="L2066" s="25" t="s">
        <v>5073</v>
      </c>
      <c r="M2066" s="20" t="s">
        <v>4469</v>
      </c>
      <c r="N2066" s="20" t="s">
        <v>4470</v>
      </c>
      <c r="O2066" s="20" t="s">
        <v>63</v>
      </c>
      <c r="P2066" s="20"/>
      <c r="Q2066" s="22"/>
      <c r="R2066" s="22"/>
      <c r="S2066" s="22"/>
      <c r="T2066" s="20"/>
      <c r="U2066" s="26"/>
      <c r="V2066" s="26"/>
      <c r="W2066" s="20"/>
      <c r="X2066" s="20"/>
      <c r="Y2066" s="20"/>
      <c r="Z2066" s="20"/>
      <c r="AA2066" s="20"/>
      <c r="AB2066" s="20"/>
      <c r="AC2066" s="20"/>
      <c r="AD2066" s="20"/>
      <c r="AE2066" s="20"/>
    </row>
    <row r="2067">
      <c r="A2067" s="21">
        <v>57.0</v>
      </c>
      <c r="B2067" s="20" t="s">
        <v>94</v>
      </c>
      <c r="C2067" s="20" t="s">
        <v>5061</v>
      </c>
      <c r="I2067" s="25" t="s">
        <v>457</v>
      </c>
      <c r="J2067" s="25" t="s">
        <v>4442</v>
      </c>
      <c r="K2067" s="25" t="s">
        <v>71</v>
      </c>
      <c r="L2067" s="25" t="s">
        <v>5074</v>
      </c>
      <c r="M2067" s="20" t="s">
        <v>4474</v>
      </c>
      <c r="N2067" s="20" t="s">
        <v>4475</v>
      </c>
      <c r="O2067" s="20" t="s">
        <v>63</v>
      </c>
      <c r="P2067" s="20"/>
      <c r="Q2067" s="22"/>
      <c r="R2067" s="22"/>
      <c r="S2067" s="22"/>
      <c r="T2067" s="26"/>
      <c r="U2067" s="26"/>
      <c r="V2067" s="26"/>
      <c r="W2067" s="20"/>
      <c r="X2067" s="20"/>
      <c r="Y2067" s="20"/>
      <c r="Z2067" s="20"/>
      <c r="AA2067" s="20"/>
      <c r="AB2067" s="20"/>
      <c r="AC2067" s="20"/>
      <c r="AD2067" s="20"/>
      <c r="AE2067" s="20"/>
    </row>
    <row r="2068">
      <c r="A2068" s="21">
        <v>57.0</v>
      </c>
      <c r="B2068" s="20" t="s">
        <v>94</v>
      </c>
      <c r="C2068" s="20" t="s">
        <v>5061</v>
      </c>
      <c r="I2068" s="25" t="s">
        <v>98</v>
      </c>
      <c r="J2068" s="25" t="s">
        <v>4442</v>
      </c>
      <c r="K2068" s="25" t="s">
        <v>71</v>
      </c>
      <c r="L2068" s="25" t="s">
        <v>5076</v>
      </c>
      <c r="M2068" s="20" t="s">
        <v>4476</v>
      </c>
      <c r="N2068" s="20" t="s">
        <v>4477</v>
      </c>
      <c r="O2068" s="20" t="s">
        <v>63</v>
      </c>
      <c r="P2068" s="20"/>
      <c r="Q2068" s="22"/>
      <c r="R2068" s="22"/>
      <c r="S2068" s="22"/>
      <c r="T2068" s="26"/>
      <c r="U2068" s="26"/>
      <c r="V2068" s="26"/>
      <c r="W2068" s="20"/>
      <c r="X2068" s="20"/>
      <c r="Y2068" s="20"/>
      <c r="Z2068" s="20"/>
      <c r="AA2068" s="20"/>
      <c r="AB2068" s="20"/>
      <c r="AC2068" s="20"/>
      <c r="AD2068" s="20"/>
      <c r="AE2068" s="20"/>
    </row>
    <row r="2069">
      <c r="A2069" s="21">
        <v>57.0</v>
      </c>
      <c r="B2069" s="20" t="s">
        <v>94</v>
      </c>
      <c r="C2069" s="20" t="s">
        <v>5061</v>
      </c>
      <c r="I2069" s="25" t="s">
        <v>833</v>
      </c>
      <c r="J2069" s="25" t="s">
        <v>4442</v>
      </c>
      <c r="K2069" s="25" t="s">
        <v>71</v>
      </c>
      <c r="L2069" s="25" t="s">
        <v>5078</v>
      </c>
      <c r="M2069" s="20" t="s">
        <v>4478</v>
      </c>
      <c r="N2069" s="20" t="s">
        <v>4479</v>
      </c>
      <c r="O2069" s="20" t="s">
        <v>63</v>
      </c>
      <c r="P2069" s="20"/>
      <c r="Q2069" s="22"/>
      <c r="R2069" s="22"/>
      <c r="S2069" s="22"/>
      <c r="T2069" s="26"/>
      <c r="U2069" s="26"/>
      <c r="V2069" s="26"/>
      <c r="W2069" s="20"/>
      <c r="X2069" s="20"/>
      <c r="Y2069" s="20"/>
      <c r="Z2069" s="20"/>
      <c r="AA2069" s="20"/>
      <c r="AB2069" s="20"/>
      <c r="AC2069" s="20"/>
      <c r="AD2069" s="20"/>
      <c r="AE2069" s="20"/>
    </row>
    <row r="2070">
      <c r="A2070" s="21">
        <v>57.0</v>
      </c>
      <c r="B2070" s="20" t="s">
        <v>94</v>
      </c>
      <c r="C2070" s="20" t="s">
        <v>5061</v>
      </c>
      <c r="I2070" s="25" t="s">
        <v>4512</v>
      </c>
      <c r="J2070" s="25" t="s">
        <v>4448</v>
      </c>
      <c r="K2070" s="25" t="s">
        <v>71</v>
      </c>
      <c r="L2070" s="25" t="s">
        <v>4742</v>
      </c>
      <c r="M2070" s="20" t="s">
        <v>4513</v>
      </c>
      <c r="N2070" s="20" t="s">
        <v>4514</v>
      </c>
      <c r="O2070" s="20" t="s">
        <v>63</v>
      </c>
      <c r="P2070" s="20"/>
      <c r="Q2070" s="22"/>
      <c r="R2070" s="22"/>
      <c r="S2070" s="22"/>
      <c r="T2070" s="26"/>
      <c r="U2070" s="26"/>
      <c r="V2070" s="26"/>
      <c r="W2070" s="20"/>
      <c r="X2070" s="20"/>
      <c r="Y2070" s="20"/>
      <c r="Z2070" s="20"/>
      <c r="AA2070" s="20"/>
      <c r="AB2070" s="20"/>
      <c r="AC2070" s="20"/>
      <c r="AD2070" s="20"/>
      <c r="AE2070" s="20"/>
    </row>
    <row r="2071">
      <c r="A2071" s="21">
        <v>57.0</v>
      </c>
      <c r="B2071" s="20" t="s">
        <v>94</v>
      </c>
      <c r="C2071" s="20" t="s">
        <v>5061</v>
      </c>
      <c r="I2071" s="25" t="s">
        <v>4455</v>
      </c>
      <c r="J2071" s="25" t="s">
        <v>4442</v>
      </c>
      <c r="K2071" s="25" t="s">
        <v>67</v>
      </c>
      <c r="L2071" s="25" t="s">
        <v>1025</v>
      </c>
      <c r="M2071" s="20" t="s">
        <v>4456</v>
      </c>
      <c r="N2071" s="20" t="s">
        <v>4457</v>
      </c>
      <c r="O2071" s="20" t="s">
        <v>56</v>
      </c>
      <c r="P2071" s="20" t="s">
        <v>52</v>
      </c>
      <c r="Q2071" s="22"/>
      <c r="R2071" s="22"/>
      <c r="S2071" s="22"/>
      <c r="T2071" s="22"/>
      <c r="U2071" s="26"/>
      <c r="V2071" s="26"/>
      <c r="W2071" s="20"/>
      <c r="X2071" s="20"/>
      <c r="Y2071" s="20"/>
      <c r="Z2071" s="20"/>
      <c r="AA2071" s="20"/>
      <c r="AB2071" s="20"/>
      <c r="AC2071" s="20"/>
      <c r="AD2071" s="20"/>
      <c r="AE2071" s="20"/>
    </row>
    <row r="2072">
      <c r="A2072" s="21">
        <v>57.0</v>
      </c>
      <c r="B2072" s="20" t="s">
        <v>94</v>
      </c>
      <c r="C2072" s="20" t="s">
        <v>5061</v>
      </c>
      <c r="I2072" s="25" t="s">
        <v>186</v>
      </c>
      <c r="J2072" s="25" t="s">
        <v>4442</v>
      </c>
      <c r="K2072" s="25" t="s">
        <v>71</v>
      </c>
      <c r="L2072" s="25" t="s">
        <v>4742</v>
      </c>
      <c r="M2072" s="20" t="s">
        <v>4480</v>
      </c>
      <c r="N2072" s="20" t="s">
        <v>4481</v>
      </c>
      <c r="O2072" s="20" t="s">
        <v>63</v>
      </c>
      <c r="P2072" s="20"/>
      <c r="Q2072" s="22"/>
      <c r="R2072" s="22"/>
      <c r="S2072" s="22"/>
      <c r="T2072" s="26"/>
      <c r="U2072" s="26"/>
      <c r="V2072" s="26"/>
      <c r="W2072" s="20"/>
      <c r="X2072" s="20"/>
      <c r="Y2072" s="20"/>
      <c r="Z2072" s="20"/>
      <c r="AA2072" s="20"/>
      <c r="AB2072" s="20"/>
      <c r="AC2072" s="20"/>
      <c r="AD2072" s="20"/>
      <c r="AE2072" s="20"/>
    </row>
    <row r="2073">
      <c r="A2073" s="21">
        <v>57.0</v>
      </c>
      <c r="B2073" s="20" t="s">
        <v>94</v>
      </c>
      <c r="C2073" s="20" t="s">
        <v>5061</v>
      </c>
      <c r="I2073" s="25" t="s">
        <v>3068</v>
      </c>
      <c r="J2073" s="25" t="s">
        <v>4448</v>
      </c>
      <c r="K2073" s="25" t="s">
        <v>67</v>
      </c>
      <c r="L2073" s="25" t="s">
        <v>1025</v>
      </c>
      <c r="M2073" s="20" t="s">
        <v>4464</v>
      </c>
      <c r="N2073" s="20" t="s">
        <v>4465</v>
      </c>
      <c r="O2073" s="20" t="s">
        <v>56</v>
      </c>
      <c r="P2073" s="20" t="s">
        <v>52</v>
      </c>
      <c r="Q2073" s="22"/>
      <c r="R2073" s="22"/>
      <c r="S2073" s="22"/>
      <c r="T2073" s="22"/>
      <c r="U2073" s="26"/>
      <c r="V2073" s="26"/>
      <c r="W2073" s="20"/>
      <c r="X2073" s="20"/>
      <c r="Y2073" s="20"/>
      <c r="Z2073" s="20"/>
      <c r="AA2073" s="20"/>
      <c r="AB2073" s="20"/>
      <c r="AC2073" s="20"/>
      <c r="AD2073" s="20"/>
      <c r="AE2073" s="20"/>
    </row>
    <row r="2074">
      <c r="A2074" s="21">
        <v>57.0</v>
      </c>
      <c r="B2074" s="20" t="s">
        <v>94</v>
      </c>
      <c r="C2074" s="20" t="s">
        <v>5061</v>
      </c>
      <c r="I2074" s="25" t="s">
        <v>2895</v>
      </c>
      <c r="J2074" s="25" t="s">
        <v>4448</v>
      </c>
      <c r="K2074" s="25" t="s">
        <v>67</v>
      </c>
      <c r="L2074" s="25" t="s">
        <v>1025</v>
      </c>
      <c r="M2074" s="20" t="s">
        <v>2896</v>
      </c>
      <c r="N2074" s="20" t="s">
        <v>4466</v>
      </c>
      <c r="O2074" s="20" t="s">
        <v>56</v>
      </c>
      <c r="P2074" s="20" t="s">
        <v>52</v>
      </c>
      <c r="Q2074" s="22"/>
      <c r="R2074" s="22"/>
      <c r="S2074" s="22"/>
      <c r="T2074" s="22"/>
      <c r="U2074" s="26"/>
      <c r="V2074" s="26"/>
      <c r="W2074" s="20"/>
      <c r="X2074" s="20"/>
      <c r="Y2074" s="20"/>
      <c r="Z2074" s="20"/>
      <c r="AA2074" s="20"/>
      <c r="AB2074" s="20"/>
      <c r="AC2074" s="20"/>
      <c r="AD2074" s="20"/>
      <c r="AE2074" s="20"/>
    </row>
    <row r="2075">
      <c r="A2075" s="21">
        <v>57.0</v>
      </c>
      <c r="B2075" s="20" t="s">
        <v>94</v>
      </c>
      <c r="C2075" s="20" t="s">
        <v>5061</v>
      </c>
      <c r="I2075" s="25" t="s">
        <v>1356</v>
      </c>
      <c r="J2075" s="25" t="s">
        <v>4442</v>
      </c>
      <c r="K2075" s="25" t="s">
        <v>67</v>
      </c>
      <c r="L2075" s="25" t="s">
        <v>1025</v>
      </c>
      <c r="M2075" s="20" t="s">
        <v>4458</v>
      </c>
      <c r="N2075" s="20" t="s">
        <v>4459</v>
      </c>
      <c r="O2075" s="20" t="s">
        <v>56</v>
      </c>
      <c r="P2075" s="20" t="s">
        <v>52</v>
      </c>
      <c r="Q2075" s="22"/>
      <c r="R2075" s="22"/>
      <c r="S2075" s="22"/>
      <c r="T2075" s="22"/>
      <c r="U2075" s="26"/>
      <c r="V2075" s="26"/>
      <c r="W2075" s="20"/>
      <c r="X2075" s="20"/>
      <c r="Y2075" s="20"/>
      <c r="Z2075" s="20"/>
      <c r="AA2075" s="20"/>
      <c r="AB2075" s="20"/>
      <c r="AC2075" s="20"/>
      <c r="AD2075" s="20"/>
      <c r="AE2075" s="20"/>
    </row>
    <row r="2076">
      <c r="A2076" s="21">
        <v>57.0</v>
      </c>
      <c r="B2076" s="20" t="s">
        <v>94</v>
      </c>
      <c r="C2076" s="20" t="s">
        <v>5061</v>
      </c>
      <c r="I2076" s="25" t="s">
        <v>4515</v>
      </c>
      <c r="J2076" s="25" t="s">
        <v>4448</v>
      </c>
      <c r="K2076" s="25" t="s">
        <v>71</v>
      </c>
      <c r="L2076" s="25" t="s">
        <v>5076</v>
      </c>
      <c r="M2076" s="20" t="s">
        <v>4516</v>
      </c>
      <c r="N2076" s="20" t="s">
        <v>4517</v>
      </c>
      <c r="O2076" s="20" t="s">
        <v>63</v>
      </c>
      <c r="P2076" s="20"/>
      <c r="Q2076" s="22"/>
      <c r="R2076" s="22"/>
      <c r="S2076" s="22"/>
      <c r="T2076" s="26"/>
      <c r="U2076" s="26"/>
      <c r="V2076" s="26"/>
      <c r="W2076" s="20"/>
      <c r="X2076" s="20"/>
      <c r="Y2076" s="20"/>
      <c r="Z2076" s="20"/>
      <c r="AA2076" s="20"/>
      <c r="AB2076" s="20"/>
      <c r="AC2076" s="20"/>
      <c r="AD2076" s="20"/>
      <c r="AE2076" s="20"/>
    </row>
    <row r="2077">
      <c r="A2077" s="21">
        <v>57.0</v>
      </c>
      <c r="B2077" s="20" t="s">
        <v>94</v>
      </c>
      <c r="C2077" s="20" t="s">
        <v>5061</v>
      </c>
      <c r="I2077" s="25" t="s">
        <v>101</v>
      </c>
      <c r="J2077" s="25" t="s">
        <v>4448</v>
      </c>
      <c r="K2077" s="25" t="s">
        <v>71</v>
      </c>
      <c r="L2077" s="25" t="s">
        <v>5074</v>
      </c>
      <c r="M2077" s="20" t="s">
        <v>3197</v>
      </c>
      <c r="N2077" s="20" t="s">
        <v>4518</v>
      </c>
      <c r="O2077" s="20" t="s">
        <v>63</v>
      </c>
      <c r="P2077" s="20"/>
      <c r="Q2077" s="22"/>
      <c r="R2077" s="22"/>
      <c r="S2077" s="22"/>
      <c r="T2077" s="20"/>
      <c r="U2077" s="26"/>
      <c r="V2077" s="26"/>
      <c r="W2077" s="20"/>
      <c r="X2077" s="20"/>
      <c r="Y2077" s="20"/>
      <c r="Z2077" s="20"/>
      <c r="AA2077" s="20"/>
      <c r="AB2077" s="20"/>
      <c r="AC2077" s="20"/>
      <c r="AD2077" s="20"/>
      <c r="AE2077" s="20"/>
    </row>
    <row r="2078">
      <c r="A2078" s="21">
        <v>57.0</v>
      </c>
      <c r="B2078" s="20" t="s">
        <v>94</v>
      </c>
      <c r="C2078" s="20" t="s">
        <v>5061</v>
      </c>
      <c r="I2078" s="25" t="s">
        <v>107</v>
      </c>
      <c r="J2078" s="25" t="s">
        <v>4448</v>
      </c>
      <c r="K2078" s="25" t="s">
        <v>71</v>
      </c>
      <c r="L2078" s="25" t="s">
        <v>5074</v>
      </c>
      <c r="M2078" s="20" t="s">
        <v>61</v>
      </c>
      <c r="N2078" s="20" t="s">
        <v>108</v>
      </c>
      <c r="O2078" s="20" t="s">
        <v>63</v>
      </c>
      <c r="P2078" s="20"/>
      <c r="Q2078" s="22"/>
      <c r="R2078" s="22"/>
      <c r="S2078" s="22"/>
      <c r="T2078" s="20"/>
      <c r="U2078" s="26"/>
      <c r="V2078" s="26"/>
      <c r="W2078" s="20"/>
      <c r="X2078" s="20"/>
      <c r="Y2078" s="20"/>
      <c r="Z2078" s="20"/>
      <c r="AA2078" s="20"/>
      <c r="AB2078" s="20"/>
      <c r="AC2078" s="20"/>
      <c r="AD2078" s="20"/>
      <c r="AE2078" s="20"/>
    </row>
    <row r="2079">
      <c r="A2079" s="21">
        <v>57.0</v>
      </c>
      <c r="B2079" s="20" t="s">
        <v>94</v>
      </c>
      <c r="C2079" s="20" t="s">
        <v>5061</v>
      </c>
      <c r="I2079" s="25" t="s">
        <v>2804</v>
      </c>
      <c r="J2079" s="25" t="s">
        <v>4448</v>
      </c>
      <c r="K2079" s="25" t="s">
        <v>71</v>
      </c>
      <c r="L2079" s="25" t="s">
        <v>5076</v>
      </c>
      <c r="M2079" s="20" t="s">
        <v>3426</v>
      </c>
      <c r="N2079" s="20" t="s">
        <v>4519</v>
      </c>
      <c r="O2079" s="20" t="s">
        <v>63</v>
      </c>
      <c r="P2079" s="20"/>
      <c r="Q2079" s="22"/>
      <c r="R2079" s="22"/>
      <c r="S2079" s="22"/>
      <c r="T2079" s="26"/>
      <c r="U2079" s="26"/>
      <c r="V2079" s="26"/>
      <c r="W2079" s="20"/>
      <c r="X2079" s="20"/>
      <c r="Y2079" s="20"/>
      <c r="Z2079" s="20"/>
      <c r="AA2079" s="20"/>
      <c r="AB2079" s="20"/>
      <c r="AC2079" s="20"/>
      <c r="AD2079" s="20"/>
      <c r="AE2079" s="20"/>
    </row>
    <row r="2080">
      <c r="A2080" s="21">
        <v>57.0</v>
      </c>
      <c r="B2080" s="20" t="s">
        <v>94</v>
      </c>
      <c r="C2080" s="20" t="s">
        <v>5061</v>
      </c>
      <c r="I2080" s="25" t="s">
        <v>2793</v>
      </c>
      <c r="J2080" s="25" t="s">
        <v>4442</v>
      </c>
      <c r="K2080" s="25" t="s">
        <v>71</v>
      </c>
      <c r="L2080" s="25" t="s">
        <v>5076</v>
      </c>
      <c r="M2080" s="20" t="s">
        <v>4482</v>
      </c>
      <c r="N2080" s="20" t="s">
        <v>4483</v>
      </c>
      <c r="O2080" s="20" t="s">
        <v>63</v>
      </c>
      <c r="P2080" s="20"/>
      <c r="Q2080" s="22"/>
      <c r="R2080" s="22"/>
      <c r="S2080" s="22"/>
      <c r="T2080" s="26"/>
      <c r="U2080" s="26"/>
      <c r="V2080" s="26"/>
      <c r="W2080" s="20"/>
      <c r="X2080" s="20"/>
      <c r="Y2080" s="20"/>
      <c r="Z2080" s="20"/>
      <c r="AA2080" s="20"/>
      <c r="AB2080" s="20"/>
      <c r="AC2080" s="20"/>
      <c r="AD2080" s="20"/>
      <c r="AE2080" s="20"/>
    </row>
    <row r="2081">
      <c r="A2081" s="21">
        <v>57.0</v>
      </c>
      <c r="B2081" s="20" t="s">
        <v>94</v>
      </c>
      <c r="C2081" s="20" t="s">
        <v>5061</v>
      </c>
      <c r="I2081" s="25" t="s">
        <v>1690</v>
      </c>
      <c r="J2081" s="25" t="s">
        <v>4448</v>
      </c>
      <c r="K2081" s="25" t="s">
        <v>71</v>
      </c>
      <c r="L2081" s="25" t="s">
        <v>4742</v>
      </c>
      <c r="M2081" s="20" t="s">
        <v>1691</v>
      </c>
      <c r="N2081" s="20" t="s">
        <v>4520</v>
      </c>
      <c r="O2081" s="20" t="s">
        <v>63</v>
      </c>
      <c r="P2081" s="20"/>
      <c r="Q2081" s="22"/>
      <c r="R2081" s="22"/>
      <c r="S2081" s="22"/>
      <c r="T2081" s="26"/>
      <c r="U2081" s="26"/>
      <c r="V2081" s="26"/>
      <c r="W2081" s="20"/>
      <c r="X2081" s="20"/>
      <c r="Y2081" s="20"/>
      <c r="Z2081" s="20"/>
      <c r="AA2081" s="20"/>
      <c r="AB2081" s="20"/>
      <c r="AC2081" s="20"/>
      <c r="AD2081" s="20"/>
      <c r="AE2081" s="20"/>
    </row>
    <row r="2082">
      <c r="A2082" s="21">
        <v>57.0</v>
      </c>
      <c r="B2082" s="20" t="s">
        <v>94</v>
      </c>
      <c r="C2082" s="20" t="s">
        <v>5061</v>
      </c>
      <c r="I2082" s="25" t="s">
        <v>109</v>
      </c>
      <c r="J2082" s="25" t="s">
        <v>4442</v>
      </c>
      <c r="K2082" s="25" t="s">
        <v>71</v>
      </c>
      <c r="L2082" s="25" t="s">
        <v>5074</v>
      </c>
      <c r="M2082" s="20" t="s">
        <v>61</v>
      </c>
      <c r="N2082" s="20" t="s">
        <v>4484</v>
      </c>
      <c r="O2082" s="20" t="s">
        <v>63</v>
      </c>
      <c r="P2082" s="20"/>
      <c r="Q2082" s="22"/>
      <c r="R2082" s="22"/>
      <c r="S2082" s="22"/>
      <c r="T2082" s="26"/>
      <c r="U2082" s="26"/>
      <c r="V2082" s="26"/>
      <c r="W2082" s="20"/>
      <c r="X2082" s="20"/>
      <c r="Y2082" s="20"/>
      <c r="Z2082" s="20"/>
      <c r="AA2082" s="20"/>
      <c r="AB2082" s="20"/>
      <c r="AC2082" s="20"/>
      <c r="AD2082" s="20"/>
      <c r="AE2082" s="20"/>
    </row>
    <row r="2083">
      <c r="A2083" s="21">
        <v>57.0</v>
      </c>
      <c r="B2083" s="20" t="s">
        <v>94</v>
      </c>
      <c r="C2083" s="20" t="s">
        <v>5061</v>
      </c>
      <c r="I2083" s="25" t="s">
        <v>4084</v>
      </c>
      <c r="J2083" s="25" t="s">
        <v>4442</v>
      </c>
      <c r="K2083" s="25" t="s">
        <v>71</v>
      </c>
      <c r="L2083" s="25" t="s">
        <v>4742</v>
      </c>
      <c r="M2083" s="20" t="s">
        <v>4085</v>
      </c>
      <c r="N2083" s="20" t="s">
        <v>4485</v>
      </c>
      <c r="O2083" s="20" t="s">
        <v>63</v>
      </c>
      <c r="P2083" s="20"/>
      <c r="Q2083" s="22"/>
      <c r="R2083" s="22"/>
      <c r="S2083" s="22"/>
      <c r="T2083" s="26"/>
      <c r="U2083" s="26"/>
      <c r="V2083" s="26"/>
      <c r="W2083" s="20"/>
      <c r="X2083" s="20"/>
      <c r="Y2083" s="20"/>
      <c r="Z2083" s="20"/>
      <c r="AA2083" s="20"/>
      <c r="AB2083" s="20"/>
      <c r="AC2083" s="20"/>
      <c r="AD2083" s="20"/>
      <c r="AE2083" s="20"/>
    </row>
    <row r="2084">
      <c r="A2084" s="21">
        <v>57.0</v>
      </c>
      <c r="B2084" s="20" t="s">
        <v>94</v>
      </c>
      <c r="C2084" s="20" t="s">
        <v>5061</v>
      </c>
      <c r="I2084" s="25" t="s">
        <v>1997</v>
      </c>
      <c r="J2084" s="25" t="s">
        <v>4448</v>
      </c>
      <c r="K2084" s="25" t="s">
        <v>71</v>
      </c>
      <c r="L2084" s="25" t="s">
        <v>5108</v>
      </c>
      <c r="M2084" s="20" t="s">
        <v>4523</v>
      </c>
      <c r="N2084" s="20" t="s">
        <v>4524</v>
      </c>
      <c r="O2084" s="20" t="s">
        <v>63</v>
      </c>
      <c r="P2084" s="20"/>
      <c r="Q2084" s="22"/>
      <c r="R2084" s="22"/>
      <c r="S2084" s="22"/>
      <c r="T2084" s="26"/>
      <c r="U2084" s="26"/>
      <c r="V2084" s="26"/>
      <c r="W2084" s="20"/>
      <c r="X2084" s="20"/>
      <c r="Y2084" s="20"/>
      <c r="Z2084" s="20"/>
      <c r="AA2084" s="20"/>
      <c r="AB2084" s="20"/>
      <c r="AC2084" s="20"/>
      <c r="AD2084" s="20"/>
      <c r="AE2084" s="20"/>
    </row>
    <row r="2085">
      <c r="A2085" s="21">
        <v>57.0</v>
      </c>
      <c r="B2085" s="20" t="s">
        <v>94</v>
      </c>
      <c r="C2085" s="20" t="s">
        <v>5061</v>
      </c>
      <c r="I2085" s="25" t="s">
        <v>4526</v>
      </c>
      <c r="J2085" s="25" t="s">
        <v>4448</v>
      </c>
      <c r="K2085" s="25" t="s">
        <v>71</v>
      </c>
      <c r="L2085" s="25" t="s">
        <v>5076</v>
      </c>
      <c r="M2085" s="20" t="s">
        <v>4527</v>
      </c>
      <c r="N2085" s="20" t="s">
        <v>4528</v>
      </c>
      <c r="O2085" s="20" t="s">
        <v>63</v>
      </c>
      <c r="P2085" s="20"/>
      <c r="Q2085" s="22"/>
      <c r="R2085" s="22"/>
      <c r="S2085" s="22"/>
      <c r="T2085" s="26"/>
      <c r="U2085" s="26"/>
      <c r="V2085" s="26"/>
      <c r="W2085" s="20"/>
      <c r="X2085" s="20"/>
      <c r="Y2085" s="20"/>
      <c r="Z2085" s="20"/>
      <c r="AA2085" s="20"/>
      <c r="AB2085" s="20"/>
      <c r="AC2085" s="20"/>
      <c r="AD2085" s="20"/>
      <c r="AE2085" s="20"/>
    </row>
    <row r="2086">
      <c r="A2086" s="21">
        <v>57.0</v>
      </c>
      <c r="B2086" s="20" t="s">
        <v>94</v>
      </c>
      <c r="C2086" s="20" t="s">
        <v>5061</v>
      </c>
      <c r="I2086" s="25" t="s">
        <v>4091</v>
      </c>
      <c r="J2086" s="25" t="s">
        <v>4442</v>
      </c>
      <c r="K2086" s="25" t="s">
        <v>71</v>
      </c>
      <c r="L2086" s="25" t="s">
        <v>4742</v>
      </c>
      <c r="M2086" s="20" t="s">
        <v>4487</v>
      </c>
      <c r="N2086" s="20" t="s">
        <v>4488</v>
      </c>
      <c r="O2086" s="20" t="s">
        <v>63</v>
      </c>
      <c r="P2086" s="20"/>
      <c r="Q2086" s="22"/>
      <c r="R2086" s="22"/>
      <c r="S2086" s="22"/>
      <c r="T2086" s="26"/>
      <c r="U2086" s="26"/>
      <c r="V2086" s="26"/>
      <c r="W2086" s="20"/>
      <c r="X2086" s="20"/>
      <c r="Y2086" s="20"/>
      <c r="Z2086" s="20"/>
      <c r="AA2086" s="20"/>
      <c r="AB2086" s="20"/>
      <c r="AC2086" s="20"/>
      <c r="AD2086" s="20"/>
      <c r="AE2086" s="20"/>
    </row>
    <row r="2087">
      <c r="A2087" s="21">
        <v>57.0</v>
      </c>
      <c r="B2087" s="20" t="s">
        <v>94</v>
      </c>
      <c r="C2087" s="20" t="s">
        <v>5061</v>
      </c>
      <c r="I2087" s="25" t="s">
        <v>60</v>
      </c>
      <c r="J2087" s="25" t="s">
        <v>4442</v>
      </c>
      <c r="K2087" s="25" t="s">
        <v>71</v>
      </c>
      <c r="L2087" s="25" t="s">
        <v>4742</v>
      </c>
      <c r="M2087" s="20" t="s">
        <v>4489</v>
      </c>
      <c r="N2087" s="20" t="s">
        <v>4490</v>
      </c>
      <c r="O2087" s="20" t="s">
        <v>63</v>
      </c>
      <c r="P2087" s="20"/>
      <c r="Q2087" s="22"/>
      <c r="R2087" s="22"/>
      <c r="S2087" s="22"/>
      <c r="T2087" s="26"/>
      <c r="U2087" s="26"/>
      <c r="V2087" s="26"/>
      <c r="W2087" s="20"/>
      <c r="X2087" s="20"/>
      <c r="Y2087" s="20"/>
      <c r="Z2087" s="20"/>
      <c r="AA2087" s="20"/>
      <c r="AB2087" s="20"/>
      <c r="AC2087" s="20"/>
      <c r="AD2087" s="20"/>
      <c r="AE2087" s="20"/>
    </row>
    <row r="2088">
      <c r="A2088" s="21">
        <v>57.0</v>
      </c>
      <c r="B2088" s="20" t="s">
        <v>94</v>
      </c>
      <c r="C2088" s="20" t="s">
        <v>5061</v>
      </c>
      <c r="I2088" s="25" t="s">
        <v>193</v>
      </c>
      <c r="J2088" s="25" t="s">
        <v>4442</v>
      </c>
      <c r="K2088" s="25" t="s">
        <v>71</v>
      </c>
      <c r="L2088" s="25" t="s">
        <v>4742</v>
      </c>
      <c r="M2088" s="20" t="s">
        <v>61</v>
      </c>
      <c r="N2088" s="20" t="s">
        <v>4491</v>
      </c>
      <c r="O2088" s="20" t="s">
        <v>63</v>
      </c>
      <c r="P2088" s="20"/>
      <c r="Q2088" s="22"/>
      <c r="R2088" s="22"/>
      <c r="S2088" s="22"/>
      <c r="T2088" s="26"/>
      <c r="U2088" s="26"/>
      <c r="V2088" s="26"/>
      <c r="W2088" s="20"/>
      <c r="X2088" s="20"/>
      <c r="Y2088" s="20"/>
      <c r="Z2088" s="20"/>
      <c r="AA2088" s="20"/>
      <c r="AB2088" s="20"/>
      <c r="AC2088" s="20"/>
      <c r="AD2088" s="20"/>
      <c r="AE2088" s="20"/>
    </row>
    <row r="2089">
      <c r="A2089" s="21">
        <v>57.0</v>
      </c>
      <c r="B2089" s="20" t="s">
        <v>94</v>
      </c>
      <c r="C2089" s="20" t="s">
        <v>5061</v>
      </c>
      <c r="I2089" s="25" t="s">
        <v>1714</v>
      </c>
      <c r="J2089" s="25" t="s">
        <v>4448</v>
      </c>
      <c r="K2089" s="25" t="s">
        <v>67</v>
      </c>
      <c r="L2089" s="25" t="s">
        <v>1025</v>
      </c>
      <c r="M2089" s="20" t="s">
        <v>4467</v>
      </c>
      <c r="N2089" s="20" t="s">
        <v>4468</v>
      </c>
      <c r="O2089" s="20" t="s">
        <v>56</v>
      </c>
      <c r="P2089" s="20" t="s">
        <v>52</v>
      </c>
      <c r="Q2089" s="22"/>
      <c r="R2089" s="22"/>
      <c r="S2089" s="22"/>
      <c r="T2089" s="22"/>
      <c r="U2089" s="26"/>
      <c r="V2089" s="26"/>
      <c r="W2089" s="20"/>
      <c r="X2089" s="20"/>
      <c r="Y2089" s="20"/>
      <c r="Z2089" s="20"/>
      <c r="AA2089" s="20"/>
      <c r="AB2089" s="20"/>
      <c r="AC2089" s="20"/>
      <c r="AD2089" s="20"/>
      <c r="AE2089" s="20"/>
    </row>
    <row r="2090">
      <c r="A2090" s="21">
        <v>57.0</v>
      </c>
      <c r="B2090" s="20" t="s">
        <v>94</v>
      </c>
      <c r="C2090" s="20" t="s">
        <v>5061</v>
      </c>
      <c r="I2090" s="25" t="s">
        <v>3528</v>
      </c>
      <c r="J2090" s="25" t="s">
        <v>4442</v>
      </c>
      <c r="K2090" s="25" t="s">
        <v>67</v>
      </c>
      <c r="L2090" s="25" t="s">
        <v>1025</v>
      </c>
      <c r="M2090" s="20" t="s">
        <v>4460</v>
      </c>
      <c r="N2090" s="20" t="s">
        <v>4461</v>
      </c>
      <c r="O2090" s="20" t="s">
        <v>56</v>
      </c>
      <c r="P2090" s="20" t="s">
        <v>52</v>
      </c>
      <c r="Q2090" s="22"/>
      <c r="R2090" s="22"/>
      <c r="S2090" s="22"/>
      <c r="T2090" s="22"/>
      <c r="U2090" s="26"/>
      <c r="V2090" s="26"/>
      <c r="W2090" s="20"/>
      <c r="X2090" s="20"/>
      <c r="Y2090" s="20"/>
      <c r="Z2090" s="20"/>
      <c r="AA2090" s="20"/>
      <c r="AB2090" s="20"/>
      <c r="AC2090" s="20"/>
      <c r="AD2090" s="20"/>
      <c r="AE2090" s="20"/>
    </row>
    <row r="2091">
      <c r="A2091" s="21">
        <v>57.0</v>
      </c>
      <c r="B2091" s="20" t="s">
        <v>94</v>
      </c>
      <c r="C2091" s="20" t="s">
        <v>5061</v>
      </c>
      <c r="I2091" s="25" t="s">
        <v>2447</v>
      </c>
      <c r="J2091" s="25" t="s">
        <v>4442</v>
      </c>
      <c r="K2091" s="25" t="s">
        <v>71</v>
      </c>
      <c r="L2091" s="25" t="s">
        <v>4742</v>
      </c>
      <c r="M2091" s="20" t="s">
        <v>4492</v>
      </c>
      <c r="N2091" s="20" t="s">
        <v>4490</v>
      </c>
      <c r="O2091" s="20" t="s">
        <v>63</v>
      </c>
      <c r="P2091" s="20"/>
      <c r="Q2091" s="22"/>
      <c r="R2091" s="22"/>
      <c r="S2091" s="22"/>
      <c r="T2091" s="26"/>
      <c r="U2091" s="26"/>
      <c r="V2091" s="26"/>
      <c r="W2091" s="20"/>
      <c r="X2091" s="20"/>
      <c r="Y2091" s="20"/>
      <c r="Z2091" s="20"/>
      <c r="AA2091" s="20"/>
      <c r="AB2091" s="20"/>
      <c r="AC2091" s="20"/>
      <c r="AD2091" s="20"/>
      <c r="AE2091" s="20"/>
    </row>
    <row r="2092">
      <c r="A2092" s="21">
        <v>57.0</v>
      </c>
      <c r="B2092" s="20" t="s">
        <v>94</v>
      </c>
      <c r="C2092" s="20" t="s">
        <v>5061</v>
      </c>
      <c r="I2092" s="25" t="s">
        <v>4493</v>
      </c>
      <c r="J2092" s="25" t="s">
        <v>4442</v>
      </c>
      <c r="K2092" s="25" t="s">
        <v>71</v>
      </c>
      <c r="L2092" s="25" t="s">
        <v>292</v>
      </c>
      <c r="M2092" s="20" t="s">
        <v>4494</v>
      </c>
      <c r="N2092" s="20" t="s">
        <v>4495</v>
      </c>
      <c r="O2092" s="20" t="s">
        <v>63</v>
      </c>
      <c r="P2092" s="20" t="s">
        <v>52</v>
      </c>
      <c r="Q2092" s="22"/>
      <c r="R2092" s="22"/>
      <c r="S2092" s="22"/>
      <c r="T2092" s="22"/>
      <c r="U2092" s="26"/>
      <c r="V2092" s="26"/>
      <c r="W2092" s="20"/>
      <c r="X2092" s="20"/>
      <c r="Y2092" s="20"/>
      <c r="Z2092" s="20"/>
      <c r="AA2092" s="20"/>
      <c r="AB2092" s="20"/>
      <c r="AC2092" s="20"/>
      <c r="AD2092" s="20"/>
      <c r="AE2092" s="20"/>
    </row>
    <row r="2093">
      <c r="A2093" s="21">
        <v>57.0</v>
      </c>
      <c r="B2093" s="20" t="s">
        <v>94</v>
      </c>
      <c r="C2093" s="20" t="s">
        <v>5061</v>
      </c>
      <c r="I2093" s="25" t="s">
        <v>2585</v>
      </c>
      <c r="J2093" s="25" t="s">
        <v>4442</v>
      </c>
      <c r="K2093" s="25" t="s">
        <v>71</v>
      </c>
      <c r="L2093" s="25" t="s">
        <v>4742</v>
      </c>
      <c r="M2093" s="20" t="s">
        <v>61</v>
      </c>
      <c r="N2093" s="20" t="s">
        <v>4496</v>
      </c>
      <c r="O2093" s="20" t="s">
        <v>63</v>
      </c>
      <c r="P2093" s="20"/>
      <c r="Q2093" s="22"/>
      <c r="R2093" s="22"/>
      <c r="S2093" s="22"/>
      <c r="T2093" s="26"/>
      <c r="U2093" s="26"/>
      <c r="V2093" s="26"/>
      <c r="W2093" s="20"/>
      <c r="X2093" s="20"/>
      <c r="Y2093" s="20"/>
      <c r="Z2093" s="20"/>
      <c r="AA2093" s="20"/>
      <c r="AB2093" s="20"/>
      <c r="AC2093" s="20"/>
      <c r="AD2093" s="20"/>
      <c r="AE2093" s="20"/>
    </row>
    <row r="2094">
      <c r="A2094" s="21">
        <v>57.0</v>
      </c>
      <c r="B2094" s="20" t="s">
        <v>94</v>
      </c>
      <c r="C2094" s="20" t="s">
        <v>5061</v>
      </c>
      <c r="I2094" s="25" t="s">
        <v>68</v>
      </c>
      <c r="J2094" s="25" t="s">
        <v>4448</v>
      </c>
      <c r="K2094" s="25" t="s">
        <v>71</v>
      </c>
      <c r="L2094" s="25" t="s">
        <v>5074</v>
      </c>
      <c r="M2094" s="20" t="s">
        <v>69</v>
      </c>
      <c r="N2094" s="20" t="s">
        <v>4530</v>
      </c>
      <c r="O2094" s="20" t="s">
        <v>63</v>
      </c>
      <c r="P2094" s="20"/>
      <c r="Q2094" s="22"/>
      <c r="R2094" s="22"/>
      <c r="S2094" s="22"/>
      <c r="T2094" s="26"/>
      <c r="U2094" s="26"/>
      <c r="V2094" s="26"/>
      <c r="W2094" s="20"/>
      <c r="X2094" s="20"/>
      <c r="Y2094" s="20"/>
      <c r="Z2094" s="20"/>
      <c r="AA2094" s="20"/>
      <c r="AB2094" s="20"/>
      <c r="AC2094" s="20"/>
      <c r="AD2094" s="20"/>
      <c r="AE2094" s="20"/>
    </row>
    <row r="2095">
      <c r="A2095" s="21">
        <v>57.0</v>
      </c>
      <c r="B2095" s="20" t="s">
        <v>94</v>
      </c>
      <c r="C2095" s="20" t="s">
        <v>5061</v>
      </c>
      <c r="I2095" s="25" t="s">
        <v>53</v>
      </c>
      <c r="J2095" s="25" t="s">
        <v>4448</v>
      </c>
      <c r="K2095" s="25" t="s">
        <v>71</v>
      </c>
      <c r="L2095" s="25" t="s">
        <v>4742</v>
      </c>
      <c r="M2095" s="20" t="s">
        <v>4531</v>
      </c>
      <c r="N2095" s="20" t="s">
        <v>4532</v>
      </c>
      <c r="O2095" s="20" t="s">
        <v>63</v>
      </c>
      <c r="P2095" s="20"/>
      <c r="Q2095" s="22"/>
      <c r="R2095" s="22"/>
      <c r="S2095" s="22"/>
      <c r="T2095" s="26"/>
      <c r="U2095" s="26"/>
      <c r="V2095" s="26"/>
      <c r="W2095" s="20"/>
      <c r="X2095" s="20"/>
      <c r="Y2095" s="20"/>
      <c r="Z2095" s="20"/>
      <c r="AA2095" s="20"/>
      <c r="AB2095" s="20"/>
      <c r="AC2095" s="20"/>
      <c r="AD2095" s="20"/>
      <c r="AE2095" s="20"/>
    </row>
    <row r="2096">
      <c r="A2096" s="21">
        <v>57.0</v>
      </c>
      <c r="B2096" s="20" t="s">
        <v>94</v>
      </c>
      <c r="C2096" s="20" t="s">
        <v>5061</v>
      </c>
      <c r="I2096" s="25" t="s">
        <v>2753</v>
      </c>
      <c r="J2096" s="25" t="s">
        <v>4442</v>
      </c>
      <c r="K2096" s="25" t="s">
        <v>71</v>
      </c>
      <c r="L2096" s="25" t="s">
        <v>4742</v>
      </c>
      <c r="M2096" s="20" t="s">
        <v>4497</v>
      </c>
      <c r="N2096" s="20" t="s">
        <v>4488</v>
      </c>
      <c r="O2096" s="20" t="s">
        <v>63</v>
      </c>
      <c r="P2096" s="20"/>
      <c r="Q2096" s="22"/>
      <c r="R2096" s="22"/>
      <c r="S2096" s="22"/>
      <c r="T2096" s="26"/>
      <c r="U2096" s="26"/>
      <c r="V2096" s="26"/>
      <c r="W2096" s="20"/>
      <c r="X2096" s="20"/>
      <c r="Y2096" s="20"/>
      <c r="Z2096" s="20"/>
      <c r="AA2096" s="20"/>
      <c r="AB2096" s="20"/>
      <c r="AC2096" s="20"/>
      <c r="AD2096" s="20"/>
      <c r="AE2096" s="20"/>
    </row>
    <row r="2097">
      <c r="A2097" s="21">
        <v>57.0</v>
      </c>
      <c r="B2097" s="20" t="s">
        <v>94</v>
      </c>
      <c r="C2097" s="20" t="s">
        <v>5061</v>
      </c>
      <c r="I2097" s="25" t="s">
        <v>2065</v>
      </c>
      <c r="J2097" s="25" t="s">
        <v>4448</v>
      </c>
      <c r="K2097" s="25" t="s">
        <v>71</v>
      </c>
      <c r="L2097" s="25" t="s">
        <v>5108</v>
      </c>
      <c r="M2097" s="20" t="s">
        <v>4534</v>
      </c>
      <c r="N2097" s="20" t="s">
        <v>4535</v>
      </c>
      <c r="O2097" s="20" t="s">
        <v>63</v>
      </c>
      <c r="P2097" s="20"/>
      <c r="Q2097" s="22"/>
      <c r="R2097" s="22"/>
      <c r="S2097" s="22"/>
      <c r="T2097" s="26"/>
      <c r="U2097" s="26"/>
      <c r="V2097" s="26"/>
      <c r="W2097" s="20"/>
      <c r="X2097" s="20"/>
      <c r="Y2097" s="20"/>
      <c r="Z2097" s="20"/>
      <c r="AA2097" s="20"/>
      <c r="AB2097" s="20"/>
      <c r="AC2097" s="20"/>
      <c r="AD2097" s="20"/>
      <c r="AE2097" s="20"/>
    </row>
    <row r="2098">
      <c r="A2098" s="21">
        <v>57.0</v>
      </c>
      <c r="B2098" s="20" t="s">
        <v>94</v>
      </c>
      <c r="C2098" s="20" t="s">
        <v>5061</v>
      </c>
      <c r="I2098" s="25" t="s">
        <v>1732</v>
      </c>
      <c r="J2098" s="25" t="s">
        <v>4448</v>
      </c>
      <c r="K2098" s="25" t="s">
        <v>71</v>
      </c>
      <c r="L2098" s="25" t="s">
        <v>5133</v>
      </c>
      <c r="M2098" s="20" t="s">
        <v>4536</v>
      </c>
      <c r="N2098" s="20" t="s">
        <v>4537</v>
      </c>
      <c r="O2098" s="20" t="s">
        <v>63</v>
      </c>
      <c r="P2098" s="20"/>
      <c r="Q2098" s="22"/>
      <c r="R2098" s="22"/>
      <c r="S2098" s="22"/>
      <c r="T2098" s="26"/>
      <c r="U2098" s="26"/>
      <c r="V2098" s="26"/>
      <c r="W2098" s="20"/>
      <c r="X2098" s="20"/>
      <c r="Y2098" s="20"/>
      <c r="Z2098" s="20"/>
      <c r="AA2098" s="20"/>
      <c r="AB2098" s="20"/>
      <c r="AC2098" s="20"/>
      <c r="AD2098" s="20"/>
      <c r="AE2098" s="20"/>
    </row>
    <row r="2099">
      <c r="A2099" s="21">
        <v>57.0</v>
      </c>
      <c r="B2099" s="20" t="s">
        <v>94</v>
      </c>
      <c r="C2099" s="20" t="s">
        <v>5061</v>
      </c>
      <c r="I2099" s="25" t="s">
        <v>124</v>
      </c>
      <c r="J2099" s="25" t="s">
        <v>4442</v>
      </c>
      <c r="K2099" s="25" t="s">
        <v>71</v>
      </c>
      <c r="L2099" s="25" t="s">
        <v>4742</v>
      </c>
      <c r="M2099" s="20" t="s">
        <v>126</v>
      </c>
      <c r="N2099" s="20" t="s">
        <v>128</v>
      </c>
      <c r="O2099" s="20" t="s">
        <v>63</v>
      </c>
      <c r="P2099" s="20"/>
      <c r="Q2099" s="22"/>
      <c r="R2099" s="22"/>
      <c r="S2099" s="22"/>
      <c r="T2099" s="26"/>
      <c r="U2099" s="26"/>
      <c r="V2099" s="26"/>
      <c r="W2099" s="20"/>
      <c r="X2099" s="20"/>
      <c r="Y2099" s="20"/>
      <c r="Z2099" s="20"/>
      <c r="AA2099" s="20"/>
      <c r="AB2099" s="20"/>
      <c r="AC2099" s="20"/>
      <c r="AD2099" s="20"/>
      <c r="AE2099" s="20"/>
    </row>
    <row r="2100">
      <c r="A2100" s="21">
        <v>57.0</v>
      </c>
      <c r="B2100" s="20" t="s">
        <v>94</v>
      </c>
      <c r="C2100" s="20" t="s">
        <v>5061</v>
      </c>
      <c r="I2100" s="25" t="s">
        <v>201</v>
      </c>
      <c r="J2100" s="25" t="s">
        <v>4442</v>
      </c>
      <c r="K2100" s="25" t="s">
        <v>71</v>
      </c>
      <c r="L2100" s="25" t="s">
        <v>4742</v>
      </c>
      <c r="M2100" s="20" t="s">
        <v>4498</v>
      </c>
      <c r="N2100" s="20" t="s">
        <v>4499</v>
      </c>
      <c r="O2100" s="20" t="s">
        <v>63</v>
      </c>
      <c r="P2100" s="20"/>
      <c r="Q2100" s="22"/>
      <c r="R2100" s="22"/>
      <c r="S2100" s="22"/>
      <c r="T2100" s="26"/>
      <c r="U2100" s="26"/>
      <c r="V2100" s="26"/>
      <c r="W2100" s="20"/>
      <c r="X2100" s="20"/>
      <c r="Y2100" s="20"/>
      <c r="Z2100" s="20"/>
      <c r="AA2100" s="20"/>
      <c r="AB2100" s="20"/>
      <c r="AC2100" s="20"/>
      <c r="AD2100" s="20"/>
      <c r="AE2100" s="20"/>
    </row>
    <row r="2101">
      <c r="A2101" s="21">
        <v>57.0</v>
      </c>
      <c r="B2101" s="20" t="s">
        <v>94</v>
      </c>
      <c r="C2101" s="20" t="s">
        <v>5061</v>
      </c>
      <c r="I2101" s="25" t="s">
        <v>2756</v>
      </c>
      <c r="J2101" s="25" t="s">
        <v>4448</v>
      </c>
      <c r="K2101" s="25" t="s">
        <v>71</v>
      </c>
      <c r="L2101" s="25" t="s">
        <v>5076</v>
      </c>
      <c r="M2101" s="20" t="s">
        <v>4538</v>
      </c>
      <c r="N2101" s="20" t="s">
        <v>4539</v>
      </c>
      <c r="O2101" s="20" t="s">
        <v>63</v>
      </c>
      <c r="P2101" s="20"/>
      <c r="Q2101" s="22"/>
      <c r="R2101" s="22"/>
      <c r="S2101" s="22"/>
      <c r="T2101" s="26"/>
      <c r="U2101" s="26"/>
      <c r="V2101" s="26"/>
      <c r="W2101" s="20"/>
      <c r="X2101" s="20"/>
      <c r="Y2101" s="20"/>
      <c r="Z2101" s="20"/>
      <c r="AA2101" s="20"/>
      <c r="AB2101" s="20"/>
      <c r="AC2101" s="20"/>
      <c r="AD2101" s="20"/>
      <c r="AE2101" s="20"/>
    </row>
    <row r="2102">
      <c r="A2102" s="21">
        <v>57.0</v>
      </c>
      <c r="B2102" s="20" t="s">
        <v>94</v>
      </c>
      <c r="C2102" s="20" t="s">
        <v>5061</v>
      </c>
      <c r="I2102" s="25" t="s">
        <v>4500</v>
      </c>
      <c r="J2102" s="25" t="s">
        <v>4442</v>
      </c>
      <c r="K2102" s="25" t="s">
        <v>71</v>
      </c>
      <c r="L2102" s="25" t="s">
        <v>5108</v>
      </c>
      <c r="M2102" s="20" t="s">
        <v>4501</v>
      </c>
      <c r="N2102" s="20" t="s">
        <v>4502</v>
      </c>
      <c r="O2102" s="20" t="s">
        <v>63</v>
      </c>
      <c r="P2102" s="20"/>
      <c r="Q2102" s="22"/>
      <c r="R2102" s="22"/>
      <c r="S2102" s="22"/>
      <c r="T2102" s="26"/>
      <c r="U2102" s="26"/>
      <c r="V2102" s="26"/>
      <c r="W2102" s="20"/>
      <c r="X2102" s="20"/>
      <c r="Y2102" s="20"/>
      <c r="Z2102" s="20"/>
      <c r="AA2102" s="20"/>
      <c r="AB2102" s="20"/>
      <c r="AC2102" s="20"/>
      <c r="AD2102" s="20"/>
      <c r="AE2102" s="20"/>
    </row>
    <row r="2103">
      <c r="A2103" s="21">
        <v>57.0</v>
      </c>
      <c r="B2103" s="20" t="s">
        <v>94</v>
      </c>
      <c r="C2103" s="20" t="s">
        <v>5061</v>
      </c>
      <c r="I2103" s="25" t="s">
        <v>444</v>
      </c>
      <c r="J2103" s="25" t="s">
        <v>4442</v>
      </c>
      <c r="K2103" s="25" t="s">
        <v>71</v>
      </c>
      <c r="L2103" s="25" t="s">
        <v>292</v>
      </c>
      <c r="M2103" s="20" t="s">
        <v>4503</v>
      </c>
      <c r="N2103" s="20" t="s">
        <v>4504</v>
      </c>
      <c r="O2103" s="20" t="s">
        <v>63</v>
      </c>
      <c r="P2103" s="20" t="s">
        <v>52</v>
      </c>
      <c r="Q2103" s="22"/>
      <c r="R2103" s="22"/>
      <c r="S2103" s="22"/>
      <c r="T2103" s="22"/>
      <c r="U2103" s="26"/>
      <c r="V2103" s="26"/>
      <c r="W2103" s="20"/>
      <c r="X2103" s="20"/>
      <c r="Y2103" s="20"/>
      <c r="Z2103" s="20"/>
      <c r="AA2103" s="20"/>
      <c r="AB2103" s="20"/>
      <c r="AC2103" s="20"/>
      <c r="AD2103" s="20"/>
      <c r="AE2103" s="20"/>
    </row>
    <row r="2104">
      <c r="A2104" s="21">
        <v>57.0</v>
      </c>
      <c r="B2104" s="20" t="s">
        <v>94</v>
      </c>
      <c r="C2104" s="20" t="s">
        <v>5061</v>
      </c>
      <c r="I2104" s="25" t="s">
        <v>140</v>
      </c>
      <c r="J2104" s="25" t="s">
        <v>4442</v>
      </c>
      <c r="K2104" s="25" t="s">
        <v>71</v>
      </c>
      <c r="L2104" s="25" t="s">
        <v>4742</v>
      </c>
      <c r="M2104" s="20" t="s">
        <v>4471</v>
      </c>
      <c r="N2104" s="20" t="s">
        <v>4472</v>
      </c>
      <c r="O2104" s="20" t="s">
        <v>56</v>
      </c>
      <c r="P2104" s="20"/>
      <c r="Q2104" s="22"/>
      <c r="R2104" s="22"/>
      <c r="S2104" s="22"/>
      <c r="T2104" s="26"/>
      <c r="U2104" s="26"/>
      <c r="V2104" s="26"/>
      <c r="W2104" s="20"/>
      <c r="X2104" s="20"/>
      <c r="Y2104" s="20"/>
      <c r="Z2104" s="20"/>
      <c r="AA2104" s="20"/>
      <c r="AB2104" s="20"/>
      <c r="AC2104" s="20"/>
      <c r="AD2104" s="20"/>
      <c r="AE2104" s="20"/>
    </row>
    <row r="2105">
      <c r="A2105" s="21">
        <v>57.0</v>
      </c>
      <c r="B2105" s="20" t="s">
        <v>94</v>
      </c>
      <c r="C2105" s="20" t="s">
        <v>5061</v>
      </c>
      <c r="I2105" s="25" t="s">
        <v>206</v>
      </c>
      <c r="J2105" s="25" t="s">
        <v>4442</v>
      </c>
      <c r="K2105" s="25" t="s">
        <v>71</v>
      </c>
      <c r="L2105" s="25" t="s">
        <v>5146</v>
      </c>
      <c r="M2105" s="20" t="s">
        <v>4480</v>
      </c>
      <c r="N2105" s="20" t="s">
        <v>4481</v>
      </c>
      <c r="O2105" s="20" t="s">
        <v>63</v>
      </c>
      <c r="P2105" s="20"/>
      <c r="Q2105" s="22"/>
      <c r="R2105" s="22"/>
      <c r="S2105" s="22"/>
      <c r="T2105" s="26"/>
      <c r="U2105" s="26"/>
      <c r="V2105" s="26"/>
      <c r="W2105" s="20"/>
      <c r="X2105" s="20"/>
      <c r="Y2105" s="20"/>
      <c r="Z2105" s="20"/>
      <c r="AA2105" s="20"/>
      <c r="AB2105" s="20"/>
      <c r="AC2105" s="20"/>
      <c r="AD2105" s="20"/>
      <c r="AE2105" s="20"/>
    </row>
    <row r="2106">
      <c r="A2106" s="21">
        <v>57.0</v>
      </c>
      <c r="B2106" s="20" t="s">
        <v>94</v>
      </c>
      <c r="C2106" s="20" t="s">
        <v>5061</v>
      </c>
      <c r="I2106" s="25" t="s">
        <v>1331</v>
      </c>
      <c r="J2106" s="25" t="s">
        <v>4448</v>
      </c>
      <c r="K2106" s="25" t="s">
        <v>71</v>
      </c>
      <c r="L2106" s="25" t="s">
        <v>5076</v>
      </c>
      <c r="M2106" s="20" t="s">
        <v>4540</v>
      </c>
      <c r="N2106" s="20" t="s">
        <v>4541</v>
      </c>
      <c r="O2106" s="20" t="s">
        <v>63</v>
      </c>
      <c r="P2106" s="20"/>
      <c r="Q2106" s="22"/>
      <c r="R2106" s="22"/>
      <c r="S2106" s="22"/>
      <c r="T2106" s="26"/>
      <c r="U2106" s="26"/>
      <c r="V2106" s="26"/>
      <c r="W2106" s="20"/>
      <c r="X2106" s="20"/>
      <c r="Y2106" s="20"/>
      <c r="Z2106" s="20"/>
      <c r="AA2106" s="20"/>
      <c r="AB2106" s="20"/>
      <c r="AC2106" s="20"/>
      <c r="AD2106" s="20"/>
      <c r="AE2106" s="20"/>
    </row>
    <row r="2107">
      <c r="A2107" s="21">
        <v>57.0</v>
      </c>
      <c r="B2107" s="20" t="s">
        <v>94</v>
      </c>
      <c r="C2107" s="20" t="s">
        <v>5061</v>
      </c>
      <c r="I2107" s="25" t="s">
        <v>4505</v>
      </c>
      <c r="J2107" s="25" t="s">
        <v>4442</v>
      </c>
      <c r="K2107" s="25" t="s">
        <v>71</v>
      </c>
      <c r="L2107" s="25" t="s">
        <v>5151</v>
      </c>
      <c r="M2107" s="20" t="s">
        <v>4506</v>
      </c>
      <c r="N2107" s="20" t="s">
        <v>4507</v>
      </c>
      <c r="O2107" s="20" t="s">
        <v>63</v>
      </c>
      <c r="P2107" s="20"/>
      <c r="Q2107" s="22"/>
      <c r="R2107" s="22"/>
      <c r="S2107" s="22"/>
      <c r="T2107" s="20"/>
      <c r="U2107" s="26"/>
      <c r="V2107" s="26"/>
      <c r="W2107" s="20"/>
      <c r="X2107" s="20"/>
      <c r="Y2107" s="20"/>
      <c r="Z2107" s="20"/>
      <c r="AA2107" s="20"/>
      <c r="AB2107" s="20"/>
      <c r="AC2107" s="20"/>
      <c r="AD2107" s="20"/>
      <c r="AE2107" s="20"/>
    </row>
    <row r="2108">
      <c r="A2108" s="21">
        <v>57.0</v>
      </c>
      <c r="B2108" s="20" t="s">
        <v>94</v>
      </c>
      <c r="C2108" s="20" t="s">
        <v>5061</v>
      </c>
      <c r="I2108" s="25" t="s">
        <v>3079</v>
      </c>
      <c r="J2108" s="25" t="s">
        <v>4448</v>
      </c>
      <c r="K2108" s="25" t="s">
        <v>71</v>
      </c>
      <c r="L2108" s="25" t="s">
        <v>4742</v>
      </c>
      <c r="M2108" s="20" t="s">
        <v>3080</v>
      </c>
      <c r="N2108" s="20" t="s">
        <v>4542</v>
      </c>
      <c r="O2108" s="20" t="s">
        <v>63</v>
      </c>
      <c r="P2108" s="20"/>
      <c r="Q2108" s="22"/>
      <c r="R2108" s="22"/>
      <c r="S2108" s="22"/>
      <c r="T2108" s="20"/>
      <c r="U2108" s="26"/>
      <c r="V2108" s="26"/>
      <c r="W2108" s="20"/>
      <c r="X2108" s="20"/>
      <c r="Y2108" s="20"/>
      <c r="Z2108" s="20"/>
      <c r="AA2108" s="20"/>
      <c r="AB2108" s="20"/>
      <c r="AC2108" s="20"/>
      <c r="AD2108" s="20"/>
      <c r="AE2108" s="20"/>
    </row>
    <row r="2109">
      <c r="A2109" s="21">
        <v>57.0</v>
      </c>
      <c r="B2109" s="20" t="s">
        <v>94</v>
      </c>
      <c r="C2109" s="20" t="s">
        <v>5061</v>
      </c>
      <c r="I2109" s="25" t="s">
        <v>96</v>
      </c>
      <c r="J2109" s="25" t="s">
        <v>4442</v>
      </c>
      <c r="K2109" s="25" t="s">
        <v>71</v>
      </c>
      <c r="L2109" s="25" t="s">
        <v>292</v>
      </c>
      <c r="M2109" s="20" t="s">
        <v>4508</v>
      </c>
      <c r="N2109" s="20" t="s">
        <v>4509</v>
      </c>
      <c r="O2109" s="20" t="s">
        <v>63</v>
      </c>
      <c r="P2109" s="20" t="s">
        <v>52</v>
      </c>
      <c r="Q2109" s="22"/>
      <c r="R2109" s="22"/>
      <c r="S2109" s="22"/>
      <c r="T2109" s="22"/>
      <c r="U2109" s="26"/>
      <c r="V2109" s="26"/>
      <c r="W2109" s="20"/>
      <c r="X2109" s="20"/>
      <c r="Y2109" s="20"/>
      <c r="Z2109" s="20"/>
      <c r="AA2109" s="20"/>
      <c r="AB2109" s="20"/>
      <c r="AC2109" s="20"/>
      <c r="AD2109" s="20"/>
      <c r="AE2109" s="20"/>
    </row>
    <row r="2110">
      <c r="A2110" s="21">
        <v>57.0</v>
      </c>
      <c r="B2110" s="20" t="s">
        <v>94</v>
      </c>
      <c r="C2110" s="20" t="s">
        <v>5061</v>
      </c>
      <c r="I2110" s="25" t="s">
        <v>1738</v>
      </c>
      <c r="J2110" s="25" t="s">
        <v>4442</v>
      </c>
      <c r="K2110" s="25" t="s">
        <v>71</v>
      </c>
      <c r="L2110" s="25" t="s">
        <v>5074</v>
      </c>
      <c r="M2110" s="20" t="s">
        <v>61</v>
      </c>
      <c r="N2110" s="20" t="s">
        <v>4473</v>
      </c>
      <c r="O2110" s="20" t="s">
        <v>56</v>
      </c>
      <c r="P2110" s="20"/>
      <c r="Q2110" s="22"/>
      <c r="R2110" s="22"/>
      <c r="S2110" s="22"/>
      <c r="T2110" s="26"/>
      <c r="U2110" s="26"/>
      <c r="V2110" s="26"/>
      <c r="W2110" s="20"/>
      <c r="X2110" s="20"/>
      <c r="Y2110" s="20"/>
      <c r="Z2110" s="20"/>
      <c r="AA2110" s="20"/>
      <c r="AB2110" s="20"/>
      <c r="AC2110" s="20"/>
      <c r="AD2110" s="20"/>
      <c r="AE2110" s="20"/>
    </row>
    <row r="2111">
      <c r="A2111" s="21">
        <v>57.0</v>
      </c>
      <c r="B2111" s="20" t="s">
        <v>94</v>
      </c>
      <c r="C2111" s="20" t="s">
        <v>5061</v>
      </c>
      <c r="I2111" s="25" t="s">
        <v>2542</v>
      </c>
      <c r="J2111" s="25" t="s">
        <v>4442</v>
      </c>
      <c r="K2111" s="25" t="s">
        <v>71</v>
      </c>
      <c r="L2111" s="25" t="s">
        <v>5151</v>
      </c>
      <c r="M2111" s="20" t="s">
        <v>4510</v>
      </c>
      <c r="N2111" s="20" t="s">
        <v>4511</v>
      </c>
      <c r="O2111" s="20" t="s">
        <v>63</v>
      </c>
      <c r="P2111" s="20"/>
      <c r="Q2111" s="22"/>
      <c r="R2111" s="22"/>
      <c r="S2111" s="22"/>
      <c r="T2111" s="26"/>
      <c r="U2111" s="26"/>
      <c r="V2111" s="26"/>
      <c r="W2111" s="20"/>
      <c r="X2111" s="20"/>
      <c r="Y2111" s="20"/>
      <c r="Z2111" s="20"/>
      <c r="AA2111" s="20"/>
      <c r="AB2111" s="20"/>
      <c r="AC2111" s="20"/>
      <c r="AD2111" s="20"/>
      <c r="AE2111" s="20"/>
    </row>
    <row r="2112">
      <c r="A2112" s="21">
        <v>58.0</v>
      </c>
      <c r="B2112" s="20" t="s">
        <v>68</v>
      </c>
      <c r="C2112" s="20" t="s">
        <v>5061</v>
      </c>
      <c r="D2112" s="35">
        <v>30.0</v>
      </c>
      <c r="E2112" s="35">
        <v>4.0</v>
      </c>
      <c r="F2112" s="35">
        <v>2.0</v>
      </c>
      <c r="G2112" s="35">
        <v>24.0</v>
      </c>
      <c r="H2112" s="36" t="s">
        <v>5160</v>
      </c>
      <c r="I2112" s="25" t="s">
        <v>413</v>
      </c>
      <c r="J2112" s="25" t="s">
        <v>4543</v>
      </c>
      <c r="K2112" s="25" t="s">
        <v>57</v>
      </c>
      <c r="L2112" s="25" t="s">
        <v>5162</v>
      </c>
      <c r="M2112" s="20" t="s">
        <v>61</v>
      </c>
      <c r="N2112" s="20" t="s">
        <v>4544</v>
      </c>
      <c r="O2112" s="20" t="s">
        <v>56</v>
      </c>
      <c r="P2112" s="20"/>
      <c r="Q2112" s="22"/>
      <c r="R2112" s="22"/>
      <c r="S2112" s="22"/>
      <c r="T2112" s="26"/>
      <c r="U2112" s="26"/>
      <c r="V2112" s="26"/>
      <c r="W2112" s="20"/>
      <c r="X2112" s="20"/>
      <c r="Y2112" s="20"/>
      <c r="Z2112" s="20"/>
      <c r="AA2112" s="20"/>
      <c r="AB2112" s="20"/>
      <c r="AC2112" s="20"/>
      <c r="AD2112" s="20"/>
      <c r="AE2112" s="20"/>
    </row>
    <row r="2113">
      <c r="A2113" s="21">
        <v>58.0</v>
      </c>
      <c r="B2113" s="20" t="s">
        <v>68</v>
      </c>
      <c r="C2113" s="20" t="s">
        <v>5061</v>
      </c>
      <c r="I2113" s="25" t="s">
        <v>78</v>
      </c>
      <c r="J2113" s="25" t="s">
        <v>4546</v>
      </c>
      <c r="K2113" s="25" t="s">
        <v>57</v>
      </c>
      <c r="L2113" s="25" t="s">
        <v>5164</v>
      </c>
      <c r="M2113" s="20" t="s">
        <v>4547</v>
      </c>
      <c r="N2113" s="20" t="s">
        <v>4548</v>
      </c>
      <c r="O2113" s="20" t="s">
        <v>63</v>
      </c>
      <c r="P2113" s="20"/>
      <c r="Q2113" s="22"/>
      <c r="R2113" s="22"/>
      <c r="S2113" s="22"/>
      <c r="T2113" s="26"/>
      <c r="U2113" s="26"/>
      <c r="V2113" s="26"/>
      <c r="W2113" s="20"/>
      <c r="X2113" s="20"/>
      <c r="Y2113" s="20"/>
      <c r="Z2113" s="20"/>
      <c r="AA2113" s="20"/>
      <c r="AB2113" s="20"/>
      <c r="AC2113" s="20"/>
      <c r="AD2113" s="20"/>
      <c r="AE2113" s="20"/>
    </row>
    <row r="2114">
      <c r="A2114" s="21">
        <v>58.0</v>
      </c>
      <c r="B2114" s="20" t="s">
        <v>68</v>
      </c>
      <c r="C2114" s="20" t="s">
        <v>5061</v>
      </c>
      <c r="I2114" s="25" t="s">
        <v>2883</v>
      </c>
      <c r="J2114" s="25" t="s">
        <v>4545</v>
      </c>
      <c r="K2114" s="25" t="s">
        <v>57</v>
      </c>
      <c r="L2114" s="25" t="s">
        <v>5166</v>
      </c>
      <c r="M2114" s="20" t="s">
        <v>4115</v>
      </c>
      <c r="N2114" s="20" t="s">
        <v>4117</v>
      </c>
      <c r="O2114" s="20" t="s">
        <v>63</v>
      </c>
      <c r="P2114" s="20"/>
      <c r="Q2114" s="22"/>
      <c r="R2114" s="22"/>
      <c r="S2114" s="22"/>
      <c r="T2114" s="26"/>
      <c r="U2114" s="26"/>
      <c r="V2114" s="26"/>
      <c r="W2114" s="20"/>
      <c r="X2114" s="20"/>
      <c r="Y2114" s="20"/>
      <c r="Z2114" s="20"/>
      <c r="AA2114" s="20"/>
      <c r="AB2114" s="20"/>
      <c r="AC2114" s="20"/>
      <c r="AD2114" s="20"/>
      <c r="AE2114" s="20"/>
    </row>
    <row r="2115">
      <c r="A2115" s="21">
        <v>58.0</v>
      </c>
      <c r="B2115" s="20" t="s">
        <v>68</v>
      </c>
      <c r="C2115" s="20" t="s">
        <v>5061</v>
      </c>
      <c r="I2115" s="25" t="s">
        <v>1687</v>
      </c>
      <c r="J2115" s="25" t="s">
        <v>4549</v>
      </c>
      <c r="K2115" s="25" t="s">
        <v>57</v>
      </c>
      <c r="L2115" s="25" t="s">
        <v>5170</v>
      </c>
      <c r="M2115" s="20" t="s">
        <v>61</v>
      </c>
      <c r="N2115" s="20" t="s">
        <v>4550</v>
      </c>
      <c r="O2115" s="20" t="s">
        <v>63</v>
      </c>
      <c r="P2115" s="20"/>
      <c r="Q2115" s="22"/>
      <c r="R2115" s="22"/>
      <c r="S2115" s="22"/>
      <c r="T2115" s="26"/>
      <c r="U2115" s="26"/>
      <c r="V2115" s="26"/>
      <c r="W2115" s="20"/>
      <c r="X2115" s="20"/>
      <c r="Y2115" s="20"/>
      <c r="Z2115" s="20"/>
      <c r="AA2115" s="20"/>
      <c r="AB2115" s="20"/>
      <c r="AC2115" s="20"/>
      <c r="AD2115" s="20"/>
      <c r="AE2115" s="20"/>
    </row>
    <row r="2116">
      <c r="A2116" s="21">
        <v>58.0</v>
      </c>
      <c r="B2116" s="20" t="s">
        <v>68</v>
      </c>
      <c r="C2116" s="20" t="s">
        <v>5061</v>
      </c>
      <c r="I2116" s="25" t="s">
        <v>4112</v>
      </c>
      <c r="J2116" s="25" t="s">
        <v>4549</v>
      </c>
      <c r="K2116" s="25" t="s">
        <v>67</v>
      </c>
      <c r="L2116" s="25" t="s">
        <v>5180</v>
      </c>
      <c r="M2116" s="20" t="s">
        <v>61</v>
      </c>
      <c r="N2116" s="20" t="s">
        <v>4552</v>
      </c>
      <c r="O2116" s="20" t="s">
        <v>63</v>
      </c>
      <c r="P2116" s="20"/>
      <c r="Q2116" s="22"/>
      <c r="R2116" s="22"/>
      <c r="S2116" s="22"/>
      <c r="T2116" s="26"/>
      <c r="U2116" s="26"/>
      <c r="V2116" s="26"/>
      <c r="W2116" s="20"/>
      <c r="X2116" s="20"/>
      <c r="Y2116" s="20"/>
      <c r="Z2116" s="20"/>
      <c r="AA2116" s="20"/>
      <c r="AB2116" s="20"/>
      <c r="AC2116" s="20"/>
      <c r="AD2116" s="20"/>
      <c r="AE2116" s="20"/>
    </row>
    <row r="2117">
      <c r="A2117" s="21">
        <v>58.0</v>
      </c>
      <c r="B2117" s="20" t="s">
        <v>68</v>
      </c>
      <c r="C2117" s="20" t="s">
        <v>5061</v>
      </c>
      <c r="I2117" s="25" t="s">
        <v>2517</v>
      </c>
      <c r="J2117" s="25" t="s">
        <v>4545</v>
      </c>
      <c r="K2117" s="25" t="s">
        <v>71</v>
      </c>
      <c r="L2117" s="25" t="s">
        <v>5183</v>
      </c>
      <c r="M2117" s="20" t="s">
        <v>4556</v>
      </c>
      <c r="N2117" s="20" t="s">
        <v>4557</v>
      </c>
      <c r="O2117" s="20" t="s">
        <v>63</v>
      </c>
      <c r="P2117" s="20"/>
      <c r="Q2117" s="22"/>
      <c r="R2117" s="22"/>
      <c r="S2117" s="22"/>
      <c r="T2117" s="26"/>
      <c r="U2117" s="26"/>
      <c r="V2117" s="26"/>
      <c r="W2117" s="20"/>
      <c r="X2117" s="20"/>
      <c r="Y2117" s="20"/>
      <c r="Z2117" s="20"/>
      <c r="AA2117" s="20"/>
      <c r="AB2117" s="20"/>
      <c r="AC2117" s="20"/>
      <c r="AD2117" s="20"/>
      <c r="AE2117" s="20"/>
    </row>
    <row r="2118">
      <c r="A2118" s="21">
        <v>58.0</v>
      </c>
      <c r="B2118" s="20" t="s">
        <v>68</v>
      </c>
      <c r="C2118" s="20" t="s">
        <v>5061</v>
      </c>
      <c r="I2118" s="25" t="s">
        <v>1522</v>
      </c>
      <c r="J2118" s="25" t="s">
        <v>4543</v>
      </c>
      <c r="K2118" s="25" t="s">
        <v>67</v>
      </c>
      <c r="L2118" s="25" t="s">
        <v>1025</v>
      </c>
      <c r="M2118" s="20" t="s">
        <v>1909</v>
      </c>
      <c r="N2118" s="20" t="s">
        <v>4551</v>
      </c>
      <c r="O2118" s="20" t="s">
        <v>56</v>
      </c>
      <c r="P2118" s="20" t="s">
        <v>52</v>
      </c>
      <c r="Q2118" s="22"/>
      <c r="R2118" s="22"/>
      <c r="S2118" s="22"/>
      <c r="T2118" s="22"/>
      <c r="U2118" s="26"/>
      <c r="V2118" s="26"/>
      <c r="W2118" s="20"/>
      <c r="X2118" s="20"/>
      <c r="Y2118" s="20"/>
      <c r="Z2118" s="20"/>
      <c r="AA2118" s="20"/>
      <c r="AB2118" s="20"/>
      <c r="AC2118" s="20"/>
      <c r="AD2118" s="20"/>
      <c r="AE2118" s="20"/>
    </row>
    <row r="2119">
      <c r="A2119" s="21">
        <v>58.0</v>
      </c>
      <c r="B2119" s="20" t="s">
        <v>68</v>
      </c>
      <c r="C2119" s="20" t="s">
        <v>5061</v>
      </c>
      <c r="I2119" s="25" t="s">
        <v>4236</v>
      </c>
      <c r="J2119" s="25" t="s">
        <v>4546</v>
      </c>
      <c r="K2119" s="25" t="s">
        <v>71</v>
      </c>
      <c r="L2119" s="25" t="s">
        <v>5183</v>
      </c>
      <c r="M2119" s="20" t="s">
        <v>4566</v>
      </c>
      <c r="N2119" s="20" t="s">
        <v>4567</v>
      </c>
      <c r="O2119" s="20" t="s">
        <v>63</v>
      </c>
      <c r="P2119" s="20"/>
      <c r="Q2119" s="22"/>
      <c r="R2119" s="22"/>
      <c r="S2119" s="22"/>
      <c r="T2119" s="26"/>
      <c r="U2119" s="26"/>
      <c r="V2119" s="26"/>
      <c r="W2119" s="20"/>
      <c r="X2119" s="20"/>
      <c r="Y2119" s="20"/>
      <c r="Z2119" s="20"/>
      <c r="AA2119" s="20"/>
      <c r="AB2119" s="20"/>
      <c r="AC2119" s="20"/>
      <c r="AD2119" s="20"/>
      <c r="AE2119" s="20"/>
    </row>
    <row r="2120">
      <c r="A2120" s="21">
        <v>58.0</v>
      </c>
      <c r="B2120" s="20" t="s">
        <v>68</v>
      </c>
      <c r="C2120" s="20" t="s">
        <v>5061</v>
      </c>
      <c r="I2120" s="25" t="s">
        <v>98</v>
      </c>
      <c r="J2120" s="25" t="s">
        <v>4545</v>
      </c>
      <c r="K2120" s="25" t="s">
        <v>71</v>
      </c>
      <c r="L2120" s="25" t="s">
        <v>5183</v>
      </c>
      <c r="M2120" s="20" t="s">
        <v>61</v>
      </c>
      <c r="N2120" s="20" t="s">
        <v>4558</v>
      </c>
      <c r="O2120" s="20" t="s">
        <v>63</v>
      </c>
      <c r="P2120" s="20"/>
      <c r="Q2120" s="22"/>
      <c r="R2120" s="22"/>
      <c r="S2120" s="22"/>
      <c r="T2120" s="26"/>
      <c r="U2120" s="26"/>
      <c r="V2120" s="26"/>
      <c r="W2120" s="20"/>
      <c r="X2120" s="20"/>
      <c r="Y2120" s="20"/>
      <c r="Z2120" s="20"/>
      <c r="AA2120" s="20"/>
      <c r="AB2120" s="20"/>
      <c r="AC2120" s="20"/>
      <c r="AD2120" s="20"/>
      <c r="AE2120" s="20"/>
    </row>
    <row r="2121">
      <c r="A2121" s="21">
        <v>58.0</v>
      </c>
      <c r="B2121" s="20" t="s">
        <v>68</v>
      </c>
      <c r="C2121" s="20" t="s">
        <v>5061</v>
      </c>
      <c r="I2121" s="25" t="s">
        <v>4581</v>
      </c>
      <c r="J2121" s="25" t="s">
        <v>4549</v>
      </c>
      <c r="K2121" s="25" t="s">
        <v>71</v>
      </c>
      <c r="L2121" s="25" t="s">
        <v>5183</v>
      </c>
      <c r="M2121" s="20" t="s">
        <v>4582</v>
      </c>
      <c r="N2121" s="20" t="s">
        <v>4583</v>
      </c>
      <c r="O2121" s="20" t="s">
        <v>63</v>
      </c>
      <c r="P2121" s="20"/>
      <c r="Q2121" s="22"/>
      <c r="R2121" s="22"/>
      <c r="S2121" s="22"/>
      <c r="T2121" s="26"/>
      <c r="U2121" s="26"/>
      <c r="V2121" s="26"/>
      <c r="W2121" s="20"/>
      <c r="X2121" s="20"/>
      <c r="Y2121" s="20"/>
      <c r="Z2121" s="20"/>
      <c r="AA2121" s="20"/>
      <c r="AB2121" s="20"/>
      <c r="AC2121" s="20"/>
      <c r="AD2121" s="20"/>
      <c r="AE2121" s="20"/>
    </row>
    <row r="2122">
      <c r="A2122" s="21">
        <v>58.0</v>
      </c>
      <c r="B2122" s="20" t="s">
        <v>68</v>
      </c>
      <c r="C2122" s="20" t="s">
        <v>5061</v>
      </c>
      <c r="I2122" s="25" t="s">
        <v>104</v>
      </c>
      <c r="J2122" s="25" t="s">
        <v>4546</v>
      </c>
      <c r="K2122" s="25" t="s">
        <v>71</v>
      </c>
      <c r="L2122" s="25" t="s">
        <v>5183</v>
      </c>
      <c r="M2122" s="20" t="s">
        <v>61</v>
      </c>
      <c r="N2122" s="20" t="s">
        <v>4568</v>
      </c>
      <c r="O2122" s="20" t="s">
        <v>63</v>
      </c>
      <c r="P2122" s="20"/>
      <c r="Q2122" s="22"/>
      <c r="R2122" s="22"/>
      <c r="S2122" s="22"/>
      <c r="T2122" s="26"/>
      <c r="U2122" s="26"/>
      <c r="V2122" s="26"/>
      <c r="W2122" s="20"/>
      <c r="X2122" s="20"/>
      <c r="Y2122" s="20"/>
      <c r="Z2122" s="20"/>
      <c r="AA2122" s="20"/>
      <c r="AB2122" s="20"/>
      <c r="AC2122" s="20"/>
      <c r="AD2122" s="20"/>
      <c r="AE2122" s="20"/>
    </row>
    <row r="2123">
      <c r="A2123" s="21">
        <v>58.0</v>
      </c>
      <c r="B2123" s="20" t="s">
        <v>68</v>
      </c>
      <c r="C2123" s="20" t="s">
        <v>5061</v>
      </c>
      <c r="I2123" s="25" t="s">
        <v>3351</v>
      </c>
      <c r="J2123" s="25" t="s">
        <v>4549</v>
      </c>
      <c r="K2123" s="25" t="s">
        <v>71</v>
      </c>
      <c r="L2123" s="25" t="s">
        <v>5183</v>
      </c>
      <c r="M2123" s="20" t="s">
        <v>61</v>
      </c>
      <c r="N2123" s="20" t="s">
        <v>4584</v>
      </c>
      <c r="O2123" s="20" t="s">
        <v>63</v>
      </c>
      <c r="P2123" s="20"/>
      <c r="Q2123" s="22"/>
      <c r="R2123" s="22"/>
      <c r="S2123" s="22"/>
      <c r="T2123" s="26"/>
      <c r="U2123" s="26"/>
      <c r="V2123" s="26"/>
      <c r="W2123" s="20"/>
      <c r="X2123" s="20"/>
      <c r="Y2123" s="20"/>
      <c r="Z2123" s="20"/>
      <c r="AA2123" s="20"/>
      <c r="AB2123" s="20"/>
      <c r="AC2123" s="20"/>
      <c r="AD2123" s="20"/>
      <c r="AE2123" s="20"/>
    </row>
    <row r="2124">
      <c r="A2124" s="21">
        <v>58.0</v>
      </c>
      <c r="B2124" s="20" t="s">
        <v>68</v>
      </c>
      <c r="C2124" s="20" t="s">
        <v>5061</v>
      </c>
      <c r="I2124" s="25" t="s">
        <v>4553</v>
      </c>
      <c r="J2124" s="25" t="s">
        <v>4543</v>
      </c>
      <c r="K2124" s="25" t="s">
        <v>71</v>
      </c>
      <c r="L2124" s="25" t="s">
        <v>5183</v>
      </c>
      <c r="M2124" s="20" t="s">
        <v>4554</v>
      </c>
      <c r="N2124" s="20" t="s">
        <v>4555</v>
      </c>
      <c r="O2124" s="20" t="s">
        <v>56</v>
      </c>
      <c r="P2124" s="20"/>
      <c r="Q2124" s="22"/>
      <c r="R2124" s="22"/>
      <c r="S2124" s="22"/>
      <c r="T2124" s="26"/>
      <c r="U2124" s="26"/>
      <c r="V2124" s="26"/>
      <c r="W2124" s="20"/>
      <c r="X2124" s="20"/>
      <c r="Y2124" s="20"/>
      <c r="Z2124" s="20"/>
      <c r="AA2124" s="20"/>
      <c r="AB2124" s="20"/>
      <c r="AC2124" s="20"/>
      <c r="AD2124" s="20"/>
      <c r="AE2124" s="20"/>
    </row>
    <row r="2125">
      <c r="A2125" s="21">
        <v>58.0</v>
      </c>
      <c r="B2125" s="20" t="s">
        <v>68</v>
      </c>
      <c r="C2125" s="20" t="s">
        <v>5061</v>
      </c>
      <c r="I2125" s="25" t="s">
        <v>4515</v>
      </c>
      <c r="J2125" s="25" t="s">
        <v>4543</v>
      </c>
      <c r="K2125" s="25" t="s">
        <v>71</v>
      </c>
      <c r="L2125" s="25" t="s">
        <v>5183</v>
      </c>
      <c r="M2125" s="20" t="s">
        <v>4574</v>
      </c>
      <c r="N2125" s="20" t="s">
        <v>4575</v>
      </c>
      <c r="O2125" s="20" t="s">
        <v>63</v>
      </c>
      <c r="P2125" s="20"/>
      <c r="Q2125" s="22"/>
      <c r="R2125" s="22"/>
      <c r="S2125" s="22"/>
      <c r="T2125" s="26"/>
      <c r="U2125" s="26"/>
      <c r="V2125" s="26"/>
      <c r="W2125" s="20"/>
      <c r="X2125" s="20"/>
      <c r="Y2125" s="20"/>
      <c r="Z2125" s="20"/>
      <c r="AA2125" s="20"/>
      <c r="AB2125" s="20"/>
      <c r="AC2125" s="20"/>
      <c r="AD2125" s="20"/>
      <c r="AE2125" s="20"/>
    </row>
    <row r="2126">
      <c r="A2126" s="21">
        <v>58.0</v>
      </c>
      <c r="B2126" s="20" t="s">
        <v>68</v>
      </c>
      <c r="C2126" s="20" t="s">
        <v>5061</v>
      </c>
      <c r="I2126" s="25" t="s">
        <v>101</v>
      </c>
      <c r="J2126" s="25" t="s">
        <v>4545</v>
      </c>
      <c r="K2126" s="25" t="s">
        <v>71</v>
      </c>
      <c r="L2126" s="25" t="s">
        <v>5183</v>
      </c>
      <c r="M2126" s="20" t="s">
        <v>3197</v>
      </c>
      <c r="N2126" s="20" t="s">
        <v>4559</v>
      </c>
      <c r="O2126" s="20" t="s">
        <v>63</v>
      </c>
      <c r="P2126" s="20"/>
      <c r="Q2126" s="22"/>
      <c r="R2126" s="22"/>
      <c r="S2126" s="22"/>
      <c r="T2126" s="26"/>
      <c r="U2126" s="26"/>
      <c r="V2126" s="26"/>
      <c r="W2126" s="20"/>
      <c r="X2126" s="20"/>
      <c r="Y2126" s="20"/>
      <c r="Z2126" s="20"/>
      <c r="AA2126" s="20"/>
      <c r="AB2126" s="20"/>
      <c r="AC2126" s="20"/>
      <c r="AD2126" s="20"/>
      <c r="AE2126" s="20"/>
    </row>
    <row r="2127">
      <c r="A2127" s="21">
        <v>58.0</v>
      </c>
      <c r="B2127" s="20" t="s">
        <v>68</v>
      </c>
      <c r="C2127" s="20" t="s">
        <v>5061</v>
      </c>
      <c r="I2127" s="25" t="s">
        <v>107</v>
      </c>
      <c r="J2127" s="25" t="s">
        <v>4546</v>
      </c>
      <c r="K2127" s="25" t="s">
        <v>71</v>
      </c>
      <c r="L2127" s="25" t="s">
        <v>5183</v>
      </c>
      <c r="M2127" s="20" t="s">
        <v>61</v>
      </c>
      <c r="N2127" s="20" t="s">
        <v>108</v>
      </c>
      <c r="O2127" s="20" t="s">
        <v>63</v>
      </c>
      <c r="P2127" s="20"/>
      <c r="Q2127" s="22"/>
      <c r="R2127" s="22"/>
      <c r="S2127" s="22"/>
      <c r="T2127" s="26"/>
      <c r="U2127" s="26"/>
      <c r="V2127" s="26"/>
      <c r="W2127" s="20"/>
      <c r="X2127" s="20"/>
      <c r="Y2127" s="20"/>
      <c r="Z2127" s="20"/>
      <c r="AA2127" s="20"/>
      <c r="AB2127" s="20"/>
      <c r="AC2127" s="20"/>
      <c r="AD2127" s="20"/>
      <c r="AE2127" s="20"/>
    </row>
    <row r="2128">
      <c r="A2128" s="21">
        <v>58.0</v>
      </c>
      <c r="B2128" s="20" t="s">
        <v>68</v>
      </c>
      <c r="C2128" s="20" t="s">
        <v>5061</v>
      </c>
      <c r="I2128" s="25" t="s">
        <v>4526</v>
      </c>
      <c r="J2128" s="25" t="s">
        <v>4545</v>
      </c>
      <c r="K2128" s="25" t="s">
        <v>71</v>
      </c>
      <c r="L2128" s="25" t="s">
        <v>5183</v>
      </c>
      <c r="M2128" s="20" t="s">
        <v>4527</v>
      </c>
      <c r="N2128" s="20" t="s">
        <v>4528</v>
      </c>
      <c r="O2128" s="20" t="s">
        <v>63</v>
      </c>
      <c r="P2128" s="20"/>
      <c r="Q2128" s="22"/>
      <c r="R2128" s="22"/>
      <c r="S2128" s="22"/>
      <c r="T2128" s="26"/>
      <c r="U2128" s="26"/>
      <c r="V2128" s="26"/>
      <c r="W2128" s="20"/>
      <c r="X2128" s="20"/>
      <c r="Y2128" s="20"/>
      <c r="Z2128" s="20"/>
      <c r="AA2128" s="20"/>
      <c r="AB2128" s="20"/>
      <c r="AC2128" s="20"/>
      <c r="AD2128" s="20"/>
      <c r="AE2128" s="20"/>
    </row>
    <row r="2129">
      <c r="A2129" s="21">
        <v>58.0</v>
      </c>
      <c r="B2129" s="20" t="s">
        <v>68</v>
      </c>
      <c r="C2129" s="20" t="s">
        <v>5061</v>
      </c>
      <c r="I2129" s="25" t="s">
        <v>64</v>
      </c>
      <c r="J2129" s="25" t="s">
        <v>4546</v>
      </c>
      <c r="K2129" s="25" t="s">
        <v>71</v>
      </c>
      <c r="L2129" s="25" t="s">
        <v>5183</v>
      </c>
      <c r="M2129" s="20" t="s">
        <v>65</v>
      </c>
      <c r="N2129" s="20" t="s">
        <v>4569</v>
      </c>
      <c r="O2129" s="20" t="s">
        <v>63</v>
      </c>
      <c r="P2129" s="20"/>
      <c r="Q2129" s="22"/>
      <c r="R2129" s="22"/>
      <c r="S2129" s="22"/>
      <c r="T2129" s="26"/>
      <c r="U2129" s="26"/>
      <c r="V2129" s="26"/>
      <c r="W2129" s="20"/>
      <c r="X2129" s="20"/>
      <c r="Y2129" s="20"/>
      <c r="Z2129" s="20"/>
      <c r="AA2129" s="20"/>
      <c r="AB2129" s="20"/>
      <c r="AC2129" s="20"/>
      <c r="AD2129" s="20"/>
      <c r="AE2129" s="20"/>
    </row>
    <row r="2130">
      <c r="A2130" s="21">
        <v>58.0</v>
      </c>
      <c r="B2130" s="20" t="s">
        <v>68</v>
      </c>
      <c r="C2130" s="20" t="s">
        <v>5061</v>
      </c>
      <c r="I2130" s="25" t="s">
        <v>2024</v>
      </c>
      <c r="J2130" s="25" t="s">
        <v>4549</v>
      </c>
      <c r="K2130" s="25" t="s">
        <v>71</v>
      </c>
      <c r="L2130" s="25" t="s">
        <v>5183</v>
      </c>
      <c r="M2130" s="20" t="s">
        <v>61</v>
      </c>
      <c r="N2130" s="20" t="s">
        <v>4585</v>
      </c>
      <c r="O2130" s="20" t="s">
        <v>63</v>
      </c>
      <c r="P2130" s="20"/>
      <c r="Q2130" s="22"/>
      <c r="R2130" s="22"/>
      <c r="S2130" s="22"/>
      <c r="T2130" s="26"/>
      <c r="U2130" s="26"/>
      <c r="V2130" s="26"/>
      <c r="W2130" s="20"/>
      <c r="X2130" s="20"/>
      <c r="Y2130" s="20"/>
      <c r="Z2130" s="20"/>
      <c r="AA2130" s="20"/>
      <c r="AB2130" s="20"/>
      <c r="AC2130" s="20"/>
      <c r="AD2130" s="20"/>
      <c r="AE2130" s="20"/>
    </row>
    <row r="2131">
      <c r="A2131" s="21">
        <v>58.0</v>
      </c>
      <c r="B2131" s="20" t="s">
        <v>68</v>
      </c>
      <c r="C2131" s="20" t="s">
        <v>5061</v>
      </c>
      <c r="I2131" s="25" t="s">
        <v>4576</v>
      </c>
      <c r="J2131" s="25" t="s">
        <v>4543</v>
      </c>
      <c r="K2131" s="25" t="s">
        <v>71</v>
      </c>
      <c r="L2131" s="25" t="s">
        <v>5201</v>
      </c>
      <c r="M2131" s="20" t="s">
        <v>61</v>
      </c>
      <c r="N2131" s="20" t="s">
        <v>4577</v>
      </c>
      <c r="O2131" s="20" t="s">
        <v>63</v>
      </c>
      <c r="P2131" s="20"/>
      <c r="Q2131" s="22"/>
      <c r="R2131" s="22"/>
      <c r="S2131" s="22"/>
      <c r="T2131" s="26"/>
      <c r="U2131" s="26"/>
      <c r="V2131" s="26"/>
      <c r="W2131" s="20"/>
      <c r="X2131" s="20"/>
      <c r="Y2131" s="20"/>
      <c r="Z2131" s="20"/>
      <c r="AA2131" s="20"/>
      <c r="AB2131" s="20"/>
      <c r="AC2131" s="20"/>
      <c r="AD2131" s="20"/>
      <c r="AE2131" s="20"/>
    </row>
    <row r="2132">
      <c r="A2132" s="21">
        <v>58.0</v>
      </c>
      <c r="B2132" s="20" t="s">
        <v>68</v>
      </c>
      <c r="C2132" s="20" t="s">
        <v>5061</v>
      </c>
      <c r="I2132" s="25" t="s">
        <v>53</v>
      </c>
      <c r="J2132" s="25" t="s">
        <v>4549</v>
      </c>
      <c r="K2132" s="25" t="s">
        <v>71</v>
      </c>
      <c r="L2132" s="25" t="s">
        <v>5183</v>
      </c>
      <c r="M2132" s="20" t="s">
        <v>54</v>
      </c>
      <c r="N2132" s="20" t="s">
        <v>4586</v>
      </c>
      <c r="O2132" s="20" t="s">
        <v>63</v>
      </c>
      <c r="P2132" s="20"/>
      <c r="Q2132" s="22"/>
      <c r="R2132" s="22"/>
      <c r="S2132" s="22"/>
      <c r="T2132" s="26"/>
      <c r="U2132" s="26"/>
      <c r="V2132" s="26"/>
      <c r="W2132" s="20"/>
      <c r="X2132" s="20"/>
      <c r="Y2132" s="20"/>
      <c r="Z2132" s="20"/>
      <c r="AA2132" s="20"/>
      <c r="AB2132" s="20"/>
      <c r="AC2132" s="20"/>
      <c r="AD2132" s="20"/>
      <c r="AE2132" s="20"/>
    </row>
    <row r="2133">
      <c r="A2133" s="21">
        <v>58.0</v>
      </c>
      <c r="B2133" s="20" t="s">
        <v>68</v>
      </c>
      <c r="C2133" s="20" t="s">
        <v>5061</v>
      </c>
      <c r="I2133" s="25" t="s">
        <v>4587</v>
      </c>
      <c r="J2133" s="25" t="s">
        <v>4549</v>
      </c>
      <c r="K2133" s="25" t="s">
        <v>71</v>
      </c>
      <c r="L2133" s="25" t="s">
        <v>5183</v>
      </c>
      <c r="M2133" s="20" t="s">
        <v>61</v>
      </c>
      <c r="N2133" s="20" t="s">
        <v>4588</v>
      </c>
      <c r="O2133" s="20" t="s">
        <v>63</v>
      </c>
      <c r="P2133" s="20"/>
      <c r="Q2133" s="22"/>
      <c r="R2133" s="22"/>
      <c r="S2133" s="22"/>
      <c r="T2133" s="26"/>
      <c r="U2133" s="26"/>
      <c r="V2133" s="26"/>
      <c r="W2133" s="20"/>
      <c r="X2133" s="20"/>
      <c r="Y2133" s="20"/>
      <c r="Z2133" s="20"/>
      <c r="AA2133" s="20"/>
      <c r="AB2133" s="20"/>
      <c r="AC2133" s="20"/>
      <c r="AD2133" s="20"/>
      <c r="AE2133" s="20"/>
    </row>
    <row r="2134">
      <c r="A2134" s="21">
        <v>58.0</v>
      </c>
      <c r="B2134" s="20" t="s">
        <v>68</v>
      </c>
      <c r="C2134" s="20" t="s">
        <v>5061</v>
      </c>
      <c r="I2134" s="25" t="s">
        <v>2535</v>
      </c>
      <c r="J2134" s="25" t="s">
        <v>4549</v>
      </c>
      <c r="K2134" s="25" t="s">
        <v>71</v>
      </c>
      <c r="L2134" s="25" t="s">
        <v>5183</v>
      </c>
      <c r="M2134" s="20" t="s">
        <v>4589</v>
      </c>
      <c r="N2134" s="20" t="s">
        <v>4590</v>
      </c>
      <c r="O2134" s="20" t="s">
        <v>63</v>
      </c>
      <c r="P2134" s="20"/>
      <c r="Q2134" s="22"/>
      <c r="R2134" s="22"/>
      <c r="S2134" s="22"/>
      <c r="T2134" s="26"/>
      <c r="U2134" s="26"/>
      <c r="V2134" s="26"/>
      <c r="W2134" s="20"/>
      <c r="X2134" s="20"/>
      <c r="Y2134" s="20"/>
      <c r="Z2134" s="20"/>
      <c r="AA2134" s="20"/>
      <c r="AB2134" s="20"/>
      <c r="AC2134" s="20"/>
      <c r="AD2134" s="20"/>
      <c r="AE2134" s="20"/>
    </row>
    <row r="2135">
      <c r="A2135" s="21">
        <v>58.0</v>
      </c>
      <c r="B2135" s="20" t="s">
        <v>68</v>
      </c>
      <c r="C2135" s="20" t="s">
        <v>5061</v>
      </c>
      <c r="I2135" s="25" t="s">
        <v>4455</v>
      </c>
      <c r="J2135" s="25" t="s">
        <v>4545</v>
      </c>
      <c r="K2135" s="25" t="s">
        <v>71</v>
      </c>
      <c r="L2135" s="25" t="s">
        <v>5183</v>
      </c>
      <c r="M2135" s="20" t="s">
        <v>4456</v>
      </c>
      <c r="N2135" s="20" t="s">
        <v>4560</v>
      </c>
      <c r="O2135" s="20" t="s">
        <v>63</v>
      </c>
      <c r="P2135" s="20"/>
      <c r="Q2135" s="22"/>
      <c r="R2135" s="22"/>
      <c r="S2135" s="22"/>
      <c r="T2135" s="26"/>
      <c r="U2135" s="26"/>
      <c r="V2135" s="26"/>
      <c r="W2135" s="20"/>
      <c r="X2135" s="20"/>
      <c r="Y2135" s="20"/>
      <c r="Z2135" s="20"/>
      <c r="AA2135" s="20"/>
      <c r="AB2135" s="20"/>
      <c r="AC2135" s="20"/>
      <c r="AD2135" s="20"/>
      <c r="AE2135" s="20"/>
    </row>
    <row r="2136">
      <c r="A2136" s="21">
        <v>58.0</v>
      </c>
      <c r="B2136" s="20" t="s">
        <v>68</v>
      </c>
      <c r="C2136" s="20" t="s">
        <v>5061</v>
      </c>
      <c r="I2136" s="25" t="s">
        <v>4570</v>
      </c>
      <c r="J2136" s="25" t="s">
        <v>4546</v>
      </c>
      <c r="K2136" s="25" t="s">
        <v>71</v>
      </c>
      <c r="L2136" s="25" t="s">
        <v>5183</v>
      </c>
      <c r="M2136" s="20" t="s">
        <v>4571</v>
      </c>
      <c r="N2136" s="20" t="s">
        <v>4572</v>
      </c>
      <c r="O2136" s="20" t="s">
        <v>63</v>
      </c>
      <c r="P2136" s="20"/>
      <c r="Q2136" s="22"/>
      <c r="R2136" s="22"/>
      <c r="S2136" s="22"/>
      <c r="T2136" s="26"/>
      <c r="U2136" s="26"/>
      <c r="V2136" s="26"/>
      <c r="W2136" s="20"/>
      <c r="X2136" s="20"/>
      <c r="Y2136" s="20"/>
      <c r="Z2136" s="20"/>
      <c r="AA2136" s="20"/>
      <c r="AB2136" s="20"/>
      <c r="AC2136" s="20"/>
      <c r="AD2136" s="20"/>
      <c r="AE2136" s="20"/>
    </row>
    <row r="2137">
      <c r="A2137" s="21">
        <v>58.0</v>
      </c>
      <c r="B2137" s="20" t="s">
        <v>68</v>
      </c>
      <c r="C2137" s="20" t="s">
        <v>5061</v>
      </c>
      <c r="I2137" s="25" t="s">
        <v>3446</v>
      </c>
      <c r="J2137" s="25" t="s">
        <v>4543</v>
      </c>
      <c r="K2137" s="25" t="s">
        <v>71</v>
      </c>
      <c r="L2137" s="25" t="s">
        <v>5183</v>
      </c>
      <c r="M2137" s="20" t="s">
        <v>4579</v>
      </c>
      <c r="N2137" s="20" t="s">
        <v>4580</v>
      </c>
      <c r="O2137" s="20" t="s">
        <v>63</v>
      </c>
      <c r="P2137" s="20"/>
      <c r="Q2137" s="22"/>
      <c r="R2137" s="22"/>
      <c r="S2137" s="22"/>
      <c r="T2137" s="26"/>
      <c r="U2137" s="26"/>
      <c r="V2137" s="26"/>
      <c r="W2137" s="20"/>
      <c r="X2137" s="20"/>
      <c r="Y2137" s="20"/>
      <c r="Z2137" s="20"/>
      <c r="AA2137" s="20"/>
      <c r="AB2137" s="20"/>
      <c r="AC2137" s="20"/>
      <c r="AD2137" s="20"/>
      <c r="AE2137" s="20"/>
    </row>
    <row r="2138">
      <c r="A2138" s="21">
        <v>58.0</v>
      </c>
      <c r="B2138" s="20" t="s">
        <v>68</v>
      </c>
      <c r="C2138" s="20" t="s">
        <v>5061</v>
      </c>
      <c r="I2138" s="25" t="s">
        <v>4561</v>
      </c>
      <c r="J2138" s="25" t="s">
        <v>4545</v>
      </c>
      <c r="K2138" s="25" t="s">
        <v>71</v>
      </c>
      <c r="L2138" s="25" t="s">
        <v>5183</v>
      </c>
      <c r="M2138" s="20" t="s">
        <v>4562</v>
      </c>
      <c r="N2138" s="20" t="s">
        <v>4563</v>
      </c>
      <c r="O2138" s="20" t="s">
        <v>63</v>
      </c>
      <c r="P2138" s="20"/>
      <c r="Q2138" s="22"/>
      <c r="R2138" s="22"/>
      <c r="S2138" s="22"/>
      <c r="T2138" s="26"/>
      <c r="U2138" s="26"/>
      <c r="V2138" s="26"/>
      <c r="W2138" s="20"/>
      <c r="X2138" s="20"/>
      <c r="Y2138" s="20"/>
      <c r="Z2138" s="20"/>
      <c r="AA2138" s="20"/>
      <c r="AB2138" s="20"/>
      <c r="AC2138" s="20"/>
      <c r="AD2138" s="20"/>
      <c r="AE2138" s="20"/>
    </row>
    <row r="2139">
      <c r="A2139" s="21">
        <v>58.0</v>
      </c>
      <c r="B2139" s="20" t="s">
        <v>68</v>
      </c>
      <c r="C2139" s="20" t="s">
        <v>5061</v>
      </c>
      <c r="I2139" s="25" t="s">
        <v>50</v>
      </c>
      <c r="J2139" s="25" t="s">
        <v>4546</v>
      </c>
      <c r="K2139" s="25" t="s">
        <v>71</v>
      </c>
      <c r="L2139" s="25" t="s">
        <v>5183</v>
      </c>
      <c r="M2139" s="20" t="s">
        <v>1684</v>
      </c>
      <c r="N2139" s="20" t="s">
        <v>4573</v>
      </c>
      <c r="O2139" s="20" t="s">
        <v>63</v>
      </c>
      <c r="P2139" s="20"/>
      <c r="Q2139" s="22"/>
      <c r="R2139" s="22"/>
      <c r="S2139" s="22"/>
      <c r="T2139" s="26"/>
      <c r="U2139" s="26"/>
      <c r="V2139" s="26"/>
      <c r="W2139" s="20"/>
      <c r="X2139" s="20"/>
      <c r="Y2139" s="20"/>
      <c r="Z2139" s="20"/>
      <c r="AA2139" s="20"/>
      <c r="AB2139" s="20"/>
      <c r="AC2139" s="20"/>
      <c r="AD2139" s="20"/>
      <c r="AE2139" s="20"/>
    </row>
    <row r="2140">
      <c r="A2140" s="21">
        <v>58.0</v>
      </c>
      <c r="B2140" s="20" t="s">
        <v>68</v>
      </c>
      <c r="C2140" s="20" t="s">
        <v>5061</v>
      </c>
      <c r="I2140" s="25" t="s">
        <v>2787</v>
      </c>
      <c r="J2140" s="25" t="s">
        <v>4545</v>
      </c>
      <c r="K2140" s="25" t="s">
        <v>71</v>
      </c>
      <c r="L2140" s="25" t="s">
        <v>5183</v>
      </c>
      <c r="M2140" s="20" t="s">
        <v>4564</v>
      </c>
      <c r="N2140" s="20" t="s">
        <v>4565</v>
      </c>
      <c r="O2140" s="20" t="s">
        <v>63</v>
      </c>
      <c r="P2140" s="20"/>
      <c r="Q2140" s="22"/>
      <c r="R2140" s="22"/>
      <c r="S2140" s="22"/>
      <c r="T2140" s="26"/>
      <c r="U2140" s="26"/>
      <c r="V2140" s="26"/>
      <c r="W2140" s="20"/>
      <c r="X2140" s="20"/>
      <c r="Y2140" s="20"/>
      <c r="Z2140" s="20"/>
      <c r="AA2140" s="20"/>
      <c r="AB2140" s="20"/>
      <c r="AC2140" s="20"/>
      <c r="AD2140" s="20"/>
      <c r="AE2140" s="20"/>
    </row>
    <row r="2141">
      <c r="A2141" s="21">
        <v>58.0</v>
      </c>
      <c r="B2141" s="20" t="s">
        <v>68</v>
      </c>
      <c r="C2141" s="20" t="s">
        <v>5061</v>
      </c>
      <c r="I2141" s="25" t="s">
        <v>4592</v>
      </c>
      <c r="J2141" s="25" t="s">
        <v>4549</v>
      </c>
      <c r="K2141" s="25" t="s">
        <v>71</v>
      </c>
      <c r="L2141" s="25" t="s">
        <v>5183</v>
      </c>
      <c r="M2141" s="20" t="s">
        <v>61</v>
      </c>
      <c r="N2141" s="20" t="s">
        <v>4593</v>
      </c>
      <c r="O2141" s="20" t="s">
        <v>63</v>
      </c>
      <c r="P2141" s="20"/>
      <c r="Q2141" s="22"/>
      <c r="R2141" s="22"/>
      <c r="S2141" s="22"/>
      <c r="T2141" s="20"/>
      <c r="U2141" s="26"/>
      <c r="V2141" s="26"/>
      <c r="W2141" s="20"/>
      <c r="X2141" s="20"/>
      <c r="Y2141" s="20"/>
      <c r="Z2141" s="20"/>
      <c r="AA2141" s="20"/>
      <c r="AB2141" s="20"/>
      <c r="AC2141" s="20"/>
      <c r="AD2141" s="20"/>
      <c r="AE2141" s="20"/>
    </row>
    <row r="2142">
      <c r="A2142" s="21">
        <v>59.0</v>
      </c>
      <c r="B2142" s="20" t="s">
        <v>4576</v>
      </c>
      <c r="C2142" s="20" t="s">
        <v>5061</v>
      </c>
      <c r="D2142" s="35">
        <v>30.0</v>
      </c>
      <c r="E2142" s="35">
        <v>2.0</v>
      </c>
      <c r="F2142" s="35">
        <v>2.0</v>
      </c>
      <c r="G2142" s="35">
        <v>26.0</v>
      </c>
      <c r="H2142" s="36" t="s">
        <v>5219</v>
      </c>
      <c r="I2142" s="25" t="s">
        <v>4526</v>
      </c>
      <c r="J2142" s="25" t="s">
        <v>4597</v>
      </c>
      <c r="K2142" s="25" t="s">
        <v>57</v>
      </c>
      <c r="L2142" s="25" t="s">
        <v>5221</v>
      </c>
      <c r="M2142" s="20" t="s">
        <v>4527</v>
      </c>
      <c r="N2142" s="20" t="s">
        <v>4598</v>
      </c>
      <c r="O2142" s="20" t="s">
        <v>63</v>
      </c>
      <c r="P2142" s="20"/>
      <c r="Q2142" s="22"/>
      <c r="R2142" s="22"/>
      <c r="S2142" s="22"/>
      <c r="T2142" s="20"/>
      <c r="U2142" s="26"/>
      <c r="V2142" s="26"/>
      <c r="W2142" s="20"/>
      <c r="X2142" s="20"/>
      <c r="Y2142" s="20"/>
      <c r="Z2142" s="20"/>
      <c r="AA2142" s="20"/>
      <c r="AB2142" s="20"/>
      <c r="AC2142" s="20"/>
      <c r="AD2142" s="20"/>
      <c r="AE2142" s="20"/>
    </row>
    <row r="2143">
      <c r="A2143" s="21">
        <v>59.0</v>
      </c>
      <c r="B2143" s="20" t="s">
        <v>4576</v>
      </c>
      <c r="C2143" s="20" t="s">
        <v>5061</v>
      </c>
      <c r="I2143" s="25" t="s">
        <v>2804</v>
      </c>
      <c r="J2143" s="25" t="s">
        <v>4594</v>
      </c>
      <c r="K2143" s="25" t="s">
        <v>57</v>
      </c>
      <c r="L2143" s="25" t="s">
        <v>5223</v>
      </c>
      <c r="M2143" s="20" t="s">
        <v>3426</v>
      </c>
      <c r="N2143" s="20" t="s">
        <v>4596</v>
      </c>
      <c r="O2143" s="20" t="s">
        <v>63</v>
      </c>
      <c r="P2143" s="20"/>
      <c r="Q2143" s="22"/>
      <c r="R2143" s="22"/>
      <c r="S2143" s="22"/>
      <c r="T2143" s="20"/>
      <c r="U2143" s="26"/>
      <c r="V2143" s="26"/>
      <c r="W2143" s="20"/>
      <c r="X2143" s="20"/>
      <c r="Y2143" s="20"/>
      <c r="Z2143" s="20"/>
      <c r="AA2143" s="20"/>
      <c r="AB2143" s="20"/>
      <c r="AC2143" s="20"/>
      <c r="AD2143" s="20"/>
      <c r="AE2143" s="20"/>
    </row>
    <row r="2144">
      <c r="A2144" s="21">
        <v>59.0</v>
      </c>
      <c r="B2144" s="20" t="s">
        <v>4576</v>
      </c>
      <c r="C2144" s="20" t="s">
        <v>5061</v>
      </c>
      <c r="I2144" s="25" t="s">
        <v>2787</v>
      </c>
      <c r="J2144" s="25" t="s">
        <v>4597</v>
      </c>
      <c r="K2144" s="25" t="s">
        <v>67</v>
      </c>
      <c r="L2144" s="25" t="s">
        <v>5225</v>
      </c>
      <c r="M2144" s="20" t="s">
        <v>2788</v>
      </c>
      <c r="N2144" s="20" t="s">
        <v>4602</v>
      </c>
      <c r="O2144" s="20" t="s">
        <v>63</v>
      </c>
      <c r="P2144" s="20"/>
      <c r="Q2144" s="22"/>
      <c r="R2144" s="22"/>
      <c r="S2144" s="22"/>
      <c r="T2144" s="20"/>
      <c r="U2144" s="26"/>
      <c r="V2144" s="26"/>
      <c r="W2144" s="20"/>
      <c r="X2144" s="20"/>
      <c r="Y2144" s="20"/>
      <c r="Z2144" s="20"/>
      <c r="AA2144" s="20"/>
      <c r="AB2144" s="20"/>
      <c r="AC2144" s="20"/>
      <c r="AD2144" s="20"/>
      <c r="AE2144" s="20"/>
    </row>
    <row r="2145">
      <c r="A2145" s="21">
        <v>59.0</v>
      </c>
      <c r="B2145" s="20" t="s">
        <v>4576</v>
      </c>
      <c r="C2145" s="20" t="s">
        <v>5061</v>
      </c>
      <c r="I2145" s="25" t="s">
        <v>4604</v>
      </c>
      <c r="J2145" s="25" t="s">
        <v>4594</v>
      </c>
      <c r="K2145" s="25" t="s">
        <v>71</v>
      </c>
      <c r="L2145" s="25" t="s">
        <v>292</v>
      </c>
      <c r="M2145" s="20" t="s">
        <v>4605</v>
      </c>
      <c r="N2145" s="20" t="s">
        <v>4606</v>
      </c>
      <c r="O2145" s="20" t="s">
        <v>63</v>
      </c>
      <c r="P2145" s="20" t="s">
        <v>52</v>
      </c>
      <c r="Q2145" s="22"/>
      <c r="R2145" s="22"/>
      <c r="S2145" s="22"/>
      <c r="T2145" s="22"/>
      <c r="U2145" s="26"/>
      <c r="V2145" s="26"/>
      <c r="W2145" s="20"/>
      <c r="X2145" s="20"/>
      <c r="Y2145" s="20"/>
      <c r="Z2145" s="20"/>
      <c r="AA2145" s="20"/>
      <c r="AB2145" s="20"/>
      <c r="AC2145" s="20"/>
      <c r="AD2145" s="20"/>
      <c r="AE2145" s="20"/>
    </row>
    <row r="2146">
      <c r="A2146" s="21">
        <v>59.0</v>
      </c>
      <c r="B2146" s="20" t="s">
        <v>4576</v>
      </c>
      <c r="C2146" s="20" t="s">
        <v>5061</v>
      </c>
      <c r="I2146" s="25" t="s">
        <v>4587</v>
      </c>
      <c r="J2146" s="25" t="s">
        <v>4594</v>
      </c>
      <c r="K2146" s="25" t="s">
        <v>67</v>
      </c>
      <c r="L2146" s="25" t="s">
        <v>5230</v>
      </c>
      <c r="M2146" s="20" t="s">
        <v>4600</v>
      </c>
      <c r="N2146" s="20" t="s">
        <v>4601</v>
      </c>
      <c r="O2146" s="20" t="s">
        <v>63</v>
      </c>
      <c r="P2146" s="20"/>
      <c r="Q2146" s="22"/>
      <c r="R2146" s="22"/>
      <c r="S2146" s="22"/>
      <c r="T2146" s="20"/>
      <c r="U2146" s="26"/>
      <c r="V2146" s="26"/>
      <c r="W2146" s="20"/>
      <c r="X2146" s="20"/>
      <c r="Y2146" s="20"/>
      <c r="Z2146" s="20"/>
      <c r="AA2146" s="20"/>
      <c r="AB2146" s="20"/>
      <c r="AC2146" s="20"/>
      <c r="AD2146" s="20"/>
      <c r="AE2146" s="20"/>
    </row>
    <row r="2147">
      <c r="A2147" s="21">
        <v>59.0</v>
      </c>
      <c r="B2147" s="20" t="s">
        <v>4576</v>
      </c>
      <c r="C2147" s="20" t="s">
        <v>5061</v>
      </c>
      <c r="I2147" s="25" t="s">
        <v>2517</v>
      </c>
      <c r="J2147" s="25" t="s">
        <v>4594</v>
      </c>
      <c r="K2147" s="25" t="s">
        <v>71</v>
      </c>
      <c r="L2147" s="25" t="s">
        <v>5183</v>
      </c>
      <c r="M2147" s="20" t="s">
        <v>4608</v>
      </c>
      <c r="N2147" s="20" t="s">
        <v>4609</v>
      </c>
      <c r="O2147" s="20" t="s">
        <v>63</v>
      </c>
      <c r="P2147" s="20"/>
      <c r="Q2147" s="22"/>
      <c r="R2147" s="22"/>
      <c r="S2147" s="22"/>
      <c r="T2147" s="20"/>
      <c r="U2147" s="26"/>
      <c r="V2147" s="26"/>
      <c r="W2147" s="20"/>
      <c r="X2147" s="20"/>
      <c r="Y2147" s="20"/>
      <c r="Z2147" s="20"/>
      <c r="AA2147" s="20"/>
      <c r="AB2147" s="20"/>
      <c r="AC2147" s="20"/>
      <c r="AD2147" s="20"/>
      <c r="AE2147" s="20"/>
    </row>
    <row r="2148">
      <c r="A2148" s="21">
        <v>59.0</v>
      </c>
      <c r="B2148" s="20" t="s">
        <v>4576</v>
      </c>
      <c r="C2148" s="20" t="s">
        <v>5061</v>
      </c>
      <c r="I2148" s="25" t="s">
        <v>60</v>
      </c>
      <c r="J2148" s="25" t="s">
        <v>4594</v>
      </c>
      <c r="K2148" s="25" t="s">
        <v>71</v>
      </c>
      <c r="L2148" s="25" t="s">
        <v>292</v>
      </c>
      <c r="M2148" s="20" t="s">
        <v>4489</v>
      </c>
      <c r="N2148" s="20" t="s">
        <v>4610</v>
      </c>
      <c r="O2148" s="20" t="s">
        <v>63</v>
      </c>
      <c r="P2148" s="20" t="s">
        <v>52</v>
      </c>
      <c r="Q2148" s="22"/>
      <c r="R2148" s="22"/>
      <c r="S2148" s="22"/>
      <c r="T2148" s="22"/>
      <c r="U2148" s="26"/>
      <c r="V2148" s="26"/>
      <c r="W2148" s="20"/>
      <c r="X2148" s="20"/>
      <c r="Y2148" s="20"/>
      <c r="Z2148" s="20"/>
      <c r="AA2148" s="20"/>
      <c r="AB2148" s="20"/>
      <c r="AC2148" s="20"/>
      <c r="AD2148" s="20"/>
      <c r="AE2148" s="20"/>
    </row>
    <row r="2149">
      <c r="A2149" s="21">
        <v>59.0</v>
      </c>
      <c r="B2149" s="20" t="s">
        <v>4576</v>
      </c>
      <c r="C2149" s="20" t="s">
        <v>5061</v>
      </c>
      <c r="I2149" s="25" t="s">
        <v>4236</v>
      </c>
      <c r="J2149" s="25" t="s">
        <v>4597</v>
      </c>
      <c r="K2149" s="25" t="s">
        <v>71</v>
      </c>
      <c r="L2149" s="25" t="s">
        <v>5183</v>
      </c>
      <c r="M2149" s="20" t="s">
        <v>4632</v>
      </c>
      <c r="N2149" s="20" t="s">
        <v>4633</v>
      </c>
      <c r="O2149" s="20" t="s">
        <v>63</v>
      </c>
      <c r="P2149" s="20"/>
      <c r="Q2149" s="22"/>
      <c r="R2149" s="22"/>
      <c r="S2149" s="22"/>
      <c r="T2149" s="26"/>
      <c r="U2149" s="26"/>
      <c r="V2149" s="26"/>
      <c r="W2149" s="20"/>
      <c r="X2149" s="20"/>
      <c r="Y2149" s="20"/>
      <c r="Z2149" s="20"/>
      <c r="AA2149" s="20"/>
      <c r="AB2149" s="20"/>
      <c r="AC2149" s="20"/>
      <c r="AD2149" s="20"/>
      <c r="AE2149" s="20"/>
    </row>
    <row r="2150">
      <c r="A2150" s="21">
        <v>59.0</v>
      </c>
      <c r="B2150" s="20" t="s">
        <v>4576</v>
      </c>
      <c r="C2150" s="20" t="s">
        <v>5061</v>
      </c>
      <c r="I2150" s="25" t="s">
        <v>98</v>
      </c>
      <c r="J2150" s="25" t="s">
        <v>4597</v>
      </c>
      <c r="K2150" s="25" t="s">
        <v>71</v>
      </c>
      <c r="L2150" s="25" t="s">
        <v>5183</v>
      </c>
      <c r="M2150" s="20" t="s">
        <v>99</v>
      </c>
      <c r="N2150" s="20" t="s">
        <v>4635</v>
      </c>
      <c r="O2150" s="20" t="s">
        <v>63</v>
      </c>
      <c r="P2150" s="20"/>
      <c r="Q2150" s="22"/>
      <c r="R2150" s="22"/>
      <c r="S2150" s="22"/>
      <c r="T2150" s="20"/>
      <c r="U2150" s="26"/>
      <c r="V2150" s="26"/>
      <c r="W2150" s="20"/>
      <c r="X2150" s="20"/>
      <c r="Y2150" s="20"/>
      <c r="Z2150" s="20"/>
      <c r="AA2150" s="20"/>
      <c r="AB2150" s="20"/>
      <c r="AC2150" s="20"/>
      <c r="AD2150" s="20"/>
      <c r="AE2150" s="20"/>
    </row>
    <row r="2151">
      <c r="A2151" s="21">
        <v>59.0</v>
      </c>
      <c r="B2151" s="20" t="s">
        <v>4576</v>
      </c>
      <c r="C2151" s="20" t="s">
        <v>5061</v>
      </c>
      <c r="I2151" s="25" t="s">
        <v>4581</v>
      </c>
      <c r="J2151" s="25" t="s">
        <v>4594</v>
      </c>
      <c r="K2151" s="25" t="s">
        <v>71</v>
      </c>
      <c r="L2151" s="25" t="s">
        <v>5183</v>
      </c>
      <c r="M2151" s="20" t="s">
        <v>4582</v>
      </c>
      <c r="N2151" s="20" t="s">
        <v>4611</v>
      </c>
      <c r="O2151" s="20" t="s">
        <v>63</v>
      </c>
      <c r="P2151" s="20"/>
      <c r="Q2151" s="22"/>
      <c r="R2151" s="22"/>
      <c r="S2151" s="22"/>
      <c r="T2151" s="20"/>
      <c r="U2151" s="26"/>
      <c r="V2151" s="26"/>
      <c r="W2151" s="20"/>
      <c r="X2151" s="20"/>
      <c r="Y2151" s="20"/>
      <c r="Z2151" s="20"/>
      <c r="AA2151" s="20"/>
      <c r="AB2151" s="20"/>
      <c r="AC2151" s="20"/>
      <c r="AD2151" s="20"/>
      <c r="AE2151" s="20"/>
    </row>
    <row r="2152">
      <c r="A2152" s="21">
        <v>59.0</v>
      </c>
      <c r="B2152" s="20" t="s">
        <v>4576</v>
      </c>
      <c r="C2152" s="20" t="s">
        <v>5061</v>
      </c>
      <c r="I2152" s="25" t="s">
        <v>104</v>
      </c>
      <c r="J2152" s="25" t="s">
        <v>4594</v>
      </c>
      <c r="K2152" s="25" t="s">
        <v>71</v>
      </c>
      <c r="L2152" s="25" t="s">
        <v>5183</v>
      </c>
      <c r="M2152" s="20" t="s">
        <v>4612</v>
      </c>
      <c r="N2152" s="20" t="s">
        <v>4611</v>
      </c>
      <c r="O2152" s="20" t="s">
        <v>63</v>
      </c>
      <c r="P2152" s="20"/>
      <c r="Q2152" s="22"/>
      <c r="R2152" s="22"/>
      <c r="S2152" s="22"/>
      <c r="T2152" s="20"/>
      <c r="U2152" s="26"/>
      <c r="V2152" s="26"/>
      <c r="W2152" s="20"/>
      <c r="X2152" s="20"/>
      <c r="Y2152" s="20"/>
      <c r="Z2152" s="20"/>
      <c r="AA2152" s="20"/>
      <c r="AB2152" s="20"/>
      <c r="AC2152" s="20"/>
      <c r="AD2152" s="20"/>
      <c r="AE2152" s="20"/>
    </row>
    <row r="2153">
      <c r="A2153" s="21">
        <v>59.0</v>
      </c>
      <c r="B2153" s="20" t="s">
        <v>4576</v>
      </c>
      <c r="C2153" s="20" t="s">
        <v>5061</v>
      </c>
      <c r="I2153" s="25" t="s">
        <v>4553</v>
      </c>
      <c r="J2153" s="25" t="s">
        <v>4638</v>
      </c>
      <c r="K2153" s="25" t="s">
        <v>71</v>
      </c>
      <c r="L2153" s="25" t="s">
        <v>5183</v>
      </c>
      <c r="M2153" s="20" t="s">
        <v>4554</v>
      </c>
      <c r="N2153" s="20" t="s">
        <v>4555</v>
      </c>
      <c r="O2153" s="20" t="s">
        <v>63</v>
      </c>
      <c r="P2153" s="20"/>
      <c r="Q2153" s="22"/>
      <c r="R2153" s="22"/>
      <c r="S2153" s="22"/>
      <c r="T2153" s="26"/>
      <c r="U2153" s="26"/>
      <c r="V2153" s="26"/>
      <c r="W2153" s="20"/>
      <c r="X2153" s="20"/>
      <c r="Y2153" s="20"/>
      <c r="Z2153" s="20"/>
      <c r="AA2153" s="20"/>
      <c r="AB2153" s="20"/>
      <c r="AC2153" s="20"/>
      <c r="AD2153" s="20"/>
      <c r="AE2153" s="20"/>
    </row>
    <row r="2154">
      <c r="A2154" s="21">
        <v>59.0</v>
      </c>
      <c r="B2154" s="20" t="s">
        <v>4576</v>
      </c>
      <c r="C2154" s="20" t="s">
        <v>5061</v>
      </c>
      <c r="I2154" s="25" t="s">
        <v>186</v>
      </c>
      <c r="J2154" s="25" t="s">
        <v>4594</v>
      </c>
      <c r="K2154" s="25" t="s">
        <v>71</v>
      </c>
      <c r="L2154" s="25" t="s">
        <v>292</v>
      </c>
      <c r="M2154" s="20" t="s">
        <v>4613</v>
      </c>
      <c r="N2154" s="20" t="s">
        <v>4606</v>
      </c>
      <c r="O2154" s="20" t="s">
        <v>63</v>
      </c>
      <c r="P2154" s="20" t="s">
        <v>52</v>
      </c>
      <c r="Q2154" s="22"/>
      <c r="R2154" s="22"/>
      <c r="S2154" s="22"/>
      <c r="T2154" s="22"/>
      <c r="U2154" s="26"/>
      <c r="V2154" s="26"/>
      <c r="W2154" s="20"/>
      <c r="X2154" s="20"/>
      <c r="Y2154" s="20"/>
      <c r="Z2154" s="20"/>
      <c r="AA2154" s="20"/>
      <c r="AB2154" s="20"/>
      <c r="AC2154" s="20"/>
      <c r="AD2154" s="20"/>
      <c r="AE2154" s="20"/>
    </row>
    <row r="2155">
      <c r="A2155" s="21">
        <v>59.0</v>
      </c>
      <c r="B2155" s="20" t="s">
        <v>4576</v>
      </c>
      <c r="C2155" s="20" t="s">
        <v>5061</v>
      </c>
      <c r="I2155" s="25" t="s">
        <v>4112</v>
      </c>
      <c r="J2155" s="25" t="s">
        <v>4594</v>
      </c>
      <c r="K2155" s="25" t="s">
        <v>71</v>
      </c>
      <c r="L2155" s="25" t="s">
        <v>5183</v>
      </c>
      <c r="M2155" s="20" t="s">
        <v>61</v>
      </c>
      <c r="N2155" s="20" t="s">
        <v>4552</v>
      </c>
      <c r="O2155" s="20" t="s">
        <v>63</v>
      </c>
      <c r="P2155" s="20"/>
      <c r="Q2155" s="22"/>
      <c r="R2155" s="22"/>
      <c r="S2155" s="22"/>
      <c r="T2155" s="20"/>
      <c r="U2155" s="26"/>
      <c r="V2155" s="26"/>
      <c r="W2155" s="20"/>
      <c r="X2155" s="20"/>
      <c r="Y2155" s="20"/>
      <c r="Z2155" s="20"/>
      <c r="AA2155" s="20"/>
      <c r="AB2155" s="20"/>
      <c r="AC2155" s="20"/>
      <c r="AD2155" s="20"/>
      <c r="AE2155" s="20"/>
    </row>
    <row r="2156">
      <c r="A2156" s="21">
        <v>59.0</v>
      </c>
      <c r="B2156" s="20" t="s">
        <v>4576</v>
      </c>
      <c r="C2156" s="20" t="s">
        <v>5061</v>
      </c>
      <c r="I2156" s="25" t="s">
        <v>2262</v>
      </c>
      <c r="J2156" s="25" t="s">
        <v>4594</v>
      </c>
      <c r="K2156" s="25" t="s">
        <v>71</v>
      </c>
      <c r="L2156" s="25" t="s">
        <v>292</v>
      </c>
      <c r="M2156" s="20" t="s">
        <v>4614</v>
      </c>
      <c r="N2156" s="20" t="s">
        <v>4615</v>
      </c>
      <c r="O2156" s="20" t="s">
        <v>63</v>
      </c>
      <c r="P2156" s="20" t="s">
        <v>52</v>
      </c>
      <c r="Q2156" s="22"/>
      <c r="R2156" s="22"/>
      <c r="S2156" s="22"/>
      <c r="T2156" s="22"/>
      <c r="U2156" s="26"/>
      <c r="V2156" s="26"/>
      <c r="W2156" s="20"/>
      <c r="X2156" s="20"/>
      <c r="Y2156" s="20"/>
      <c r="Z2156" s="20"/>
      <c r="AA2156" s="20"/>
      <c r="AB2156" s="20"/>
      <c r="AC2156" s="20"/>
      <c r="AD2156" s="20"/>
      <c r="AE2156" s="20"/>
    </row>
    <row r="2157">
      <c r="A2157" s="21">
        <v>59.0</v>
      </c>
      <c r="B2157" s="20" t="s">
        <v>4576</v>
      </c>
      <c r="C2157" s="20" t="s">
        <v>5061</v>
      </c>
      <c r="I2157" s="25" t="s">
        <v>4515</v>
      </c>
      <c r="J2157" s="25" t="s">
        <v>4638</v>
      </c>
      <c r="K2157" s="25" t="s">
        <v>71</v>
      </c>
      <c r="L2157" s="25" t="s">
        <v>5183</v>
      </c>
      <c r="M2157" s="20" t="s">
        <v>4574</v>
      </c>
      <c r="N2157" s="20" t="s">
        <v>4575</v>
      </c>
      <c r="O2157" s="20" t="s">
        <v>63</v>
      </c>
      <c r="P2157" s="20"/>
      <c r="Q2157" s="22"/>
      <c r="R2157" s="22"/>
      <c r="S2157" s="22"/>
      <c r="T2157" s="20"/>
      <c r="U2157" s="26"/>
      <c r="V2157" s="26"/>
      <c r="W2157" s="20"/>
      <c r="X2157" s="20"/>
      <c r="Y2157" s="20"/>
      <c r="Z2157" s="20"/>
      <c r="AA2157" s="20"/>
      <c r="AB2157" s="20"/>
      <c r="AC2157" s="20"/>
      <c r="AD2157" s="20"/>
      <c r="AE2157" s="20"/>
    </row>
    <row r="2158">
      <c r="A2158" s="21">
        <v>59.0</v>
      </c>
      <c r="B2158" s="20" t="s">
        <v>4576</v>
      </c>
      <c r="C2158" s="20" t="s">
        <v>5061</v>
      </c>
      <c r="I2158" s="25" t="s">
        <v>1704</v>
      </c>
      <c r="J2158" s="25" t="s">
        <v>4594</v>
      </c>
      <c r="K2158" s="25" t="s">
        <v>71</v>
      </c>
      <c r="L2158" s="25" t="s">
        <v>292</v>
      </c>
      <c r="M2158" s="20" t="s">
        <v>4617</v>
      </c>
      <c r="N2158" s="20" t="s">
        <v>4618</v>
      </c>
      <c r="O2158" s="20" t="s">
        <v>63</v>
      </c>
      <c r="P2158" s="20" t="s">
        <v>52</v>
      </c>
      <c r="Q2158" s="22"/>
      <c r="R2158" s="22"/>
      <c r="S2158" s="22"/>
      <c r="T2158" s="22"/>
      <c r="U2158" s="26"/>
      <c r="V2158" s="26"/>
      <c r="W2158" s="20"/>
      <c r="X2158" s="20"/>
      <c r="Y2158" s="20"/>
      <c r="Z2158" s="20"/>
      <c r="AA2158" s="20"/>
      <c r="AB2158" s="20"/>
      <c r="AC2158" s="20"/>
      <c r="AD2158" s="20"/>
      <c r="AE2158" s="20"/>
    </row>
    <row r="2159">
      <c r="A2159" s="21">
        <v>59.0</v>
      </c>
      <c r="B2159" s="20" t="s">
        <v>4576</v>
      </c>
      <c r="C2159" s="20" t="s">
        <v>5061</v>
      </c>
      <c r="I2159" s="25" t="s">
        <v>2618</v>
      </c>
      <c r="J2159" s="25" t="s">
        <v>4594</v>
      </c>
      <c r="K2159" s="25" t="s">
        <v>71</v>
      </c>
      <c r="L2159" s="25" t="s">
        <v>292</v>
      </c>
      <c r="M2159" s="20" t="s">
        <v>4619</v>
      </c>
      <c r="N2159" s="20" t="s">
        <v>4620</v>
      </c>
      <c r="O2159" s="20" t="s">
        <v>63</v>
      </c>
      <c r="P2159" s="20" t="s">
        <v>52</v>
      </c>
      <c r="Q2159" s="22"/>
      <c r="R2159" s="22"/>
      <c r="S2159" s="22"/>
      <c r="T2159" s="22"/>
      <c r="U2159" s="26"/>
      <c r="V2159" s="26"/>
      <c r="W2159" s="20"/>
      <c r="X2159" s="20"/>
      <c r="Y2159" s="20"/>
      <c r="Z2159" s="20"/>
      <c r="AA2159" s="20"/>
      <c r="AB2159" s="20"/>
      <c r="AC2159" s="20"/>
      <c r="AD2159" s="20"/>
      <c r="AE2159" s="20"/>
    </row>
    <row r="2160">
      <c r="A2160" s="21">
        <v>59.0</v>
      </c>
      <c r="B2160" s="20" t="s">
        <v>4576</v>
      </c>
      <c r="C2160" s="20" t="s">
        <v>5061</v>
      </c>
      <c r="I2160" s="25" t="s">
        <v>206</v>
      </c>
      <c r="J2160" s="25" t="s">
        <v>4594</v>
      </c>
      <c r="K2160" s="25" t="s">
        <v>71</v>
      </c>
      <c r="L2160" s="25" t="s">
        <v>292</v>
      </c>
      <c r="M2160" s="20" t="s">
        <v>4621</v>
      </c>
      <c r="N2160" s="20" t="s">
        <v>4606</v>
      </c>
      <c r="O2160" s="20" t="s">
        <v>63</v>
      </c>
      <c r="P2160" s="20" t="s">
        <v>52</v>
      </c>
      <c r="Q2160" s="22"/>
      <c r="R2160" s="22"/>
      <c r="S2160" s="22"/>
      <c r="T2160" s="22"/>
      <c r="U2160" s="26"/>
      <c r="V2160" s="26"/>
      <c r="W2160" s="20"/>
      <c r="X2160" s="20"/>
      <c r="Y2160" s="20"/>
      <c r="Z2160" s="20"/>
      <c r="AA2160" s="20"/>
      <c r="AB2160" s="20"/>
      <c r="AC2160" s="20"/>
      <c r="AD2160" s="20"/>
      <c r="AE2160" s="20"/>
    </row>
    <row r="2161">
      <c r="A2161" s="21">
        <v>59.0</v>
      </c>
      <c r="B2161" s="20" t="s">
        <v>4576</v>
      </c>
      <c r="C2161" s="20" t="s">
        <v>5061</v>
      </c>
      <c r="I2161" s="25" t="s">
        <v>4505</v>
      </c>
      <c r="J2161" s="25" t="s">
        <v>4594</v>
      </c>
      <c r="K2161" s="25" t="s">
        <v>71</v>
      </c>
      <c r="L2161" s="25" t="s">
        <v>292</v>
      </c>
      <c r="M2161" s="20" t="s">
        <v>4622</v>
      </c>
      <c r="N2161" s="20" t="s">
        <v>4623</v>
      </c>
      <c r="O2161" s="20" t="s">
        <v>63</v>
      </c>
      <c r="P2161" s="20" t="s">
        <v>52</v>
      </c>
      <c r="Q2161" s="22"/>
      <c r="R2161" s="22"/>
      <c r="S2161" s="22"/>
      <c r="T2161" s="22"/>
      <c r="U2161" s="26"/>
      <c r="V2161" s="26"/>
      <c r="W2161" s="20"/>
      <c r="X2161" s="20"/>
      <c r="Y2161" s="20"/>
      <c r="Z2161" s="20"/>
      <c r="AA2161" s="20"/>
      <c r="AB2161" s="20"/>
      <c r="AC2161" s="20"/>
      <c r="AD2161" s="20"/>
      <c r="AE2161" s="20"/>
    </row>
    <row r="2162">
      <c r="A2162" s="21">
        <v>59.0</v>
      </c>
      <c r="B2162" s="20" t="s">
        <v>4576</v>
      </c>
      <c r="C2162" s="20" t="s">
        <v>5061</v>
      </c>
      <c r="I2162" s="25" t="s">
        <v>4570</v>
      </c>
      <c r="J2162" s="25" t="s">
        <v>4594</v>
      </c>
      <c r="K2162" s="25" t="s">
        <v>71</v>
      </c>
      <c r="L2162" s="25" t="s">
        <v>292</v>
      </c>
      <c r="M2162" s="20" t="s">
        <v>4624</v>
      </c>
      <c r="N2162" s="20" t="s">
        <v>4625</v>
      </c>
      <c r="O2162" s="20" t="s">
        <v>63</v>
      </c>
      <c r="P2162" s="20" t="s">
        <v>52</v>
      </c>
      <c r="Q2162" s="22"/>
      <c r="R2162" s="22"/>
      <c r="S2162" s="22"/>
      <c r="T2162" s="22"/>
      <c r="U2162" s="26"/>
      <c r="V2162" s="26"/>
      <c r="W2162" s="20"/>
      <c r="X2162" s="20"/>
      <c r="Y2162" s="20"/>
      <c r="Z2162" s="20"/>
      <c r="AA2162" s="20"/>
      <c r="AB2162" s="20"/>
      <c r="AC2162" s="20"/>
      <c r="AD2162" s="20"/>
      <c r="AE2162" s="20"/>
    </row>
    <row r="2163">
      <c r="A2163" s="21">
        <v>59.0</v>
      </c>
      <c r="B2163" s="20" t="s">
        <v>4576</v>
      </c>
      <c r="C2163" s="20" t="s">
        <v>5061</v>
      </c>
      <c r="I2163" s="25" t="s">
        <v>68</v>
      </c>
      <c r="J2163" s="25" t="s">
        <v>4628</v>
      </c>
      <c r="K2163" s="25" t="s">
        <v>71</v>
      </c>
      <c r="L2163" s="25" t="s">
        <v>5201</v>
      </c>
      <c r="M2163" s="20" t="s">
        <v>4629</v>
      </c>
      <c r="N2163" s="20" t="s">
        <v>4630</v>
      </c>
      <c r="O2163" s="20" t="s">
        <v>63</v>
      </c>
      <c r="P2163" s="20"/>
      <c r="Q2163" s="22"/>
      <c r="R2163" s="22"/>
      <c r="S2163" s="22"/>
      <c r="T2163" s="26"/>
      <c r="U2163" s="26"/>
      <c r="V2163" s="26"/>
      <c r="W2163" s="20"/>
      <c r="X2163" s="20"/>
      <c r="Y2163" s="20"/>
      <c r="Z2163" s="20"/>
      <c r="AA2163" s="20"/>
      <c r="AB2163" s="20"/>
      <c r="AC2163" s="20"/>
      <c r="AD2163" s="20"/>
      <c r="AE2163" s="20"/>
    </row>
    <row r="2164">
      <c r="A2164" s="21">
        <v>59.0</v>
      </c>
      <c r="B2164" s="20" t="s">
        <v>4576</v>
      </c>
      <c r="C2164" s="20" t="s">
        <v>5061</v>
      </c>
      <c r="I2164" s="25" t="s">
        <v>4626</v>
      </c>
      <c r="J2164" s="25" t="s">
        <v>4594</v>
      </c>
      <c r="K2164" s="25" t="s">
        <v>71</v>
      </c>
      <c r="L2164" s="25" t="s">
        <v>292</v>
      </c>
      <c r="M2164" s="20" t="s">
        <v>61</v>
      </c>
      <c r="N2164" s="20" t="s">
        <v>4627</v>
      </c>
      <c r="O2164" s="20" t="s">
        <v>63</v>
      </c>
      <c r="P2164" s="20" t="s">
        <v>52</v>
      </c>
      <c r="Q2164" s="22"/>
      <c r="R2164" s="22"/>
      <c r="S2164" s="22"/>
      <c r="T2164" s="22"/>
      <c r="U2164" s="26"/>
      <c r="V2164" s="26"/>
      <c r="W2164" s="20"/>
      <c r="X2164" s="20"/>
      <c r="Y2164" s="20"/>
      <c r="Z2164" s="20"/>
      <c r="AA2164" s="20"/>
      <c r="AB2164" s="20"/>
      <c r="AC2164" s="20"/>
      <c r="AD2164" s="20"/>
      <c r="AE2164" s="20"/>
    </row>
    <row r="2165">
      <c r="A2165" s="21">
        <v>59.0</v>
      </c>
      <c r="B2165" s="20" t="s">
        <v>4576</v>
      </c>
      <c r="C2165" s="20" t="s">
        <v>5061</v>
      </c>
      <c r="I2165" s="25" t="s">
        <v>1643</v>
      </c>
      <c r="J2165" s="25" t="s">
        <v>4597</v>
      </c>
      <c r="K2165" s="25" t="s">
        <v>71</v>
      </c>
      <c r="L2165" s="25" t="s">
        <v>292</v>
      </c>
      <c r="M2165" s="20" t="s">
        <v>4074</v>
      </c>
      <c r="N2165" s="20" t="s">
        <v>4636</v>
      </c>
      <c r="O2165" s="20" t="s">
        <v>63</v>
      </c>
      <c r="P2165" s="20" t="s">
        <v>52</v>
      </c>
      <c r="Q2165" s="22"/>
      <c r="R2165" s="22"/>
      <c r="S2165" s="22"/>
      <c r="T2165" s="22"/>
      <c r="U2165" s="26"/>
      <c r="V2165" s="26"/>
      <c r="W2165" s="20"/>
      <c r="X2165" s="20"/>
      <c r="Y2165" s="20"/>
      <c r="Z2165" s="20"/>
      <c r="AA2165" s="20"/>
      <c r="AB2165" s="20"/>
      <c r="AC2165" s="20"/>
      <c r="AD2165" s="20"/>
      <c r="AE2165" s="20"/>
    </row>
    <row r="2166">
      <c r="A2166" s="21">
        <v>59.0</v>
      </c>
      <c r="B2166" s="20" t="s">
        <v>4576</v>
      </c>
      <c r="C2166" s="20" t="s">
        <v>5061</v>
      </c>
      <c r="I2166" s="25" t="s">
        <v>3446</v>
      </c>
      <c r="J2166" s="25" t="s">
        <v>4638</v>
      </c>
      <c r="K2166" s="25" t="s">
        <v>71</v>
      </c>
      <c r="L2166" s="25" t="s">
        <v>292</v>
      </c>
      <c r="M2166" s="20" t="s">
        <v>4579</v>
      </c>
      <c r="N2166" s="20" t="s">
        <v>4580</v>
      </c>
      <c r="O2166" s="20" t="s">
        <v>63</v>
      </c>
      <c r="P2166" s="20" t="s">
        <v>52</v>
      </c>
      <c r="Q2166" s="22"/>
      <c r="R2166" s="22"/>
      <c r="S2166" s="22"/>
      <c r="T2166" s="22"/>
      <c r="U2166" s="26"/>
      <c r="V2166" s="26"/>
      <c r="W2166" s="20"/>
      <c r="X2166" s="20"/>
      <c r="Y2166" s="20"/>
      <c r="Z2166" s="20"/>
      <c r="AA2166" s="20"/>
      <c r="AB2166" s="20"/>
      <c r="AC2166" s="20"/>
      <c r="AD2166" s="20"/>
      <c r="AE2166" s="20"/>
    </row>
    <row r="2167">
      <c r="A2167" s="21">
        <v>59.0</v>
      </c>
      <c r="B2167" s="20" t="s">
        <v>4576</v>
      </c>
      <c r="C2167" s="20" t="s">
        <v>5061</v>
      </c>
      <c r="I2167" s="25" t="s">
        <v>1522</v>
      </c>
      <c r="J2167" s="25" t="s">
        <v>4638</v>
      </c>
      <c r="K2167" s="25" t="s">
        <v>71</v>
      </c>
      <c r="L2167" s="25" t="s">
        <v>292</v>
      </c>
      <c r="M2167" s="20" t="s">
        <v>1909</v>
      </c>
      <c r="N2167" s="20" t="s">
        <v>4639</v>
      </c>
      <c r="O2167" s="20" t="s">
        <v>63</v>
      </c>
      <c r="P2167" s="20" t="s">
        <v>52</v>
      </c>
      <c r="Q2167" s="22"/>
      <c r="R2167" s="22"/>
      <c r="S2167" s="22"/>
      <c r="T2167" s="22"/>
      <c r="U2167" s="26"/>
      <c r="V2167" s="26"/>
      <c r="W2167" s="20"/>
      <c r="X2167" s="20"/>
      <c r="Y2167" s="20"/>
      <c r="Z2167" s="20"/>
      <c r="AA2167" s="20"/>
      <c r="AB2167" s="20"/>
      <c r="AC2167" s="20"/>
      <c r="AD2167" s="20"/>
      <c r="AE2167" s="20"/>
    </row>
    <row r="2168">
      <c r="A2168" s="21">
        <v>59.0</v>
      </c>
      <c r="B2168" s="20" t="s">
        <v>4576</v>
      </c>
      <c r="C2168" s="20" t="s">
        <v>5061</v>
      </c>
      <c r="I2168" s="25" t="s">
        <v>724</v>
      </c>
      <c r="J2168" s="25" t="s">
        <v>4597</v>
      </c>
      <c r="K2168" s="25" t="s">
        <v>71</v>
      </c>
      <c r="L2168" s="25" t="s">
        <v>292</v>
      </c>
      <c r="M2168" s="20" t="s">
        <v>1626</v>
      </c>
      <c r="N2168" s="20" t="s">
        <v>4636</v>
      </c>
      <c r="O2168" s="20" t="s">
        <v>63</v>
      </c>
      <c r="P2168" s="20" t="s">
        <v>52</v>
      </c>
      <c r="Q2168" s="22"/>
      <c r="R2168" s="22"/>
      <c r="S2168" s="22"/>
      <c r="T2168" s="22"/>
      <c r="U2168" s="26"/>
      <c r="V2168" s="26"/>
      <c r="W2168" s="20"/>
      <c r="X2168" s="20"/>
      <c r="Y2168" s="20"/>
      <c r="Z2168" s="20"/>
      <c r="AA2168" s="20"/>
      <c r="AB2168" s="20"/>
      <c r="AC2168" s="20"/>
      <c r="AD2168" s="20"/>
      <c r="AE2168" s="20"/>
    </row>
    <row r="2169">
      <c r="A2169" s="21">
        <v>59.0</v>
      </c>
      <c r="B2169" s="20" t="s">
        <v>4576</v>
      </c>
      <c r="C2169" s="20" t="s">
        <v>5061</v>
      </c>
      <c r="I2169" s="25" t="s">
        <v>413</v>
      </c>
      <c r="J2169" s="25" t="s">
        <v>4638</v>
      </c>
      <c r="K2169" s="25" t="s">
        <v>71</v>
      </c>
      <c r="L2169" s="25" t="s">
        <v>5201</v>
      </c>
      <c r="M2169" s="20" t="s">
        <v>61</v>
      </c>
      <c r="N2169" s="20" t="s">
        <v>4640</v>
      </c>
      <c r="O2169" s="20" t="s">
        <v>63</v>
      </c>
      <c r="P2169" s="20"/>
      <c r="Q2169" s="22"/>
      <c r="R2169" s="22"/>
      <c r="S2169" s="22"/>
      <c r="T2169" s="26"/>
      <c r="U2169" s="26"/>
      <c r="V2169" s="26"/>
      <c r="W2169" s="20"/>
      <c r="X2169" s="20"/>
      <c r="Y2169" s="20"/>
      <c r="Z2169" s="20"/>
      <c r="AA2169" s="20"/>
      <c r="AB2169" s="20"/>
      <c r="AC2169" s="20"/>
      <c r="AD2169" s="20"/>
      <c r="AE2169" s="20"/>
    </row>
    <row r="2170">
      <c r="A2170" s="21">
        <v>59.0</v>
      </c>
      <c r="B2170" s="20" t="s">
        <v>4576</v>
      </c>
      <c r="C2170" s="20" t="s">
        <v>5061</v>
      </c>
      <c r="I2170" s="25" t="s">
        <v>731</v>
      </c>
      <c r="J2170" s="25" t="s">
        <v>4597</v>
      </c>
      <c r="K2170" s="25" t="s">
        <v>71</v>
      </c>
      <c r="L2170" s="25" t="s">
        <v>292</v>
      </c>
      <c r="M2170" s="20" t="s">
        <v>4079</v>
      </c>
      <c r="N2170" s="20" t="s">
        <v>4636</v>
      </c>
      <c r="O2170" s="20" t="s">
        <v>63</v>
      </c>
      <c r="P2170" s="20" t="s">
        <v>52</v>
      </c>
      <c r="Q2170" s="22"/>
      <c r="R2170" s="22"/>
      <c r="S2170" s="22"/>
      <c r="T2170" s="22"/>
      <c r="U2170" s="26"/>
      <c r="V2170" s="26"/>
      <c r="W2170" s="20"/>
      <c r="X2170" s="20"/>
      <c r="Y2170" s="20"/>
      <c r="Z2170" s="20"/>
      <c r="AA2170" s="20"/>
      <c r="AB2170" s="20"/>
      <c r="AC2170" s="20"/>
      <c r="AD2170" s="20"/>
      <c r="AE2170" s="20"/>
    </row>
    <row r="2171">
      <c r="A2171" s="21">
        <v>59.0</v>
      </c>
      <c r="B2171" s="20" t="s">
        <v>4576</v>
      </c>
      <c r="C2171" s="20" t="s">
        <v>5061</v>
      </c>
      <c r="I2171" s="25" t="s">
        <v>2953</v>
      </c>
      <c r="J2171" s="25" t="s">
        <v>4597</v>
      </c>
      <c r="K2171" s="25" t="s">
        <v>71</v>
      </c>
      <c r="L2171" s="25" t="s">
        <v>292</v>
      </c>
      <c r="M2171" s="20" t="s">
        <v>4251</v>
      </c>
      <c r="N2171" s="20" t="s">
        <v>4637</v>
      </c>
      <c r="O2171" s="20" t="s">
        <v>63</v>
      </c>
      <c r="P2171" s="20" t="s">
        <v>52</v>
      </c>
      <c r="Q2171" s="22"/>
      <c r="R2171" s="22"/>
      <c r="S2171" s="22"/>
      <c r="T2171" s="22"/>
      <c r="U2171" s="26"/>
      <c r="V2171" s="26"/>
      <c r="W2171" s="20"/>
      <c r="X2171" s="20"/>
      <c r="Y2171" s="20"/>
      <c r="Z2171" s="20"/>
      <c r="AA2171" s="20"/>
      <c r="AB2171" s="20"/>
      <c r="AC2171" s="20"/>
      <c r="AD2171" s="20"/>
      <c r="AE2171" s="20"/>
    </row>
    <row r="2172">
      <c r="A2172" s="21">
        <v>60.0</v>
      </c>
      <c r="B2172" s="20" t="s">
        <v>1714</v>
      </c>
      <c r="C2172" s="20" t="s">
        <v>5270</v>
      </c>
      <c r="D2172" s="35">
        <v>200.0</v>
      </c>
      <c r="E2172" s="35">
        <v>1.0</v>
      </c>
      <c r="F2172" s="35">
        <v>3.0</v>
      </c>
      <c r="G2172" s="35">
        <v>196.0</v>
      </c>
      <c r="H2172" s="36" t="s">
        <v>5273</v>
      </c>
      <c r="I2172" s="25" t="s">
        <v>3809</v>
      </c>
      <c r="J2172" s="25" t="s">
        <v>4643</v>
      </c>
      <c r="K2172" s="25" t="s">
        <v>67</v>
      </c>
      <c r="L2172" s="25" t="s">
        <v>1133</v>
      </c>
      <c r="M2172" s="20" t="s">
        <v>4644</v>
      </c>
      <c r="N2172" s="20" t="s">
        <v>4645</v>
      </c>
      <c r="O2172" s="20" t="s">
        <v>56</v>
      </c>
      <c r="P2172" s="20" t="s">
        <v>52</v>
      </c>
      <c r="Q2172" s="22"/>
      <c r="R2172" s="22"/>
      <c r="S2172" s="22"/>
      <c r="T2172" s="22"/>
      <c r="U2172" s="26"/>
      <c r="V2172" s="26"/>
      <c r="W2172" s="20"/>
      <c r="X2172" s="20"/>
      <c r="Y2172" s="20"/>
      <c r="Z2172" s="20"/>
      <c r="AA2172" s="20"/>
      <c r="AB2172" s="20"/>
      <c r="AC2172" s="20"/>
      <c r="AD2172" s="20"/>
      <c r="AE2172" s="20"/>
    </row>
    <row r="2173">
      <c r="A2173" s="21">
        <v>60.0</v>
      </c>
      <c r="B2173" s="20" t="s">
        <v>1714</v>
      </c>
      <c r="C2173" s="20" t="s">
        <v>5270</v>
      </c>
      <c r="I2173" s="25" t="s">
        <v>3453</v>
      </c>
      <c r="J2173" s="25" t="s">
        <v>4641</v>
      </c>
      <c r="K2173" s="25" t="s">
        <v>57</v>
      </c>
      <c r="L2173" s="25" t="s">
        <v>5276</v>
      </c>
      <c r="M2173" s="20" t="s">
        <v>3454</v>
      </c>
      <c r="N2173" s="20" t="s">
        <v>4642</v>
      </c>
      <c r="O2173" s="20" t="s">
        <v>63</v>
      </c>
      <c r="P2173" s="20"/>
      <c r="Q2173" s="22"/>
      <c r="R2173" s="22"/>
      <c r="S2173" s="22"/>
      <c r="T2173" s="26"/>
      <c r="U2173" s="26"/>
      <c r="V2173" s="26"/>
      <c r="W2173" s="20"/>
      <c r="X2173" s="20"/>
      <c r="Y2173" s="20"/>
      <c r="Z2173" s="20"/>
      <c r="AA2173" s="20"/>
      <c r="AB2173" s="20"/>
      <c r="AC2173" s="20"/>
      <c r="AD2173" s="20"/>
      <c r="AE2173" s="20"/>
    </row>
    <row r="2174">
      <c r="A2174" s="21">
        <v>60.0</v>
      </c>
      <c r="B2174" s="20" t="s">
        <v>1714</v>
      </c>
      <c r="C2174" s="20" t="s">
        <v>5270</v>
      </c>
      <c r="I2174" s="25" t="s">
        <v>3634</v>
      </c>
      <c r="J2174" s="25" t="s">
        <v>4643</v>
      </c>
      <c r="K2174" s="25" t="s">
        <v>67</v>
      </c>
      <c r="L2174" s="25" t="s">
        <v>1133</v>
      </c>
      <c r="M2174" s="20" t="s">
        <v>3635</v>
      </c>
      <c r="N2174" s="20" t="s">
        <v>4646</v>
      </c>
      <c r="O2174" s="20" t="s">
        <v>56</v>
      </c>
      <c r="P2174" s="20" t="s">
        <v>52</v>
      </c>
      <c r="Q2174" s="22"/>
      <c r="R2174" s="22"/>
      <c r="S2174" s="22"/>
      <c r="T2174" s="22"/>
      <c r="U2174" s="26"/>
      <c r="V2174" s="26"/>
      <c r="W2174" s="20"/>
      <c r="X2174" s="20"/>
      <c r="Y2174" s="20"/>
      <c r="Z2174" s="20"/>
      <c r="AA2174" s="20"/>
      <c r="AB2174" s="20"/>
      <c r="AC2174" s="20"/>
      <c r="AD2174" s="20"/>
      <c r="AE2174" s="20"/>
    </row>
    <row r="2175">
      <c r="A2175" s="21">
        <v>60.0</v>
      </c>
      <c r="B2175" s="20" t="s">
        <v>1714</v>
      </c>
      <c r="C2175" s="20" t="s">
        <v>5270</v>
      </c>
      <c r="I2175" s="25" t="s">
        <v>1162</v>
      </c>
      <c r="J2175" s="25" t="s">
        <v>4643</v>
      </c>
      <c r="K2175" s="25" t="s">
        <v>71</v>
      </c>
      <c r="L2175" s="25" t="s">
        <v>226</v>
      </c>
      <c r="M2175" s="20" t="s">
        <v>1163</v>
      </c>
      <c r="N2175" s="20" t="s">
        <v>4705</v>
      </c>
      <c r="O2175" s="20" t="s">
        <v>63</v>
      </c>
      <c r="P2175" s="20" t="s">
        <v>52</v>
      </c>
      <c r="Q2175" s="22"/>
      <c r="R2175" s="22"/>
      <c r="S2175" s="22"/>
      <c r="T2175" s="22"/>
      <c r="U2175" s="26"/>
      <c r="V2175" s="26"/>
      <c r="W2175" s="20"/>
      <c r="X2175" s="20"/>
      <c r="Y2175" s="20"/>
      <c r="Z2175" s="20"/>
      <c r="AA2175" s="20"/>
      <c r="AB2175" s="20"/>
      <c r="AC2175" s="20"/>
      <c r="AD2175" s="20"/>
      <c r="AE2175" s="20"/>
    </row>
    <row r="2176">
      <c r="A2176" s="21">
        <v>60.0</v>
      </c>
      <c r="B2176" s="20" t="s">
        <v>1714</v>
      </c>
      <c r="C2176" s="20" t="s">
        <v>5270</v>
      </c>
      <c r="I2176" s="25" t="s">
        <v>1255</v>
      </c>
      <c r="J2176" s="25" t="s">
        <v>4647</v>
      </c>
      <c r="K2176" s="25" t="s">
        <v>67</v>
      </c>
      <c r="L2176" s="25" t="s">
        <v>5283</v>
      </c>
      <c r="M2176" s="20" t="s">
        <v>3531</v>
      </c>
      <c r="N2176" s="20" t="s">
        <v>3532</v>
      </c>
      <c r="O2176" s="20" t="s">
        <v>63</v>
      </c>
      <c r="P2176" s="20"/>
      <c r="Q2176" s="22"/>
      <c r="R2176" s="22"/>
      <c r="S2176" s="22"/>
      <c r="T2176" s="26"/>
      <c r="U2176" s="26"/>
      <c r="V2176" s="26"/>
      <c r="W2176" s="20"/>
      <c r="X2176" s="20"/>
      <c r="Y2176" s="20"/>
      <c r="Z2176" s="20"/>
      <c r="AA2176" s="20"/>
      <c r="AB2176" s="20"/>
      <c r="AC2176" s="20"/>
      <c r="AD2176" s="20"/>
      <c r="AE2176" s="20"/>
    </row>
    <row r="2177">
      <c r="A2177" s="21">
        <v>60.0</v>
      </c>
      <c r="B2177" s="20" t="s">
        <v>1714</v>
      </c>
      <c r="C2177" s="20" t="s">
        <v>5270</v>
      </c>
      <c r="I2177" s="25" t="s">
        <v>3498</v>
      </c>
      <c r="J2177" s="25" t="s">
        <v>4647</v>
      </c>
      <c r="K2177" s="25" t="s">
        <v>71</v>
      </c>
      <c r="L2177" s="25" t="s">
        <v>5285</v>
      </c>
      <c r="M2177" s="20" t="s">
        <v>3499</v>
      </c>
      <c r="N2177" s="20" t="s">
        <v>4653</v>
      </c>
      <c r="O2177" s="20" t="s">
        <v>63</v>
      </c>
      <c r="P2177" s="20"/>
      <c r="Q2177" s="22"/>
      <c r="R2177" s="22"/>
      <c r="S2177" s="22"/>
      <c r="T2177" s="26"/>
      <c r="U2177" s="26"/>
      <c r="V2177" s="26"/>
      <c r="W2177" s="20"/>
      <c r="X2177" s="20"/>
      <c r="Y2177" s="20"/>
      <c r="Z2177" s="20"/>
      <c r="AA2177" s="20"/>
      <c r="AB2177" s="20"/>
      <c r="AC2177" s="20"/>
      <c r="AD2177" s="20"/>
      <c r="AE2177" s="20"/>
    </row>
    <row r="2178">
      <c r="A2178" s="21">
        <v>60.0</v>
      </c>
      <c r="B2178" s="20" t="s">
        <v>1714</v>
      </c>
      <c r="C2178" s="20" t="s">
        <v>5270</v>
      </c>
      <c r="I2178" s="25" t="s">
        <v>2570</v>
      </c>
      <c r="J2178" s="25" t="s">
        <v>4643</v>
      </c>
      <c r="K2178" s="25" t="s">
        <v>71</v>
      </c>
      <c r="L2178" s="25" t="s">
        <v>226</v>
      </c>
      <c r="M2178" s="20" t="s">
        <v>4706</v>
      </c>
      <c r="N2178" s="20" t="s">
        <v>4707</v>
      </c>
      <c r="O2178" s="20" t="s">
        <v>63</v>
      </c>
      <c r="P2178" s="20" t="s">
        <v>52</v>
      </c>
      <c r="Q2178" s="22"/>
      <c r="R2178" s="22"/>
      <c r="S2178" s="22"/>
      <c r="T2178" s="22"/>
      <c r="U2178" s="26"/>
      <c r="V2178" s="26"/>
      <c r="W2178" s="20"/>
      <c r="X2178" s="20"/>
      <c r="Y2178" s="20"/>
      <c r="Z2178" s="20"/>
      <c r="AA2178" s="20"/>
      <c r="AB2178" s="20"/>
      <c r="AC2178" s="20"/>
      <c r="AD2178" s="20"/>
      <c r="AE2178" s="20"/>
    </row>
    <row r="2179">
      <c r="A2179" s="21">
        <v>60.0</v>
      </c>
      <c r="B2179" s="20" t="s">
        <v>1714</v>
      </c>
      <c r="C2179" s="20" t="s">
        <v>5270</v>
      </c>
      <c r="I2179" s="25" t="s">
        <v>3502</v>
      </c>
      <c r="J2179" s="25" t="s">
        <v>4647</v>
      </c>
      <c r="K2179" s="25" t="s">
        <v>71</v>
      </c>
      <c r="L2179" s="25" t="s">
        <v>3823</v>
      </c>
      <c r="M2179" s="20" t="s">
        <v>4655</v>
      </c>
      <c r="N2179" s="20" t="s">
        <v>4656</v>
      </c>
      <c r="O2179" s="20" t="s">
        <v>63</v>
      </c>
      <c r="P2179" s="20"/>
      <c r="Q2179" s="22"/>
      <c r="R2179" s="22"/>
      <c r="S2179" s="22"/>
      <c r="T2179" s="26"/>
      <c r="U2179" s="26"/>
      <c r="V2179" s="26"/>
      <c r="W2179" s="20"/>
      <c r="X2179" s="20"/>
      <c r="Y2179" s="20"/>
      <c r="Z2179" s="20"/>
      <c r="AA2179" s="20"/>
      <c r="AB2179" s="20"/>
      <c r="AC2179" s="20"/>
      <c r="AD2179" s="20"/>
      <c r="AE2179" s="20"/>
    </row>
    <row r="2180">
      <c r="A2180" s="21">
        <v>60.0</v>
      </c>
      <c r="B2180" s="20" t="s">
        <v>1714</v>
      </c>
      <c r="C2180" s="20" t="s">
        <v>5270</v>
      </c>
      <c r="I2180" s="25" t="s">
        <v>3464</v>
      </c>
      <c r="J2180" s="25" t="s">
        <v>4906</v>
      </c>
      <c r="K2180" s="25" t="s">
        <v>71</v>
      </c>
      <c r="L2180" s="25" t="s">
        <v>3823</v>
      </c>
      <c r="M2180" s="20" t="s">
        <v>4907</v>
      </c>
      <c r="N2180" s="20" t="s">
        <v>4908</v>
      </c>
      <c r="O2180" s="20" t="s">
        <v>63</v>
      </c>
      <c r="P2180" s="20"/>
      <c r="Q2180" s="22"/>
      <c r="R2180" s="22"/>
      <c r="S2180" s="22"/>
      <c r="T2180" s="26"/>
      <c r="U2180" s="26"/>
      <c r="V2180" s="26"/>
      <c r="W2180" s="20"/>
      <c r="X2180" s="20"/>
      <c r="Y2180" s="20"/>
      <c r="Z2180" s="20"/>
      <c r="AA2180" s="20"/>
      <c r="AB2180" s="20"/>
      <c r="AC2180" s="20"/>
      <c r="AD2180" s="20"/>
      <c r="AE2180" s="20"/>
    </row>
    <row r="2181">
      <c r="A2181" s="21">
        <v>60.0</v>
      </c>
      <c r="B2181" s="20" t="s">
        <v>1714</v>
      </c>
      <c r="C2181" s="20" t="s">
        <v>5270</v>
      </c>
      <c r="I2181" s="25" t="s">
        <v>2417</v>
      </c>
      <c r="J2181" s="25" t="s">
        <v>4641</v>
      </c>
      <c r="K2181" s="25" t="s">
        <v>71</v>
      </c>
      <c r="L2181" s="25" t="s">
        <v>292</v>
      </c>
      <c r="M2181" s="20" t="s">
        <v>3696</v>
      </c>
      <c r="N2181" s="20" t="s">
        <v>4857</v>
      </c>
      <c r="O2181" s="20" t="s">
        <v>63</v>
      </c>
      <c r="P2181" s="20" t="s">
        <v>52</v>
      </c>
      <c r="Q2181" s="22"/>
      <c r="R2181" s="22"/>
      <c r="S2181" s="22"/>
      <c r="T2181" s="22"/>
      <c r="U2181" s="26"/>
      <c r="V2181" s="26"/>
      <c r="W2181" s="20"/>
      <c r="X2181" s="20"/>
      <c r="Y2181" s="20"/>
      <c r="Z2181" s="20"/>
      <c r="AA2181" s="20"/>
      <c r="AB2181" s="20"/>
      <c r="AC2181" s="20"/>
      <c r="AD2181" s="20"/>
      <c r="AE2181" s="20"/>
    </row>
    <row r="2182">
      <c r="A2182" s="21">
        <v>60.0</v>
      </c>
      <c r="B2182" s="20" t="s">
        <v>1714</v>
      </c>
      <c r="C2182" s="20" t="s">
        <v>5270</v>
      </c>
      <c r="I2182" s="25" t="s">
        <v>3467</v>
      </c>
      <c r="J2182" s="25" t="s">
        <v>4647</v>
      </c>
      <c r="K2182" s="25" t="s">
        <v>71</v>
      </c>
      <c r="L2182" s="25" t="s">
        <v>3823</v>
      </c>
      <c r="M2182" s="20" t="s">
        <v>4658</v>
      </c>
      <c r="N2182" s="20" t="s">
        <v>4659</v>
      </c>
      <c r="O2182" s="20" t="s">
        <v>63</v>
      </c>
      <c r="P2182" s="20"/>
      <c r="Q2182" s="22"/>
      <c r="R2182" s="22"/>
      <c r="S2182" s="22"/>
      <c r="T2182" s="26"/>
      <c r="U2182" s="26"/>
      <c r="V2182" s="26"/>
      <c r="W2182" s="20"/>
      <c r="X2182" s="20"/>
      <c r="Y2182" s="20"/>
      <c r="Z2182" s="20"/>
      <c r="AA2182" s="20"/>
      <c r="AB2182" s="20"/>
      <c r="AC2182" s="20"/>
      <c r="AD2182" s="20"/>
      <c r="AE2182" s="20"/>
    </row>
    <row r="2183">
      <c r="A2183" s="21">
        <v>60.0</v>
      </c>
      <c r="B2183" s="20" t="s">
        <v>1714</v>
      </c>
      <c r="C2183" s="20" t="s">
        <v>5270</v>
      </c>
      <c r="I2183" s="25" t="s">
        <v>1174</v>
      </c>
      <c r="J2183" s="25" t="s">
        <v>4647</v>
      </c>
      <c r="K2183" s="25" t="s">
        <v>71</v>
      </c>
      <c r="L2183" s="25" t="s">
        <v>3823</v>
      </c>
      <c r="M2183" s="20" t="s">
        <v>3725</v>
      </c>
      <c r="N2183" s="20" t="s">
        <v>4660</v>
      </c>
      <c r="O2183" s="20" t="s">
        <v>63</v>
      </c>
      <c r="P2183" s="20"/>
      <c r="Q2183" s="22"/>
      <c r="R2183" s="22"/>
      <c r="S2183" s="22"/>
      <c r="T2183" s="26"/>
      <c r="U2183" s="26"/>
      <c r="V2183" s="26"/>
      <c r="W2183" s="20"/>
      <c r="X2183" s="20"/>
      <c r="Y2183" s="20"/>
      <c r="Z2183" s="20"/>
      <c r="AA2183" s="20"/>
      <c r="AB2183" s="20"/>
      <c r="AC2183" s="20"/>
      <c r="AD2183" s="20"/>
      <c r="AE2183" s="20"/>
    </row>
    <row r="2184">
      <c r="A2184" s="21">
        <v>60.0</v>
      </c>
      <c r="B2184" s="20" t="s">
        <v>1714</v>
      </c>
      <c r="C2184" s="20" t="s">
        <v>5270</v>
      </c>
      <c r="I2184" s="25" t="s">
        <v>3033</v>
      </c>
      <c r="J2184" s="25" t="s">
        <v>4652</v>
      </c>
      <c r="K2184" s="25" t="s">
        <v>71</v>
      </c>
      <c r="L2184" s="25" t="s">
        <v>5285</v>
      </c>
      <c r="M2184" s="20" t="s">
        <v>3523</v>
      </c>
      <c r="N2184" s="20" t="s">
        <v>3524</v>
      </c>
      <c r="O2184" s="20" t="s">
        <v>63</v>
      </c>
      <c r="P2184" s="20"/>
      <c r="Q2184" s="22"/>
      <c r="R2184" s="22"/>
      <c r="S2184" s="22"/>
      <c r="T2184" s="20"/>
      <c r="U2184" s="26"/>
      <c r="V2184" s="26"/>
      <c r="W2184" s="20"/>
      <c r="X2184" s="20"/>
      <c r="Y2184" s="20"/>
      <c r="Z2184" s="20"/>
      <c r="AA2184" s="20"/>
      <c r="AB2184" s="20"/>
      <c r="AC2184" s="20"/>
      <c r="AD2184" s="20"/>
      <c r="AE2184" s="20"/>
    </row>
    <row r="2185">
      <c r="A2185" s="21">
        <v>60.0</v>
      </c>
      <c r="B2185" s="20" t="s">
        <v>1714</v>
      </c>
      <c r="C2185" s="20" t="s">
        <v>5270</v>
      </c>
      <c r="I2185" s="25" t="s">
        <v>4084</v>
      </c>
      <c r="J2185" s="25" t="s">
        <v>4643</v>
      </c>
      <c r="K2185" s="25" t="s">
        <v>71</v>
      </c>
      <c r="L2185" s="25" t="s">
        <v>5285</v>
      </c>
      <c r="M2185" s="20" t="s">
        <v>4708</v>
      </c>
      <c r="N2185" s="20" t="s">
        <v>4709</v>
      </c>
      <c r="O2185" s="20" t="s">
        <v>63</v>
      </c>
      <c r="P2185" s="20"/>
      <c r="Q2185" s="22"/>
      <c r="R2185" s="22"/>
      <c r="S2185" s="22"/>
      <c r="T2185" s="20"/>
      <c r="U2185" s="26"/>
      <c r="V2185" s="26"/>
      <c r="W2185" s="20"/>
      <c r="X2185" s="20"/>
      <c r="Y2185" s="20"/>
      <c r="Z2185" s="20"/>
      <c r="AA2185" s="20"/>
      <c r="AB2185" s="20"/>
      <c r="AC2185" s="20"/>
      <c r="AD2185" s="20"/>
      <c r="AE2185" s="20"/>
    </row>
    <row r="2186">
      <c r="A2186" s="21">
        <v>60.0</v>
      </c>
      <c r="B2186" s="20" t="s">
        <v>1714</v>
      </c>
      <c r="C2186" s="20" t="s">
        <v>5270</v>
      </c>
      <c r="I2186" s="25" t="s">
        <v>3679</v>
      </c>
      <c r="J2186" s="25" t="s">
        <v>4641</v>
      </c>
      <c r="K2186" s="25" t="s">
        <v>71</v>
      </c>
      <c r="L2186" s="25" t="s">
        <v>226</v>
      </c>
      <c r="M2186" s="20" t="s">
        <v>4858</v>
      </c>
      <c r="N2186" s="20" t="s">
        <v>4518</v>
      </c>
      <c r="O2186" s="20" t="s">
        <v>63</v>
      </c>
      <c r="P2186" s="20" t="s">
        <v>52</v>
      </c>
      <c r="Q2186" s="22"/>
      <c r="R2186" s="22"/>
      <c r="S2186" s="22"/>
      <c r="T2186" s="22"/>
      <c r="U2186" s="26"/>
      <c r="V2186" s="26"/>
      <c r="W2186" s="20"/>
      <c r="X2186" s="20"/>
      <c r="Y2186" s="20"/>
      <c r="Z2186" s="20"/>
      <c r="AA2186" s="20"/>
      <c r="AB2186" s="20"/>
      <c r="AC2186" s="20"/>
      <c r="AD2186" s="20"/>
      <c r="AE2186" s="20"/>
    </row>
    <row r="2187">
      <c r="A2187" s="21">
        <v>60.0</v>
      </c>
      <c r="B2187" s="20" t="s">
        <v>1714</v>
      </c>
      <c r="C2187" s="20" t="s">
        <v>5270</v>
      </c>
      <c r="I2187" s="25" t="s">
        <v>3474</v>
      </c>
      <c r="J2187" s="25" t="s">
        <v>4906</v>
      </c>
      <c r="K2187" s="25" t="s">
        <v>71</v>
      </c>
      <c r="L2187" s="25" t="s">
        <v>3823</v>
      </c>
      <c r="M2187" s="20" t="s">
        <v>61</v>
      </c>
      <c r="N2187" s="20" t="s">
        <v>4909</v>
      </c>
      <c r="O2187" s="20" t="s">
        <v>63</v>
      </c>
      <c r="P2187" s="20"/>
      <c r="Q2187" s="22"/>
      <c r="R2187" s="22"/>
      <c r="S2187" s="22"/>
      <c r="T2187" s="26"/>
      <c r="U2187" s="26"/>
      <c r="V2187" s="26"/>
      <c r="W2187" s="20"/>
      <c r="X2187" s="20"/>
      <c r="Y2187" s="20"/>
      <c r="Z2187" s="20"/>
      <c r="AA2187" s="20"/>
      <c r="AB2187" s="20"/>
      <c r="AC2187" s="20"/>
      <c r="AD2187" s="20"/>
      <c r="AE2187" s="20"/>
    </row>
    <row r="2188">
      <c r="A2188" s="21">
        <v>60.0</v>
      </c>
      <c r="B2188" s="20" t="s">
        <v>1714</v>
      </c>
      <c r="C2188" s="20" t="s">
        <v>5270</v>
      </c>
      <c r="I2188" s="25" t="s">
        <v>2262</v>
      </c>
      <c r="J2188" s="25" t="s">
        <v>4652</v>
      </c>
      <c r="K2188" s="25" t="s">
        <v>71</v>
      </c>
      <c r="L2188" s="25" t="s">
        <v>3823</v>
      </c>
      <c r="M2188" s="20" t="s">
        <v>4614</v>
      </c>
      <c r="N2188" s="20" t="s">
        <v>4950</v>
      </c>
      <c r="O2188" s="20" t="s">
        <v>63</v>
      </c>
      <c r="P2188" s="20"/>
      <c r="Q2188" s="22"/>
      <c r="R2188" s="22"/>
      <c r="S2188" s="22"/>
      <c r="T2188" s="20"/>
      <c r="U2188" s="26"/>
      <c r="V2188" s="26"/>
      <c r="W2188" s="20"/>
      <c r="X2188" s="20"/>
      <c r="Y2188" s="20"/>
      <c r="Z2188" s="20"/>
      <c r="AA2188" s="20"/>
      <c r="AB2188" s="20"/>
      <c r="AC2188" s="20"/>
      <c r="AD2188" s="20"/>
      <c r="AE2188" s="20"/>
    </row>
    <row r="2189">
      <c r="A2189" s="21">
        <v>60.0</v>
      </c>
      <c r="B2189" s="20" t="s">
        <v>1714</v>
      </c>
      <c r="C2189" s="20" t="s">
        <v>5270</v>
      </c>
      <c r="I2189" s="25" t="s">
        <v>1665</v>
      </c>
      <c r="J2189" s="25" t="s">
        <v>4906</v>
      </c>
      <c r="K2189" s="25" t="s">
        <v>71</v>
      </c>
      <c r="L2189" s="25" t="s">
        <v>3823</v>
      </c>
      <c r="M2189" s="20" t="s">
        <v>1666</v>
      </c>
      <c r="N2189" s="20" t="s">
        <v>4910</v>
      </c>
      <c r="O2189" s="20" t="s">
        <v>63</v>
      </c>
      <c r="P2189" s="20"/>
      <c r="Q2189" s="22"/>
      <c r="R2189" s="22"/>
      <c r="S2189" s="22"/>
      <c r="T2189" s="20"/>
      <c r="U2189" s="26"/>
      <c r="V2189" s="26"/>
      <c r="W2189" s="20"/>
      <c r="X2189" s="20"/>
      <c r="Y2189" s="20"/>
      <c r="Z2189" s="20"/>
      <c r="AA2189" s="20"/>
      <c r="AB2189" s="20"/>
      <c r="AC2189" s="20"/>
      <c r="AD2189" s="20"/>
      <c r="AE2189" s="20"/>
    </row>
    <row r="2190">
      <c r="A2190" s="21">
        <v>60.0</v>
      </c>
      <c r="B2190" s="20" t="s">
        <v>1714</v>
      </c>
      <c r="C2190" s="20" t="s">
        <v>5270</v>
      </c>
      <c r="I2190" s="25" t="s">
        <v>3477</v>
      </c>
      <c r="J2190" s="25" t="s">
        <v>4643</v>
      </c>
      <c r="K2190" s="25" t="s">
        <v>71</v>
      </c>
      <c r="L2190" s="25" t="s">
        <v>3888</v>
      </c>
      <c r="M2190" s="20" t="s">
        <v>61</v>
      </c>
      <c r="N2190" s="20" t="s">
        <v>4711</v>
      </c>
      <c r="O2190" s="20" t="s">
        <v>63</v>
      </c>
      <c r="P2190" s="20"/>
      <c r="Q2190" s="22"/>
      <c r="R2190" s="22"/>
      <c r="S2190" s="22"/>
      <c r="T2190" s="26"/>
      <c r="U2190" s="26"/>
      <c r="V2190" s="26"/>
      <c r="W2190" s="20"/>
      <c r="X2190" s="20"/>
      <c r="Y2190" s="20"/>
      <c r="Z2190" s="20"/>
      <c r="AA2190" s="20"/>
      <c r="AB2190" s="20"/>
      <c r="AC2190" s="20"/>
      <c r="AD2190" s="20"/>
      <c r="AE2190" s="20"/>
    </row>
    <row r="2191">
      <c r="A2191" s="21">
        <v>60.0</v>
      </c>
      <c r="B2191" s="20" t="s">
        <v>1714</v>
      </c>
      <c r="C2191" s="20" t="s">
        <v>5270</v>
      </c>
      <c r="I2191" s="25" t="s">
        <v>1797</v>
      </c>
      <c r="J2191" s="25" t="s">
        <v>4643</v>
      </c>
      <c r="K2191" s="25" t="s">
        <v>71</v>
      </c>
      <c r="L2191" s="25" t="s">
        <v>5285</v>
      </c>
      <c r="M2191" s="20" t="s">
        <v>4712</v>
      </c>
      <c r="N2191" s="20" t="s">
        <v>4713</v>
      </c>
      <c r="O2191" s="20" t="s">
        <v>63</v>
      </c>
      <c r="P2191" s="20"/>
      <c r="Q2191" s="22"/>
      <c r="R2191" s="22"/>
      <c r="S2191" s="22"/>
      <c r="T2191" s="26"/>
      <c r="U2191" s="26"/>
      <c r="V2191" s="26"/>
      <c r="W2191" s="20"/>
      <c r="X2191" s="20"/>
      <c r="Y2191" s="20"/>
      <c r="Z2191" s="20"/>
      <c r="AA2191" s="20"/>
      <c r="AB2191" s="20"/>
      <c r="AC2191" s="20"/>
      <c r="AD2191" s="20"/>
      <c r="AE2191" s="20"/>
    </row>
    <row r="2192">
      <c r="A2192" s="21">
        <v>60.0</v>
      </c>
      <c r="B2192" s="20" t="s">
        <v>1714</v>
      </c>
      <c r="C2192" s="20" t="s">
        <v>5270</v>
      </c>
      <c r="I2192" s="25" t="s">
        <v>1952</v>
      </c>
      <c r="J2192" s="25" t="s">
        <v>4643</v>
      </c>
      <c r="K2192" s="25" t="s">
        <v>71</v>
      </c>
      <c r="L2192" s="25" t="s">
        <v>3823</v>
      </c>
      <c r="M2192" s="20" t="s">
        <v>4714</v>
      </c>
      <c r="N2192" s="20" t="s">
        <v>4715</v>
      </c>
      <c r="O2192" s="20" t="s">
        <v>63</v>
      </c>
      <c r="P2192" s="20"/>
      <c r="Q2192" s="22"/>
      <c r="R2192" s="22"/>
      <c r="S2192" s="22"/>
      <c r="T2192" s="26"/>
      <c r="U2192" s="26"/>
      <c r="V2192" s="26"/>
      <c r="W2192" s="20"/>
      <c r="X2192" s="20"/>
      <c r="Y2192" s="20"/>
      <c r="Z2192" s="20"/>
      <c r="AA2192" s="20"/>
      <c r="AB2192" s="20"/>
      <c r="AC2192" s="20"/>
      <c r="AD2192" s="20"/>
      <c r="AE2192" s="20"/>
    </row>
    <row r="2193">
      <c r="A2193" s="21">
        <v>60.0</v>
      </c>
      <c r="B2193" s="20" t="s">
        <v>1714</v>
      </c>
      <c r="C2193" s="20" t="s">
        <v>5270</v>
      </c>
      <c r="I2193" s="25" t="s">
        <v>2657</v>
      </c>
      <c r="J2193" s="25" t="s">
        <v>4652</v>
      </c>
      <c r="K2193" s="25" t="s">
        <v>71</v>
      </c>
      <c r="L2193" s="25" t="s">
        <v>3823</v>
      </c>
      <c r="M2193" s="20" t="s">
        <v>3711</v>
      </c>
      <c r="N2193" s="20" t="s">
        <v>4951</v>
      </c>
      <c r="O2193" s="20" t="s">
        <v>63</v>
      </c>
      <c r="P2193" s="20"/>
      <c r="Q2193" s="22"/>
      <c r="R2193" s="22"/>
      <c r="S2193" s="22"/>
      <c r="T2193" s="26"/>
      <c r="U2193" s="26"/>
      <c r="V2193" s="26"/>
      <c r="W2193" s="20"/>
      <c r="X2193" s="20"/>
      <c r="Y2193" s="20"/>
      <c r="Z2193" s="20"/>
      <c r="AA2193" s="20"/>
      <c r="AB2193" s="20"/>
      <c r="AC2193" s="20"/>
      <c r="AD2193" s="20"/>
      <c r="AE2193" s="20"/>
    </row>
    <row r="2194">
      <c r="A2194" s="21">
        <v>60.0</v>
      </c>
      <c r="B2194" s="20" t="s">
        <v>1714</v>
      </c>
      <c r="C2194" s="20" t="s">
        <v>5270</v>
      </c>
      <c r="I2194" s="25" t="s">
        <v>4911</v>
      </c>
      <c r="J2194" s="25" t="s">
        <v>4906</v>
      </c>
      <c r="K2194" s="25" t="s">
        <v>71</v>
      </c>
      <c r="L2194" s="25" t="s">
        <v>3823</v>
      </c>
      <c r="M2194" s="20" t="s">
        <v>4912</v>
      </c>
      <c r="N2194" s="20" t="s">
        <v>4913</v>
      </c>
      <c r="O2194" s="20" t="s">
        <v>63</v>
      </c>
      <c r="P2194" s="20"/>
      <c r="Q2194" s="22"/>
      <c r="R2194" s="22"/>
      <c r="S2194" s="22"/>
      <c r="T2194" s="26"/>
      <c r="U2194" s="26"/>
      <c r="V2194" s="26"/>
      <c r="W2194" s="20"/>
      <c r="X2194" s="20"/>
      <c r="Y2194" s="20"/>
      <c r="Z2194" s="20"/>
      <c r="AA2194" s="20"/>
      <c r="AB2194" s="20"/>
      <c r="AC2194" s="20"/>
      <c r="AD2194" s="20"/>
      <c r="AE2194" s="20"/>
    </row>
    <row r="2195">
      <c r="A2195" s="21">
        <v>60.0</v>
      </c>
      <c r="B2195" s="20" t="s">
        <v>1714</v>
      </c>
      <c r="C2195" s="20" t="s">
        <v>5270</v>
      </c>
      <c r="I2195" s="25" t="s">
        <v>150</v>
      </c>
      <c r="J2195" s="25" t="s">
        <v>4643</v>
      </c>
      <c r="K2195" s="25" t="s">
        <v>71</v>
      </c>
      <c r="L2195" s="25" t="s">
        <v>226</v>
      </c>
      <c r="M2195" s="20" t="s">
        <v>151</v>
      </c>
      <c r="N2195" s="20" t="s">
        <v>4717</v>
      </c>
      <c r="O2195" s="20" t="s">
        <v>63</v>
      </c>
      <c r="P2195" s="20" t="s">
        <v>52</v>
      </c>
      <c r="Q2195" s="22"/>
      <c r="R2195" s="22"/>
      <c r="S2195" s="22"/>
      <c r="T2195" s="22"/>
      <c r="U2195" s="26"/>
      <c r="V2195" s="26"/>
      <c r="W2195" s="20"/>
      <c r="X2195" s="20"/>
      <c r="Y2195" s="20"/>
      <c r="Z2195" s="20"/>
      <c r="AA2195" s="20"/>
      <c r="AB2195" s="20"/>
      <c r="AC2195" s="20"/>
      <c r="AD2195" s="20"/>
      <c r="AE2195" s="20"/>
    </row>
    <row r="2196">
      <c r="A2196" s="21">
        <v>60.0</v>
      </c>
      <c r="B2196" s="20" t="s">
        <v>1714</v>
      </c>
      <c r="C2196" s="20" t="s">
        <v>5270</v>
      </c>
      <c r="I2196" s="25" t="s">
        <v>3517</v>
      </c>
      <c r="J2196" s="25" t="s">
        <v>4652</v>
      </c>
      <c r="K2196" s="25" t="s">
        <v>71</v>
      </c>
      <c r="L2196" s="25" t="s">
        <v>3888</v>
      </c>
      <c r="M2196" s="20" t="s">
        <v>3518</v>
      </c>
      <c r="N2196" s="20" t="s">
        <v>3519</v>
      </c>
      <c r="O2196" s="20" t="s">
        <v>63</v>
      </c>
      <c r="P2196" s="20"/>
      <c r="Q2196" s="22"/>
      <c r="R2196" s="22"/>
      <c r="S2196" s="22"/>
      <c r="T2196" s="20"/>
      <c r="U2196" s="26"/>
      <c r="V2196" s="26"/>
      <c r="W2196" s="20"/>
      <c r="X2196" s="20"/>
      <c r="Y2196" s="20"/>
      <c r="Z2196" s="20"/>
      <c r="AA2196" s="20"/>
      <c r="AB2196" s="20"/>
      <c r="AC2196" s="20"/>
      <c r="AD2196" s="20"/>
      <c r="AE2196" s="20"/>
    </row>
    <row r="2197">
      <c r="A2197" s="21">
        <v>60.0</v>
      </c>
      <c r="B2197" s="20" t="s">
        <v>1714</v>
      </c>
      <c r="C2197" s="20" t="s">
        <v>5270</v>
      </c>
      <c r="I2197" s="25" t="s">
        <v>231</v>
      </c>
      <c r="J2197" s="25" t="s">
        <v>4643</v>
      </c>
      <c r="K2197" s="25" t="s">
        <v>71</v>
      </c>
      <c r="L2197" s="25" t="s">
        <v>226</v>
      </c>
      <c r="M2197" s="20" t="s">
        <v>4720</v>
      </c>
      <c r="N2197" s="20" t="s">
        <v>4721</v>
      </c>
      <c r="O2197" s="20" t="s">
        <v>63</v>
      </c>
      <c r="P2197" s="20" t="s">
        <v>52</v>
      </c>
      <c r="Q2197" s="22"/>
      <c r="R2197" s="22"/>
      <c r="S2197" s="22"/>
      <c r="T2197" s="22"/>
      <c r="U2197" s="26"/>
      <c r="V2197" s="26"/>
      <c r="W2197" s="20"/>
      <c r="X2197" s="20"/>
      <c r="Y2197" s="20"/>
      <c r="Z2197" s="20"/>
      <c r="AA2197" s="20"/>
      <c r="AB2197" s="20"/>
      <c r="AC2197" s="20"/>
      <c r="AD2197" s="20"/>
      <c r="AE2197" s="20"/>
    </row>
    <row r="2198">
      <c r="A2198" s="21">
        <v>60.0</v>
      </c>
      <c r="B2198" s="20" t="s">
        <v>1714</v>
      </c>
      <c r="C2198" s="20" t="s">
        <v>5270</v>
      </c>
      <c r="I2198" s="25" t="s">
        <v>1701</v>
      </c>
      <c r="J2198" s="25" t="s">
        <v>4906</v>
      </c>
      <c r="K2198" s="25" t="s">
        <v>71</v>
      </c>
      <c r="L2198" s="25" t="s">
        <v>3823</v>
      </c>
      <c r="M2198" s="20" t="s">
        <v>4914</v>
      </c>
      <c r="N2198" s="20" t="s">
        <v>4915</v>
      </c>
      <c r="O2198" s="20" t="s">
        <v>63</v>
      </c>
      <c r="P2198" s="20"/>
      <c r="Q2198" s="22"/>
      <c r="R2198" s="22"/>
      <c r="S2198" s="22"/>
      <c r="T2198" s="26"/>
      <c r="U2198" s="26"/>
      <c r="V2198" s="26"/>
      <c r="W2198" s="20"/>
      <c r="X2198" s="20"/>
      <c r="Y2198" s="20"/>
      <c r="Z2198" s="20"/>
      <c r="AA2198" s="20"/>
      <c r="AB2198" s="20"/>
      <c r="AC2198" s="20"/>
      <c r="AD2198" s="20"/>
      <c r="AE2198" s="20"/>
    </row>
    <row r="2199">
      <c r="A2199" s="21">
        <v>60.0</v>
      </c>
      <c r="B2199" s="20" t="s">
        <v>1714</v>
      </c>
      <c r="C2199" s="20" t="s">
        <v>5270</v>
      </c>
      <c r="I2199" s="25" t="s">
        <v>1669</v>
      </c>
      <c r="J2199" s="25" t="s">
        <v>4643</v>
      </c>
      <c r="K2199" s="25" t="s">
        <v>71</v>
      </c>
      <c r="L2199" s="25" t="s">
        <v>3823</v>
      </c>
      <c r="M2199" s="20" t="s">
        <v>1670</v>
      </c>
      <c r="N2199" s="20" t="s">
        <v>4722</v>
      </c>
      <c r="O2199" s="20" t="s">
        <v>63</v>
      </c>
      <c r="P2199" s="20"/>
      <c r="Q2199" s="22"/>
      <c r="R2199" s="22"/>
      <c r="S2199" s="22"/>
      <c r="T2199" s="26"/>
      <c r="U2199" s="26"/>
      <c r="V2199" s="26"/>
      <c r="W2199" s="20"/>
      <c r="X2199" s="20"/>
      <c r="Y2199" s="20"/>
      <c r="Z2199" s="20"/>
      <c r="AA2199" s="20"/>
      <c r="AB2199" s="20"/>
      <c r="AC2199" s="20"/>
      <c r="AD2199" s="20"/>
      <c r="AE2199" s="20"/>
    </row>
    <row r="2200">
      <c r="A2200" s="21">
        <v>60.0</v>
      </c>
      <c r="B2200" s="20" t="s">
        <v>1714</v>
      </c>
      <c r="C2200" s="20" t="s">
        <v>5270</v>
      </c>
      <c r="I2200" s="25" t="s">
        <v>3450</v>
      </c>
      <c r="J2200" s="25" t="s">
        <v>4652</v>
      </c>
      <c r="K2200" s="25" t="s">
        <v>71</v>
      </c>
      <c r="L2200" s="25" t="s">
        <v>3823</v>
      </c>
      <c r="M2200" s="20" t="s">
        <v>3536</v>
      </c>
      <c r="N2200" s="20" t="s">
        <v>3537</v>
      </c>
      <c r="O2200" s="20" t="s">
        <v>63</v>
      </c>
      <c r="P2200" s="20"/>
      <c r="Q2200" s="22"/>
      <c r="R2200" s="22"/>
      <c r="S2200" s="22"/>
      <c r="T2200" s="26"/>
      <c r="U2200" s="26"/>
      <c r="V2200" s="26"/>
      <c r="W2200" s="20"/>
      <c r="X2200" s="20"/>
      <c r="Y2200" s="20"/>
      <c r="Z2200" s="20"/>
      <c r="AA2200" s="20"/>
      <c r="AB2200" s="20"/>
      <c r="AC2200" s="20"/>
      <c r="AD2200" s="20"/>
      <c r="AE2200" s="20"/>
    </row>
    <row r="2201">
      <c r="A2201" s="21">
        <v>60.0</v>
      </c>
      <c r="B2201" s="20" t="s">
        <v>1714</v>
      </c>
      <c r="C2201" s="20" t="s">
        <v>5270</v>
      </c>
      <c r="I2201" s="25" t="s">
        <v>4661</v>
      </c>
      <c r="J2201" s="25" t="s">
        <v>4647</v>
      </c>
      <c r="K2201" s="25" t="s">
        <v>71</v>
      </c>
      <c r="L2201" s="25" t="s">
        <v>5285</v>
      </c>
      <c r="M2201" s="20" t="s">
        <v>4662</v>
      </c>
      <c r="N2201" s="20" t="s">
        <v>4663</v>
      </c>
      <c r="O2201" s="20" t="s">
        <v>63</v>
      </c>
      <c r="P2201" s="20"/>
      <c r="Q2201" s="22"/>
      <c r="R2201" s="22"/>
      <c r="S2201" s="22"/>
      <c r="T2201" s="20"/>
      <c r="U2201" s="26"/>
      <c r="V2201" s="26"/>
      <c r="W2201" s="20"/>
      <c r="X2201" s="20"/>
      <c r="Y2201" s="20"/>
      <c r="Z2201" s="20"/>
      <c r="AA2201" s="20"/>
      <c r="AB2201" s="20"/>
      <c r="AC2201" s="20"/>
      <c r="AD2201" s="20"/>
      <c r="AE2201" s="20"/>
    </row>
    <row r="2202">
      <c r="A2202" s="21">
        <v>60.0</v>
      </c>
      <c r="B2202" s="20" t="s">
        <v>1714</v>
      </c>
      <c r="C2202" s="20" t="s">
        <v>5270</v>
      </c>
      <c r="I2202" s="25" t="s">
        <v>4664</v>
      </c>
      <c r="J2202" s="25" t="s">
        <v>4647</v>
      </c>
      <c r="K2202" s="25" t="s">
        <v>71</v>
      </c>
      <c r="L2202" s="25" t="s">
        <v>3823</v>
      </c>
      <c r="M2202" s="20" t="s">
        <v>4665</v>
      </c>
      <c r="N2202" s="20" t="s">
        <v>4666</v>
      </c>
      <c r="O2202" s="20" t="s">
        <v>63</v>
      </c>
      <c r="P2202" s="20"/>
      <c r="Q2202" s="22"/>
      <c r="R2202" s="22"/>
      <c r="S2202" s="22"/>
      <c r="T2202" s="26"/>
      <c r="U2202" s="26"/>
      <c r="V2202" s="26"/>
      <c r="W2202" s="20"/>
      <c r="X2202" s="20"/>
      <c r="Y2202" s="20"/>
      <c r="Z2202" s="20"/>
      <c r="AA2202" s="20"/>
      <c r="AB2202" s="20"/>
      <c r="AC2202" s="20"/>
      <c r="AD2202" s="20"/>
      <c r="AE2202" s="20"/>
    </row>
    <row r="2203">
      <c r="A2203" s="21">
        <v>60.0</v>
      </c>
      <c r="B2203" s="20" t="s">
        <v>1714</v>
      </c>
      <c r="C2203" s="20" t="s">
        <v>5270</v>
      </c>
      <c r="I2203" s="25" t="s">
        <v>1677</v>
      </c>
      <c r="J2203" s="25" t="s">
        <v>4906</v>
      </c>
      <c r="K2203" s="25" t="s">
        <v>71</v>
      </c>
      <c r="L2203" s="25" t="s">
        <v>3823</v>
      </c>
      <c r="M2203" s="20" t="s">
        <v>1678</v>
      </c>
      <c r="N2203" s="20" t="s">
        <v>4916</v>
      </c>
      <c r="O2203" s="20" t="s">
        <v>63</v>
      </c>
      <c r="P2203" s="20"/>
      <c r="Q2203" s="22"/>
      <c r="R2203" s="22"/>
      <c r="S2203" s="22"/>
      <c r="T2203" s="26"/>
      <c r="U2203" s="26"/>
      <c r="V2203" s="26"/>
      <c r="W2203" s="20"/>
      <c r="X2203" s="20"/>
      <c r="Y2203" s="20"/>
      <c r="Z2203" s="20"/>
      <c r="AA2203" s="20"/>
      <c r="AB2203" s="20"/>
      <c r="AC2203" s="20"/>
      <c r="AD2203" s="20"/>
      <c r="AE2203" s="20"/>
    </row>
    <row r="2204">
      <c r="A2204" s="21">
        <v>60.0</v>
      </c>
      <c r="B2204" s="20" t="s">
        <v>1714</v>
      </c>
      <c r="C2204" s="20" t="s">
        <v>5270</v>
      </c>
      <c r="I2204" s="25" t="s">
        <v>4952</v>
      </c>
      <c r="J2204" s="25" t="s">
        <v>4652</v>
      </c>
      <c r="K2204" s="25" t="s">
        <v>71</v>
      </c>
      <c r="L2204" s="25" t="s">
        <v>3823</v>
      </c>
      <c r="M2204" s="20" t="s">
        <v>4953</v>
      </c>
      <c r="N2204" s="20" t="s">
        <v>4954</v>
      </c>
      <c r="O2204" s="20" t="s">
        <v>63</v>
      </c>
      <c r="P2204" s="20"/>
      <c r="Q2204" s="22"/>
      <c r="R2204" s="22"/>
      <c r="S2204" s="22"/>
      <c r="T2204" s="26"/>
      <c r="U2204" s="26"/>
      <c r="V2204" s="26"/>
      <c r="W2204" s="20"/>
      <c r="X2204" s="20"/>
      <c r="Y2204" s="20"/>
      <c r="Z2204" s="20"/>
      <c r="AA2204" s="20"/>
      <c r="AB2204" s="20"/>
      <c r="AC2204" s="20"/>
      <c r="AD2204" s="20"/>
      <c r="AE2204" s="20"/>
    </row>
    <row r="2205">
      <c r="A2205" s="21">
        <v>60.0</v>
      </c>
      <c r="B2205" s="20" t="s">
        <v>1714</v>
      </c>
      <c r="C2205" s="20" t="s">
        <v>5270</v>
      </c>
      <c r="I2205" s="25" t="s">
        <v>1331</v>
      </c>
      <c r="J2205" s="25" t="s">
        <v>4643</v>
      </c>
      <c r="K2205" s="25" t="s">
        <v>71</v>
      </c>
      <c r="L2205" s="25" t="s">
        <v>226</v>
      </c>
      <c r="M2205" s="20" t="s">
        <v>4723</v>
      </c>
      <c r="N2205" s="20" t="s">
        <v>4724</v>
      </c>
      <c r="O2205" s="20" t="s">
        <v>63</v>
      </c>
      <c r="P2205" s="20" t="s">
        <v>52</v>
      </c>
      <c r="Q2205" s="22"/>
      <c r="R2205" s="22"/>
      <c r="S2205" s="22"/>
      <c r="T2205" s="22"/>
      <c r="U2205" s="26"/>
      <c r="V2205" s="26"/>
      <c r="W2205" s="20"/>
      <c r="X2205" s="20"/>
      <c r="Y2205" s="20"/>
      <c r="Z2205" s="20"/>
      <c r="AA2205" s="20"/>
      <c r="AB2205" s="20"/>
      <c r="AC2205" s="20"/>
      <c r="AD2205" s="20"/>
      <c r="AE2205" s="20"/>
    </row>
    <row r="2206">
      <c r="A2206" s="21">
        <v>60.0</v>
      </c>
      <c r="B2206" s="20" t="s">
        <v>1714</v>
      </c>
      <c r="C2206" s="20" t="s">
        <v>5270</v>
      </c>
      <c r="I2206" s="25" t="s">
        <v>1315</v>
      </c>
      <c r="J2206" s="25" t="s">
        <v>4643</v>
      </c>
      <c r="K2206" s="25" t="s">
        <v>71</v>
      </c>
      <c r="L2206" s="25" t="s">
        <v>226</v>
      </c>
      <c r="M2206" s="20" t="s">
        <v>4725</v>
      </c>
      <c r="N2206" s="20" t="s">
        <v>4726</v>
      </c>
      <c r="O2206" s="20" t="s">
        <v>63</v>
      </c>
      <c r="P2206" s="20" t="s">
        <v>52</v>
      </c>
      <c r="Q2206" s="22"/>
      <c r="R2206" s="22"/>
      <c r="S2206" s="22"/>
      <c r="T2206" s="22"/>
      <c r="U2206" s="26"/>
      <c r="V2206" s="26"/>
      <c r="W2206" s="20"/>
      <c r="X2206" s="20"/>
      <c r="Y2206" s="20"/>
      <c r="Z2206" s="20"/>
      <c r="AA2206" s="20"/>
      <c r="AB2206" s="20"/>
      <c r="AC2206" s="20"/>
      <c r="AD2206" s="20"/>
      <c r="AE2206" s="20"/>
    </row>
    <row r="2207">
      <c r="A2207" s="21">
        <v>60.0</v>
      </c>
      <c r="B2207" s="20" t="s">
        <v>1714</v>
      </c>
      <c r="C2207" s="20" t="s">
        <v>5270</v>
      </c>
      <c r="I2207" s="25" t="s">
        <v>3485</v>
      </c>
      <c r="J2207" s="25" t="s">
        <v>4906</v>
      </c>
      <c r="K2207" s="25" t="s">
        <v>71</v>
      </c>
      <c r="L2207" s="25" t="s">
        <v>5285</v>
      </c>
      <c r="M2207" s="20" t="s">
        <v>3486</v>
      </c>
      <c r="N2207" s="20" t="s">
        <v>3487</v>
      </c>
      <c r="O2207" s="20" t="s">
        <v>63</v>
      </c>
      <c r="P2207" s="20"/>
      <c r="Q2207" s="22"/>
      <c r="R2207" s="22"/>
      <c r="S2207" s="22"/>
      <c r="T2207" s="26"/>
      <c r="U2207" s="26"/>
      <c r="V2207" s="26"/>
      <c r="W2207" s="20"/>
      <c r="X2207" s="20"/>
      <c r="Y2207" s="20"/>
      <c r="Z2207" s="20"/>
      <c r="AA2207" s="20"/>
      <c r="AB2207" s="20"/>
      <c r="AC2207" s="20"/>
      <c r="AD2207" s="20"/>
      <c r="AE2207" s="20"/>
    </row>
    <row r="2208">
      <c r="A2208" s="21">
        <v>60.0</v>
      </c>
      <c r="B2208" s="20" t="s">
        <v>1714</v>
      </c>
      <c r="C2208" s="20" t="s">
        <v>5270</v>
      </c>
      <c r="I2208" s="25" t="s">
        <v>2902</v>
      </c>
      <c r="J2208" s="25" t="s">
        <v>4643</v>
      </c>
      <c r="K2208" s="25" t="s">
        <v>71</v>
      </c>
      <c r="L2208" s="25" t="s">
        <v>226</v>
      </c>
      <c r="M2208" s="20" t="s">
        <v>4728</v>
      </c>
      <c r="N2208" s="20" t="s">
        <v>4729</v>
      </c>
      <c r="O2208" s="20" t="s">
        <v>63</v>
      </c>
      <c r="P2208" s="20" t="s">
        <v>52</v>
      </c>
      <c r="Q2208" s="22"/>
      <c r="R2208" s="22"/>
      <c r="S2208" s="22"/>
      <c r="T2208" s="22"/>
      <c r="U2208" s="26"/>
      <c r="V2208" s="26"/>
      <c r="W2208" s="20"/>
      <c r="X2208" s="20"/>
      <c r="Y2208" s="20"/>
      <c r="Z2208" s="20"/>
      <c r="AA2208" s="20"/>
      <c r="AB2208" s="20"/>
      <c r="AC2208" s="20"/>
      <c r="AD2208" s="20"/>
      <c r="AE2208" s="20"/>
    </row>
    <row r="2209">
      <c r="A2209" s="21">
        <v>60.0</v>
      </c>
      <c r="B2209" s="20" t="s">
        <v>1714</v>
      </c>
      <c r="C2209" s="20" t="s">
        <v>5270</v>
      </c>
      <c r="I2209" s="25" t="s">
        <v>1319</v>
      </c>
      <c r="J2209" s="25" t="s">
        <v>4643</v>
      </c>
      <c r="K2209" s="25" t="s">
        <v>71</v>
      </c>
      <c r="L2209" s="25" t="s">
        <v>226</v>
      </c>
      <c r="M2209" s="20" t="s">
        <v>4004</v>
      </c>
      <c r="N2209" s="20" t="s">
        <v>4730</v>
      </c>
      <c r="O2209" s="20" t="s">
        <v>63</v>
      </c>
      <c r="P2209" s="20" t="s">
        <v>52</v>
      </c>
      <c r="Q2209" s="22"/>
      <c r="R2209" s="22"/>
      <c r="S2209" s="22"/>
      <c r="T2209" s="22"/>
      <c r="U2209" s="26"/>
      <c r="V2209" s="26"/>
      <c r="W2209" s="20"/>
      <c r="X2209" s="20"/>
      <c r="Y2209" s="20"/>
      <c r="Z2209" s="20"/>
      <c r="AA2209" s="20"/>
      <c r="AB2209" s="20"/>
      <c r="AC2209" s="20"/>
      <c r="AD2209" s="20"/>
      <c r="AE2209" s="20"/>
    </row>
    <row r="2210">
      <c r="A2210" s="21">
        <v>60.0</v>
      </c>
      <c r="B2210" s="20" t="s">
        <v>1714</v>
      </c>
      <c r="C2210" s="20" t="s">
        <v>5270</v>
      </c>
      <c r="I2210" s="25" t="s">
        <v>3543</v>
      </c>
      <c r="J2210" s="25" t="s">
        <v>4641</v>
      </c>
      <c r="K2210" s="25" t="s">
        <v>71</v>
      </c>
      <c r="L2210" s="25" t="s">
        <v>5285</v>
      </c>
      <c r="M2210" s="20" t="s">
        <v>61</v>
      </c>
      <c r="N2210" s="20" t="s">
        <v>4859</v>
      </c>
      <c r="O2210" s="20" t="s">
        <v>63</v>
      </c>
      <c r="P2210" s="20"/>
      <c r="Q2210" s="22"/>
      <c r="R2210" s="22"/>
      <c r="S2210" s="22"/>
      <c r="T2210" s="26"/>
      <c r="U2210" s="26"/>
      <c r="V2210" s="26"/>
      <c r="W2210" s="20"/>
      <c r="X2210" s="20"/>
      <c r="Y2210" s="20"/>
      <c r="Z2210" s="20"/>
      <c r="AA2210" s="20"/>
      <c r="AB2210" s="20"/>
      <c r="AC2210" s="20"/>
      <c r="AD2210" s="20"/>
      <c r="AE2210" s="20"/>
    </row>
    <row r="2211">
      <c r="A2211" s="21">
        <v>60.0</v>
      </c>
      <c r="B2211" s="20" t="s">
        <v>1714</v>
      </c>
      <c r="C2211" s="20" t="s">
        <v>5270</v>
      </c>
      <c r="I2211" s="25" t="s">
        <v>3640</v>
      </c>
      <c r="J2211" s="25" t="s">
        <v>4641</v>
      </c>
      <c r="K2211" s="25" t="s">
        <v>71</v>
      </c>
      <c r="L2211" s="25" t="s">
        <v>5331</v>
      </c>
      <c r="M2211" s="20" t="s">
        <v>3641</v>
      </c>
      <c r="N2211" s="20" t="s">
        <v>4860</v>
      </c>
      <c r="O2211" s="20" t="s">
        <v>63</v>
      </c>
      <c r="P2211" s="20"/>
      <c r="Q2211" s="22"/>
      <c r="R2211" s="22"/>
      <c r="S2211" s="22"/>
      <c r="T2211" s="26"/>
      <c r="U2211" s="26"/>
      <c r="V2211" s="26"/>
      <c r="W2211" s="20"/>
      <c r="X2211" s="20"/>
      <c r="Y2211" s="20"/>
      <c r="Z2211" s="20"/>
      <c r="AA2211" s="20"/>
      <c r="AB2211" s="20"/>
      <c r="AC2211" s="20"/>
      <c r="AD2211" s="20"/>
      <c r="AE2211" s="20"/>
    </row>
    <row r="2212">
      <c r="A2212" s="21">
        <v>60.0</v>
      </c>
      <c r="B2212" s="20" t="s">
        <v>1714</v>
      </c>
      <c r="C2212" s="20" t="s">
        <v>5270</v>
      </c>
      <c r="I2212" s="25" t="s">
        <v>3643</v>
      </c>
      <c r="J2212" s="25" t="s">
        <v>4641</v>
      </c>
      <c r="K2212" s="25" t="s">
        <v>71</v>
      </c>
      <c r="L2212" s="25" t="s">
        <v>3823</v>
      </c>
      <c r="M2212" s="20" t="s">
        <v>4861</v>
      </c>
      <c r="N2212" s="20" t="s">
        <v>4862</v>
      </c>
      <c r="O2212" s="20" t="s">
        <v>63</v>
      </c>
      <c r="P2212" s="20"/>
      <c r="Q2212" s="22"/>
      <c r="R2212" s="22"/>
      <c r="S2212" s="22"/>
      <c r="T2212" s="26"/>
      <c r="U2212" s="26"/>
      <c r="V2212" s="26"/>
      <c r="W2212" s="20"/>
      <c r="X2212" s="20"/>
      <c r="Y2212" s="20"/>
      <c r="Z2212" s="20"/>
      <c r="AA2212" s="20"/>
      <c r="AB2212" s="20"/>
      <c r="AC2212" s="20"/>
      <c r="AD2212" s="20"/>
      <c r="AE2212" s="20"/>
    </row>
    <row r="2213">
      <c r="A2213" s="21">
        <v>60.0</v>
      </c>
      <c r="B2213" s="20" t="s">
        <v>1714</v>
      </c>
      <c r="C2213" s="20" t="s">
        <v>5270</v>
      </c>
      <c r="I2213" s="25" t="s">
        <v>4955</v>
      </c>
      <c r="J2213" s="25" t="s">
        <v>4652</v>
      </c>
      <c r="K2213" s="25" t="s">
        <v>71</v>
      </c>
      <c r="L2213" s="25" t="s">
        <v>5285</v>
      </c>
      <c r="M2213" s="20" t="s">
        <v>4956</v>
      </c>
      <c r="N2213" s="20" t="s">
        <v>4957</v>
      </c>
      <c r="O2213" s="20" t="s">
        <v>63</v>
      </c>
      <c r="P2213" s="20"/>
      <c r="Q2213" s="22"/>
      <c r="R2213" s="22"/>
      <c r="S2213" s="22"/>
      <c r="T2213" s="26"/>
      <c r="U2213" s="26"/>
      <c r="V2213" s="26"/>
      <c r="W2213" s="20"/>
      <c r="X2213" s="20"/>
      <c r="Y2213" s="20"/>
      <c r="Z2213" s="20"/>
      <c r="AA2213" s="20"/>
      <c r="AB2213" s="20"/>
      <c r="AC2213" s="20"/>
      <c r="AD2213" s="20"/>
      <c r="AE2213" s="20"/>
    </row>
    <row r="2214">
      <c r="A2214" s="21">
        <v>60.0</v>
      </c>
      <c r="B2214" s="20" t="s">
        <v>1714</v>
      </c>
      <c r="C2214" s="20" t="s">
        <v>5270</v>
      </c>
      <c r="I2214" s="25" t="s">
        <v>1722</v>
      </c>
      <c r="J2214" s="25" t="s">
        <v>4906</v>
      </c>
      <c r="K2214" s="25" t="s">
        <v>71</v>
      </c>
      <c r="L2214" s="25" t="s">
        <v>5332</v>
      </c>
      <c r="M2214" s="20" t="s">
        <v>61</v>
      </c>
      <c r="N2214" s="20" t="s">
        <v>3416</v>
      </c>
      <c r="O2214" s="20" t="s">
        <v>63</v>
      </c>
      <c r="P2214" s="20" t="s">
        <v>52</v>
      </c>
      <c r="Q2214" s="22"/>
      <c r="R2214" s="22"/>
      <c r="S2214" s="22"/>
      <c r="T2214" s="26"/>
      <c r="U2214" s="26"/>
      <c r="V2214" s="26"/>
      <c r="W2214" s="20"/>
      <c r="X2214" s="20"/>
      <c r="Y2214" s="20"/>
      <c r="Z2214" s="20"/>
      <c r="AA2214" s="20"/>
      <c r="AB2214" s="20"/>
      <c r="AC2214" s="20"/>
      <c r="AD2214" s="20"/>
      <c r="AE2214" s="20"/>
    </row>
    <row r="2215">
      <c r="A2215" s="21">
        <v>60.0</v>
      </c>
      <c r="B2215" s="20" t="s">
        <v>1714</v>
      </c>
      <c r="C2215" s="20" t="s">
        <v>5270</v>
      </c>
      <c r="I2215" s="25" t="s">
        <v>4959</v>
      </c>
      <c r="J2215" s="25" t="s">
        <v>4652</v>
      </c>
      <c r="K2215" s="25" t="s">
        <v>71</v>
      </c>
      <c r="L2215" s="25" t="s">
        <v>5333</v>
      </c>
      <c r="M2215" s="20" t="s">
        <v>4960</v>
      </c>
      <c r="N2215" s="20" t="s">
        <v>4961</v>
      </c>
      <c r="O2215" s="20" t="s">
        <v>63</v>
      </c>
      <c r="P2215" s="20" t="s">
        <v>52</v>
      </c>
      <c r="Q2215" s="22"/>
      <c r="R2215" s="22"/>
      <c r="S2215" s="22"/>
      <c r="T2215" s="26"/>
      <c r="U2215" s="26"/>
      <c r="V2215" s="26"/>
      <c r="W2215" s="20"/>
      <c r="X2215" s="20"/>
      <c r="Y2215" s="20"/>
      <c r="Z2215" s="20"/>
      <c r="AA2215" s="20"/>
      <c r="AB2215" s="20"/>
      <c r="AC2215" s="20"/>
      <c r="AD2215" s="20"/>
      <c r="AE2215" s="20"/>
    </row>
    <row r="2216">
      <c r="A2216" s="21">
        <v>60.0</v>
      </c>
      <c r="B2216" s="20" t="s">
        <v>1714</v>
      </c>
      <c r="C2216" s="20" t="s">
        <v>5270</v>
      </c>
      <c r="I2216" s="25" t="s">
        <v>1475</v>
      </c>
      <c r="J2216" s="25" t="s">
        <v>4641</v>
      </c>
      <c r="K2216" s="25" t="s">
        <v>71</v>
      </c>
      <c r="L2216" s="25" t="s">
        <v>3908</v>
      </c>
      <c r="M2216" s="20" t="s">
        <v>1476</v>
      </c>
      <c r="N2216" s="20" t="s">
        <v>4863</v>
      </c>
      <c r="O2216" s="20" t="s">
        <v>63</v>
      </c>
      <c r="P2216" s="20" t="s">
        <v>52</v>
      </c>
      <c r="Q2216" s="22"/>
      <c r="R2216" s="22"/>
      <c r="S2216" s="22"/>
      <c r="T2216" s="26"/>
      <c r="U2216" s="26"/>
      <c r="V2216" s="26"/>
      <c r="W2216" s="20"/>
      <c r="X2216" s="20"/>
      <c r="Y2216" s="20"/>
      <c r="Z2216" s="20"/>
      <c r="AA2216" s="20"/>
      <c r="AB2216" s="20"/>
      <c r="AC2216" s="20"/>
      <c r="AD2216" s="20"/>
      <c r="AE2216" s="20"/>
    </row>
    <row r="2217">
      <c r="A2217" s="21">
        <v>60.0</v>
      </c>
      <c r="B2217" s="20" t="s">
        <v>1714</v>
      </c>
      <c r="C2217" s="20" t="s">
        <v>5270</v>
      </c>
      <c r="I2217" s="25" t="s">
        <v>2759</v>
      </c>
      <c r="J2217" s="25" t="s">
        <v>4906</v>
      </c>
      <c r="K2217" s="25" t="s">
        <v>71</v>
      </c>
      <c r="L2217" s="25" t="s">
        <v>3908</v>
      </c>
      <c r="M2217" s="20" t="s">
        <v>3508</v>
      </c>
      <c r="N2217" s="20" t="s">
        <v>4919</v>
      </c>
      <c r="O2217" s="20" t="s">
        <v>63</v>
      </c>
      <c r="P2217" s="20" t="s">
        <v>52</v>
      </c>
      <c r="Q2217" s="22"/>
      <c r="R2217" s="22"/>
      <c r="S2217" s="22"/>
      <c r="T2217" s="26"/>
      <c r="U2217" s="26"/>
      <c r="V2217" s="26"/>
      <c r="W2217" s="20"/>
      <c r="X2217" s="20"/>
      <c r="Y2217" s="20"/>
      <c r="Z2217" s="20"/>
      <c r="AA2217" s="20"/>
      <c r="AB2217" s="20"/>
      <c r="AC2217" s="20"/>
      <c r="AD2217" s="20"/>
      <c r="AE2217" s="20"/>
    </row>
    <row r="2218">
      <c r="A2218" s="21">
        <v>60.0</v>
      </c>
      <c r="B2218" s="20" t="s">
        <v>1714</v>
      </c>
      <c r="C2218" s="20" t="s">
        <v>5270</v>
      </c>
      <c r="I2218" s="25" t="s">
        <v>2591</v>
      </c>
      <c r="J2218" s="25" t="s">
        <v>4643</v>
      </c>
      <c r="K2218" s="25" t="s">
        <v>71</v>
      </c>
      <c r="L2218" s="25" t="s">
        <v>3908</v>
      </c>
      <c r="M2218" s="20" t="s">
        <v>3069</v>
      </c>
      <c r="N2218" s="20" t="s">
        <v>4731</v>
      </c>
      <c r="O2218" s="20" t="s">
        <v>63</v>
      </c>
      <c r="P2218" s="20" t="s">
        <v>52</v>
      </c>
      <c r="Q2218" s="22"/>
      <c r="R2218" s="22"/>
      <c r="S2218" s="22"/>
      <c r="T2218" s="26"/>
      <c r="U2218" s="26"/>
      <c r="V2218" s="26"/>
      <c r="W2218" s="20"/>
      <c r="X2218" s="20"/>
      <c r="Y2218" s="20"/>
      <c r="Z2218" s="20"/>
      <c r="AA2218" s="20"/>
      <c r="AB2218" s="20"/>
      <c r="AC2218" s="20"/>
      <c r="AD2218" s="20"/>
      <c r="AE2218" s="20"/>
    </row>
    <row r="2219">
      <c r="A2219" s="21">
        <v>60.0</v>
      </c>
      <c r="B2219" s="20" t="s">
        <v>1714</v>
      </c>
      <c r="C2219" s="20" t="s">
        <v>5270</v>
      </c>
      <c r="I2219" s="25" t="s">
        <v>1884</v>
      </c>
      <c r="J2219" s="25" t="s">
        <v>4643</v>
      </c>
      <c r="K2219" s="25" t="s">
        <v>71</v>
      </c>
      <c r="L2219" s="25" t="s">
        <v>3908</v>
      </c>
      <c r="M2219" s="20" t="s">
        <v>4732</v>
      </c>
      <c r="N2219" s="20" t="s">
        <v>4733</v>
      </c>
      <c r="O2219" s="20" t="s">
        <v>63</v>
      </c>
      <c r="P2219" s="20" t="s">
        <v>52</v>
      </c>
      <c r="Q2219" s="22"/>
      <c r="R2219" s="22"/>
      <c r="S2219" s="22"/>
      <c r="T2219" s="26"/>
      <c r="U2219" s="26"/>
      <c r="V2219" s="26"/>
      <c r="W2219" s="20"/>
      <c r="X2219" s="20"/>
      <c r="Y2219" s="20"/>
      <c r="Z2219" s="20"/>
      <c r="AA2219" s="20"/>
      <c r="AB2219" s="20"/>
      <c r="AC2219" s="20"/>
      <c r="AD2219" s="20"/>
      <c r="AE2219" s="20"/>
    </row>
    <row r="2220">
      <c r="A2220" s="21">
        <v>60.0</v>
      </c>
      <c r="B2220" s="20" t="s">
        <v>1714</v>
      </c>
      <c r="C2220" s="20" t="s">
        <v>5270</v>
      </c>
      <c r="I2220" s="25" t="s">
        <v>3408</v>
      </c>
      <c r="J2220" s="25" t="s">
        <v>4652</v>
      </c>
      <c r="K2220" s="25" t="s">
        <v>71</v>
      </c>
      <c r="L2220" s="25" t="s">
        <v>5335</v>
      </c>
      <c r="M2220" s="20" t="s">
        <v>3514</v>
      </c>
      <c r="N2220" s="20" t="s">
        <v>3515</v>
      </c>
      <c r="O2220" s="20" t="s">
        <v>63</v>
      </c>
      <c r="P2220" s="20" t="s">
        <v>52</v>
      </c>
      <c r="Q2220" s="22"/>
      <c r="R2220" s="22"/>
      <c r="S2220" s="22"/>
      <c r="T2220" s="26"/>
      <c r="U2220" s="26"/>
      <c r="V2220" s="26"/>
      <c r="W2220" s="20"/>
      <c r="X2220" s="20"/>
      <c r="Y2220" s="20"/>
      <c r="Z2220" s="20"/>
      <c r="AA2220" s="20"/>
      <c r="AB2220" s="20"/>
      <c r="AC2220" s="20"/>
      <c r="AD2220" s="20"/>
      <c r="AE2220" s="20"/>
    </row>
    <row r="2221">
      <c r="A2221" s="21">
        <v>60.0</v>
      </c>
      <c r="B2221" s="20" t="s">
        <v>1714</v>
      </c>
      <c r="C2221" s="20" t="s">
        <v>5270</v>
      </c>
      <c r="I2221" s="25" t="s">
        <v>4734</v>
      </c>
      <c r="J2221" s="25" t="s">
        <v>4643</v>
      </c>
      <c r="K2221" s="25" t="s">
        <v>71</v>
      </c>
      <c r="L2221" s="25" t="s">
        <v>5336</v>
      </c>
      <c r="M2221" s="20" t="s">
        <v>4735</v>
      </c>
      <c r="N2221" s="20" t="s">
        <v>4736</v>
      </c>
      <c r="O2221" s="20" t="s">
        <v>63</v>
      </c>
      <c r="P2221" s="20" t="s">
        <v>52</v>
      </c>
      <c r="Q2221" s="22"/>
      <c r="R2221" s="22"/>
      <c r="S2221" s="22"/>
      <c r="T2221" s="26"/>
      <c r="U2221" s="26"/>
      <c r="V2221" s="26"/>
      <c r="W2221" s="20"/>
      <c r="X2221" s="20"/>
      <c r="Y2221" s="20"/>
      <c r="Z2221" s="20"/>
      <c r="AA2221" s="20"/>
      <c r="AB2221" s="20"/>
      <c r="AC2221" s="20"/>
      <c r="AD2221" s="20"/>
      <c r="AE2221" s="20"/>
    </row>
    <row r="2222">
      <c r="A2222" s="21">
        <v>60.0</v>
      </c>
      <c r="B2222" s="20" t="s">
        <v>1714</v>
      </c>
      <c r="C2222" s="20" t="s">
        <v>5270</v>
      </c>
      <c r="I2222" s="25" t="s">
        <v>561</v>
      </c>
      <c r="J2222" s="25" t="s">
        <v>4643</v>
      </c>
      <c r="K2222" s="25" t="s">
        <v>71</v>
      </c>
      <c r="L2222" s="25" t="s">
        <v>292</v>
      </c>
      <c r="M2222" s="20" t="s">
        <v>907</v>
      </c>
      <c r="N2222" s="20" t="s">
        <v>4738</v>
      </c>
      <c r="O2222" s="20" t="s">
        <v>63</v>
      </c>
      <c r="P2222" s="20" t="s">
        <v>52</v>
      </c>
      <c r="Q2222" s="22"/>
      <c r="R2222" s="22"/>
      <c r="S2222" s="22"/>
      <c r="T2222" s="22"/>
      <c r="U2222" s="26"/>
      <c r="V2222" s="26"/>
      <c r="W2222" s="20"/>
      <c r="X2222" s="20"/>
      <c r="Y2222" s="20"/>
      <c r="Z2222" s="20"/>
      <c r="AA2222" s="20"/>
      <c r="AB2222" s="20"/>
      <c r="AC2222" s="20"/>
      <c r="AD2222" s="20"/>
      <c r="AE2222" s="20"/>
    </row>
    <row r="2223">
      <c r="A2223" s="21">
        <v>60.0</v>
      </c>
      <c r="B2223" s="20" t="s">
        <v>1714</v>
      </c>
      <c r="C2223" s="20" t="s">
        <v>5270</v>
      </c>
      <c r="I2223" s="25" t="s">
        <v>423</v>
      </c>
      <c r="J2223" s="25" t="s">
        <v>4643</v>
      </c>
      <c r="K2223" s="25" t="s">
        <v>71</v>
      </c>
      <c r="L2223" s="25" t="s">
        <v>292</v>
      </c>
      <c r="M2223" s="20" t="s">
        <v>4739</v>
      </c>
      <c r="N2223" s="20" t="s">
        <v>4740</v>
      </c>
      <c r="O2223" s="20" t="s">
        <v>63</v>
      </c>
      <c r="P2223" s="20" t="s">
        <v>52</v>
      </c>
      <c r="Q2223" s="22"/>
      <c r="R2223" s="22"/>
      <c r="S2223" s="22"/>
      <c r="T2223" s="22"/>
      <c r="U2223" s="26"/>
      <c r="V2223" s="26"/>
      <c r="W2223" s="20"/>
      <c r="X2223" s="20"/>
      <c r="Y2223" s="20"/>
      <c r="Z2223" s="20"/>
      <c r="AA2223" s="20"/>
      <c r="AB2223" s="20"/>
      <c r="AC2223" s="20"/>
      <c r="AD2223" s="20"/>
      <c r="AE2223" s="20"/>
    </row>
    <row r="2224">
      <c r="A2224" s="21">
        <v>60.0</v>
      </c>
      <c r="B2224" s="20" t="s">
        <v>1714</v>
      </c>
      <c r="C2224" s="20" t="s">
        <v>5270</v>
      </c>
      <c r="I2224" s="25" t="s">
        <v>4667</v>
      </c>
      <c r="J2224" s="25" t="s">
        <v>4647</v>
      </c>
      <c r="K2224" s="25" t="s">
        <v>71</v>
      </c>
      <c r="L2224" s="25" t="s">
        <v>5337</v>
      </c>
      <c r="M2224" s="20" t="s">
        <v>4668</v>
      </c>
      <c r="N2224" s="20" t="s">
        <v>4669</v>
      </c>
      <c r="O2224" s="20" t="s">
        <v>63</v>
      </c>
      <c r="P2224" s="20" t="s">
        <v>52</v>
      </c>
      <c r="Q2224" s="22"/>
      <c r="R2224" s="22"/>
      <c r="S2224" s="22"/>
      <c r="T2224" s="26"/>
      <c r="U2224" s="26"/>
      <c r="V2224" s="26"/>
      <c r="W2224" s="20"/>
      <c r="X2224" s="20"/>
      <c r="Y2224" s="20"/>
      <c r="Z2224" s="20"/>
      <c r="AA2224" s="20"/>
      <c r="AB2224" s="20"/>
      <c r="AC2224" s="20"/>
      <c r="AD2224" s="20"/>
      <c r="AE2224" s="20"/>
    </row>
    <row r="2225">
      <c r="A2225" s="21">
        <v>60.0</v>
      </c>
      <c r="B2225" s="20" t="s">
        <v>1714</v>
      </c>
      <c r="C2225" s="20" t="s">
        <v>5270</v>
      </c>
      <c r="I2225" s="25" t="s">
        <v>3348</v>
      </c>
      <c r="J2225" s="25" t="s">
        <v>4641</v>
      </c>
      <c r="K2225" s="25" t="s">
        <v>71</v>
      </c>
      <c r="L2225" s="25" t="s">
        <v>3910</v>
      </c>
      <c r="M2225" s="20" t="s">
        <v>4864</v>
      </c>
      <c r="N2225" s="20" t="s">
        <v>4865</v>
      </c>
      <c r="O2225" s="20" t="s">
        <v>63</v>
      </c>
      <c r="P2225" s="20" t="s">
        <v>52</v>
      </c>
      <c r="Q2225" s="22"/>
      <c r="R2225" s="22"/>
      <c r="S2225" s="22"/>
      <c r="T2225" s="20"/>
      <c r="U2225" s="26"/>
      <c r="V2225" s="26"/>
      <c r="W2225" s="20"/>
      <c r="X2225" s="20"/>
      <c r="Y2225" s="20"/>
      <c r="Z2225" s="20"/>
      <c r="AA2225" s="20"/>
      <c r="AB2225" s="20"/>
      <c r="AC2225" s="20"/>
      <c r="AD2225" s="20"/>
      <c r="AE2225" s="20"/>
    </row>
    <row r="2226">
      <c r="A2226" s="21">
        <v>60.0</v>
      </c>
      <c r="B2226" s="20" t="s">
        <v>1714</v>
      </c>
      <c r="C2226" s="20" t="s">
        <v>5270</v>
      </c>
      <c r="I2226" s="25" t="s">
        <v>3328</v>
      </c>
      <c r="J2226" s="25" t="s">
        <v>4641</v>
      </c>
      <c r="K2226" s="25" t="s">
        <v>71</v>
      </c>
      <c r="L2226" s="25" t="s">
        <v>3910</v>
      </c>
      <c r="M2226" s="20" t="s">
        <v>3538</v>
      </c>
      <c r="N2226" s="20" t="s">
        <v>3539</v>
      </c>
      <c r="O2226" s="20" t="s">
        <v>63</v>
      </c>
      <c r="P2226" s="20" t="s">
        <v>52</v>
      </c>
      <c r="Q2226" s="22"/>
      <c r="R2226" s="22"/>
      <c r="S2226" s="22"/>
      <c r="T2226" s="20"/>
      <c r="U2226" s="26"/>
      <c r="V2226" s="26"/>
      <c r="W2226" s="20"/>
      <c r="X2226" s="20"/>
      <c r="Y2226" s="20"/>
      <c r="Z2226" s="20"/>
      <c r="AA2226" s="20"/>
      <c r="AB2226" s="20"/>
      <c r="AC2226" s="20"/>
      <c r="AD2226" s="20"/>
      <c r="AE2226" s="20"/>
    </row>
    <row r="2227">
      <c r="A2227" s="21">
        <v>60.0</v>
      </c>
      <c r="B2227" s="20" t="s">
        <v>1714</v>
      </c>
      <c r="C2227" s="20" t="s">
        <v>5270</v>
      </c>
      <c r="I2227" s="25" t="s">
        <v>1370</v>
      </c>
      <c r="J2227" s="25" t="s">
        <v>4899</v>
      </c>
      <c r="K2227" s="25" t="s">
        <v>71</v>
      </c>
      <c r="L2227" s="25" t="s">
        <v>5340</v>
      </c>
      <c r="M2227" s="20" t="s">
        <v>4900</v>
      </c>
      <c r="N2227" s="20" t="s">
        <v>4901</v>
      </c>
      <c r="O2227" s="20" t="s">
        <v>63</v>
      </c>
      <c r="P2227" s="20" t="s">
        <v>52</v>
      </c>
      <c r="Q2227" s="22"/>
      <c r="R2227" s="22"/>
      <c r="S2227" s="22"/>
      <c r="T2227" s="20"/>
      <c r="U2227" s="26"/>
      <c r="V2227" s="26"/>
      <c r="W2227" s="20"/>
      <c r="X2227" s="20"/>
      <c r="Y2227" s="20"/>
      <c r="Z2227" s="20"/>
      <c r="AA2227" s="20"/>
      <c r="AB2227" s="20"/>
      <c r="AC2227" s="20"/>
      <c r="AD2227" s="20"/>
      <c r="AE2227" s="20"/>
    </row>
    <row r="2228">
      <c r="A2228" s="21">
        <v>60.0</v>
      </c>
      <c r="B2228" s="20" t="s">
        <v>1714</v>
      </c>
      <c r="C2228" s="20" t="s">
        <v>5270</v>
      </c>
      <c r="I2228" s="25" t="s">
        <v>3068</v>
      </c>
      <c r="J2228" s="25" t="s">
        <v>4643</v>
      </c>
      <c r="K2228" s="25" t="s">
        <v>71</v>
      </c>
      <c r="L2228" s="25" t="s">
        <v>226</v>
      </c>
      <c r="M2228" s="20" t="s">
        <v>4464</v>
      </c>
      <c r="N2228" s="20" t="s">
        <v>4741</v>
      </c>
      <c r="O2228" s="20" t="s">
        <v>63</v>
      </c>
      <c r="P2228" s="20" t="s">
        <v>52</v>
      </c>
      <c r="Q2228" s="22"/>
      <c r="R2228" s="22"/>
      <c r="S2228" s="22"/>
      <c r="T2228" s="22"/>
      <c r="U2228" s="26"/>
      <c r="V2228" s="26"/>
      <c r="W2228" s="20"/>
      <c r="X2228" s="20"/>
      <c r="Y2228" s="20"/>
      <c r="Z2228" s="20"/>
      <c r="AA2228" s="20"/>
      <c r="AB2228" s="20"/>
      <c r="AC2228" s="20"/>
      <c r="AD2228" s="20"/>
      <c r="AE2228" s="20"/>
    </row>
    <row r="2229">
      <c r="A2229" s="21">
        <v>60.0</v>
      </c>
      <c r="B2229" s="20" t="s">
        <v>1714</v>
      </c>
      <c r="C2229" s="20" t="s">
        <v>5270</v>
      </c>
      <c r="I2229" s="25" t="s">
        <v>894</v>
      </c>
      <c r="J2229" s="25" t="s">
        <v>4652</v>
      </c>
      <c r="K2229" s="25" t="s">
        <v>71</v>
      </c>
      <c r="L2229" s="25" t="s">
        <v>3910</v>
      </c>
      <c r="M2229" s="20" t="s">
        <v>3510</v>
      </c>
      <c r="N2229" s="20" t="s">
        <v>3511</v>
      </c>
      <c r="O2229" s="20" t="s">
        <v>56</v>
      </c>
      <c r="P2229" s="20" t="s">
        <v>52</v>
      </c>
      <c r="Q2229" s="22"/>
      <c r="R2229" s="22"/>
      <c r="S2229" s="22"/>
      <c r="T2229" s="20"/>
      <c r="U2229" s="26"/>
      <c r="V2229" s="26"/>
      <c r="W2229" s="20"/>
      <c r="X2229" s="20"/>
      <c r="Y2229" s="20"/>
      <c r="Z2229" s="20"/>
      <c r="AA2229" s="20"/>
      <c r="AB2229" s="20"/>
      <c r="AC2229" s="20"/>
      <c r="AD2229" s="20"/>
      <c r="AE2229" s="20"/>
    </row>
    <row r="2230">
      <c r="A2230" s="21">
        <v>60.0</v>
      </c>
      <c r="B2230" s="20" t="s">
        <v>1714</v>
      </c>
      <c r="C2230" s="20" t="s">
        <v>5270</v>
      </c>
      <c r="I2230" s="25" t="s">
        <v>4670</v>
      </c>
      <c r="J2230" s="25" t="s">
        <v>4647</v>
      </c>
      <c r="K2230" s="25" t="s">
        <v>71</v>
      </c>
      <c r="L2230" s="25" t="s">
        <v>5341</v>
      </c>
      <c r="M2230" s="20" t="s">
        <v>4665</v>
      </c>
      <c r="N2230" s="20" t="s">
        <v>4666</v>
      </c>
      <c r="O2230" s="20" t="s">
        <v>63</v>
      </c>
      <c r="P2230" s="20" t="s">
        <v>52</v>
      </c>
      <c r="Q2230" s="22"/>
      <c r="R2230" s="22"/>
      <c r="S2230" s="22"/>
      <c r="T2230" s="20"/>
      <c r="U2230" s="26"/>
      <c r="V2230" s="26"/>
      <c r="W2230" s="20"/>
      <c r="X2230" s="20"/>
      <c r="Y2230" s="20"/>
      <c r="Z2230" s="20"/>
      <c r="AA2230" s="20"/>
      <c r="AB2230" s="20"/>
      <c r="AC2230" s="20"/>
      <c r="AD2230" s="20"/>
      <c r="AE2230" s="20"/>
    </row>
    <row r="2231">
      <c r="A2231" s="21">
        <v>60.0</v>
      </c>
      <c r="B2231" s="20" t="s">
        <v>1714</v>
      </c>
      <c r="C2231" s="20" t="s">
        <v>5270</v>
      </c>
      <c r="I2231" s="25" t="s">
        <v>193</v>
      </c>
      <c r="J2231" s="25" t="s">
        <v>4643</v>
      </c>
      <c r="K2231" s="25" t="s">
        <v>71</v>
      </c>
      <c r="L2231" s="25" t="s">
        <v>5342</v>
      </c>
      <c r="M2231" s="20" t="s">
        <v>4743</v>
      </c>
      <c r="N2231" s="20" t="s">
        <v>4744</v>
      </c>
      <c r="O2231" s="20" t="s">
        <v>63</v>
      </c>
      <c r="P2231" s="20" t="s">
        <v>52</v>
      </c>
      <c r="Q2231" s="22"/>
      <c r="R2231" s="22"/>
      <c r="S2231" s="22"/>
      <c r="T2231" s="20"/>
      <c r="U2231" s="26"/>
      <c r="V2231" s="26"/>
      <c r="W2231" s="20"/>
      <c r="X2231" s="20"/>
      <c r="Y2231" s="20"/>
      <c r="Z2231" s="20"/>
      <c r="AA2231" s="20"/>
      <c r="AB2231" s="20"/>
      <c r="AC2231" s="20"/>
      <c r="AD2231" s="20"/>
      <c r="AE2231" s="20"/>
    </row>
    <row r="2232">
      <c r="A2232" s="21">
        <v>60.0</v>
      </c>
      <c r="B2232" s="20" t="s">
        <v>1714</v>
      </c>
      <c r="C2232" s="20" t="s">
        <v>5270</v>
      </c>
      <c r="I2232" s="25" t="s">
        <v>4921</v>
      </c>
      <c r="J2232" s="25" t="s">
        <v>4906</v>
      </c>
      <c r="K2232" s="25" t="s">
        <v>71</v>
      </c>
      <c r="L2232" s="25" t="s">
        <v>5343</v>
      </c>
      <c r="M2232" s="20" t="s">
        <v>4922</v>
      </c>
      <c r="N2232" s="20" t="s">
        <v>4923</v>
      </c>
      <c r="O2232" s="20" t="s">
        <v>63</v>
      </c>
      <c r="P2232" s="20" t="s">
        <v>52</v>
      </c>
      <c r="Q2232" s="22"/>
      <c r="R2232" s="22"/>
      <c r="S2232" s="22"/>
      <c r="T2232" s="20"/>
      <c r="U2232" s="26"/>
      <c r="V2232" s="26"/>
      <c r="W2232" s="20"/>
      <c r="X2232" s="20"/>
      <c r="Y2232" s="20"/>
      <c r="Z2232" s="20"/>
      <c r="AA2232" s="20"/>
      <c r="AB2232" s="20"/>
      <c r="AC2232" s="20"/>
      <c r="AD2232" s="20"/>
      <c r="AE2232" s="20"/>
    </row>
    <row r="2233">
      <c r="A2233" s="21">
        <v>60.0</v>
      </c>
      <c r="B2233" s="20" t="s">
        <v>1714</v>
      </c>
      <c r="C2233" s="20" t="s">
        <v>5270</v>
      </c>
      <c r="I2233" s="25" t="s">
        <v>4055</v>
      </c>
      <c r="J2233" s="25" t="s">
        <v>4643</v>
      </c>
      <c r="K2233" s="25" t="s">
        <v>71</v>
      </c>
      <c r="L2233" s="25" t="s">
        <v>292</v>
      </c>
      <c r="M2233" s="20" t="s">
        <v>4745</v>
      </c>
      <c r="N2233" s="20" t="s">
        <v>4746</v>
      </c>
      <c r="O2233" s="20" t="s">
        <v>63</v>
      </c>
      <c r="P2233" s="20" t="s">
        <v>52</v>
      </c>
      <c r="Q2233" s="22"/>
      <c r="R2233" s="22"/>
      <c r="S2233" s="22"/>
      <c r="T2233" s="22"/>
      <c r="U2233" s="26"/>
      <c r="V2233" s="26"/>
      <c r="W2233" s="20"/>
      <c r="X2233" s="20"/>
      <c r="Y2233" s="20"/>
      <c r="Z2233" s="20"/>
      <c r="AA2233" s="20"/>
      <c r="AB2233" s="20"/>
      <c r="AC2233" s="20"/>
      <c r="AD2233" s="20"/>
      <c r="AE2233" s="20"/>
    </row>
    <row r="2234">
      <c r="A2234" s="21">
        <v>60.0</v>
      </c>
      <c r="B2234" s="20" t="s">
        <v>1714</v>
      </c>
      <c r="C2234" s="20" t="s">
        <v>5270</v>
      </c>
      <c r="I2234" s="25" t="s">
        <v>2424</v>
      </c>
      <c r="J2234" s="25" t="s">
        <v>4647</v>
      </c>
      <c r="K2234" s="25" t="s">
        <v>71</v>
      </c>
      <c r="L2234" s="25" t="s">
        <v>5344</v>
      </c>
      <c r="M2234" s="20" t="s">
        <v>61</v>
      </c>
      <c r="N2234" s="20" t="s">
        <v>4671</v>
      </c>
      <c r="O2234" s="20" t="s">
        <v>63</v>
      </c>
      <c r="P2234" s="20" t="s">
        <v>52</v>
      </c>
      <c r="Q2234" s="22"/>
      <c r="R2234" s="22"/>
      <c r="S2234" s="22"/>
      <c r="T2234" s="20"/>
      <c r="U2234" s="26"/>
      <c r="V2234" s="26"/>
      <c r="W2234" s="20"/>
      <c r="X2234" s="20"/>
      <c r="Y2234" s="20"/>
      <c r="Z2234" s="20"/>
      <c r="AA2234" s="20"/>
      <c r="AB2234" s="20"/>
      <c r="AC2234" s="20"/>
      <c r="AD2234" s="20"/>
      <c r="AE2234" s="20"/>
    </row>
    <row r="2235">
      <c r="A2235" s="21">
        <v>60.0</v>
      </c>
      <c r="B2235" s="20" t="s">
        <v>1714</v>
      </c>
      <c r="C2235" s="20" t="s">
        <v>5270</v>
      </c>
      <c r="I2235" s="25" t="s">
        <v>4493</v>
      </c>
      <c r="J2235" s="25" t="s">
        <v>4652</v>
      </c>
      <c r="K2235" s="25" t="s">
        <v>71</v>
      </c>
      <c r="L2235" s="25" t="s">
        <v>5345</v>
      </c>
      <c r="M2235" s="20" t="s">
        <v>4963</v>
      </c>
      <c r="N2235" s="20" t="s">
        <v>4964</v>
      </c>
      <c r="O2235" s="20" t="s">
        <v>63</v>
      </c>
      <c r="P2235" s="20" t="s">
        <v>52</v>
      </c>
      <c r="Q2235" s="22"/>
      <c r="R2235" s="22"/>
      <c r="S2235" s="22"/>
      <c r="T2235" s="20"/>
      <c r="U2235" s="26"/>
      <c r="V2235" s="26"/>
      <c r="W2235" s="20"/>
      <c r="X2235" s="20"/>
      <c r="Y2235" s="20"/>
      <c r="Z2235" s="20"/>
      <c r="AA2235" s="20"/>
      <c r="AB2235" s="20"/>
      <c r="AC2235" s="20"/>
      <c r="AD2235" s="20"/>
      <c r="AE2235" s="20"/>
    </row>
    <row r="2236">
      <c r="A2236" s="21">
        <v>60.0</v>
      </c>
      <c r="B2236" s="20" t="s">
        <v>1714</v>
      </c>
      <c r="C2236" s="20" t="s">
        <v>5270</v>
      </c>
      <c r="I2236" s="25" t="s">
        <v>4747</v>
      </c>
      <c r="J2236" s="25" t="s">
        <v>4643</v>
      </c>
      <c r="K2236" s="25" t="s">
        <v>71</v>
      </c>
      <c r="L2236" s="25" t="s">
        <v>5345</v>
      </c>
      <c r="M2236" s="20" t="s">
        <v>4748</v>
      </c>
      <c r="N2236" s="20" t="s">
        <v>4749</v>
      </c>
      <c r="O2236" s="20" t="s">
        <v>63</v>
      </c>
      <c r="P2236" s="20" t="s">
        <v>52</v>
      </c>
      <c r="Q2236" s="22"/>
      <c r="R2236" s="22"/>
      <c r="S2236" s="22"/>
      <c r="T2236" s="20"/>
      <c r="U2236" s="26"/>
      <c r="V2236" s="26"/>
      <c r="W2236" s="20"/>
      <c r="X2236" s="20"/>
      <c r="Y2236" s="20"/>
      <c r="Z2236" s="20"/>
      <c r="AA2236" s="20"/>
      <c r="AB2236" s="20"/>
      <c r="AC2236" s="20"/>
      <c r="AD2236" s="20"/>
      <c r="AE2236" s="20"/>
    </row>
    <row r="2237">
      <c r="A2237" s="21">
        <v>60.0</v>
      </c>
      <c r="B2237" s="20" t="s">
        <v>1714</v>
      </c>
      <c r="C2237" s="20" t="s">
        <v>5270</v>
      </c>
      <c r="I2237" s="25" t="s">
        <v>512</v>
      </c>
      <c r="J2237" s="25" t="s">
        <v>4647</v>
      </c>
      <c r="K2237" s="25" t="s">
        <v>71</v>
      </c>
      <c r="L2237" s="25" t="s">
        <v>5347</v>
      </c>
      <c r="M2237" s="20" t="s">
        <v>4672</v>
      </c>
      <c r="N2237" s="20" t="s">
        <v>4673</v>
      </c>
      <c r="O2237" s="20" t="s">
        <v>63</v>
      </c>
      <c r="P2237" s="20" t="s">
        <v>52</v>
      </c>
      <c r="Q2237" s="22"/>
      <c r="R2237" s="22"/>
      <c r="S2237" s="22"/>
      <c r="T2237" s="20"/>
      <c r="U2237" s="26"/>
      <c r="V2237" s="26"/>
      <c r="W2237" s="20"/>
      <c r="X2237" s="20"/>
      <c r="Y2237" s="20"/>
      <c r="Z2237" s="20"/>
      <c r="AA2237" s="20"/>
      <c r="AB2237" s="20"/>
      <c r="AC2237" s="20"/>
      <c r="AD2237" s="20"/>
      <c r="AE2237" s="20"/>
    </row>
    <row r="2238">
      <c r="A2238" s="21">
        <v>60.0</v>
      </c>
      <c r="B2238" s="20" t="s">
        <v>1714</v>
      </c>
      <c r="C2238" s="20" t="s">
        <v>5270</v>
      </c>
      <c r="I2238" s="25" t="s">
        <v>707</v>
      </c>
      <c r="J2238" s="25" t="s">
        <v>4641</v>
      </c>
      <c r="K2238" s="25" t="s">
        <v>71</v>
      </c>
      <c r="L2238" s="25" t="s">
        <v>5345</v>
      </c>
      <c r="M2238" s="20" t="s">
        <v>4866</v>
      </c>
      <c r="N2238" s="20" t="s">
        <v>4867</v>
      </c>
      <c r="O2238" s="20" t="s">
        <v>63</v>
      </c>
      <c r="P2238" s="20" t="s">
        <v>52</v>
      </c>
      <c r="Q2238" s="22"/>
      <c r="R2238" s="22"/>
      <c r="S2238" s="22"/>
      <c r="T2238" s="20"/>
      <c r="U2238" s="26"/>
      <c r="V2238" s="26"/>
      <c r="W2238" s="20"/>
      <c r="X2238" s="20"/>
      <c r="Y2238" s="20"/>
      <c r="Z2238" s="20"/>
      <c r="AA2238" s="20"/>
      <c r="AB2238" s="20"/>
      <c r="AC2238" s="20"/>
      <c r="AD2238" s="20"/>
      <c r="AE2238" s="20"/>
    </row>
    <row r="2239">
      <c r="A2239" s="21">
        <v>60.0</v>
      </c>
      <c r="B2239" s="20" t="s">
        <v>1714</v>
      </c>
      <c r="C2239" s="20" t="s">
        <v>5270</v>
      </c>
      <c r="I2239" s="25" t="s">
        <v>4279</v>
      </c>
      <c r="J2239" s="25" t="s">
        <v>4643</v>
      </c>
      <c r="K2239" s="25" t="s">
        <v>71</v>
      </c>
      <c r="L2239" s="25" t="s">
        <v>5345</v>
      </c>
      <c r="M2239" s="20" t="s">
        <v>4750</v>
      </c>
      <c r="N2239" s="20" t="s">
        <v>4751</v>
      </c>
      <c r="O2239" s="20" t="s">
        <v>63</v>
      </c>
      <c r="P2239" s="20" t="s">
        <v>52</v>
      </c>
      <c r="Q2239" s="22"/>
      <c r="R2239" s="22"/>
      <c r="S2239" s="22"/>
      <c r="T2239" s="20"/>
      <c r="U2239" s="26"/>
      <c r="V2239" s="26"/>
      <c r="W2239" s="20"/>
      <c r="X2239" s="20"/>
      <c r="Y2239" s="20"/>
      <c r="Z2239" s="20"/>
      <c r="AA2239" s="20"/>
      <c r="AB2239" s="20"/>
      <c r="AC2239" s="20"/>
      <c r="AD2239" s="20"/>
      <c r="AE2239" s="20"/>
    </row>
    <row r="2240">
      <c r="A2240" s="21">
        <v>60.0</v>
      </c>
      <c r="B2240" s="20" t="s">
        <v>1714</v>
      </c>
      <c r="C2240" s="20" t="s">
        <v>5270</v>
      </c>
      <c r="I2240" s="25" t="s">
        <v>2735</v>
      </c>
      <c r="J2240" s="25" t="s">
        <v>4643</v>
      </c>
      <c r="K2240" s="25" t="s">
        <v>71</v>
      </c>
      <c r="L2240" s="25" t="s">
        <v>5345</v>
      </c>
      <c r="M2240" s="20" t="s">
        <v>4752</v>
      </c>
      <c r="N2240" s="20" t="s">
        <v>4753</v>
      </c>
      <c r="O2240" s="20" t="s">
        <v>63</v>
      </c>
      <c r="P2240" s="20" t="s">
        <v>52</v>
      </c>
      <c r="Q2240" s="22"/>
      <c r="R2240" s="22"/>
      <c r="S2240" s="22"/>
      <c r="T2240" s="20"/>
      <c r="U2240" s="26"/>
      <c r="V2240" s="26"/>
      <c r="W2240" s="20"/>
      <c r="X2240" s="20"/>
      <c r="Y2240" s="20"/>
      <c r="Z2240" s="20"/>
      <c r="AA2240" s="20"/>
      <c r="AB2240" s="20"/>
      <c r="AC2240" s="20"/>
      <c r="AD2240" s="20"/>
      <c r="AE2240" s="20"/>
    </row>
    <row r="2241">
      <c r="A2241" s="21">
        <v>60.0</v>
      </c>
      <c r="B2241" s="20" t="s">
        <v>1714</v>
      </c>
      <c r="C2241" s="20" t="s">
        <v>5270</v>
      </c>
      <c r="I2241" s="25" t="s">
        <v>711</v>
      </c>
      <c r="J2241" s="25" t="s">
        <v>4643</v>
      </c>
      <c r="K2241" s="25" t="s">
        <v>71</v>
      </c>
      <c r="L2241" s="25" t="s">
        <v>5345</v>
      </c>
      <c r="M2241" s="20" t="s">
        <v>4754</v>
      </c>
      <c r="N2241" s="20" t="s">
        <v>4755</v>
      </c>
      <c r="O2241" s="20" t="s">
        <v>63</v>
      </c>
      <c r="P2241" s="20" t="s">
        <v>52</v>
      </c>
      <c r="Q2241" s="22"/>
      <c r="R2241" s="22"/>
      <c r="S2241" s="22"/>
      <c r="T2241" s="20"/>
      <c r="U2241" s="26"/>
      <c r="V2241" s="26"/>
      <c r="W2241" s="20"/>
      <c r="X2241" s="20"/>
      <c r="Y2241" s="20"/>
      <c r="Z2241" s="20"/>
      <c r="AA2241" s="20"/>
      <c r="AB2241" s="20"/>
      <c r="AC2241" s="20"/>
      <c r="AD2241" s="20"/>
      <c r="AE2241" s="20"/>
    </row>
    <row r="2242">
      <c r="A2242" s="21">
        <v>60.0</v>
      </c>
      <c r="B2242" s="20" t="s">
        <v>1714</v>
      </c>
      <c r="C2242" s="20" t="s">
        <v>5270</v>
      </c>
      <c r="I2242" s="25" t="s">
        <v>4756</v>
      </c>
      <c r="J2242" s="25" t="s">
        <v>4643</v>
      </c>
      <c r="K2242" s="25" t="s">
        <v>71</v>
      </c>
      <c r="L2242" s="25" t="s">
        <v>5345</v>
      </c>
      <c r="M2242" s="20" t="s">
        <v>4757</v>
      </c>
      <c r="N2242" s="20" t="s">
        <v>4758</v>
      </c>
      <c r="O2242" s="20" t="s">
        <v>63</v>
      </c>
      <c r="P2242" s="20" t="s">
        <v>52</v>
      </c>
      <c r="Q2242" s="22"/>
      <c r="R2242" s="22"/>
      <c r="S2242" s="22"/>
      <c r="T2242" s="20"/>
      <c r="U2242" s="26"/>
      <c r="V2242" s="26"/>
      <c r="W2242" s="20"/>
      <c r="X2242" s="20"/>
      <c r="Y2242" s="20"/>
      <c r="Z2242" s="20"/>
      <c r="AA2242" s="20"/>
      <c r="AB2242" s="20"/>
      <c r="AC2242" s="20"/>
      <c r="AD2242" s="20"/>
      <c r="AE2242" s="20"/>
    </row>
    <row r="2243">
      <c r="A2243" s="21">
        <v>60.0</v>
      </c>
      <c r="B2243" s="20" t="s">
        <v>1714</v>
      </c>
      <c r="C2243" s="20" t="s">
        <v>5270</v>
      </c>
      <c r="I2243" s="25" t="s">
        <v>2447</v>
      </c>
      <c r="J2243" s="25" t="s">
        <v>4643</v>
      </c>
      <c r="K2243" s="25" t="s">
        <v>71</v>
      </c>
      <c r="L2243" s="25" t="s">
        <v>5345</v>
      </c>
      <c r="M2243" s="20" t="s">
        <v>2448</v>
      </c>
      <c r="N2243" s="20" t="s">
        <v>4759</v>
      </c>
      <c r="O2243" s="20" t="s">
        <v>63</v>
      </c>
      <c r="P2243" s="20" t="s">
        <v>52</v>
      </c>
      <c r="Q2243" s="22"/>
      <c r="R2243" s="22"/>
      <c r="S2243" s="22"/>
      <c r="T2243" s="20"/>
      <c r="U2243" s="26"/>
      <c r="V2243" s="26"/>
      <c r="W2243" s="20"/>
      <c r="X2243" s="20"/>
      <c r="Y2243" s="20"/>
      <c r="Z2243" s="20"/>
      <c r="AA2243" s="20"/>
      <c r="AB2243" s="20"/>
      <c r="AC2243" s="20"/>
      <c r="AD2243" s="20"/>
      <c r="AE2243" s="20"/>
    </row>
    <row r="2244">
      <c r="A2244" s="21">
        <v>60.0</v>
      </c>
      <c r="B2244" s="20" t="s">
        <v>1714</v>
      </c>
      <c r="C2244" s="20" t="s">
        <v>5270</v>
      </c>
      <c r="I2244" s="25" t="s">
        <v>4868</v>
      </c>
      <c r="J2244" s="25" t="s">
        <v>4641</v>
      </c>
      <c r="K2244" s="25" t="s">
        <v>71</v>
      </c>
      <c r="L2244" s="25" t="s">
        <v>5345</v>
      </c>
      <c r="M2244" s="20" t="s">
        <v>61</v>
      </c>
      <c r="N2244" s="20" t="s">
        <v>4869</v>
      </c>
      <c r="O2244" s="20" t="s">
        <v>63</v>
      </c>
      <c r="P2244" s="20" t="s">
        <v>52</v>
      </c>
      <c r="Q2244" s="22"/>
      <c r="R2244" s="22"/>
      <c r="S2244" s="22"/>
      <c r="T2244" s="20"/>
      <c r="U2244" s="26"/>
      <c r="V2244" s="26"/>
      <c r="W2244" s="20"/>
      <c r="X2244" s="20"/>
      <c r="Y2244" s="20"/>
      <c r="Z2244" s="20"/>
      <c r="AA2244" s="20"/>
      <c r="AB2244" s="20"/>
      <c r="AC2244" s="20"/>
      <c r="AD2244" s="20"/>
      <c r="AE2244" s="20"/>
    </row>
    <row r="2245">
      <c r="A2245" s="21">
        <v>60.0</v>
      </c>
      <c r="B2245" s="20" t="s">
        <v>1714</v>
      </c>
      <c r="C2245" s="20" t="s">
        <v>5270</v>
      </c>
      <c r="I2245" s="25" t="s">
        <v>4674</v>
      </c>
      <c r="J2245" s="25" t="s">
        <v>4647</v>
      </c>
      <c r="K2245" s="25" t="s">
        <v>71</v>
      </c>
      <c r="L2245" s="25" t="s">
        <v>5351</v>
      </c>
      <c r="M2245" s="20" t="s">
        <v>4675</v>
      </c>
      <c r="N2245" s="20" t="s">
        <v>4676</v>
      </c>
      <c r="O2245" s="20" t="s">
        <v>63</v>
      </c>
      <c r="P2245" s="20" t="s">
        <v>52</v>
      </c>
      <c r="Q2245" s="22"/>
      <c r="R2245" s="22"/>
      <c r="S2245" s="22"/>
      <c r="T2245" s="20"/>
      <c r="U2245" s="26"/>
      <c r="V2245" s="26"/>
      <c r="W2245" s="20"/>
      <c r="X2245" s="20"/>
      <c r="Y2245" s="20"/>
      <c r="Z2245" s="20"/>
      <c r="AA2245" s="20"/>
      <c r="AB2245" s="20"/>
      <c r="AC2245" s="20"/>
      <c r="AD2245" s="20"/>
      <c r="AE2245" s="20"/>
    </row>
    <row r="2246">
      <c r="A2246" s="21">
        <v>60.0</v>
      </c>
      <c r="B2246" s="20" t="s">
        <v>1714</v>
      </c>
      <c r="C2246" s="20" t="s">
        <v>5270</v>
      </c>
      <c r="I2246" s="25" t="s">
        <v>2750</v>
      </c>
      <c r="J2246" s="25" t="s">
        <v>4643</v>
      </c>
      <c r="K2246" s="25" t="s">
        <v>71</v>
      </c>
      <c r="L2246" s="25" t="s">
        <v>5345</v>
      </c>
      <c r="M2246" s="20" t="s">
        <v>2751</v>
      </c>
      <c r="N2246" s="20" t="s">
        <v>2752</v>
      </c>
      <c r="O2246" s="20" t="s">
        <v>63</v>
      </c>
      <c r="P2246" s="20" t="s">
        <v>52</v>
      </c>
      <c r="Q2246" s="22"/>
      <c r="R2246" s="22"/>
      <c r="S2246" s="22"/>
      <c r="T2246" s="20"/>
      <c r="U2246" s="26"/>
      <c r="V2246" s="26"/>
      <c r="W2246" s="20"/>
      <c r="X2246" s="20"/>
      <c r="Y2246" s="20"/>
      <c r="Z2246" s="20"/>
      <c r="AA2246" s="20"/>
      <c r="AB2246" s="20"/>
      <c r="AC2246" s="20"/>
      <c r="AD2246" s="20"/>
      <c r="AE2246" s="20"/>
    </row>
    <row r="2247">
      <c r="A2247" s="21">
        <v>60.0</v>
      </c>
      <c r="B2247" s="20" t="s">
        <v>1714</v>
      </c>
      <c r="C2247" s="20" t="s">
        <v>5270</v>
      </c>
      <c r="I2247" s="25" t="s">
        <v>2680</v>
      </c>
      <c r="J2247" s="25" t="s">
        <v>4906</v>
      </c>
      <c r="K2247" s="25" t="s">
        <v>71</v>
      </c>
      <c r="L2247" s="25" t="s">
        <v>5352</v>
      </c>
      <c r="M2247" s="20" t="s">
        <v>4925</v>
      </c>
      <c r="N2247" s="20" t="s">
        <v>3524</v>
      </c>
      <c r="O2247" s="20" t="s">
        <v>63</v>
      </c>
      <c r="P2247" s="20" t="s">
        <v>52</v>
      </c>
      <c r="Q2247" s="22"/>
      <c r="R2247" s="22"/>
      <c r="S2247" s="22"/>
      <c r="T2247" s="20"/>
      <c r="U2247" s="26"/>
      <c r="V2247" s="26"/>
      <c r="W2247" s="20"/>
      <c r="X2247" s="20"/>
      <c r="Y2247" s="20"/>
      <c r="Z2247" s="20"/>
      <c r="AA2247" s="20"/>
      <c r="AB2247" s="20"/>
      <c r="AC2247" s="20"/>
      <c r="AD2247" s="20"/>
      <c r="AE2247" s="20"/>
    </row>
    <row r="2248">
      <c r="A2248" s="21">
        <v>60.0</v>
      </c>
      <c r="B2248" s="20" t="s">
        <v>1714</v>
      </c>
      <c r="C2248" s="20" t="s">
        <v>5270</v>
      </c>
      <c r="I2248" s="25" t="s">
        <v>4452</v>
      </c>
      <c r="J2248" s="25" t="s">
        <v>4643</v>
      </c>
      <c r="K2248" s="25" t="s">
        <v>71</v>
      </c>
      <c r="L2248" s="25" t="s">
        <v>5345</v>
      </c>
      <c r="M2248" s="20" t="s">
        <v>4649</v>
      </c>
      <c r="N2248" s="20" t="s">
        <v>4650</v>
      </c>
      <c r="O2248" s="20" t="s">
        <v>56</v>
      </c>
      <c r="P2248" s="20" t="s">
        <v>52</v>
      </c>
      <c r="Q2248" s="22"/>
      <c r="R2248" s="22"/>
      <c r="S2248" s="22"/>
      <c r="T2248" s="20"/>
      <c r="U2248" s="26"/>
      <c r="V2248" s="26"/>
      <c r="W2248" s="20"/>
      <c r="X2248" s="20"/>
      <c r="Y2248" s="20"/>
      <c r="Z2248" s="20"/>
      <c r="AA2248" s="20"/>
      <c r="AB2248" s="20"/>
      <c r="AC2248" s="20"/>
      <c r="AD2248" s="20"/>
      <c r="AE2248" s="20"/>
    </row>
    <row r="2249">
      <c r="A2249" s="21">
        <v>60.0</v>
      </c>
      <c r="B2249" s="20" t="s">
        <v>1714</v>
      </c>
      <c r="C2249" s="20" t="s">
        <v>5270</v>
      </c>
      <c r="I2249" s="25" t="s">
        <v>160</v>
      </c>
      <c r="J2249" s="25" t="s">
        <v>4643</v>
      </c>
      <c r="K2249" s="25" t="s">
        <v>71</v>
      </c>
      <c r="L2249" s="25" t="s">
        <v>5345</v>
      </c>
      <c r="M2249" s="20" t="s">
        <v>61</v>
      </c>
      <c r="N2249" s="20" t="s">
        <v>4760</v>
      </c>
      <c r="O2249" s="20" t="s">
        <v>63</v>
      </c>
      <c r="P2249" s="20" t="s">
        <v>52</v>
      </c>
      <c r="Q2249" s="22"/>
      <c r="R2249" s="22"/>
      <c r="S2249" s="22"/>
      <c r="T2249" s="20"/>
      <c r="U2249" s="26"/>
      <c r="V2249" s="26"/>
      <c r="W2249" s="20"/>
      <c r="X2249" s="20"/>
      <c r="Y2249" s="20"/>
      <c r="Z2249" s="20"/>
      <c r="AA2249" s="20"/>
      <c r="AB2249" s="20"/>
      <c r="AC2249" s="20"/>
      <c r="AD2249" s="20"/>
      <c r="AE2249" s="20"/>
    </row>
    <row r="2250">
      <c r="A2250" s="21">
        <v>60.0</v>
      </c>
      <c r="B2250" s="20" t="s">
        <v>1714</v>
      </c>
      <c r="C2250" s="20" t="s">
        <v>5270</v>
      </c>
      <c r="I2250" s="25" t="s">
        <v>2484</v>
      </c>
      <c r="J2250" s="25" t="s">
        <v>4647</v>
      </c>
      <c r="K2250" s="25" t="s">
        <v>71</v>
      </c>
      <c r="L2250" s="25" t="s">
        <v>5345</v>
      </c>
      <c r="M2250" s="20" t="s">
        <v>4677</v>
      </c>
      <c r="N2250" s="20" t="s">
        <v>4678</v>
      </c>
      <c r="O2250" s="20" t="s">
        <v>63</v>
      </c>
      <c r="P2250" s="20" t="s">
        <v>52</v>
      </c>
      <c r="Q2250" s="22"/>
      <c r="R2250" s="22"/>
      <c r="S2250" s="22"/>
      <c r="T2250" s="20"/>
      <c r="U2250" s="26"/>
      <c r="V2250" s="26"/>
      <c r="W2250" s="20"/>
      <c r="X2250" s="20"/>
      <c r="Y2250" s="20"/>
      <c r="Z2250" s="20"/>
      <c r="AA2250" s="20"/>
      <c r="AB2250" s="20"/>
      <c r="AC2250" s="20"/>
      <c r="AD2250" s="20"/>
      <c r="AE2250" s="20"/>
    </row>
    <row r="2251">
      <c r="A2251" s="21">
        <v>60.0</v>
      </c>
      <c r="B2251" s="20" t="s">
        <v>1714</v>
      </c>
      <c r="C2251" s="20" t="s">
        <v>5270</v>
      </c>
      <c r="I2251" s="25" t="s">
        <v>2883</v>
      </c>
      <c r="J2251" s="25" t="s">
        <v>4641</v>
      </c>
      <c r="K2251" s="25" t="s">
        <v>71</v>
      </c>
      <c r="L2251" s="25" t="s">
        <v>5345</v>
      </c>
      <c r="M2251" s="20" t="s">
        <v>4115</v>
      </c>
      <c r="N2251" s="20" t="s">
        <v>4870</v>
      </c>
      <c r="O2251" s="20" t="s">
        <v>63</v>
      </c>
      <c r="P2251" s="20" t="s">
        <v>52</v>
      </c>
      <c r="Q2251" s="22"/>
      <c r="R2251" s="22"/>
      <c r="S2251" s="22"/>
      <c r="T2251" s="20"/>
      <c r="U2251" s="26"/>
      <c r="V2251" s="26"/>
      <c r="W2251" s="20"/>
      <c r="X2251" s="20"/>
      <c r="Y2251" s="20"/>
      <c r="Z2251" s="20"/>
      <c r="AA2251" s="20"/>
      <c r="AB2251" s="20"/>
      <c r="AC2251" s="20"/>
      <c r="AD2251" s="20"/>
      <c r="AE2251" s="20"/>
    </row>
    <row r="2252">
      <c r="A2252" s="21">
        <v>60.0</v>
      </c>
      <c r="B2252" s="20" t="s">
        <v>1714</v>
      </c>
      <c r="C2252" s="20" t="s">
        <v>5270</v>
      </c>
      <c r="I2252" s="25" t="s">
        <v>2049</v>
      </c>
      <c r="J2252" s="25" t="s">
        <v>4643</v>
      </c>
      <c r="K2252" s="25" t="s">
        <v>71</v>
      </c>
      <c r="L2252" s="25" t="s">
        <v>5345</v>
      </c>
      <c r="M2252" s="20" t="s">
        <v>4761</v>
      </c>
      <c r="N2252" s="20" t="s">
        <v>4762</v>
      </c>
      <c r="O2252" s="20" t="s">
        <v>63</v>
      </c>
      <c r="P2252" s="20" t="s">
        <v>52</v>
      </c>
      <c r="Q2252" s="22"/>
      <c r="R2252" s="22"/>
      <c r="S2252" s="22"/>
      <c r="T2252" s="20"/>
      <c r="U2252" s="26"/>
      <c r="V2252" s="26"/>
      <c r="W2252" s="20"/>
      <c r="X2252" s="20"/>
      <c r="Y2252" s="20"/>
      <c r="Z2252" s="20"/>
      <c r="AA2252" s="20"/>
      <c r="AB2252" s="20"/>
      <c r="AC2252" s="20"/>
      <c r="AD2252" s="20"/>
      <c r="AE2252" s="20"/>
    </row>
    <row r="2253">
      <c r="A2253" s="21">
        <v>60.0</v>
      </c>
      <c r="B2253" s="20" t="s">
        <v>1714</v>
      </c>
      <c r="C2253" s="20" t="s">
        <v>5270</v>
      </c>
      <c r="I2253" s="25" t="s">
        <v>2753</v>
      </c>
      <c r="J2253" s="25" t="s">
        <v>4643</v>
      </c>
      <c r="K2253" s="25" t="s">
        <v>71</v>
      </c>
      <c r="L2253" s="25" t="s">
        <v>5345</v>
      </c>
      <c r="M2253" s="20" t="s">
        <v>4763</v>
      </c>
      <c r="N2253" s="20" t="s">
        <v>4764</v>
      </c>
      <c r="O2253" s="20" t="s">
        <v>63</v>
      </c>
      <c r="P2253" s="20" t="s">
        <v>52</v>
      </c>
      <c r="Q2253" s="22"/>
      <c r="R2253" s="22"/>
      <c r="S2253" s="22"/>
      <c r="T2253" s="20"/>
      <c r="U2253" s="26"/>
      <c r="V2253" s="26"/>
      <c r="W2253" s="20"/>
      <c r="X2253" s="20"/>
      <c r="Y2253" s="20"/>
      <c r="Z2253" s="20"/>
      <c r="AA2253" s="20"/>
      <c r="AB2253" s="20"/>
      <c r="AC2253" s="20"/>
      <c r="AD2253" s="20"/>
      <c r="AE2253" s="20"/>
    </row>
    <row r="2254">
      <c r="A2254" s="21">
        <v>60.0</v>
      </c>
      <c r="B2254" s="20" t="s">
        <v>1714</v>
      </c>
      <c r="C2254" s="20" t="s">
        <v>5270</v>
      </c>
      <c r="I2254" s="25" t="s">
        <v>4445</v>
      </c>
      <c r="J2254" s="25" t="s">
        <v>4643</v>
      </c>
      <c r="K2254" s="25" t="s">
        <v>71</v>
      </c>
      <c r="L2254" s="25" t="s">
        <v>5345</v>
      </c>
      <c r="M2254" s="20" t="s">
        <v>4765</v>
      </c>
      <c r="N2254" s="20" t="s">
        <v>4766</v>
      </c>
      <c r="O2254" s="20" t="s">
        <v>63</v>
      </c>
      <c r="P2254" s="20" t="s">
        <v>52</v>
      </c>
      <c r="Q2254" s="22"/>
      <c r="R2254" s="22"/>
      <c r="S2254" s="22"/>
      <c r="T2254" s="20"/>
      <c r="U2254" s="26"/>
      <c r="V2254" s="26"/>
      <c r="W2254" s="20"/>
      <c r="X2254" s="20"/>
      <c r="Y2254" s="20"/>
      <c r="Z2254" s="20"/>
      <c r="AA2254" s="20"/>
      <c r="AB2254" s="20"/>
      <c r="AC2254" s="20"/>
      <c r="AD2254" s="20"/>
      <c r="AE2254" s="20"/>
    </row>
    <row r="2255">
      <c r="A2255" s="21">
        <v>60.0</v>
      </c>
      <c r="B2255" s="20" t="s">
        <v>1714</v>
      </c>
      <c r="C2255" s="20" t="s">
        <v>5270</v>
      </c>
      <c r="I2255" s="25" t="s">
        <v>4604</v>
      </c>
      <c r="J2255" s="25" t="s">
        <v>4643</v>
      </c>
      <c r="K2255" s="25" t="s">
        <v>71</v>
      </c>
      <c r="L2255" s="25" t="s">
        <v>5345</v>
      </c>
      <c r="M2255" s="20" t="s">
        <v>61</v>
      </c>
      <c r="N2255" s="20" t="s">
        <v>4768</v>
      </c>
      <c r="O2255" s="20" t="s">
        <v>63</v>
      </c>
      <c r="P2255" s="20" t="s">
        <v>52</v>
      </c>
      <c r="Q2255" s="22"/>
      <c r="R2255" s="22"/>
      <c r="S2255" s="22"/>
      <c r="T2255" s="20"/>
      <c r="U2255" s="26"/>
      <c r="V2255" s="26"/>
      <c r="W2255" s="20"/>
      <c r="X2255" s="20"/>
      <c r="Y2255" s="20"/>
      <c r="Z2255" s="20"/>
      <c r="AA2255" s="20"/>
      <c r="AB2255" s="20"/>
      <c r="AC2255" s="20"/>
      <c r="AD2255" s="20"/>
      <c r="AE2255" s="20"/>
    </row>
    <row r="2256">
      <c r="A2256" s="21">
        <v>60.0</v>
      </c>
      <c r="B2256" s="20" t="s">
        <v>1714</v>
      </c>
      <c r="C2256" s="20" t="s">
        <v>5270</v>
      </c>
      <c r="I2256" s="25" t="s">
        <v>3733</v>
      </c>
      <c r="J2256" s="25" t="s">
        <v>4643</v>
      </c>
      <c r="K2256" s="25" t="s">
        <v>71</v>
      </c>
      <c r="L2256" s="25" t="s">
        <v>226</v>
      </c>
      <c r="M2256" s="20" t="s">
        <v>4769</v>
      </c>
      <c r="N2256" s="20" t="s">
        <v>4770</v>
      </c>
      <c r="O2256" s="20" t="s">
        <v>63</v>
      </c>
      <c r="P2256" s="20" t="s">
        <v>52</v>
      </c>
      <c r="Q2256" s="22"/>
      <c r="R2256" s="22"/>
      <c r="S2256" s="22"/>
      <c r="T2256" s="22"/>
      <c r="U2256" s="26"/>
      <c r="V2256" s="26"/>
      <c r="W2256" s="20"/>
      <c r="X2256" s="20"/>
      <c r="Y2256" s="20"/>
      <c r="Z2256" s="20"/>
      <c r="AA2256" s="20"/>
      <c r="AB2256" s="20"/>
      <c r="AC2256" s="20"/>
      <c r="AD2256" s="20"/>
      <c r="AE2256" s="20"/>
    </row>
    <row r="2257">
      <c r="A2257" s="21">
        <v>60.0</v>
      </c>
      <c r="B2257" s="20" t="s">
        <v>1714</v>
      </c>
      <c r="C2257" s="20" t="s">
        <v>5270</v>
      </c>
      <c r="I2257" s="25" t="s">
        <v>4771</v>
      </c>
      <c r="J2257" s="25" t="s">
        <v>4643</v>
      </c>
      <c r="K2257" s="25" t="s">
        <v>71</v>
      </c>
      <c r="L2257" s="25" t="s">
        <v>5345</v>
      </c>
      <c r="M2257" s="20" t="s">
        <v>4772</v>
      </c>
      <c r="N2257" s="20" t="s">
        <v>4773</v>
      </c>
      <c r="O2257" s="20" t="s">
        <v>63</v>
      </c>
      <c r="P2257" s="20" t="s">
        <v>52</v>
      </c>
      <c r="Q2257" s="22"/>
      <c r="R2257" s="22"/>
      <c r="S2257" s="22"/>
      <c r="T2257" s="20"/>
      <c r="U2257" s="26"/>
      <c r="V2257" s="26"/>
      <c r="W2257" s="20"/>
      <c r="X2257" s="20"/>
      <c r="Y2257" s="20"/>
      <c r="Z2257" s="20"/>
      <c r="AA2257" s="20"/>
      <c r="AB2257" s="20"/>
      <c r="AC2257" s="20"/>
      <c r="AD2257" s="20"/>
      <c r="AE2257" s="20"/>
    </row>
    <row r="2258">
      <c r="A2258" s="21">
        <v>60.0</v>
      </c>
      <c r="B2258" s="20" t="s">
        <v>1714</v>
      </c>
      <c r="C2258" s="20" t="s">
        <v>5270</v>
      </c>
      <c r="I2258" s="25" t="s">
        <v>1293</v>
      </c>
      <c r="J2258" s="25" t="s">
        <v>4643</v>
      </c>
      <c r="K2258" s="25" t="s">
        <v>71</v>
      </c>
      <c r="L2258" s="25" t="s">
        <v>5345</v>
      </c>
      <c r="M2258" s="20" t="s">
        <v>61</v>
      </c>
      <c r="N2258" s="20" t="s">
        <v>4774</v>
      </c>
      <c r="O2258" s="20" t="s">
        <v>63</v>
      </c>
      <c r="P2258" s="20" t="s">
        <v>52</v>
      </c>
      <c r="Q2258" s="22"/>
      <c r="R2258" s="22"/>
      <c r="S2258" s="22"/>
      <c r="T2258" s="20"/>
      <c r="U2258" s="26"/>
      <c r="V2258" s="26"/>
      <c r="W2258" s="20"/>
      <c r="X2258" s="20"/>
      <c r="Y2258" s="20"/>
      <c r="Z2258" s="20"/>
      <c r="AA2258" s="20"/>
      <c r="AB2258" s="20"/>
      <c r="AC2258" s="20"/>
      <c r="AD2258" s="20"/>
      <c r="AE2258" s="20"/>
    </row>
    <row r="2259">
      <c r="A2259" s="21">
        <v>60.0</v>
      </c>
      <c r="B2259" s="20" t="s">
        <v>1714</v>
      </c>
      <c r="C2259" s="20" t="s">
        <v>5270</v>
      </c>
      <c r="I2259" s="25" t="s">
        <v>91</v>
      </c>
      <c r="J2259" s="25" t="s">
        <v>4641</v>
      </c>
      <c r="K2259" s="25" t="s">
        <v>71</v>
      </c>
      <c r="L2259" s="25" t="s">
        <v>5345</v>
      </c>
      <c r="M2259" s="20" t="s">
        <v>92</v>
      </c>
      <c r="N2259" s="20" t="s">
        <v>93</v>
      </c>
      <c r="O2259" s="20" t="s">
        <v>63</v>
      </c>
      <c r="P2259" s="20" t="s">
        <v>52</v>
      </c>
      <c r="Q2259" s="22"/>
      <c r="R2259" s="22"/>
      <c r="S2259" s="22"/>
      <c r="T2259" s="20"/>
      <c r="U2259" s="26"/>
      <c r="V2259" s="26"/>
      <c r="W2259" s="20"/>
      <c r="X2259" s="20"/>
      <c r="Y2259" s="20"/>
      <c r="Z2259" s="20"/>
      <c r="AA2259" s="20"/>
      <c r="AB2259" s="20"/>
      <c r="AC2259" s="20"/>
      <c r="AD2259" s="20"/>
      <c r="AE2259" s="20"/>
    </row>
    <row r="2260">
      <c r="A2260" s="21">
        <v>60.0</v>
      </c>
      <c r="B2260" s="20" t="s">
        <v>1714</v>
      </c>
      <c r="C2260" s="20" t="s">
        <v>5270</v>
      </c>
      <c r="I2260" s="25" t="s">
        <v>1729</v>
      </c>
      <c r="J2260" s="25" t="s">
        <v>4643</v>
      </c>
      <c r="K2260" s="25" t="s">
        <v>71</v>
      </c>
      <c r="L2260" s="25" t="s">
        <v>5345</v>
      </c>
      <c r="M2260" s="20" t="s">
        <v>1730</v>
      </c>
      <c r="N2260" s="20" t="s">
        <v>4038</v>
      </c>
      <c r="O2260" s="20" t="s">
        <v>63</v>
      </c>
      <c r="P2260" s="20" t="s">
        <v>52</v>
      </c>
      <c r="Q2260" s="22"/>
      <c r="R2260" s="22"/>
      <c r="S2260" s="22"/>
      <c r="T2260" s="20"/>
      <c r="U2260" s="26"/>
      <c r="V2260" s="26"/>
      <c r="W2260" s="20"/>
      <c r="X2260" s="20"/>
      <c r="Y2260" s="20"/>
      <c r="Z2260" s="20"/>
      <c r="AA2260" s="20"/>
      <c r="AB2260" s="20"/>
      <c r="AC2260" s="20"/>
      <c r="AD2260" s="20"/>
      <c r="AE2260" s="20"/>
    </row>
    <row r="2261">
      <c r="A2261" s="21">
        <v>60.0</v>
      </c>
      <c r="B2261" s="20" t="s">
        <v>1714</v>
      </c>
      <c r="C2261" s="20" t="s">
        <v>5270</v>
      </c>
      <c r="I2261" s="25" t="s">
        <v>78</v>
      </c>
      <c r="J2261" s="25" t="s">
        <v>4643</v>
      </c>
      <c r="K2261" s="25" t="s">
        <v>71</v>
      </c>
      <c r="L2261" s="25" t="s">
        <v>5345</v>
      </c>
      <c r="M2261" s="20" t="s">
        <v>4547</v>
      </c>
      <c r="N2261" s="20" t="s">
        <v>4548</v>
      </c>
      <c r="O2261" s="20" t="s">
        <v>63</v>
      </c>
      <c r="P2261" s="20" t="s">
        <v>52</v>
      </c>
      <c r="Q2261" s="22"/>
      <c r="R2261" s="22"/>
      <c r="S2261" s="22"/>
      <c r="T2261" s="20"/>
      <c r="U2261" s="26"/>
      <c r="V2261" s="26"/>
      <c r="W2261" s="20"/>
      <c r="X2261" s="20"/>
      <c r="Y2261" s="20"/>
      <c r="Z2261" s="20"/>
      <c r="AA2261" s="20"/>
      <c r="AB2261" s="20"/>
      <c r="AC2261" s="20"/>
      <c r="AD2261" s="20"/>
      <c r="AE2261" s="20"/>
    </row>
    <row r="2262">
      <c r="A2262" s="21">
        <v>60.0</v>
      </c>
      <c r="B2262" s="20" t="s">
        <v>1714</v>
      </c>
      <c r="C2262" s="20" t="s">
        <v>5270</v>
      </c>
      <c r="I2262" s="25" t="s">
        <v>50</v>
      </c>
      <c r="J2262" s="25" t="s">
        <v>4641</v>
      </c>
      <c r="K2262" s="25" t="s">
        <v>71</v>
      </c>
      <c r="L2262" s="25" t="s">
        <v>5345</v>
      </c>
      <c r="M2262" s="20" t="s">
        <v>61</v>
      </c>
      <c r="N2262" s="20" t="s">
        <v>4871</v>
      </c>
      <c r="O2262" s="20" t="s">
        <v>63</v>
      </c>
      <c r="P2262" s="20" t="s">
        <v>52</v>
      </c>
      <c r="Q2262" s="22"/>
      <c r="R2262" s="22"/>
      <c r="S2262" s="22"/>
      <c r="T2262" s="20"/>
      <c r="U2262" s="26"/>
      <c r="V2262" s="26"/>
      <c r="W2262" s="20"/>
      <c r="X2262" s="20"/>
      <c r="Y2262" s="20"/>
      <c r="Z2262" s="20"/>
      <c r="AA2262" s="20"/>
      <c r="AB2262" s="20"/>
      <c r="AC2262" s="20"/>
      <c r="AD2262" s="20"/>
      <c r="AE2262" s="20"/>
    </row>
    <row r="2263">
      <c r="A2263" s="21">
        <v>60.0</v>
      </c>
      <c r="B2263" s="20" t="s">
        <v>1714</v>
      </c>
      <c r="C2263" s="20" t="s">
        <v>5270</v>
      </c>
      <c r="I2263" s="25" t="s">
        <v>1574</v>
      </c>
      <c r="J2263" s="25" t="s">
        <v>4643</v>
      </c>
      <c r="K2263" s="25" t="s">
        <v>71</v>
      </c>
      <c r="L2263" s="25" t="s">
        <v>292</v>
      </c>
      <c r="M2263" s="20" t="s">
        <v>4775</v>
      </c>
      <c r="N2263" s="20" t="s">
        <v>4776</v>
      </c>
      <c r="O2263" s="20" t="s">
        <v>63</v>
      </c>
      <c r="P2263" s="20" t="s">
        <v>52</v>
      </c>
      <c r="Q2263" s="22"/>
      <c r="R2263" s="22"/>
      <c r="S2263" s="22"/>
      <c r="T2263" s="22"/>
      <c r="U2263" s="26"/>
      <c r="V2263" s="26"/>
      <c r="W2263" s="20"/>
      <c r="X2263" s="20"/>
      <c r="Y2263" s="20"/>
      <c r="Z2263" s="20"/>
      <c r="AA2263" s="20"/>
      <c r="AB2263" s="20"/>
      <c r="AC2263" s="20"/>
      <c r="AD2263" s="20"/>
      <c r="AE2263" s="20"/>
    </row>
    <row r="2264">
      <c r="A2264" s="21">
        <v>60.0</v>
      </c>
      <c r="B2264" s="20" t="s">
        <v>1714</v>
      </c>
      <c r="C2264" s="20" t="s">
        <v>5270</v>
      </c>
      <c r="I2264" s="25" t="s">
        <v>186</v>
      </c>
      <c r="J2264" s="25" t="s">
        <v>4643</v>
      </c>
      <c r="K2264" s="25" t="s">
        <v>71</v>
      </c>
      <c r="L2264" s="25" t="s">
        <v>5345</v>
      </c>
      <c r="M2264" s="20" t="s">
        <v>4777</v>
      </c>
      <c r="N2264" s="20" t="s">
        <v>4778</v>
      </c>
      <c r="O2264" s="20" t="s">
        <v>63</v>
      </c>
      <c r="P2264" s="20" t="s">
        <v>52</v>
      </c>
      <c r="Q2264" s="22"/>
      <c r="R2264" s="22"/>
      <c r="S2264" s="22"/>
      <c r="T2264" s="20"/>
      <c r="U2264" s="26"/>
      <c r="V2264" s="26"/>
      <c r="W2264" s="20"/>
      <c r="X2264" s="20"/>
      <c r="Y2264" s="20"/>
      <c r="Z2264" s="20"/>
      <c r="AA2264" s="20"/>
      <c r="AB2264" s="20"/>
      <c r="AC2264" s="20"/>
      <c r="AD2264" s="20"/>
      <c r="AE2264" s="20"/>
    </row>
    <row r="2265">
      <c r="A2265" s="21">
        <v>60.0</v>
      </c>
      <c r="B2265" s="20" t="s">
        <v>1714</v>
      </c>
      <c r="C2265" s="20" t="s">
        <v>5270</v>
      </c>
      <c r="I2265" s="25" t="s">
        <v>64</v>
      </c>
      <c r="J2265" s="25" t="s">
        <v>4643</v>
      </c>
      <c r="K2265" s="25" t="s">
        <v>71</v>
      </c>
      <c r="L2265" s="25" t="s">
        <v>5345</v>
      </c>
      <c r="M2265" s="20" t="s">
        <v>4779</v>
      </c>
      <c r="N2265" s="20" t="s">
        <v>4780</v>
      </c>
      <c r="O2265" s="20" t="s">
        <v>63</v>
      </c>
      <c r="P2265" s="20" t="s">
        <v>52</v>
      </c>
      <c r="Q2265" s="22"/>
      <c r="R2265" s="22"/>
      <c r="S2265" s="22"/>
      <c r="T2265" s="20"/>
      <c r="U2265" s="26"/>
      <c r="V2265" s="26"/>
      <c r="W2265" s="20"/>
      <c r="X2265" s="20"/>
      <c r="Y2265" s="20"/>
      <c r="Z2265" s="20"/>
      <c r="AA2265" s="20"/>
      <c r="AB2265" s="20"/>
      <c r="AC2265" s="20"/>
      <c r="AD2265" s="20"/>
      <c r="AE2265" s="20"/>
    </row>
    <row r="2266">
      <c r="A2266" s="21">
        <v>60.0</v>
      </c>
      <c r="B2266" s="20" t="s">
        <v>1714</v>
      </c>
      <c r="C2266" s="20" t="s">
        <v>5270</v>
      </c>
      <c r="I2266" s="25" t="s">
        <v>1119</v>
      </c>
      <c r="J2266" s="25" t="s">
        <v>4652</v>
      </c>
      <c r="K2266" s="25" t="s">
        <v>71</v>
      </c>
      <c r="L2266" s="25" t="s">
        <v>292</v>
      </c>
      <c r="M2266" s="20" t="s">
        <v>1915</v>
      </c>
      <c r="N2266" s="20" t="s">
        <v>1916</v>
      </c>
      <c r="O2266" s="20" t="s">
        <v>63</v>
      </c>
      <c r="P2266" s="20" t="s">
        <v>52</v>
      </c>
      <c r="Q2266" s="22"/>
      <c r="R2266" s="22"/>
      <c r="S2266" s="22"/>
      <c r="T2266" s="22"/>
      <c r="U2266" s="26"/>
      <c r="V2266" s="26"/>
      <c r="W2266" s="20"/>
      <c r="X2266" s="20"/>
      <c r="Y2266" s="20"/>
      <c r="Z2266" s="20"/>
      <c r="AA2266" s="20"/>
      <c r="AB2266" s="20"/>
      <c r="AC2266" s="20"/>
      <c r="AD2266" s="20"/>
      <c r="AE2266" s="20"/>
    </row>
    <row r="2267">
      <c r="A2267" s="21">
        <v>60.0</v>
      </c>
      <c r="B2267" s="20" t="s">
        <v>1714</v>
      </c>
      <c r="C2267" s="20" t="s">
        <v>5270</v>
      </c>
      <c r="I2267" s="25" t="s">
        <v>3295</v>
      </c>
      <c r="J2267" s="25" t="s">
        <v>4643</v>
      </c>
      <c r="K2267" s="25" t="s">
        <v>71</v>
      </c>
      <c r="L2267" s="25" t="s">
        <v>5345</v>
      </c>
      <c r="M2267" s="20" t="s">
        <v>61</v>
      </c>
      <c r="N2267" s="20" t="s">
        <v>4782</v>
      </c>
      <c r="O2267" s="20" t="s">
        <v>63</v>
      </c>
      <c r="P2267" s="20" t="s">
        <v>52</v>
      </c>
      <c r="Q2267" s="22"/>
      <c r="R2267" s="22"/>
      <c r="S2267" s="22"/>
      <c r="T2267" s="20"/>
      <c r="U2267" s="26"/>
      <c r="V2267" s="26"/>
      <c r="W2267" s="20"/>
      <c r="X2267" s="20"/>
      <c r="Y2267" s="20"/>
      <c r="Z2267" s="20"/>
      <c r="AA2267" s="20"/>
      <c r="AB2267" s="20"/>
      <c r="AC2267" s="20"/>
      <c r="AD2267" s="20"/>
      <c r="AE2267" s="20"/>
    </row>
    <row r="2268">
      <c r="A2268" s="21">
        <v>60.0</v>
      </c>
      <c r="B2268" s="20" t="s">
        <v>1714</v>
      </c>
      <c r="C2268" s="20" t="s">
        <v>5270</v>
      </c>
      <c r="I2268" s="25" t="s">
        <v>2585</v>
      </c>
      <c r="J2268" s="25" t="s">
        <v>4643</v>
      </c>
      <c r="K2268" s="25" t="s">
        <v>71</v>
      </c>
      <c r="L2268" s="25" t="s">
        <v>5345</v>
      </c>
      <c r="M2268" s="20" t="s">
        <v>2586</v>
      </c>
      <c r="N2268" s="20" t="s">
        <v>4784</v>
      </c>
      <c r="O2268" s="20" t="s">
        <v>63</v>
      </c>
      <c r="P2268" s="20" t="s">
        <v>52</v>
      </c>
      <c r="Q2268" s="22"/>
      <c r="R2268" s="22"/>
      <c r="S2268" s="22"/>
      <c r="T2268" s="20"/>
      <c r="U2268" s="26"/>
      <c r="V2268" s="26"/>
      <c r="W2268" s="20"/>
      <c r="X2268" s="20"/>
      <c r="Y2268" s="20"/>
      <c r="Z2268" s="20"/>
      <c r="AA2268" s="20"/>
      <c r="AB2268" s="20"/>
      <c r="AC2268" s="20"/>
      <c r="AD2268" s="20"/>
      <c r="AE2268" s="20"/>
    </row>
    <row r="2269">
      <c r="A2269" s="21">
        <v>60.0</v>
      </c>
      <c r="B2269" s="20" t="s">
        <v>1714</v>
      </c>
      <c r="C2269" s="20" t="s">
        <v>5270</v>
      </c>
      <c r="I2269" s="25" t="s">
        <v>124</v>
      </c>
      <c r="J2269" s="25" t="s">
        <v>4643</v>
      </c>
      <c r="K2269" s="25" t="s">
        <v>71</v>
      </c>
      <c r="L2269" s="25" t="s">
        <v>5345</v>
      </c>
      <c r="M2269" s="20" t="s">
        <v>3085</v>
      </c>
      <c r="N2269" s="20" t="s">
        <v>3163</v>
      </c>
      <c r="O2269" s="20" t="s">
        <v>63</v>
      </c>
      <c r="P2269" s="20" t="s">
        <v>52</v>
      </c>
      <c r="Q2269" s="22"/>
      <c r="R2269" s="22"/>
      <c r="S2269" s="22"/>
      <c r="T2269" s="20"/>
      <c r="U2269" s="26"/>
      <c r="V2269" s="26"/>
      <c r="W2269" s="20"/>
      <c r="X2269" s="20"/>
      <c r="Y2269" s="20"/>
      <c r="Z2269" s="20"/>
      <c r="AA2269" s="20"/>
      <c r="AB2269" s="20"/>
      <c r="AC2269" s="20"/>
      <c r="AD2269" s="20"/>
      <c r="AE2269" s="20"/>
    </row>
    <row r="2270">
      <c r="A2270" s="21">
        <v>60.0</v>
      </c>
      <c r="B2270" s="20" t="s">
        <v>1714</v>
      </c>
      <c r="C2270" s="20" t="s">
        <v>5270</v>
      </c>
      <c r="I2270" s="25" t="s">
        <v>201</v>
      </c>
      <c r="J2270" s="25" t="s">
        <v>4906</v>
      </c>
      <c r="K2270" s="25" t="s">
        <v>71</v>
      </c>
      <c r="L2270" s="25" t="s">
        <v>5345</v>
      </c>
      <c r="M2270" s="20" t="s">
        <v>4498</v>
      </c>
      <c r="N2270" s="20" t="s">
        <v>4927</v>
      </c>
      <c r="O2270" s="20" t="s">
        <v>63</v>
      </c>
      <c r="P2270" s="20" t="s">
        <v>52</v>
      </c>
      <c r="Q2270" s="22"/>
      <c r="R2270" s="22"/>
      <c r="S2270" s="22"/>
      <c r="T2270" s="20"/>
      <c r="U2270" s="26"/>
      <c r="V2270" s="26"/>
      <c r="W2270" s="20"/>
      <c r="X2270" s="20"/>
      <c r="Y2270" s="20"/>
      <c r="Z2270" s="20"/>
      <c r="AA2270" s="20"/>
      <c r="AB2270" s="20"/>
      <c r="AC2270" s="20"/>
      <c r="AD2270" s="20"/>
      <c r="AE2270" s="20"/>
    </row>
    <row r="2271">
      <c r="A2271" s="21">
        <v>60.0</v>
      </c>
      <c r="B2271" s="20" t="s">
        <v>1714</v>
      </c>
      <c r="C2271" s="20" t="s">
        <v>5270</v>
      </c>
      <c r="I2271" s="25" t="s">
        <v>4500</v>
      </c>
      <c r="J2271" s="25" t="s">
        <v>4643</v>
      </c>
      <c r="K2271" s="25" t="s">
        <v>71</v>
      </c>
      <c r="L2271" s="25" t="s">
        <v>5345</v>
      </c>
      <c r="M2271" s="20" t="s">
        <v>61</v>
      </c>
      <c r="N2271" s="20" t="s">
        <v>4651</v>
      </c>
      <c r="O2271" s="20" t="s">
        <v>56</v>
      </c>
      <c r="P2271" s="20" t="s">
        <v>52</v>
      </c>
      <c r="Q2271" s="22"/>
      <c r="R2271" s="22"/>
      <c r="S2271" s="22"/>
      <c r="T2271" s="20"/>
      <c r="U2271" s="26"/>
      <c r="V2271" s="26"/>
      <c r="W2271" s="20"/>
      <c r="X2271" s="20"/>
      <c r="Y2271" s="20"/>
      <c r="Z2271" s="20"/>
      <c r="AA2271" s="20"/>
      <c r="AB2271" s="20"/>
      <c r="AC2271" s="20"/>
      <c r="AD2271" s="20"/>
      <c r="AE2271" s="20"/>
    </row>
    <row r="2272">
      <c r="A2272" s="21">
        <v>60.0</v>
      </c>
      <c r="B2272" s="20" t="s">
        <v>1714</v>
      </c>
      <c r="C2272" s="20" t="s">
        <v>5270</v>
      </c>
      <c r="I2272" s="25" t="s">
        <v>212</v>
      </c>
      <c r="J2272" s="25" t="s">
        <v>4643</v>
      </c>
      <c r="K2272" s="25" t="s">
        <v>71</v>
      </c>
      <c r="L2272" s="25" t="s">
        <v>5344</v>
      </c>
      <c r="M2272" s="20" t="s">
        <v>213</v>
      </c>
      <c r="N2272" s="20" t="s">
        <v>215</v>
      </c>
      <c r="O2272" s="20" t="s">
        <v>63</v>
      </c>
      <c r="P2272" s="20" t="s">
        <v>52</v>
      </c>
      <c r="Q2272" s="22"/>
      <c r="R2272" s="22"/>
      <c r="S2272" s="22"/>
      <c r="T2272" s="20"/>
      <c r="U2272" s="26"/>
      <c r="V2272" s="26"/>
      <c r="W2272" s="20"/>
      <c r="X2272" s="20"/>
      <c r="Y2272" s="20"/>
      <c r="Z2272" s="20"/>
      <c r="AA2272" s="20"/>
      <c r="AB2272" s="20"/>
      <c r="AC2272" s="20"/>
      <c r="AD2272" s="20"/>
      <c r="AE2272" s="20"/>
    </row>
    <row r="2273">
      <c r="A2273" s="21">
        <v>60.0</v>
      </c>
      <c r="B2273" s="20" t="s">
        <v>1714</v>
      </c>
      <c r="C2273" s="20" t="s">
        <v>5270</v>
      </c>
      <c r="I2273" s="25" t="s">
        <v>140</v>
      </c>
      <c r="J2273" s="25" t="s">
        <v>4641</v>
      </c>
      <c r="K2273" s="25" t="s">
        <v>71</v>
      </c>
      <c r="L2273" s="25" t="s">
        <v>5345</v>
      </c>
      <c r="M2273" s="20" t="s">
        <v>141</v>
      </c>
      <c r="N2273" s="20" t="s">
        <v>4872</v>
      </c>
      <c r="O2273" s="20" t="s">
        <v>63</v>
      </c>
      <c r="P2273" s="20" t="s">
        <v>52</v>
      </c>
      <c r="Q2273" s="22"/>
      <c r="R2273" s="22"/>
      <c r="S2273" s="22"/>
      <c r="T2273" s="20"/>
      <c r="U2273" s="26"/>
      <c r="V2273" s="26"/>
      <c r="W2273" s="20"/>
      <c r="X2273" s="20"/>
      <c r="Y2273" s="20"/>
      <c r="Z2273" s="20"/>
      <c r="AA2273" s="20"/>
      <c r="AB2273" s="20"/>
      <c r="AC2273" s="20"/>
      <c r="AD2273" s="20"/>
      <c r="AE2273" s="20"/>
    </row>
    <row r="2274">
      <c r="A2274" s="21">
        <v>60.0</v>
      </c>
      <c r="B2274" s="20" t="s">
        <v>1714</v>
      </c>
      <c r="C2274" s="20" t="s">
        <v>5270</v>
      </c>
      <c r="I2274" s="25" t="s">
        <v>2793</v>
      </c>
      <c r="J2274" s="25" t="s">
        <v>4652</v>
      </c>
      <c r="K2274" s="25" t="s">
        <v>71</v>
      </c>
      <c r="L2274" s="25" t="s">
        <v>5363</v>
      </c>
      <c r="M2274" s="20" t="s">
        <v>4482</v>
      </c>
      <c r="N2274" s="20" t="s">
        <v>4965</v>
      </c>
      <c r="O2274" s="20" t="s">
        <v>63</v>
      </c>
      <c r="P2274" s="20" t="s">
        <v>52</v>
      </c>
      <c r="Q2274" s="22"/>
      <c r="R2274" s="22"/>
      <c r="S2274" s="22"/>
      <c r="T2274" s="20"/>
      <c r="U2274" s="26"/>
      <c r="V2274" s="26"/>
      <c r="W2274" s="20"/>
      <c r="X2274" s="20"/>
      <c r="Y2274" s="20"/>
      <c r="Z2274" s="20"/>
      <c r="AA2274" s="20"/>
      <c r="AB2274" s="20"/>
      <c r="AC2274" s="20"/>
      <c r="AD2274" s="20"/>
      <c r="AE2274" s="20"/>
    </row>
    <row r="2275">
      <c r="A2275" s="21">
        <v>60.0</v>
      </c>
      <c r="B2275" s="20" t="s">
        <v>1714</v>
      </c>
      <c r="C2275" s="20" t="s">
        <v>5270</v>
      </c>
      <c r="I2275" s="25" t="s">
        <v>1690</v>
      </c>
      <c r="J2275" s="25" t="s">
        <v>4643</v>
      </c>
      <c r="K2275" s="25" t="s">
        <v>71</v>
      </c>
      <c r="L2275" s="25" t="s">
        <v>5345</v>
      </c>
      <c r="M2275" s="20" t="s">
        <v>1691</v>
      </c>
      <c r="N2275" s="20" t="s">
        <v>4118</v>
      </c>
      <c r="O2275" s="20" t="s">
        <v>63</v>
      </c>
      <c r="P2275" s="20" t="s">
        <v>52</v>
      </c>
      <c r="Q2275" s="22"/>
      <c r="R2275" s="22"/>
      <c r="S2275" s="22"/>
      <c r="T2275" s="20"/>
      <c r="U2275" s="26"/>
      <c r="V2275" s="26"/>
      <c r="W2275" s="20"/>
      <c r="X2275" s="20"/>
      <c r="Y2275" s="20"/>
      <c r="Z2275" s="20"/>
      <c r="AA2275" s="20"/>
      <c r="AB2275" s="20"/>
      <c r="AC2275" s="20"/>
      <c r="AD2275" s="20"/>
      <c r="AE2275" s="20"/>
    </row>
    <row r="2276">
      <c r="A2276" s="21">
        <v>60.0</v>
      </c>
      <c r="B2276" s="20" t="s">
        <v>1714</v>
      </c>
      <c r="C2276" s="20" t="s">
        <v>5270</v>
      </c>
      <c r="I2276" s="25" t="s">
        <v>53</v>
      </c>
      <c r="J2276" s="25" t="s">
        <v>4643</v>
      </c>
      <c r="K2276" s="25" t="s">
        <v>71</v>
      </c>
      <c r="L2276" s="25" t="s">
        <v>5345</v>
      </c>
      <c r="M2276" s="20" t="s">
        <v>4531</v>
      </c>
      <c r="N2276" s="20" t="s">
        <v>4532</v>
      </c>
      <c r="O2276" s="20" t="s">
        <v>63</v>
      </c>
      <c r="P2276" s="20" t="s">
        <v>52</v>
      </c>
      <c r="Q2276" s="22"/>
      <c r="R2276" s="22"/>
      <c r="S2276" s="22"/>
      <c r="T2276" s="20"/>
      <c r="U2276" s="26"/>
      <c r="V2276" s="26"/>
      <c r="W2276" s="20"/>
      <c r="X2276" s="20"/>
      <c r="Y2276" s="20"/>
      <c r="Z2276" s="20"/>
      <c r="AA2276" s="20"/>
      <c r="AB2276" s="20"/>
      <c r="AC2276" s="20"/>
      <c r="AD2276" s="20"/>
      <c r="AE2276" s="20"/>
    </row>
    <row r="2277">
      <c r="A2277" s="21">
        <v>60.0</v>
      </c>
      <c r="B2277" s="20" t="s">
        <v>1714</v>
      </c>
      <c r="C2277" s="20" t="s">
        <v>5270</v>
      </c>
      <c r="I2277" s="25" t="s">
        <v>1103</v>
      </c>
      <c r="J2277" s="25" t="s">
        <v>4643</v>
      </c>
      <c r="K2277" s="25" t="s">
        <v>71</v>
      </c>
      <c r="L2277" s="25" t="s">
        <v>5345</v>
      </c>
      <c r="M2277" s="20" t="s">
        <v>4786</v>
      </c>
      <c r="N2277" s="20" t="s">
        <v>4787</v>
      </c>
      <c r="O2277" s="20" t="s">
        <v>63</v>
      </c>
      <c r="P2277" s="20" t="s">
        <v>52</v>
      </c>
      <c r="Q2277" s="22"/>
      <c r="R2277" s="22"/>
      <c r="S2277" s="22"/>
      <c r="T2277" s="20"/>
      <c r="U2277" s="26"/>
      <c r="V2277" s="26"/>
      <c r="W2277" s="20"/>
      <c r="X2277" s="20"/>
      <c r="Y2277" s="20"/>
      <c r="Z2277" s="20"/>
      <c r="AA2277" s="20"/>
      <c r="AB2277" s="20"/>
      <c r="AC2277" s="20"/>
      <c r="AD2277" s="20"/>
      <c r="AE2277" s="20"/>
    </row>
    <row r="2278">
      <c r="A2278" s="21">
        <v>60.0</v>
      </c>
      <c r="B2278" s="20" t="s">
        <v>1714</v>
      </c>
      <c r="C2278" s="20" t="s">
        <v>5270</v>
      </c>
      <c r="I2278" s="25" t="s">
        <v>104</v>
      </c>
      <c r="J2278" s="25" t="s">
        <v>4643</v>
      </c>
      <c r="K2278" s="25" t="s">
        <v>71</v>
      </c>
      <c r="L2278" s="25" t="s">
        <v>5345</v>
      </c>
      <c r="M2278" s="20" t="s">
        <v>105</v>
      </c>
      <c r="N2278" s="20" t="s">
        <v>106</v>
      </c>
      <c r="O2278" s="20" t="s">
        <v>63</v>
      </c>
      <c r="P2278" s="20" t="s">
        <v>52</v>
      </c>
      <c r="Q2278" s="22"/>
      <c r="R2278" s="22"/>
      <c r="S2278" s="22"/>
      <c r="T2278" s="20"/>
      <c r="U2278" s="26"/>
      <c r="V2278" s="26"/>
      <c r="W2278" s="20"/>
      <c r="X2278" s="20"/>
      <c r="Y2278" s="20"/>
      <c r="Z2278" s="20"/>
      <c r="AA2278" s="20"/>
      <c r="AB2278" s="20"/>
      <c r="AC2278" s="20"/>
      <c r="AD2278" s="20"/>
      <c r="AE2278" s="20"/>
    </row>
    <row r="2279">
      <c r="A2279" s="21">
        <v>60.0</v>
      </c>
      <c r="B2279" s="20" t="s">
        <v>1714</v>
      </c>
      <c r="C2279" s="20" t="s">
        <v>5270</v>
      </c>
      <c r="I2279" s="25" t="s">
        <v>2475</v>
      </c>
      <c r="J2279" s="25" t="s">
        <v>4906</v>
      </c>
      <c r="K2279" s="25" t="s">
        <v>71</v>
      </c>
      <c r="L2279" s="25" t="s">
        <v>5345</v>
      </c>
      <c r="M2279" s="20" t="s">
        <v>3223</v>
      </c>
      <c r="N2279" s="20" t="s">
        <v>4928</v>
      </c>
      <c r="O2279" s="20" t="s">
        <v>63</v>
      </c>
      <c r="P2279" s="20" t="s">
        <v>52</v>
      </c>
      <c r="Q2279" s="22"/>
      <c r="R2279" s="22"/>
      <c r="S2279" s="22"/>
      <c r="T2279" s="20"/>
      <c r="U2279" s="26"/>
      <c r="V2279" s="26"/>
      <c r="W2279" s="20"/>
      <c r="X2279" s="20"/>
      <c r="Y2279" s="20"/>
      <c r="Z2279" s="20"/>
      <c r="AA2279" s="20"/>
      <c r="AB2279" s="20"/>
      <c r="AC2279" s="20"/>
      <c r="AD2279" s="20"/>
      <c r="AE2279" s="20"/>
    </row>
    <row r="2280">
      <c r="A2280" s="21">
        <v>60.0</v>
      </c>
      <c r="B2280" s="20" t="s">
        <v>1714</v>
      </c>
      <c r="C2280" s="20" t="s">
        <v>5270</v>
      </c>
      <c r="I2280" s="25" t="s">
        <v>107</v>
      </c>
      <c r="J2280" s="25" t="s">
        <v>4641</v>
      </c>
      <c r="K2280" s="25" t="s">
        <v>71</v>
      </c>
      <c r="L2280" s="25" t="s">
        <v>5345</v>
      </c>
      <c r="M2280" s="20" t="s">
        <v>4873</v>
      </c>
      <c r="N2280" s="20" t="s">
        <v>4874</v>
      </c>
      <c r="O2280" s="20" t="s">
        <v>63</v>
      </c>
      <c r="P2280" s="20" t="s">
        <v>52</v>
      </c>
      <c r="Q2280" s="22"/>
      <c r="R2280" s="22"/>
      <c r="S2280" s="22"/>
      <c r="T2280" s="20"/>
      <c r="U2280" s="26"/>
      <c r="V2280" s="26"/>
      <c r="W2280" s="20"/>
      <c r="X2280" s="20"/>
      <c r="Y2280" s="20"/>
      <c r="Z2280" s="20"/>
      <c r="AA2280" s="20"/>
      <c r="AB2280" s="20"/>
      <c r="AC2280" s="20"/>
      <c r="AD2280" s="20"/>
      <c r="AE2280" s="20"/>
    </row>
    <row r="2281">
      <c r="A2281" s="21">
        <v>60.0</v>
      </c>
      <c r="B2281" s="20" t="s">
        <v>1714</v>
      </c>
      <c r="C2281" s="20" t="s">
        <v>5270</v>
      </c>
      <c r="I2281" s="25" t="s">
        <v>109</v>
      </c>
      <c r="J2281" s="25" t="s">
        <v>4641</v>
      </c>
      <c r="K2281" s="25" t="s">
        <v>71</v>
      </c>
      <c r="L2281" s="25" t="s">
        <v>5345</v>
      </c>
      <c r="M2281" s="20" t="s">
        <v>110</v>
      </c>
      <c r="N2281" s="20" t="s">
        <v>111</v>
      </c>
      <c r="O2281" s="20" t="s">
        <v>63</v>
      </c>
      <c r="P2281" s="20" t="s">
        <v>52</v>
      </c>
      <c r="Q2281" s="22"/>
      <c r="R2281" s="22"/>
      <c r="S2281" s="22"/>
      <c r="T2281" s="20"/>
      <c r="U2281" s="26"/>
      <c r="V2281" s="26"/>
      <c r="W2281" s="20"/>
      <c r="X2281" s="20"/>
      <c r="Y2281" s="20"/>
      <c r="Z2281" s="20"/>
      <c r="AA2281" s="20"/>
      <c r="AB2281" s="20"/>
      <c r="AC2281" s="20"/>
      <c r="AD2281" s="20"/>
      <c r="AE2281" s="20"/>
    </row>
    <row r="2282">
      <c r="A2282" s="21">
        <v>60.0</v>
      </c>
      <c r="B2282" s="20" t="s">
        <v>1714</v>
      </c>
      <c r="C2282" s="20" t="s">
        <v>5270</v>
      </c>
      <c r="I2282" s="25" t="s">
        <v>1732</v>
      </c>
      <c r="J2282" s="25" t="s">
        <v>4641</v>
      </c>
      <c r="K2282" s="25" t="s">
        <v>71</v>
      </c>
      <c r="L2282" s="25" t="s">
        <v>5345</v>
      </c>
      <c r="M2282" s="20" t="s">
        <v>1733</v>
      </c>
      <c r="N2282" s="20" t="s">
        <v>4875</v>
      </c>
      <c r="O2282" s="20" t="s">
        <v>63</v>
      </c>
      <c r="P2282" s="20" t="s">
        <v>52</v>
      </c>
      <c r="Q2282" s="22"/>
      <c r="R2282" s="22"/>
      <c r="S2282" s="22"/>
      <c r="T2282" s="20"/>
      <c r="U2282" s="26"/>
      <c r="V2282" s="26"/>
      <c r="W2282" s="20"/>
      <c r="X2282" s="20"/>
      <c r="Y2282" s="20"/>
      <c r="Z2282" s="20"/>
      <c r="AA2282" s="20"/>
      <c r="AB2282" s="20"/>
      <c r="AC2282" s="20"/>
      <c r="AD2282" s="20"/>
      <c r="AE2282" s="20"/>
    </row>
    <row r="2283">
      <c r="A2283" s="21">
        <v>60.0</v>
      </c>
      <c r="B2283" s="20" t="s">
        <v>1714</v>
      </c>
      <c r="C2283" s="20" t="s">
        <v>5270</v>
      </c>
      <c r="I2283" s="25" t="s">
        <v>94</v>
      </c>
      <c r="J2283" s="25" t="s">
        <v>4641</v>
      </c>
      <c r="K2283" s="25" t="s">
        <v>71</v>
      </c>
      <c r="L2283" s="25" t="s">
        <v>5345</v>
      </c>
      <c r="M2283" s="20" t="s">
        <v>61</v>
      </c>
      <c r="N2283" s="20" t="s">
        <v>4876</v>
      </c>
      <c r="O2283" s="20" t="s">
        <v>63</v>
      </c>
      <c r="P2283" s="20" t="s">
        <v>52</v>
      </c>
      <c r="Q2283" s="22"/>
      <c r="R2283" s="22"/>
      <c r="S2283" s="22"/>
      <c r="T2283" s="20"/>
      <c r="U2283" s="26"/>
      <c r="V2283" s="26"/>
      <c r="W2283" s="20"/>
      <c r="X2283" s="20"/>
      <c r="Y2283" s="20"/>
      <c r="Z2283" s="20"/>
      <c r="AA2283" s="20"/>
      <c r="AB2283" s="20"/>
      <c r="AC2283" s="20"/>
      <c r="AD2283" s="20"/>
      <c r="AE2283" s="20"/>
    </row>
    <row r="2284">
      <c r="A2284" s="21">
        <v>60.0</v>
      </c>
      <c r="B2284" s="20" t="s">
        <v>1714</v>
      </c>
      <c r="C2284" s="20" t="s">
        <v>5270</v>
      </c>
      <c r="I2284" s="25" t="s">
        <v>1738</v>
      </c>
      <c r="J2284" s="25" t="s">
        <v>4892</v>
      </c>
      <c r="K2284" s="25" t="s">
        <v>71</v>
      </c>
      <c r="L2284" s="25" t="s">
        <v>5345</v>
      </c>
      <c r="M2284" s="20" t="s">
        <v>61</v>
      </c>
      <c r="N2284" s="20" t="s">
        <v>4893</v>
      </c>
      <c r="O2284" s="20" t="s">
        <v>63</v>
      </c>
      <c r="P2284" s="20" t="s">
        <v>52</v>
      </c>
      <c r="Q2284" s="22"/>
      <c r="R2284" s="22"/>
      <c r="S2284" s="22"/>
      <c r="T2284" s="20"/>
      <c r="U2284" s="26"/>
      <c r="V2284" s="26"/>
      <c r="W2284" s="20"/>
      <c r="X2284" s="20"/>
      <c r="Y2284" s="20"/>
      <c r="Z2284" s="20"/>
      <c r="AA2284" s="20"/>
      <c r="AB2284" s="20"/>
      <c r="AC2284" s="20"/>
      <c r="AD2284" s="20"/>
      <c r="AE2284" s="20"/>
    </row>
    <row r="2285">
      <c r="A2285" s="21">
        <v>60.0</v>
      </c>
      <c r="B2285" s="20" t="s">
        <v>1714</v>
      </c>
      <c r="C2285" s="20" t="s">
        <v>5270</v>
      </c>
      <c r="I2285" s="25" t="s">
        <v>1356</v>
      </c>
      <c r="J2285" s="25" t="s">
        <v>4643</v>
      </c>
      <c r="K2285" s="25" t="s">
        <v>71</v>
      </c>
      <c r="L2285" s="25" t="s">
        <v>5345</v>
      </c>
      <c r="M2285" s="20" t="s">
        <v>4458</v>
      </c>
      <c r="N2285" s="20" t="s">
        <v>4788</v>
      </c>
      <c r="O2285" s="20" t="s">
        <v>63</v>
      </c>
      <c r="P2285" s="20" t="s">
        <v>52</v>
      </c>
      <c r="Q2285" s="22"/>
      <c r="R2285" s="22"/>
      <c r="S2285" s="22"/>
      <c r="T2285" s="20"/>
      <c r="U2285" s="26"/>
      <c r="V2285" s="26"/>
      <c r="W2285" s="20"/>
      <c r="X2285" s="20"/>
      <c r="Y2285" s="20"/>
      <c r="Z2285" s="20"/>
      <c r="AA2285" s="20"/>
      <c r="AB2285" s="20"/>
      <c r="AC2285" s="20"/>
      <c r="AD2285" s="20"/>
      <c r="AE2285" s="20"/>
    </row>
    <row r="2286">
      <c r="A2286" s="21">
        <v>60.0</v>
      </c>
      <c r="B2286" s="20" t="s">
        <v>1714</v>
      </c>
      <c r="C2286" s="20" t="s">
        <v>5270</v>
      </c>
      <c r="I2286" s="25" t="s">
        <v>96</v>
      </c>
      <c r="J2286" s="25" t="s">
        <v>4641</v>
      </c>
      <c r="K2286" s="25" t="s">
        <v>71</v>
      </c>
      <c r="L2286" s="25" t="s">
        <v>5345</v>
      </c>
      <c r="M2286" s="20" t="s">
        <v>4877</v>
      </c>
      <c r="N2286" s="20" t="s">
        <v>4878</v>
      </c>
      <c r="O2286" s="20" t="s">
        <v>63</v>
      </c>
      <c r="P2286" s="20" t="s">
        <v>52</v>
      </c>
      <c r="Q2286" s="22"/>
      <c r="R2286" s="22"/>
      <c r="S2286" s="22"/>
      <c r="T2286" s="20"/>
      <c r="U2286" s="26"/>
      <c r="V2286" s="26"/>
      <c r="W2286" s="20"/>
      <c r="X2286" s="20"/>
      <c r="Y2286" s="20"/>
      <c r="Z2286" s="20"/>
      <c r="AA2286" s="20"/>
      <c r="AB2286" s="20"/>
      <c r="AC2286" s="20"/>
      <c r="AD2286" s="20"/>
      <c r="AE2286" s="20"/>
    </row>
    <row r="2287">
      <c r="A2287" s="21">
        <v>60.0</v>
      </c>
      <c r="B2287" s="20" t="s">
        <v>1714</v>
      </c>
      <c r="C2287" s="20" t="s">
        <v>5270</v>
      </c>
      <c r="I2287" s="25" t="s">
        <v>457</v>
      </c>
      <c r="J2287" s="25" t="s">
        <v>4643</v>
      </c>
      <c r="K2287" s="25" t="s">
        <v>71</v>
      </c>
      <c r="L2287" s="25" t="s">
        <v>5345</v>
      </c>
      <c r="M2287" s="20" t="s">
        <v>4789</v>
      </c>
      <c r="N2287" s="20" t="s">
        <v>4790</v>
      </c>
      <c r="O2287" s="20" t="s">
        <v>63</v>
      </c>
      <c r="P2287" s="20" t="s">
        <v>52</v>
      </c>
      <c r="Q2287" s="22"/>
      <c r="R2287" s="22"/>
      <c r="S2287" s="22"/>
      <c r="T2287" s="20"/>
      <c r="U2287" s="26"/>
      <c r="V2287" s="26"/>
      <c r="W2287" s="20"/>
      <c r="X2287" s="20"/>
      <c r="Y2287" s="20"/>
      <c r="Z2287" s="20"/>
      <c r="AA2287" s="20"/>
      <c r="AB2287" s="20"/>
      <c r="AC2287" s="20"/>
      <c r="AD2287" s="20"/>
      <c r="AE2287" s="20"/>
    </row>
    <row r="2288">
      <c r="A2288" s="21">
        <v>60.0</v>
      </c>
      <c r="B2288" s="20" t="s">
        <v>1714</v>
      </c>
      <c r="C2288" s="20" t="s">
        <v>5270</v>
      </c>
      <c r="I2288" s="25" t="s">
        <v>101</v>
      </c>
      <c r="J2288" s="25" t="s">
        <v>4641</v>
      </c>
      <c r="K2288" s="25" t="s">
        <v>71</v>
      </c>
      <c r="L2288" s="25" t="s">
        <v>5345</v>
      </c>
      <c r="M2288" s="20" t="s">
        <v>3197</v>
      </c>
      <c r="N2288" s="20" t="s">
        <v>4518</v>
      </c>
      <c r="O2288" s="20" t="s">
        <v>63</v>
      </c>
      <c r="P2288" s="20" t="s">
        <v>52</v>
      </c>
      <c r="Q2288" s="22"/>
      <c r="R2288" s="22"/>
      <c r="S2288" s="22"/>
      <c r="T2288" s="20"/>
      <c r="U2288" s="26"/>
      <c r="V2288" s="26"/>
      <c r="W2288" s="20"/>
      <c r="X2288" s="20"/>
      <c r="Y2288" s="20"/>
      <c r="Z2288" s="20"/>
      <c r="AA2288" s="20"/>
      <c r="AB2288" s="20"/>
      <c r="AC2288" s="20"/>
      <c r="AD2288" s="20"/>
      <c r="AE2288" s="20"/>
    </row>
    <row r="2289">
      <c r="A2289" s="21">
        <v>60.0</v>
      </c>
      <c r="B2289" s="20" t="s">
        <v>1714</v>
      </c>
      <c r="C2289" s="20" t="s">
        <v>5270</v>
      </c>
      <c r="I2289" s="25" t="s">
        <v>68</v>
      </c>
      <c r="J2289" s="25" t="s">
        <v>4641</v>
      </c>
      <c r="K2289" s="25" t="s">
        <v>71</v>
      </c>
      <c r="L2289" s="25" t="s">
        <v>5345</v>
      </c>
      <c r="M2289" s="20" t="s">
        <v>61</v>
      </c>
      <c r="N2289" s="20" t="s">
        <v>4879</v>
      </c>
      <c r="O2289" s="20" t="s">
        <v>63</v>
      </c>
      <c r="P2289" s="20" t="s">
        <v>52</v>
      </c>
      <c r="Q2289" s="22"/>
      <c r="R2289" s="22"/>
      <c r="S2289" s="22"/>
      <c r="T2289" s="20"/>
      <c r="U2289" s="26"/>
      <c r="V2289" s="26"/>
      <c r="W2289" s="20"/>
      <c r="X2289" s="20"/>
      <c r="Y2289" s="20"/>
      <c r="Z2289" s="20"/>
      <c r="AA2289" s="20"/>
      <c r="AB2289" s="20"/>
      <c r="AC2289" s="20"/>
      <c r="AD2289" s="20"/>
      <c r="AE2289" s="20"/>
    </row>
    <row r="2290">
      <c r="A2290" s="21">
        <v>60.0</v>
      </c>
      <c r="B2290" s="20" t="s">
        <v>1714</v>
      </c>
      <c r="C2290" s="20" t="s">
        <v>5270</v>
      </c>
      <c r="I2290" s="25" t="s">
        <v>4526</v>
      </c>
      <c r="J2290" s="25" t="s">
        <v>4643</v>
      </c>
      <c r="K2290" s="25" t="s">
        <v>71</v>
      </c>
      <c r="L2290" s="25" t="s">
        <v>292</v>
      </c>
      <c r="M2290" s="20" t="s">
        <v>4527</v>
      </c>
      <c r="N2290" s="20" t="s">
        <v>4528</v>
      </c>
      <c r="O2290" s="20" t="s">
        <v>63</v>
      </c>
      <c r="P2290" s="20" t="s">
        <v>52</v>
      </c>
      <c r="Q2290" s="22"/>
      <c r="R2290" s="22"/>
      <c r="S2290" s="22"/>
      <c r="T2290" s="22"/>
      <c r="U2290" s="26"/>
      <c r="V2290" s="26"/>
      <c r="W2290" s="20"/>
      <c r="X2290" s="20"/>
      <c r="Y2290" s="20"/>
      <c r="Z2290" s="20"/>
      <c r="AA2290" s="20"/>
      <c r="AB2290" s="20"/>
      <c r="AC2290" s="20"/>
      <c r="AD2290" s="20"/>
      <c r="AE2290" s="20"/>
    </row>
    <row r="2291">
      <c r="A2291" s="21">
        <v>60.0</v>
      </c>
      <c r="B2291" s="20" t="s">
        <v>1714</v>
      </c>
      <c r="C2291" s="20" t="s">
        <v>5270</v>
      </c>
      <c r="I2291" s="25" t="s">
        <v>4679</v>
      </c>
      <c r="J2291" s="25" t="s">
        <v>4647</v>
      </c>
      <c r="K2291" s="25" t="s">
        <v>71</v>
      </c>
      <c r="L2291" s="25" t="s">
        <v>5382</v>
      </c>
      <c r="M2291" s="20" t="s">
        <v>4680</v>
      </c>
      <c r="N2291" s="20" t="s">
        <v>4681</v>
      </c>
      <c r="O2291" s="20" t="s">
        <v>63</v>
      </c>
      <c r="P2291" s="20" t="s">
        <v>52</v>
      </c>
      <c r="Q2291" s="22"/>
      <c r="R2291" s="22"/>
      <c r="S2291" s="22"/>
      <c r="T2291" s="20"/>
      <c r="U2291" s="26"/>
      <c r="V2291" s="26"/>
      <c r="W2291" s="20"/>
      <c r="X2291" s="20"/>
      <c r="Y2291" s="20"/>
      <c r="Z2291" s="20"/>
      <c r="AA2291" s="20"/>
      <c r="AB2291" s="20"/>
      <c r="AC2291" s="20"/>
      <c r="AD2291" s="20"/>
      <c r="AE2291" s="20"/>
    </row>
    <row r="2292">
      <c r="A2292" s="21">
        <v>60.0</v>
      </c>
      <c r="B2292" s="20" t="s">
        <v>1714</v>
      </c>
      <c r="C2292" s="20" t="s">
        <v>5270</v>
      </c>
      <c r="I2292" s="25" t="s">
        <v>1290</v>
      </c>
      <c r="J2292" s="25" t="s">
        <v>4647</v>
      </c>
      <c r="K2292" s="25" t="s">
        <v>71</v>
      </c>
      <c r="L2292" s="25" t="s">
        <v>5382</v>
      </c>
      <c r="M2292" s="20" t="s">
        <v>4682</v>
      </c>
      <c r="N2292" s="20" t="s">
        <v>4683</v>
      </c>
      <c r="O2292" s="20" t="s">
        <v>63</v>
      </c>
      <c r="P2292" s="20" t="s">
        <v>52</v>
      </c>
      <c r="Q2292" s="22"/>
      <c r="R2292" s="22"/>
      <c r="S2292" s="22"/>
      <c r="T2292" s="20"/>
      <c r="U2292" s="26"/>
      <c r="V2292" s="26"/>
      <c r="W2292" s="20"/>
      <c r="X2292" s="20"/>
      <c r="Y2292" s="20"/>
      <c r="Z2292" s="20"/>
      <c r="AA2292" s="20"/>
      <c r="AB2292" s="20"/>
      <c r="AC2292" s="20"/>
      <c r="AD2292" s="20"/>
      <c r="AE2292" s="20"/>
    </row>
    <row r="2293">
      <c r="A2293" s="21">
        <v>60.0</v>
      </c>
      <c r="B2293" s="20" t="s">
        <v>1714</v>
      </c>
      <c r="C2293" s="20" t="s">
        <v>5270</v>
      </c>
      <c r="I2293" s="25" t="s">
        <v>444</v>
      </c>
      <c r="J2293" s="25" t="s">
        <v>4643</v>
      </c>
      <c r="K2293" s="25" t="s">
        <v>71</v>
      </c>
      <c r="L2293" s="25" t="s">
        <v>292</v>
      </c>
      <c r="M2293" s="20" t="s">
        <v>4503</v>
      </c>
      <c r="N2293" s="20" t="s">
        <v>4791</v>
      </c>
      <c r="O2293" s="20" t="s">
        <v>63</v>
      </c>
      <c r="P2293" s="20" t="s">
        <v>52</v>
      </c>
      <c r="Q2293" s="22"/>
      <c r="R2293" s="22"/>
      <c r="S2293" s="22"/>
      <c r="T2293" s="22"/>
      <c r="U2293" s="26"/>
      <c r="V2293" s="26"/>
      <c r="W2293" s="20"/>
      <c r="X2293" s="20"/>
      <c r="Y2293" s="20"/>
      <c r="Z2293" s="20"/>
      <c r="AA2293" s="20"/>
      <c r="AB2293" s="20"/>
      <c r="AC2293" s="20"/>
      <c r="AD2293" s="20"/>
      <c r="AE2293" s="20"/>
    </row>
    <row r="2294">
      <c r="A2294" s="21">
        <v>60.0</v>
      </c>
      <c r="B2294" s="20" t="s">
        <v>1714</v>
      </c>
      <c r="C2294" s="20" t="s">
        <v>5270</v>
      </c>
      <c r="I2294" s="25" t="s">
        <v>115</v>
      </c>
      <c r="J2294" s="25" t="s">
        <v>4643</v>
      </c>
      <c r="K2294" s="25" t="s">
        <v>71</v>
      </c>
      <c r="L2294" s="25" t="s">
        <v>292</v>
      </c>
      <c r="M2294" s="20" t="s">
        <v>4792</v>
      </c>
      <c r="N2294" s="20" t="s">
        <v>4793</v>
      </c>
      <c r="O2294" s="20" t="s">
        <v>63</v>
      </c>
      <c r="P2294" s="20" t="s">
        <v>52</v>
      </c>
      <c r="Q2294" s="22"/>
      <c r="R2294" s="22"/>
      <c r="S2294" s="22"/>
      <c r="T2294" s="22"/>
      <c r="U2294" s="26"/>
      <c r="V2294" s="26"/>
      <c r="W2294" s="20"/>
      <c r="X2294" s="20"/>
      <c r="Y2294" s="20"/>
      <c r="Z2294" s="20"/>
      <c r="AA2294" s="20"/>
      <c r="AB2294" s="20"/>
      <c r="AC2294" s="20"/>
      <c r="AD2294" s="20"/>
      <c r="AE2294" s="20"/>
    </row>
    <row r="2295">
      <c r="A2295" s="21">
        <v>60.0</v>
      </c>
      <c r="B2295" s="20" t="s">
        <v>1714</v>
      </c>
      <c r="C2295" s="20" t="s">
        <v>5270</v>
      </c>
      <c r="I2295" s="25" t="s">
        <v>2957</v>
      </c>
      <c r="J2295" s="25" t="s">
        <v>4643</v>
      </c>
      <c r="K2295" s="25" t="s">
        <v>71</v>
      </c>
      <c r="L2295" s="25" t="s">
        <v>226</v>
      </c>
      <c r="M2295" s="20" t="s">
        <v>4794</v>
      </c>
      <c r="N2295" s="20" t="s">
        <v>4795</v>
      </c>
      <c r="O2295" s="20" t="s">
        <v>63</v>
      </c>
      <c r="P2295" s="20" t="s">
        <v>52</v>
      </c>
      <c r="Q2295" s="22"/>
      <c r="R2295" s="22"/>
      <c r="S2295" s="22"/>
      <c r="T2295" s="22"/>
      <c r="U2295" s="26"/>
      <c r="V2295" s="26"/>
      <c r="W2295" s="20"/>
      <c r="X2295" s="20"/>
      <c r="Y2295" s="20"/>
      <c r="Z2295" s="20"/>
      <c r="AA2295" s="20"/>
      <c r="AB2295" s="20"/>
      <c r="AC2295" s="20"/>
      <c r="AD2295" s="20"/>
      <c r="AE2295" s="20"/>
    </row>
    <row r="2296">
      <c r="A2296" s="21">
        <v>60.0</v>
      </c>
      <c r="B2296" s="20" t="s">
        <v>1714</v>
      </c>
      <c r="C2296" s="20" t="s">
        <v>5270</v>
      </c>
      <c r="I2296" s="25" t="s">
        <v>1997</v>
      </c>
      <c r="J2296" s="25" t="s">
        <v>4643</v>
      </c>
      <c r="K2296" s="25" t="s">
        <v>71</v>
      </c>
      <c r="L2296" s="25" t="s">
        <v>292</v>
      </c>
      <c r="M2296" s="20" t="s">
        <v>4523</v>
      </c>
      <c r="N2296" s="20" t="s">
        <v>4524</v>
      </c>
      <c r="O2296" s="20" t="s">
        <v>63</v>
      </c>
      <c r="P2296" s="20" t="s">
        <v>52</v>
      </c>
      <c r="Q2296" s="22"/>
      <c r="R2296" s="22"/>
      <c r="S2296" s="22"/>
      <c r="T2296" s="22"/>
      <c r="U2296" s="26"/>
      <c r="V2296" s="26"/>
      <c r="W2296" s="20"/>
      <c r="X2296" s="20"/>
      <c r="Y2296" s="20"/>
      <c r="Z2296" s="20"/>
      <c r="AA2296" s="20"/>
      <c r="AB2296" s="20"/>
      <c r="AC2296" s="20"/>
      <c r="AD2296" s="20"/>
      <c r="AE2296" s="20"/>
    </row>
    <row r="2297">
      <c r="A2297" s="21">
        <v>60.0</v>
      </c>
      <c r="B2297" s="20" t="s">
        <v>1714</v>
      </c>
      <c r="C2297" s="20" t="s">
        <v>5270</v>
      </c>
      <c r="I2297" s="25" t="s">
        <v>1826</v>
      </c>
      <c r="J2297" s="25" t="s">
        <v>4647</v>
      </c>
      <c r="K2297" s="25" t="s">
        <v>71</v>
      </c>
      <c r="L2297" s="25" t="s">
        <v>5382</v>
      </c>
      <c r="M2297" s="20" t="s">
        <v>4684</v>
      </c>
      <c r="N2297" s="20" t="s">
        <v>4685</v>
      </c>
      <c r="O2297" s="20" t="s">
        <v>63</v>
      </c>
      <c r="P2297" s="20" t="s">
        <v>52</v>
      </c>
      <c r="Q2297" s="22"/>
      <c r="R2297" s="22"/>
      <c r="S2297" s="22"/>
      <c r="T2297" s="20"/>
      <c r="U2297" s="26"/>
      <c r="V2297" s="26"/>
      <c r="W2297" s="20"/>
      <c r="X2297" s="20"/>
      <c r="Y2297" s="20"/>
      <c r="Z2297" s="20"/>
      <c r="AA2297" s="20"/>
      <c r="AB2297" s="20"/>
      <c r="AC2297" s="20"/>
      <c r="AD2297" s="20"/>
      <c r="AE2297" s="20"/>
    </row>
    <row r="2298">
      <c r="A2298" s="21">
        <v>60.0</v>
      </c>
      <c r="B2298" s="20" t="s">
        <v>1714</v>
      </c>
      <c r="C2298" s="20" t="s">
        <v>5270</v>
      </c>
      <c r="I2298" s="25" t="s">
        <v>3598</v>
      </c>
      <c r="J2298" s="25" t="s">
        <v>4652</v>
      </c>
      <c r="K2298" s="25" t="s">
        <v>71</v>
      </c>
      <c r="L2298" s="25" t="s">
        <v>292</v>
      </c>
      <c r="M2298" s="20" t="s">
        <v>3599</v>
      </c>
      <c r="N2298" s="20" t="s">
        <v>3986</v>
      </c>
      <c r="O2298" s="20" t="s">
        <v>63</v>
      </c>
      <c r="P2298" s="20" t="s">
        <v>52</v>
      </c>
      <c r="Q2298" s="22"/>
      <c r="R2298" s="22"/>
      <c r="S2298" s="22"/>
      <c r="T2298" s="22"/>
      <c r="U2298" s="26"/>
      <c r="V2298" s="26"/>
      <c r="W2298" s="20"/>
      <c r="X2298" s="20"/>
      <c r="Y2298" s="20"/>
      <c r="Z2298" s="20"/>
      <c r="AA2298" s="20"/>
      <c r="AB2298" s="20"/>
      <c r="AC2298" s="20"/>
      <c r="AD2298" s="20"/>
      <c r="AE2298" s="20"/>
    </row>
    <row r="2299">
      <c r="A2299" s="21">
        <v>60.0</v>
      </c>
      <c r="B2299" s="20" t="s">
        <v>1714</v>
      </c>
      <c r="C2299" s="20" t="s">
        <v>5270</v>
      </c>
      <c r="I2299" s="25" t="s">
        <v>3022</v>
      </c>
      <c r="J2299" s="25" t="s">
        <v>4643</v>
      </c>
      <c r="K2299" s="25" t="s">
        <v>71</v>
      </c>
      <c r="L2299" s="25" t="s">
        <v>292</v>
      </c>
      <c r="M2299" s="20" t="s">
        <v>3023</v>
      </c>
      <c r="N2299" s="20" t="s">
        <v>4797</v>
      </c>
      <c r="O2299" s="20" t="s">
        <v>63</v>
      </c>
      <c r="P2299" s="20" t="s">
        <v>52</v>
      </c>
      <c r="Q2299" s="22"/>
      <c r="R2299" s="22"/>
      <c r="S2299" s="22"/>
      <c r="T2299" s="22"/>
      <c r="U2299" s="26"/>
      <c r="V2299" s="26"/>
      <c r="W2299" s="20"/>
      <c r="X2299" s="20"/>
      <c r="Y2299" s="20"/>
      <c r="Z2299" s="20"/>
      <c r="AA2299" s="20"/>
      <c r="AB2299" s="20"/>
      <c r="AC2299" s="20"/>
      <c r="AD2299" s="20"/>
      <c r="AE2299" s="20"/>
    </row>
    <row r="2300">
      <c r="A2300" s="21">
        <v>60.0</v>
      </c>
      <c r="B2300" s="20" t="s">
        <v>1714</v>
      </c>
      <c r="C2300" s="20" t="s">
        <v>5270</v>
      </c>
      <c r="I2300" s="25" t="s">
        <v>4034</v>
      </c>
      <c r="J2300" s="25" t="s">
        <v>4647</v>
      </c>
      <c r="K2300" s="25" t="s">
        <v>71</v>
      </c>
      <c r="L2300" s="25" t="s">
        <v>5382</v>
      </c>
      <c r="M2300" s="20" t="s">
        <v>4665</v>
      </c>
      <c r="N2300" s="20" t="s">
        <v>4666</v>
      </c>
      <c r="O2300" s="20" t="s">
        <v>63</v>
      </c>
      <c r="P2300" s="20" t="s">
        <v>52</v>
      </c>
      <c r="Q2300" s="22"/>
      <c r="R2300" s="22"/>
      <c r="S2300" s="22"/>
      <c r="T2300" s="20"/>
      <c r="U2300" s="26"/>
      <c r="V2300" s="26"/>
      <c r="W2300" s="20"/>
      <c r="X2300" s="20"/>
      <c r="Y2300" s="20"/>
      <c r="Z2300" s="20"/>
      <c r="AA2300" s="20"/>
      <c r="AB2300" s="20"/>
      <c r="AC2300" s="20"/>
      <c r="AD2300" s="20"/>
      <c r="AE2300" s="20"/>
    </row>
    <row r="2301">
      <c r="A2301" s="21">
        <v>60.0</v>
      </c>
      <c r="B2301" s="20" t="s">
        <v>1714</v>
      </c>
      <c r="C2301" s="20" t="s">
        <v>5270</v>
      </c>
      <c r="I2301" s="25" t="s">
        <v>1335</v>
      </c>
      <c r="J2301" s="25" t="s">
        <v>4643</v>
      </c>
      <c r="K2301" s="25" t="s">
        <v>71</v>
      </c>
      <c r="L2301" s="25" t="s">
        <v>5396</v>
      </c>
      <c r="M2301" s="20" t="s">
        <v>4798</v>
      </c>
      <c r="N2301" s="20" t="s">
        <v>4799</v>
      </c>
      <c r="O2301" s="20" t="s">
        <v>63</v>
      </c>
      <c r="P2301" s="20" t="s">
        <v>52</v>
      </c>
      <c r="Q2301" s="22"/>
      <c r="R2301" s="22"/>
      <c r="S2301" s="22"/>
      <c r="T2301" s="20"/>
      <c r="U2301" s="26"/>
      <c r="V2301" s="26"/>
      <c r="W2301" s="20"/>
      <c r="X2301" s="20"/>
      <c r="Y2301" s="20"/>
      <c r="Z2301" s="20"/>
      <c r="AA2301" s="20"/>
      <c r="AB2301" s="20"/>
      <c r="AC2301" s="20"/>
      <c r="AD2301" s="20"/>
      <c r="AE2301" s="20"/>
    </row>
    <row r="2302">
      <c r="A2302" s="21">
        <v>60.0</v>
      </c>
      <c r="B2302" s="20" t="s">
        <v>1714</v>
      </c>
      <c r="C2302" s="20" t="s">
        <v>5270</v>
      </c>
      <c r="I2302" s="25" t="s">
        <v>4800</v>
      </c>
      <c r="J2302" s="25" t="s">
        <v>4643</v>
      </c>
      <c r="K2302" s="25" t="s">
        <v>71</v>
      </c>
      <c r="L2302" s="25" t="s">
        <v>5400</v>
      </c>
      <c r="M2302" s="20" t="s">
        <v>4801</v>
      </c>
      <c r="N2302" s="20" t="s">
        <v>4802</v>
      </c>
      <c r="O2302" s="20" t="s">
        <v>63</v>
      </c>
      <c r="P2302" s="20" t="s">
        <v>52</v>
      </c>
      <c r="Q2302" s="22"/>
      <c r="R2302" s="22"/>
      <c r="S2302" s="22"/>
      <c r="T2302" s="20"/>
      <c r="U2302" s="26"/>
      <c r="V2302" s="26"/>
      <c r="W2302" s="20"/>
      <c r="X2302" s="20"/>
      <c r="Y2302" s="20"/>
      <c r="Z2302" s="20"/>
      <c r="AA2302" s="20"/>
      <c r="AB2302" s="20"/>
      <c r="AC2302" s="20"/>
      <c r="AD2302" s="20"/>
      <c r="AE2302" s="20"/>
    </row>
    <row r="2303">
      <c r="A2303" s="21">
        <v>60.0</v>
      </c>
      <c r="B2303" s="20" t="s">
        <v>1714</v>
      </c>
      <c r="C2303" s="20" t="s">
        <v>5270</v>
      </c>
      <c r="I2303" s="25" t="s">
        <v>4929</v>
      </c>
      <c r="J2303" s="25" t="s">
        <v>4906</v>
      </c>
      <c r="K2303" s="25" t="s">
        <v>71</v>
      </c>
      <c r="L2303" s="25" t="s">
        <v>5382</v>
      </c>
      <c r="M2303" s="20" t="s">
        <v>4930</v>
      </c>
      <c r="N2303" s="20" t="s">
        <v>4931</v>
      </c>
      <c r="O2303" s="20" t="s">
        <v>63</v>
      </c>
      <c r="P2303" s="20" t="s">
        <v>52</v>
      </c>
      <c r="Q2303" s="22"/>
      <c r="R2303" s="22"/>
      <c r="S2303" s="22"/>
      <c r="T2303" s="26"/>
      <c r="U2303" s="26"/>
      <c r="V2303" s="26"/>
      <c r="W2303" s="20"/>
      <c r="X2303" s="20"/>
      <c r="Y2303" s="20"/>
      <c r="Z2303" s="20"/>
      <c r="AA2303" s="20"/>
      <c r="AB2303" s="20"/>
      <c r="AC2303" s="20"/>
      <c r="AD2303" s="20"/>
      <c r="AE2303" s="20"/>
    </row>
    <row r="2304">
      <c r="A2304" s="21">
        <v>60.0</v>
      </c>
      <c r="B2304" s="20" t="s">
        <v>1714</v>
      </c>
      <c r="C2304" s="20" t="s">
        <v>5270</v>
      </c>
      <c r="I2304" s="25" t="s">
        <v>1376</v>
      </c>
      <c r="J2304" s="25" t="s">
        <v>4647</v>
      </c>
      <c r="K2304" s="25" t="s">
        <v>71</v>
      </c>
      <c r="L2304" s="25" t="s">
        <v>5382</v>
      </c>
      <c r="M2304" s="20" t="s">
        <v>4686</v>
      </c>
      <c r="N2304" s="20" t="s">
        <v>4687</v>
      </c>
      <c r="O2304" s="20" t="s">
        <v>63</v>
      </c>
      <c r="P2304" s="20" t="s">
        <v>52</v>
      </c>
      <c r="Q2304" s="22"/>
      <c r="R2304" s="22"/>
      <c r="S2304" s="22"/>
      <c r="T2304" s="26"/>
      <c r="U2304" s="26"/>
      <c r="V2304" s="26"/>
      <c r="W2304" s="20"/>
      <c r="X2304" s="20"/>
      <c r="Y2304" s="20"/>
      <c r="Z2304" s="20"/>
      <c r="AA2304" s="20"/>
      <c r="AB2304" s="20"/>
      <c r="AC2304" s="20"/>
      <c r="AD2304" s="20"/>
      <c r="AE2304" s="20"/>
    </row>
    <row r="2305">
      <c r="A2305" s="21">
        <v>60.0</v>
      </c>
      <c r="B2305" s="20" t="s">
        <v>1714</v>
      </c>
      <c r="C2305" s="20" t="s">
        <v>5270</v>
      </c>
      <c r="I2305" s="25" t="s">
        <v>2523</v>
      </c>
      <c r="J2305" s="25" t="s">
        <v>4643</v>
      </c>
      <c r="K2305" s="25" t="s">
        <v>71</v>
      </c>
      <c r="L2305" s="25" t="s">
        <v>292</v>
      </c>
      <c r="M2305" s="20" t="s">
        <v>4803</v>
      </c>
      <c r="N2305" s="20" t="s">
        <v>4804</v>
      </c>
      <c r="O2305" s="20" t="s">
        <v>63</v>
      </c>
      <c r="P2305" s="20" t="s">
        <v>52</v>
      </c>
      <c r="Q2305" s="22"/>
      <c r="R2305" s="22"/>
      <c r="S2305" s="22"/>
      <c r="T2305" s="22"/>
      <c r="U2305" s="26"/>
      <c r="V2305" s="26"/>
      <c r="W2305" s="20"/>
      <c r="X2305" s="20"/>
      <c r="Y2305" s="20"/>
      <c r="Z2305" s="20"/>
      <c r="AA2305" s="20"/>
      <c r="AB2305" s="20"/>
      <c r="AC2305" s="20"/>
      <c r="AD2305" s="20"/>
      <c r="AE2305" s="20"/>
    </row>
    <row r="2306">
      <c r="A2306" s="21">
        <v>60.0</v>
      </c>
      <c r="B2306" s="20" t="s">
        <v>1714</v>
      </c>
      <c r="C2306" s="20" t="s">
        <v>5270</v>
      </c>
      <c r="I2306" s="25" t="s">
        <v>4966</v>
      </c>
      <c r="J2306" s="25" t="s">
        <v>4652</v>
      </c>
      <c r="K2306" s="25" t="s">
        <v>71</v>
      </c>
      <c r="L2306" s="25" t="s">
        <v>5382</v>
      </c>
      <c r="M2306" s="20" t="s">
        <v>3069</v>
      </c>
      <c r="N2306" s="20" t="s">
        <v>4967</v>
      </c>
      <c r="O2306" s="20" t="s">
        <v>63</v>
      </c>
      <c r="P2306" s="20" t="s">
        <v>52</v>
      </c>
      <c r="Q2306" s="22"/>
      <c r="R2306" s="22"/>
      <c r="S2306" s="22"/>
      <c r="T2306" s="26"/>
      <c r="U2306" s="26"/>
      <c r="V2306" s="26"/>
      <c r="W2306" s="20"/>
      <c r="X2306" s="20"/>
      <c r="Y2306" s="20"/>
      <c r="Z2306" s="20"/>
      <c r="AA2306" s="20"/>
      <c r="AB2306" s="20"/>
      <c r="AC2306" s="20"/>
      <c r="AD2306" s="20"/>
      <c r="AE2306" s="20"/>
    </row>
    <row r="2307">
      <c r="A2307" s="21">
        <v>60.0</v>
      </c>
      <c r="B2307" s="20" t="s">
        <v>1714</v>
      </c>
      <c r="C2307" s="20" t="s">
        <v>5270</v>
      </c>
      <c r="I2307" s="25" t="s">
        <v>4688</v>
      </c>
      <c r="J2307" s="25" t="s">
        <v>4647</v>
      </c>
      <c r="K2307" s="25" t="s">
        <v>71</v>
      </c>
      <c r="L2307" s="25" t="s">
        <v>5382</v>
      </c>
      <c r="M2307" s="20" t="s">
        <v>4689</v>
      </c>
      <c r="N2307" s="20" t="s">
        <v>4690</v>
      </c>
      <c r="O2307" s="20" t="s">
        <v>63</v>
      </c>
      <c r="P2307" s="20" t="s">
        <v>52</v>
      </c>
      <c r="Q2307" s="22"/>
      <c r="R2307" s="22"/>
      <c r="S2307" s="22"/>
      <c r="T2307" s="26"/>
      <c r="U2307" s="26"/>
      <c r="V2307" s="26"/>
      <c r="W2307" s="20"/>
      <c r="X2307" s="20"/>
      <c r="Y2307" s="20"/>
      <c r="Z2307" s="20"/>
      <c r="AA2307" s="20"/>
      <c r="AB2307" s="20"/>
      <c r="AC2307" s="20"/>
      <c r="AD2307" s="20"/>
      <c r="AE2307" s="20"/>
    </row>
    <row r="2308">
      <c r="A2308" s="21">
        <v>60.0</v>
      </c>
      <c r="B2308" s="20" t="s">
        <v>1714</v>
      </c>
      <c r="C2308" s="20" t="s">
        <v>5270</v>
      </c>
      <c r="I2308" s="25" t="s">
        <v>2965</v>
      </c>
      <c r="J2308" s="25" t="s">
        <v>4641</v>
      </c>
      <c r="K2308" s="25" t="s">
        <v>71</v>
      </c>
      <c r="L2308" s="25" t="s">
        <v>5382</v>
      </c>
      <c r="M2308" s="20" t="s">
        <v>4880</v>
      </c>
      <c r="N2308" s="20" t="s">
        <v>4881</v>
      </c>
      <c r="O2308" s="20" t="s">
        <v>63</v>
      </c>
      <c r="P2308" s="20" t="s">
        <v>52</v>
      </c>
      <c r="Q2308" s="22"/>
      <c r="R2308" s="22"/>
      <c r="S2308" s="22"/>
      <c r="T2308" s="26"/>
      <c r="U2308" s="26"/>
      <c r="V2308" s="26"/>
      <c r="W2308" s="20"/>
      <c r="X2308" s="20"/>
      <c r="Y2308" s="20"/>
      <c r="Z2308" s="20"/>
      <c r="AA2308" s="20"/>
      <c r="AB2308" s="20"/>
      <c r="AC2308" s="20"/>
      <c r="AD2308" s="20"/>
      <c r="AE2308" s="20"/>
    </row>
    <row r="2309">
      <c r="A2309" s="21">
        <v>60.0</v>
      </c>
      <c r="B2309" s="20" t="s">
        <v>1714</v>
      </c>
      <c r="C2309" s="20" t="s">
        <v>5270</v>
      </c>
      <c r="I2309" s="25" t="s">
        <v>1843</v>
      </c>
      <c r="J2309" s="25" t="s">
        <v>4643</v>
      </c>
      <c r="K2309" s="25" t="s">
        <v>71</v>
      </c>
      <c r="L2309" s="25" t="s">
        <v>292</v>
      </c>
      <c r="M2309" s="20" t="s">
        <v>4805</v>
      </c>
      <c r="N2309" s="20" t="s">
        <v>4806</v>
      </c>
      <c r="O2309" s="20" t="s">
        <v>63</v>
      </c>
      <c r="P2309" s="20" t="s">
        <v>52</v>
      </c>
      <c r="Q2309" s="22"/>
      <c r="R2309" s="22"/>
      <c r="S2309" s="22"/>
      <c r="T2309" s="22"/>
      <c r="U2309" s="26"/>
      <c r="V2309" s="26"/>
      <c r="W2309" s="20"/>
      <c r="X2309" s="20"/>
      <c r="Y2309" s="20"/>
      <c r="Z2309" s="20"/>
      <c r="AA2309" s="20"/>
      <c r="AB2309" s="20"/>
      <c r="AC2309" s="20"/>
      <c r="AD2309" s="20"/>
      <c r="AE2309" s="20"/>
    </row>
    <row r="2310">
      <c r="A2310" s="21">
        <v>60.0</v>
      </c>
      <c r="B2310" s="20" t="s">
        <v>1714</v>
      </c>
      <c r="C2310" s="20" t="s">
        <v>5270</v>
      </c>
      <c r="I2310" s="25" t="s">
        <v>2458</v>
      </c>
      <c r="J2310" s="25" t="s">
        <v>4641</v>
      </c>
      <c r="K2310" s="25" t="s">
        <v>71</v>
      </c>
      <c r="L2310" s="25" t="s">
        <v>292</v>
      </c>
      <c r="M2310" s="20" t="s">
        <v>2459</v>
      </c>
      <c r="N2310" s="20" t="s">
        <v>4882</v>
      </c>
      <c r="O2310" s="20" t="s">
        <v>63</v>
      </c>
      <c r="P2310" s="20" t="s">
        <v>52</v>
      </c>
      <c r="Q2310" s="22"/>
      <c r="R2310" s="22"/>
      <c r="S2310" s="22"/>
      <c r="T2310" s="22"/>
      <c r="U2310" s="26"/>
      <c r="V2310" s="26"/>
      <c r="W2310" s="20"/>
      <c r="X2310" s="20"/>
      <c r="Y2310" s="20"/>
      <c r="Z2310" s="20"/>
      <c r="AA2310" s="20"/>
      <c r="AB2310" s="20"/>
      <c r="AC2310" s="20"/>
      <c r="AD2310" s="20"/>
      <c r="AE2310" s="20"/>
    </row>
    <row r="2311">
      <c r="A2311" s="21">
        <v>60.0</v>
      </c>
      <c r="B2311" s="20" t="s">
        <v>1714</v>
      </c>
      <c r="C2311" s="20" t="s">
        <v>5270</v>
      </c>
      <c r="I2311" s="25" t="s">
        <v>1402</v>
      </c>
      <c r="J2311" s="25" t="s">
        <v>4906</v>
      </c>
      <c r="K2311" s="25" t="s">
        <v>71</v>
      </c>
      <c r="L2311" s="25" t="s">
        <v>5382</v>
      </c>
      <c r="M2311" s="20" t="s">
        <v>3071</v>
      </c>
      <c r="N2311" s="20" t="s">
        <v>4933</v>
      </c>
      <c r="O2311" s="20" t="s">
        <v>63</v>
      </c>
      <c r="P2311" s="20" t="s">
        <v>52</v>
      </c>
      <c r="Q2311" s="22"/>
      <c r="R2311" s="22"/>
      <c r="S2311" s="22"/>
      <c r="T2311" s="26"/>
      <c r="U2311" s="26"/>
      <c r="V2311" s="26"/>
      <c r="W2311" s="20"/>
      <c r="X2311" s="20"/>
      <c r="Y2311" s="20"/>
      <c r="Z2311" s="20"/>
      <c r="AA2311" s="20"/>
      <c r="AB2311" s="20"/>
      <c r="AC2311" s="20"/>
      <c r="AD2311" s="20"/>
      <c r="AE2311" s="20"/>
    </row>
    <row r="2312">
      <c r="A2312" s="21">
        <v>60.0</v>
      </c>
      <c r="B2312" s="20" t="s">
        <v>1714</v>
      </c>
      <c r="C2312" s="20" t="s">
        <v>5270</v>
      </c>
      <c r="I2312" s="25" t="s">
        <v>2796</v>
      </c>
      <c r="J2312" s="25" t="s">
        <v>4647</v>
      </c>
      <c r="K2312" s="25" t="s">
        <v>71</v>
      </c>
      <c r="L2312" s="25" t="s">
        <v>5382</v>
      </c>
      <c r="M2312" s="20" t="s">
        <v>4691</v>
      </c>
      <c r="N2312" s="20" t="s">
        <v>4692</v>
      </c>
      <c r="O2312" s="20" t="s">
        <v>63</v>
      </c>
      <c r="P2312" s="20" t="s">
        <v>52</v>
      </c>
      <c r="Q2312" s="22"/>
      <c r="R2312" s="22"/>
      <c r="S2312" s="22"/>
      <c r="T2312" s="26"/>
      <c r="U2312" s="26"/>
      <c r="V2312" s="26"/>
      <c r="W2312" s="20"/>
      <c r="X2312" s="20"/>
      <c r="Y2312" s="20"/>
      <c r="Z2312" s="20"/>
      <c r="AA2312" s="20"/>
      <c r="AB2312" s="20"/>
      <c r="AC2312" s="20"/>
      <c r="AD2312" s="20"/>
      <c r="AE2312" s="20"/>
    </row>
    <row r="2313">
      <c r="A2313" s="21">
        <v>60.0</v>
      </c>
      <c r="B2313" s="20" t="s">
        <v>1714</v>
      </c>
      <c r="C2313" s="20" t="s">
        <v>5270</v>
      </c>
      <c r="I2313" s="25" t="s">
        <v>4694</v>
      </c>
      <c r="J2313" s="25" t="s">
        <v>4647</v>
      </c>
      <c r="K2313" s="25" t="s">
        <v>71</v>
      </c>
      <c r="L2313" s="25" t="s">
        <v>5382</v>
      </c>
      <c r="M2313" s="20" t="s">
        <v>4665</v>
      </c>
      <c r="N2313" s="20" t="s">
        <v>4666</v>
      </c>
      <c r="O2313" s="20" t="s">
        <v>63</v>
      </c>
      <c r="P2313" s="20" t="s">
        <v>52</v>
      </c>
      <c r="Q2313" s="22"/>
      <c r="R2313" s="22"/>
      <c r="S2313" s="22"/>
      <c r="T2313" s="26"/>
      <c r="U2313" s="26"/>
      <c r="V2313" s="26"/>
      <c r="W2313" s="20"/>
      <c r="X2313" s="20"/>
      <c r="Y2313" s="20"/>
      <c r="Z2313" s="20"/>
      <c r="AA2313" s="20"/>
      <c r="AB2313" s="20"/>
      <c r="AC2313" s="20"/>
      <c r="AD2313" s="20"/>
      <c r="AE2313" s="20"/>
    </row>
    <row r="2314">
      <c r="A2314" s="21">
        <v>60.0</v>
      </c>
      <c r="B2314" s="20" t="s">
        <v>1714</v>
      </c>
      <c r="C2314" s="20" t="s">
        <v>5270</v>
      </c>
      <c r="I2314" s="25" t="s">
        <v>2039</v>
      </c>
      <c r="J2314" s="25" t="s">
        <v>4647</v>
      </c>
      <c r="K2314" s="25" t="s">
        <v>71</v>
      </c>
      <c r="L2314" s="25" t="s">
        <v>5382</v>
      </c>
      <c r="M2314" s="20" t="s">
        <v>4665</v>
      </c>
      <c r="N2314" s="20" t="s">
        <v>4666</v>
      </c>
      <c r="O2314" s="20" t="s">
        <v>63</v>
      </c>
      <c r="P2314" s="20" t="s">
        <v>52</v>
      </c>
      <c r="Q2314" s="22"/>
      <c r="R2314" s="22"/>
      <c r="S2314" s="22"/>
      <c r="T2314" s="26"/>
      <c r="U2314" s="26"/>
      <c r="V2314" s="26"/>
      <c r="W2314" s="20"/>
      <c r="X2314" s="20"/>
      <c r="Y2314" s="20"/>
      <c r="Z2314" s="20"/>
      <c r="AA2314" s="20"/>
      <c r="AB2314" s="20"/>
      <c r="AC2314" s="20"/>
      <c r="AD2314" s="20"/>
      <c r="AE2314" s="20"/>
    </row>
    <row r="2315">
      <c r="A2315" s="21">
        <v>60.0</v>
      </c>
      <c r="B2315" s="20" t="s">
        <v>1714</v>
      </c>
      <c r="C2315" s="20" t="s">
        <v>5270</v>
      </c>
      <c r="I2315" s="25" t="s">
        <v>75</v>
      </c>
      <c r="J2315" s="25" t="s">
        <v>4643</v>
      </c>
      <c r="K2315" s="25" t="s">
        <v>71</v>
      </c>
      <c r="L2315" s="25" t="s">
        <v>292</v>
      </c>
      <c r="M2315" s="20" t="s">
        <v>76</v>
      </c>
      <c r="N2315" s="20" t="s">
        <v>4807</v>
      </c>
      <c r="O2315" s="20" t="s">
        <v>63</v>
      </c>
      <c r="P2315" s="20" t="s">
        <v>52</v>
      </c>
      <c r="Q2315" s="22"/>
      <c r="R2315" s="22"/>
      <c r="S2315" s="22"/>
      <c r="T2315" s="22"/>
      <c r="U2315" s="26"/>
      <c r="V2315" s="26"/>
      <c r="W2315" s="20"/>
      <c r="X2315" s="20"/>
      <c r="Y2315" s="20"/>
      <c r="Z2315" s="20"/>
      <c r="AA2315" s="20"/>
      <c r="AB2315" s="20"/>
      <c r="AC2315" s="20"/>
      <c r="AD2315" s="20"/>
      <c r="AE2315" s="20"/>
    </row>
    <row r="2316">
      <c r="A2316" s="21">
        <v>60.0</v>
      </c>
      <c r="B2316" s="20" t="s">
        <v>1714</v>
      </c>
      <c r="C2316" s="20" t="s">
        <v>5270</v>
      </c>
      <c r="I2316" s="25" t="s">
        <v>2053</v>
      </c>
      <c r="J2316" s="25" t="s">
        <v>4652</v>
      </c>
      <c r="K2316" s="25" t="s">
        <v>71</v>
      </c>
      <c r="L2316" s="25" t="s">
        <v>5422</v>
      </c>
      <c r="M2316" s="20" t="s">
        <v>1406</v>
      </c>
      <c r="N2316" s="20" t="s">
        <v>4968</v>
      </c>
      <c r="O2316" s="20" t="s">
        <v>63</v>
      </c>
      <c r="P2316" s="20" t="s">
        <v>52</v>
      </c>
      <c r="Q2316" s="22"/>
      <c r="R2316" s="22"/>
      <c r="S2316" s="22"/>
      <c r="T2316" s="26"/>
      <c r="U2316" s="26"/>
      <c r="V2316" s="26"/>
      <c r="W2316" s="20"/>
      <c r="X2316" s="20"/>
      <c r="Y2316" s="20"/>
      <c r="Z2316" s="20"/>
      <c r="AA2316" s="20"/>
      <c r="AB2316" s="20"/>
      <c r="AC2316" s="20"/>
      <c r="AD2316" s="20"/>
      <c r="AE2316" s="20"/>
    </row>
    <row r="2317">
      <c r="A2317" s="21">
        <v>60.0</v>
      </c>
      <c r="B2317" s="20" t="s">
        <v>1714</v>
      </c>
      <c r="C2317" s="20" t="s">
        <v>5270</v>
      </c>
      <c r="I2317" s="25" t="s">
        <v>4282</v>
      </c>
      <c r="J2317" s="25" t="s">
        <v>4641</v>
      </c>
      <c r="K2317" s="25" t="s">
        <v>71</v>
      </c>
      <c r="L2317" s="25" t="s">
        <v>292</v>
      </c>
      <c r="M2317" s="20" t="s">
        <v>4883</v>
      </c>
      <c r="N2317" s="20" t="s">
        <v>4884</v>
      </c>
      <c r="O2317" s="20" t="s">
        <v>63</v>
      </c>
      <c r="P2317" s="20" t="s">
        <v>52</v>
      </c>
      <c r="Q2317" s="22"/>
      <c r="R2317" s="22"/>
      <c r="S2317" s="22"/>
      <c r="T2317" s="22"/>
      <c r="U2317" s="26"/>
      <c r="V2317" s="26"/>
      <c r="W2317" s="20"/>
      <c r="X2317" s="20"/>
      <c r="Y2317" s="20"/>
      <c r="Z2317" s="20"/>
      <c r="AA2317" s="20"/>
      <c r="AB2317" s="20"/>
      <c r="AC2317" s="20"/>
      <c r="AD2317" s="20"/>
      <c r="AE2317" s="20"/>
    </row>
    <row r="2318">
      <c r="A2318" s="21">
        <v>60.0</v>
      </c>
      <c r="B2318" s="20" t="s">
        <v>1714</v>
      </c>
      <c r="C2318" s="20" t="s">
        <v>5270</v>
      </c>
      <c r="I2318" s="25" t="s">
        <v>4934</v>
      </c>
      <c r="J2318" s="25" t="s">
        <v>4906</v>
      </c>
      <c r="K2318" s="25" t="s">
        <v>71</v>
      </c>
      <c r="L2318" s="25" t="s">
        <v>5382</v>
      </c>
      <c r="M2318" s="20" t="s">
        <v>4935</v>
      </c>
      <c r="N2318" s="20" t="s">
        <v>4936</v>
      </c>
      <c r="O2318" s="20" t="s">
        <v>63</v>
      </c>
      <c r="P2318" s="20" t="s">
        <v>52</v>
      </c>
      <c r="Q2318" s="22"/>
      <c r="R2318" s="22"/>
      <c r="S2318" s="22"/>
      <c r="T2318" s="26"/>
      <c r="U2318" s="26"/>
      <c r="V2318" s="26"/>
      <c r="W2318" s="20"/>
      <c r="X2318" s="20"/>
      <c r="Y2318" s="20"/>
      <c r="Z2318" s="20"/>
      <c r="AA2318" s="20"/>
      <c r="AB2318" s="20"/>
      <c r="AC2318" s="20"/>
      <c r="AD2318" s="20"/>
      <c r="AE2318" s="20"/>
    </row>
    <row r="2319">
      <c r="A2319" s="21">
        <v>60.0</v>
      </c>
      <c r="B2319" s="20" t="s">
        <v>1714</v>
      </c>
      <c r="C2319" s="20" t="s">
        <v>5270</v>
      </c>
      <c r="I2319" s="25" t="s">
        <v>1297</v>
      </c>
      <c r="J2319" s="25" t="s">
        <v>4643</v>
      </c>
      <c r="K2319" s="25" t="s">
        <v>71</v>
      </c>
      <c r="L2319" s="25" t="s">
        <v>292</v>
      </c>
      <c r="M2319" s="20" t="s">
        <v>1408</v>
      </c>
      <c r="N2319" s="20" t="s">
        <v>1409</v>
      </c>
      <c r="O2319" s="20" t="s">
        <v>63</v>
      </c>
      <c r="P2319" s="20" t="s">
        <v>52</v>
      </c>
      <c r="Q2319" s="22"/>
      <c r="R2319" s="22"/>
      <c r="S2319" s="22"/>
      <c r="T2319" s="22"/>
      <c r="U2319" s="26"/>
      <c r="V2319" s="26"/>
      <c r="W2319" s="20"/>
      <c r="X2319" s="20"/>
      <c r="Y2319" s="20"/>
      <c r="Z2319" s="20"/>
      <c r="AA2319" s="20"/>
      <c r="AB2319" s="20"/>
      <c r="AC2319" s="20"/>
      <c r="AD2319" s="20"/>
      <c r="AE2319" s="20"/>
    </row>
    <row r="2320">
      <c r="A2320" s="21">
        <v>60.0</v>
      </c>
      <c r="B2320" s="20" t="s">
        <v>1714</v>
      </c>
      <c r="C2320" s="20" t="s">
        <v>5270</v>
      </c>
      <c r="I2320" s="25" t="s">
        <v>2895</v>
      </c>
      <c r="J2320" s="25" t="s">
        <v>4643</v>
      </c>
      <c r="K2320" s="25" t="s">
        <v>71</v>
      </c>
      <c r="L2320" s="25" t="s">
        <v>292</v>
      </c>
      <c r="M2320" s="20" t="s">
        <v>2896</v>
      </c>
      <c r="N2320" s="20" t="s">
        <v>2897</v>
      </c>
      <c r="O2320" s="20" t="s">
        <v>63</v>
      </c>
      <c r="P2320" s="20" t="s">
        <v>52</v>
      </c>
      <c r="Q2320" s="22"/>
      <c r="R2320" s="22"/>
      <c r="S2320" s="22"/>
      <c r="T2320" s="22"/>
      <c r="U2320" s="26"/>
      <c r="V2320" s="26"/>
      <c r="W2320" s="20"/>
      <c r="X2320" s="20"/>
      <c r="Y2320" s="20"/>
      <c r="Z2320" s="20"/>
      <c r="AA2320" s="20"/>
      <c r="AB2320" s="20"/>
      <c r="AC2320" s="20"/>
      <c r="AD2320" s="20"/>
      <c r="AE2320" s="20"/>
    </row>
    <row r="2321">
      <c r="A2321" s="21">
        <v>60.0</v>
      </c>
      <c r="B2321" s="20" t="s">
        <v>1714</v>
      </c>
      <c r="C2321" s="20" t="s">
        <v>5270</v>
      </c>
      <c r="I2321" s="25" t="s">
        <v>2816</v>
      </c>
      <c r="J2321" s="25" t="s">
        <v>4641</v>
      </c>
      <c r="K2321" s="25" t="s">
        <v>71</v>
      </c>
      <c r="L2321" s="25" t="s">
        <v>5382</v>
      </c>
      <c r="M2321" s="20" t="s">
        <v>3772</v>
      </c>
      <c r="N2321" s="20" t="s">
        <v>4885</v>
      </c>
      <c r="O2321" s="20" t="s">
        <v>63</v>
      </c>
      <c r="P2321" s="20" t="s">
        <v>52</v>
      </c>
      <c r="Q2321" s="22"/>
      <c r="R2321" s="22"/>
      <c r="S2321" s="22"/>
      <c r="T2321" s="26"/>
      <c r="U2321" s="26"/>
      <c r="V2321" s="26"/>
      <c r="W2321" s="20"/>
      <c r="X2321" s="20"/>
      <c r="Y2321" s="20"/>
      <c r="Z2321" s="20"/>
      <c r="AA2321" s="20"/>
      <c r="AB2321" s="20"/>
      <c r="AC2321" s="20"/>
      <c r="AD2321" s="20"/>
      <c r="AE2321" s="20"/>
    </row>
    <row r="2322">
      <c r="A2322" s="21">
        <v>60.0</v>
      </c>
      <c r="B2322" s="20" t="s">
        <v>1714</v>
      </c>
      <c r="C2322" s="20" t="s">
        <v>5270</v>
      </c>
      <c r="I2322" s="25" t="s">
        <v>3412</v>
      </c>
      <c r="J2322" s="25" t="s">
        <v>4652</v>
      </c>
      <c r="K2322" s="25" t="s">
        <v>71</v>
      </c>
      <c r="L2322" s="25" t="s">
        <v>5351</v>
      </c>
      <c r="M2322" s="20" t="s">
        <v>4969</v>
      </c>
      <c r="N2322" s="20" t="s">
        <v>4970</v>
      </c>
      <c r="O2322" s="20" t="s">
        <v>63</v>
      </c>
      <c r="P2322" s="20" t="s">
        <v>52</v>
      </c>
      <c r="Q2322" s="22"/>
      <c r="R2322" s="22"/>
      <c r="S2322" s="22"/>
      <c r="T2322" s="26"/>
      <c r="U2322" s="26"/>
      <c r="V2322" s="26"/>
      <c r="W2322" s="20"/>
      <c r="X2322" s="20"/>
      <c r="Y2322" s="20"/>
      <c r="Z2322" s="20"/>
      <c r="AA2322" s="20"/>
      <c r="AB2322" s="20"/>
      <c r="AC2322" s="20"/>
      <c r="AD2322" s="20"/>
      <c r="AE2322" s="20"/>
    </row>
    <row r="2323">
      <c r="A2323" s="21">
        <v>60.0</v>
      </c>
      <c r="B2323" s="20" t="s">
        <v>1714</v>
      </c>
      <c r="C2323" s="20" t="s">
        <v>5270</v>
      </c>
      <c r="I2323" s="25" t="s">
        <v>2068</v>
      </c>
      <c r="J2323" s="25" t="s">
        <v>4892</v>
      </c>
      <c r="K2323" s="25" t="s">
        <v>71</v>
      </c>
      <c r="L2323" s="25" t="s">
        <v>5382</v>
      </c>
      <c r="M2323" s="20" t="s">
        <v>2069</v>
      </c>
      <c r="N2323" s="20" t="s">
        <v>2070</v>
      </c>
      <c r="O2323" s="20" t="s">
        <v>63</v>
      </c>
      <c r="P2323" s="20" t="s">
        <v>52</v>
      </c>
      <c r="Q2323" s="22"/>
      <c r="R2323" s="22"/>
      <c r="S2323" s="22"/>
      <c r="T2323" s="26"/>
      <c r="U2323" s="26"/>
      <c r="V2323" s="26"/>
      <c r="W2323" s="20"/>
      <c r="X2323" s="20"/>
      <c r="Y2323" s="20"/>
      <c r="Z2323" s="20"/>
      <c r="AA2323" s="20"/>
      <c r="AB2323" s="20"/>
      <c r="AC2323" s="20"/>
      <c r="AD2323" s="20"/>
      <c r="AE2323" s="20"/>
    </row>
    <row r="2324">
      <c r="A2324" s="21">
        <v>60.0</v>
      </c>
      <c r="B2324" s="20" t="s">
        <v>1714</v>
      </c>
      <c r="C2324" s="20" t="s">
        <v>5270</v>
      </c>
      <c r="I2324" s="25" t="s">
        <v>1487</v>
      </c>
      <c r="J2324" s="25" t="s">
        <v>4906</v>
      </c>
      <c r="K2324" s="25" t="s">
        <v>71</v>
      </c>
      <c r="L2324" s="25" t="s">
        <v>5382</v>
      </c>
      <c r="M2324" s="20" t="s">
        <v>4938</v>
      </c>
      <c r="N2324" s="20" t="s">
        <v>4939</v>
      </c>
      <c r="O2324" s="20" t="s">
        <v>63</v>
      </c>
      <c r="P2324" s="20" t="s">
        <v>52</v>
      </c>
      <c r="Q2324" s="22"/>
      <c r="R2324" s="22"/>
      <c r="S2324" s="22"/>
      <c r="T2324" s="26"/>
      <c r="U2324" s="26"/>
      <c r="V2324" s="26"/>
      <c r="W2324" s="20"/>
      <c r="X2324" s="20"/>
      <c r="Y2324" s="20"/>
      <c r="Z2324" s="20"/>
      <c r="AA2324" s="20"/>
      <c r="AB2324" s="20"/>
      <c r="AC2324" s="20"/>
      <c r="AD2324" s="20"/>
      <c r="AE2324" s="20"/>
    </row>
    <row r="2325">
      <c r="A2325" s="21">
        <v>60.0</v>
      </c>
      <c r="B2325" s="20" t="s">
        <v>1714</v>
      </c>
      <c r="C2325" s="20" t="s">
        <v>5270</v>
      </c>
      <c r="I2325" s="25" t="s">
        <v>4236</v>
      </c>
      <c r="J2325" s="25" t="s">
        <v>4643</v>
      </c>
      <c r="K2325" s="25" t="s">
        <v>71</v>
      </c>
      <c r="L2325" s="25" t="s">
        <v>292</v>
      </c>
      <c r="M2325" s="20" t="s">
        <v>4632</v>
      </c>
      <c r="N2325" s="20" t="s">
        <v>4809</v>
      </c>
      <c r="O2325" s="20" t="s">
        <v>63</v>
      </c>
      <c r="P2325" s="20" t="s">
        <v>52</v>
      </c>
      <c r="Q2325" s="22"/>
      <c r="R2325" s="22"/>
      <c r="S2325" s="22"/>
      <c r="T2325" s="22"/>
      <c r="U2325" s="26"/>
      <c r="V2325" s="26"/>
      <c r="W2325" s="20"/>
      <c r="X2325" s="20"/>
      <c r="Y2325" s="20"/>
      <c r="Z2325" s="20"/>
      <c r="AA2325" s="20"/>
      <c r="AB2325" s="20"/>
      <c r="AC2325" s="20"/>
      <c r="AD2325" s="20"/>
      <c r="AE2325" s="20"/>
    </row>
    <row r="2326">
      <c r="A2326" s="21">
        <v>60.0</v>
      </c>
      <c r="B2326" s="20" t="s">
        <v>1714</v>
      </c>
      <c r="C2326" s="20" t="s">
        <v>5270</v>
      </c>
      <c r="I2326" s="25" t="s">
        <v>1272</v>
      </c>
      <c r="J2326" s="25" t="s">
        <v>4643</v>
      </c>
      <c r="K2326" s="25" t="s">
        <v>71</v>
      </c>
      <c r="L2326" s="25" t="s">
        <v>292</v>
      </c>
      <c r="M2326" s="20" t="s">
        <v>4810</v>
      </c>
      <c r="N2326" s="20" t="s">
        <v>4736</v>
      </c>
      <c r="O2326" s="20" t="s">
        <v>63</v>
      </c>
      <c r="P2326" s="20" t="s">
        <v>52</v>
      </c>
      <c r="Q2326" s="22"/>
      <c r="R2326" s="22"/>
      <c r="S2326" s="22"/>
      <c r="T2326" s="22"/>
      <c r="U2326" s="26"/>
      <c r="V2326" s="26"/>
      <c r="W2326" s="20"/>
      <c r="X2326" s="20"/>
      <c r="Y2326" s="20"/>
      <c r="Z2326" s="20"/>
      <c r="AA2326" s="20"/>
      <c r="AB2326" s="20"/>
      <c r="AC2326" s="20"/>
      <c r="AD2326" s="20"/>
      <c r="AE2326" s="20"/>
    </row>
    <row r="2327">
      <c r="A2327" s="21">
        <v>60.0</v>
      </c>
      <c r="B2327" s="20" t="s">
        <v>1714</v>
      </c>
      <c r="C2327" s="20" t="s">
        <v>5270</v>
      </c>
      <c r="I2327" s="25" t="s">
        <v>1693</v>
      </c>
      <c r="J2327" s="25" t="s">
        <v>4643</v>
      </c>
      <c r="K2327" s="25" t="s">
        <v>71</v>
      </c>
      <c r="L2327" s="25" t="s">
        <v>292</v>
      </c>
      <c r="M2327" s="20" t="s">
        <v>4811</v>
      </c>
      <c r="N2327" s="20" t="s">
        <v>4812</v>
      </c>
      <c r="O2327" s="20" t="s">
        <v>63</v>
      </c>
      <c r="P2327" s="20" t="s">
        <v>52</v>
      </c>
      <c r="Q2327" s="22"/>
      <c r="R2327" s="22"/>
      <c r="S2327" s="22"/>
      <c r="T2327" s="22"/>
      <c r="U2327" s="26"/>
      <c r="V2327" s="26"/>
      <c r="W2327" s="20"/>
      <c r="X2327" s="20"/>
      <c r="Y2327" s="20"/>
      <c r="Z2327" s="20"/>
      <c r="AA2327" s="20"/>
      <c r="AB2327" s="20"/>
      <c r="AC2327" s="20"/>
      <c r="AD2327" s="20"/>
      <c r="AE2327" s="20"/>
    </row>
    <row r="2328">
      <c r="A2328" s="21">
        <v>60.0</v>
      </c>
      <c r="B2328" s="20" t="s">
        <v>1714</v>
      </c>
      <c r="C2328" s="20" t="s">
        <v>5270</v>
      </c>
      <c r="I2328" s="25" t="s">
        <v>2042</v>
      </c>
      <c r="J2328" s="25" t="s">
        <v>4647</v>
      </c>
      <c r="K2328" s="25" t="s">
        <v>71</v>
      </c>
      <c r="L2328" s="25" t="s">
        <v>5382</v>
      </c>
      <c r="M2328" s="20" t="s">
        <v>4665</v>
      </c>
      <c r="N2328" s="20" t="s">
        <v>4666</v>
      </c>
      <c r="O2328" s="20" t="s">
        <v>63</v>
      </c>
      <c r="P2328" s="20" t="s">
        <v>52</v>
      </c>
      <c r="Q2328" s="22"/>
      <c r="R2328" s="22"/>
      <c r="S2328" s="22"/>
      <c r="T2328" s="26"/>
      <c r="U2328" s="26"/>
      <c r="V2328" s="26"/>
      <c r="W2328" s="20"/>
      <c r="X2328" s="20"/>
      <c r="Y2328" s="20"/>
      <c r="Z2328" s="20"/>
      <c r="AA2328" s="20"/>
      <c r="AB2328" s="20"/>
      <c r="AC2328" s="20"/>
      <c r="AD2328" s="20"/>
      <c r="AE2328" s="20"/>
    </row>
    <row r="2329">
      <c r="A2329" s="21">
        <v>60.0</v>
      </c>
      <c r="B2329" s="20" t="s">
        <v>1714</v>
      </c>
      <c r="C2329" s="20" t="s">
        <v>5270</v>
      </c>
      <c r="I2329" s="25" t="s">
        <v>2477</v>
      </c>
      <c r="J2329" s="25" t="s">
        <v>4647</v>
      </c>
      <c r="K2329" s="25" t="s">
        <v>71</v>
      </c>
      <c r="L2329" s="25" t="s">
        <v>292</v>
      </c>
      <c r="M2329" s="20" t="s">
        <v>4695</v>
      </c>
      <c r="N2329" s="20" t="s">
        <v>4697</v>
      </c>
      <c r="O2329" s="20" t="s">
        <v>63</v>
      </c>
      <c r="P2329" s="20" t="s">
        <v>52</v>
      </c>
      <c r="Q2329" s="22"/>
      <c r="R2329" s="22"/>
      <c r="S2329" s="22"/>
      <c r="T2329" s="22"/>
      <c r="U2329" s="26"/>
      <c r="V2329" s="26"/>
      <c r="W2329" s="20"/>
      <c r="X2329" s="20"/>
      <c r="Y2329" s="20"/>
      <c r="Z2329" s="20"/>
      <c r="AA2329" s="20"/>
      <c r="AB2329" s="20"/>
      <c r="AC2329" s="20"/>
      <c r="AD2329" s="20"/>
      <c r="AE2329" s="20"/>
    </row>
    <row r="2330">
      <c r="A2330" s="21">
        <v>60.0</v>
      </c>
      <c r="B2330" s="20" t="s">
        <v>1714</v>
      </c>
      <c r="C2330" s="20" t="s">
        <v>5270</v>
      </c>
      <c r="I2330" s="25" t="s">
        <v>2450</v>
      </c>
      <c r="J2330" s="25" t="s">
        <v>4641</v>
      </c>
      <c r="K2330" s="25" t="s">
        <v>71</v>
      </c>
      <c r="L2330" s="25" t="s">
        <v>5382</v>
      </c>
      <c r="M2330" s="20" t="s">
        <v>61</v>
      </c>
      <c r="N2330" s="20" t="s">
        <v>4886</v>
      </c>
      <c r="O2330" s="20" t="s">
        <v>63</v>
      </c>
      <c r="P2330" s="20" t="s">
        <v>52</v>
      </c>
      <c r="Q2330" s="22"/>
      <c r="R2330" s="22"/>
      <c r="S2330" s="22"/>
      <c r="T2330" s="26"/>
      <c r="U2330" s="26"/>
      <c r="V2330" s="26"/>
      <c r="W2330" s="20"/>
      <c r="X2330" s="20"/>
      <c r="Y2330" s="20"/>
      <c r="Z2330" s="20"/>
      <c r="AA2330" s="20"/>
      <c r="AB2330" s="20"/>
      <c r="AC2330" s="20"/>
      <c r="AD2330" s="20"/>
      <c r="AE2330" s="20"/>
    </row>
    <row r="2331">
      <c r="A2331" s="21">
        <v>60.0</v>
      </c>
      <c r="B2331" s="20" t="s">
        <v>1714</v>
      </c>
      <c r="C2331" s="20" t="s">
        <v>5270</v>
      </c>
      <c r="I2331" s="25" t="s">
        <v>3461</v>
      </c>
      <c r="J2331" s="25" t="s">
        <v>4643</v>
      </c>
      <c r="K2331" s="25" t="s">
        <v>71</v>
      </c>
      <c r="L2331" s="25" t="s">
        <v>5351</v>
      </c>
      <c r="M2331" s="20" t="s">
        <v>3483</v>
      </c>
      <c r="N2331" s="20" t="s">
        <v>4813</v>
      </c>
      <c r="O2331" s="20" t="s">
        <v>63</v>
      </c>
      <c r="P2331" s="20" t="s">
        <v>52</v>
      </c>
      <c r="Q2331" s="22"/>
      <c r="R2331" s="22"/>
      <c r="S2331" s="22"/>
      <c r="T2331" s="26"/>
      <c r="U2331" s="26"/>
      <c r="V2331" s="26"/>
      <c r="W2331" s="20"/>
      <c r="X2331" s="20"/>
      <c r="Y2331" s="20"/>
      <c r="Z2331" s="20"/>
      <c r="AA2331" s="20"/>
      <c r="AB2331" s="20"/>
      <c r="AC2331" s="20"/>
      <c r="AD2331" s="20"/>
      <c r="AE2331" s="20"/>
    </row>
    <row r="2332">
      <c r="A2332" s="21">
        <v>60.0</v>
      </c>
      <c r="B2332" s="20" t="s">
        <v>1714</v>
      </c>
      <c r="C2332" s="20" t="s">
        <v>5270</v>
      </c>
      <c r="I2332" s="25" t="s">
        <v>85</v>
      </c>
      <c r="J2332" s="25" t="s">
        <v>4652</v>
      </c>
      <c r="K2332" s="25" t="s">
        <v>71</v>
      </c>
      <c r="L2332" s="25" t="s">
        <v>5382</v>
      </c>
      <c r="M2332" s="20" t="s">
        <v>3571</v>
      </c>
      <c r="N2332" s="20" t="s">
        <v>4971</v>
      </c>
      <c r="O2332" s="20" t="s">
        <v>63</v>
      </c>
      <c r="P2332" s="20" t="s">
        <v>52</v>
      </c>
      <c r="Q2332" s="22"/>
      <c r="R2332" s="22"/>
      <c r="S2332" s="22"/>
      <c r="T2332" s="26"/>
      <c r="U2332" s="26"/>
      <c r="V2332" s="26"/>
      <c r="W2332" s="20"/>
      <c r="X2332" s="20"/>
      <c r="Y2332" s="20"/>
      <c r="Z2332" s="20"/>
      <c r="AA2332" s="20"/>
      <c r="AB2332" s="20"/>
      <c r="AC2332" s="20"/>
      <c r="AD2332" s="20"/>
      <c r="AE2332" s="20"/>
    </row>
    <row r="2333">
      <c r="A2333" s="21">
        <v>60.0</v>
      </c>
      <c r="B2333" s="20" t="s">
        <v>1714</v>
      </c>
      <c r="C2333" s="20" t="s">
        <v>5270</v>
      </c>
      <c r="I2333" s="25" t="s">
        <v>1512</v>
      </c>
      <c r="J2333" s="25" t="s">
        <v>4641</v>
      </c>
      <c r="K2333" s="25" t="s">
        <v>71</v>
      </c>
      <c r="L2333" s="25" t="s">
        <v>5382</v>
      </c>
      <c r="M2333" s="20" t="s">
        <v>61</v>
      </c>
      <c r="N2333" s="20" t="s">
        <v>4887</v>
      </c>
      <c r="O2333" s="20" t="s">
        <v>63</v>
      </c>
      <c r="P2333" s="20" t="s">
        <v>52</v>
      </c>
      <c r="Q2333" s="22"/>
      <c r="R2333" s="22"/>
      <c r="S2333" s="22"/>
      <c r="T2333" s="26"/>
      <c r="U2333" s="26"/>
      <c r="V2333" s="26"/>
      <c r="W2333" s="20"/>
      <c r="X2333" s="20"/>
      <c r="Y2333" s="20"/>
      <c r="Z2333" s="20"/>
      <c r="AA2333" s="20"/>
      <c r="AB2333" s="20"/>
      <c r="AC2333" s="20"/>
      <c r="AD2333" s="20"/>
      <c r="AE2333" s="20"/>
    </row>
    <row r="2334">
      <c r="A2334" s="21">
        <v>60.0</v>
      </c>
      <c r="B2334" s="20" t="s">
        <v>1714</v>
      </c>
      <c r="C2334" s="20" t="s">
        <v>5270</v>
      </c>
      <c r="I2334" s="25" t="s">
        <v>2804</v>
      </c>
      <c r="J2334" s="25" t="s">
        <v>4643</v>
      </c>
      <c r="K2334" s="25" t="s">
        <v>71</v>
      </c>
      <c r="L2334" s="25" t="s">
        <v>5382</v>
      </c>
      <c r="M2334" s="20" t="s">
        <v>4814</v>
      </c>
      <c r="N2334" s="20" t="s">
        <v>4815</v>
      </c>
      <c r="O2334" s="20" t="s">
        <v>63</v>
      </c>
      <c r="P2334" s="20" t="s">
        <v>52</v>
      </c>
      <c r="Q2334" s="22"/>
      <c r="R2334" s="22"/>
      <c r="S2334" s="22"/>
      <c r="T2334" s="26"/>
      <c r="U2334" s="26"/>
      <c r="V2334" s="26"/>
      <c r="W2334" s="20"/>
      <c r="X2334" s="20"/>
      <c r="Y2334" s="20"/>
      <c r="Z2334" s="20"/>
      <c r="AA2334" s="20"/>
      <c r="AB2334" s="20"/>
      <c r="AC2334" s="20"/>
      <c r="AD2334" s="20"/>
      <c r="AE2334" s="20"/>
    </row>
    <row r="2335">
      <c r="A2335" s="21">
        <v>60.0</v>
      </c>
      <c r="B2335" s="20" t="s">
        <v>1714</v>
      </c>
      <c r="C2335" s="20" t="s">
        <v>5270</v>
      </c>
      <c r="I2335" s="25" t="s">
        <v>1526</v>
      </c>
      <c r="J2335" s="25" t="s">
        <v>4906</v>
      </c>
      <c r="K2335" s="25" t="s">
        <v>71</v>
      </c>
      <c r="L2335" s="25" t="s">
        <v>292</v>
      </c>
      <c r="M2335" s="20" t="s">
        <v>4941</v>
      </c>
      <c r="N2335" s="20" t="s">
        <v>3524</v>
      </c>
      <c r="O2335" s="20" t="s">
        <v>63</v>
      </c>
      <c r="P2335" s="20" t="s">
        <v>52</v>
      </c>
      <c r="Q2335" s="22"/>
      <c r="R2335" s="22"/>
      <c r="S2335" s="22"/>
      <c r="T2335" s="22"/>
      <c r="U2335" s="26"/>
      <c r="V2335" s="26"/>
      <c r="W2335" s="20"/>
      <c r="X2335" s="20"/>
      <c r="Y2335" s="20"/>
      <c r="Z2335" s="20"/>
      <c r="AA2335" s="20"/>
      <c r="AB2335" s="20"/>
      <c r="AC2335" s="20"/>
      <c r="AD2335" s="20"/>
      <c r="AE2335" s="20"/>
    </row>
    <row r="2336">
      <c r="A2336" s="21">
        <v>60.0</v>
      </c>
      <c r="B2336" s="20" t="s">
        <v>1714</v>
      </c>
      <c r="C2336" s="20" t="s">
        <v>5270</v>
      </c>
      <c r="I2336" s="25" t="s">
        <v>2756</v>
      </c>
      <c r="J2336" s="25" t="s">
        <v>4643</v>
      </c>
      <c r="K2336" s="25" t="s">
        <v>71</v>
      </c>
      <c r="L2336" s="25" t="s">
        <v>292</v>
      </c>
      <c r="M2336" s="20" t="s">
        <v>4538</v>
      </c>
      <c r="N2336" s="20" t="s">
        <v>4539</v>
      </c>
      <c r="O2336" s="20" t="s">
        <v>63</v>
      </c>
      <c r="P2336" s="20" t="s">
        <v>52</v>
      </c>
      <c r="Q2336" s="22"/>
      <c r="R2336" s="22"/>
      <c r="S2336" s="22"/>
      <c r="T2336" s="22"/>
      <c r="U2336" s="26"/>
      <c r="V2336" s="26"/>
      <c r="W2336" s="20"/>
      <c r="X2336" s="20"/>
      <c r="Y2336" s="20"/>
      <c r="Z2336" s="20"/>
      <c r="AA2336" s="20"/>
      <c r="AB2336" s="20"/>
      <c r="AC2336" s="20"/>
      <c r="AD2336" s="20"/>
      <c r="AE2336" s="20"/>
    </row>
    <row r="2337">
      <c r="A2337" s="21">
        <v>60.0</v>
      </c>
      <c r="B2337" s="20" t="s">
        <v>1714</v>
      </c>
      <c r="C2337" s="20" t="s">
        <v>5270</v>
      </c>
      <c r="I2337" s="25" t="s">
        <v>2545</v>
      </c>
      <c r="J2337" s="25" t="s">
        <v>4643</v>
      </c>
      <c r="K2337" s="25" t="s">
        <v>71</v>
      </c>
      <c r="L2337" s="25" t="s">
        <v>292</v>
      </c>
      <c r="M2337" s="20" t="s">
        <v>4061</v>
      </c>
      <c r="N2337" s="20" t="s">
        <v>4816</v>
      </c>
      <c r="O2337" s="20" t="s">
        <v>63</v>
      </c>
      <c r="P2337" s="20" t="s">
        <v>52</v>
      </c>
      <c r="Q2337" s="22"/>
      <c r="R2337" s="22"/>
      <c r="S2337" s="22"/>
      <c r="T2337" s="22"/>
      <c r="U2337" s="26"/>
      <c r="V2337" s="26"/>
      <c r="W2337" s="20"/>
      <c r="X2337" s="20"/>
      <c r="Y2337" s="20"/>
      <c r="Z2337" s="20"/>
      <c r="AA2337" s="20"/>
      <c r="AB2337" s="20"/>
      <c r="AC2337" s="20"/>
      <c r="AD2337" s="20"/>
      <c r="AE2337" s="20"/>
    </row>
    <row r="2338">
      <c r="A2338" s="21">
        <v>60.0</v>
      </c>
      <c r="B2338" s="20" t="s">
        <v>1714</v>
      </c>
      <c r="C2338" s="20" t="s">
        <v>5270</v>
      </c>
      <c r="I2338" s="25" t="s">
        <v>3420</v>
      </c>
      <c r="J2338" s="25" t="s">
        <v>4652</v>
      </c>
      <c r="K2338" s="25" t="s">
        <v>71</v>
      </c>
      <c r="L2338" s="25" t="s">
        <v>5457</v>
      </c>
      <c r="M2338" s="20" t="s">
        <v>3421</v>
      </c>
      <c r="N2338" s="20" t="s">
        <v>3548</v>
      </c>
      <c r="O2338" s="20" t="s">
        <v>63</v>
      </c>
      <c r="P2338" s="20" t="s">
        <v>52</v>
      </c>
      <c r="Q2338" s="22"/>
      <c r="R2338" s="22"/>
      <c r="S2338" s="22"/>
      <c r="T2338" s="26"/>
      <c r="U2338" s="26"/>
      <c r="V2338" s="26"/>
      <c r="W2338" s="20"/>
      <c r="X2338" s="20"/>
      <c r="Y2338" s="20"/>
      <c r="Z2338" s="20"/>
      <c r="AA2338" s="20"/>
      <c r="AB2338" s="20"/>
      <c r="AC2338" s="20"/>
      <c r="AD2338" s="20"/>
      <c r="AE2338" s="20"/>
    </row>
    <row r="2339">
      <c r="A2339" s="21">
        <v>60.0</v>
      </c>
      <c r="B2339" s="20" t="s">
        <v>1714</v>
      </c>
      <c r="C2339" s="20" t="s">
        <v>5270</v>
      </c>
      <c r="I2339" s="25" t="s">
        <v>4698</v>
      </c>
      <c r="J2339" s="25" t="s">
        <v>4647</v>
      </c>
      <c r="K2339" s="25" t="s">
        <v>71</v>
      </c>
      <c r="L2339" s="25" t="s">
        <v>5458</v>
      </c>
      <c r="M2339" s="20" t="s">
        <v>4699</v>
      </c>
      <c r="N2339" s="20" t="s">
        <v>4700</v>
      </c>
      <c r="O2339" s="20" t="s">
        <v>63</v>
      </c>
      <c r="P2339" s="20" t="s">
        <v>52</v>
      </c>
      <c r="Q2339" s="22"/>
      <c r="R2339" s="22"/>
      <c r="S2339" s="22"/>
      <c r="T2339" s="26"/>
      <c r="U2339" s="26"/>
      <c r="V2339" s="26"/>
      <c r="W2339" s="20"/>
      <c r="X2339" s="20"/>
      <c r="Y2339" s="20"/>
      <c r="Z2339" s="20"/>
      <c r="AA2339" s="20"/>
      <c r="AB2339" s="20"/>
      <c r="AC2339" s="20"/>
      <c r="AD2339" s="20"/>
      <c r="AE2339" s="20"/>
    </row>
    <row r="2340">
      <c r="A2340" s="21">
        <v>60.0</v>
      </c>
      <c r="B2340" s="20" t="s">
        <v>1714</v>
      </c>
      <c r="C2340" s="20" t="s">
        <v>5270</v>
      </c>
      <c r="I2340" s="25" t="s">
        <v>3495</v>
      </c>
      <c r="J2340" s="25" t="s">
        <v>4643</v>
      </c>
      <c r="K2340" s="25" t="s">
        <v>71</v>
      </c>
      <c r="L2340" s="25" t="s">
        <v>5457</v>
      </c>
      <c r="M2340" s="20" t="s">
        <v>3496</v>
      </c>
      <c r="N2340" s="20" t="s">
        <v>4817</v>
      </c>
      <c r="O2340" s="20" t="s">
        <v>63</v>
      </c>
      <c r="P2340" s="20" t="s">
        <v>52</v>
      </c>
      <c r="Q2340" s="22"/>
      <c r="R2340" s="22"/>
      <c r="S2340" s="22"/>
      <c r="T2340" s="26"/>
      <c r="U2340" s="26"/>
      <c r="V2340" s="26"/>
      <c r="W2340" s="20"/>
      <c r="X2340" s="20"/>
      <c r="Y2340" s="20"/>
      <c r="Z2340" s="20"/>
      <c r="AA2340" s="20"/>
      <c r="AB2340" s="20"/>
      <c r="AC2340" s="20"/>
      <c r="AD2340" s="20"/>
      <c r="AE2340" s="20"/>
    </row>
    <row r="2341">
      <c r="A2341" s="21">
        <v>60.0</v>
      </c>
      <c r="B2341" s="20" t="s">
        <v>1714</v>
      </c>
      <c r="C2341" s="20" t="s">
        <v>5270</v>
      </c>
      <c r="I2341" s="25" t="s">
        <v>4701</v>
      </c>
      <c r="J2341" s="25" t="s">
        <v>4647</v>
      </c>
      <c r="K2341" s="25" t="s">
        <v>71</v>
      </c>
      <c r="L2341" s="25" t="s">
        <v>5457</v>
      </c>
      <c r="M2341" s="20" t="s">
        <v>4665</v>
      </c>
      <c r="N2341" s="20" t="s">
        <v>4666</v>
      </c>
      <c r="O2341" s="20" t="s">
        <v>63</v>
      </c>
      <c r="P2341" s="20" t="s">
        <v>52</v>
      </c>
      <c r="Q2341" s="22"/>
      <c r="R2341" s="22"/>
      <c r="S2341" s="22"/>
      <c r="T2341" s="26"/>
      <c r="U2341" s="26"/>
      <c r="V2341" s="26"/>
      <c r="W2341" s="20"/>
      <c r="X2341" s="20"/>
      <c r="Y2341" s="20"/>
      <c r="Z2341" s="20"/>
      <c r="AA2341" s="20"/>
      <c r="AB2341" s="20"/>
      <c r="AC2341" s="20"/>
      <c r="AD2341" s="20"/>
      <c r="AE2341" s="20"/>
    </row>
    <row r="2342">
      <c r="A2342" s="21">
        <v>60.0</v>
      </c>
      <c r="B2342" s="20" t="s">
        <v>1714</v>
      </c>
      <c r="C2342" s="20" t="s">
        <v>5270</v>
      </c>
      <c r="I2342" s="25" t="s">
        <v>2878</v>
      </c>
      <c r="J2342" s="25" t="s">
        <v>4643</v>
      </c>
      <c r="K2342" s="25" t="s">
        <v>71</v>
      </c>
      <c r="L2342" s="25" t="s">
        <v>292</v>
      </c>
      <c r="M2342" s="20" t="s">
        <v>4818</v>
      </c>
      <c r="N2342" s="20" t="s">
        <v>4819</v>
      </c>
      <c r="O2342" s="20" t="s">
        <v>63</v>
      </c>
      <c r="P2342" s="20" t="s">
        <v>52</v>
      </c>
      <c r="Q2342" s="22"/>
      <c r="R2342" s="22"/>
      <c r="S2342" s="22"/>
      <c r="T2342" s="22"/>
      <c r="U2342" s="26"/>
      <c r="V2342" s="26"/>
      <c r="W2342" s="20"/>
      <c r="X2342" s="20"/>
      <c r="Y2342" s="20"/>
      <c r="Z2342" s="20"/>
      <c r="AA2342" s="20"/>
      <c r="AB2342" s="20"/>
      <c r="AC2342" s="20"/>
      <c r="AD2342" s="20"/>
      <c r="AE2342" s="20"/>
    </row>
    <row r="2343">
      <c r="A2343" s="21">
        <v>60.0</v>
      </c>
      <c r="B2343" s="20" t="s">
        <v>1714</v>
      </c>
      <c r="C2343" s="20" t="s">
        <v>5270</v>
      </c>
      <c r="I2343" s="25" t="s">
        <v>4820</v>
      </c>
      <c r="J2343" s="25" t="s">
        <v>4643</v>
      </c>
      <c r="K2343" s="25" t="s">
        <v>71</v>
      </c>
      <c r="L2343" s="25" t="s">
        <v>292</v>
      </c>
      <c r="M2343" s="20" t="s">
        <v>4821</v>
      </c>
      <c r="N2343" s="20" t="s">
        <v>4822</v>
      </c>
      <c r="O2343" s="20" t="s">
        <v>63</v>
      </c>
      <c r="P2343" s="20" t="s">
        <v>52</v>
      </c>
      <c r="Q2343" s="22"/>
      <c r="R2343" s="22"/>
      <c r="S2343" s="22"/>
      <c r="T2343" s="22"/>
      <c r="U2343" s="26"/>
      <c r="V2343" s="26"/>
      <c r="W2343" s="20"/>
      <c r="X2343" s="20"/>
      <c r="Y2343" s="20"/>
      <c r="Z2343" s="20"/>
      <c r="AA2343" s="20"/>
      <c r="AB2343" s="20"/>
      <c r="AC2343" s="20"/>
      <c r="AD2343" s="20"/>
      <c r="AE2343" s="20"/>
    </row>
    <row r="2344">
      <c r="A2344" s="21">
        <v>60.0</v>
      </c>
      <c r="B2344" s="20" t="s">
        <v>1714</v>
      </c>
      <c r="C2344" s="20" t="s">
        <v>5270</v>
      </c>
      <c r="I2344" s="25" t="s">
        <v>1724</v>
      </c>
      <c r="J2344" s="25" t="s">
        <v>4643</v>
      </c>
      <c r="K2344" s="25" t="s">
        <v>71</v>
      </c>
      <c r="L2344" s="25" t="s">
        <v>292</v>
      </c>
      <c r="M2344" s="20" t="s">
        <v>4823</v>
      </c>
      <c r="N2344" s="20" t="s">
        <v>4824</v>
      </c>
      <c r="O2344" s="20" t="s">
        <v>63</v>
      </c>
      <c r="P2344" s="20" t="s">
        <v>52</v>
      </c>
      <c r="Q2344" s="22"/>
      <c r="R2344" s="22"/>
      <c r="S2344" s="22"/>
      <c r="T2344" s="22"/>
      <c r="U2344" s="26"/>
      <c r="V2344" s="26"/>
      <c r="W2344" s="20"/>
      <c r="X2344" s="20"/>
      <c r="Y2344" s="20"/>
      <c r="Z2344" s="20"/>
      <c r="AA2344" s="20"/>
      <c r="AB2344" s="20"/>
      <c r="AC2344" s="20"/>
      <c r="AD2344" s="20"/>
      <c r="AE2344" s="20"/>
    </row>
    <row r="2345">
      <c r="A2345" s="21">
        <v>60.0</v>
      </c>
      <c r="B2345" s="20" t="s">
        <v>1714</v>
      </c>
      <c r="C2345" s="20" t="s">
        <v>5270</v>
      </c>
      <c r="I2345" s="25" t="s">
        <v>2095</v>
      </c>
      <c r="J2345" s="25" t="s">
        <v>4647</v>
      </c>
      <c r="K2345" s="25" t="s">
        <v>71</v>
      </c>
      <c r="L2345" s="25" t="s">
        <v>5457</v>
      </c>
      <c r="M2345" s="20" t="s">
        <v>2096</v>
      </c>
      <c r="N2345" s="20" t="s">
        <v>2098</v>
      </c>
      <c r="O2345" s="20" t="s">
        <v>63</v>
      </c>
      <c r="P2345" s="20" t="s">
        <v>52</v>
      </c>
      <c r="Q2345" s="22"/>
      <c r="R2345" s="22"/>
      <c r="S2345" s="22"/>
      <c r="T2345" s="26"/>
      <c r="U2345" s="26"/>
      <c r="V2345" s="26"/>
      <c r="W2345" s="20"/>
      <c r="X2345" s="20"/>
      <c r="Y2345" s="20"/>
      <c r="Z2345" s="20"/>
      <c r="AA2345" s="20"/>
      <c r="AB2345" s="20"/>
      <c r="AC2345" s="20"/>
      <c r="AD2345" s="20"/>
      <c r="AE2345" s="20"/>
    </row>
    <row r="2346">
      <c r="A2346" s="21">
        <v>60.0</v>
      </c>
      <c r="B2346" s="20" t="s">
        <v>1714</v>
      </c>
      <c r="C2346" s="20" t="s">
        <v>5270</v>
      </c>
      <c r="I2346" s="25" t="s">
        <v>2773</v>
      </c>
      <c r="J2346" s="25" t="s">
        <v>4643</v>
      </c>
      <c r="K2346" s="25" t="s">
        <v>71</v>
      </c>
      <c r="L2346" s="25" t="s">
        <v>292</v>
      </c>
      <c r="M2346" s="20" t="s">
        <v>4826</v>
      </c>
      <c r="N2346" s="20" t="s">
        <v>4827</v>
      </c>
      <c r="O2346" s="20" t="s">
        <v>63</v>
      </c>
      <c r="P2346" s="20" t="s">
        <v>52</v>
      </c>
      <c r="Q2346" s="22"/>
      <c r="R2346" s="22"/>
      <c r="S2346" s="22"/>
      <c r="T2346" s="22"/>
      <c r="U2346" s="26"/>
      <c r="V2346" s="26"/>
      <c r="W2346" s="20"/>
      <c r="X2346" s="20"/>
      <c r="Y2346" s="20"/>
      <c r="Z2346" s="20"/>
      <c r="AA2346" s="20"/>
      <c r="AB2346" s="20"/>
      <c r="AC2346" s="20"/>
      <c r="AD2346" s="20"/>
      <c r="AE2346" s="20"/>
    </row>
    <row r="2347">
      <c r="A2347" s="21">
        <v>60.0</v>
      </c>
      <c r="B2347" s="20" t="s">
        <v>1714</v>
      </c>
      <c r="C2347" s="20" t="s">
        <v>5270</v>
      </c>
      <c r="I2347" s="25" t="s">
        <v>4702</v>
      </c>
      <c r="J2347" s="25" t="s">
        <v>4647</v>
      </c>
      <c r="K2347" s="25" t="s">
        <v>71</v>
      </c>
      <c r="L2347" s="25" t="s">
        <v>5458</v>
      </c>
      <c r="M2347" s="20" t="s">
        <v>4703</v>
      </c>
      <c r="N2347" s="20" t="s">
        <v>4704</v>
      </c>
      <c r="O2347" s="20" t="s">
        <v>63</v>
      </c>
      <c r="P2347" s="20" t="s">
        <v>52</v>
      </c>
      <c r="Q2347" s="22"/>
      <c r="R2347" s="22"/>
      <c r="S2347" s="22"/>
      <c r="T2347" s="26"/>
      <c r="U2347" s="26"/>
      <c r="V2347" s="26"/>
      <c r="W2347" s="20"/>
      <c r="X2347" s="20"/>
      <c r="Y2347" s="20"/>
      <c r="Z2347" s="20"/>
      <c r="AA2347" s="20"/>
      <c r="AB2347" s="20"/>
      <c r="AC2347" s="20"/>
      <c r="AD2347" s="20"/>
      <c r="AE2347" s="20"/>
    </row>
    <row r="2348">
      <c r="A2348" s="21">
        <v>60.0</v>
      </c>
      <c r="B2348" s="20" t="s">
        <v>1714</v>
      </c>
      <c r="C2348" s="20" t="s">
        <v>5270</v>
      </c>
      <c r="I2348" s="25" t="s">
        <v>4829</v>
      </c>
      <c r="J2348" s="25" t="s">
        <v>4643</v>
      </c>
      <c r="K2348" s="25" t="s">
        <v>71</v>
      </c>
      <c r="L2348" s="25" t="s">
        <v>292</v>
      </c>
      <c r="M2348" s="20" t="s">
        <v>4830</v>
      </c>
      <c r="N2348" s="20" t="s">
        <v>4831</v>
      </c>
      <c r="O2348" s="20" t="s">
        <v>63</v>
      </c>
      <c r="P2348" s="20" t="s">
        <v>52</v>
      </c>
      <c r="Q2348" s="22"/>
      <c r="R2348" s="22"/>
      <c r="S2348" s="22"/>
      <c r="T2348" s="22"/>
      <c r="U2348" s="26"/>
      <c r="V2348" s="26"/>
      <c r="W2348" s="20"/>
      <c r="X2348" s="20"/>
      <c r="Y2348" s="20"/>
      <c r="Z2348" s="20"/>
      <c r="AA2348" s="20"/>
      <c r="AB2348" s="20"/>
      <c r="AC2348" s="20"/>
      <c r="AD2348" s="20"/>
      <c r="AE2348" s="20"/>
    </row>
    <row r="2349">
      <c r="A2349" s="21">
        <v>60.0</v>
      </c>
      <c r="B2349" s="20" t="s">
        <v>1714</v>
      </c>
      <c r="C2349" s="20" t="s">
        <v>5270</v>
      </c>
      <c r="I2349" s="25" t="s">
        <v>3456</v>
      </c>
      <c r="J2349" s="25" t="s">
        <v>4906</v>
      </c>
      <c r="K2349" s="25" t="s">
        <v>71</v>
      </c>
      <c r="L2349" s="25" t="s">
        <v>5469</v>
      </c>
      <c r="M2349" s="20" t="s">
        <v>4942</v>
      </c>
      <c r="N2349" s="20" t="s">
        <v>4943</v>
      </c>
      <c r="O2349" s="20" t="s">
        <v>63</v>
      </c>
      <c r="P2349" s="20" t="s">
        <v>52</v>
      </c>
      <c r="Q2349" s="22"/>
      <c r="R2349" s="22"/>
      <c r="S2349" s="22"/>
      <c r="T2349" s="26"/>
      <c r="U2349" s="26"/>
      <c r="V2349" s="26"/>
      <c r="W2349" s="20"/>
      <c r="X2349" s="20"/>
      <c r="Y2349" s="20"/>
      <c r="Z2349" s="20"/>
      <c r="AA2349" s="20"/>
      <c r="AB2349" s="20"/>
      <c r="AC2349" s="20"/>
      <c r="AD2349" s="20"/>
      <c r="AE2349" s="20"/>
    </row>
    <row r="2350">
      <c r="A2350" s="21">
        <v>60.0</v>
      </c>
      <c r="B2350" s="20" t="s">
        <v>1714</v>
      </c>
      <c r="C2350" s="20" t="s">
        <v>5270</v>
      </c>
      <c r="I2350" s="25" t="s">
        <v>1460</v>
      </c>
      <c r="J2350" s="25" t="s">
        <v>4652</v>
      </c>
      <c r="K2350" s="25" t="s">
        <v>71</v>
      </c>
      <c r="L2350" s="25" t="s">
        <v>5469</v>
      </c>
      <c r="M2350" s="20" t="s">
        <v>3488</v>
      </c>
      <c r="N2350" s="20" t="s">
        <v>3489</v>
      </c>
      <c r="O2350" s="20" t="s">
        <v>63</v>
      </c>
      <c r="P2350" s="20" t="s">
        <v>52</v>
      </c>
      <c r="Q2350" s="22"/>
      <c r="R2350" s="22"/>
      <c r="S2350" s="22"/>
      <c r="T2350" s="26"/>
      <c r="U2350" s="26"/>
      <c r="V2350" s="26"/>
      <c r="W2350" s="20"/>
      <c r="X2350" s="20"/>
      <c r="Y2350" s="20"/>
      <c r="Z2350" s="20"/>
      <c r="AA2350" s="20"/>
      <c r="AB2350" s="20"/>
      <c r="AC2350" s="20"/>
      <c r="AD2350" s="20"/>
      <c r="AE2350" s="20"/>
    </row>
    <row r="2351">
      <c r="A2351" s="21">
        <v>60.0</v>
      </c>
      <c r="B2351" s="20" t="s">
        <v>1714</v>
      </c>
      <c r="C2351" s="20" t="s">
        <v>5270</v>
      </c>
      <c r="I2351" s="25" t="s">
        <v>3520</v>
      </c>
      <c r="J2351" s="25" t="s">
        <v>4643</v>
      </c>
      <c r="K2351" s="25" t="s">
        <v>71</v>
      </c>
      <c r="L2351" s="25" t="s">
        <v>5469</v>
      </c>
      <c r="M2351" s="20" t="s">
        <v>4832</v>
      </c>
      <c r="N2351" s="20" t="s">
        <v>4833</v>
      </c>
      <c r="O2351" s="20" t="s">
        <v>63</v>
      </c>
      <c r="P2351" s="20" t="s">
        <v>52</v>
      </c>
      <c r="Q2351" s="22"/>
      <c r="R2351" s="22"/>
      <c r="S2351" s="22"/>
      <c r="T2351" s="26"/>
      <c r="U2351" s="26"/>
      <c r="V2351" s="26"/>
      <c r="W2351" s="20"/>
      <c r="X2351" s="20"/>
      <c r="Y2351" s="20"/>
      <c r="Z2351" s="20"/>
      <c r="AA2351" s="20"/>
      <c r="AB2351" s="20"/>
      <c r="AC2351" s="20"/>
      <c r="AD2351" s="20"/>
      <c r="AE2351" s="20"/>
    </row>
    <row r="2352">
      <c r="A2352" s="21">
        <v>60.0</v>
      </c>
      <c r="B2352" s="20" t="s">
        <v>1714</v>
      </c>
      <c r="C2352" s="20" t="s">
        <v>5270</v>
      </c>
      <c r="I2352" s="25" t="s">
        <v>81</v>
      </c>
      <c r="J2352" s="25" t="s">
        <v>4643</v>
      </c>
      <c r="K2352" s="25" t="s">
        <v>71</v>
      </c>
      <c r="L2352" s="25" t="s">
        <v>292</v>
      </c>
      <c r="M2352" s="20" t="s">
        <v>4469</v>
      </c>
      <c r="N2352" s="20" t="s">
        <v>4835</v>
      </c>
      <c r="O2352" s="20" t="s">
        <v>63</v>
      </c>
      <c r="P2352" s="20" t="s">
        <v>52</v>
      </c>
      <c r="Q2352" s="22"/>
      <c r="R2352" s="22"/>
      <c r="S2352" s="22"/>
      <c r="T2352" s="22"/>
      <c r="U2352" s="26"/>
      <c r="V2352" s="26"/>
      <c r="W2352" s="20"/>
      <c r="X2352" s="20"/>
      <c r="Y2352" s="20"/>
      <c r="Z2352" s="20"/>
      <c r="AA2352" s="20"/>
      <c r="AB2352" s="20"/>
      <c r="AC2352" s="20"/>
      <c r="AD2352" s="20"/>
      <c r="AE2352" s="20"/>
    </row>
    <row r="2353">
      <c r="A2353" s="21">
        <v>60.0</v>
      </c>
      <c r="B2353" s="20" t="s">
        <v>1714</v>
      </c>
      <c r="C2353" s="20" t="s">
        <v>5270</v>
      </c>
      <c r="I2353" s="25" t="s">
        <v>4944</v>
      </c>
      <c r="J2353" s="25" t="s">
        <v>4906</v>
      </c>
      <c r="K2353" s="25" t="s">
        <v>71</v>
      </c>
      <c r="L2353" s="25" t="s">
        <v>5475</v>
      </c>
      <c r="M2353" s="20" t="s">
        <v>4945</v>
      </c>
      <c r="N2353" s="20" t="s">
        <v>4946</v>
      </c>
      <c r="O2353" s="20" t="s">
        <v>63</v>
      </c>
      <c r="P2353" s="20" t="s">
        <v>52</v>
      </c>
      <c r="Q2353" s="22"/>
      <c r="R2353" s="22"/>
      <c r="S2353" s="22"/>
      <c r="T2353" s="26"/>
      <c r="U2353" s="26"/>
      <c r="V2353" s="26"/>
      <c r="W2353" s="20"/>
      <c r="X2353" s="20"/>
      <c r="Y2353" s="20"/>
      <c r="Z2353" s="20"/>
      <c r="AA2353" s="20"/>
      <c r="AB2353" s="20"/>
      <c r="AC2353" s="20"/>
      <c r="AD2353" s="20"/>
      <c r="AE2353" s="20"/>
    </row>
    <row r="2354">
      <c r="A2354" s="21">
        <v>60.0</v>
      </c>
      <c r="B2354" s="20" t="s">
        <v>1714</v>
      </c>
      <c r="C2354" s="20" t="s">
        <v>5270</v>
      </c>
      <c r="I2354" s="25" t="s">
        <v>4836</v>
      </c>
      <c r="J2354" s="25" t="s">
        <v>4643</v>
      </c>
      <c r="K2354" s="25" t="s">
        <v>71</v>
      </c>
      <c r="L2354" s="25" t="s">
        <v>5458</v>
      </c>
      <c r="M2354" s="20" t="s">
        <v>4837</v>
      </c>
      <c r="N2354" s="20" t="s">
        <v>4838</v>
      </c>
      <c r="O2354" s="20" t="s">
        <v>63</v>
      </c>
      <c r="P2354" s="20" t="s">
        <v>52</v>
      </c>
      <c r="Q2354" s="22"/>
      <c r="R2354" s="22"/>
      <c r="S2354" s="22"/>
      <c r="T2354" s="26"/>
      <c r="U2354" s="26"/>
      <c r="V2354" s="26"/>
      <c r="W2354" s="20"/>
      <c r="X2354" s="20"/>
      <c r="Y2354" s="20"/>
      <c r="Z2354" s="20"/>
      <c r="AA2354" s="20"/>
      <c r="AB2354" s="20"/>
      <c r="AC2354" s="20"/>
      <c r="AD2354" s="20"/>
      <c r="AE2354" s="20"/>
    </row>
    <row r="2355">
      <c r="A2355" s="21">
        <v>60.0</v>
      </c>
      <c r="B2355" s="20" t="s">
        <v>1714</v>
      </c>
      <c r="C2355" s="20" t="s">
        <v>5270</v>
      </c>
      <c r="I2355" s="25" t="s">
        <v>1812</v>
      </c>
      <c r="J2355" s="25" t="s">
        <v>4641</v>
      </c>
      <c r="K2355" s="25" t="s">
        <v>71</v>
      </c>
      <c r="L2355" s="25" t="s">
        <v>5457</v>
      </c>
      <c r="M2355" s="20" t="s">
        <v>4888</v>
      </c>
      <c r="N2355" s="20" t="s">
        <v>4889</v>
      </c>
      <c r="O2355" s="20" t="s">
        <v>63</v>
      </c>
      <c r="P2355" s="20" t="s">
        <v>52</v>
      </c>
      <c r="Q2355" s="22"/>
      <c r="R2355" s="22"/>
      <c r="S2355" s="22"/>
      <c r="T2355" s="26"/>
      <c r="U2355" s="26"/>
      <c r="V2355" s="26"/>
      <c r="W2355" s="20"/>
      <c r="X2355" s="20"/>
      <c r="Y2355" s="20"/>
      <c r="Z2355" s="20"/>
      <c r="AA2355" s="20"/>
      <c r="AB2355" s="20"/>
      <c r="AC2355" s="20"/>
      <c r="AD2355" s="20"/>
      <c r="AE2355" s="20"/>
    </row>
    <row r="2356">
      <c r="A2356" s="21">
        <v>60.0</v>
      </c>
      <c r="B2356" s="20" t="s">
        <v>1714</v>
      </c>
      <c r="C2356" s="20" t="s">
        <v>5270</v>
      </c>
      <c r="I2356" s="25" t="s">
        <v>3590</v>
      </c>
      <c r="J2356" s="25" t="s">
        <v>4643</v>
      </c>
      <c r="K2356" s="25" t="s">
        <v>71</v>
      </c>
      <c r="L2356" s="25" t="s">
        <v>292</v>
      </c>
      <c r="M2356" s="20" t="s">
        <v>4839</v>
      </c>
      <c r="N2356" s="20" t="s">
        <v>4840</v>
      </c>
      <c r="O2356" s="20" t="s">
        <v>63</v>
      </c>
      <c r="P2356" s="20" t="s">
        <v>52</v>
      </c>
      <c r="Q2356" s="22"/>
      <c r="R2356" s="22"/>
      <c r="S2356" s="22"/>
      <c r="T2356" s="22"/>
      <c r="U2356" s="26"/>
      <c r="V2356" s="26"/>
      <c r="W2356" s="20"/>
      <c r="X2356" s="20"/>
      <c r="Y2356" s="20"/>
      <c r="Z2356" s="20"/>
      <c r="AA2356" s="20"/>
      <c r="AB2356" s="20"/>
      <c r="AC2356" s="20"/>
      <c r="AD2356" s="20"/>
      <c r="AE2356" s="20"/>
    </row>
    <row r="2357">
      <c r="A2357" s="21">
        <v>60.0</v>
      </c>
      <c r="B2357" s="20" t="s">
        <v>1714</v>
      </c>
      <c r="C2357" s="20" t="s">
        <v>5270</v>
      </c>
      <c r="I2357" s="25" t="s">
        <v>4505</v>
      </c>
      <c r="J2357" s="25" t="s">
        <v>4641</v>
      </c>
      <c r="K2357" s="25" t="s">
        <v>71</v>
      </c>
      <c r="L2357" s="25" t="s">
        <v>5457</v>
      </c>
      <c r="M2357" s="20" t="s">
        <v>4506</v>
      </c>
      <c r="N2357" s="20" t="s">
        <v>4507</v>
      </c>
      <c r="O2357" s="20" t="s">
        <v>63</v>
      </c>
      <c r="P2357" s="20" t="s">
        <v>52</v>
      </c>
      <c r="Q2357" s="22"/>
      <c r="R2357" s="22"/>
      <c r="S2357" s="22"/>
      <c r="T2357" s="26"/>
      <c r="U2357" s="26"/>
      <c r="V2357" s="26"/>
      <c r="W2357" s="20"/>
      <c r="X2357" s="20"/>
      <c r="Y2357" s="20"/>
      <c r="Z2357" s="20"/>
      <c r="AA2357" s="20"/>
      <c r="AB2357" s="20"/>
      <c r="AC2357" s="20"/>
      <c r="AD2357" s="20"/>
      <c r="AE2357" s="20"/>
    </row>
    <row r="2358">
      <c r="A2358" s="21">
        <v>60.0</v>
      </c>
      <c r="B2358" s="20" t="s">
        <v>1714</v>
      </c>
      <c r="C2358" s="20" t="s">
        <v>5270</v>
      </c>
      <c r="I2358" s="25" t="s">
        <v>3414</v>
      </c>
      <c r="J2358" s="25" t="s">
        <v>4652</v>
      </c>
      <c r="K2358" s="25" t="s">
        <v>71</v>
      </c>
      <c r="L2358" s="25" t="s">
        <v>5469</v>
      </c>
      <c r="M2358" s="20" t="s">
        <v>3480</v>
      </c>
      <c r="N2358" s="20" t="s">
        <v>4972</v>
      </c>
      <c r="O2358" s="20" t="s">
        <v>63</v>
      </c>
      <c r="P2358" s="20" t="s">
        <v>52</v>
      </c>
      <c r="Q2358" s="22"/>
      <c r="R2358" s="22"/>
      <c r="S2358" s="22"/>
      <c r="T2358" s="26"/>
      <c r="U2358" s="26"/>
      <c r="V2358" s="26"/>
      <c r="W2358" s="20"/>
      <c r="X2358" s="20"/>
      <c r="Y2358" s="20"/>
      <c r="Z2358" s="20"/>
      <c r="AA2358" s="20"/>
      <c r="AB2358" s="20"/>
      <c r="AC2358" s="20"/>
      <c r="AD2358" s="20"/>
      <c r="AE2358" s="20"/>
    </row>
    <row r="2359">
      <c r="A2359" s="21">
        <v>60.0</v>
      </c>
      <c r="B2359" s="20" t="s">
        <v>1714</v>
      </c>
      <c r="C2359" s="20" t="s">
        <v>5270</v>
      </c>
      <c r="I2359" s="25" t="s">
        <v>4842</v>
      </c>
      <c r="J2359" s="25" t="s">
        <v>4643</v>
      </c>
      <c r="K2359" s="25" t="s">
        <v>71</v>
      </c>
      <c r="L2359" s="25" t="s">
        <v>5482</v>
      </c>
      <c r="M2359" s="20" t="s">
        <v>4843</v>
      </c>
      <c r="N2359" s="20" t="s">
        <v>4844</v>
      </c>
      <c r="O2359" s="20" t="s">
        <v>63</v>
      </c>
      <c r="P2359" s="20" t="s">
        <v>52</v>
      </c>
      <c r="Q2359" s="22"/>
      <c r="R2359" s="22"/>
      <c r="S2359" s="22"/>
      <c r="T2359" s="26"/>
      <c r="U2359" s="26"/>
      <c r="V2359" s="26"/>
      <c r="W2359" s="20"/>
      <c r="X2359" s="20"/>
      <c r="Y2359" s="20"/>
      <c r="Z2359" s="20"/>
      <c r="AA2359" s="20"/>
      <c r="AB2359" s="20"/>
      <c r="AC2359" s="20"/>
      <c r="AD2359" s="20"/>
      <c r="AE2359" s="20"/>
    </row>
    <row r="2360">
      <c r="A2360" s="21">
        <v>60.0</v>
      </c>
      <c r="B2360" s="20" t="s">
        <v>1714</v>
      </c>
      <c r="C2360" s="20" t="s">
        <v>5270</v>
      </c>
      <c r="I2360" s="25" t="s">
        <v>1351</v>
      </c>
      <c r="J2360" s="25" t="s">
        <v>4892</v>
      </c>
      <c r="K2360" s="25" t="s">
        <v>71</v>
      </c>
      <c r="L2360" s="25" t="s">
        <v>5483</v>
      </c>
      <c r="M2360" s="20" t="s">
        <v>4894</v>
      </c>
      <c r="N2360" s="20" t="s">
        <v>4895</v>
      </c>
      <c r="O2360" s="20" t="s">
        <v>63</v>
      </c>
      <c r="P2360" s="20" t="s">
        <v>52</v>
      </c>
      <c r="Q2360" s="22"/>
      <c r="R2360" s="22"/>
      <c r="S2360" s="22"/>
      <c r="T2360" s="26"/>
      <c r="U2360" s="26"/>
      <c r="V2360" s="26"/>
      <c r="W2360" s="20"/>
      <c r="X2360" s="20"/>
      <c r="Y2360" s="20"/>
      <c r="Z2360" s="20"/>
      <c r="AA2360" s="20"/>
      <c r="AB2360" s="20"/>
      <c r="AC2360" s="20"/>
      <c r="AD2360" s="20"/>
      <c r="AE2360" s="20"/>
    </row>
    <row r="2361">
      <c r="A2361" s="21">
        <v>60.0</v>
      </c>
      <c r="B2361" s="20" t="s">
        <v>1714</v>
      </c>
      <c r="C2361" s="20" t="s">
        <v>5270</v>
      </c>
      <c r="I2361" s="25" t="s">
        <v>2466</v>
      </c>
      <c r="J2361" s="25" t="s">
        <v>4643</v>
      </c>
      <c r="K2361" s="25" t="s">
        <v>71</v>
      </c>
      <c r="L2361" s="25" t="s">
        <v>292</v>
      </c>
      <c r="M2361" s="20" t="s">
        <v>2467</v>
      </c>
      <c r="N2361" s="20" t="s">
        <v>4845</v>
      </c>
      <c r="O2361" s="20" t="s">
        <v>63</v>
      </c>
      <c r="P2361" s="20" t="s">
        <v>52</v>
      </c>
      <c r="Q2361" s="22"/>
      <c r="R2361" s="22"/>
      <c r="S2361" s="22"/>
      <c r="T2361" s="22"/>
      <c r="U2361" s="26"/>
      <c r="V2361" s="26"/>
      <c r="W2361" s="20"/>
      <c r="X2361" s="20"/>
      <c r="Y2361" s="20"/>
      <c r="Z2361" s="20"/>
      <c r="AA2361" s="20"/>
      <c r="AB2361" s="20"/>
      <c r="AC2361" s="20"/>
      <c r="AD2361" s="20"/>
      <c r="AE2361" s="20"/>
    </row>
    <row r="2362">
      <c r="A2362" s="21">
        <v>60.0</v>
      </c>
      <c r="B2362" s="20" t="s">
        <v>1714</v>
      </c>
      <c r="C2362" s="20" t="s">
        <v>5270</v>
      </c>
      <c r="I2362" s="25" t="s">
        <v>4847</v>
      </c>
      <c r="J2362" s="25" t="s">
        <v>4643</v>
      </c>
      <c r="K2362" s="25" t="s">
        <v>71</v>
      </c>
      <c r="L2362" s="25" t="s">
        <v>5486</v>
      </c>
      <c r="M2362" s="20" t="s">
        <v>4848</v>
      </c>
      <c r="N2362" s="20" t="s">
        <v>4849</v>
      </c>
      <c r="O2362" s="20" t="s">
        <v>63</v>
      </c>
      <c r="P2362" s="20" t="s">
        <v>52</v>
      </c>
      <c r="Q2362" s="22"/>
      <c r="R2362" s="22"/>
      <c r="S2362" s="22"/>
      <c r="T2362" s="26"/>
      <c r="U2362" s="26"/>
      <c r="V2362" s="26"/>
      <c r="W2362" s="20"/>
      <c r="X2362" s="20"/>
      <c r="Y2362" s="20"/>
      <c r="Z2362" s="20"/>
      <c r="AA2362" s="20"/>
      <c r="AB2362" s="20"/>
      <c r="AC2362" s="20"/>
      <c r="AD2362" s="20"/>
      <c r="AE2362" s="20"/>
    </row>
    <row r="2363">
      <c r="A2363" s="21">
        <v>60.0</v>
      </c>
      <c r="B2363" s="20" t="s">
        <v>1714</v>
      </c>
      <c r="C2363" s="20" t="s">
        <v>5270</v>
      </c>
      <c r="I2363" s="25" t="s">
        <v>4902</v>
      </c>
      <c r="J2363" s="25" t="s">
        <v>4899</v>
      </c>
      <c r="K2363" s="25" t="s">
        <v>71</v>
      </c>
      <c r="L2363" s="25" t="s">
        <v>5486</v>
      </c>
      <c r="M2363" s="20" t="s">
        <v>4903</v>
      </c>
      <c r="N2363" s="20" t="s">
        <v>4904</v>
      </c>
      <c r="O2363" s="20" t="s">
        <v>63</v>
      </c>
      <c r="P2363" s="20" t="s">
        <v>52</v>
      </c>
      <c r="Q2363" s="22"/>
      <c r="R2363" s="22"/>
      <c r="S2363" s="22"/>
      <c r="T2363" s="26"/>
      <c r="U2363" s="26"/>
      <c r="V2363" s="26"/>
      <c r="W2363" s="20"/>
      <c r="X2363" s="20"/>
      <c r="Y2363" s="20"/>
      <c r="Z2363" s="20"/>
      <c r="AA2363" s="20"/>
      <c r="AB2363" s="20"/>
      <c r="AC2363" s="20"/>
      <c r="AD2363" s="20"/>
      <c r="AE2363" s="20"/>
    </row>
    <row r="2364">
      <c r="A2364" s="21">
        <v>60.0</v>
      </c>
      <c r="B2364" s="20" t="s">
        <v>1714</v>
      </c>
      <c r="C2364" s="20" t="s">
        <v>5270</v>
      </c>
      <c r="I2364" s="25" t="s">
        <v>4561</v>
      </c>
      <c r="J2364" s="25" t="s">
        <v>4643</v>
      </c>
      <c r="K2364" s="25" t="s">
        <v>71</v>
      </c>
      <c r="L2364" s="25" t="s">
        <v>292</v>
      </c>
      <c r="M2364" s="20" t="s">
        <v>4562</v>
      </c>
      <c r="N2364" s="20" t="s">
        <v>4851</v>
      </c>
      <c r="O2364" s="20" t="s">
        <v>63</v>
      </c>
      <c r="P2364" s="20" t="s">
        <v>52</v>
      </c>
      <c r="Q2364" s="22"/>
      <c r="R2364" s="22"/>
      <c r="S2364" s="22"/>
      <c r="T2364" s="22"/>
      <c r="U2364" s="26"/>
      <c r="V2364" s="26"/>
      <c r="W2364" s="20"/>
      <c r="X2364" s="20"/>
      <c r="Y2364" s="20"/>
      <c r="Z2364" s="20"/>
      <c r="AA2364" s="20"/>
      <c r="AB2364" s="20"/>
      <c r="AC2364" s="20"/>
      <c r="AD2364" s="20"/>
      <c r="AE2364" s="20"/>
    </row>
    <row r="2365">
      <c r="A2365" s="21">
        <v>60.0</v>
      </c>
      <c r="B2365" s="20" t="s">
        <v>1714</v>
      </c>
      <c r="C2365" s="20" t="s">
        <v>5270</v>
      </c>
      <c r="I2365" s="25" t="s">
        <v>4947</v>
      </c>
      <c r="J2365" s="25" t="s">
        <v>4906</v>
      </c>
      <c r="K2365" s="25" t="s">
        <v>71</v>
      </c>
      <c r="L2365" s="25" t="s">
        <v>5486</v>
      </c>
      <c r="M2365" s="20" t="s">
        <v>4948</v>
      </c>
      <c r="N2365" s="20" t="s">
        <v>4949</v>
      </c>
      <c r="O2365" s="20" t="s">
        <v>63</v>
      </c>
      <c r="P2365" s="20" t="s">
        <v>52</v>
      </c>
      <c r="Q2365" s="22"/>
      <c r="R2365" s="22"/>
      <c r="S2365" s="22"/>
      <c r="T2365" s="26"/>
      <c r="U2365" s="26"/>
      <c r="V2365" s="26"/>
      <c r="W2365" s="20"/>
      <c r="X2365" s="20"/>
      <c r="Y2365" s="20"/>
      <c r="Z2365" s="20"/>
      <c r="AA2365" s="20"/>
      <c r="AB2365" s="20"/>
      <c r="AC2365" s="20"/>
      <c r="AD2365" s="20"/>
      <c r="AE2365" s="20"/>
    </row>
    <row r="2366">
      <c r="A2366" s="21">
        <v>60.0</v>
      </c>
      <c r="B2366" s="20" t="s">
        <v>1714</v>
      </c>
      <c r="C2366" s="20" t="s">
        <v>5270</v>
      </c>
      <c r="I2366" s="25" t="s">
        <v>4852</v>
      </c>
      <c r="J2366" s="25" t="s">
        <v>4643</v>
      </c>
      <c r="K2366" s="25" t="s">
        <v>71</v>
      </c>
      <c r="L2366" s="25" t="s">
        <v>292</v>
      </c>
      <c r="M2366" s="20" t="s">
        <v>4853</v>
      </c>
      <c r="N2366" s="20" t="s">
        <v>4854</v>
      </c>
      <c r="O2366" s="20" t="s">
        <v>63</v>
      </c>
      <c r="P2366" s="20" t="s">
        <v>52</v>
      </c>
      <c r="Q2366" s="22"/>
      <c r="R2366" s="22"/>
      <c r="S2366" s="22"/>
      <c r="T2366" s="22"/>
      <c r="U2366" s="26"/>
      <c r="V2366" s="26"/>
      <c r="W2366" s="20"/>
      <c r="X2366" s="20"/>
      <c r="Y2366" s="20"/>
      <c r="Z2366" s="20"/>
      <c r="AA2366" s="20"/>
      <c r="AB2366" s="20"/>
      <c r="AC2366" s="20"/>
      <c r="AD2366" s="20"/>
      <c r="AE2366" s="20"/>
    </row>
    <row r="2367">
      <c r="A2367" s="21">
        <v>60.0</v>
      </c>
      <c r="B2367" s="20" t="s">
        <v>1714</v>
      </c>
      <c r="C2367" s="20" t="s">
        <v>5270</v>
      </c>
      <c r="I2367" s="25" t="s">
        <v>4026</v>
      </c>
      <c r="J2367" s="25" t="s">
        <v>4643</v>
      </c>
      <c r="K2367" s="25" t="s">
        <v>71</v>
      </c>
      <c r="L2367" s="25" t="s">
        <v>5486</v>
      </c>
      <c r="M2367" s="20" t="s">
        <v>4027</v>
      </c>
      <c r="N2367" s="20" t="s">
        <v>4856</v>
      </c>
      <c r="O2367" s="20" t="s">
        <v>63</v>
      </c>
      <c r="P2367" s="20" t="s">
        <v>52</v>
      </c>
      <c r="Q2367" s="22"/>
      <c r="R2367" s="22"/>
      <c r="S2367" s="22"/>
      <c r="T2367" s="26"/>
      <c r="U2367" s="26"/>
      <c r="V2367" s="26"/>
      <c r="W2367" s="20"/>
      <c r="X2367" s="20"/>
      <c r="Y2367" s="20"/>
      <c r="Z2367" s="20"/>
      <c r="AA2367" s="20"/>
      <c r="AB2367" s="20"/>
      <c r="AC2367" s="20"/>
      <c r="AD2367" s="20"/>
      <c r="AE2367" s="20"/>
    </row>
    <row r="2368">
      <c r="A2368" s="21">
        <v>60.0</v>
      </c>
      <c r="B2368" s="20" t="s">
        <v>1714</v>
      </c>
      <c r="C2368" s="20" t="s">
        <v>5270</v>
      </c>
      <c r="I2368" s="25" t="s">
        <v>4973</v>
      </c>
      <c r="J2368" s="25" t="s">
        <v>4652</v>
      </c>
      <c r="K2368" s="25" t="s">
        <v>71</v>
      </c>
      <c r="L2368" s="25" t="s">
        <v>5489</v>
      </c>
      <c r="M2368" s="20" t="s">
        <v>4974</v>
      </c>
      <c r="N2368" s="20" t="s">
        <v>4975</v>
      </c>
      <c r="O2368" s="20" t="s">
        <v>63</v>
      </c>
      <c r="P2368" s="20" t="s">
        <v>52</v>
      </c>
      <c r="Q2368" s="22"/>
      <c r="R2368" s="22"/>
      <c r="S2368" s="22"/>
      <c r="T2368" s="26"/>
      <c r="U2368" s="26"/>
      <c r="V2368" s="26"/>
      <c r="W2368" s="20"/>
      <c r="X2368" s="20"/>
      <c r="Y2368" s="20"/>
      <c r="Z2368" s="20"/>
      <c r="AA2368" s="20"/>
      <c r="AB2368" s="20"/>
      <c r="AC2368" s="20"/>
      <c r="AD2368" s="20"/>
      <c r="AE2368" s="20"/>
    </row>
    <row r="2369">
      <c r="A2369" s="21">
        <v>60.0</v>
      </c>
      <c r="B2369" s="20" t="s">
        <v>1714</v>
      </c>
      <c r="C2369" s="20" t="s">
        <v>5270</v>
      </c>
      <c r="I2369" s="25" t="s">
        <v>4890</v>
      </c>
      <c r="J2369" s="25" t="s">
        <v>4641</v>
      </c>
      <c r="K2369" s="25" t="s">
        <v>71</v>
      </c>
      <c r="L2369" s="25" t="s">
        <v>5486</v>
      </c>
      <c r="M2369" s="20" t="s">
        <v>61</v>
      </c>
      <c r="N2369" s="20" t="s">
        <v>4891</v>
      </c>
      <c r="O2369" s="20" t="s">
        <v>63</v>
      </c>
      <c r="P2369" s="20" t="s">
        <v>52</v>
      </c>
      <c r="Q2369" s="22"/>
      <c r="R2369" s="22"/>
      <c r="S2369" s="22"/>
      <c r="T2369" s="26"/>
      <c r="U2369" s="26"/>
      <c r="V2369" s="26"/>
      <c r="W2369" s="20"/>
      <c r="X2369" s="20"/>
      <c r="Y2369" s="20"/>
      <c r="Z2369" s="20"/>
      <c r="AA2369" s="20"/>
      <c r="AB2369" s="20"/>
      <c r="AC2369" s="20"/>
      <c r="AD2369" s="20"/>
      <c r="AE2369" s="20"/>
    </row>
    <row r="2370">
      <c r="A2370" s="21">
        <v>60.0</v>
      </c>
      <c r="B2370" s="20" t="s">
        <v>1714</v>
      </c>
      <c r="C2370" s="20" t="s">
        <v>5270</v>
      </c>
      <c r="I2370" s="25" t="s">
        <v>4896</v>
      </c>
      <c r="J2370" s="25" t="s">
        <v>4892</v>
      </c>
      <c r="K2370" s="25" t="s">
        <v>71</v>
      </c>
      <c r="L2370" s="25" t="s">
        <v>5486</v>
      </c>
      <c r="M2370" s="20" t="s">
        <v>4897</v>
      </c>
      <c r="N2370" s="20" t="s">
        <v>4898</v>
      </c>
      <c r="O2370" s="20" t="s">
        <v>63</v>
      </c>
      <c r="P2370" s="20" t="s">
        <v>52</v>
      </c>
      <c r="Q2370" s="22"/>
      <c r="R2370" s="22"/>
      <c r="S2370" s="22"/>
      <c r="T2370" s="26"/>
      <c r="U2370" s="26"/>
      <c r="V2370" s="26"/>
      <c r="W2370" s="20"/>
      <c r="X2370" s="20"/>
      <c r="Y2370" s="20"/>
      <c r="Z2370" s="20"/>
      <c r="AA2370" s="20"/>
      <c r="AB2370" s="20"/>
      <c r="AC2370" s="20"/>
      <c r="AD2370" s="20"/>
      <c r="AE2370" s="20"/>
    </row>
    <row r="2371">
      <c r="A2371" s="21">
        <v>60.0</v>
      </c>
      <c r="B2371" s="20" t="s">
        <v>1714</v>
      </c>
      <c r="C2371" s="20" t="s">
        <v>5270</v>
      </c>
      <c r="I2371" s="25" t="s">
        <v>1417</v>
      </c>
      <c r="J2371" s="25" t="s">
        <v>4643</v>
      </c>
      <c r="K2371" s="25" t="s">
        <v>71</v>
      </c>
      <c r="L2371" s="25" t="s">
        <v>292</v>
      </c>
      <c r="M2371" s="20" t="s">
        <v>1418</v>
      </c>
      <c r="N2371" s="20" t="s">
        <v>4736</v>
      </c>
      <c r="O2371" s="20" t="s">
        <v>63</v>
      </c>
      <c r="P2371" s="20" t="s">
        <v>52</v>
      </c>
      <c r="Q2371" s="22"/>
      <c r="R2371" s="22"/>
      <c r="S2371" s="22"/>
      <c r="T2371" s="22"/>
      <c r="U2371" s="26"/>
      <c r="V2371" s="26"/>
      <c r="W2371" s="20"/>
      <c r="X2371" s="20"/>
      <c r="Y2371" s="20"/>
      <c r="Z2371" s="20"/>
      <c r="AA2371" s="20"/>
      <c r="AB2371" s="20"/>
      <c r="AC2371" s="20"/>
      <c r="AD2371" s="20"/>
      <c r="AE2371" s="20"/>
    </row>
    <row r="2372">
      <c r="A2372" s="21">
        <v>61.0</v>
      </c>
      <c r="B2372" s="20" t="s">
        <v>1716</v>
      </c>
      <c r="C2372" s="20" t="s">
        <v>5270</v>
      </c>
      <c r="D2372" s="35">
        <v>150.0</v>
      </c>
      <c r="E2372" s="35">
        <v>1.0</v>
      </c>
      <c r="F2372" s="35">
        <v>6.0</v>
      </c>
      <c r="G2372" s="35">
        <v>143.0</v>
      </c>
      <c r="H2372" s="36" t="s">
        <v>5490</v>
      </c>
      <c r="I2372" s="25" t="s">
        <v>1331</v>
      </c>
      <c r="J2372" s="25" t="s">
        <v>4980</v>
      </c>
      <c r="K2372" s="25" t="s">
        <v>67</v>
      </c>
      <c r="L2372" s="25" t="s">
        <v>1133</v>
      </c>
      <c r="M2372" s="20" t="s">
        <v>4723</v>
      </c>
      <c r="N2372" s="20" t="s">
        <v>4981</v>
      </c>
      <c r="O2372" s="20" t="s">
        <v>56</v>
      </c>
      <c r="P2372" s="20" t="s">
        <v>52</v>
      </c>
      <c r="Q2372" s="22"/>
      <c r="R2372" s="22"/>
      <c r="S2372" s="22"/>
      <c r="T2372" s="22"/>
      <c r="U2372" s="26"/>
      <c r="V2372" s="26"/>
      <c r="W2372" s="20"/>
      <c r="X2372" s="20"/>
      <c r="Y2372" s="20"/>
      <c r="Z2372" s="20"/>
      <c r="AA2372" s="20"/>
      <c r="AB2372" s="20"/>
      <c r="AC2372" s="20"/>
      <c r="AD2372" s="20"/>
      <c r="AE2372" s="20"/>
    </row>
    <row r="2373">
      <c r="A2373" s="21">
        <v>61.0</v>
      </c>
      <c r="B2373" s="20" t="s">
        <v>1716</v>
      </c>
      <c r="C2373" s="20" t="s">
        <v>5270</v>
      </c>
      <c r="I2373" s="25" t="s">
        <v>2822</v>
      </c>
      <c r="J2373" s="25" t="s">
        <v>4980</v>
      </c>
      <c r="K2373" s="25" t="s">
        <v>67</v>
      </c>
      <c r="L2373" s="25" t="s">
        <v>1133</v>
      </c>
      <c r="M2373" s="20" t="s">
        <v>4983</v>
      </c>
      <c r="N2373" s="20" t="s">
        <v>4984</v>
      </c>
      <c r="O2373" s="20" t="s">
        <v>56</v>
      </c>
      <c r="P2373" s="20" t="s">
        <v>52</v>
      </c>
      <c r="Q2373" s="22"/>
      <c r="R2373" s="22"/>
      <c r="S2373" s="22"/>
      <c r="T2373" s="22"/>
      <c r="U2373" s="26"/>
      <c r="V2373" s="26"/>
      <c r="W2373" s="20"/>
      <c r="X2373" s="20"/>
      <c r="Y2373" s="20"/>
      <c r="Z2373" s="20"/>
      <c r="AA2373" s="20"/>
      <c r="AB2373" s="20"/>
      <c r="AC2373" s="20"/>
      <c r="AD2373" s="20"/>
      <c r="AE2373" s="20"/>
    </row>
    <row r="2374">
      <c r="A2374" s="21">
        <v>61.0</v>
      </c>
      <c r="B2374" s="20" t="s">
        <v>1716</v>
      </c>
      <c r="C2374" s="20" t="s">
        <v>5270</v>
      </c>
      <c r="I2374" s="25" t="s">
        <v>3450</v>
      </c>
      <c r="J2374" s="25" t="s">
        <v>4976</v>
      </c>
      <c r="K2374" s="25" t="s">
        <v>57</v>
      </c>
      <c r="L2374" s="25" t="s">
        <v>5493</v>
      </c>
      <c r="M2374" s="20" t="s">
        <v>3536</v>
      </c>
      <c r="N2374" s="20" t="s">
        <v>4978</v>
      </c>
      <c r="O2374" s="20" t="s">
        <v>63</v>
      </c>
      <c r="P2374" s="20"/>
      <c r="Q2374" s="22"/>
      <c r="R2374" s="22"/>
      <c r="S2374" s="22"/>
      <c r="T2374" s="26"/>
      <c r="U2374" s="26"/>
      <c r="V2374" s="26"/>
      <c r="W2374" s="20"/>
      <c r="X2374" s="20"/>
      <c r="Y2374" s="20"/>
      <c r="Z2374" s="20"/>
      <c r="AA2374" s="20"/>
      <c r="AB2374" s="20"/>
      <c r="AC2374" s="20"/>
      <c r="AD2374" s="20"/>
      <c r="AE2374" s="20"/>
    </row>
    <row r="2375">
      <c r="A2375" s="21">
        <v>61.0</v>
      </c>
      <c r="B2375" s="20" t="s">
        <v>1716</v>
      </c>
      <c r="C2375" s="20" t="s">
        <v>5270</v>
      </c>
      <c r="I2375" s="25" t="s">
        <v>3033</v>
      </c>
      <c r="J2375" s="25" t="s">
        <v>4990</v>
      </c>
      <c r="K2375" s="25" t="s">
        <v>67</v>
      </c>
      <c r="L2375" s="25" t="s">
        <v>5497</v>
      </c>
      <c r="M2375" s="20" t="s">
        <v>3523</v>
      </c>
      <c r="N2375" s="20" t="s">
        <v>3524</v>
      </c>
      <c r="O2375" s="20" t="s">
        <v>63</v>
      </c>
      <c r="P2375" s="20"/>
      <c r="Q2375" s="22"/>
      <c r="R2375" s="22"/>
      <c r="S2375" s="22"/>
      <c r="T2375" s="26"/>
      <c r="U2375" s="26"/>
      <c r="V2375" s="26"/>
      <c r="W2375" s="20"/>
      <c r="X2375" s="20"/>
      <c r="Y2375" s="20"/>
      <c r="Z2375" s="20"/>
      <c r="AA2375" s="20"/>
      <c r="AB2375" s="20"/>
      <c r="AC2375" s="20"/>
      <c r="AD2375" s="20"/>
      <c r="AE2375" s="20"/>
    </row>
    <row r="2376">
      <c r="A2376" s="21">
        <v>61.0</v>
      </c>
      <c r="B2376" s="20" t="s">
        <v>1716</v>
      </c>
      <c r="C2376" s="20" t="s">
        <v>5270</v>
      </c>
      <c r="I2376" s="25" t="s">
        <v>2793</v>
      </c>
      <c r="J2376" s="25" t="s">
        <v>4990</v>
      </c>
      <c r="K2376" s="25" t="s">
        <v>67</v>
      </c>
      <c r="L2376" s="25" t="s">
        <v>5498</v>
      </c>
      <c r="M2376" s="20" t="s">
        <v>4482</v>
      </c>
      <c r="N2376" s="20" t="s">
        <v>4965</v>
      </c>
      <c r="O2376" s="20" t="s">
        <v>63</v>
      </c>
      <c r="P2376" s="20"/>
      <c r="Q2376" s="22"/>
      <c r="R2376" s="22"/>
      <c r="S2376" s="22"/>
      <c r="T2376" s="26"/>
      <c r="U2376" s="26"/>
      <c r="V2376" s="26"/>
      <c r="W2376" s="20"/>
      <c r="X2376" s="20"/>
      <c r="Y2376" s="20"/>
      <c r="Z2376" s="20"/>
      <c r="AA2376" s="20"/>
      <c r="AB2376" s="20"/>
      <c r="AC2376" s="20"/>
      <c r="AD2376" s="20"/>
      <c r="AE2376" s="20"/>
    </row>
    <row r="2377">
      <c r="A2377" s="21">
        <v>61.0</v>
      </c>
      <c r="B2377" s="20" t="s">
        <v>1716</v>
      </c>
      <c r="C2377" s="20" t="s">
        <v>5270</v>
      </c>
      <c r="I2377" s="25" t="s">
        <v>457</v>
      </c>
      <c r="J2377" s="25" t="s">
        <v>4990</v>
      </c>
      <c r="K2377" s="25" t="s">
        <v>71</v>
      </c>
      <c r="L2377" s="25" t="s">
        <v>5499</v>
      </c>
      <c r="M2377" s="20" t="s">
        <v>4789</v>
      </c>
      <c r="N2377" s="20" t="s">
        <v>4790</v>
      </c>
      <c r="O2377" s="20" t="s">
        <v>63</v>
      </c>
      <c r="P2377" s="20"/>
      <c r="Q2377" s="22"/>
      <c r="R2377" s="22"/>
      <c r="S2377" s="22"/>
      <c r="T2377" s="26"/>
      <c r="U2377" s="26"/>
      <c r="V2377" s="26"/>
      <c r="W2377" s="20"/>
      <c r="X2377" s="20"/>
      <c r="Y2377" s="20"/>
      <c r="Z2377" s="20"/>
      <c r="AA2377" s="20"/>
      <c r="AB2377" s="20"/>
      <c r="AC2377" s="20"/>
      <c r="AD2377" s="20"/>
      <c r="AE2377" s="20"/>
    </row>
    <row r="2378">
      <c r="A2378" s="21">
        <v>61.0</v>
      </c>
      <c r="B2378" s="20" t="s">
        <v>1716</v>
      </c>
      <c r="C2378" s="20" t="s">
        <v>5270</v>
      </c>
      <c r="I2378" s="25" t="s">
        <v>4452</v>
      </c>
      <c r="J2378" s="25" t="s">
        <v>4976</v>
      </c>
      <c r="K2378" s="25" t="s">
        <v>71</v>
      </c>
      <c r="L2378" s="25" t="s">
        <v>5499</v>
      </c>
      <c r="M2378" s="20" t="s">
        <v>4453</v>
      </c>
      <c r="N2378" s="20" t="s">
        <v>4454</v>
      </c>
      <c r="O2378" s="20" t="s">
        <v>63</v>
      </c>
      <c r="P2378" s="20"/>
      <c r="Q2378" s="22"/>
      <c r="R2378" s="22"/>
      <c r="S2378" s="22"/>
      <c r="T2378" s="26"/>
      <c r="U2378" s="26"/>
      <c r="V2378" s="26"/>
      <c r="W2378" s="20"/>
      <c r="X2378" s="20"/>
      <c r="Y2378" s="20"/>
      <c r="Z2378" s="20"/>
      <c r="AA2378" s="20"/>
      <c r="AB2378" s="20"/>
      <c r="AC2378" s="20"/>
      <c r="AD2378" s="20"/>
      <c r="AE2378" s="20"/>
    </row>
    <row r="2379">
      <c r="A2379" s="21">
        <v>61.0</v>
      </c>
      <c r="B2379" s="20" t="s">
        <v>1716</v>
      </c>
      <c r="C2379" s="20" t="s">
        <v>5270</v>
      </c>
      <c r="I2379" s="25" t="s">
        <v>2385</v>
      </c>
      <c r="J2379" s="25" t="s">
        <v>4990</v>
      </c>
      <c r="K2379" s="25" t="s">
        <v>71</v>
      </c>
      <c r="L2379" s="25" t="s">
        <v>3823</v>
      </c>
      <c r="M2379" s="20" t="s">
        <v>5023</v>
      </c>
      <c r="N2379" s="20" t="s">
        <v>5024</v>
      </c>
      <c r="O2379" s="20" t="s">
        <v>63</v>
      </c>
      <c r="P2379" s="20"/>
      <c r="Q2379" s="22"/>
      <c r="R2379" s="22"/>
      <c r="S2379" s="22"/>
      <c r="T2379" s="26"/>
      <c r="U2379" s="26"/>
      <c r="V2379" s="26"/>
      <c r="W2379" s="20"/>
      <c r="X2379" s="20"/>
      <c r="Y2379" s="20"/>
      <c r="Z2379" s="20"/>
      <c r="AA2379" s="20"/>
      <c r="AB2379" s="20"/>
      <c r="AC2379" s="20"/>
      <c r="AD2379" s="20"/>
      <c r="AE2379" s="20"/>
    </row>
    <row r="2380">
      <c r="A2380" s="21">
        <v>61.0</v>
      </c>
      <c r="B2380" s="20" t="s">
        <v>1716</v>
      </c>
      <c r="C2380" s="20" t="s">
        <v>5270</v>
      </c>
      <c r="I2380" s="25" t="s">
        <v>3502</v>
      </c>
      <c r="J2380" s="25" t="s">
        <v>4990</v>
      </c>
      <c r="K2380" s="25" t="s">
        <v>71</v>
      </c>
      <c r="L2380" s="25" t="s">
        <v>3823</v>
      </c>
      <c r="M2380" s="20" t="s">
        <v>3503</v>
      </c>
      <c r="N2380" s="20" t="s">
        <v>5026</v>
      </c>
      <c r="O2380" s="20" t="s">
        <v>63</v>
      </c>
      <c r="P2380" s="20"/>
      <c r="Q2380" s="22"/>
      <c r="R2380" s="22"/>
      <c r="S2380" s="22"/>
      <c r="T2380" s="26"/>
      <c r="U2380" s="26"/>
      <c r="V2380" s="26"/>
      <c r="W2380" s="20"/>
      <c r="X2380" s="20"/>
      <c r="Y2380" s="20"/>
      <c r="Z2380" s="20"/>
      <c r="AA2380" s="20"/>
      <c r="AB2380" s="20"/>
      <c r="AC2380" s="20"/>
      <c r="AD2380" s="20"/>
      <c r="AE2380" s="20"/>
    </row>
    <row r="2381">
      <c r="A2381" s="21">
        <v>61.0</v>
      </c>
      <c r="B2381" s="20" t="s">
        <v>1716</v>
      </c>
      <c r="C2381" s="20" t="s">
        <v>5270</v>
      </c>
      <c r="I2381" s="25" t="s">
        <v>3464</v>
      </c>
      <c r="J2381" s="25" t="s">
        <v>4990</v>
      </c>
      <c r="K2381" s="25" t="s">
        <v>71</v>
      </c>
      <c r="L2381" s="25" t="s">
        <v>3823</v>
      </c>
      <c r="M2381" s="20" t="s">
        <v>4907</v>
      </c>
      <c r="N2381" s="20" t="s">
        <v>4908</v>
      </c>
      <c r="O2381" s="20" t="s">
        <v>63</v>
      </c>
      <c r="P2381" s="20"/>
      <c r="Q2381" s="22"/>
      <c r="R2381" s="22"/>
      <c r="S2381" s="22"/>
      <c r="T2381" s="26"/>
      <c r="U2381" s="26"/>
      <c r="V2381" s="26"/>
      <c r="W2381" s="20"/>
      <c r="X2381" s="20"/>
      <c r="Y2381" s="20"/>
      <c r="Z2381" s="20"/>
      <c r="AA2381" s="20"/>
      <c r="AB2381" s="20"/>
      <c r="AC2381" s="20"/>
      <c r="AD2381" s="20"/>
      <c r="AE2381" s="20"/>
    </row>
    <row r="2382">
      <c r="A2382" s="21">
        <v>61.0</v>
      </c>
      <c r="B2382" s="20" t="s">
        <v>1716</v>
      </c>
      <c r="C2382" s="20" t="s">
        <v>5270</v>
      </c>
      <c r="I2382" s="25" t="s">
        <v>3467</v>
      </c>
      <c r="J2382" s="25" t="s">
        <v>4980</v>
      </c>
      <c r="K2382" s="25" t="s">
        <v>71</v>
      </c>
      <c r="L2382" s="25" t="s">
        <v>3823</v>
      </c>
      <c r="M2382" s="20" t="s">
        <v>3468</v>
      </c>
      <c r="N2382" s="20" t="s">
        <v>5070</v>
      </c>
      <c r="O2382" s="20" t="s">
        <v>63</v>
      </c>
      <c r="P2382" s="20"/>
      <c r="Q2382" s="22"/>
      <c r="R2382" s="22"/>
      <c r="S2382" s="22"/>
      <c r="T2382" s="26"/>
      <c r="U2382" s="26"/>
      <c r="V2382" s="26"/>
      <c r="W2382" s="20"/>
      <c r="X2382" s="20"/>
      <c r="Y2382" s="20"/>
      <c r="Z2382" s="20"/>
      <c r="AA2382" s="20"/>
      <c r="AB2382" s="20"/>
      <c r="AC2382" s="20"/>
      <c r="AD2382" s="20"/>
      <c r="AE2382" s="20"/>
    </row>
    <row r="2383">
      <c r="A2383" s="21">
        <v>61.0</v>
      </c>
      <c r="B2383" s="20" t="s">
        <v>1716</v>
      </c>
      <c r="C2383" s="20" t="s">
        <v>5270</v>
      </c>
      <c r="I2383" s="25" t="s">
        <v>3453</v>
      </c>
      <c r="J2383" s="25" t="s">
        <v>4990</v>
      </c>
      <c r="K2383" s="25" t="s">
        <v>71</v>
      </c>
      <c r="L2383" s="25" t="s">
        <v>3823</v>
      </c>
      <c r="M2383" s="20" t="s">
        <v>61</v>
      </c>
      <c r="N2383" s="20" t="s">
        <v>5027</v>
      </c>
      <c r="O2383" s="20" t="s">
        <v>63</v>
      </c>
      <c r="P2383" s="20"/>
      <c r="Q2383" s="22"/>
      <c r="R2383" s="22"/>
      <c r="S2383" s="22"/>
      <c r="T2383" s="26"/>
      <c r="U2383" s="26"/>
      <c r="V2383" s="26"/>
      <c r="W2383" s="20"/>
      <c r="X2383" s="20"/>
      <c r="Y2383" s="20"/>
      <c r="Z2383" s="20"/>
      <c r="AA2383" s="20"/>
      <c r="AB2383" s="20"/>
      <c r="AC2383" s="20"/>
      <c r="AD2383" s="20"/>
      <c r="AE2383" s="20"/>
    </row>
    <row r="2384">
      <c r="A2384" s="21">
        <v>61.0</v>
      </c>
      <c r="B2384" s="20" t="s">
        <v>1716</v>
      </c>
      <c r="C2384" s="20" t="s">
        <v>5270</v>
      </c>
      <c r="I2384" s="25" t="s">
        <v>4515</v>
      </c>
      <c r="J2384" s="25" t="s">
        <v>4976</v>
      </c>
      <c r="K2384" s="25" t="s">
        <v>71</v>
      </c>
      <c r="L2384" s="25" t="s">
        <v>5499</v>
      </c>
      <c r="M2384" s="20" t="s">
        <v>4516</v>
      </c>
      <c r="N2384" s="20" t="s">
        <v>4517</v>
      </c>
      <c r="O2384" s="20" t="s">
        <v>63</v>
      </c>
      <c r="P2384" s="20"/>
      <c r="Q2384" s="22"/>
      <c r="R2384" s="22"/>
      <c r="S2384" s="22"/>
      <c r="T2384" s="26"/>
      <c r="U2384" s="26"/>
      <c r="V2384" s="26"/>
      <c r="W2384" s="20"/>
      <c r="X2384" s="20"/>
      <c r="Y2384" s="20"/>
      <c r="Z2384" s="20"/>
      <c r="AA2384" s="20"/>
      <c r="AB2384" s="20"/>
      <c r="AC2384" s="20"/>
      <c r="AD2384" s="20"/>
      <c r="AE2384" s="20"/>
    </row>
    <row r="2385">
      <c r="A2385" s="21">
        <v>61.0</v>
      </c>
      <c r="B2385" s="20" t="s">
        <v>1716</v>
      </c>
      <c r="C2385" s="20" t="s">
        <v>5270</v>
      </c>
      <c r="I2385" s="25" t="s">
        <v>1174</v>
      </c>
      <c r="J2385" s="25" t="s">
        <v>4990</v>
      </c>
      <c r="K2385" s="25" t="s">
        <v>71</v>
      </c>
      <c r="L2385" s="25" t="s">
        <v>3823</v>
      </c>
      <c r="M2385" s="20" t="s">
        <v>2704</v>
      </c>
      <c r="N2385" s="20" t="s">
        <v>5028</v>
      </c>
      <c r="O2385" s="20" t="s">
        <v>63</v>
      </c>
      <c r="P2385" s="20"/>
      <c r="Q2385" s="22"/>
      <c r="R2385" s="22"/>
      <c r="S2385" s="22"/>
      <c r="T2385" s="26"/>
      <c r="U2385" s="26"/>
      <c r="V2385" s="26"/>
      <c r="W2385" s="20"/>
      <c r="X2385" s="20"/>
      <c r="Y2385" s="20"/>
      <c r="Z2385" s="20"/>
      <c r="AA2385" s="20"/>
      <c r="AB2385" s="20"/>
      <c r="AC2385" s="20"/>
      <c r="AD2385" s="20"/>
      <c r="AE2385" s="20"/>
    </row>
    <row r="2386">
      <c r="A2386" s="21">
        <v>61.0</v>
      </c>
      <c r="B2386" s="20" t="s">
        <v>1716</v>
      </c>
      <c r="C2386" s="20" t="s">
        <v>5270</v>
      </c>
      <c r="I2386" s="25" t="s">
        <v>109</v>
      </c>
      <c r="J2386" s="25" t="s">
        <v>4990</v>
      </c>
      <c r="K2386" s="25" t="s">
        <v>71</v>
      </c>
      <c r="L2386" s="25" t="s">
        <v>5499</v>
      </c>
      <c r="M2386" s="20" t="s">
        <v>110</v>
      </c>
      <c r="N2386" s="20" t="s">
        <v>111</v>
      </c>
      <c r="O2386" s="20" t="s">
        <v>63</v>
      </c>
      <c r="P2386" s="20"/>
      <c r="Q2386" s="22"/>
      <c r="R2386" s="22"/>
      <c r="S2386" s="22"/>
      <c r="T2386" s="26"/>
      <c r="U2386" s="26"/>
      <c r="V2386" s="26"/>
      <c r="W2386" s="20"/>
      <c r="X2386" s="20"/>
      <c r="Y2386" s="20"/>
      <c r="Z2386" s="20"/>
      <c r="AA2386" s="20"/>
      <c r="AB2386" s="20"/>
      <c r="AC2386" s="20"/>
      <c r="AD2386" s="20"/>
      <c r="AE2386" s="20"/>
    </row>
    <row r="2387">
      <c r="A2387" s="21">
        <v>61.0</v>
      </c>
      <c r="B2387" s="20" t="s">
        <v>1716</v>
      </c>
      <c r="C2387" s="20" t="s">
        <v>5270</v>
      </c>
      <c r="I2387" s="25" t="s">
        <v>2520</v>
      </c>
      <c r="J2387" s="25" t="s">
        <v>4980</v>
      </c>
      <c r="K2387" s="25" t="s">
        <v>71</v>
      </c>
      <c r="L2387" s="25" t="s">
        <v>5499</v>
      </c>
      <c r="M2387" s="20" t="s">
        <v>3331</v>
      </c>
      <c r="N2387" s="20" t="s">
        <v>5072</v>
      </c>
      <c r="O2387" s="20" t="s">
        <v>63</v>
      </c>
      <c r="P2387" s="20"/>
      <c r="Q2387" s="22"/>
      <c r="R2387" s="22"/>
      <c r="S2387" s="22"/>
      <c r="T2387" s="26"/>
      <c r="U2387" s="26"/>
      <c r="V2387" s="26"/>
      <c r="W2387" s="20"/>
      <c r="X2387" s="20"/>
      <c r="Y2387" s="20"/>
      <c r="Z2387" s="20"/>
      <c r="AA2387" s="20"/>
      <c r="AB2387" s="20"/>
      <c r="AC2387" s="20"/>
      <c r="AD2387" s="20"/>
      <c r="AE2387" s="20"/>
    </row>
    <row r="2388">
      <c r="A2388" s="21">
        <v>61.0</v>
      </c>
      <c r="B2388" s="20" t="s">
        <v>1716</v>
      </c>
      <c r="C2388" s="20" t="s">
        <v>5270</v>
      </c>
      <c r="I2388" s="25" t="s">
        <v>1159</v>
      </c>
      <c r="J2388" s="25" t="s">
        <v>4990</v>
      </c>
      <c r="K2388" s="25" t="s">
        <v>71</v>
      </c>
      <c r="L2388" s="25" t="s">
        <v>3823</v>
      </c>
      <c r="M2388" s="20" t="s">
        <v>1680</v>
      </c>
      <c r="N2388" s="20" t="s">
        <v>5029</v>
      </c>
      <c r="O2388" s="20" t="s">
        <v>63</v>
      </c>
      <c r="P2388" s="20"/>
      <c r="Q2388" s="22"/>
      <c r="R2388" s="22"/>
      <c r="S2388" s="22"/>
      <c r="T2388" s="26"/>
      <c r="U2388" s="26"/>
      <c r="V2388" s="26"/>
      <c r="W2388" s="20"/>
      <c r="X2388" s="20"/>
      <c r="Y2388" s="20"/>
      <c r="Z2388" s="20"/>
      <c r="AA2388" s="20"/>
      <c r="AB2388" s="20"/>
      <c r="AC2388" s="20"/>
      <c r="AD2388" s="20"/>
      <c r="AE2388" s="20"/>
    </row>
    <row r="2389">
      <c r="A2389" s="21">
        <v>61.0</v>
      </c>
      <c r="B2389" s="20" t="s">
        <v>1716</v>
      </c>
      <c r="C2389" s="20" t="s">
        <v>5270</v>
      </c>
      <c r="I2389" s="25" t="s">
        <v>1714</v>
      </c>
      <c r="J2389" s="25" t="s">
        <v>4980</v>
      </c>
      <c r="K2389" s="25" t="s">
        <v>71</v>
      </c>
      <c r="L2389" s="25" t="s">
        <v>5515</v>
      </c>
      <c r="M2389" s="20" t="s">
        <v>4993</v>
      </c>
      <c r="N2389" s="20" t="s">
        <v>4994</v>
      </c>
      <c r="O2389" s="20" t="s">
        <v>56</v>
      </c>
      <c r="P2389" s="20"/>
      <c r="Q2389" s="22"/>
      <c r="R2389" s="22"/>
      <c r="S2389" s="22"/>
      <c r="T2389" s="26"/>
      <c r="U2389" s="26"/>
      <c r="V2389" s="26"/>
      <c r="W2389" s="20"/>
      <c r="X2389" s="20"/>
      <c r="Y2389" s="20"/>
      <c r="Z2389" s="20"/>
      <c r="AA2389" s="20"/>
      <c r="AB2389" s="20"/>
      <c r="AC2389" s="20"/>
      <c r="AD2389" s="20"/>
      <c r="AE2389" s="20"/>
    </row>
    <row r="2390">
      <c r="A2390" s="21">
        <v>61.0</v>
      </c>
      <c r="B2390" s="20" t="s">
        <v>1716</v>
      </c>
      <c r="C2390" s="20" t="s">
        <v>5270</v>
      </c>
      <c r="I2390" s="25" t="s">
        <v>3471</v>
      </c>
      <c r="J2390" s="25" t="s">
        <v>4990</v>
      </c>
      <c r="K2390" s="25" t="s">
        <v>71</v>
      </c>
      <c r="L2390" s="25" t="s">
        <v>3823</v>
      </c>
      <c r="M2390" s="20" t="s">
        <v>5030</v>
      </c>
      <c r="N2390" s="20" t="s">
        <v>5028</v>
      </c>
      <c r="O2390" s="20" t="s">
        <v>63</v>
      </c>
      <c r="P2390" s="20"/>
      <c r="Q2390" s="22"/>
      <c r="R2390" s="22"/>
      <c r="S2390" s="22"/>
      <c r="T2390" s="26"/>
      <c r="U2390" s="26"/>
      <c r="V2390" s="26"/>
      <c r="W2390" s="20"/>
      <c r="X2390" s="20"/>
      <c r="Y2390" s="20"/>
      <c r="Z2390" s="20"/>
      <c r="AA2390" s="20"/>
      <c r="AB2390" s="20"/>
      <c r="AC2390" s="20"/>
      <c r="AD2390" s="20"/>
      <c r="AE2390" s="20"/>
    </row>
    <row r="2391">
      <c r="A2391" s="21">
        <v>61.0</v>
      </c>
      <c r="B2391" s="20" t="s">
        <v>1716</v>
      </c>
      <c r="C2391" s="20" t="s">
        <v>5270</v>
      </c>
      <c r="I2391" s="25" t="s">
        <v>3474</v>
      </c>
      <c r="J2391" s="25" t="s">
        <v>4990</v>
      </c>
      <c r="K2391" s="25" t="s">
        <v>71</v>
      </c>
      <c r="L2391" s="25" t="s">
        <v>3823</v>
      </c>
      <c r="M2391" s="20" t="s">
        <v>61</v>
      </c>
      <c r="N2391" s="20" t="s">
        <v>4909</v>
      </c>
      <c r="O2391" s="20" t="s">
        <v>63</v>
      </c>
      <c r="P2391" s="20"/>
      <c r="Q2391" s="22"/>
      <c r="R2391" s="22"/>
      <c r="S2391" s="22"/>
      <c r="T2391" s="26"/>
      <c r="U2391" s="26"/>
      <c r="V2391" s="26"/>
      <c r="W2391" s="20"/>
      <c r="X2391" s="20"/>
      <c r="Y2391" s="20"/>
      <c r="Z2391" s="20"/>
      <c r="AA2391" s="20"/>
      <c r="AB2391" s="20"/>
      <c r="AC2391" s="20"/>
      <c r="AD2391" s="20"/>
      <c r="AE2391" s="20"/>
    </row>
    <row r="2392">
      <c r="A2392" s="21">
        <v>61.0</v>
      </c>
      <c r="B2392" s="20" t="s">
        <v>1716</v>
      </c>
      <c r="C2392" s="20" t="s">
        <v>5270</v>
      </c>
      <c r="I2392" s="25" t="s">
        <v>2262</v>
      </c>
      <c r="J2392" s="25" t="s">
        <v>4990</v>
      </c>
      <c r="K2392" s="25" t="s">
        <v>71</v>
      </c>
      <c r="L2392" s="25" t="s">
        <v>3823</v>
      </c>
      <c r="M2392" s="20" t="s">
        <v>4614</v>
      </c>
      <c r="N2392" s="20" t="s">
        <v>5028</v>
      </c>
      <c r="O2392" s="20" t="s">
        <v>63</v>
      </c>
      <c r="P2392" s="20"/>
      <c r="Q2392" s="22"/>
      <c r="R2392" s="22"/>
      <c r="S2392" s="22"/>
      <c r="T2392" s="26"/>
      <c r="U2392" s="26"/>
      <c r="V2392" s="26"/>
      <c r="W2392" s="20"/>
      <c r="X2392" s="20"/>
      <c r="Y2392" s="20"/>
      <c r="Z2392" s="20"/>
      <c r="AA2392" s="20"/>
      <c r="AB2392" s="20"/>
      <c r="AC2392" s="20"/>
      <c r="AD2392" s="20"/>
      <c r="AE2392" s="20"/>
    </row>
    <row r="2393">
      <c r="A2393" s="21">
        <v>61.0</v>
      </c>
      <c r="B2393" s="20" t="s">
        <v>1716</v>
      </c>
      <c r="C2393" s="20" t="s">
        <v>5270</v>
      </c>
      <c r="I2393" s="25" t="s">
        <v>1665</v>
      </c>
      <c r="J2393" s="25" t="s">
        <v>4980</v>
      </c>
      <c r="K2393" s="25" t="s">
        <v>71</v>
      </c>
      <c r="L2393" s="25" t="s">
        <v>3823</v>
      </c>
      <c r="M2393" s="20" t="s">
        <v>4665</v>
      </c>
      <c r="N2393" s="20" t="s">
        <v>4666</v>
      </c>
      <c r="O2393" s="20" t="s">
        <v>63</v>
      </c>
      <c r="P2393" s="20"/>
      <c r="Q2393" s="22"/>
      <c r="R2393" s="22"/>
      <c r="S2393" s="22"/>
      <c r="T2393" s="26"/>
      <c r="U2393" s="26"/>
      <c r="V2393" s="26"/>
      <c r="W2393" s="20"/>
      <c r="X2393" s="20"/>
      <c r="Y2393" s="20"/>
      <c r="Z2393" s="20"/>
      <c r="AA2393" s="20"/>
      <c r="AB2393" s="20"/>
      <c r="AC2393" s="20"/>
      <c r="AD2393" s="20"/>
      <c r="AE2393" s="20"/>
    </row>
    <row r="2394">
      <c r="A2394" s="21">
        <v>61.0</v>
      </c>
      <c r="B2394" s="20" t="s">
        <v>1716</v>
      </c>
      <c r="C2394" s="20" t="s">
        <v>5270</v>
      </c>
      <c r="I2394" s="25" t="s">
        <v>3477</v>
      </c>
      <c r="J2394" s="25" t="s">
        <v>4980</v>
      </c>
      <c r="K2394" s="25" t="s">
        <v>71</v>
      </c>
      <c r="L2394" s="25" t="s">
        <v>3888</v>
      </c>
      <c r="M2394" s="20" t="s">
        <v>61</v>
      </c>
      <c r="N2394" s="20" t="s">
        <v>5075</v>
      </c>
      <c r="O2394" s="20" t="s">
        <v>63</v>
      </c>
      <c r="P2394" s="20"/>
      <c r="Q2394" s="22"/>
      <c r="R2394" s="22"/>
      <c r="S2394" s="22"/>
      <c r="T2394" s="26"/>
      <c r="U2394" s="26"/>
      <c r="V2394" s="26"/>
      <c r="W2394" s="20"/>
      <c r="X2394" s="20"/>
      <c r="Y2394" s="20"/>
      <c r="Z2394" s="20"/>
      <c r="AA2394" s="20"/>
      <c r="AB2394" s="20"/>
      <c r="AC2394" s="20"/>
      <c r="AD2394" s="20"/>
      <c r="AE2394" s="20"/>
    </row>
    <row r="2395">
      <c r="A2395" s="21">
        <v>61.0</v>
      </c>
      <c r="B2395" s="20" t="s">
        <v>1716</v>
      </c>
      <c r="C2395" s="20" t="s">
        <v>5270</v>
      </c>
      <c r="I2395" s="25" t="s">
        <v>3528</v>
      </c>
      <c r="J2395" s="25" t="s">
        <v>5017</v>
      </c>
      <c r="K2395" s="25" t="s">
        <v>71</v>
      </c>
      <c r="L2395" s="25" t="s">
        <v>3823</v>
      </c>
      <c r="M2395" s="20" t="s">
        <v>4460</v>
      </c>
      <c r="N2395" s="20" t="s">
        <v>5018</v>
      </c>
      <c r="O2395" s="20" t="s">
        <v>63</v>
      </c>
      <c r="P2395" s="20"/>
      <c r="Q2395" s="22"/>
      <c r="R2395" s="22"/>
      <c r="S2395" s="22"/>
      <c r="T2395" s="26"/>
      <c r="U2395" s="26"/>
      <c r="V2395" s="26"/>
      <c r="W2395" s="20"/>
      <c r="X2395" s="20"/>
      <c r="Y2395" s="20"/>
      <c r="Z2395" s="20"/>
      <c r="AA2395" s="20"/>
      <c r="AB2395" s="20"/>
      <c r="AC2395" s="20"/>
      <c r="AD2395" s="20"/>
      <c r="AE2395" s="20"/>
    </row>
    <row r="2396">
      <c r="A2396" s="21">
        <v>61.0</v>
      </c>
      <c r="B2396" s="20" t="s">
        <v>1716</v>
      </c>
      <c r="C2396" s="20" t="s">
        <v>5270</v>
      </c>
      <c r="I2396" s="25" t="s">
        <v>3295</v>
      </c>
      <c r="J2396" s="25" t="s">
        <v>4976</v>
      </c>
      <c r="K2396" s="25" t="s">
        <v>71</v>
      </c>
      <c r="L2396" s="25" t="s">
        <v>5499</v>
      </c>
      <c r="M2396" s="20" t="s">
        <v>4999</v>
      </c>
      <c r="N2396" s="20" t="s">
        <v>5000</v>
      </c>
      <c r="O2396" s="20" t="s">
        <v>63</v>
      </c>
      <c r="P2396" s="20"/>
      <c r="Q2396" s="22"/>
      <c r="R2396" s="22"/>
      <c r="S2396" s="22"/>
      <c r="T2396" s="26"/>
      <c r="U2396" s="26"/>
      <c r="V2396" s="26"/>
      <c r="W2396" s="20"/>
      <c r="X2396" s="20"/>
      <c r="Y2396" s="20"/>
      <c r="Z2396" s="20"/>
      <c r="AA2396" s="20"/>
      <c r="AB2396" s="20"/>
      <c r="AC2396" s="20"/>
      <c r="AD2396" s="20"/>
      <c r="AE2396" s="20"/>
    </row>
    <row r="2397">
      <c r="A2397" s="21">
        <v>61.0</v>
      </c>
      <c r="B2397" s="20" t="s">
        <v>1716</v>
      </c>
      <c r="C2397" s="20" t="s">
        <v>5270</v>
      </c>
      <c r="I2397" s="25" t="s">
        <v>1952</v>
      </c>
      <c r="J2397" s="25" t="s">
        <v>4990</v>
      </c>
      <c r="K2397" s="25" t="s">
        <v>71</v>
      </c>
      <c r="L2397" s="25" t="s">
        <v>3823</v>
      </c>
      <c r="M2397" s="20" t="s">
        <v>4714</v>
      </c>
      <c r="N2397" s="20" t="s">
        <v>4715</v>
      </c>
      <c r="O2397" s="20" t="s">
        <v>63</v>
      </c>
      <c r="P2397" s="20"/>
      <c r="Q2397" s="22"/>
      <c r="R2397" s="22"/>
      <c r="S2397" s="22"/>
      <c r="T2397" s="26"/>
      <c r="U2397" s="26"/>
      <c r="V2397" s="26"/>
      <c r="W2397" s="20"/>
      <c r="X2397" s="20"/>
      <c r="Y2397" s="20"/>
      <c r="Z2397" s="20"/>
      <c r="AA2397" s="20"/>
      <c r="AB2397" s="20"/>
      <c r="AC2397" s="20"/>
      <c r="AD2397" s="20"/>
      <c r="AE2397" s="20"/>
    </row>
    <row r="2398">
      <c r="A2398" s="21">
        <v>61.0</v>
      </c>
      <c r="B2398" s="20" t="s">
        <v>1716</v>
      </c>
      <c r="C2398" s="20" t="s">
        <v>5270</v>
      </c>
      <c r="I2398" s="25" t="s">
        <v>68</v>
      </c>
      <c r="J2398" s="25" t="s">
        <v>4976</v>
      </c>
      <c r="K2398" s="25" t="s">
        <v>71</v>
      </c>
      <c r="L2398" s="25" t="s">
        <v>5499</v>
      </c>
      <c r="M2398" s="20" t="s">
        <v>69</v>
      </c>
      <c r="N2398" s="20" t="s">
        <v>4530</v>
      </c>
      <c r="O2398" s="20" t="s">
        <v>63</v>
      </c>
      <c r="P2398" s="20"/>
      <c r="Q2398" s="22"/>
      <c r="R2398" s="22"/>
      <c r="S2398" s="22"/>
      <c r="T2398" s="26"/>
      <c r="U2398" s="26"/>
      <c r="V2398" s="26"/>
      <c r="W2398" s="20"/>
      <c r="X2398" s="20"/>
      <c r="Y2398" s="20"/>
      <c r="Z2398" s="20"/>
      <c r="AA2398" s="20"/>
      <c r="AB2398" s="20"/>
      <c r="AC2398" s="20"/>
      <c r="AD2398" s="20"/>
      <c r="AE2398" s="20"/>
    </row>
    <row r="2399">
      <c r="A2399" s="21">
        <v>61.0</v>
      </c>
      <c r="B2399" s="20" t="s">
        <v>1716</v>
      </c>
      <c r="C2399" s="20" t="s">
        <v>5270</v>
      </c>
      <c r="I2399" s="25" t="s">
        <v>4911</v>
      </c>
      <c r="J2399" s="25" t="s">
        <v>4980</v>
      </c>
      <c r="K2399" s="25" t="s">
        <v>71</v>
      </c>
      <c r="L2399" s="25" t="s">
        <v>3823</v>
      </c>
      <c r="M2399" s="20" t="s">
        <v>4912</v>
      </c>
      <c r="N2399" s="20" t="s">
        <v>5077</v>
      </c>
      <c r="O2399" s="20" t="s">
        <v>63</v>
      </c>
      <c r="P2399" s="20"/>
      <c r="Q2399" s="22"/>
      <c r="R2399" s="22"/>
      <c r="S2399" s="22"/>
      <c r="T2399" s="26"/>
      <c r="U2399" s="26"/>
      <c r="V2399" s="26"/>
      <c r="W2399" s="20"/>
      <c r="X2399" s="20"/>
      <c r="Y2399" s="20"/>
      <c r="Z2399" s="20"/>
      <c r="AA2399" s="20"/>
      <c r="AB2399" s="20"/>
      <c r="AC2399" s="20"/>
      <c r="AD2399" s="20"/>
      <c r="AE2399" s="20"/>
    </row>
    <row r="2400">
      <c r="A2400" s="21">
        <v>61.0</v>
      </c>
      <c r="B2400" s="20" t="s">
        <v>1716</v>
      </c>
      <c r="C2400" s="20" t="s">
        <v>5270</v>
      </c>
      <c r="I2400" s="25" t="s">
        <v>4445</v>
      </c>
      <c r="J2400" s="25" t="s">
        <v>4976</v>
      </c>
      <c r="K2400" s="25" t="s">
        <v>71</v>
      </c>
      <c r="L2400" s="25" t="s">
        <v>5499</v>
      </c>
      <c r="M2400" s="20" t="s">
        <v>4446</v>
      </c>
      <c r="N2400" s="20" t="s">
        <v>4447</v>
      </c>
      <c r="O2400" s="20" t="s">
        <v>63</v>
      </c>
      <c r="P2400" s="20"/>
      <c r="Q2400" s="22"/>
      <c r="R2400" s="22"/>
      <c r="S2400" s="22"/>
      <c r="T2400" s="26"/>
      <c r="U2400" s="26"/>
      <c r="V2400" s="26"/>
      <c r="W2400" s="20"/>
      <c r="X2400" s="20"/>
      <c r="Y2400" s="20"/>
      <c r="Z2400" s="20"/>
      <c r="AA2400" s="20"/>
      <c r="AB2400" s="20"/>
      <c r="AC2400" s="20"/>
      <c r="AD2400" s="20"/>
      <c r="AE2400" s="20"/>
    </row>
    <row r="2401">
      <c r="A2401" s="21">
        <v>61.0</v>
      </c>
      <c r="B2401" s="20" t="s">
        <v>1716</v>
      </c>
      <c r="C2401" s="20" t="s">
        <v>5270</v>
      </c>
      <c r="I2401" s="25" t="s">
        <v>1732</v>
      </c>
      <c r="J2401" s="25" t="s">
        <v>4976</v>
      </c>
      <c r="K2401" s="25" t="s">
        <v>71</v>
      </c>
      <c r="L2401" s="25" t="s">
        <v>5499</v>
      </c>
      <c r="M2401" s="20" t="s">
        <v>4536</v>
      </c>
      <c r="N2401" s="20" t="s">
        <v>4537</v>
      </c>
      <c r="O2401" s="20" t="s">
        <v>63</v>
      </c>
      <c r="P2401" s="20"/>
      <c r="Q2401" s="22"/>
      <c r="R2401" s="22"/>
      <c r="S2401" s="22"/>
      <c r="T2401" s="26"/>
      <c r="U2401" s="26"/>
      <c r="V2401" s="26"/>
      <c r="W2401" s="20"/>
      <c r="X2401" s="20"/>
      <c r="Y2401" s="20"/>
      <c r="Z2401" s="20"/>
      <c r="AA2401" s="20"/>
      <c r="AB2401" s="20"/>
      <c r="AC2401" s="20"/>
      <c r="AD2401" s="20"/>
      <c r="AE2401" s="20"/>
    </row>
    <row r="2402">
      <c r="A2402" s="21">
        <v>61.0</v>
      </c>
      <c r="B2402" s="20" t="s">
        <v>1716</v>
      </c>
      <c r="C2402" s="20" t="s">
        <v>5270</v>
      </c>
      <c r="I2402" s="25" t="s">
        <v>3517</v>
      </c>
      <c r="J2402" s="25" t="s">
        <v>4980</v>
      </c>
      <c r="K2402" s="25" t="s">
        <v>71</v>
      </c>
      <c r="L2402" s="25" t="s">
        <v>3888</v>
      </c>
      <c r="M2402" s="20" t="s">
        <v>5079</v>
      </c>
      <c r="N2402" s="20" t="s">
        <v>5080</v>
      </c>
      <c r="O2402" s="20" t="s">
        <v>63</v>
      </c>
      <c r="P2402" s="20"/>
      <c r="Q2402" s="22"/>
      <c r="R2402" s="22"/>
      <c r="S2402" s="22"/>
      <c r="T2402" s="26"/>
      <c r="U2402" s="26"/>
      <c r="V2402" s="26"/>
      <c r="W2402" s="20"/>
      <c r="X2402" s="20"/>
      <c r="Y2402" s="20"/>
      <c r="Z2402" s="20"/>
      <c r="AA2402" s="20"/>
      <c r="AB2402" s="20"/>
      <c r="AC2402" s="20"/>
      <c r="AD2402" s="20"/>
      <c r="AE2402" s="20"/>
    </row>
    <row r="2403">
      <c r="A2403" s="21">
        <v>61.0</v>
      </c>
      <c r="B2403" s="20" t="s">
        <v>1716</v>
      </c>
      <c r="C2403" s="20" t="s">
        <v>5270</v>
      </c>
      <c r="I2403" s="25" t="s">
        <v>1701</v>
      </c>
      <c r="J2403" s="25" t="s">
        <v>4980</v>
      </c>
      <c r="K2403" s="25" t="s">
        <v>71</v>
      </c>
      <c r="L2403" s="25" t="s">
        <v>3823</v>
      </c>
      <c r="M2403" s="20" t="s">
        <v>4914</v>
      </c>
      <c r="N2403" s="20" t="s">
        <v>4915</v>
      </c>
      <c r="O2403" s="20" t="s">
        <v>63</v>
      </c>
      <c r="P2403" s="20"/>
      <c r="Q2403" s="22"/>
      <c r="R2403" s="22"/>
      <c r="S2403" s="22"/>
      <c r="T2403" s="20"/>
      <c r="U2403" s="26"/>
      <c r="V2403" s="26"/>
      <c r="W2403" s="20"/>
      <c r="X2403" s="20"/>
      <c r="Y2403" s="20"/>
      <c r="Z2403" s="20"/>
      <c r="AA2403" s="20"/>
      <c r="AB2403" s="20"/>
      <c r="AC2403" s="20"/>
      <c r="AD2403" s="20"/>
      <c r="AE2403" s="20"/>
    </row>
    <row r="2404">
      <c r="A2404" s="21">
        <v>61.0</v>
      </c>
      <c r="B2404" s="20" t="s">
        <v>1716</v>
      </c>
      <c r="C2404" s="20" t="s">
        <v>5270</v>
      </c>
      <c r="I2404" s="25" t="s">
        <v>4500</v>
      </c>
      <c r="J2404" s="25" t="s">
        <v>4990</v>
      </c>
      <c r="K2404" s="25" t="s">
        <v>71</v>
      </c>
      <c r="L2404" s="25" t="s">
        <v>5499</v>
      </c>
      <c r="M2404" s="20" t="s">
        <v>61</v>
      </c>
      <c r="N2404" s="20" t="s">
        <v>4651</v>
      </c>
      <c r="O2404" s="20" t="s">
        <v>63</v>
      </c>
      <c r="P2404" s="20"/>
      <c r="Q2404" s="22"/>
      <c r="R2404" s="22"/>
      <c r="S2404" s="22"/>
      <c r="T2404" s="20"/>
      <c r="U2404" s="26"/>
      <c r="V2404" s="26"/>
      <c r="W2404" s="20"/>
      <c r="X2404" s="20"/>
      <c r="Y2404" s="20"/>
      <c r="Z2404" s="20"/>
      <c r="AA2404" s="20"/>
      <c r="AB2404" s="20"/>
      <c r="AC2404" s="20"/>
      <c r="AD2404" s="20"/>
      <c r="AE2404" s="20"/>
    </row>
    <row r="2405">
      <c r="A2405" s="21">
        <v>61.0</v>
      </c>
      <c r="B2405" s="20" t="s">
        <v>1716</v>
      </c>
      <c r="C2405" s="20" t="s">
        <v>5270</v>
      </c>
      <c r="I2405" s="25" t="s">
        <v>1669</v>
      </c>
      <c r="J2405" s="25" t="s">
        <v>4980</v>
      </c>
      <c r="K2405" s="25" t="s">
        <v>71</v>
      </c>
      <c r="L2405" s="25" t="s">
        <v>3823</v>
      </c>
      <c r="M2405" s="20" t="s">
        <v>5081</v>
      </c>
      <c r="N2405" s="20" t="s">
        <v>5082</v>
      </c>
      <c r="O2405" s="20" t="s">
        <v>63</v>
      </c>
      <c r="P2405" s="20"/>
      <c r="Q2405" s="22"/>
      <c r="R2405" s="22"/>
      <c r="S2405" s="22"/>
      <c r="T2405" s="20"/>
      <c r="U2405" s="26"/>
      <c r="V2405" s="26"/>
      <c r="W2405" s="20"/>
      <c r="X2405" s="20"/>
      <c r="Y2405" s="20"/>
      <c r="Z2405" s="20"/>
      <c r="AA2405" s="20"/>
      <c r="AB2405" s="20"/>
      <c r="AC2405" s="20"/>
      <c r="AD2405" s="20"/>
      <c r="AE2405" s="20"/>
    </row>
    <row r="2406">
      <c r="A2406" s="21">
        <v>61.0</v>
      </c>
      <c r="B2406" s="20" t="s">
        <v>1716</v>
      </c>
      <c r="C2406" s="20" t="s">
        <v>5270</v>
      </c>
      <c r="I2406" s="25" t="s">
        <v>1139</v>
      </c>
      <c r="J2406" s="25" t="s">
        <v>4980</v>
      </c>
      <c r="K2406" s="25" t="s">
        <v>67</v>
      </c>
      <c r="L2406" s="25" t="s">
        <v>1025</v>
      </c>
      <c r="M2406" s="20" t="s">
        <v>1140</v>
      </c>
      <c r="N2406" s="20" t="s">
        <v>4986</v>
      </c>
      <c r="O2406" s="20" t="s">
        <v>56</v>
      </c>
      <c r="P2406" s="20" t="s">
        <v>52</v>
      </c>
      <c r="Q2406" s="22"/>
      <c r="R2406" s="22"/>
      <c r="S2406" s="22"/>
      <c r="T2406" s="22"/>
      <c r="U2406" s="26"/>
      <c r="V2406" s="26"/>
      <c r="W2406" s="20"/>
      <c r="X2406" s="20"/>
      <c r="Y2406" s="20"/>
      <c r="Z2406" s="20"/>
      <c r="AA2406" s="20"/>
      <c r="AB2406" s="20"/>
      <c r="AC2406" s="20"/>
      <c r="AD2406" s="20"/>
      <c r="AE2406" s="20"/>
    </row>
    <row r="2407">
      <c r="A2407" s="21">
        <v>61.0</v>
      </c>
      <c r="B2407" s="20" t="s">
        <v>1716</v>
      </c>
      <c r="C2407" s="20" t="s">
        <v>5270</v>
      </c>
      <c r="I2407" s="25" t="s">
        <v>94</v>
      </c>
      <c r="J2407" s="25" t="s">
        <v>4976</v>
      </c>
      <c r="K2407" s="25" t="s">
        <v>71</v>
      </c>
      <c r="L2407" s="25" t="s">
        <v>5499</v>
      </c>
      <c r="M2407" s="20" t="s">
        <v>61</v>
      </c>
      <c r="N2407" s="20" t="s">
        <v>95</v>
      </c>
      <c r="O2407" s="20" t="s">
        <v>63</v>
      </c>
      <c r="P2407" s="20"/>
      <c r="Q2407" s="22"/>
      <c r="R2407" s="22"/>
      <c r="S2407" s="22"/>
      <c r="T2407" s="20"/>
      <c r="U2407" s="26"/>
      <c r="V2407" s="26"/>
      <c r="W2407" s="20"/>
      <c r="X2407" s="20"/>
      <c r="Y2407" s="20"/>
      <c r="Z2407" s="20"/>
      <c r="AA2407" s="20"/>
      <c r="AB2407" s="20"/>
      <c r="AC2407" s="20"/>
      <c r="AD2407" s="20"/>
      <c r="AE2407" s="20"/>
    </row>
    <row r="2408">
      <c r="A2408" s="21">
        <v>61.0</v>
      </c>
      <c r="B2408" s="20" t="s">
        <v>1716</v>
      </c>
      <c r="C2408" s="20" t="s">
        <v>5270</v>
      </c>
      <c r="I2408" s="25" t="s">
        <v>4664</v>
      </c>
      <c r="J2408" s="25" t="s">
        <v>4980</v>
      </c>
      <c r="K2408" s="25" t="s">
        <v>71</v>
      </c>
      <c r="L2408" s="25" t="s">
        <v>3823</v>
      </c>
      <c r="M2408" s="20" t="s">
        <v>4665</v>
      </c>
      <c r="N2408" s="20" t="s">
        <v>4666</v>
      </c>
      <c r="O2408" s="20" t="s">
        <v>63</v>
      </c>
      <c r="P2408" s="20"/>
      <c r="Q2408" s="22"/>
      <c r="R2408" s="22"/>
      <c r="S2408" s="22"/>
      <c r="T2408" s="20"/>
      <c r="U2408" s="26"/>
      <c r="V2408" s="26"/>
      <c r="W2408" s="20"/>
      <c r="X2408" s="20"/>
      <c r="Y2408" s="20"/>
      <c r="Z2408" s="20"/>
      <c r="AA2408" s="20"/>
      <c r="AB2408" s="20"/>
      <c r="AC2408" s="20"/>
      <c r="AD2408" s="20"/>
      <c r="AE2408" s="20"/>
    </row>
    <row r="2409">
      <c r="A2409" s="21">
        <v>61.0</v>
      </c>
      <c r="B2409" s="20" t="s">
        <v>1716</v>
      </c>
      <c r="C2409" s="20" t="s">
        <v>5270</v>
      </c>
      <c r="I2409" s="25" t="s">
        <v>1677</v>
      </c>
      <c r="J2409" s="25" t="s">
        <v>4990</v>
      </c>
      <c r="K2409" s="25" t="s">
        <v>71</v>
      </c>
      <c r="L2409" s="25" t="s">
        <v>3823</v>
      </c>
      <c r="M2409" s="20" t="s">
        <v>5031</v>
      </c>
      <c r="N2409" s="20" t="s">
        <v>5032</v>
      </c>
      <c r="O2409" s="20" t="s">
        <v>63</v>
      </c>
      <c r="P2409" s="20"/>
      <c r="Q2409" s="22"/>
      <c r="R2409" s="22"/>
      <c r="S2409" s="22"/>
      <c r="T2409" s="20"/>
      <c r="U2409" s="26"/>
      <c r="V2409" s="26"/>
      <c r="W2409" s="20"/>
      <c r="X2409" s="20"/>
      <c r="Y2409" s="20"/>
      <c r="Z2409" s="20"/>
      <c r="AA2409" s="20"/>
      <c r="AB2409" s="20"/>
      <c r="AC2409" s="20"/>
      <c r="AD2409" s="20"/>
      <c r="AE2409" s="20"/>
    </row>
    <row r="2410">
      <c r="A2410" s="21">
        <v>61.0</v>
      </c>
      <c r="B2410" s="20" t="s">
        <v>1716</v>
      </c>
      <c r="C2410" s="20" t="s">
        <v>5270</v>
      </c>
      <c r="I2410" s="25" t="s">
        <v>1884</v>
      </c>
      <c r="J2410" s="25" t="s">
        <v>4980</v>
      </c>
      <c r="K2410" s="25" t="s">
        <v>71</v>
      </c>
      <c r="L2410" s="25" t="s">
        <v>5499</v>
      </c>
      <c r="M2410" s="20" t="s">
        <v>4732</v>
      </c>
      <c r="N2410" s="20" t="s">
        <v>5083</v>
      </c>
      <c r="O2410" s="20" t="s">
        <v>63</v>
      </c>
      <c r="P2410" s="20"/>
      <c r="Q2410" s="22"/>
      <c r="R2410" s="22"/>
      <c r="S2410" s="22"/>
      <c r="T2410" s="20"/>
      <c r="U2410" s="26"/>
      <c r="V2410" s="26"/>
      <c r="W2410" s="20"/>
      <c r="X2410" s="20"/>
      <c r="Y2410" s="20"/>
      <c r="Z2410" s="20"/>
      <c r="AA2410" s="20"/>
      <c r="AB2410" s="20"/>
      <c r="AC2410" s="20"/>
      <c r="AD2410" s="20"/>
      <c r="AE2410" s="20"/>
    </row>
    <row r="2411">
      <c r="A2411" s="21">
        <v>61.0</v>
      </c>
      <c r="B2411" s="20" t="s">
        <v>1716</v>
      </c>
      <c r="C2411" s="20" t="s">
        <v>5270</v>
      </c>
      <c r="I2411" s="25" t="s">
        <v>1738</v>
      </c>
      <c r="J2411" s="25" t="s">
        <v>4976</v>
      </c>
      <c r="K2411" s="25" t="s">
        <v>71</v>
      </c>
      <c r="L2411" s="25" t="s">
        <v>5499</v>
      </c>
      <c r="M2411" s="20" t="s">
        <v>61</v>
      </c>
      <c r="N2411" s="20" t="s">
        <v>4893</v>
      </c>
      <c r="O2411" s="20" t="s">
        <v>63</v>
      </c>
      <c r="P2411" s="20"/>
      <c r="Q2411" s="22"/>
      <c r="R2411" s="22"/>
      <c r="S2411" s="22"/>
      <c r="T2411" s="20"/>
      <c r="U2411" s="26"/>
      <c r="V2411" s="26"/>
      <c r="W2411" s="20"/>
      <c r="X2411" s="20"/>
      <c r="Y2411" s="20"/>
      <c r="Z2411" s="20"/>
      <c r="AA2411" s="20"/>
      <c r="AB2411" s="20"/>
      <c r="AC2411" s="20"/>
      <c r="AD2411" s="20"/>
      <c r="AE2411" s="20"/>
    </row>
    <row r="2412">
      <c r="A2412" s="21">
        <v>61.0</v>
      </c>
      <c r="B2412" s="20" t="s">
        <v>1716</v>
      </c>
      <c r="C2412" s="20" t="s">
        <v>5270</v>
      </c>
      <c r="I2412" s="25" t="s">
        <v>4952</v>
      </c>
      <c r="J2412" s="25" t="s">
        <v>4990</v>
      </c>
      <c r="K2412" s="25" t="s">
        <v>71</v>
      </c>
      <c r="L2412" s="25" t="s">
        <v>3823</v>
      </c>
      <c r="M2412" s="20" t="s">
        <v>4953</v>
      </c>
      <c r="N2412" s="20" t="s">
        <v>5033</v>
      </c>
      <c r="O2412" s="20" t="s">
        <v>63</v>
      </c>
      <c r="P2412" s="20"/>
      <c r="Q2412" s="22"/>
      <c r="R2412" s="22"/>
      <c r="S2412" s="22"/>
      <c r="T2412" s="20"/>
      <c r="U2412" s="26"/>
      <c r="V2412" s="26"/>
      <c r="W2412" s="20"/>
      <c r="X2412" s="20"/>
      <c r="Y2412" s="20"/>
      <c r="Z2412" s="20"/>
      <c r="AA2412" s="20"/>
      <c r="AB2412" s="20"/>
      <c r="AC2412" s="20"/>
      <c r="AD2412" s="20"/>
      <c r="AE2412" s="20"/>
    </row>
    <row r="2413">
      <c r="A2413" s="21">
        <v>61.0</v>
      </c>
      <c r="B2413" s="20" t="s">
        <v>1716</v>
      </c>
      <c r="C2413" s="20" t="s">
        <v>5270</v>
      </c>
      <c r="I2413" s="25" t="s">
        <v>2258</v>
      </c>
      <c r="J2413" s="25" t="s">
        <v>4980</v>
      </c>
      <c r="K2413" s="25" t="s">
        <v>67</v>
      </c>
      <c r="L2413" s="25" t="s">
        <v>1133</v>
      </c>
      <c r="M2413" s="20" t="s">
        <v>4987</v>
      </c>
      <c r="N2413" s="20" t="s">
        <v>4988</v>
      </c>
      <c r="O2413" s="20" t="s">
        <v>56</v>
      </c>
      <c r="P2413" s="20" t="s">
        <v>52</v>
      </c>
      <c r="Q2413" s="22"/>
      <c r="R2413" s="22"/>
      <c r="S2413" s="22"/>
      <c r="T2413" s="22"/>
      <c r="U2413" s="26"/>
      <c r="V2413" s="26"/>
      <c r="W2413" s="20"/>
      <c r="X2413" s="20"/>
      <c r="Y2413" s="20"/>
      <c r="Z2413" s="20"/>
      <c r="AA2413" s="20"/>
      <c r="AB2413" s="20"/>
      <c r="AC2413" s="20"/>
      <c r="AD2413" s="20"/>
      <c r="AE2413" s="20"/>
    </row>
    <row r="2414">
      <c r="A2414" s="21">
        <v>61.0</v>
      </c>
      <c r="B2414" s="20" t="s">
        <v>1716</v>
      </c>
      <c r="C2414" s="20" t="s">
        <v>5270</v>
      </c>
      <c r="I2414" s="25" t="s">
        <v>3410</v>
      </c>
      <c r="J2414" s="25" t="s">
        <v>4980</v>
      </c>
      <c r="K2414" s="25" t="s">
        <v>71</v>
      </c>
      <c r="L2414" s="25" t="s">
        <v>3823</v>
      </c>
      <c r="M2414" s="20" t="s">
        <v>5084</v>
      </c>
      <c r="N2414" s="20" t="s">
        <v>5085</v>
      </c>
      <c r="O2414" s="20" t="s">
        <v>63</v>
      </c>
      <c r="P2414" s="20"/>
      <c r="Q2414" s="22"/>
      <c r="R2414" s="22"/>
      <c r="S2414" s="22"/>
      <c r="T2414" s="20"/>
      <c r="U2414" s="26"/>
      <c r="V2414" s="26"/>
      <c r="W2414" s="20"/>
      <c r="X2414" s="20"/>
      <c r="Y2414" s="20"/>
      <c r="Z2414" s="20"/>
      <c r="AA2414" s="20"/>
      <c r="AB2414" s="20"/>
      <c r="AC2414" s="20"/>
      <c r="AD2414" s="20"/>
      <c r="AE2414" s="20"/>
    </row>
    <row r="2415">
      <c r="A2415" s="21">
        <v>61.0</v>
      </c>
      <c r="B2415" s="20" t="s">
        <v>1716</v>
      </c>
      <c r="C2415" s="20" t="s">
        <v>5270</v>
      </c>
      <c r="I2415" s="25" t="s">
        <v>2570</v>
      </c>
      <c r="J2415" s="25" t="s">
        <v>4990</v>
      </c>
      <c r="K2415" s="25" t="s">
        <v>71</v>
      </c>
      <c r="L2415" s="25" t="s">
        <v>292</v>
      </c>
      <c r="M2415" s="20" t="s">
        <v>4706</v>
      </c>
      <c r="N2415" s="20" t="s">
        <v>4707</v>
      </c>
      <c r="O2415" s="20" t="s">
        <v>63</v>
      </c>
      <c r="P2415" s="20" t="s">
        <v>52</v>
      </c>
      <c r="Q2415" s="22"/>
      <c r="R2415" s="22"/>
      <c r="S2415" s="22"/>
      <c r="T2415" s="22"/>
      <c r="U2415" s="26"/>
      <c r="V2415" s="26"/>
      <c r="W2415" s="20"/>
      <c r="X2415" s="20"/>
      <c r="Y2415" s="20"/>
      <c r="Z2415" s="20"/>
      <c r="AA2415" s="20"/>
      <c r="AB2415" s="20"/>
      <c r="AC2415" s="20"/>
      <c r="AD2415" s="20"/>
      <c r="AE2415" s="20"/>
    </row>
    <row r="2416">
      <c r="A2416" s="21">
        <v>61.0</v>
      </c>
      <c r="B2416" s="20" t="s">
        <v>1716</v>
      </c>
      <c r="C2416" s="20" t="s">
        <v>5270</v>
      </c>
      <c r="I2416" s="25" t="s">
        <v>1255</v>
      </c>
      <c r="J2416" s="25" t="s">
        <v>4990</v>
      </c>
      <c r="K2416" s="25" t="s">
        <v>71</v>
      </c>
      <c r="L2416" s="25" t="s">
        <v>3823</v>
      </c>
      <c r="M2416" s="20" t="s">
        <v>3531</v>
      </c>
      <c r="N2416" s="20" t="s">
        <v>5034</v>
      </c>
      <c r="O2416" s="20" t="s">
        <v>63</v>
      </c>
      <c r="P2416" s="20"/>
      <c r="Q2416" s="22"/>
      <c r="R2416" s="22"/>
      <c r="S2416" s="22"/>
      <c r="T2416" s="20"/>
      <c r="U2416" s="26"/>
      <c r="V2416" s="26"/>
      <c r="W2416" s="20"/>
      <c r="X2416" s="20"/>
      <c r="Y2416" s="20"/>
      <c r="Z2416" s="20"/>
      <c r="AA2416" s="20"/>
      <c r="AB2416" s="20"/>
      <c r="AC2416" s="20"/>
      <c r="AD2416" s="20"/>
      <c r="AE2416" s="20"/>
    </row>
    <row r="2417">
      <c r="A2417" s="21">
        <v>61.0</v>
      </c>
      <c r="B2417" s="20" t="s">
        <v>1716</v>
      </c>
      <c r="C2417" s="20" t="s">
        <v>5270</v>
      </c>
      <c r="I2417" s="25" t="s">
        <v>96</v>
      </c>
      <c r="J2417" s="25" t="s">
        <v>4990</v>
      </c>
      <c r="K2417" s="25" t="s">
        <v>71</v>
      </c>
      <c r="L2417" s="25" t="s">
        <v>5499</v>
      </c>
      <c r="M2417" s="20" t="s">
        <v>61</v>
      </c>
      <c r="N2417" s="20" t="s">
        <v>97</v>
      </c>
      <c r="O2417" s="20" t="s">
        <v>63</v>
      </c>
      <c r="P2417" s="20"/>
      <c r="Q2417" s="22"/>
      <c r="R2417" s="22"/>
      <c r="S2417" s="22"/>
      <c r="T2417" s="20"/>
      <c r="U2417" s="26"/>
      <c r="V2417" s="26"/>
      <c r="W2417" s="20"/>
      <c r="X2417" s="20"/>
      <c r="Y2417" s="20"/>
      <c r="Z2417" s="20"/>
      <c r="AA2417" s="20"/>
      <c r="AB2417" s="20"/>
      <c r="AC2417" s="20"/>
      <c r="AD2417" s="20"/>
      <c r="AE2417" s="20"/>
    </row>
    <row r="2418">
      <c r="A2418" s="21">
        <v>61.0</v>
      </c>
      <c r="B2418" s="20" t="s">
        <v>1716</v>
      </c>
      <c r="C2418" s="20" t="s">
        <v>5270</v>
      </c>
      <c r="I2418" s="25" t="s">
        <v>3533</v>
      </c>
      <c r="J2418" s="25" t="s">
        <v>4990</v>
      </c>
      <c r="K2418" s="25" t="s">
        <v>71</v>
      </c>
      <c r="L2418" s="25" t="s">
        <v>3823</v>
      </c>
      <c r="M2418" s="20" t="s">
        <v>3534</v>
      </c>
      <c r="N2418" s="20" t="s">
        <v>5035</v>
      </c>
      <c r="O2418" s="20" t="s">
        <v>63</v>
      </c>
      <c r="P2418" s="20"/>
      <c r="Q2418" s="22"/>
      <c r="R2418" s="22"/>
      <c r="S2418" s="22"/>
      <c r="T2418" s="20"/>
      <c r="U2418" s="26"/>
      <c r="V2418" s="26"/>
      <c r="W2418" s="20"/>
      <c r="X2418" s="20"/>
      <c r="Y2418" s="20"/>
      <c r="Z2418" s="20"/>
      <c r="AA2418" s="20"/>
      <c r="AB2418" s="20"/>
      <c r="AC2418" s="20"/>
      <c r="AD2418" s="20"/>
      <c r="AE2418" s="20"/>
    </row>
    <row r="2419">
      <c r="A2419" s="21">
        <v>61.0</v>
      </c>
      <c r="B2419" s="20" t="s">
        <v>1716</v>
      </c>
      <c r="C2419" s="20" t="s">
        <v>5270</v>
      </c>
      <c r="I2419" s="25" t="s">
        <v>1217</v>
      </c>
      <c r="J2419" s="25" t="s">
        <v>4990</v>
      </c>
      <c r="K2419" s="25" t="s">
        <v>71</v>
      </c>
      <c r="L2419" s="25" t="s">
        <v>3823</v>
      </c>
      <c r="M2419" s="20" t="s">
        <v>5036</v>
      </c>
      <c r="N2419" s="20" t="s">
        <v>5037</v>
      </c>
      <c r="O2419" s="20" t="s">
        <v>63</v>
      </c>
      <c r="P2419" s="20"/>
      <c r="Q2419" s="22"/>
      <c r="R2419" s="22"/>
      <c r="S2419" s="22"/>
      <c r="T2419" s="20"/>
      <c r="U2419" s="26"/>
      <c r="V2419" s="26"/>
      <c r="W2419" s="20"/>
      <c r="X2419" s="20"/>
      <c r="Y2419" s="20"/>
      <c r="Z2419" s="20"/>
      <c r="AA2419" s="20"/>
      <c r="AB2419" s="20"/>
      <c r="AC2419" s="20"/>
      <c r="AD2419" s="20"/>
      <c r="AE2419" s="20"/>
    </row>
    <row r="2420">
      <c r="A2420" s="21">
        <v>61.0</v>
      </c>
      <c r="B2420" s="20" t="s">
        <v>1716</v>
      </c>
      <c r="C2420" s="20" t="s">
        <v>5270</v>
      </c>
      <c r="I2420" s="25" t="s">
        <v>4068</v>
      </c>
      <c r="J2420" s="25" t="s">
        <v>4980</v>
      </c>
      <c r="K2420" s="25" t="s">
        <v>71</v>
      </c>
      <c r="L2420" s="25" t="s">
        <v>5499</v>
      </c>
      <c r="M2420" s="20" t="s">
        <v>5086</v>
      </c>
      <c r="N2420" s="20" t="s">
        <v>5087</v>
      </c>
      <c r="O2420" s="20" t="s">
        <v>63</v>
      </c>
      <c r="P2420" s="20"/>
      <c r="Q2420" s="22"/>
      <c r="R2420" s="22"/>
      <c r="S2420" s="22"/>
      <c r="T2420" s="20"/>
      <c r="U2420" s="26"/>
      <c r="V2420" s="26"/>
      <c r="W2420" s="20"/>
      <c r="X2420" s="20"/>
      <c r="Y2420" s="20"/>
      <c r="Z2420" s="20"/>
      <c r="AA2420" s="20"/>
      <c r="AB2420" s="20"/>
      <c r="AC2420" s="20"/>
      <c r="AD2420" s="20"/>
      <c r="AE2420" s="20"/>
    </row>
    <row r="2421">
      <c r="A2421" s="21">
        <v>61.0</v>
      </c>
      <c r="B2421" s="20" t="s">
        <v>1716</v>
      </c>
      <c r="C2421" s="20" t="s">
        <v>5270</v>
      </c>
      <c r="I2421" s="25" t="s">
        <v>1103</v>
      </c>
      <c r="J2421" s="25" t="s">
        <v>4990</v>
      </c>
      <c r="K2421" s="25" t="s">
        <v>71</v>
      </c>
      <c r="L2421" s="25" t="s">
        <v>5499</v>
      </c>
      <c r="M2421" s="20" t="s">
        <v>4786</v>
      </c>
      <c r="N2421" s="20" t="s">
        <v>4787</v>
      </c>
      <c r="O2421" s="20" t="s">
        <v>63</v>
      </c>
      <c r="P2421" s="20"/>
      <c r="Q2421" s="22"/>
      <c r="R2421" s="22"/>
      <c r="S2421" s="22"/>
      <c r="T2421" s="20"/>
      <c r="U2421" s="26"/>
      <c r="V2421" s="26"/>
      <c r="W2421" s="20"/>
      <c r="X2421" s="20"/>
      <c r="Y2421" s="20"/>
      <c r="Z2421" s="20"/>
      <c r="AA2421" s="20"/>
      <c r="AB2421" s="20"/>
      <c r="AC2421" s="20"/>
      <c r="AD2421" s="20"/>
      <c r="AE2421" s="20"/>
    </row>
    <row r="2422">
      <c r="A2422" s="21">
        <v>61.0</v>
      </c>
      <c r="B2422" s="20" t="s">
        <v>1716</v>
      </c>
      <c r="C2422" s="20" t="s">
        <v>5270</v>
      </c>
      <c r="I2422" s="25" t="s">
        <v>3059</v>
      </c>
      <c r="J2422" s="25" t="s">
        <v>4990</v>
      </c>
      <c r="K2422" s="25" t="s">
        <v>71</v>
      </c>
      <c r="L2422" s="25" t="s">
        <v>5499</v>
      </c>
      <c r="M2422" s="20" t="s">
        <v>5038</v>
      </c>
      <c r="N2422" s="20" t="s">
        <v>5039</v>
      </c>
      <c r="O2422" s="20" t="s">
        <v>63</v>
      </c>
      <c r="P2422" s="20"/>
      <c r="Q2422" s="22"/>
      <c r="R2422" s="22"/>
      <c r="S2422" s="22"/>
      <c r="T2422" s="20"/>
      <c r="U2422" s="26"/>
      <c r="V2422" s="26"/>
      <c r="W2422" s="20"/>
      <c r="X2422" s="20"/>
      <c r="Y2422" s="20"/>
      <c r="Z2422" s="20"/>
      <c r="AA2422" s="20"/>
      <c r="AB2422" s="20"/>
      <c r="AC2422" s="20"/>
      <c r="AD2422" s="20"/>
      <c r="AE2422" s="20"/>
    </row>
    <row r="2423">
      <c r="A2423" s="21">
        <v>61.0</v>
      </c>
      <c r="B2423" s="20" t="s">
        <v>1716</v>
      </c>
      <c r="C2423" s="20" t="s">
        <v>5270</v>
      </c>
      <c r="I2423" s="25" t="s">
        <v>3640</v>
      </c>
      <c r="J2423" s="25" t="s">
        <v>4980</v>
      </c>
      <c r="K2423" s="25" t="s">
        <v>71</v>
      </c>
      <c r="L2423" s="25" t="s">
        <v>3823</v>
      </c>
      <c r="M2423" s="20" t="s">
        <v>3641</v>
      </c>
      <c r="N2423" s="20" t="s">
        <v>3642</v>
      </c>
      <c r="O2423" s="20" t="s">
        <v>63</v>
      </c>
      <c r="P2423" s="20"/>
      <c r="Q2423" s="22"/>
      <c r="R2423" s="22"/>
      <c r="S2423" s="22"/>
      <c r="T2423" s="20"/>
      <c r="U2423" s="26"/>
      <c r="V2423" s="26"/>
      <c r="W2423" s="20"/>
      <c r="X2423" s="20"/>
      <c r="Y2423" s="20"/>
      <c r="Z2423" s="20"/>
      <c r="AA2423" s="20"/>
      <c r="AB2423" s="20"/>
      <c r="AC2423" s="20"/>
      <c r="AD2423" s="20"/>
      <c r="AE2423" s="20"/>
    </row>
    <row r="2424">
      <c r="A2424" s="21">
        <v>61.0</v>
      </c>
      <c r="B2424" s="20" t="s">
        <v>1716</v>
      </c>
      <c r="C2424" s="20" t="s">
        <v>5270</v>
      </c>
      <c r="I2424" s="25" t="s">
        <v>3643</v>
      </c>
      <c r="J2424" s="25" t="s">
        <v>4980</v>
      </c>
      <c r="K2424" s="25" t="s">
        <v>71</v>
      </c>
      <c r="L2424" s="25" t="s">
        <v>3823</v>
      </c>
      <c r="M2424" s="20" t="s">
        <v>5088</v>
      </c>
      <c r="N2424" s="20" t="s">
        <v>5089</v>
      </c>
      <c r="O2424" s="20" t="s">
        <v>63</v>
      </c>
      <c r="P2424" s="20"/>
      <c r="Q2424" s="22"/>
      <c r="R2424" s="22"/>
      <c r="S2424" s="22"/>
      <c r="T2424" s="20"/>
      <c r="U2424" s="26"/>
      <c r="V2424" s="26"/>
      <c r="W2424" s="20"/>
      <c r="X2424" s="20"/>
      <c r="Y2424" s="20"/>
      <c r="Z2424" s="20"/>
      <c r="AA2424" s="20"/>
      <c r="AB2424" s="20"/>
      <c r="AC2424" s="20"/>
      <c r="AD2424" s="20"/>
      <c r="AE2424" s="20"/>
    </row>
    <row r="2425">
      <c r="A2425" s="21">
        <v>61.0</v>
      </c>
      <c r="B2425" s="20" t="s">
        <v>1716</v>
      </c>
      <c r="C2425" s="20" t="s">
        <v>5270</v>
      </c>
      <c r="I2425" s="25" t="s">
        <v>1722</v>
      </c>
      <c r="J2425" s="25" t="s">
        <v>4990</v>
      </c>
      <c r="K2425" s="25" t="s">
        <v>71</v>
      </c>
      <c r="L2425" s="25" t="s">
        <v>5332</v>
      </c>
      <c r="M2425" s="20" t="s">
        <v>61</v>
      </c>
      <c r="N2425" s="20" t="s">
        <v>3416</v>
      </c>
      <c r="O2425" s="20" t="s">
        <v>63</v>
      </c>
      <c r="P2425" s="20" t="s">
        <v>52</v>
      </c>
      <c r="Q2425" s="22"/>
      <c r="R2425" s="22"/>
      <c r="S2425" s="22"/>
      <c r="T2425" s="20"/>
      <c r="U2425" s="26"/>
      <c r="V2425" s="26"/>
      <c r="W2425" s="20"/>
      <c r="X2425" s="20"/>
      <c r="Y2425" s="20"/>
      <c r="Z2425" s="20"/>
      <c r="AA2425" s="20"/>
      <c r="AB2425" s="20"/>
      <c r="AC2425" s="20"/>
      <c r="AD2425" s="20"/>
      <c r="AE2425" s="20"/>
    </row>
    <row r="2426">
      <c r="A2426" s="21">
        <v>61.0</v>
      </c>
      <c r="B2426" s="20" t="s">
        <v>1716</v>
      </c>
      <c r="C2426" s="20" t="s">
        <v>5270</v>
      </c>
      <c r="I2426" s="25" t="s">
        <v>3498</v>
      </c>
      <c r="J2426" s="25" t="s">
        <v>4980</v>
      </c>
      <c r="K2426" s="25" t="s">
        <v>71</v>
      </c>
      <c r="L2426" s="25" t="s">
        <v>5332</v>
      </c>
      <c r="M2426" s="20" t="s">
        <v>3499</v>
      </c>
      <c r="N2426" s="20" t="s">
        <v>5090</v>
      </c>
      <c r="O2426" s="20" t="s">
        <v>63</v>
      </c>
      <c r="P2426" s="20" t="s">
        <v>52</v>
      </c>
      <c r="Q2426" s="22"/>
      <c r="R2426" s="22"/>
      <c r="S2426" s="22"/>
      <c r="T2426" s="20"/>
      <c r="U2426" s="26"/>
      <c r="V2426" s="26"/>
      <c r="W2426" s="20"/>
      <c r="X2426" s="20"/>
      <c r="Y2426" s="20"/>
      <c r="Z2426" s="20"/>
      <c r="AA2426" s="20"/>
      <c r="AB2426" s="20"/>
      <c r="AC2426" s="20"/>
      <c r="AD2426" s="20"/>
      <c r="AE2426" s="20"/>
    </row>
    <row r="2427">
      <c r="A2427" s="21">
        <v>61.0</v>
      </c>
      <c r="B2427" s="20" t="s">
        <v>1716</v>
      </c>
      <c r="C2427" s="20" t="s">
        <v>5270</v>
      </c>
      <c r="I2427" s="25" t="s">
        <v>4959</v>
      </c>
      <c r="J2427" s="25" t="s">
        <v>4980</v>
      </c>
      <c r="K2427" s="25" t="s">
        <v>71</v>
      </c>
      <c r="L2427" s="25" t="s">
        <v>5333</v>
      </c>
      <c r="M2427" s="20" t="s">
        <v>5091</v>
      </c>
      <c r="N2427" s="20" t="s">
        <v>5092</v>
      </c>
      <c r="O2427" s="20" t="s">
        <v>63</v>
      </c>
      <c r="P2427" s="20" t="s">
        <v>52</v>
      </c>
      <c r="Q2427" s="22"/>
      <c r="R2427" s="22"/>
      <c r="S2427" s="22"/>
      <c r="T2427" s="20"/>
      <c r="U2427" s="26"/>
      <c r="V2427" s="26"/>
      <c r="W2427" s="20"/>
      <c r="X2427" s="20"/>
      <c r="Y2427" s="20"/>
      <c r="Z2427" s="20"/>
      <c r="AA2427" s="20"/>
      <c r="AB2427" s="20"/>
      <c r="AC2427" s="20"/>
      <c r="AD2427" s="20"/>
      <c r="AE2427" s="20"/>
    </row>
    <row r="2428">
      <c r="A2428" s="21">
        <v>61.0</v>
      </c>
      <c r="B2428" s="20" t="s">
        <v>1716</v>
      </c>
      <c r="C2428" s="20" t="s">
        <v>5270</v>
      </c>
      <c r="I2428" s="25" t="s">
        <v>1475</v>
      </c>
      <c r="J2428" s="25" t="s">
        <v>4990</v>
      </c>
      <c r="K2428" s="25" t="s">
        <v>71</v>
      </c>
      <c r="L2428" s="25" t="s">
        <v>3908</v>
      </c>
      <c r="M2428" s="20" t="s">
        <v>1476</v>
      </c>
      <c r="N2428" s="20" t="s">
        <v>4863</v>
      </c>
      <c r="O2428" s="20" t="s">
        <v>63</v>
      </c>
      <c r="P2428" s="20" t="s">
        <v>52</v>
      </c>
      <c r="Q2428" s="22"/>
      <c r="R2428" s="22"/>
      <c r="S2428" s="22"/>
      <c r="T2428" s="20"/>
      <c r="U2428" s="26"/>
      <c r="V2428" s="26"/>
      <c r="W2428" s="20"/>
      <c r="X2428" s="20"/>
      <c r="Y2428" s="20"/>
      <c r="Z2428" s="20"/>
      <c r="AA2428" s="20"/>
      <c r="AB2428" s="20"/>
      <c r="AC2428" s="20"/>
      <c r="AD2428" s="20"/>
      <c r="AE2428" s="20"/>
    </row>
    <row r="2429">
      <c r="A2429" s="21">
        <v>61.0</v>
      </c>
      <c r="B2429" s="20" t="s">
        <v>1716</v>
      </c>
      <c r="C2429" s="20" t="s">
        <v>5270</v>
      </c>
      <c r="I2429" s="25" t="s">
        <v>2759</v>
      </c>
      <c r="J2429" s="25" t="s">
        <v>4980</v>
      </c>
      <c r="K2429" s="25" t="s">
        <v>71</v>
      </c>
      <c r="L2429" s="25" t="s">
        <v>3908</v>
      </c>
      <c r="M2429" s="20" t="s">
        <v>3508</v>
      </c>
      <c r="N2429" s="20" t="s">
        <v>5093</v>
      </c>
      <c r="O2429" s="20" t="s">
        <v>63</v>
      </c>
      <c r="P2429" s="20" t="s">
        <v>52</v>
      </c>
      <c r="Q2429" s="22"/>
      <c r="R2429" s="22"/>
      <c r="S2429" s="22"/>
      <c r="T2429" s="20"/>
      <c r="U2429" s="26"/>
      <c r="V2429" s="26"/>
      <c r="W2429" s="20"/>
      <c r="X2429" s="20"/>
      <c r="Y2429" s="20"/>
      <c r="Z2429" s="20"/>
      <c r="AA2429" s="20"/>
      <c r="AB2429" s="20"/>
      <c r="AC2429" s="20"/>
      <c r="AD2429" s="20"/>
      <c r="AE2429" s="20"/>
    </row>
    <row r="2430">
      <c r="A2430" s="21">
        <v>61.0</v>
      </c>
      <c r="B2430" s="20" t="s">
        <v>1716</v>
      </c>
      <c r="C2430" s="20" t="s">
        <v>5270</v>
      </c>
      <c r="I2430" s="25" t="s">
        <v>2591</v>
      </c>
      <c r="J2430" s="25" t="s">
        <v>4990</v>
      </c>
      <c r="K2430" s="25" t="s">
        <v>71</v>
      </c>
      <c r="L2430" s="25" t="s">
        <v>3908</v>
      </c>
      <c r="M2430" s="20" t="s">
        <v>3069</v>
      </c>
      <c r="N2430" s="20" t="s">
        <v>4731</v>
      </c>
      <c r="O2430" s="20" t="s">
        <v>63</v>
      </c>
      <c r="P2430" s="20" t="s">
        <v>52</v>
      </c>
      <c r="Q2430" s="22"/>
      <c r="R2430" s="22"/>
      <c r="S2430" s="22"/>
      <c r="T2430" s="20"/>
      <c r="U2430" s="26"/>
      <c r="V2430" s="26"/>
      <c r="W2430" s="20"/>
      <c r="X2430" s="20"/>
      <c r="Y2430" s="20"/>
      <c r="Z2430" s="20"/>
      <c r="AA2430" s="20"/>
      <c r="AB2430" s="20"/>
      <c r="AC2430" s="20"/>
      <c r="AD2430" s="20"/>
      <c r="AE2430" s="20"/>
    </row>
    <row r="2431">
      <c r="A2431" s="21">
        <v>61.0</v>
      </c>
      <c r="B2431" s="20" t="s">
        <v>1716</v>
      </c>
      <c r="C2431" s="20" t="s">
        <v>5270</v>
      </c>
      <c r="I2431" s="25" t="s">
        <v>3408</v>
      </c>
      <c r="J2431" s="25" t="s">
        <v>4990</v>
      </c>
      <c r="K2431" s="25" t="s">
        <v>71</v>
      </c>
      <c r="L2431" s="25" t="s">
        <v>5335</v>
      </c>
      <c r="M2431" s="20" t="s">
        <v>3514</v>
      </c>
      <c r="N2431" s="20" t="s">
        <v>3515</v>
      </c>
      <c r="O2431" s="20" t="s">
        <v>63</v>
      </c>
      <c r="P2431" s="20" t="s">
        <v>52</v>
      </c>
      <c r="Q2431" s="22"/>
      <c r="R2431" s="22"/>
      <c r="S2431" s="22"/>
      <c r="T2431" s="20"/>
      <c r="U2431" s="26"/>
      <c r="V2431" s="26"/>
      <c r="W2431" s="20"/>
      <c r="X2431" s="20"/>
      <c r="Y2431" s="20"/>
      <c r="Z2431" s="20"/>
      <c r="AA2431" s="20"/>
      <c r="AB2431" s="20"/>
      <c r="AC2431" s="20"/>
      <c r="AD2431" s="20"/>
      <c r="AE2431" s="20"/>
    </row>
    <row r="2432">
      <c r="A2432" s="21">
        <v>61.0</v>
      </c>
      <c r="B2432" s="20" t="s">
        <v>1716</v>
      </c>
      <c r="C2432" s="20" t="s">
        <v>5270</v>
      </c>
      <c r="I2432" s="25" t="s">
        <v>4734</v>
      </c>
      <c r="J2432" s="25" t="s">
        <v>4990</v>
      </c>
      <c r="K2432" s="25" t="s">
        <v>71</v>
      </c>
      <c r="L2432" s="25" t="s">
        <v>5336</v>
      </c>
      <c r="M2432" s="20" t="s">
        <v>4735</v>
      </c>
      <c r="N2432" s="20" t="s">
        <v>4736</v>
      </c>
      <c r="O2432" s="20" t="s">
        <v>63</v>
      </c>
      <c r="P2432" s="20" t="s">
        <v>52</v>
      </c>
      <c r="Q2432" s="22"/>
      <c r="R2432" s="22"/>
      <c r="S2432" s="22"/>
      <c r="T2432" s="20"/>
      <c r="U2432" s="26"/>
      <c r="V2432" s="26"/>
      <c r="W2432" s="20"/>
      <c r="X2432" s="20"/>
      <c r="Y2432" s="20"/>
      <c r="Z2432" s="20"/>
      <c r="AA2432" s="20"/>
      <c r="AB2432" s="20"/>
      <c r="AC2432" s="20"/>
      <c r="AD2432" s="20"/>
      <c r="AE2432" s="20"/>
    </row>
    <row r="2433">
      <c r="A2433" s="21">
        <v>61.0</v>
      </c>
      <c r="B2433" s="20" t="s">
        <v>1716</v>
      </c>
      <c r="C2433" s="20" t="s">
        <v>5270</v>
      </c>
      <c r="I2433" s="25" t="s">
        <v>2013</v>
      </c>
      <c r="J2433" s="25" t="s">
        <v>4990</v>
      </c>
      <c r="K2433" s="25" t="s">
        <v>71</v>
      </c>
      <c r="L2433" s="25" t="s">
        <v>292</v>
      </c>
      <c r="M2433" s="20" t="s">
        <v>61</v>
      </c>
      <c r="N2433" s="20" t="s">
        <v>5040</v>
      </c>
      <c r="O2433" s="20" t="s">
        <v>63</v>
      </c>
      <c r="P2433" s="20" t="s">
        <v>52</v>
      </c>
      <c r="Q2433" s="22"/>
      <c r="R2433" s="22"/>
      <c r="S2433" s="22"/>
      <c r="T2433" s="22"/>
      <c r="U2433" s="26"/>
      <c r="V2433" s="26"/>
      <c r="W2433" s="20"/>
      <c r="X2433" s="20"/>
      <c r="Y2433" s="20"/>
      <c r="Z2433" s="20"/>
      <c r="AA2433" s="20"/>
      <c r="AB2433" s="20"/>
      <c r="AC2433" s="20"/>
      <c r="AD2433" s="20"/>
      <c r="AE2433" s="20"/>
    </row>
    <row r="2434">
      <c r="A2434" s="21">
        <v>61.0</v>
      </c>
      <c r="B2434" s="20" t="s">
        <v>1716</v>
      </c>
      <c r="C2434" s="20" t="s">
        <v>5270</v>
      </c>
      <c r="I2434" s="25" t="s">
        <v>5094</v>
      </c>
      <c r="J2434" s="25" t="s">
        <v>4980</v>
      </c>
      <c r="K2434" s="25" t="s">
        <v>71</v>
      </c>
      <c r="L2434" s="25" t="s">
        <v>5591</v>
      </c>
      <c r="M2434" s="20" t="s">
        <v>5095</v>
      </c>
      <c r="N2434" s="20" t="s">
        <v>5096</v>
      </c>
      <c r="O2434" s="20" t="s">
        <v>63</v>
      </c>
      <c r="P2434" s="20" t="s">
        <v>52</v>
      </c>
      <c r="Q2434" s="22"/>
      <c r="R2434" s="22"/>
      <c r="S2434" s="22"/>
      <c r="T2434" s="26"/>
      <c r="U2434" s="26"/>
      <c r="V2434" s="26"/>
      <c r="W2434" s="20"/>
      <c r="X2434" s="20"/>
      <c r="Y2434" s="20"/>
      <c r="Z2434" s="20"/>
      <c r="AA2434" s="20"/>
      <c r="AB2434" s="20"/>
      <c r="AC2434" s="20"/>
      <c r="AD2434" s="20"/>
      <c r="AE2434" s="20"/>
    </row>
    <row r="2435">
      <c r="A2435" s="21">
        <v>61.0</v>
      </c>
      <c r="B2435" s="20" t="s">
        <v>1716</v>
      </c>
      <c r="C2435" s="20" t="s">
        <v>5270</v>
      </c>
      <c r="I2435" s="25" t="s">
        <v>1315</v>
      </c>
      <c r="J2435" s="25" t="s">
        <v>4990</v>
      </c>
      <c r="K2435" s="25" t="s">
        <v>71</v>
      </c>
      <c r="L2435" s="25" t="s">
        <v>292</v>
      </c>
      <c r="M2435" s="20" t="s">
        <v>4725</v>
      </c>
      <c r="N2435" s="20" t="s">
        <v>4726</v>
      </c>
      <c r="O2435" s="20" t="s">
        <v>63</v>
      </c>
      <c r="P2435" s="20" t="s">
        <v>52</v>
      </c>
      <c r="Q2435" s="22"/>
      <c r="R2435" s="22"/>
      <c r="S2435" s="22"/>
      <c r="T2435" s="22"/>
      <c r="U2435" s="26"/>
      <c r="V2435" s="26"/>
      <c r="W2435" s="20"/>
      <c r="X2435" s="20"/>
      <c r="Y2435" s="20"/>
      <c r="Z2435" s="20"/>
      <c r="AA2435" s="20"/>
      <c r="AB2435" s="20"/>
      <c r="AC2435" s="20"/>
      <c r="AD2435" s="20"/>
      <c r="AE2435" s="20"/>
    </row>
    <row r="2436">
      <c r="A2436" s="21">
        <v>61.0</v>
      </c>
      <c r="B2436" s="20" t="s">
        <v>1716</v>
      </c>
      <c r="C2436" s="20" t="s">
        <v>5270</v>
      </c>
      <c r="I2436" s="25" t="s">
        <v>3348</v>
      </c>
      <c r="J2436" s="25" t="s">
        <v>4980</v>
      </c>
      <c r="K2436" s="25" t="s">
        <v>71</v>
      </c>
      <c r="L2436" s="25" t="s">
        <v>3910</v>
      </c>
      <c r="M2436" s="20" t="s">
        <v>3349</v>
      </c>
      <c r="N2436" s="20" t="s">
        <v>5097</v>
      </c>
      <c r="O2436" s="20" t="s">
        <v>63</v>
      </c>
      <c r="P2436" s="20" t="s">
        <v>52</v>
      </c>
      <c r="Q2436" s="22"/>
      <c r="R2436" s="22"/>
      <c r="S2436" s="22"/>
      <c r="T2436" s="26"/>
      <c r="U2436" s="26"/>
      <c r="V2436" s="26"/>
      <c r="W2436" s="20"/>
      <c r="X2436" s="20"/>
      <c r="Y2436" s="20"/>
      <c r="Z2436" s="20"/>
      <c r="AA2436" s="20"/>
      <c r="AB2436" s="20"/>
      <c r="AC2436" s="20"/>
      <c r="AD2436" s="20"/>
      <c r="AE2436" s="20"/>
    </row>
    <row r="2437">
      <c r="A2437" s="21">
        <v>61.0</v>
      </c>
      <c r="B2437" s="20" t="s">
        <v>1716</v>
      </c>
      <c r="C2437" s="20" t="s">
        <v>5270</v>
      </c>
      <c r="I2437" s="25" t="s">
        <v>3328</v>
      </c>
      <c r="J2437" s="25" t="s">
        <v>4980</v>
      </c>
      <c r="K2437" s="25" t="s">
        <v>71</v>
      </c>
      <c r="L2437" s="25" t="s">
        <v>3910</v>
      </c>
      <c r="M2437" s="20" t="s">
        <v>3538</v>
      </c>
      <c r="N2437" s="20" t="s">
        <v>5098</v>
      </c>
      <c r="O2437" s="20" t="s">
        <v>63</v>
      </c>
      <c r="P2437" s="20" t="s">
        <v>52</v>
      </c>
      <c r="Q2437" s="22"/>
      <c r="R2437" s="22"/>
      <c r="S2437" s="22"/>
      <c r="T2437" s="26"/>
      <c r="U2437" s="26"/>
      <c r="V2437" s="26"/>
      <c r="W2437" s="20"/>
      <c r="X2437" s="20"/>
      <c r="Y2437" s="20"/>
      <c r="Z2437" s="20"/>
      <c r="AA2437" s="20"/>
      <c r="AB2437" s="20"/>
      <c r="AC2437" s="20"/>
      <c r="AD2437" s="20"/>
      <c r="AE2437" s="20"/>
    </row>
    <row r="2438">
      <c r="A2438" s="21">
        <v>61.0</v>
      </c>
      <c r="B2438" s="20" t="s">
        <v>1716</v>
      </c>
      <c r="C2438" s="20" t="s">
        <v>5270</v>
      </c>
      <c r="I2438" s="25" t="s">
        <v>1370</v>
      </c>
      <c r="J2438" s="25" t="s">
        <v>4990</v>
      </c>
      <c r="K2438" s="25" t="s">
        <v>71</v>
      </c>
      <c r="L2438" s="25" t="s">
        <v>5340</v>
      </c>
      <c r="M2438" s="20" t="s">
        <v>1628</v>
      </c>
      <c r="N2438" s="20" t="s">
        <v>5041</v>
      </c>
      <c r="O2438" s="20" t="s">
        <v>63</v>
      </c>
      <c r="P2438" s="20" t="s">
        <v>52</v>
      </c>
      <c r="Q2438" s="22"/>
      <c r="R2438" s="22"/>
      <c r="S2438" s="22"/>
      <c r="T2438" s="26"/>
      <c r="U2438" s="26"/>
      <c r="V2438" s="26"/>
      <c r="W2438" s="20"/>
      <c r="X2438" s="20"/>
      <c r="Y2438" s="20"/>
      <c r="Z2438" s="20"/>
      <c r="AA2438" s="20"/>
      <c r="AB2438" s="20"/>
      <c r="AC2438" s="20"/>
      <c r="AD2438" s="20"/>
      <c r="AE2438" s="20"/>
    </row>
    <row r="2439">
      <c r="A2439" s="21">
        <v>61.0</v>
      </c>
      <c r="B2439" s="20" t="s">
        <v>1716</v>
      </c>
      <c r="C2439" s="20" t="s">
        <v>5270</v>
      </c>
      <c r="I2439" s="25" t="s">
        <v>3339</v>
      </c>
      <c r="J2439" s="25" t="s">
        <v>4990</v>
      </c>
      <c r="K2439" s="25" t="s">
        <v>71</v>
      </c>
      <c r="L2439" s="25" t="s">
        <v>5599</v>
      </c>
      <c r="M2439" s="20" t="s">
        <v>3340</v>
      </c>
      <c r="N2439" s="20" t="s">
        <v>5028</v>
      </c>
      <c r="O2439" s="20" t="s">
        <v>63</v>
      </c>
      <c r="P2439" s="20" t="s">
        <v>52</v>
      </c>
      <c r="Q2439" s="22"/>
      <c r="R2439" s="22"/>
      <c r="S2439" s="22"/>
      <c r="T2439" s="26"/>
      <c r="U2439" s="26"/>
      <c r="V2439" s="26"/>
      <c r="W2439" s="20"/>
      <c r="X2439" s="20"/>
      <c r="Y2439" s="20"/>
      <c r="Z2439" s="20"/>
      <c r="AA2439" s="20"/>
      <c r="AB2439" s="20"/>
      <c r="AC2439" s="20"/>
      <c r="AD2439" s="20"/>
      <c r="AE2439" s="20"/>
    </row>
    <row r="2440">
      <c r="A2440" s="21">
        <v>61.0</v>
      </c>
      <c r="B2440" s="20" t="s">
        <v>1716</v>
      </c>
      <c r="C2440" s="20" t="s">
        <v>5270</v>
      </c>
      <c r="I2440" s="25" t="s">
        <v>894</v>
      </c>
      <c r="J2440" s="25" t="s">
        <v>4980</v>
      </c>
      <c r="K2440" s="25" t="s">
        <v>71</v>
      </c>
      <c r="L2440" s="25" t="s">
        <v>3910</v>
      </c>
      <c r="M2440" s="20" t="s">
        <v>3510</v>
      </c>
      <c r="N2440" s="20" t="s">
        <v>5099</v>
      </c>
      <c r="O2440" s="20" t="s">
        <v>63</v>
      </c>
      <c r="P2440" s="20" t="s">
        <v>52</v>
      </c>
      <c r="Q2440" s="22"/>
      <c r="R2440" s="22"/>
      <c r="S2440" s="22"/>
      <c r="T2440" s="26"/>
      <c r="U2440" s="26"/>
      <c r="V2440" s="26"/>
      <c r="W2440" s="20"/>
      <c r="X2440" s="20"/>
      <c r="Y2440" s="20"/>
      <c r="Z2440" s="20"/>
      <c r="AA2440" s="20"/>
      <c r="AB2440" s="20"/>
      <c r="AC2440" s="20"/>
      <c r="AD2440" s="20"/>
      <c r="AE2440" s="20"/>
    </row>
    <row r="2441">
      <c r="A2441" s="21">
        <v>61.0</v>
      </c>
      <c r="B2441" s="20" t="s">
        <v>1716</v>
      </c>
      <c r="C2441" s="20" t="s">
        <v>5270</v>
      </c>
      <c r="I2441" s="25" t="s">
        <v>3543</v>
      </c>
      <c r="J2441" s="25" t="s">
        <v>4980</v>
      </c>
      <c r="K2441" s="25" t="s">
        <v>71</v>
      </c>
      <c r="L2441" s="25" t="s">
        <v>3916</v>
      </c>
      <c r="M2441" s="20" t="s">
        <v>5100</v>
      </c>
      <c r="N2441" s="20" t="s">
        <v>5101</v>
      </c>
      <c r="O2441" s="20" t="s">
        <v>63</v>
      </c>
      <c r="P2441" s="20" t="s">
        <v>52</v>
      </c>
      <c r="Q2441" s="22"/>
      <c r="R2441" s="22"/>
      <c r="S2441" s="22"/>
      <c r="T2441" s="26"/>
      <c r="U2441" s="26"/>
      <c r="V2441" s="26"/>
      <c r="W2441" s="20"/>
      <c r="X2441" s="20"/>
      <c r="Y2441" s="20"/>
      <c r="Z2441" s="20"/>
      <c r="AA2441" s="20"/>
      <c r="AB2441" s="20"/>
      <c r="AC2441" s="20"/>
      <c r="AD2441" s="20"/>
      <c r="AE2441" s="20"/>
    </row>
    <row r="2442">
      <c r="A2442" s="21">
        <v>61.0</v>
      </c>
      <c r="B2442" s="20" t="s">
        <v>1716</v>
      </c>
      <c r="C2442" s="20" t="s">
        <v>5270</v>
      </c>
      <c r="I2442" s="25" t="s">
        <v>4670</v>
      </c>
      <c r="J2442" s="25" t="s">
        <v>4980</v>
      </c>
      <c r="K2442" s="25" t="s">
        <v>71</v>
      </c>
      <c r="L2442" s="25" t="s">
        <v>5341</v>
      </c>
      <c r="M2442" s="20" t="s">
        <v>5102</v>
      </c>
      <c r="N2442" s="20" t="s">
        <v>5103</v>
      </c>
      <c r="O2442" s="20" t="s">
        <v>63</v>
      </c>
      <c r="P2442" s="20" t="s">
        <v>52</v>
      </c>
      <c r="Q2442" s="22"/>
      <c r="R2442" s="22"/>
      <c r="S2442" s="22"/>
      <c r="T2442" s="26"/>
      <c r="U2442" s="26"/>
      <c r="V2442" s="26"/>
      <c r="W2442" s="20"/>
      <c r="X2442" s="20"/>
      <c r="Y2442" s="20"/>
      <c r="Z2442" s="20"/>
      <c r="AA2442" s="20"/>
      <c r="AB2442" s="20"/>
      <c r="AC2442" s="20"/>
      <c r="AD2442" s="20"/>
      <c r="AE2442" s="20"/>
    </row>
    <row r="2443">
      <c r="A2443" s="21">
        <v>61.0</v>
      </c>
      <c r="B2443" s="20" t="s">
        <v>1716</v>
      </c>
      <c r="C2443" s="20" t="s">
        <v>5270</v>
      </c>
      <c r="I2443" s="25" t="s">
        <v>193</v>
      </c>
      <c r="J2443" s="25" t="s">
        <v>4990</v>
      </c>
      <c r="K2443" s="25" t="s">
        <v>71</v>
      </c>
      <c r="L2443" s="25" t="s">
        <v>5342</v>
      </c>
      <c r="M2443" s="20" t="s">
        <v>4743</v>
      </c>
      <c r="N2443" s="20" t="s">
        <v>4744</v>
      </c>
      <c r="O2443" s="20" t="s">
        <v>63</v>
      </c>
      <c r="P2443" s="20" t="s">
        <v>52</v>
      </c>
      <c r="Q2443" s="22"/>
      <c r="R2443" s="22"/>
      <c r="S2443" s="22"/>
      <c r="T2443" s="20"/>
      <c r="U2443" s="26"/>
      <c r="V2443" s="26"/>
      <c r="W2443" s="20"/>
      <c r="X2443" s="20"/>
      <c r="Y2443" s="20"/>
      <c r="Z2443" s="20"/>
      <c r="AA2443" s="20"/>
      <c r="AB2443" s="20"/>
      <c r="AC2443" s="20"/>
      <c r="AD2443" s="20"/>
      <c r="AE2443" s="20"/>
    </row>
    <row r="2444">
      <c r="A2444" s="21">
        <v>61.0</v>
      </c>
      <c r="B2444" s="20" t="s">
        <v>1716</v>
      </c>
      <c r="C2444" s="20" t="s">
        <v>5270</v>
      </c>
      <c r="I2444" s="25" t="s">
        <v>4921</v>
      </c>
      <c r="J2444" s="25" t="s">
        <v>4976</v>
      </c>
      <c r="K2444" s="25" t="s">
        <v>71</v>
      </c>
      <c r="L2444" s="25" t="s">
        <v>5343</v>
      </c>
      <c r="M2444" s="20" t="s">
        <v>4922</v>
      </c>
      <c r="N2444" s="20" t="s">
        <v>5001</v>
      </c>
      <c r="O2444" s="20" t="s">
        <v>63</v>
      </c>
      <c r="P2444" s="20" t="s">
        <v>52</v>
      </c>
      <c r="Q2444" s="22"/>
      <c r="R2444" s="22"/>
      <c r="S2444" s="22"/>
      <c r="T2444" s="20"/>
      <c r="U2444" s="26"/>
      <c r="V2444" s="26"/>
      <c r="W2444" s="20"/>
      <c r="X2444" s="20"/>
      <c r="Y2444" s="20"/>
      <c r="Z2444" s="20"/>
      <c r="AA2444" s="20"/>
      <c r="AB2444" s="20"/>
      <c r="AC2444" s="20"/>
      <c r="AD2444" s="20"/>
      <c r="AE2444" s="20"/>
    </row>
    <row r="2445">
      <c r="A2445" s="21">
        <v>61.0</v>
      </c>
      <c r="B2445" s="20" t="s">
        <v>1716</v>
      </c>
      <c r="C2445" s="20" t="s">
        <v>5270</v>
      </c>
      <c r="I2445" s="25" t="s">
        <v>5002</v>
      </c>
      <c r="J2445" s="25" t="s">
        <v>4976</v>
      </c>
      <c r="K2445" s="25" t="s">
        <v>71</v>
      </c>
      <c r="L2445" s="25" t="s">
        <v>5607</v>
      </c>
      <c r="M2445" s="20" t="s">
        <v>5003</v>
      </c>
      <c r="N2445" s="20" t="s">
        <v>5004</v>
      </c>
      <c r="O2445" s="20" t="s">
        <v>63</v>
      </c>
      <c r="P2445" s="20" t="s">
        <v>52</v>
      </c>
      <c r="Q2445" s="22"/>
      <c r="R2445" s="22"/>
      <c r="S2445" s="22"/>
      <c r="T2445" s="26"/>
      <c r="U2445" s="26"/>
      <c r="V2445" s="26"/>
      <c r="W2445" s="20"/>
      <c r="X2445" s="20"/>
      <c r="Y2445" s="20"/>
      <c r="Z2445" s="20"/>
      <c r="AA2445" s="20"/>
      <c r="AB2445" s="20"/>
      <c r="AC2445" s="20"/>
      <c r="AD2445" s="20"/>
      <c r="AE2445" s="20"/>
    </row>
    <row r="2446">
      <c r="A2446" s="21">
        <v>61.0</v>
      </c>
      <c r="B2446" s="20" t="s">
        <v>1716</v>
      </c>
      <c r="C2446" s="20" t="s">
        <v>5270</v>
      </c>
      <c r="I2446" s="25" t="s">
        <v>2424</v>
      </c>
      <c r="J2446" s="25" t="s">
        <v>4980</v>
      </c>
      <c r="K2446" s="25" t="s">
        <v>71</v>
      </c>
      <c r="L2446" s="25" t="s">
        <v>5344</v>
      </c>
      <c r="M2446" s="20" t="s">
        <v>5104</v>
      </c>
      <c r="N2446" s="20" t="s">
        <v>5105</v>
      </c>
      <c r="O2446" s="20" t="s">
        <v>63</v>
      </c>
      <c r="P2446" s="20" t="s">
        <v>52</v>
      </c>
      <c r="Q2446" s="22"/>
      <c r="R2446" s="22"/>
      <c r="S2446" s="22"/>
      <c r="T2446" s="26"/>
      <c r="U2446" s="26"/>
      <c r="V2446" s="26"/>
      <c r="W2446" s="20"/>
      <c r="X2446" s="20"/>
      <c r="Y2446" s="20"/>
      <c r="Z2446" s="20"/>
      <c r="AA2446" s="20"/>
      <c r="AB2446" s="20"/>
      <c r="AC2446" s="20"/>
      <c r="AD2446" s="20"/>
      <c r="AE2446" s="20"/>
    </row>
    <row r="2447">
      <c r="A2447" s="21">
        <v>61.0</v>
      </c>
      <c r="B2447" s="20" t="s">
        <v>1716</v>
      </c>
      <c r="C2447" s="20" t="s">
        <v>5270</v>
      </c>
      <c r="I2447" s="25" t="s">
        <v>4493</v>
      </c>
      <c r="J2447" s="25" t="s">
        <v>4990</v>
      </c>
      <c r="K2447" s="25" t="s">
        <v>71</v>
      </c>
      <c r="L2447" s="25" t="s">
        <v>5345</v>
      </c>
      <c r="M2447" s="20" t="s">
        <v>5044</v>
      </c>
      <c r="N2447" s="20" t="s">
        <v>5045</v>
      </c>
      <c r="O2447" s="20" t="s">
        <v>63</v>
      </c>
      <c r="P2447" s="20" t="s">
        <v>52</v>
      </c>
      <c r="Q2447" s="22"/>
      <c r="R2447" s="22"/>
      <c r="S2447" s="22"/>
      <c r="T2447" s="26"/>
      <c r="U2447" s="26"/>
      <c r="V2447" s="26"/>
      <c r="W2447" s="20"/>
      <c r="X2447" s="20"/>
      <c r="Y2447" s="20"/>
      <c r="Z2447" s="20"/>
      <c r="AA2447" s="20"/>
      <c r="AB2447" s="20"/>
      <c r="AC2447" s="20"/>
      <c r="AD2447" s="20"/>
      <c r="AE2447" s="20"/>
    </row>
    <row r="2448">
      <c r="A2448" s="21">
        <v>61.0</v>
      </c>
      <c r="B2448" s="20" t="s">
        <v>1716</v>
      </c>
      <c r="C2448" s="20" t="s">
        <v>5270</v>
      </c>
      <c r="I2448" s="25" t="s">
        <v>4747</v>
      </c>
      <c r="J2448" s="25" t="s">
        <v>4980</v>
      </c>
      <c r="K2448" s="25" t="s">
        <v>71</v>
      </c>
      <c r="L2448" s="25" t="s">
        <v>5345</v>
      </c>
      <c r="M2448" s="20" t="s">
        <v>5106</v>
      </c>
      <c r="N2448" s="20" t="s">
        <v>5107</v>
      </c>
      <c r="O2448" s="20" t="s">
        <v>63</v>
      </c>
      <c r="P2448" s="20" t="s">
        <v>52</v>
      </c>
      <c r="Q2448" s="22"/>
      <c r="R2448" s="22"/>
      <c r="S2448" s="22"/>
      <c r="T2448" s="26"/>
      <c r="U2448" s="26"/>
      <c r="V2448" s="26"/>
      <c r="W2448" s="20"/>
      <c r="X2448" s="20"/>
      <c r="Y2448" s="20"/>
      <c r="Z2448" s="20"/>
      <c r="AA2448" s="20"/>
      <c r="AB2448" s="20"/>
      <c r="AC2448" s="20"/>
      <c r="AD2448" s="20"/>
      <c r="AE2448" s="20"/>
    </row>
    <row r="2449">
      <c r="A2449" s="21">
        <v>61.0</v>
      </c>
      <c r="B2449" s="20" t="s">
        <v>1716</v>
      </c>
      <c r="C2449" s="20" t="s">
        <v>5270</v>
      </c>
      <c r="I2449" s="25" t="s">
        <v>512</v>
      </c>
      <c r="J2449" s="25" t="s">
        <v>4980</v>
      </c>
      <c r="K2449" s="25" t="s">
        <v>71</v>
      </c>
      <c r="L2449" s="25" t="s">
        <v>5347</v>
      </c>
      <c r="M2449" s="20" t="s">
        <v>4672</v>
      </c>
      <c r="N2449" s="20" t="s">
        <v>4673</v>
      </c>
      <c r="O2449" s="20" t="s">
        <v>63</v>
      </c>
      <c r="P2449" s="20" t="s">
        <v>52</v>
      </c>
      <c r="Q2449" s="22"/>
      <c r="R2449" s="22"/>
      <c r="S2449" s="22"/>
      <c r="T2449" s="26"/>
      <c r="U2449" s="26"/>
      <c r="V2449" s="26"/>
      <c r="W2449" s="20"/>
      <c r="X2449" s="20"/>
      <c r="Y2449" s="20"/>
      <c r="Z2449" s="20"/>
      <c r="AA2449" s="20"/>
      <c r="AB2449" s="20"/>
      <c r="AC2449" s="20"/>
      <c r="AD2449" s="20"/>
      <c r="AE2449" s="20"/>
    </row>
    <row r="2450">
      <c r="A2450" s="21">
        <v>61.0</v>
      </c>
      <c r="B2450" s="20" t="s">
        <v>1716</v>
      </c>
      <c r="C2450" s="20" t="s">
        <v>5270</v>
      </c>
      <c r="I2450" s="25" t="s">
        <v>707</v>
      </c>
      <c r="J2450" s="25" t="s">
        <v>4980</v>
      </c>
      <c r="K2450" s="25" t="s">
        <v>71</v>
      </c>
      <c r="L2450" s="25" t="s">
        <v>5345</v>
      </c>
      <c r="M2450" s="20" t="s">
        <v>5109</v>
      </c>
      <c r="N2450" s="20" t="s">
        <v>5110</v>
      </c>
      <c r="O2450" s="20" t="s">
        <v>63</v>
      </c>
      <c r="P2450" s="20" t="s">
        <v>52</v>
      </c>
      <c r="Q2450" s="22"/>
      <c r="R2450" s="22"/>
      <c r="S2450" s="22"/>
      <c r="T2450" s="26"/>
      <c r="U2450" s="26"/>
      <c r="V2450" s="26"/>
      <c r="W2450" s="20"/>
      <c r="X2450" s="20"/>
      <c r="Y2450" s="20"/>
      <c r="Z2450" s="20"/>
      <c r="AA2450" s="20"/>
      <c r="AB2450" s="20"/>
      <c r="AC2450" s="20"/>
      <c r="AD2450" s="20"/>
      <c r="AE2450" s="20"/>
    </row>
    <row r="2451">
      <c r="A2451" s="21">
        <v>61.0</v>
      </c>
      <c r="B2451" s="20" t="s">
        <v>1716</v>
      </c>
      <c r="C2451" s="20" t="s">
        <v>5270</v>
      </c>
      <c r="I2451" s="25" t="s">
        <v>4279</v>
      </c>
      <c r="J2451" s="25" t="s">
        <v>4990</v>
      </c>
      <c r="K2451" s="25" t="s">
        <v>71</v>
      </c>
      <c r="L2451" s="25" t="s">
        <v>5345</v>
      </c>
      <c r="M2451" s="20" t="s">
        <v>4750</v>
      </c>
      <c r="N2451" s="20" t="s">
        <v>4751</v>
      </c>
      <c r="O2451" s="20" t="s">
        <v>63</v>
      </c>
      <c r="P2451" s="20" t="s">
        <v>52</v>
      </c>
      <c r="Q2451" s="22"/>
      <c r="R2451" s="22"/>
      <c r="S2451" s="22"/>
      <c r="T2451" s="26"/>
      <c r="U2451" s="26"/>
      <c r="V2451" s="26"/>
      <c r="W2451" s="20"/>
      <c r="X2451" s="20"/>
      <c r="Y2451" s="20"/>
      <c r="Z2451" s="20"/>
      <c r="AA2451" s="20"/>
      <c r="AB2451" s="20"/>
      <c r="AC2451" s="20"/>
      <c r="AD2451" s="20"/>
      <c r="AE2451" s="20"/>
    </row>
    <row r="2452">
      <c r="A2452" s="21">
        <v>61.0</v>
      </c>
      <c r="B2452" s="20" t="s">
        <v>1716</v>
      </c>
      <c r="C2452" s="20" t="s">
        <v>5270</v>
      </c>
      <c r="I2452" s="25" t="s">
        <v>2735</v>
      </c>
      <c r="J2452" s="25" t="s">
        <v>4990</v>
      </c>
      <c r="K2452" s="25" t="s">
        <v>71</v>
      </c>
      <c r="L2452" s="25" t="s">
        <v>5345</v>
      </c>
      <c r="M2452" s="20" t="s">
        <v>4752</v>
      </c>
      <c r="N2452" s="20" t="s">
        <v>4753</v>
      </c>
      <c r="O2452" s="20" t="s">
        <v>63</v>
      </c>
      <c r="P2452" s="20" t="s">
        <v>52</v>
      </c>
      <c r="Q2452" s="22"/>
      <c r="R2452" s="22"/>
      <c r="S2452" s="22"/>
      <c r="T2452" s="26"/>
      <c r="U2452" s="26"/>
      <c r="V2452" s="26"/>
      <c r="W2452" s="20"/>
      <c r="X2452" s="20"/>
      <c r="Y2452" s="20"/>
      <c r="Z2452" s="20"/>
      <c r="AA2452" s="20"/>
      <c r="AB2452" s="20"/>
      <c r="AC2452" s="20"/>
      <c r="AD2452" s="20"/>
      <c r="AE2452" s="20"/>
    </row>
    <row r="2453">
      <c r="A2453" s="21">
        <v>61.0</v>
      </c>
      <c r="B2453" s="20" t="s">
        <v>1716</v>
      </c>
      <c r="C2453" s="20" t="s">
        <v>5270</v>
      </c>
      <c r="I2453" s="25" t="s">
        <v>711</v>
      </c>
      <c r="J2453" s="25" t="s">
        <v>4990</v>
      </c>
      <c r="K2453" s="25" t="s">
        <v>71</v>
      </c>
      <c r="L2453" s="25" t="s">
        <v>5345</v>
      </c>
      <c r="M2453" s="20" t="s">
        <v>4754</v>
      </c>
      <c r="N2453" s="20" t="s">
        <v>4755</v>
      </c>
      <c r="O2453" s="20" t="s">
        <v>63</v>
      </c>
      <c r="P2453" s="20" t="s">
        <v>52</v>
      </c>
      <c r="Q2453" s="22"/>
      <c r="R2453" s="22"/>
      <c r="S2453" s="22"/>
      <c r="T2453" s="26"/>
      <c r="U2453" s="26"/>
      <c r="V2453" s="26"/>
      <c r="W2453" s="20"/>
      <c r="X2453" s="20"/>
      <c r="Y2453" s="20"/>
      <c r="Z2453" s="20"/>
      <c r="AA2453" s="20"/>
      <c r="AB2453" s="20"/>
      <c r="AC2453" s="20"/>
      <c r="AD2453" s="20"/>
      <c r="AE2453" s="20"/>
    </row>
    <row r="2454">
      <c r="A2454" s="21">
        <v>61.0</v>
      </c>
      <c r="B2454" s="20" t="s">
        <v>1716</v>
      </c>
      <c r="C2454" s="20" t="s">
        <v>5270</v>
      </c>
      <c r="I2454" s="25" t="s">
        <v>4756</v>
      </c>
      <c r="J2454" s="25" t="s">
        <v>4976</v>
      </c>
      <c r="K2454" s="25" t="s">
        <v>71</v>
      </c>
      <c r="L2454" s="25" t="s">
        <v>5345</v>
      </c>
      <c r="M2454" s="20" t="s">
        <v>5005</v>
      </c>
      <c r="N2454" s="20" t="s">
        <v>5006</v>
      </c>
      <c r="O2454" s="20" t="s">
        <v>63</v>
      </c>
      <c r="P2454" s="20" t="s">
        <v>52</v>
      </c>
      <c r="Q2454" s="22"/>
      <c r="R2454" s="22"/>
      <c r="S2454" s="22"/>
      <c r="T2454" s="26"/>
      <c r="U2454" s="26"/>
      <c r="V2454" s="26"/>
      <c r="W2454" s="20"/>
      <c r="X2454" s="20"/>
      <c r="Y2454" s="20"/>
      <c r="Z2454" s="20"/>
      <c r="AA2454" s="20"/>
      <c r="AB2454" s="20"/>
      <c r="AC2454" s="20"/>
      <c r="AD2454" s="20"/>
      <c r="AE2454" s="20"/>
    </row>
    <row r="2455">
      <c r="A2455" s="21">
        <v>61.0</v>
      </c>
      <c r="B2455" s="20" t="s">
        <v>1716</v>
      </c>
      <c r="C2455" s="20" t="s">
        <v>5270</v>
      </c>
      <c r="I2455" s="25" t="s">
        <v>2447</v>
      </c>
      <c r="J2455" s="25" t="s">
        <v>4980</v>
      </c>
      <c r="K2455" s="25" t="s">
        <v>71</v>
      </c>
      <c r="L2455" s="25" t="s">
        <v>5345</v>
      </c>
      <c r="M2455" s="20" t="s">
        <v>4492</v>
      </c>
      <c r="N2455" s="20" t="s">
        <v>4490</v>
      </c>
      <c r="O2455" s="20" t="s">
        <v>63</v>
      </c>
      <c r="P2455" s="20" t="s">
        <v>52</v>
      </c>
      <c r="Q2455" s="22"/>
      <c r="R2455" s="22"/>
      <c r="S2455" s="22"/>
      <c r="T2455" s="26"/>
      <c r="U2455" s="26"/>
      <c r="V2455" s="26"/>
      <c r="W2455" s="20"/>
      <c r="X2455" s="20"/>
      <c r="Y2455" s="20"/>
      <c r="Z2455" s="20"/>
      <c r="AA2455" s="20"/>
      <c r="AB2455" s="20"/>
      <c r="AC2455" s="20"/>
      <c r="AD2455" s="20"/>
      <c r="AE2455" s="20"/>
    </row>
    <row r="2456">
      <c r="A2456" s="21">
        <v>61.0</v>
      </c>
      <c r="B2456" s="20" t="s">
        <v>1716</v>
      </c>
      <c r="C2456" s="20" t="s">
        <v>5270</v>
      </c>
      <c r="I2456" s="25" t="s">
        <v>4868</v>
      </c>
      <c r="J2456" s="25" t="s">
        <v>4990</v>
      </c>
      <c r="K2456" s="25" t="s">
        <v>71</v>
      </c>
      <c r="L2456" s="25" t="s">
        <v>5345</v>
      </c>
      <c r="M2456" s="20" t="s">
        <v>61</v>
      </c>
      <c r="N2456" s="20" t="s">
        <v>4869</v>
      </c>
      <c r="O2456" s="20" t="s">
        <v>63</v>
      </c>
      <c r="P2456" s="20" t="s">
        <v>52</v>
      </c>
      <c r="Q2456" s="22"/>
      <c r="R2456" s="22"/>
      <c r="S2456" s="22"/>
      <c r="T2456" s="26"/>
      <c r="U2456" s="26"/>
      <c r="V2456" s="26"/>
      <c r="W2456" s="20"/>
      <c r="X2456" s="20"/>
      <c r="Y2456" s="20"/>
      <c r="Z2456" s="20"/>
      <c r="AA2456" s="20"/>
      <c r="AB2456" s="20"/>
      <c r="AC2456" s="20"/>
      <c r="AD2456" s="20"/>
      <c r="AE2456" s="20"/>
    </row>
    <row r="2457">
      <c r="A2457" s="21">
        <v>61.0</v>
      </c>
      <c r="B2457" s="20" t="s">
        <v>1716</v>
      </c>
      <c r="C2457" s="20" t="s">
        <v>5270</v>
      </c>
      <c r="I2457" s="25" t="s">
        <v>4674</v>
      </c>
      <c r="J2457" s="25" t="s">
        <v>4980</v>
      </c>
      <c r="K2457" s="25" t="s">
        <v>71</v>
      </c>
      <c r="L2457" s="25" t="s">
        <v>5351</v>
      </c>
      <c r="M2457" s="20" t="s">
        <v>4675</v>
      </c>
      <c r="N2457" s="20" t="s">
        <v>4676</v>
      </c>
      <c r="O2457" s="20" t="s">
        <v>63</v>
      </c>
      <c r="P2457" s="20" t="s">
        <v>52</v>
      </c>
      <c r="Q2457" s="22"/>
      <c r="R2457" s="22"/>
      <c r="S2457" s="22"/>
      <c r="T2457" s="26"/>
      <c r="U2457" s="26"/>
      <c r="V2457" s="26"/>
      <c r="W2457" s="20"/>
      <c r="X2457" s="20"/>
      <c r="Y2457" s="20"/>
      <c r="Z2457" s="20"/>
      <c r="AA2457" s="20"/>
      <c r="AB2457" s="20"/>
      <c r="AC2457" s="20"/>
      <c r="AD2457" s="20"/>
      <c r="AE2457" s="20"/>
    </row>
    <row r="2458">
      <c r="A2458" s="21">
        <v>61.0</v>
      </c>
      <c r="B2458" s="20" t="s">
        <v>1716</v>
      </c>
      <c r="C2458" s="20" t="s">
        <v>5270</v>
      </c>
      <c r="I2458" s="25" t="s">
        <v>2750</v>
      </c>
      <c r="J2458" s="25" t="s">
        <v>4990</v>
      </c>
      <c r="K2458" s="25" t="s">
        <v>71</v>
      </c>
      <c r="L2458" s="25" t="s">
        <v>5345</v>
      </c>
      <c r="M2458" s="20" t="s">
        <v>2751</v>
      </c>
      <c r="N2458" s="20" t="s">
        <v>2752</v>
      </c>
      <c r="O2458" s="20" t="s">
        <v>63</v>
      </c>
      <c r="P2458" s="20" t="s">
        <v>52</v>
      </c>
      <c r="Q2458" s="22"/>
      <c r="R2458" s="22"/>
      <c r="S2458" s="22"/>
      <c r="T2458" s="26"/>
      <c r="U2458" s="26"/>
      <c r="V2458" s="26"/>
      <c r="W2458" s="20"/>
      <c r="X2458" s="20"/>
      <c r="Y2458" s="20"/>
      <c r="Z2458" s="20"/>
      <c r="AA2458" s="20"/>
      <c r="AB2458" s="20"/>
      <c r="AC2458" s="20"/>
      <c r="AD2458" s="20"/>
      <c r="AE2458" s="20"/>
    </row>
    <row r="2459">
      <c r="A2459" s="21">
        <v>61.0</v>
      </c>
      <c r="B2459" s="20" t="s">
        <v>1716</v>
      </c>
      <c r="C2459" s="20" t="s">
        <v>5270</v>
      </c>
      <c r="I2459" s="25" t="s">
        <v>2680</v>
      </c>
      <c r="J2459" s="25" t="s">
        <v>4990</v>
      </c>
      <c r="K2459" s="25" t="s">
        <v>71</v>
      </c>
      <c r="L2459" s="25" t="s">
        <v>5352</v>
      </c>
      <c r="M2459" s="20" t="s">
        <v>4925</v>
      </c>
      <c r="N2459" s="20" t="s">
        <v>3524</v>
      </c>
      <c r="O2459" s="20" t="s">
        <v>63</v>
      </c>
      <c r="P2459" s="20" t="s">
        <v>52</v>
      </c>
      <c r="Q2459" s="22"/>
      <c r="R2459" s="22"/>
      <c r="S2459" s="22"/>
      <c r="T2459" s="26"/>
      <c r="U2459" s="26"/>
      <c r="V2459" s="26"/>
      <c r="W2459" s="20"/>
      <c r="X2459" s="20"/>
      <c r="Y2459" s="20"/>
      <c r="Z2459" s="20"/>
      <c r="AA2459" s="20"/>
      <c r="AB2459" s="20"/>
      <c r="AC2459" s="20"/>
      <c r="AD2459" s="20"/>
      <c r="AE2459" s="20"/>
    </row>
    <row r="2460">
      <c r="A2460" s="21">
        <v>61.0</v>
      </c>
      <c r="B2460" s="20" t="s">
        <v>1716</v>
      </c>
      <c r="C2460" s="20" t="s">
        <v>5270</v>
      </c>
      <c r="I2460" s="25" t="s">
        <v>160</v>
      </c>
      <c r="J2460" s="25" t="s">
        <v>4990</v>
      </c>
      <c r="K2460" s="25" t="s">
        <v>71</v>
      </c>
      <c r="L2460" s="25" t="s">
        <v>5345</v>
      </c>
      <c r="M2460" s="20" t="s">
        <v>61</v>
      </c>
      <c r="N2460" s="20" t="s">
        <v>4760</v>
      </c>
      <c r="O2460" s="20" t="s">
        <v>63</v>
      </c>
      <c r="P2460" s="20" t="s">
        <v>52</v>
      </c>
      <c r="Q2460" s="22"/>
      <c r="R2460" s="22"/>
      <c r="S2460" s="22"/>
      <c r="T2460" s="26"/>
      <c r="U2460" s="26"/>
      <c r="V2460" s="26"/>
      <c r="W2460" s="20"/>
      <c r="X2460" s="20"/>
      <c r="Y2460" s="20"/>
      <c r="Z2460" s="20"/>
      <c r="AA2460" s="20"/>
      <c r="AB2460" s="20"/>
      <c r="AC2460" s="20"/>
      <c r="AD2460" s="20"/>
      <c r="AE2460" s="20"/>
    </row>
    <row r="2461">
      <c r="A2461" s="21">
        <v>61.0</v>
      </c>
      <c r="B2461" s="20" t="s">
        <v>1716</v>
      </c>
      <c r="C2461" s="20" t="s">
        <v>5270</v>
      </c>
      <c r="I2461" s="25" t="s">
        <v>2484</v>
      </c>
      <c r="J2461" s="25" t="s">
        <v>4980</v>
      </c>
      <c r="K2461" s="25" t="s">
        <v>71</v>
      </c>
      <c r="L2461" s="25" t="s">
        <v>5345</v>
      </c>
      <c r="M2461" s="20" t="s">
        <v>4677</v>
      </c>
      <c r="N2461" s="20" t="s">
        <v>4995</v>
      </c>
      <c r="O2461" s="20" t="s">
        <v>56</v>
      </c>
      <c r="P2461" s="20" t="s">
        <v>52</v>
      </c>
      <c r="Q2461" s="22"/>
      <c r="R2461" s="22"/>
      <c r="S2461" s="22"/>
      <c r="T2461" s="26"/>
      <c r="U2461" s="26"/>
      <c r="V2461" s="26"/>
      <c r="W2461" s="20"/>
      <c r="X2461" s="20"/>
      <c r="Y2461" s="20"/>
      <c r="Z2461" s="20"/>
      <c r="AA2461" s="20"/>
      <c r="AB2461" s="20"/>
      <c r="AC2461" s="20"/>
      <c r="AD2461" s="20"/>
      <c r="AE2461" s="20"/>
    </row>
    <row r="2462">
      <c r="A2462" s="21">
        <v>61.0</v>
      </c>
      <c r="B2462" s="20" t="s">
        <v>1716</v>
      </c>
      <c r="C2462" s="20" t="s">
        <v>5270</v>
      </c>
      <c r="I2462" s="25" t="s">
        <v>2883</v>
      </c>
      <c r="J2462" s="25" t="s">
        <v>4976</v>
      </c>
      <c r="K2462" s="25" t="s">
        <v>71</v>
      </c>
      <c r="L2462" s="25" t="s">
        <v>5345</v>
      </c>
      <c r="M2462" s="20" t="s">
        <v>4115</v>
      </c>
      <c r="N2462" s="20" t="s">
        <v>4117</v>
      </c>
      <c r="O2462" s="20" t="s">
        <v>63</v>
      </c>
      <c r="P2462" s="20" t="s">
        <v>52</v>
      </c>
      <c r="Q2462" s="22"/>
      <c r="R2462" s="22"/>
      <c r="S2462" s="22"/>
      <c r="T2462" s="26"/>
      <c r="U2462" s="26"/>
      <c r="V2462" s="26"/>
      <c r="W2462" s="20"/>
      <c r="X2462" s="20"/>
      <c r="Y2462" s="20"/>
      <c r="Z2462" s="20"/>
      <c r="AA2462" s="20"/>
      <c r="AB2462" s="20"/>
      <c r="AC2462" s="20"/>
      <c r="AD2462" s="20"/>
      <c r="AE2462" s="20"/>
    </row>
    <row r="2463">
      <c r="A2463" s="21">
        <v>61.0</v>
      </c>
      <c r="B2463" s="20" t="s">
        <v>1716</v>
      </c>
      <c r="C2463" s="20" t="s">
        <v>5270</v>
      </c>
      <c r="I2463" s="25" t="s">
        <v>2049</v>
      </c>
      <c r="J2463" s="25" t="s">
        <v>4990</v>
      </c>
      <c r="K2463" s="25" t="s">
        <v>71</v>
      </c>
      <c r="L2463" s="25" t="s">
        <v>5345</v>
      </c>
      <c r="M2463" s="20" t="s">
        <v>4761</v>
      </c>
      <c r="N2463" s="20" t="s">
        <v>4762</v>
      </c>
      <c r="O2463" s="20" t="s">
        <v>63</v>
      </c>
      <c r="P2463" s="20" t="s">
        <v>52</v>
      </c>
      <c r="Q2463" s="22"/>
      <c r="R2463" s="22"/>
      <c r="S2463" s="22"/>
      <c r="T2463" s="26"/>
      <c r="U2463" s="26"/>
      <c r="V2463" s="26"/>
      <c r="W2463" s="20"/>
      <c r="X2463" s="20"/>
      <c r="Y2463" s="20"/>
      <c r="Z2463" s="20"/>
      <c r="AA2463" s="20"/>
      <c r="AB2463" s="20"/>
      <c r="AC2463" s="20"/>
      <c r="AD2463" s="20"/>
      <c r="AE2463" s="20"/>
    </row>
    <row r="2464">
      <c r="A2464" s="21">
        <v>61.0</v>
      </c>
      <c r="B2464" s="20" t="s">
        <v>1716</v>
      </c>
      <c r="C2464" s="20" t="s">
        <v>5270</v>
      </c>
      <c r="I2464" s="25" t="s">
        <v>2753</v>
      </c>
      <c r="J2464" s="25" t="s">
        <v>4976</v>
      </c>
      <c r="K2464" s="25" t="s">
        <v>71</v>
      </c>
      <c r="L2464" s="25" t="s">
        <v>5345</v>
      </c>
      <c r="M2464" s="20" t="s">
        <v>4763</v>
      </c>
      <c r="N2464" s="20" t="s">
        <v>4764</v>
      </c>
      <c r="O2464" s="20" t="s">
        <v>63</v>
      </c>
      <c r="P2464" s="20" t="s">
        <v>52</v>
      </c>
      <c r="Q2464" s="22"/>
      <c r="R2464" s="22"/>
      <c r="S2464" s="22"/>
      <c r="T2464" s="26"/>
      <c r="U2464" s="26"/>
      <c r="V2464" s="26"/>
      <c r="W2464" s="20"/>
      <c r="X2464" s="20"/>
      <c r="Y2464" s="20"/>
      <c r="Z2464" s="20"/>
      <c r="AA2464" s="20"/>
      <c r="AB2464" s="20"/>
      <c r="AC2464" s="20"/>
      <c r="AD2464" s="20"/>
      <c r="AE2464" s="20"/>
    </row>
    <row r="2465">
      <c r="A2465" s="21">
        <v>61.0</v>
      </c>
      <c r="B2465" s="20" t="s">
        <v>1716</v>
      </c>
      <c r="C2465" s="20" t="s">
        <v>5270</v>
      </c>
      <c r="I2465" s="25" t="s">
        <v>4604</v>
      </c>
      <c r="J2465" s="25" t="s">
        <v>4990</v>
      </c>
      <c r="K2465" s="25" t="s">
        <v>71</v>
      </c>
      <c r="L2465" s="25" t="s">
        <v>5345</v>
      </c>
      <c r="M2465" s="20" t="s">
        <v>61</v>
      </c>
      <c r="N2465" s="20" t="s">
        <v>4768</v>
      </c>
      <c r="O2465" s="20" t="s">
        <v>63</v>
      </c>
      <c r="P2465" s="20" t="s">
        <v>52</v>
      </c>
      <c r="Q2465" s="22"/>
      <c r="R2465" s="22"/>
      <c r="S2465" s="22"/>
      <c r="T2465" s="26"/>
      <c r="U2465" s="26"/>
      <c r="V2465" s="26"/>
      <c r="W2465" s="20"/>
      <c r="X2465" s="20"/>
      <c r="Y2465" s="20"/>
      <c r="Z2465" s="20"/>
      <c r="AA2465" s="20"/>
      <c r="AB2465" s="20"/>
      <c r="AC2465" s="20"/>
      <c r="AD2465" s="20"/>
      <c r="AE2465" s="20"/>
    </row>
    <row r="2466">
      <c r="A2466" s="21">
        <v>61.0</v>
      </c>
      <c r="B2466" s="20" t="s">
        <v>1716</v>
      </c>
      <c r="C2466" s="20" t="s">
        <v>5270</v>
      </c>
      <c r="I2466" s="25" t="s">
        <v>2072</v>
      </c>
      <c r="J2466" s="25" t="s">
        <v>4990</v>
      </c>
      <c r="K2466" s="25" t="s">
        <v>71</v>
      </c>
      <c r="L2466" s="25" t="s">
        <v>5625</v>
      </c>
      <c r="M2466" s="20" t="s">
        <v>5050</v>
      </c>
      <c r="N2466" s="20" t="s">
        <v>4736</v>
      </c>
      <c r="O2466" s="20" t="s">
        <v>63</v>
      </c>
      <c r="P2466" s="20" t="s">
        <v>52</v>
      </c>
      <c r="Q2466" s="22"/>
      <c r="R2466" s="22"/>
      <c r="S2466" s="22"/>
      <c r="T2466" s="26"/>
      <c r="U2466" s="26"/>
      <c r="V2466" s="26"/>
      <c r="W2466" s="20"/>
      <c r="X2466" s="20"/>
      <c r="Y2466" s="20"/>
      <c r="Z2466" s="20"/>
      <c r="AA2466" s="20"/>
      <c r="AB2466" s="20"/>
      <c r="AC2466" s="20"/>
      <c r="AD2466" s="20"/>
      <c r="AE2466" s="20"/>
    </row>
    <row r="2467">
      <c r="A2467" s="21">
        <v>61.0</v>
      </c>
      <c r="B2467" s="20" t="s">
        <v>1716</v>
      </c>
      <c r="C2467" s="20" t="s">
        <v>5270</v>
      </c>
      <c r="I2467" s="25" t="s">
        <v>4771</v>
      </c>
      <c r="J2467" s="25" t="s">
        <v>4976</v>
      </c>
      <c r="K2467" s="25" t="s">
        <v>71</v>
      </c>
      <c r="L2467" s="25" t="s">
        <v>5345</v>
      </c>
      <c r="M2467" s="20" t="s">
        <v>4772</v>
      </c>
      <c r="N2467" s="20" t="s">
        <v>5007</v>
      </c>
      <c r="O2467" s="20" t="s">
        <v>63</v>
      </c>
      <c r="P2467" s="20" t="s">
        <v>52</v>
      </c>
      <c r="Q2467" s="22"/>
      <c r="R2467" s="22"/>
      <c r="S2467" s="22"/>
      <c r="T2467" s="26"/>
      <c r="U2467" s="26"/>
      <c r="V2467" s="26"/>
      <c r="W2467" s="20"/>
      <c r="X2467" s="20"/>
      <c r="Y2467" s="20"/>
      <c r="Z2467" s="20"/>
      <c r="AA2467" s="20"/>
      <c r="AB2467" s="20"/>
      <c r="AC2467" s="20"/>
      <c r="AD2467" s="20"/>
      <c r="AE2467" s="20"/>
    </row>
    <row r="2468">
      <c r="A2468" s="21">
        <v>61.0</v>
      </c>
      <c r="B2468" s="20" t="s">
        <v>1716</v>
      </c>
      <c r="C2468" s="20" t="s">
        <v>5270</v>
      </c>
      <c r="I2468" s="25" t="s">
        <v>1293</v>
      </c>
      <c r="J2468" s="25" t="s">
        <v>4980</v>
      </c>
      <c r="K2468" s="25" t="s">
        <v>71</v>
      </c>
      <c r="L2468" s="25" t="s">
        <v>5345</v>
      </c>
      <c r="M2468" s="20" t="s">
        <v>5111</v>
      </c>
      <c r="N2468" s="20" t="s">
        <v>4490</v>
      </c>
      <c r="O2468" s="20" t="s">
        <v>63</v>
      </c>
      <c r="P2468" s="20" t="s">
        <v>52</v>
      </c>
      <c r="Q2468" s="22"/>
      <c r="R2468" s="22"/>
      <c r="S2468" s="22"/>
      <c r="T2468" s="26"/>
      <c r="U2468" s="26"/>
      <c r="V2468" s="26"/>
      <c r="W2468" s="20"/>
      <c r="X2468" s="20"/>
      <c r="Y2468" s="20"/>
      <c r="Z2468" s="20"/>
      <c r="AA2468" s="20"/>
      <c r="AB2468" s="20"/>
      <c r="AC2468" s="20"/>
      <c r="AD2468" s="20"/>
      <c r="AE2468" s="20"/>
    </row>
    <row r="2469">
      <c r="A2469" s="21">
        <v>61.0</v>
      </c>
      <c r="B2469" s="20" t="s">
        <v>1716</v>
      </c>
      <c r="C2469" s="20" t="s">
        <v>5270</v>
      </c>
      <c r="I2469" s="25" t="s">
        <v>91</v>
      </c>
      <c r="J2469" s="25" t="s">
        <v>4990</v>
      </c>
      <c r="K2469" s="25" t="s">
        <v>71</v>
      </c>
      <c r="L2469" s="25" t="s">
        <v>5345</v>
      </c>
      <c r="M2469" s="20" t="s">
        <v>92</v>
      </c>
      <c r="N2469" s="20" t="s">
        <v>93</v>
      </c>
      <c r="O2469" s="20" t="s">
        <v>63</v>
      </c>
      <c r="P2469" s="20" t="s">
        <v>52</v>
      </c>
      <c r="Q2469" s="22"/>
      <c r="R2469" s="22"/>
      <c r="S2469" s="22"/>
      <c r="T2469" s="26"/>
      <c r="U2469" s="26"/>
      <c r="V2469" s="26"/>
      <c r="W2469" s="20"/>
      <c r="X2469" s="20"/>
      <c r="Y2469" s="20"/>
      <c r="Z2469" s="20"/>
      <c r="AA2469" s="20"/>
      <c r="AB2469" s="20"/>
      <c r="AC2469" s="20"/>
      <c r="AD2469" s="20"/>
      <c r="AE2469" s="20"/>
    </row>
    <row r="2470">
      <c r="A2470" s="21">
        <v>61.0</v>
      </c>
      <c r="B2470" s="20" t="s">
        <v>1716</v>
      </c>
      <c r="C2470" s="20" t="s">
        <v>5270</v>
      </c>
      <c r="I2470" s="25" t="s">
        <v>1729</v>
      </c>
      <c r="J2470" s="25" t="s">
        <v>4980</v>
      </c>
      <c r="K2470" s="25" t="s">
        <v>71</v>
      </c>
      <c r="L2470" s="25" t="s">
        <v>5345</v>
      </c>
      <c r="M2470" s="20" t="s">
        <v>1730</v>
      </c>
      <c r="N2470" s="20" t="s">
        <v>4488</v>
      </c>
      <c r="O2470" s="20" t="s">
        <v>63</v>
      </c>
      <c r="P2470" s="20" t="s">
        <v>52</v>
      </c>
      <c r="Q2470" s="22"/>
      <c r="R2470" s="22"/>
      <c r="S2470" s="22"/>
      <c r="T2470" s="26"/>
      <c r="U2470" s="26"/>
      <c r="V2470" s="26"/>
      <c r="W2470" s="20"/>
      <c r="X2470" s="20"/>
      <c r="Y2470" s="20"/>
      <c r="Z2470" s="20"/>
      <c r="AA2470" s="20"/>
      <c r="AB2470" s="20"/>
      <c r="AC2470" s="20"/>
      <c r="AD2470" s="20"/>
      <c r="AE2470" s="20"/>
    </row>
    <row r="2471">
      <c r="A2471" s="21">
        <v>61.0</v>
      </c>
      <c r="B2471" s="20" t="s">
        <v>1716</v>
      </c>
      <c r="C2471" s="20" t="s">
        <v>5270</v>
      </c>
      <c r="I2471" s="25" t="s">
        <v>78</v>
      </c>
      <c r="J2471" s="25" t="s">
        <v>4990</v>
      </c>
      <c r="K2471" s="25" t="s">
        <v>71</v>
      </c>
      <c r="L2471" s="25" t="s">
        <v>5345</v>
      </c>
      <c r="M2471" s="20" t="s">
        <v>4547</v>
      </c>
      <c r="N2471" s="20" t="s">
        <v>4548</v>
      </c>
      <c r="O2471" s="20" t="s">
        <v>63</v>
      </c>
      <c r="P2471" s="20" t="s">
        <v>52</v>
      </c>
      <c r="Q2471" s="22"/>
      <c r="R2471" s="22"/>
      <c r="S2471" s="22"/>
      <c r="T2471" s="26"/>
      <c r="U2471" s="26"/>
      <c r="V2471" s="26"/>
      <c r="W2471" s="20"/>
      <c r="X2471" s="20"/>
      <c r="Y2471" s="20"/>
      <c r="Z2471" s="20"/>
      <c r="AA2471" s="20"/>
      <c r="AB2471" s="20"/>
      <c r="AC2471" s="20"/>
      <c r="AD2471" s="20"/>
      <c r="AE2471" s="20"/>
    </row>
    <row r="2472">
      <c r="A2472" s="21">
        <v>61.0</v>
      </c>
      <c r="B2472" s="20" t="s">
        <v>1716</v>
      </c>
      <c r="C2472" s="20" t="s">
        <v>5270</v>
      </c>
      <c r="I2472" s="25" t="s">
        <v>50</v>
      </c>
      <c r="J2472" s="25" t="s">
        <v>4990</v>
      </c>
      <c r="K2472" s="25" t="s">
        <v>71</v>
      </c>
      <c r="L2472" s="25" t="s">
        <v>5345</v>
      </c>
      <c r="M2472" s="20" t="s">
        <v>5051</v>
      </c>
      <c r="N2472" s="20" t="s">
        <v>5052</v>
      </c>
      <c r="O2472" s="20" t="s">
        <v>63</v>
      </c>
      <c r="P2472" s="20" t="s">
        <v>52</v>
      </c>
      <c r="Q2472" s="22"/>
      <c r="R2472" s="22"/>
      <c r="S2472" s="22"/>
      <c r="T2472" s="26"/>
      <c r="U2472" s="26"/>
      <c r="V2472" s="26"/>
      <c r="W2472" s="20"/>
      <c r="X2472" s="20"/>
      <c r="Y2472" s="20"/>
      <c r="Z2472" s="20"/>
      <c r="AA2472" s="20"/>
      <c r="AB2472" s="20"/>
      <c r="AC2472" s="20"/>
      <c r="AD2472" s="20"/>
      <c r="AE2472" s="20"/>
    </row>
    <row r="2473">
      <c r="A2473" s="21">
        <v>61.0</v>
      </c>
      <c r="B2473" s="20" t="s">
        <v>1716</v>
      </c>
      <c r="C2473" s="20" t="s">
        <v>5270</v>
      </c>
      <c r="I2473" s="25" t="s">
        <v>1319</v>
      </c>
      <c r="J2473" s="25" t="s">
        <v>4990</v>
      </c>
      <c r="K2473" s="25" t="s">
        <v>71</v>
      </c>
      <c r="L2473" s="25" t="s">
        <v>292</v>
      </c>
      <c r="M2473" s="20" t="s">
        <v>4004</v>
      </c>
      <c r="N2473" s="20" t="s">
        <v>4730</v>
      </c>
      <c r="O2473" s="20" t="s">
        <v>63</v>
      </c>
      <c r="P2473" s="20" t="s">
        <v>52</v>
      </c>
      <c r="Q2473" s="22"/>
      <c r="R2473" s="22"/>
      <c r="S2473" s="22"/>
      <c r="T2473" s="22"/>
      <c r="U2473" s="26"/>
      <c r="V2473" s="26"/>
      <c r="W2473" s="20"/>
      <c r="X2473" s="20"/>
      <c r="Y2473" s="20"/>
      <c r="Z2473" s="20"/>
      <c r="AA2473" s="20"/>
      <c r="AB2473" s="20"/>
      <c r="AC2473" s="20"/>
      <c r="AD2473" s="20"/>
      <c r="AE2473" s="20"/>
    </row>
    <row r="2474">
      <c r="A2474" s="21">
        <v>61.0</v>
      </c>
      <c r="B2474" s="20" t="s">
        <v>1716</v>
      </c>
      <c r="C2474" s="20" t="s">
        <v>5270</v>
      </c>
      <c r="I2474" s="25" t="s">
        <v>186</v>
      </c>
      <c r="J2474" s="25" t="s">
        <v>4990</v>
      </c>
      <c r="K2474" s="25" t="s">
        <v>71</v>
      </c>
      <c r="L2474" s="25" t="s">
        <v>5345</v>
      </c>
      <c r="M2474" s="20" t="s">
        <v>4777</v>
      </c>
      <c r="N2474" s="20" t="s">
        <v>4778</v>
      </c>
      <c r="O2474" s="20" t="s">
        <v>63</v>
      </c>
      <c r="P2474" s="20" t="s">
        <v>52</v>
      </c>
      <c r="Q2474" s="22"/>
      <c r="R2474" s="22"/>
      <c r="S2474" s="22"/>
      <c r="T2474" s="26"/>
      <c r="U2474" s="26"/>
      <c r="V2474" s="26"/>
      <c r="W2474" s="20"/>
      <c r="X2474" s="20"/>
      <c r="Y2474" s="20"/>
      <c r="Z2474" s="20"/>
      <c r="AA2474" s="20"/>
      <c r="AB2474" s="20"/>
      <c r="AC2474" s="20"/>
      <c r="AD2474" s="20"/>
      <c r="AE2474" s="20"/>
    </row>
    <row r="2475">
      <c r="A2475" s="21">
        <v>61.0</v>
      </c>
      <c r="B2475" s="20" t="s">
        <v>1716</v>
      </c>
      <c r="C2475" s="20" t="s">
        <v>5270</v>
      </c>
      <c r="I2475" s="25" t="s">
        <v>64</v>
      </c>
      <c r="J2475" s="25" t="s">
        <v>4990</v>
      </c>
      <c r="K2475" s="25" t="s">
        <v>71</v>
      </c>
      <c r="L2475" s="25" t="s">
        <v>5345</v>
      </c>
      <c r="M2475" s="20" t="s">
        <v>4779</v>
      </c>
      <c r="N2475" s="20" t="s">
        <v>4780</v>
      </c>
      <c r="O2475" s="20" t="s">
        <v>63</v>
      </c>
      <c r="P2475" s="20" t="s">
        <v>52</v>
      </c>
      <c r="Q2475" s="22"/>
      <c r="R2475" s="22"/>
      <c r="S2475" s="22"/>
      <c r="T2475" s="26"/>
      <c r="U2475" s="26"/>
      <c r="V2475" s="26"/>
      <c r="W2475" s="20"/>
      <c r="X2475" s="20"/>
      <c r="Y2475" s="20"/>
      <c r="Z2475" s="20"/>
      <c r="AA2475" s="20"/>
      <c r="AB2475" s="20"/>
      <c r="AC2475" s="20"/>
      <c r="AD2475" s="20"/>
      <c r="AE2475" s="20"/>
    </row>
    <row r="2476">
      <c r="A2476" s="21">
        <v>61.0</v>
      </c>
      <c r="B2476" s="20" t="s">
        <v>1716</v>
      </c>
      <c r="C2476" s="20" t="s">
        <v>5270</v>
      </c>
      <c r="I2476" s="25" t="s">
        <v>60</v>
      </c>
      <c r="J2476" s="25" t="s">
        <v>4980</v>
      </c>
      <c r="K2476" s="25" t="s">
        <v>71</v>
      </c>
      <c r="L2476" s="25" t="s">
        <v>5345</v>
      </c>
      <c r="M2476" s="20" t="s">
        <v>4489</v>
      </c>
      <c r="N2476" s="20" t="s">
        <v>4490</v>
      </c>
      <c r="O2476" s="20" t="s">
        <v>63</v>
      </c>
      <c r="P2476" s="20" t="s">
        <v>52</v>
      </c>
      <c r="Q2476" s="22"/>
      <c r="R2476" s="22"/>
      <c r="S2476" s="22"/>
      <c r="T2476" s="26"/>
      <c r="U2476" s="26"/>
      <c r="V2476" s="26"/>
      <c r="W2476" s="20"/>
      <c r="X2476" s="20"/>
      <c r="Y2476" s="20"/>
      <c r="Z2476" s="20"/>
      <c r="AA2476" s="20"/>
      <c r="AB2476" s="20"/>
      <c r="AC2476" s="20"/>
      <c r="AD2476" s="20"/>
      <c r="AE2476" s="20"/>
    </row>
    <row r="2477">
      <c r="A2477" s="21">
        <v>61.0</v>
      </c>
      <c r="B2477" s="20" t="s">
        <v>1716</v>
      </c>
      <c r="C2477" s="20" t="s">
        <v>5270</v>
      </c>
      <c r="I2477" s="25" t="s">
        <v>2585</v>
      </c>
      <c r="J2477" s="25" t="s">
        <v>4990</v>
      </c>
      <c r="K2477" s="25" t="s">
        <v>71</v>
      </c>
      <c r="L2477" s="25" t="s">
        <v>5345</v>
      </c>
      <c r="M2477" s="20" t="s">
        <v>2586</v>
      </c>
      <c r="N2477" s="20" t="s">
        <v>4784</v>
      </c>
      <c r="O2477" s="20" t="s">
        <v>63</v>
      </c>
      <c r="P2477" s="20" t="s">
        <v>52</v>
      </c>
      <c r="Q2477" s="22"/>
      <c r="R2477" s="22"/>
      <c r="S2477" s="22"/>
      <c r="T2477" s="26"/>
      <c r="U2477" s="26"/>
      <c r="V2477" s="26"/>
      <c r="W2477" s="20"/>
      <c r="X2477" s="20"/>
      <c r="Y2477" s="20"/>
      <c r="Z2477" s="20"/>
      <c r="AA2477" s="20"/>
      <c r="AB2477" s="20"/>
      <c r="AC2477" s="20"/>
      <c r="AD2477" s="20"/>
      <c r="AE2477" s="20"/>
    </row>
    <row r="2478">
      <c r="A2478" s="21">
        <v>61.0</v>
      </c>
      <c r="B2478" s="20" t="s">
        <v>1716</v>
      </c>
      <c r="C2478" s="20" t="s">
        <v>5270</v>
      </c>
      <c r="I2478" s="25" t="s">
        <v>124</v>
      </c>
      <c r="J2478" s="25" t="s">
        <v>4976</v>
      </c>
      <c r="K2478" s="25" t="s">
        <v>71</v>
      </c>
      <c r="L2478" s="25" t="s">
        <v>5345</v>
      </c>
      <c r="M2478" s="20" t="s">
        <v>126</v>
      </c>
      <c r="N2478" s="20" t="s">
        <v>128</v>
      </c>
      <c r="O2478" s="20" t="s">
        <v>63</v>
      </c>
      <c r="P2478" s="20" t="s">
        <v>52</v>
      </c>
      <c r="Q2478" s="22"/>
      <c r="R2478" s="22"/>
      <c r="S2478" s="22"/>
      <c r="T2478" s="26"/>
      <c r="U2478" s="26"/>
      <c r="V2478" s="26"/>
      <c r="W2478" s="20"/>
      <c r="X2478" s="20"/>
      <c r="Y2478" s="20"/>
      <c r="Z2478" s="20"/>
      <c r="AA2478" s="20"/>
      <c r="AB2478" s="20"/>
      <c r="AC2478" s="20"/>
      <c r="AD2478" s="20"/>
      <c r="AE2478" s="20"/>
    </row>
    <row r="2479">
      <c r="A2479" s="21">
        <v>61.0</v>
      </c>
      <c r="B2479" s="20" t="s">
        <v>1716</v>
      </c>
      <c r="C2479" s="20" t="s">
        <v>5270</v>
      </c>
      <c r="I2479" s="25" t="s">
        <v>201</v>
      </c>
      <c r="J2479" s="25" t="s">
        <v>4990</v>
      </c>
      <c r="K2479" s="25" t="s">
        <v>71</v>
      </c>
      <c r="L2479" s="25" t="s">
        <v>5345</v>
      </c>
      <c r="M2479" s="20" t="s">
        <v>5053</v>
      </c>
      <c r="N2479" s="20" t="s">
        <v>5054</v>
      </c>
      <c r="O2479" s="20" t="s">
        <v>63</v>
      </c>
      <c r="P2479" s="20" t="s">
        <v>52</v>
      </c>
      <c r="Q2479" s="22"/>
      <c r="R2479" s="22"/>
      <c r="S2479" s="22"/>
      <c r="T2479" s="26"/>
      <c r="U2479" s="26"/>
      <c r="V2479" s="26"/>
      <c r="W2479" s="20"/>
      <c r="X2479" s="20"/>
      <c r="Y2479" s="20"/>
      <c r="Z2479" s="20"/>
      <c r="AA2479" s="20"/>
      <c r="AB2479" s="20"/>
      <c r="AC2479" s="20"/>
      <c r="AD2479" s="20"/>
      <c r="AE2479" s="20"/>
    </row>
    <row r="2480">
      <c r="A2480" s="21">
        <v>61.0</v>
      </c>
      <c r="B2480" s="20" t="s">
        <v>1716</v>
      </c>
      <c r="C2480" s="20" t="s">
        <v>5270</v>
      </c>
      <c r="I2480" s="25" t="s">
        <v>212</v>
      </c>
      <c r="J2480" s="25" t="s">
        <v>4990</v>
      </c>
      <c r="K2480" s="25" t="s">
        <v>71</v>
      </c>
      <c r="L2480" s="25" t="s">
        <v>5344</v>
      </c>
      <c r="M2480" s="20" t="s">
        <v>5055</v>
      </c>
      <c r="N2480" s="20" t="s">
        <v>5056</v>
      </c>
      <c r="O2480" s="20" t="s">
        <v>63</v>
      </c>
      <c r="P2480" s="20" t="s">
        <v>52</v>
      </c>
      <c r="Q2480" s="22"/>
      <c r="R2480" s="22"/>
      <c r="S2480" s="22"/>
      <c r="T2480" s="26"/>
      <c r="U2480" s="26"/>
      <c r="V2480" s="26"/>
      <c r="W2480" s="20"/>
      <c r="X2480" s="20"/>
      <c r="Y2480" s="20"/>
      <c r="Z2480" s="20"/>
      <c r="AA2480" s="20"/>
      <c r="AB2480" s="20"/>
      <c r="AC2480" s="20"/>
      <c r="AD2480" s="20"/>
      <c r="AE2480" s="20"/>
    </row>
    <row r="2481">
      <c r="A2481" s="21">
        <v>61.0</v>
      </c>
      <c r="B2481" s="20" t="s">
        <v>1716</v>
      </c>
      <c r="C2481" s="20" t="s">
        <v>5270</v>
      </c>
      <c r="I2481" s="25" t="s">
        <v>140</v>
      </c>
      <c r="J2481" s="25" t="s">
        <v>4976</v>
      </c>
      <c r="K2481" s="25" t="s">
        <v>71</v>
      </c>
      <c r="L2481" s="25" t="s">
        <v>5345</v>
      </c>
      <c r="M2481" s="20" t="s">
        <v>4471</v>
      </c>
      <c r="N2481" s="20" t="s">
        <v>5008</v>
      </c>
      <c r="O2481" s="20" t="s">
        <v>63</v>
      </c>
      <c r="P2481" s="20" t="s">
        <v>52</v>
      </c>
      <c r="Q2481" s="22"/>
      <c r="R2481" s="22"/>
      <c r="S2481" s="22"/>
      <c r="T2481" s="26"/>
      <c r="U2481" s="26"/>
      <c r="V2481" s="26"/>
      <c r="W2481" s="20"/>
      <c r="X2481" s="20"/>
      <c r="Y2481" s="20"/>
      <c r="Z2481" s="20"/>
      <c r="AA2481" s="20"/>
      <c r="AB2481" s="20"/>
      <c r="AC2481" s="20"/>
      <c r="AD2481" s="20"/>
      <c r="AE2481" s="20"/>
    </row>
    <row r="2482">
      <c r="A2482" s="21">
        <v>61.0</v>
      </c>
      <c r="B2482" s="20" t="s">
        <v>1716</v>
      </c>
      <c r="C2482" s="20" t="s">
        <v>5270</v>
      </c>
      <c r="I2482" s="25" t="s">
        <v>1690</v>
      </c>
      <c r="J2482" s="25" t="s">
        <v>4990</v>
      </c>
      <c r="K2482" s="25" t="s">
        <v>71</v>
      </c>
      <c r="L2482" s="25" t="s">
        <v>5345</v>
      </c>
      <c r="M2482" s="20" t="s">
        <v>1691</v>
      </c>
      <c r="N2482" s="20" t="s">
        <v>4118</v>
      </c>
      <c r="O2482" s="20" t="s">
        <v>63</v>
      </c>
      <c r="P2482" s="20" t="s">
        <v>52</v>
      </c>
      <c r="Q2482" s="22"/>
      <c r="R2482" s="22"/>
      <c r="S2482" s="22"/>
      <c r="T2482" s="26"/>
      <c r="U2482" s="26"/>
      <c r="V2482" s="26"/>
      <c r="W2482" s="20"/>
      <c r="X2482" s="20"/>
      <c r="Y2482" s="20"/>
      <c r="Z2482" s="20"/>
      <c r="AA2482" s="20"/>
      <c r="AB2482" s="20"/>
      <c r="AC2482" s="20"/>
      <c r="AD2482" s="20"/>
      <c r="AE2482" s="20"/>
    </row>
    <row r="2483">
      <c r="A2483" s="21">
        <v>61.0</v>
      </c>
      <c r="B2483" s="20" t="s">
        <v>1716</v>
      </c>
      <c r="C2483" s="20" t="s">
        <v>5270</v>
      </c>
      <c r="I2483" s="25" t="s">
        <v>53</v>
      </c>
      <c r="J2483" s="25" t="s">
        <v>4990</v>
      </c>
      <c r="K2483" s="25" t="s">
        <v>71</v>
      </c>
      <c r="L2483" s="25" t="s">
        <v>5345</v>
      </c>
      <c r="M2483" s="20" t="s">
        <v>4531</v>
      </c>
      <c r="N2483" s="20" t="s">
        <v>4532</v>
      </c>
      <c r="O2483" s="20" t="s">
        <v>63</v>
      </c>
      <c r="P2483" s="20" t="s">
        <v>52</v>
      </c>
      <c r="Q2483" s="22"/>
      <c r="R2483" s="22"/>
      <c r="S2483" s="22"/>
      <c r="T2483" s="26"/>
      <c r="U2483" s="26"/>
      <c r="V2483" s="26"/>
      <c r="W2483" s="20"/>
      <c r="X2483" s="20"/>
      <c r="Y2483" s="20"/>
      <c r="Z2483" s="20"/>
      <c r="AA2483" s="20"/>
      <c r="AB2483" s="20"/>
      <c r="AC2483" s="20"/>
      <c r="AD2483" s="20"/>
      <c r="AE2483" s="20"/>
    </row>
    <row r="2484">
      <c r="A2484" s="21">
        <v>61.0</v>
      </c>
      <c r="B2484" s="20" t="s">
        <v>1716</v>
      </c>
      <c r="C2484" s="20" t="s">
        <v>5270</v>
      </c>
      <c r="I2484" s="25" t="s">
        <v>104</v>
      </c>
      <c r="J2484" s="25" t="s">
        <v>4990</v>
      </c>
      <c r="K2484" s="25" t="s">
        <v>71</v>
      </c>
      <c r="L2484" s="25" t="s">
        <v>5345</v>
      </c>
      <c r="M2484" s="20" t="s">
        <v>105</v>
      </c>
      <c r="N2484" s="20" t="s">
        <v>106</v>
      </c>
      <c r="O2484" s="20" t="s">
        <v>63</v>
      </c>
      <c r="P2484" s="20" t="s">
        <v>52</v>
      </c>
      <c r="Q2484" s="22"/>
      <c r="R2484" s="22"/>
      <c r="S2484" s="22"/>
      <c r="T2484" s="26"/>
      <c r="U2484" s="26"/>
      <c r="V2484" s="26"/>
      <c r="W2484" s="20"/>
      <c r="X2484" s="20"/>
      <c r="Y2484" s="20"/>
      <c r="Z2484" s="20"/>
      <c r="AA2484" s="20"/>
      <c r="AB2484" s="20"/>
      <c r="AC2484" s="20"/>
      <c r="AD2484" s="20"/>
      <c r="AE2484" s="20"/>
    </row>
    <row r="2485">
      <c r="A2485" s="21">
        <v>61.0</v>
      </c>
      <c r="B2485" s="20" t="s">
        <v>1716</v>
      </c>
      <c r="C2485" s="20" t="s">
        <v>5270</v>
      </c>
      <c r="I2485" s="25" t="s">
        <v>2475</v>
      </c>
      <c r="J2485" s="25" t="s">
        <v>4990</v>
      </c>
      <c r="K2485" s="25" t="s">
        <v>71</v>
      </c>
      <c r="L2485" s="25" t="s">
        <v>5345</v>
      </c>
      <c r="M2485" s="20" t="s">
        <v>3182</v>
      </c>
      <c r="N2485" s="20" t="s">
        <v>5057</v>
      </c>
      <c r="O2485" s="20" t="s">
        <v>63</v>
      </c>
      <c r="P2485" s="20" t="s">
        <v>52</v>
      </c>
      <c r="Q2485" s="22"/>
      <c r="R2485" s="22"/>
      <c r="S2485" s="22"/>
      <c r="T2485" s="26"/>
      <c r="U2485" s="26"/>
      <c r="V2485" s="26"/>
      <c r="W2485" s="20"/>
      <c r="X2485" s="20"/>
      <c r="Y2485" s="20"/>
      <c r="Z2485" s="20"/>
      <c r="AA2485" s="20"/>
      <c r="AB2485" s="20"/>
      <c r="AC2485" s="20"/>
      <c r="AD2485" s="20"/>
      <c r="AE2485" s="20"/>
    </row>
    <row r="2486">
      <c r="A2486" s="21">
        <v>61.0</v>
      </c>
      <c r="B2486" s="20" t="s">
        <v>1716</v>
      </c>
      <c r="C2486" s="20" t="s">
        <v>5270</v>
      </c>
      <c r="I2486" s="25" t="s">
        <v>107</v>
      </c>
      <c r="J2486" s="25" t="s">
        <v>4976</v>
      </c>
      <c r="K2486" s="25" t="s">
        <v>71</v>
      </c>
      <c r="L2486" s="25" t="s">
        <v>5345</v>
      </c>
      <c r="M2486" s="20" t="s">
        <v>61</v>
      </c>
      <c r="N2486" s="20" t="s">
        <v>108</v>
      </c>
      <c r="O2486" s="20" t="s">
        <v>63</v>
      </c>
      <c r="P2486" s="20" t="s">
        <v>52</v>
      </c>
      <c r="Q2486" s="22"/>
      <c r="R2486" s="22"/>
      <c r="S2486" s="22"/>
      <c r="T2486" s="26"/>
      <c r="U2486" s="26"/>
      <c r="V2486" s="26"/>
      <c r="W2486" s="20"/>
      <c r="X2486" s="20"/>
      <c r="Y2486" s="20"/>
      <c r="Z2486" s="20"/>
      <c r="AA2486" s="20"/>
      <c r="AB2486" s="20"/>
      <c r="AC2486" s="20"/>
      <c r="AD2486" s="20"/>
      <c r="AE2486" s="20"/>
    </row>
    <row r="2487">
      <c r="A2487" s="21">
        <v>61.0</v>
      </c>
      <c r="B2487" s="20" t="s">
        <v>1716</v>
      </c>
      <c r="C2487" s="20" t="s">
        <v>5270</v>
      </c>
      <c r="I2487" s="25" t="s">
        <v>1356</v>
      </c>
      <c r="J2487" s="25" t="s">
        <v>4976</v>
      </c>
      <c r="K2487" s="25" t="s">
        <v>71</v>
      </c>
      <c r="L2487" s="25" t="s">
        <v>5345</v>
      </c>
      <c r="M2487" s="20" t="s">
        <v>4458</v>
      </c>
      <c r="N2487" s="20" t="s">
        <v>4788</v>
      </c>
      <c r="O2487" s="20" t="s">
        <v>63</v>
      </c>
      <c r="P2487" s="20" t="s">
        <v>52</v>
      </c>
      <c r="Q2487" s="22"/>
      <c r="R2487" s="22"/>
      <c r="S2487" s="22"/>
      <c r="T2487" s="26"/>
      <c r="U2487" s="26"/>
      <c r="V2487" s="26"/>
      <c r="W2487" s="20"/>
      <c r="X2487" s="20"/>
      <c r="Y2487" s="20"/>
      <c r="Z2487" s="20"/>
      <c r="AA2487" s="20"/>
      <c r="AB2487" s="20"/>
      <c r="AC2487" s="20"/>
      <c r="AD2487" s="20"/>
      <c r="AE2487" s="20"/>
    </row>
    <row r="2488">
      <c r="A2488" s="21">
        <v>61.0</v>
      </c>
      <c r="B2488" s="20" t="s">
        <v>1716</v>
      </c>
      <c r="C2488" s="20" t="s">
        <v>5270</v>
      </c>
      <c r="I2488" s="25" t="s">
        <v>101</v>
      </c>
      <c r="J2488" s="25" t="s">
        <v>4990</v>
      </c>
      <c r="K2488" s="25" t="s">
        <v>71</v>
      </c>
      <c r="L2488" s="25" t="s">
        <v>5345</v>
      </c>
      <c r="M2488" s="20" t="s">
        <v>3197</v>
      </c>
      <c r="N2488" s="20" t="s">
        <v>4518</v>
      </c>
      <c r="O2488" s="20" t="s">
        <v>63</v>
      </c>
      <c r="P2488" s="20" t="s">
        <v>52</v>
      </c>
      <c r="Q2488" s="22"/>
      <c r="R2488" s="22"/>
      <c r="S2488" s="22"/>
      <c r="T2488" s="26"/>
      <c r="U2488" s="26"/>
      <c r="V2488" s="26"/>
      <c r="W2488" s="20"/>
      <c r="X2488" s="20"/>
      <c r="Y2488" s="20"/>
      <c r="Z2488" s="20"/>
      <c r="AA2488" s="20"/>
      <c r="AB2488" s="20"/>
      <c r="AC2488" s="20"/>
      <c r="AD2488" s="20"/>
      <c r="AE2488" s="20"/>
    </row>
    <row r="2489">
      <c r="A2489" s="21">
        <v>61.0</v>
      </c>
      <c r="B2489" s="20" t="s">
        <v>1716</v>
      </c>
      <c r="C2489" s="20" t="s">
        <v>5270</v>
      </c>
      <c r="I2489" s="25" t="s">
        <v>3068</v>
      </c>
      <c r="J2489" s="25" t="s">
        <v>4976</v>
      </c>
      <c r="K2489" s="25" t="s">
        <v>71</v>
      </c>
      <c r="L2489" s="25" t="s">
        <v>292</v>
      </c>
      <c r="M2489" s="20" t="s">
        <v>4464</v>
      </c>
      <c r="N2489" s="20" t="s">
        <v>4741</v>
      </c>
      <c r="O2489" s="20" t="s">
        <v>63</v>
      </c>
      <c r="P2489" s="20" t="s">
        <v>52</v>
      </c>
      <c r="Q2489" s="22"/>
      <c r="R2489" s="22"/>
      <c r="S2489" s="22"/>
      <c r="T2489" s="22"/>
      <c r="U2489" s="26"/>
      <c r="V2489" s="26"/>
      <c r="W2489" s="20"/>
      <c r="X2489" s="20"/>
      <c r="Y2489" s="20"/>
      <c r="Z2489" s="20"/>
      <c r="AA2489" s="20"/>
      <c r="AB2489" s="20"/>
      <c r="AC2489" s="20"/>
      <c r="AD2489" s="20"/>
      <c r="AE2489" s="20"/>
    </row>
    <row r="2490">
      <c r="A2490" s="21">
        <v>61.0</v>
      </c>
      <c r="B2490" s="20" t="s">
        <v>1716</v>
      </c>
      <c r="C2490" s="20" t="s">
        <v>5270</v>
      </c>
      <c r="I2490" s="25" t="s">
        <v>4679</v>
      </c>
      <c r="J2490" s="25" t="s">
        <v>4976</v>
      </c>
      <c r="K2490" s="25" t="s">
        <v>71</v>
      </c>
      <c r="L2490" s="25" t="s">
        <v>5382</v>
      </c>
      <c r="M2490" s="20" t="s">
        <v>5011</v>
      </c>
      <c r="N2490" s="20" t="s">
        <v>5013</v>
      </c>
      <c r="O2490" s="20" t="s">
        <v>63</v>
      </c>
      <c r="P2490" s="20" t="s">
        <v>52</v>
      </c>
      <c r="Q2490" s="22"/>
      <c r="R2490" s="22"/>
      <c r="S2490" s="22"/>
      <c r="T2490" s="26"/>
      <c r="U2490" s="26"/>
      <c r="V2490" s="26"/>
      <c r="W2490" s="20"/>
      <c r="X2490" s="20"/>
      <c r="Y2490" s="20"/>
      <c r="Z2490" s="20"/>
      <c r="AA2490" s="20"/>
      <c r="AB2490" s="20"/>
      <c r="AC2490" s="20"/>
      <c r="AD2490" s="20"/>
      <c r="AE2490" s="20"/>
    </row>
    <row r="2491">
      <c r="A2491" s="21">
        <v>61.0</v>
      </c>
      <c r="B2491" s="20" t="s">
        <v>1716</v>
      </c>
      <c r="C2491" s="20" t="s">
        <v>5270</v>
      </c>
      <c r="I2491" s="25" t="s">
        <v>1290</v>
      </c>
      <c r="J2491" s="25" t="s">
        <v>4980</v>
      </c>
      <c r="K2491" s="25" t="s">
        <v>71</v>
      </c>
      <c r="L2491" s="25" t="s">
        <v>5382</v>
      </c>
      <c r="M2491" s="20" t="s">
        <v>4682</v>
      </c>
      <c r="N2491" s="20" t="s">
        <v>4683</v>
      </c>
      <c r="O2491" s="20" t="s">
        <v>63</v>
      </c>
      <c r="P2491" s="20" t="s">
        <v>52</v>
      </c>
      <c r="Q2491" s="22"/>
      <c r="R2491" s="22"/>
      <c r="S2491" s="22"/>
      <c r="T2491" s="26"/>
      <c r="U2491" s="26"/>
      <c r="V2491" s="26"/>
      <c r="W2491" s="20"/>
      <c r="X2491" s="20"/>
      <c r="Y2491" s="20"/>
      <c r="Z2491" s="20"/>
      <c r="AA2491" s="20"/>
      <c r="AB2491" s="20"/>
      <c r="AC2491" s="20"/>
      <c r="AD2491" s="20"/>
      <c r="AE2491" s="20"/>
    </row>
    <row r="2492">
      <c r="A2492" s="21">
        <v>61.0</v>
      </c>
      <c r="B2492" s="20" t="s">
        <v>1716</v>
      </c>
      <c r="C2492" s="20" t="s">
        <v>5270</v>
      </c>
      <c r="I2492" s="25" t="s">
        <v>1997</v>
      </c>
      <c r="J2492" s="25" t="s">
        <v>4990</v>
      </c>
      <c r="K2492" s="25" t="s">
        <v>71</v>
      </c>
      <c r="L2492" s="25" t="s">
        <v>292</v>
      </c>
      <c r="M2492" s="20" t="s">
        <v>4523</v>
      </c>
      <c r="N2492" s="20" t="s">
        <v>4524</v>
      </c>
      <c r="O2492" s="20" t="s">
        <v>63</v>
      </c>
      <c r="P2492" s="20" t="s">
        <v>52</v>
      </c>
      <c r="Q2492" s="22"/>
      <c r="R2492" s="22"/>
      <c r="S2492" s="22"/>
      <c r="T2492" s="22"/>
      <c r="U2492" s="26"/>
      <c r="V2492" s="26"/>
      <c r="W2492" s="20"/>
      <c r="X2492" s="20"/>
      <c r="Y2492" s="20"/>
      <c r="Z2492" s="20"/>
      <c r="AA2492" s="20"/>
      <c r="AB2492" s="20"/>
      <c r="AC2492" s="20"/>
      <c r="AD2492" s="20"/>
      <c r="AE2492" s="20"/>
    </row>
    <row r="2493">
      <c r="A2493" s="21">
        <v>61.0</v>
      </c>
      <c r="B2493" s="20" t="s">
        <v>1716</v>
      </c>
      <c r="C2493" s="20" t="s">
        <v>5270</v>
      </c>
      <c r="I2493" s="25" t="s">
        <v>4661</v>
      </c>
      <c r="J2493" s="25" t="s">
        <v>4980</v>
      </c>
      <c r="K2493" s="25" t="s">
        <v>71</v>
      </c>
      <c r="L2493" s="25" t="s">
        <v>5655</v>
      </c>
      <c r="M2493" s="20" t="s">
        <v>4662</v>
      </c>
      <c r="N2493" s="20" t="s">
        <v>4663</v>
      </c>
      <c r="O2493" s="20" t="s">
        <v>63</v>
      </c>
      <c r="P2493" s="20" t="s">
        <v>52</v>
      </c>
      <c r="Q2493" s="22"/>
      <c r="R2493" s="22"/>
      <c r="S2493" s="22"/>
      <c r="T2493" s="26"/>
      <c r="U2493" s="26"/>
      <c r="V2493" s="26"/>
      <c r="W2493" s="20"/>
      <c r="X2493" s="20"/>
      <c r="Y2493" s="20"/>
      <c r="Z2493" s="20"/>
      <c r="AA2493" s="20"/>
      <c r="AB2493" s="20"/>
      <c r="AC2493" s="20"/>
      <c r="AD2493" s="20"/>
      <c r="AE2493" s="20"/>
    </row>
    <row r="2494">
      <c r="A2494" s="21">
        <v>61.0</v>
      </c>
      <c r="B2494" s="20" t="s">
        <v>1716</v>
      </c>
      <c r="C2494" s="20" t="s">
        <v>5270</v>
      </c>
      <c r="I2494" s="25" t="s">
        <v>1297</v>
      </c>
      <c r="J2494" s="25" t="s">
        <v>4990</v>
      </c>
      <c r="K2494" s="25" t="s">
        <v>71</v>
      </c>
      <c r="L2494" s="25" t="s">
        <v>292</v>
      </c>
      <c r="M2494" s="20" t="s">
        <v>1408</v>
      </c>
      <c r="N2494" s="20" t="s">
        <v>1409</v>
      </c>
      <c r="O2494" s="20" t="s">
        <v>63</v>
      </c>
      <c r="P2494" s="20" t="s">
        <v>52</v>
      </c>
      <c r="Q2494" s="22"/>
      <c r="R2494" s="22"/>
      <c r="S2494" s="22"/>
      <c r="T2494" s="22"/>
      <c r="U2494" s="26"/>
      <c r="V2494" s="26"/>
      <c r="W2494" s="20"/>
      <c r="X2494" s="20"/>
      <c r="Y2494" s="20"/>
      <c r="Z2494" s="20"/>
      <c r="AA2494" s="20"/>
      <c r="AB2494" s="20"/>
      <c r="AC2494" s="20"/>
      <c r="AD2494" s="20"/>
      <c r="AE2494" s="20"/>
    </row>
    <row r="2495">
      <c r="A2495" s="21">
        <v>61.0</v>
      </c>
      <c r="B2495" s="20" t="s">
        <v>1716</v>
      </c>
      <c r="C2495" s="20" t="s">
        <v>5270</v>
      </c>
      <c r="I2495" s="25" t="s">
        <v>1384</v>
      </c>
      <c r="J2495" s="25" t="s">
        <v>4980</v>
      </c>
      <c r="K2495" s="25" t="s">
        <v>71</v>
      </c>
      <c r="L2495" s="25" t="s">
        <v>5422</v>
      </c>
      <c r="M2495" s="20" t="s">
        <v>5112</v>
      </c>
      <c r="N2495" s="20" t="s">
        <v>5113</v>
      </c>
      <c r="O2495" s="20" t="s">
        <v>63</v>
      </c>
      <c r="P2495" s="20" t="s">
        <v>52</v>
      </c>
      <c r="Q2495" s="22"/>
      <c r="R2495" s="22"/>
      <c r="S2495" s="22"/>
      <c r="T2495" s="26"/>
      <c r="U2495" s="26"/>
      <c r="V2495" s="26"/>
      <c r="W2495" s="20"/>
      <c r="X2495" s="20"/>
      <c r="Y2495" s="20"/>
      <c r="Z2495" s="20"/>
      <c r="AA2495" s="20"/>
      <c r="AB2495" s="20"/>
      <c r="AC2495" s="20"/>
      <c r="AD2495" s="20"/>
      <c r="AE2495" s="20"/>
    </row>
    <row r="2496">
      <c r="A2496" s="21">
        <v>61.0</v>
      </c>
      <c r="B2496" s="20" t="s">
        <v>1716</v>
      </c>
      <c r="C2496" s="20" t="s">
        <v>5270</v>
      </c>
      <c r="I2496" s="25" t="s">
        <v>2895</v>
      </c>
      <c r="J2496" s="25" t="s">
        <v>4976</v>
      </c>
      <c r="K2496" s="25" t="s">
        <v>71</v>
      </c>
      <c r="L2496" s="25" t="s">
        <v>292</v>
      </c>
      <c r="M2496" s="20" t="s">
        <v>2896</v>
      </c>
      <c r="N2496" s="20" t="s">
        <v>5014</v>
      </c>
      <c r="O2496" s="20" t="s">
        <v>63</v>
      </c>
      <c r="P2496" s="20" t="s">
        <v>52</v>
      </c>
      <c r="Q2496" s="22"/>
      <c r="R2496" s="22"/>
      <c r="S2496" s="22"/>
      <c r="T2496" s="22"/>
      <c r="U2496" s="26"/>
      <c r="V2496" s="26"/>
      <c r="W2496" s="20"/>
      <c r="X2496" s="20"/>
      <c r="Y2496" s="20"/>
      <c r="Z2496" s="20"/>
      <c r="AA2496" s="20"/>
      <c r="AB2496" s="20"/>
      <c r="AC2496" s="20"/>
      <c r="AD2496" s="20"/>
      <c r="AE2496" s="20"/>
    </row>
    <row r="2497">
      <c r="A2497" s="21">
        <v>61.0</v>
      </c>
      <c r="B2497" s="20" t="s">
        <v>1716</v>
      </c>
      <c r="C2497" s="20" t="s">
        <v>5270</v>
      </c>
      <c r="I2497" s="25" t="s">
        <v>1826</v>
      </c>
      <c r="J2497" s="25" t="s">
        <v>4980</v>
      </c>
      <c r="K2497" s="25" t="s">
        <v>71</v>
      </c>
      <c r="L2497" s="25" t="s">
        <v>5382</v>
      </c>
      <c r="M2497" s="20" t="s">
        <v>4684</v>
      </c>
      <c r="N2497" s="20" t="s">
        <v>4685</v>
      </c>
      <c r="O2497" s="20" t="s">
        <v>63</v>
      </c>
      <c r="P2497" s="20" t="s">
        <v>52</v>
      </c>
      <c r="Q2497" s="22"/>
      <c r="R2497" s="22"/>
      <c r="S2497" s="22"/>
      <c r="T2497" s="26"/>
      <c r="U2497" s="26"/>
      <c r="V2497" s="26"/>
      <c r="W2497" s="20"/>
      <c r="X2497" s="20"/>
      <c r="Y2497" s="20"/>
      <c r="Z2497" s="20"/>
      <c r="AA2497" s="20"/>
      <c r="AB2497" s="20"/>
      <c r="AC2497" s="20"/>
      <c r="AD2497" s="20"/>
      <c r="AE2497" s="20"/>
    </row>
    <row r="2498">
      <c r="A2498" s="21">
        <v>61.0</v>
      </c>
      <c r="B2498" s="20" t="s">
        <v>1716</v>
      </c>
      <c r="C2498" s="20" t="s">
        <v>5270</v>
      </c>
      <c r="I2498" s="25" t="s">
        <v>1272</v>
      </c>
      <c r="J2498" s="25" t="s">
        <v>4990</v>
      </c>
      <c r="K2498" s="25" t="s">
        <v>71</v>
      </c>
      <c r="L2498" s="25" t="s">
        <v>292</v>
      </c>
      <c r="M2498" s="20" t="s">
        <v>4810</v>
      </c>
      <c r="N2498" s="20" t="s">
        <v>4736</v>
      </c>
      <c r="O2498" s="20" t="s">
        <v>63</v>
      </c>
      <c r="P2498" s="20" t="s">
        <v>52</v>
      </c>
      <c r="Q2498" s="22"/>
      <c r="R2498" s="22"/>
      <c r="S2498" s="22"/>
      <c r="T2498" s="22"/>
      <c r="U2498" s="26"/>
      <c r="V2498" s="26"/>
      <c r="W2498" s="20"/>
      <c r="X2498" s="20"/>
      <c r="Y2498" s="20"/>
      <c r="Z2498" s="20"/>
      <c r="AA2498" s="20"/>
      <c r="AB2498" s="20"/>
      <c r="AC2498" s="20"/>
      <c r="AD2498" s="20"/>
      <c r="AE2498" s="20"/>
    </row>
    <row r="2499">
      <c r="A2499" s="21">
        <v>61.0</v>
      </c>
      <c r="B2499" s="20" t="s">
        <v>1716</v>
      </c>
      <c r="C2499" s="20" t="s">
        <v>5270</v>
      </c>
      <c r="I2499" s="25" t="s">
        <v>1288</v>
      </c>
      <c r="J2499" s="25" t="s">
        <v>4990</v>
      </c>
      <c r="K2499" s="25" t="s">
        <v>71</v>
      </c>
      <c r="L2499" s="25" t="s">
        <v>5382</v>
      </c>
      <c r="M2499" s="20" t="s">
        <v>1907</v>
      </c>
      <c r="N2499" s="20" t="s">
        <v>1908</v>
      </c>
      <c r="O2499" s="20" t="s">
        <v>63</v>
      </c>
      <c r="P2499" s="20" t="s">
        <v>52</v>
      </c>
      <c r="Q2499" s="22"/>
      <c r="R2499" s="22"/>
      <c r="S2499" s="22"/>
      <c r="T2499" s="26"/>
      <c r="U2499" s="26"/>
      <c r="V2499" s="26"/>
      <c r="W2499" s="20"/>
      <c r="X2499" s="20"/>
      <c r="Y2499" s="20"/>
      <c r="Z2499" s="20"/>
      <c r="AA2499" s="20"/>
      <c r="AB2499" s="20"/>
      <c r="AC2499" s="20"/>
      <c r="AD2499" s="20"/>
      <c r="AE2499" s="20"/>
    </row>
    <row r="2500">
      <c r="A2500" s="21">
        <v>61.0</v>
      </c>
      <c r="B2500" s="20" t="s">
        <v>1716</v>
      </c>
      <c r="C2500" s="20" t="s">
        <v>5270</v>
      </c>
      <c r="I2500" s="25" t="s">
        <v>4034</v>
      </c>
      <c r="J2500" s="25" t="s">
        <v>4980</v>
      </c>
      <c r="K2500" s="25" t="s">
        <v>71</v>
      </c>
      <c r="L2500" s="25" t="s">
        <v>5382</v>
      </c>
      <c r="M2500" s="20" t="s">
        <v>5114</v>
      </c>
      <c r="N2500" s="20" t="s">
        <v>5115</v>
      </c>
      <c r="O2500" s="20" t="s">
        <v>63</v>
      </c>
      <c r="P2500" s="20" t="s">
        <v>52</v>
      </c>
      <c r="Q2500" s="22"/>
      <c r="R2500" s="22"/>
      <c r="S2500" s="22"/>
      <c r="T2500" s="26"/>
      <c r="U2500" s="26"/>
      <c r="V2500" s="26"/>
      <c r="W2500" s="20"/>
      <c r="X2500" s="20"/>
      <c r="Y2500" s="20"/>
      <c r="Z2500" s="20"/>
      <c r="AA2500" s="20"/>
      <c r="AB2500" s="20"/>
      <c r="AC2500" s="20"/>
      <c r="AD2500" s="20"/>
      <c r="AE2500" s="20"/>
    </row>
    <row r="2501">
      <c r="A2501" s="21">
        <v>61.0</v>
      </c>
      <c r="B2501" s="20" t="s">
        <v>1716</v>
      </c>
      <c r="C2501" s="20" t="s">
        <v>5270</v>
      </c>
      <c r="I2501" s="25" t="s">
        <v>1335</v>
      </c>
      <c r="J2501" s="25" t="s">
        <v>4980</v>
      </c>
      <c r="K2501" s="25" t="s">
        <v>71</v>
      </c>
      <c r="L2501" s="25" t="s">
        <v>5396</v>
      </c>
      <c r="M2501" s="20" t="s">
        <v>4007</v>
      </c>
      <c r="N2501" s="20" t="s">
        <v>5116</v>
      </c>
      <c r="O2501" s="20" t="s">
        <v>63</v>
      </c>
      <c r="P2501" s="20" t="s">
        <v>52</v>
      </c>
      <c r="Q2501" s="22"/>
      <c r="R2501" s="22"/>
      <c r="S2501" s="22"/>
      <c r="T2501" s="26"/>
      <c r="U2501" s="26"/>
      <c r="V2501" s="26"/>
      <c r="W2501" s="20"/>
      <c r="X2501" s="20"/>
      <c r="Y2501" s="20"/>
      <c r="Z2501" s="20"/>
      <c r="AA2501" s="20"/>
      <c r="AB2501" s="20"/>
      <c r="AC2501" s="20"/>
      <c r="AD2501" s="20"/>
      <c r="AE2501" s="20"/>
    </row>
    <row r="2502">
      <c r="A2502" s="21">
        <v>61.0</v>
      </c>
      <c r="B2502" s="20" t="s">
        <v>1716</v>
      </c>
      <c r="C2502" s="20" t="s">
        <v>5270</v>
      </c>
      <c r="I2502" s="25" t="s">
        <v>4800</v>
      </c>
      <c r="J2502" s="25" t="s">
        <v>4980</v>
      </c>
      <c r="K2502" s="25" t="s">
        <v>71</v>
      </c>
      <c r="L2502" s="25" t="s">
        <v>5400</v>
      </c>
      <c r="M2502" s="20" t="s">
        <v>4801</v>
      </c>
      <c r="N2502" s="20" t="s">
        <v>5117</v>
      </c>
      <c r="O2502" s="20" t="s">
        <v>63</v>
      </c>
      <c r="P2502" s="20" t="s">
        <v>52</v>
      </c>
      <c r="Q2502" s="22"/>
      <c r="R2502" s="22"/>
      <c r="S2502" s="22"/>
      <c r="T2502" s="26"/>
      <c r="U2502" s="26"/>
      <c r="V2502" s="26"/>
      <c r="W2502" s="20"/>
      <c r="X2502" s="20"/>
      <c r="Y2502" s="20"/>
      <c r="Z2502" s="20"/>
      <c r="AA2502" s="20"/>
      <c r="AB2502" s="20"/>
      <c r="AC2502" s="20"/>
      <c r="AD2502" s="20"/>
      <c r="AE2502" s="20"/>
    </row>
    <row r="2503">
      <c r="A2503" s="21">
        <v>61.0</v>
      </c>
      <c r="B2503" s="20" t="s">
        <v>1716</v>
      </c>
      <c r="C2503" s="20" t="s">
        <v>5270</v>
      </c>
      <c r="I2503" s="25" t="s">
        <v>4929</v>
      </c>
      <c r="J2503" s="25" t="s">
        <v>4980</v>
      </c>
      <c r="K2503" s="25" t="s">
        <v>71</v>
      </c>
      <c r="L2503" s="25" t="s">
        <v>5382</v>
      </c>
      <c r="M2503" s="20" t="s">
        <v>4930</v>
      </c>
      <c r="N2503" s="20" t="s">
        <v>4931</v>
      </c>
      <c r="O2503" s="20" t="s">
        <v>63</v>
      </c>
      <c r="P2503" s="20" t="s">
        <v>52</v>
      </c>
      <c r="Q2503" s="22"/>
      <c r="R2503" s="22"/>
      <c r="S2503" s="22"/>
      <c r="T2503" s="26"/>
      <c r="U2503" s="26"/>
      <c r="V2503" s="26"/>
      <c r="W2503" s="20"/>
      <c r="X2503" s="20"/>
      <c r="Y2503" s="20"/>
      <c r="Z2503" s="20"/>
      <c r="AA2503" s="20"/>
      <c r="AB2503" s="20"/>
      <c r="AC2503" s="20"/>
      <c r="AD2503" s="20"/>
      <c r="AE2503" s="20"/>
    </row>
    <row r="2504">
      <c r="A2504" s="21">
        <v>61.0</v>
      </c>
      <c r="B2504" s="20" t="s">
        <v>1716</v>
      </c>
      <c r="C2504" s="20" t="s">
        <v>5270</v>
      </c>
      <c r="I2504" s="25" t="s">
        <v>1376</v>
      </c>
      <c r="J2504" s="25" t="s">
        <v>4980</v>
      </c>
      <c r="K2504" s="25" t="s">
        <v>71</v>
      </c>
      <c r="L2504" s="25" t="s">
        <v>5382</v>
      </c>
      <c r="M2504" s="20" t="s">
        <v>5118</v>
      </c>
      <c r="N2504" s="20" t="s">
        <v>5119</v>
      </c>
      <c r="O2504" s="20" t="s">
        <v>63</v>
      </c>
      <c r="P2504" s="20" t="s">
        <v>52</v>
      </c>
      <c r="Q2504" s="22"/>
      <c r="R2504" s="22"/>
      <c r="S2504" s="22"/>
      <c r="T2504" s="26"/>
      <c r="U2504" s="26"/>
      <c r="V2504" s="26"/>
      <c r="W2504" s="20"/>
      <c r="X2504" s="20"/>
      <c r="Y2504" s="20"/>
      <c r="Z2504" s="20"/>
      <c r="AA2504" s="20"/>
      <c r="AB2504" s="20"/>
      <c r="AC2504" s="20"/>
      <c r="AD2504" s="20"/>
      <c r="AE2504" s="20"/>
    </row>
    <row r="2505">
      <c r="A2505" s="21">
        <v>61.0</v>
      </c>
      <c r="B2505" s="20" t="s">
        <v>1716</v>
      </c>
      <c r="C2505" s="20" t="s">
        <v>5270</v>
      </c>
      <c r="I2505" s="25" t="s">
        <v>4966</v>
      </c>
      <c r="J2505" s="25" t="s">
        <v>4980</v>
      </c>
      <c r="K2505" s="25" t="s">
        <v>71</v>
      </c>
      <c r="L2505" s="25" t="s">
        <v>5382</v>
      </c>
      <c r="M2505" s="20" t="s">
        <v>5120</v>
      </c>
      <c r="N2505" s="20" t="s">
        <v>5121</v>
      </c>
      <c r="O2505" s="20" t="s">
        <v>63</v>
      </c>
      <c r="P2505" s="20" t="s">
        <v>52</v>
      </c>
      <c r="Q2505" s="22"/>
      <c r="R2505" s="22"/>
      <c r="S2505" s="22"/>
      <c r="T2505" s="26"/>
      <c r="U2505" s="26"/>
      <c r="V2505" s="26"/>
      <c r="W2505" s="20"/>
      <c r="X2505" s="20"/>
      <c r="Y2505" s="20"/>
      <c r="Z2505" s="20"/>
      <c r="AA2505" s="20"/>
      <c r="AB2505" s="20"/>
      <c r="AC2505" s="20"/>
      <c r="AD2505" s="20"/>
      <c r="AE2505" s="20"/>
    </row>
    <row r="2506">
      <c r="A2506" s="21">
        <v>61.0</v>
      </c>
      <c r="B2506" s="20" t="s">
        <v>1716</v>
      </c>
      <c r="C2506" s="20" t="s">
        <v>5270</v>
      </c>
      <c r="I2506" s="25" t="s">
        <v>4688</v>
      </c>
      <c r="J2506" s="25" t="s">
        <v>4980</v>
      </c>
      <c r="K2506" s="25" t="s">
        <v>71</v>
      </c>
      <c r="L2506" s="25" t="s">
        <v>5382</v>
      </c>
      <c r="M2506" s="20" t="s">
        <v>4689</v>
      </c>
      <c r="N2506" s="20" t="s">
        <v>5122</v>
      </c>
      <c r="O2506" s="20" t="s">
        <v>63</v>
      </c>
      <c r="P2506" s="20" t="s">
        <v>52</v>
      </c>
      <c r="Q2506" s="22"/>
      <c r="R2506" s="22"/>
      <c r="S2506" s="22"/>
      <c r="T2506" s="26"/>
      <c r="U2506" s="26"/>
      <c r="V2506" s="26"/>
      <c r="W2506" s="20"/>
      <c r="X2506" s="20"/>
      <c r="Y2506" s="20"/>
      <c r="Z2506" s="20"/>
      <c r="AA2506" s="20"/>
      <c r="AB2506" s="20"/>
      <c r="AC2506" s="20"/>
      <c r="AD2506" s="20"/>
      <c r="AE2506" s="20"/>
    </row>
    <row r="2507">
      <c r="A2507" s="21">
        <v>61.0</v>
      </c>
      <c r="B2507" s="20" t="s">
        <v>1716</v>
      </c>
      <c r="C2507" s="20" t="s">
        <v>5270</v>
      </c>
      <c r="I2507" s="25" t="s">
        <v>1526</v>
      </c>
      <c r="J2507" s="25" t="s">
        <v>4990</v>
      </c>
      <c r="K2507" s="25" t="s">
        <v>71</v>
      </c>
      <c r="L2507" s="25" t="s">
        <v>292</v>
      </c>
      <c r="M2507" s="20" t="s">
        <v>4941</v>
      </c>
      <c r="N2507" s="20" t="s">
        <v>3524</v>
      </c>
      <c r="O2507" s="20" t="s">
        <v>63</v>
      </c>
      <c r="P2507" s="20" t="s">
        <v>52</v>
      </c>
      <c r="Q2507" s="22"/>
      <c r="R2507" s="22"/>
      <c r="S2507" s="22"/>
      <c r="T2507" s="22"/>
      <c r="U2507" s="26"/>
      <c r="V2507" s="26"/>
      <c r="W2507" s="20"/>
      <c r="X2507" s="20"/>
      <c r="Y2507" s="20"/>
      <c r="Z2507" s="20"/>
      <c r="AA2507" s="20"/>
      <c r="AB2507" s="20"/>
      <c r="AC2507" s="20"/>
      <c r="AD2507" s="20"/>
      <c r="AE2507" s="20"/>
    </row>
    <row r="2508">
      <c r="A2508" s="21">
        <v>61.0</v>
      </c>
      <c r="B2508" s="20" t="s">
        <v>1716</v>
      </c>
      <c r="C2508" s="20" t="s">
        <v>5270</v>
      </c>
      <c r="I2508" s="25" t="s">
        <v>4829</v>
      </c>
      <c r="J2508" s="25" t="s">
        <v>4990</v>
      </c>
      <c r="K2508" s="25" t="s">
        <v>71</v>
      </c>
      <c r="L2508" s="25" t="s">
        <v>292</v>
      </c>
      <c r="M2508" s="20" t="s">
        <v>5058</v>
      </c>
      <c r="N2508" s="20" t="s">
        <v>5060</v>
      </c>
      <c r="O2508" s="20" t="s">
        <v>63</v>
      </c>
      <c r="P2508" s="20" t="s">
        <v>52</v>
      </c>
      <c r="Q2508" s="22"/>
      <c r="R2508" s="22"/>
      <c r="S2508" s="22"/>
      <c r="T2508" s="22"/>
      <c r="U2508" s="26"/>
      <c r="V2508" s="26"/>
      <c r="W2508" s="20"/>
      <c r="X2508" s="20"/>
      <c r="Y2508" s="20"/>
      <c r="Z2508" s="20"/>
      <c r="AA2508" s="20"/>
      <c r="AB2508" s="20"/>
      <c r="AC2508" s="20"/>
      <c r="AD2508" s="20"/>
      <c r="AE2508" s="20"/>
    </row>
    <row r="2509">
      <c r="A2509" s="21">
        <v>61.0</v>
      </c>
      <c r="B2509" s="20" t="s">
        <v>1716</v>
      </c>
      <c r="C2509" s="20" t="s">
        <v>5270</v>
      </c>
      <c r="I2509" s="25" t="s">
        <v>2466</v>
      </c>
      <c r="J2509" s="25" t="s">
        <v>4976</v>
      </c>
      <c r="K2509" s="25" t="s">
        <v>71</v>
      </c>
      <c r="L2509" s="25" t="s">
        <v>292</v>
      </c>
      <c r="M2509" s="20" t="s">
        <v>2467</v>
      </c>
      <c r="N2509" s="20" t="s">
        <v>4845</v>
      </c>
      <c r="O2509" s="20" t="s">
        <v>63</v>
      </c>
      <c r="P2509" s="20" t="s">
        <v>52</v>
      </c>
      <c r="Q2509" s="22"/>
      <c r="R2509" s="22"/>
      <c r="S2509" s="22"/>
      <c r="T2509" s="22"/>
      <c r="U2509" s="26"/>
      <c r="V2509" s="26"/>
      <c r="W2509" s="20"/>
      <c r="X2509" s="20"/>
      <c r="Y2509" s="20"/>
      <c r="Z2509" s="20"/>
      <c r="AA2509" s="20"/>
      <c r="AB2509" s="20"/>
      <c r="AC2509" s="20"/>
      <c r="AD2509" s="20"/>
      <c r="AE2509" s="20"/>
    </row>
    <row r="2510">
      <c r="A2510" s="21">
        <v>61.0</v>
      </c>
      <c r="B2510" s="20" t="s">
        <v>1716</v>
      </c>
      <c r="C2510" s="20" t="s">
        <v>5270</v>
      </c>
      <c r="I2510" s="25" t="s">
        <v>1402</v>
      </c>
      <c r="J2510" s="25" t="s">
        <v>5017</v>
      </c>
      <c r="K2510" s="25" t="s">
        <v>71</v>
      </c>
      <c r="L2510" s="25" t="s">
        <v>5382</v>
      </c>
      <c r="M2510" s="20" t="s">
        <v>3071</v>
      </c>
      <c r="N2510" s="20" t="s">
        <v>4933</v>
      </c>
      <c r="O2510" s="20" t="s">
        <v>63</v>
      </c>
      <c r="P2510" s="20" t="s">
        <v>52</v>
      </c>
      <c r="Q2510" s="22"/>
      <c r="R2510" s="22"/>
      <c r="S2510" s="22"/>
      <c r="T2510" s="26"/>
      <c r="U2510" s="26"/>
      <c r="V2510" s="26"/>
      <c r="W2510" s="20"/>
      <c r="X2510" s="20"/>
      <c r="Y2510" s="20"/>
      <c r="Z2510" s="20"/>
      <c r="AA2510" s="20"/>
      <c r="AB2510" s="20"/>
      <c r="AC2510" s="20"/>
      <c r="AD2510" s="20"/>
      <c r="AE2510" s="20"/>
    </row>
    <row r="2511">
      <c r="A2511" s="21">
        <v>61.0</v>
      </c>
      <c r="B2511" s="20" t="s">
        <v>1716</v>
      </c>
      <c r="C2511" s="20" t="s">
        <v>5270</v>
      </c>
      <c r="I2511" s="25" t="s">
        <v>2796</v>
      </c>
      <c r="J2511" s="25" t="s">
        <v>4980</v>
      </c>
      <c r="K2511" s="25" t="s">
        <v>71</v>
      </c>
      <c r="L2511" s="25" t="s">
        <v>5382</v>
      </c>
      <c r="M2511" s="20" t="s">
        <v>4996</v>
      </c>
      <c r="N2511" s="20" t="s">
        <v>4997</v>
      </c>
      <c r="O2511" s="20" t="s">
        <v>56</v>
      </c>
      <c r="P2511" s="20" t="s">
        <v>52</v>
      </c>
      <c r="Q2511" s="22"/>
      <c r="R2511" s="22"/>
      <c r="S2511" s="22"/>
      <c r="T2511" s="26"/>
      <c r="U2511" s="26"/>
      <c r="V2511" s="26"/>
      <c r="W2511" s="20"/>
      <c r="X2511" s="20"/>
      <c r="Y2511" s="20"/>
      <c r="Z2511" s="20"/>
      <c r="AA2511" s="20"/>
      <c r="AB2511" s="20"/>
      <c r="AC2511" s="20"/>
      <c r="AD2511" s="20"/>
      <c r="AE2511" s="20"/>
    </row>
    <row r="2512">
      <c r="A2512" s="21">
        <v>61.0</v>
      </c>
      <c r="B2512" s="20" t="s">
        <v>1716</v>
      </c>
      <c r="C2512" s="20" t="s">
        <v>5270</v>
      </c>
      <c r="I2512" s="25" t="s">
        <v>4694</v>
      </c>
      <c r="J2512" s="25" t="s">
        <v>4980</v>
      </c>
      <c r="K2512" s="25" t="s">
        <v>71</v>
      </c>
      <c r="L2512" s="25" t="s">
        <v>5382</v>
      </c>
      <c r="M2512" s="20" t="s">
        <v>4665</v>
      </c>
      <c r="N2512" s="20" t="s">
        <v>4666</v>
      </c>
      <c r="O2512" s="20" t="s">
        <v>63</v>
      </c>
      <c r="P2512" s="20" t="s">
        <v>52</v>
      </c>
      <c r="Q2512" s="22"/>
      <c r="R2512" s="22"/>
      <c r="S2512" s="22"/>
      <c r="T2512" s="26"/>
      <c r="U2512" s="26"/>
      <c r="V2512" s="26"/>
      <c r="W2512" s="20"/>
      <c r="X2512" s="20"/>
      <c r="Y2512" s="20"/>
      <c r="Z2512" s="20"/>
      <c r="AA2512" s="20"/>
      <c r="AB2512" s="20"/>
      <c r="AC2512" s="20"/>
      <c r="AD2512" s="20"/>
      <c r="AE2512" s="20"/>
    </row>
    <row r="2513">
      <c r="A2513" s="21">
        <v>61.0</v>
      </c>
      <c r="B2513" s="20" t="s">
        <v>1716</v>
      </c>
      <c r="C2513" s="20" t="s">
        <v>5270</v>
      </c>
      <c r="I2513" s="25" t="s">
        <v>2039</v>
      </c>
      <c r="J2513" s="25" t="s">
        <v>4980</v>
      </c>
      <c r="K2513" s="25" t="s">
        <v>71</v>
      </c>
      <c r="L2513" s="25" t="s">
        <v>5382</v>
      </c>
      <c r="M2513" s="20" t="s">
        <v>2040</v>
      </c>
      <c r="N2513" s="20" t="s">
        <v>5123</v>
      </c>
      <c r="O2513" s="20" t="s">
        <v>63</v>
      </c>
      <c r="P2513" s="20" t="s">
        <v>52</v>
      </c>
      <c r="Q2513" s="22"/>
      <c r="R2513" s="22"/>
      <c r="S2513" s="22"/>
      <c r="T2513" s="26"/>
      <c r="U2513" s="26"/>
      <c r="V2513" s="26"/>
      <c r="W2513" s="20"/>
      <c r="X2513" s="20"/>
      <c r="Y2513" s="20"/>
      <c r="Z2513" s="20"/>
      <c r="AA2513" s="20"/>
      <c r="AB2513" s="20"/>
      <c r="AC2513" s="20"/>
      <c r="AD2513" s="20"/>
      <c r="AE2513" s="20"/>
    </row>
    <row r="2514">
      <c r="A2514" s="21">
        <v>61.0</v>
      </c>
      <c r="B2514" s="20" t="s">
        <v>1716</v>
      </c>
      <c r="C2514" s="20" t="s">
        <v>5270</v>
      </c>
      <c r="I2514" s="25" t="s">
        <v>4561</v>
      </c>
      <c r="J2514" s="25" t="s">
        <v>4990</v>
      </c>
      <c r="K2514" s="25" t="s">
        <v>71</v>
      </c>
      <c r="L2514" s="25" t="s">
        <v>292</v>
      </c>
      <c r="M2514" s="20" t="s">
        <v>4562</v>
      </c>
      <c r="N2514" s="20" t="s">
        <v>4851</v>
      </c>
      <c r="O2514" s="20" t="s">
        <v>63</v>
      </c>
      <c r="P2514" s="20" t="s">
        <v>52</v>
      </c>
      <c r="Q2514" s="22"/>
      <c r="R2514" s="22"/>
      <c r="S2514" s="22"/>
      <c r="T2514" s="22"/>
      <c r="U2514" s="26"/>
      <c r="V2514" s="26"/>
      <c r="W2514" s="20"/>
      <c r="X2514" s="20"/>
      <c r="Y2514" s="20"/>
      <c r="Z2514" s="20"/>
      <c r="AA2514" s="20"/>
      <c r="AB2514" s="20"/>
      <c r="AC2514" s="20"/>
      <c r="AD2514" s="20"/>
      <c r="AE2514" s="20"/>
    </row>
    <row r="2515">
      <c r="A2515" s="21">
        <v>61.0</v>
      </c>
      <c r="B2515" s="20" t="s">
        <v>1716</v>
      </c>
      <c r="C2515" s="20" t="s">
        <v>5270</v>
      </c>
      <c r="I2515" s="25" t="s">
        <v>2053</v>
      </c>
      <c r="J2515" s="25" t="s">
        <v>5017</v>
      </c>
      <c r="K2515" s="25" t="s">
        <v>71</v>
      </c>
      <c r="L2515" s="25" t="s">
        <v>5422</v>
      </c>
      <c r="M2515" s="20" t="s">
        <v>1406</v>
      </c>
      <c r="N2515" s="20" t="s">
        <v>5021</v>
      </c>
      <c r="O2515" s="20" t="s">
        <v>63</v>
      </c>
      <c r="P2515" s="20" t="s">
        <v>52</v>
      </c>
      <c r="Q2515" s="22"/>
      <c r="R2515" s="22"/>
      <c r="S2515" s="22"/>
      <c r="T2515" s="26"/>
      <c r="U2515" s="26"/>
      <c r="V2515" s="26"/>
      <c r="W2515" s="20"/>
      <c r="X2515" s="20"/>
      <c r="Y2515" s="20"/>
      <c r="Z2515" s="20"/>
      <c r="AA2515" s="20"/>
      <c r="AB2515" s="20"/>
      <c r="AC2515" s="20"/>
      <c r="AD2515" s="20"/>
      <c r="AE2515" s="20"/>
    </row>
    <row r="2516">
      <c r="A2516" s="21">
        <v>61.0</v>
      </c>
      <c r="B2516" s="20" t="s">
        <v>1716</v>
      </c>
      <c r="C2516" s="20" t="s">
        <v>5270</v>
      </c>
      <c r="I2516" s="25" t="s">
        <v>1417</v>
      </c>
      <c r="J2516" s="25" t="s">
        <v>4990</v>
      </c>
      <c r="K2516" s="25" t="s">
        <v>71</v>
      </c>
      <c r="L2516" s="25" t="s">
        <v>292</v>
      </c>
      <c r="M2516" s="20" t="s">
        <v>1418</v>
      </c>
      <c r="N2516" s="20" t="s">
        <v>4736</v>
      </c>
      <c r="O2516" s="20" t="s">
        <v>63</v>
      </c>
      <c r="P2516" s="20" t="s">
        <v>52</v>
      </c>
      <c r="Q2516" s="22"/>
      <c r="R2516" s="22"/>
      <c r="S2516" s="22"/>
      <c r="T2516" s="22"/>
      <c r="U2516" s="26"/>
      <c r="V2516" s="26"/>
      <c r="W2516" s="20"/>
      <c r="X2516" s="20"/>
      <c r="Y2516" s="20"/>
      <c r="Z2516" s="20"/>
      <c r="AA2516" s="20"/>
      <c r="AB2516" s="20"/>
      <c r="AC2516" s="20"/>
      <c r="AD2516" s="20"/>
      <c r="AE2516" s="20"/>
    </row>
    <row r="2517">
      <c r="A2517" s="21">
        <v>61.0</v>
      </c>
      <c r="B2517" s="20" t="s">
        <v>1716</v>
      </c>
      <c r="C2517" s="20" t="s">
        <v>5270</v>
      </c>
      <c r="I2517" s="25" t="s">
        <v>4934</v>
      </c>
      <c r="J2517" s="25" t="s">
        <v>4980</v>
      </c>
      <c r="K2517" s="25" t="s">
        <v>71</v>
      </c>
      <c r="L2517" s="25" t="s">
        <v>5382</v>
      </c>
      <c r="M2517" s="20" t="s">
        <v>5124</v>
      </c>
      <c r="N2517" s="20" t="s">
        <v>5125</v>
      </c>
      <c r="O2517" s="20" t="s">
        <v>63</v>
      </c>
      <c r="P2517" s="20" t="s">
        <v>52</v>
      </c>
      <c r="Q2517" s="22"/>
      <c r="R2517" s="22"/>
      <c r="S2517" s="22"/>
      <c r="T2517" s="26"/>
      <c r="U2517" s="26"/>
      <c r="V2517" s="26"/>
      <c r="W2517" s="20"/>
      <c r="X2517" s="20"/>
      <c r="Y2517" s="20"/>
      <c r="Z2517" s="20"/>
      <c r="AA2517" s="20"/>
      <c r="AB2517" s="20"/>
      <c r="AC2517" s="20"/>
      <c r="AD2517" s="20"/>
      <c r="AE2517" s="20"/>
    </row>
    <row r="2518">
      <c r="A2518" s="21">
        <v>61.0</v>
      </c>
      <c r="B2518" s="20" t="s">
        <v>1716</v>
      </c>
      <c r="C2518" s="20" t="s">
        <v>5270</v>
      </c>
      <c r="I2518" s="25" t="s">
        <v>740</v>
      </c>
      <c r="J2518" s="25" t="s">
        <v>4990</v>
      </c>
      <c r="K2518" s="25" t="s">
        <v>71</v>
      </c>
      <c r="L2518" s="25" t="s">
        <v>292</v>
      </c>
      <c r="M2518" s="20" t="s">
        <v>5064</v>
      </c>
      <c r="N2518" s="20" t="s">
        <v>5065</v>
      </c>
      <c r="O2518" s="20" t="s">
        <v>63</v>
      </c>
      <c r="P2518" s="20" t="s">
        <v>52</v>
      </c>
      <c r="Q2518" s="22"/>
      <c r="R2518" s="22"/>
      <c r="S2518" s="22"/>
      <c r="T2518" s="22"/>
      <c r="U2518" s="26"/>
      <c r="V2518" s="26"/>
      <c r="W2518" s="20"/>
      <c r="X2518" s="20"/>
      <c r="Y2518" s="20"/>
      <c r="Z2518" s="20"/>
      <c r="AA2518" s="20"/>
      <c r="AB2518" s="20"/>
      <c r="AC2518" s="20"/>
      <c r="AD2518" s="20"/>
      <c r="AE2518" s="20"/>
    </row>
    <row r="2519">
      <c r="A2519" s="21">
        <v>61.0</v>
      </c>
      <c r="B2519" s="20" t="s">
        <v>1716</v>
      </c>
      <c r="C2519" s="20" t="s">
        <v>5270</v>
      </c>
      <c r="I2519" s="25" t="s">
        <v>3485</v>
      </c>
      <c r="J2519" s="25" t="s">
        <v>4990</v>
      </c>
      <c r="K2519" s="25" t="s">
        <v>71</v>
      </c>
      <c r="L2519" s="25" t="s">
        <v>5690</v>
      </c>
      <c r="M2519" s="20" t="s">
        <v>3486</v>
      </c>
      <c r="N2519" s="20" t="s">
        <v>3487</v>
      </c>
      <c r="O2519" s="20" t="s">
        <v>63</v>
      </c>
      <c r="P2519" s="20" t="s">
        <v>52</v>
      </c>
      <c r="Q2519" s="22"/>
      <c r="R2519" s="22"/>
      <c r="S2519" s="22"/>
      <c r="T2519" s="26"/>
      <c r="U2519" s="26"/>
      <c r="V2519" s="26"/>
      <c r="W2519" s="20"/>
      <c r="X2519" s="20"/>
      <c r="Y2519" s="20"/>
      <c r="Z2519" s="20"/>
      <c r="AA2519" s="20"/>
      <c r="AB2519" s="20"/>
      <c r="AC2519" s="20"/>
      <c r="AD2519" s="20"/>
      <c r="AE2519" s="20"/>
    </row>
    <row r="2520">
      <c r="A2520" s="21">
        <v>61.0</v>
      </c>
      <c r="B2520" s="20" t="s">
        <v>1716</v>
      </c>
      <c r="C2520" s="20" t="s">
        <v>5270</v>
      </c>
      <c r="I2520" s="25" t="s">
        <v>3439</v>
      </c>
      <c r="J2520" s="25" t="s">
        <v>4980</v>
      </c>
      <c r="K2520" s="25" t="s">
        <v>71</v>
      </c>
      <c r="L2520" s="25" t="s">
        <v>292</v>
      </c>
      <c r="M2520" s="20" t="s">
        <v>5126</v>
      </c>
      <c r="N2520" s="20" t="s">
        <v>5127</v>
      </c>
      <c r="O2520" s="20" t="s">
        <v>63</v>
      </c>
      <c r="P2520" s="20" t="s">
        <v>52</v>
      </c>
      <c r="Q2520" s="22"/>
      <c r="R2520" s="22"/>
      <c r="S2520" s="22"/>
      <c r="T2520" s="22"/>
      <c r="U2520" s="26"/>
      <c r="V2520" s="26"/>
      <c r="W2520" s="20"/>
      <c r="X2520" s="20"/>
      <c r="Y2520" s="20"/>
      <c r="Z2520" s="20"/>
      <c r="AA2520" s="20"/>
      <c r="AB2520" s="20"/>
      <c r="AC2520" s="20"/>
      <c r="AD2520" s="20"/>
      <c r="AE2520" s="20"/>
    </row>
    <row r="2521">
      <c r="A2521" s="21">
        <v>61.0</v>
      </c>
      <c r="B2521" s="20" t="s">
        <v>1716</v>
      </c>
      <c r="C2521" s="20" t="s">
        <v>5270</v>
      </c>
      <c r="I2521" s="25" t="s">
        <v>2816</v>
      </c>
      <c r="J2521" s="25" t="s">
        <v>4990</v>
      </c>
      <c r="K2521" s="25" t="s">
        <v>71</v>
      </c>
      <c r="L2521" s="25" t="s">
        <v>5382</v>
      </c>
      <c r="M2521" s="20" t="s">
        <v>5067</v>
      </c>
      <c r="N2521" s="20" t="s">
        <v>5068</v>
      </c>
      <c r="O2521" s="20" t="s">
        <v>63</v>
      </c>
      <c r="P2521" s="20" t="s">
        <v>52</v>
      </c>
      <c r="Q2521" s="22"/>
      <c r="R2521" s="22"/>
      <c r="S2521" s="22"/>
      <c r="T2521" s="26"/>
      <c r="U2521" s="26"/>
      <c r="V2521" s="26"/>
      <c r="W2521" s="20"/>
      <c r="X2521" s="20"/>
      <c r="Y2521" s="20"/>
      <c r="Z2521" s="20"/>
      <c r="AA2521" s="20"/>
      <c r="AB2521" s="20"/>
      <c r="AC2521" s="20"/>
      <c r="AD2521" s="20"/>
      <c r="AE2521" s="20"/>
    </row>
    <row r="2522">
      <c r="A2522" s="21">
        <v>62.0</v>
      </c>
      <c r="B2522" s="20" t="s">
        <v>2424</v>
      </c>
      <c r="C2522" s="20" t="s">
        <v>5270</v>
      </c>
      <c r="D2522" s="35">
        <v>30.0</v>
      </c>
      <c r="E2522" s="35">
        <v>1.0</v>
      </c>
      <c r="F2522" s="35">
        <v>3.0</v>
      </c>
      <c r="G2522" s="35">
        <v>26.0</v>
      </c>
      <c r="H2522" s="36" t="s">
        <v>5698</v>
      </c>
      <c r="I2522" s="25" t="s">
        <v>3505</v>
      </c>
      <c r="J2522" s="25" t="s">
        <v>5128</v>
      </c>
      <c r="K2522" s="25" t="s">
        <v>67</v>
      </c>
      <c r="L2522" s="25" t="s">
        <v>1133</v>
      </c>
      <c r="M2522" s="20" t="s">
        <v>5129</v>
      </c>
      <c r="N2522" s="20" t="s">
        <v>5130</v>
      </c>
      <c r="O2522" s="20" t="s">
        <v>56</v>
      </c>
      <c r="P2522" s="20" t="s">
        <v>52</v>
      </c>
      <c r="Q2522" s="22"/>
      <c r="R2522" s="22"/>
      <c r="S2522" s="22"/>
      <c r="T2522" s="22"/>
      <c r="U2522" s="26"/>
      <c r="V2522" s="26"/>
      <c r="W2522" s="20"/>
      <c r="X2522" s="20"/>
      <c r="Y2522" s="20"/>
      <c r="Z2522" s="20"/>
      <c r="AA2522" s="20"/>
      <c r="AB2522" s="20"/>
      <c r="AC2522" s="20"/>
      <c r="AD2522" s="20"/>
      <c r="AE2522" s="20"/>
    </row>
    <row r="2523">
      <c r="A2523" s="21">
        <v>62.0</v>
      </c>
      <c r="B2523" s="20" t="s">
        <v>2424</v>
      </c>
      <c r="C2523" s="20" t="s">
        <v>5270</v>
      </c>
      <c r="I2523" s="25" t="s">
        <v>3423</v>
      </c>
      <c r="J2523" s="25" t="s">
        <v>5128</v>
      </c>
      <c r="K2523" s="25" t="s">
        <v>71</v>
      </c>
      <c r="L2523" s="25" t="s">
        <v>226</v>
      </c>
      <c r="M2523" s="20" t="s">
        <v>5149</v>
      </c>
      <c r="N2523" s="20" t="s">
        <v>5150</v>
      </c>
      <c r="O2523" s="20" t="s">
        <v>63</v>
      </c>
      <c r="P2523" s="20" t="s">
        <v>52</v>
      </c>
      <c r="Q2523" s="22"/>
      <c r="R2523" s="22"/>
      <c r="S2523" s="22"/>
      <c r="T2523" s="22"/>
      <c r="U2523" s="26"/>
      <c r="V2523" s="26"/>
      <c r="W2523" s="20"/>
      <c r="X2523" s="20"/>
      <c r="Y2523" s="20"/>
      <c r="Z2523" s="20"/>
      <c r="AA2523" s="20"/>
      <c r="AB2523" s="20"/>
      <c r="AC2523" s="20"/>
      <c r="AD2523" s="20"/>
      <c r="AE2523" s="20"/>
    </row>
    <row r="2524">
      <c r="A2524" s="21">
        <v>62.0</v>
      </c>
      <c r="B2524" s="20" t="s">
        <v>2424</v>
      </c>
      <c r="C2524" s="20" t="s">
        <v>5270</v>
      </c>
      <c r="I2524" s="25" t="s">
        <v>1884</v>
      </c>
      <c r="J2524" s="25" t="s">
        <v>5128</v>
      </c>
      <c r="K2524" s="25" t="s">
        <v>57</v>
      </c>
      <c r="L2524" s="25" t="s">
        <v>5703</v>
      </c>
      <c r="M2524" s="20" t="s">
        <v>4732</v>
      </c>
      <c r="N2524" s="20" t="s">
        <v>5083</v>
      </c>
      <c r="O2524" s="20" t="s">
        <v>63</v>
      </c>
      <c r="P2524" s="20"/>
      <c r="Q2524" s="22"/>
      <c r="R2524" s="22"/>
      <c r="S2524" s="22"/>
      <c r="T2524" s="26"/>
      <c r="U2524" s="26"/>
      <c r="V2524" s="26"/>
      <c r="W2524" s="20"/>
      <c r="X2524" s="20"/>
      <c r="Y2524" s="20"/>
      <c r="Z2524" s="20"/>
      <c r="AA2524" s="20"/>
      <c r="AB2524" s="20"/>
      <c r="AC2524" s="20"/>
      <c r="AD2524" s="20"/>
      <c r="AE2524" s="20"/>
    </row>
    <row r="2525">
      <c r="A2525" s="21">
        <v>62.0</v>
      </c>
      <c r="B2525" s="20" t="s">
        <v>2424</v>
      </c>
      <c r="C2525" s="20" t="s">
        <v>5270</v>
      </c>
      <c r="I2525" s="25" t="s">
        <v>4934</v>
      </c>
      <c r="J2525" s="25" t="s">
        <v>5128</v>
      </c>
      <c r="K2525" s="25" t="s">
        <v>67</v>
      </c>
      <c r="L2525" s="25" t="s">
        <v>5706</v>
      </c>
      <c r="M2525" s="20" t="s">
        <v>5131</v>
      </c>
      <c r="N2525" s="20" t="s">
        <v>5132</v>
      </c>
      <c r="O2525" s="20" t="s">
        <v>63</v>
      </c>
      <c r="P2525" s="20"/>
      <c r="Q2525" s="22"/>
      <c r="R2525" s="22"/>
      <c r="S2525" s="22"/>
      <c r="T2525" s="26"/>
      <c r="U2525" s="26"/>
      <c r="V2525" s="26"/>
      <c r="W2525" s="20"/>
      <c r="X2525" s="20"/>
      <c r="Y2525" s="20"/>
      <c r="Z2525" s="20"/>
      <c r="AA2525" s="20"/>
      <c r="AB2525" s="20"/>
      <c r="AC2525" s="20"/>
      <c r="AD2525" s="20"/>
      <c r="AE2525" s="20"/>
    </row>
    <row r="2526">
      <c r="A2526" s="21">
        <v>62.0</v>
      </c>
      <c r="B2526" s="20" t="s">
        <v>2424</v>
      </c>
      <c r="C2526" s="20" t="s">
        <v>5270</v>
      </c>
      <c r="I2526" s="25" t="s">
        <v>4694</v>
      </c>
      <c r="J2526" s="25" t="s">
        <v>5128</v>
      </c>
      <c r="K2526" s="25" t="s">
        <v>67</v>
      </c>
      <c r="L2526" s="25" t="s">
        <v>5709</v>
      </c>
      <c r="M2526" s="20" t="s">
        <v>5134</v>
      </c>
      <c r="N2526" s="20" t="s">
        <v>5135</v>
      </c>
      <c r="O2526" s="20" t="s">
        <v>63</v>
      </c>
      <c r="P2526" s="20"/>
      <c r="Q2526" s="22"/>
      <c r="R2526" s="22"/>
      <c r="S2526" s="22"/>
      <c r="T2526" s="26"/>
      <c r="U2526" s="26"/>
      <c r="V2526" s="26"/>
      <c r="W2526" s="20"/>
      <c r="X2526" s="20"/>
      <c r="Y2526" s="20"/>
      <c r="Z2526" s="20"/>
      <c r="AA2526" s="20"/>
      <c r="AB2526" s="20"/>
      <c r="AC2526" s="20"/>
      <c r="AD2526" s="20"/>
      <c r="AE2526" s="20"/>
    </row>
    <row r="2527">
      <c r="A2527" s="21">
        <v>62.0</v>
      </c>
      <c r="B2527" s="20" t="s">
        <v>2424</v>
      </c>
      <c r="C2527" s="20" t="s">
        <v>5270</v>
      </c>
      <c r="I2527" s="25" t="s">
        <v>3498</v>
      </c>
      <c r="J2527" s="25" t="s">
        <v>5128</v>
      </c>
      <c r="K2527" s="25" t="s">
        <v>71</v>
      </c>
      <c r="L2527" s="25" t="s">
        <v>5713</v>
      </c>
      <c r="M2527" s="20" t="s">
        <v>5139</v>
      </c>
      <c r="N2527" s="20" t="s">
        <v>5140</v>
      </c>
      <c r="O2527" s="20" t="s">
        <v>56</v>
      </c>
      <c r="P2527" s="20"/>
      <c r="Q2527" s="22"/>
      <c r="R2527" s="22"/>
      <c r="S2527" s="22"/>
      <c r="T2527" s="26"/>
      <c r="U2527" s="26"/>
      <c r="V2527" s="26"/>
      <c r="W2527" s="20"/>
      <c r="X2527" s="20"/>
      <c r="Y2527" s="20"/>
      <c r="Z2527" s="20"/>
      <c r="AA2527" s="20"/>
      <c r="AB2527" s="20"/>
      <c r="AC2527" s="20"/>
      <c r="AD2527" s="20"/>
      <c r="AE2527" s="20"/>
    </row>
    <row r="2528">
      <c r="A2528" s="21">
        <v>62.0</v>
      </c>
      <c r="B2528" s="20" t="s">
        <v>2424</v>
      </c>
      <c r="C2528" s="20" t="s">
        <v>5270</v>
      </c>
      <c r="I2528" s="25" t="s">
        <v>2804</v>
      </c>
      <c r="J2528" s="25" t="s">
        <v>5128</v>
      </c>
      <c r="K2528" s="25" t="s">
        <v>71</v>
      </c>
      <c r="L2528" s="25" t="s">
        <v>5715</v>
      </c>
      <c r="M2528" s="20" t="s">
        <v>4814</v>
      </c>
      <c r="N2528" s="20" t="s">
        <v>5152</v>
      </c>
      <c r="O2528" s="20" t="s">
        <v>63</v>
      </c>
      <c r="P2528" s="20"/>
      <c r="Q2528" s="22"/>
      <c r="R2528" s="22"/>
      <c r="S2528" s="22"/>
      <c r="T2528" s="26"/>
      <c r="U2528" s="26"/>
      <c r="V2528" s="26"/>
      <c r="W2528" s="20"/>
      <c r="X2528" s="20"/>
      <c r="Y2528" s="20"/>
      <c r="Z2528" s="20"/>
      <c r="AA2528" s="20"/>
      <c r="AB2528" s="20"/>
      <c r="AC2528" s="20"/>
      <c r="AD2528" s="20"/>
      <c r="AE2528" s="20"/>
    </row>
    <row r="2529">
      <c r="A2529" s="21">
        <v>62.0</v>
      </c>
      <c r="B2529" s="20" t="s">
        <v>2424</v>
      </c>
      <c r="C2529" s="20" t="s">
        <v>5270</v>
      </c>
      <c r="I2529" s="25" t="s">
        <v>2793</v>
      </c>
      <c r="J2529" s="25" t="s">
        <v>5128</v>
      </c>
      <c r="K2529" s="25" t="s">
        <v>71</v>
      </c>
      <c r="L2529" s="25" t="s">
        <v>5713</v>
      </c>
      <c r="M2529" s="20" t="s">
        <v>4482</v>
      </c>
      <c r="N2529" s="20" t="s">
        <v>5153</v>
      </c>
      <c r="O2529" s="20" t="s">
        <v>63</v>
      </c>
      <c r="P2529" s="20"/>
      <c r="Q2529" s="22"/>
      <c r="R2529" s="22"/>
      <c r="S2529" s="22"/>
      <c r="T2529" s="26"/>
      <c r="U2529" s="26"/>
      <c r="V2529" s="26"/>
      <c r="W2529" s="20"/>
      <c r="X2529" s="20"/>
      <c r="Y2529" s="20"/>
      <c r="Z2529" s="20"/>
      <c r="AA2529" s="20"/>
      <c r="AB2529" s="20"/>
      <c r="AC2529" s="20"/>
      <c r="AD2529" s="20"/>
      <c r="AE2529" s="20"/>
    </row>
    <row r="2530">
      <c r="A2530" s="21">
        <v>62.0</v>
      </c>
      <c r="B2530" s="20" t="s">
        <v>2424</v>
      </c>
      <c r="C2530" s="20" t="s">
        <v>5270</v>
      </c>
      <c r="I2530" s="25" t="s">
        <v>4526</v>
      </c>
      <c r="J2530" s="25" t="s">
        <v>5136</v>
      </c>
      <c r="K2530" s="25" t="s">
        <v>71</v>
      </c>
      <c r="L2530" s="25" t="s">
        <v>5718</v>
      </c>
      <c r="M2530" s="20" t="s">
        <v>4527</v>
      </c>
      <c r="N2530" s="20" t="s">
        <v>5141</v>
      </c>
      <c r="O2530" s="20" t="s">
        <v>63</v>
      </c>
      <c r="P2530" s="20"/>
      <c r="Q2530" s="22"/>
      <c r="R2530" s="22"/>
      <c r="S2530" s="22"/>
      <c r="T2530" s="26"/>
      <c r="U2530" s="26"/>
      <c r="V2530" s="26"/>
      <c r="W2530" s="20"/>
      <c r="X2530" s="20"/>
      <c r="Y2530" s="20"/>
      <c r="Z2530" s="20"/>
      <c r="AA2530" s="20"/>
      <c r="AB2530" s="20"/>
      <c r="AC2530" s="20"/>
      <c r="AD2530" s="20"/>
      <c r="AE2530" s="20"/>
    </row>
    <row r="2531">
      <c r="A2531" s="21">
        <v>62.0</v>
      </c>
      <c r="B2531" s="20" t="s">
        <v>2424</v>
      </c>
      <c r="C2531" s="20" t="s">
        <v>5270</v>
      </c>
      <c r="I2531" s="25" t="s">
        <v>3453</v>
      </c>
      <c r="J2531" s="25" t="s">
        <v>5128</v>
      </c>
      <c r="K2531" s="25" t="s">
        <v>71</v>
      </c>
      <c r="L2531" s="25" t="s">
        <v>292</v>
      </c>
      <c r="M2531" s="20" t="s">
        <v>5154</v>
      </c>
      <c r="N2531" s="20" t="s">
        <v>5155</v>
      </c>
      <c r="O2531" s="20" t="s">
        <v>63</v>
      </c>
      <c r="P2531" s="20" t="s">
        <v>52</v>
      </c>
      <c r="Q2531" s="22"/>
      <c r="R2531" s="22"/>
      <c r="S2531" s="22"/>
      <c r="T2531" s="22"/>
      <c r="U2531" s="26"/>
      <c r="V2531" s="26"/>
      <c r="W2531" s="20"/>
      <c r="X2531" s="20"/>
      <c r="Y2531" s="20"/>
      <c r="Z2531" s="20"/>
      <c r="AA2531" s="20"/>
      <c r="AB2531" s="20"/>
      <c r="AC2531" s="20"/>
      <c r="AD2531" s="20"/>
      <c r="AE2531" s="20"/>
    </row>
    <row r="2532">
      <c r="A2532" s="21">
        <v>62.0</v>
      </c>
      <c r="B2532" s="20" t="s">
        <v>2424</v>
      </c>
      <c r="C2532" s="20" t="s">
        <v>5270</v>
      </c>
      <c r="I2532" s="25" t="s">
        <v>3339</v>
      </c>
      <c r="J2532" s="25" t="s">
        <v>5128</v>
      </c>
      <c r="K2532" s="25" t="s">
        <v>71</v>
      </c>
      <c r="L2532" s="25" t="s">
        <v>5713</v>
      </c>
      <c r="M2532" s="20" t="s">
        <v>3340</v>
      </c>
      <c r="N2532" s="20" t="s">
        <v>5156</v>
      </c>
      <c r="O2532" s="20" t="s">
        <v>63</v>
      </c>
      <c r="P2532" s="20"/>
      <c r="Q2532" s="22"/>
      <c r="R2532" s="22"/>
      <c r="S2532" s="22"/>
      <c r="T2532" s="26"/>
      <c r="U2532" s="26"/>
      <c r="V2532" s="26"/>
      <c r="W2532" s="20"/>
      <c r="X2532" s="20"/>
      <c r="Y2532" s="20"/>
      <c r="Z2532" s="20"/>
      <c r="AA2532" s="20"/>
      <c r="AB2532" s="20"/>
      <c r="AC2532" s="20"/>
      <c r="AD2532" s="20"/>
      <c r="AE2532" s="20"/>
    </row>
    <row r="2533">
      <c r="A2533" s="21">
        <v>62.0</v>
      </c>
      <c r="B2533" s="20" t="s">
        <v>2424</v>
      </c>
      <c r="C2533" s="20" t="s">
        <v>5270</v>
      </c>
      <c r="I2533" s="25" t="s">
        <v>4800</v>
      </c>
      <c r="J2533" s="25" t="s">
        <v>5128</v>
      </c>
      <c r="K2533" s="25" t="s">
        <v>71</v>
      </c>
      <c r="L2533" s="25" t="s">
        <v>292</v>
      </c>
      <c r="M2533" s="20" t="s">
        <v>1784</v>
      </c>
      <c r="N2533" s="20" t="s">
        <v>5157</v>
      </c>
      <c r="O2533" s="20" t="s">
        <v>63</v>
      </c>
      <c r="P2533" s="20" t="s">
        <v>52</v>
      </c>
      <c r="Q2533" s="22"/>
      <c r="R2533" s="22"/>
      <c r="S2533" s="22"/>
      <c r="T2533" s="22"/>
      <c r="U2533" s="26"/>
      <c r="V2533" s="26"/>
      <c r="W2533" s="20"/>
      <c r="X2533" s="20"/>
      <c r="Y2533" s="20"/>
      <c r="Z2533" s="20"/>
      <c r="AA2533" s="20"/>
      <c r="AB2533" s="20"/>
      <c r="AC2533" s="20"/>
      <c r="AD2533" s="20"/>
      <c r="AE2533" s="20"/>
    </row>
    <row r="2534">
      <c r="A2534" s="21">
        <v>62.0</v>
      </c>
      <c r="B2534" s="20" t="s">
        <v>2424</v>
      </c>
      <c r="C2534" s="20" t="s">
        <v>5270</v>
      </c>
      <c r="I2534" s="25" t="s">
        <v>1162</v>
      </c>
      <c r="J2534" s="25" t="s">
        <v>5128</v>
      </c>
      <c r="K2534" s="25" t="s">
        <v>71</v>
      </c>
      <c r="L2534" s="25" t="s">
        <v>5718</v>
      </c>
      <c r="M2534" s="20" t="s">
        <v>1313</v>
      </c>
      <c r="N2534" s="20" t="s">
        <v>5158</v>
      </c>
      <c r="O2534" s="20" t="s">
        <v>63</v>
      </c>
      <c r="P2534" s="20"/>
      <c r="Q2534" s="22"/>
      <c r="R2534" s="22"/>
      <c r="S2534" s="22"/>
      <c r="T2534" s="26"/>
      <c r="U2534" s="26"/>
      <c r="V2534" s="26"/>
      <c r="W2534" s="20"/>
      <c r="X2534" s="20"/>
      <c r="Y2534" s="20"/>
      <c r="Z2534" s="20"/>
      <c r="AA2534" s="20"/>
      <c r="AB2534" s="20"/>
      <c r="AC2534" s="20"/>
      <c r="AD2534" s="20"/>
      <c r="AE2534" s="20"/>
    </row>
    <row r="2535">
      <c r="A2535" s="21">
        <v>62.0</v>
      </c>
      <c r="B2535" s="20" t="s">
        <v>2424</v>
      </c>
      <c r="C2535" s="20" t="s">
        <v>5270</v>
      </c>
      <c r="I2535" s="25" t="s">
        <v>4842</v>
      </c>
      <c r="J2535" s="25" t="s">
        <v>5128</v>
      </c>
      <c r="K2535" s="25" t="s">
        <v>71</v>
      </c>
      <c r="L2535" s="25" t="s">
        <v>5726</v>
      </c>
      <c r="M2535" s="20" t="s">
        <v>5159</v>
      </c>
      <c r="N2535" s="20" t="s">
        <v>5161</v>
      </c>
      <c r="O2535" s="20" t="s">
        <v>63</v>
      </c>
      <c r="P2535" s="20"/>
      <c r="Q2535" s="22"/>
      <c r="R2535" s="22"/>
      <c r="S2535" s="22"/>
      <c r="T2535" s="26"/>
      <c r="U2535" s="26"/>
      <c r="V2535" s="26"/>
      <c r="W2535" s="20"/>
      <c r="X2535" s="20"/>
      <c r="Y2535" s="20"/>
      <c r="Z2535" s="20"/>
      <c r="AA2535" s="20"/>
      <c r="AB2535" s="20"/>
      <c r="AC2535" s="20"/>
      <c r="AD2535" s="20"/>
      <c r="AE2535" s="20"/>
    </row>
    <row r="2536">
      <c r="A2536" s="21">
        <v>62.0</v>
      </c>
      <c r="B2536" s="20" t="s">
        <v>2424</v>
      </c>
      <c r="C2536" s="20" t="s">
        <v>5270</v>
      </c>
      <c r="I2536" s="25" t="s">
        <v>1512</v>
      </c>
      <c r="J2536" s="25" t="s">
        <v>5128</v>
      </c>
      <c r="K2536" s="25" t="s">
        <v>71</v>
      </c>
      <c r="L2536" s="25" t="s">
        <v>5713</v>
      </c>
      <c r="M2536" s="20" t="s">
        <v>61</v>
      </c>
      <c r="N2536" s="20" t="s">
        <v>5163</v>
      </c>
      <c r="O2536" s="20" t="s">
        <v>63</v>
      </c>
      <c r="P2536" s="20"/>
      <c r="Q2536" s="22"/>
      <c r="R2536" s="22"/>
      <c r="S2536" s="22"/>
      <c r="T2536" s="26"/>
      <c r="U2536" s="26"/>
      <c r="V2536" s="26"/>
      <c r="W2536" s="20"/>
      <c r="X2536" s="20"/>
      <c r="Y2536" s="20"/>
      <c r="Z2536" s="20"/>
      <c r="AA2536" s="20"/>
      <c r="AB2536" s="20"/>
      <c r="AC2536" s="20"/>
      <c r="AD2536" s="20"/>
      <c r="AE2536" s="20"/>
    </row>
    <row r="2537">
      <c r="A2537" s="21">
        <v>62.0</v>
      </c>
      <c r="B2537" s="20" t="s">
        <v>2424</v>
      </c>
      <c r="C2537" s="20" t="s">
        <v>5270</v>
      </c>
      <c r="I2537" s="25" t="s">
        <v>3410</v>
      </c>
      <c r="J2537" s="25" t="s">
        <v>5128</v>
      </c>
      <c r="K2537" s="25" t="s">
        <v>71</v>
      </c>
      <c r="L2537" s="25" t="s">
        <v>5713</v>
      </c>
      <c r="M2537" s="20" t="s">
        <v>5084</v>
      </c>
      <c r="N2537" s="20" t="s">
        <v>5165</v>
      </c>
      <c r="O2537" s="20" t="s">
        <v>63</v>
      </c>
      <c r="P2537" s="20"/>
      <c r="Q2537" s="22"/>
      <c r="R2537" s="22"/>
      <c r="S2537" s="22"/>
      <c r="T2537" s="26"/>
      <c r="U2537" s="26"/>
      <c r="V2537" s="26"/>
      <c r="W2537" s="20"/>
      <c r="X2537" s="20"/>
      <c r="Y2537" s="20"/>
      <c r="Z2537" s="20"/>
      <c r="AA2537" s="20"/>
      <c r="AB2537" s="20"/>
      <c r="AC2537" s="20"/>
      <c r="AD2537" s="20"/>
      <c r="AE2537" s="20"/>
    </row>
    <row r="2538">
      <c r="A2538" s="21">
        <v>62.0</v>
      </c>
      <c r="B2538" s="20" t="s">
        <v>2424</v>
      </c>
      <c r="C2538" s="20" t="s">
        <v>5270</v>
      </c>
      <c r="I2538" s="25" t="s">
        <v>3485</v>
      </c>
      <c r="J2538" s="25" t="s">
        <v>5128</v>
      </c>
      <c r="K2538" s="25" t="s">
        <v>71</v>
      </c>
      <c r="L2538" s="25" t="s">
        <v>5732</v>
      </c>
      <c r="M2538" s="20" t="s">
        <v>61</v>
      </c>
      <c r="N2538" s="20" t="s">
        <v>5167</v>
      </c>
      <c r="O2538" s="20" t="s">
        <v>63</v>
      </c>
      <c r="P2538" s="20"/>
      <c r="Q2538" s="22"/>
      <c r="R2538" s="22"/>
      <c r="S2538" s="22"/>
      <c r="T2538" s="26"/>
      <c r="U2538" s="26"/>
      <c r="V2538" s="26"/>
      <c r="W2538" s="20"/>
      <c r="X2538" s="20"/>
      <c r="Y2538" s="20"/>
      <c r="Z2538" s="20"/>
      <c r="AA2538" s="20"/>
      <c r="AB2538" s="20"/>
      <c r="AC2538" s="20"/>
      <c r="AD2538" s="20"/>
      <c r="AE2538" s="20"/>
    </row>
    <row r="2539">
      <c r="A2539" s="21">
        <v>62.0</v>
      </c>
      <c r="B2539" s="20" t="s">
        <v>2424</v>
      </c>
      <c r="C2539" s="20" t="s">
        <v>5270</v>
      </c>
      <c r="I2539" s="25" t="s">
        <v>4959</v>
      </c>
      <c r="J2539" s="25" t="s">
        <v>5136</v>
      </c>
      <c r="K2539" s="25" t="s">
        <v>71</v>
      </c>
      <c r="L2539" s="25" t="s">
        <v>292</v>
      </c>
      <c r="M2539" s="20" t="s">
        <v>4960</v>
      </c>
      <c r="N2539" s="20" t="s">
        <v>5142</v>
      </c>
      <c r="O2539" s="20" t="s">
        <v>63</v>
      </c>
      <c r="P2539" s="20" t="s">
        <v>52</v>
      </c>
      <c r="Q2539" s="22"/>
      <c r="R2539" s="22"/>
      <c r="S2539" s="22"/>
      <c r="T2539" s="22"/>
      <c r="U2539" s="26"/>
      <c r="V2539" s="26"/>
      <c r="W2539" s="20"/>
      <c r="X2539" s="20"/>
      <c r="Y2539" s="20"/>
      <c r="Z2539" s="20"/>
      <c r="AA2539" s="20"/>
      <c r="AB2539" s="20"/>
      <c r="AC2539" s="20"/>
      <c r="AD2539" s="20"/>
      <c r="AE2539" s="20"/>
    </row>
    <row r="2540">
      <c r="A2540" s="21">
        <v>62.0</v>
      </c>
      <c r="B2540" s="20" t="s">
        <v>2424</v>
      </c>
      <c r="C2540" s="20" t="s">
        <v>5270</v>
      </c>
      <c r="I2540" s="25" t="s">
        <v>3059</v>
      </c>
      <c r="J2540" s="25" t="s">
        <v>5136</v>
      </c>
      <c r="K2540" s="25" t="s">
        <v>71</v>
      </c>
      <c r="L2540" s="25" t="s">
        <v>5726</v>
      </c>
      <c r="M2540" s="20" t="s">
        <v>5137</v>
      </c>
      <c r="N2540" s="20" t="s">
        <v>5138</v>
      </c>
      <c r="O2540" s="20" t="s">
        <v>56</v>
      </c>
      <c r="P2540" s="20"/>
      <c r="Q2540" s="22"/>
      <c r="R2540" s="22"/>
      <c r="S2540" s="22"/>
      <c r="T2540" s="26"/>
      <c r="U2540" s="26"/>
      <c r="V2540" s="26"/>
      <c r="W2540" s="20"/>
      <c r="X2540" s="20"/>
      <c r="Y2540" s="20"/>
      <c r="Z2540" s="20"/>
      <c r="AA2540" s="20"/>
      <c r="AB2540" s="20"/>
      <c r="AC2540" s="20"/>
      <c r="AD2540" s="20"/>
      <c r="AE2540" s="20"/>
    </row>
    <row r="2541">
      <c r="A2541" s="21">
        <v>62.0</v>
      </c>
      <c r="B2541" s="20" t="s">
        <v>2424</v>
      </c>
      <c r="C2541" s="20" t="s">
        <v>5270</v>
      </c>
      <c r="I2541" s="25" t="s">
        <v>1722</v>
      </c>
      <c r="J2541" s="25" t="s">
        <v>5128</v>
      </c>
      <c r="K2541" s="25" t="s">
        <v>71</v>
      </c>
      <c r="L2541" s="25" t="s">
        <v>5738</v>
      </c>
      <c r="M2541" s="20" t="s">
        <v>5168</v>
      </c>
      <c r="N2541" s="20" t="s">
        <v>5169</v>
      </c>
      <c r="O2541" s="20" t="s">
        <v>63</v>
      </c>
      <c r="P2541" s="20" t="s">
        <v>52</v>
      </c>
      <c r="Q2541" s="22"/>
      <c r="R2541" s="22"/>
      <c r="S2541" s="22"/>
      <c r="T2541" s="26"/>
      <c r="U2541" s="26"/>
      <c r="V2541" s="26"/>
      <c r="W2541" s="20"/>
      <c r="X2541" s="20"/>
      <c r="Y2541" s="20"/>
      <c r="Z2541" s="20"/>
      <c r="AA2541" s="20"/>
      <c r="AB2541" s="20"/>
      <c r="AC2541" s="20"/>
      <c r="AD2541" s="20"/>
      <c r="AE2541" s="20"/>
    </row>
    <row r="2542">
      <c r="A2542" s="21">
        <v>62.0</v>
      </c>
      <c r="B2542" s="20" t="s">
        <v>2424</v>
      </c>
      <c r="C2542" s="20" t="s">
        <v>5270</v>
      </c>
      <c r="I2542" s="25" t="s">
        <v>3502</v>
      </c>
      <c r="J2542" s="25" t="s">
        <v>5136</v>
      </c>
      <c r="K2542" s="25" t="s">
        <v>71</v>
      </c>
      <c r="L2542" s="25" t="s">
        <v>5741</v>
      </c>
      <c r="M2542" s="20" t="s">
        <v>3503</v>
      </c>
      <c r="N2542" s="20" t="s">
        <v>5143</v>
      </c>
      <c r="O2542" s="20" t="s">
        <v>63</v>
      </c>
      <c r="P2542" s="20" t="s">
        <v>52</v>
      </c>
      <c r="Q2542" s="22"/>
      <c r="R2542" s="22"/>
      <c r="S2542" s="22"/>
      <c r="T2542" s="26"/>
      <c r="U2542" s="26"/>
      <c r="V2542" s="26"/>
      <c r="W2542" s="20"/>
      <c r="X2542" s="20"/>
      <c r="Y2542" s="20"/>
      <c r="Z2542" s="20"/>
      <c r="AA2542" s="20"/>
      <c r="AB2542" s="20"/>
      <c r="AC2542" s="20"/>
      <c r="AD2542" s="20"/>
      <c r="AE2542" s="20"/>
    </row>
    <row r="2543">
      <c r="A2543" s="21">
        <v>62.0</v>
      </c>
      <c r="B2543" s="20" t="s">
        <v>2424</v>
      </c>
      <c r="C2543" s="20" t="s">
        <v>5270</v>
      </c>
      <c r="I2543" s="25" t="s">
        <v>3528</v>
      </c>
      <c r="J2543" s="25" t="s">
        <v>5128</v>
      </c>
      <c r="K2543" s="25" t="s">
        <v>71</v>
      </c>
      <c r="L2543" s="25" t="s">
        <v>5745</v>
      </c>
      <c r="M2543" s="20" t="s">
        <v>4460</v>
      </c>
      <c r="N2543" s="20" t="s">
        <v>5171</v>
      </c>
      <c r="O2543" s="20" t="s">
        <v>63</v>
      </c>
      <c r="P2543" s="20" t="s">
        <v>52</v>
      </c>
      <c r="Q2543" s="22"/>
      <c r="R2543" s="22"/>
      <c r="S2543" s="22"/>
      <c r="T2543" s="26"/>
      <c r="U2543" s="26"/>
      <c r="V2543" s="26"/>
      <c r="W2543" s="20"/>
      <c r="X2543" s="20"/>
      <c r="Y2543" s="20"/>
      <c r="Z2543" s="20"/>
      <c r="AA2543" s="20"/>
      <c r="AB2543" s="20"/>
      <c r="AC2543" s="20"/>
      <c r="AD2543" s="20"/>
      <c r="AE2543" s="20"/>
    </row>
    <row r="2544">
      <c r="A2544" s="21">
        <v>62.0</v>
      </c>
      <c r="B2544" s="20" t="s">
        <v>2424</v>
      </c>
      <c r="C2544" s="20" t="s">
        <v>5270</v>
      </c>
      <c r="I2544" s="25" t="s">
        <v>5172</v>
      </c>
      <c r="J2544" s="25" t="s">
        <v>5128</v>
      </c>
      <c r="K2544" s="25" t="s">
        <v>71</v>
      </c>
      <c r="L2544" s="25" t="s">
        <v>292</v>
      </c>
      <c r="M2544" s="20" t="s">
        <v>61</v>
      </c>
      <c r="N2544" s="20" t="s">
        <v>5173</v>
      </c>
      <c r="O2544" s="20" t="s">
        <v>63</v>
      </c>
      <c r="P2544" s="20" t="s">
        <v>52</v>
      </c>
      <c r="Q2544" s="22"/>
      <c r="R2544" s="22"/>
      <c r="S2544" s="22"/>
      <c r="T2544" s="22"/>
      <c r="U2544" s="26"/>
      <c r="V2544" s="26"/>
      <c r="W2544" s="20"/>
      <c r="X2544" s="20"/>
      <c r="Y2544" s="20"/>
      <c r="Z2544" s="20"/>
      <c r="AA2544" s="20"/>
      <c r="AB2544" s="20"/>
      <c r="AC2544" s="20"/>
      <c r="AD2544" s="20"/>
      <c r="AE2544" s="20"/>
    </row>
    <row r="2545">
      <c r="A2545" s="21">
        <v>62.0</v>
      </c>
      <c r="B2545" s="20" t="s">
        <v>2424</v>
      </c>
      <c r="C2545" s="20" t="s">
        <v>5270</v>
      </c>
      <c r="I2545" s="25" t="s">
        <v>2851</v>
      </c>
      <c r="J2545" s="25" t="s">
        <v>5128</v>
      </c>
      <c r="K2545" s="25" t="s">
        <v>71</v>
      </c>
      <c r="L2545" s="25" t="s">
        <v>292</v>
      </c>
      <c r="M2545" s="20" t="s">
        <v>5174</v>
      </c>
      <c r="N2545" s="20" t="s">
        <v>5175</v>
      </c>
      <c r="O2545" s="20" t="s">
        <v>63</v>
      </c>
      <c r="P2545" s="20" t="s">
        <v>52</v>
      </c>
      <c r="Q2545" s="22"/>
      <c r="R2545" s="22"/>
      <c r="S2545" s="22"/>
      <c r="T2545" s="22"/>
      <c r="U2545" s="26"/>
      <c r="V2545" s="26"/>
      <c r="W2545" s="20"/>
      <c r="X2545" s="20"/>
      <c r="Y2545" s="20"/>
      <c r="Z2545" s="20"/>
      <c r="AA2545" s="20"/>
      <c r="AB2545" s="20"/>
      <c r="AC2545" s="20"/>
      <c r="AD2545" s="20"/>
      <c r="AE2545" s="20"/>
    </row>
    <row r="2546">
      <c r="A2546" s="21">
        <v>62.0</v>
      </c>
      <c r="B2546" s="20" t="s">
        <v>2424</v>
      </c>
      <c r="C2546" s="20" t="s">
        <v>5270</v>
      </c>
      <c r="I2546" s="25" t="s">
        <v>1677</v>
      </c>
      <c r="J2546" s="25" t="s">
        <v>5128</v>
      </c>
      <c r="K2546" s="25" t="s">
        <v>71</v>
      </c>
      <c r="L2546" s="25" t="s">
        <v>5750</v>
      </c>
      <c r="M2546" s="20" t="s">
        <v>5176</v>
      </c>
      <c r="N2546" s="20" t="s">
        <v>5177</v>
      </c>
      <c r="O2546" s="20" t="s">
        <v>63</v>
      </c>
      <c r="P2546" s="20" t="s">
        <v>52</v>
      </c>
      <c r="Q2546" s="22"/>
      <c r="R2546" s="22"/>
      <c r="S2546" s="22"/>
      <c r="T2546" s="26"/>
      <c r="U2546" s="26"/>
      <c r="V2546" s="26"/>
      <c r="W2546" s="20"/>
      <c r="X2546" s="20"/>
      <c r="Y2546" s="20"/>
      <c r="Z2546" s="20"/>
      <c r="AA2546" s="20"/>
      <c r="AB2546" s="20"/>
      <c r="AC2546" s="20"/>
      <c r="AD2546" s="20"/>
      <c r="AE2546" s="20"/>
    </row>
    <row r="2547">
      <c r="A2547" s="21">
        <v>62.0</v>
      </c>
      <c r="B2547" s="20" t="s">
        <v>2424</v>
      </c>
      <c r="C2547" s="20" t="s">
        <v>5270</v>
      </c>
      <c r="I2547" s="25" t="s">
        <v>1255</v>
      </c>
      <c r="J2547" s="25" t="s">
        <v>5128</v>
      </c>
      <c r="K2547" s="25" t="s">
        <v>71</v>
      </c>
      <c r="L2547" s="25" t="s">
        <v>5745</v>
      </c>
      <c r="M2547" s="20" t="s">
        <v>5178</v>
      </c>
      <c r="N2547" s="20" t="s">
        <v>5179</v>
      </c>
      <c r="O2547" s="20" t="s">
        <v>63</v>
      </c>
      <c r="P2547" s="20" t="s">
        <v>52</v>
      </c>
      <c r="Q2547" s="22"/>
      <c r="R2547" s="22"/>
      <c r="S2547" s="22"/>
      <c r="T2547" s="26"/>
      <c r="U2547" s="26"/>
      <c r="V2547" s="26"/>
      <c r="W2547" s="20"/>
      <c r="X2547" s="20"/>
      <c r="Y2547" s="20"/>
      <c r="Z2547" s="20"/>
      <c r="AA2547" s="20"/>
      <c r="AB2547" s="20"/>
      <c r="AC2547" s="20"/>
      <c r="AD2547" s="20"/>
      <c r="AE2547" s="20"/>
    </row>
    <row r="2548">
      <c r="A2548" s="21">
        <v>62.0</v>
      </c>
      <c r="B2548" s="20" t="s">
        <v>2424</v>
      </c>
      <c r="C2548" s="20" t="s">
        <v>5270</v>
      </c>
      <c r="I2548" s="25" t="s">
        <v>3533</v>
      </c>
      <c r="J2548" s="25" t="s">
        <v>5128</v>
      </c>
      <c r="K2548" s="25" t="s">
        <v>71</v>
      </c>
      <c r="L2548" s="25" t="s">
        <v>5755</v>
      </c>
      <c r="M2548" s="20" t="s">
        <v>5181</v>
      </c>
      <c r="N2548" s="20" t="s">
        <v>5182</v>
      </c>
      <c r="O2548" s="20" t="s">
        <v>63</v>
      </c>
      <c r="P2548" s="20" t="s">
        <v>52</v>
      </c>
      <c r="Q2548" s="22"/>
      <c r="R2548" s="22"/>
      <c r="S2548" s="22"/>
      <c r="T2548" s="26"/>
      <c r="U2548" s="26"/>
      <c r="V2548" s="26"/>
      <c r="W2548" s="20"/>
      <c r="X2548" s="20"/>
      <c r="Y2548" s="20"/>
      <c r="Z2548" s="20"/>
      <c r="AA2548" s="20"/>
      <c r="AB2548" s="20"/>
      <c r="AC2548" s="20"/>
      <c r="AD2548" s="20"/>
      <c r="AE2548" s="20"/>
    </row>
    <row r="2549">
      <c r="A2549" s="21">
        <v>62.0</v>
      </c>
      <c r="B2549" s="20" t="s">
        <v>2424</v>
      </c>
      <c r="C2549" s="20" t="s">
        <v>5270</v>
      </c>
      <c r="I2549" s="25" t="s">
        <v>3450</v>
      </c>
      <c r="J2549" s="25" t="s">
        <v>5136</v>
      </c>
      <c r="K2549" s="25" t="s">
        <v>71</v>
      </c>
      <c r="L2549" s="25" t="s">
        <v>5757</v>
      </c>
      <c r="M2549" s="20" t="s">
        <v>5144</v>
      </c>
      <c r="N2549" s="20" t="s">
        <v>5145</v>
      </c>
      <c r="O2549" s="20" t="s">
        <v>63</v>
      </c>
      <c r="P2549" s="20" t="s">
        <v>52</v>
      </c>
      <c r="Q2549" s="22"/>
      <c r="R2549" s="22"/>
      <c r="S2549" s="22"/>
      <c r="T2549" s="26"/>
      <c r="U2549" s="26"/>
      <c r="V2549" s="26"/>
      <c r="W2549" s="20"/>
      <c r="X2549" s="20"/>
      <c r="Y2549" s="20"/>
      <c r="Z2549" s="20"/>
      <c r="AA2549" s="20"/>
      <c r="AB2549" s="20"/>
      <c r="AC2549" s="20"/>
      <c r="AD2549" s="20"/>
      <c r="AE2549" s="20"/>
    </row>
    <row r="2550">
      <c r="A2550" s="21">
        <v>62.0</v>
      </c>
      <c r="B2550" s="20" t="s">
        <v>2424</v>
      </c>
      <c r="C2550" s="20" t="s">
        <v>5270</v>
      </c>
      <c r="I2550" s="25" t="s">
        <v>3464</v>
      </c>
      <c r="J2550" s="25" t="s">
        <v>5128</v>
      </c>
      <c r="K2550" s="25" t="s">
        <v>71</v>
      </c>
      <c r="L2550" s="25" t="s">
        <v>5759</v>
      </c>
      <c r="M2550" s="20" t="s">
        <v>3465</v>
      </c>
      <c r="N2550" s="20" t="s">
        <v>5184</v>
      </c>
      <c r="O2550" s="20" t="s">
        <v>63</v>
      </c>
      <c r="P2550" s="20" t="s">
        <v>52</v>
      </c>
      <c r="Q2550" s="22"/>
      <c r="R2550" s="22"/>
      <c r="S2550" s="22"/>
      <c r="T2550" s="26"/>
      <c r="U2550" s="26"/>
      <c r="V2550" s="26"/>
      <c r="W2550" s="20"/>
      <c r="X2550" s="20"/>
      <c r="Y2550" s="20"/>
      <c r="Z2550" s="20"/>
      <c r="AA2550" s="20"/>
      <c r="AB2550" s="20"/>
      <c r="AC2550" s="20"/>
      <c r="AD2550" s="20"/>
      <c r="AE2550" s="20"/>
    </row>
    <row r="2551">
      <c r="A2551" s="21">
        <v>62.0</v>
      </c>
      <c r="B2551" s="20" t="s">
        <v>2424</v>
      </c>
      <c r="C2551" s="20" t="s">
        <v>5270</v>
      </c>
      <c r="I2551" s="25" t="s">
        <v>2262</v>
      </c>
      <c r="J2551" s="25" t="s">
        <v>5136</v>
      </c>
      <c r="K2551" s="25" t="s">
        <v>71</v>
      </c>
      <c r="L2551" s="25" t="s">
        <v>292</v>
      </c>
      <c r="M2551" s="20" t="s">
        <v>5147</v>
      </c>
      <c r="N2551" s="20" t="s">
        <v>5148</v>
      </c>
      <c r="O2551" s="20" t="s">
        <v>63</v>
      </c>
      <c r="P2551" s="20" t="s">
        <v>52</v>
      </c>
      <c r="Q2551" s="22"/>
      <c r="R2551" s="22"/>
      <c r="S2551" s="22"/>
      <c r="T2551" s="22"/>
      <c r="U2551" s="26"/>
      <c r="V2551" s="26"/>
      <c r="W2551" s="20"/>
      <c r="X2551" s="20"/>
      <c r="Y2551" s="20"/>
      <c r="Z2551" s="20"/>
      <c r="AA2551" s="20"/>
      <c r="AB2551" s="20"/>
      <c r="AC2551" s="20"/>
      <c r="AD2551" s="20"/>
      <c r="AE2551" s="20"/>
    </row>
    <row r="2552">
      <c r="A2552" s="21">
        <v>63.0</v>
      </c>
      <c r="B2552" s="20" t="s">
        <v>3498</v>
      </c>
      <c r="C2552" s="20" t="s">
        <v>5270</v>
      </c>
      <c r="D2552" s="35">
        <v>30.0</v>
      </c>
      <c r="E2552" s="35">
        <v>3.0</v>
      </c>
      <c r="F2552" s="35">
        <v>5.0</v>
      </c>
      <c r="G2552" s="35">
        <v>22.0</v>
      </c>
      <c r="H2552" s="36" t="s">
        <v>5764</v>
      </c>
      <c r="I2552" s="25" t="s">
        <v>3339</v>
      </c>
      <c r="J2552" s="25" t="s">
        <v>5185</v>
      </c>
      <c r="K2552" s="25" t="s">
        <v>57</v>
      </c>
      <c r="L2552" s="25" t="s">
        <v>5766</v>
      </c>
      <c r="M2552" s="20" t="s">
        <v>61</v>
      </c>
      <c r="N2552" s="20" t="s">
        <v>5186</v>
      </c>
      <c r="O2552" s="20" t="s">
        <v>56</v>
      </c>
      <c r="P2552" s="20"/>
      <c r="Q2552" s="22"/>
      <c r="R2552" s="22"/>
      <c r="S2552" s="22"/>
      <c r="T2552" s="26"/>
      <c r="U2552" s="26"/>
      <c r="V2552" s="26"/>
      <c r="W2552" s="20"/>
      <c r="X2552" s="20"/>
      <c r="Y2552" s="20"/>
      <c r="Z2552" s="20"/>
      <c r="AA2552" s="20"/>
      <c r="AB2552" s="20"/>
      <c r="AC2552" s="20"/>
      <c r="AD2552" s="20"/>
      <c r="AE2552" s="20"/>
    </row>
    <row r="2553">
      <c r="A2553" s="21">
        <v>63.0</v>
      </c>
      <c r="B2553" s="20" t="s">
        <v>3498</v>
      </c>
      <c r="C2553" s="20" t="s">
        <v>5270</v>
      </c>
      <c r="I2553" s="25" t="s">
        <v>1884</v>
      </c>
      <c r="J2553" s="25" t="s">
        <v>5185</v>
      </c>
      <c r="K2553" s="25" t="s">
        <v>67</v>
      </c>
      <c r="L2553" s="25" t="s">
        <v>1133</v>
      </c>
      <c r="M2553" s="20" t="s">
        <v>61</v>
      </c>
      <c r="N2553" s="20" t="s">
        <v>5189</v>
      </c>
      <c r="O2553" s="20" t="s">
        <v>56</v>
      </c>
      <c r="P2553" s="20" t="s">
        <v>52</v>
      </c>
      <c r="Q2553" s="22"/>
      <c r="R2553" s="22"/>
      <c r="S2553" s="22"/>
      <c r="T2553" s="22"/>
      <c r="U2553" s="26"/>
      <c r="V2553" s="26"/>
      <c r="W2553" s="20"/>
      <c r="X2553" s="20"/>
      <c r="Y2553" s="20"/>
      <c r="Z2553" s="20"/>
      <c r="AA2553" s="20"/>
      <c r="AB2553" s="20"/>
      <c r="AC2553" s="20"/>
      <c r="AD2553" s="20"/>
      <c r="AE2553" s="20"/>
    </row>
    <row r="2554">
      <c r="A2554" s="21">
        <v>63.0</v>
      </c>
      <c r="B2554" s="20" t="s">
        <v>3498</v>
      </c>
      <c r="C2554" s="20" t="s">
        <v>5270</v>
      </c>
      <c r="I2554" s="25" t="s">
        <v>4934</v>
      </c>
      <c r="J2554" s="25" t="s">
        <v>5185</v>
      </c>
      <c r="K2554" s="25" t="s">
        <v>57</v>
      </c>
      <c r="L2554" s="25" t="s">
        <v>5769</v>
      </c>
      <c r="M2554" s="20" t="s">
        <v>61</v>
      </c>
      <c r="N2554" s="20" t="s">
        <v>5187</v>
      </c>
      <c r="O2554" s="20" t="s">
        <v>56</v>
      </c>
      <c r="P2554" s="20"/>
      <c r="Q2554" s="22"/>
      <c r="R2554" s="22"/>
      <c r="S2554" s="22"/>
      <c r="T2554" s="26"/>
      <c r="U2554" s="26"/>
      <c r="V2554" s="26"/>
      <c r="W2554" s="20"/>
      <c r="X2554" s="20"/>
      <c r="Y2554" s="20"/>
      <c r="Z2554" s="20"/>
      <c r="AA2554" s="20"/>
      <c r="AB2554" s="20"/>
      <c r="AC2554" s="20"/>
      <c r="AD2554" s="20"/>
      <c r="AE2554" s="20"/>
    </row>
    <row r="2555">
      <c r="A2555" s="21">
        <v>63.0</v>
      </c>
      <c r="B2555" s="20" t="s">
        <v>3498</v>
      </c>
      <c r="C2555" s="20" t="s">
        <v>5270</v>
      </c>
      <c r="I2555" s="25" t="s">
        <v>4694</v>
      </c>
      <c r="J2555" s="25" t="s">
        <v>5185</v>
      </c>
      <c r="K2555" s="25" t="s">
        <v>57</v>
      </c>
      <c r="L2555" s="25" t="s">
        <v>5772</v>
      </c>
      <c r="M2555" s="20" t="s">
        <v>61</v>
      </c>
      <c r="N2555" s="20" t="s">
        <v>5188</v>
      </c>
      <c r="O2555" s="20" t="s">
        <v>56</v>
      </c>
      <c r="P2555" s="20"/>
      <c r="Q2555" s="22"/>
      <c r="R2555" s="22"/>
      <c r="S2555" s="22"/>
      <c r="T2555" s="26"/>
      <c r="U2555" s="26"/>
      <c r="V2555" s="26"/>
      <c r="W2555" s="20"/>
      <c r="X2555" s="20"/>
      <c r="Y2555" s="20"/>
      <c r="Z2555" s="20"/>
      <c r="AA2555" s="20"/>
      <c r="AB2555" s="20"/>
      <c r="AC2555" s="20"/>
      <c r="AD2555" s="20"/>
      <c r="AE2555" s="20"/>
    </row>
    <row r="2556">
      <c r="A2556" s="21">
        <v>63.0</v>
      </c>
      <c r="B2556" s="20" t="s">
        <v>3498</v>
      </c>
      <c r="C2556" s="20" t="s">
        <v>5270</v>
      </c>
      <c r="I2556" s="25" t="s">
        <v>2385</v>
      </c>
      <c r="J2556" s="25" t="s">
        <v>5185</v>
      </c>
      <c r="K2556" s="25" t="s">
        <v>67</v>
      </c>
      <c r="L2556" s="25" t="s">
        <v>5776</v>
      </c>
      <c r="M2556" s="20" t="s">
        <v>5190</v>
      </c>
      <c r="N2556" s="20" t="s">
        <v>5191</v>
      </c>
      <c r="O2556" s="20" t="s">
        <v>56</v>
      </c>
      <c r="P2556" s="20"/>
      <c r="Q2556" s="22"/>
      <c r="R2556" s="22"/>
      <c r="S2556" s="22"/>
      <c r="T2556" s="26"/>
      <c r="U2556" s="26"/>
      <c r="V2556" s="26"/>
      <c r="W2556" s="20"/>
      <c r="X2556" s="20"/>
      <c r="Y2556" s="20"/>
      <c r="Z2556" s="20"/>
      <c r="AA2556" s="20"/>
      <c r="AB2556" s="20"/>
      <c r="AC2556" s="20"/>
      <c r="AD2556" s="20"/>
      <c r="AE2556" s="20"/>
    </row>
    <row r="2557">
      <c r="A2557" s="21">
        <v>63.0</v>
      </c>
      <c r="B2557" s="20" t="s">
        <v>3498</v>
      </c>
      <c r="C2557" s="20" t="s">
        <v>5270</v>
      </c>
      <c r="I2557" s="25" t="s">
        <v>1512</v>
      </c>
      <c r="J2557" s="25" t="s">
        <v>5185</v>
      </c>
      <c r="K2557" s="25" t="s">
        <v>67</v>
      </c>
      <c r="L2557" s="25" t="s">
        <v>1133</v>
      </c>
      <c r="M2557" s="20" t="s">
        <v>61</v>
      </c>
      <c r="N2557" s="20" t="s">
        <v>5163</v>
      </c>
      <c r="O2557" s="20" t="s">
        <v>56</v>
      </c>
      <c r="P2557" s="20" t="s">
        <v>52</v>
      </c>
      <c r="Q2557" s="22"/>
      <c r="R2557" s="22"/>
      <c r="S2557" s="22"/>
      <c r="T2557" s="22"/>
      <c r="U2557" s="26"/>
      <c r="V2557" s="26"/>
      <c r="W2557" s="20"/>
      <c r="X2557" s="20"/>
      <c r="Y2557" s="20"/>
      <c r="Z2557" s="20"/>
      <c r="AA2557" s="20"/>
      <c r="AB2557" s="20"/>
      <c r="AC2557" s="20"/>
      <c r="AD2557" s="20"/>
      <c r="AE2557" s="20"/>
    </row>
    <row r="2558">
      <c r="A2558" s="21">
        <v>63.0</v>
      </c>
      <c r="B2558" s="20" t="s">
        <v>3498</v>
      </c>
      <c r="C2558" s="20" t="s">
        <v>5270</v>
      </c>
      <c r="I2558" s="25" t="s">
        <v>2796</v>
      </c>
      <c r="J2558" s="25" t="s">
        <v>5212</v>
      </c>
      <c r="K2558" s="25" t="s">
        <v>71</v>
      </c>
      <c r="L2558" s="25" t="s">
        <v>5781</v>
      </c>
      <c r="M2558" s="20" t="s">
        <v>4691</v>
      </c>
      <c r="N2558" s="20" t="s">
        <v>5213</v>
      </c>
      <c r="O2558" s="20" t="s">
        <v>63</v>
      </c>
      <c r="P2558" s="20"/>
      <c r="Q2558" s="22"/>
      <c r="R2558" s="22"/>
      <c r="S2558" s="22"/>
      <c r="T2558" s="26"/>
      <c r="U2558" s="26"/>
      <c r="V2558" s="26"/>
      <c r="W2558" s="20"/>
      <c r="X2558" s="20"/>
      <c r="Y2558" s="20"/>
      <c r="Z2558" s="20"/>
      <c r="AA2558" s="20"/>
      <c r="AB2558" s="20"/>
      <c r="AC2558" s="20"/>
      <c r="AD2558" s="20"/>
      <c r="AE2558" s="20"/>
    </row>
    <row r="2559">
      <c r="A2559" s="21">
        <v>63.0</v>
      </c>
      <c r="B2559" s="20" t="s">
        <v>3498</v>
      </c>
      <c r="C2559" s="20" t="s">
        <v>5270</v>
      </c>
      <c r="I2559" s="25" t="s">
        <v>2424</v>
      </c>
      <c r="J2559" s="25" t="s">
        <v>5185</v>
      </c>
      <c r="K2559" s="25" t="s">
        <v>67</v>
      </c>
      <c r="L2559" s="25" t="s">
        <v>1133</v>
      </c>
      <c r="M2559" s="20" t="s">
        <v>5192</v>
      </c>
      <c r="N2559" s="20" t="s">
        <v>5193</v>
      </c>
      <c r="O2559" s="20" t="s">
        <v>56</v>
      </c>
      <c r="P2559" s="20" t="s">
        <v>52</v>
      </c>
      <c r="Q2559" s="22"/>
      <c r="R2559" s="22"/>
      <c r="S2559" s="22"/>
      <c r="T2559" s="22"/>
      <c r="U2559" s="26"/>
      <c r="V2559" s="26"/>
      <c r="W2559" s="20"/>
      <c r="X2559" s="20"/>
      <c r="Y2559" s="20"/>
      <c r="Z2559" s="20"/>
      <c r="AA2559" s="20"/>
      <c r="AB2559" s="20"/>
      <c r="AC2559" s="20"/>
      <c r="AD2559" s="20"/>
      <c r="AE2559" s="20"/>
    </row>
    <row r="2560">
      <c r="A2560" s="21">
        <v>63.0</v>
      </c>
      <c r="B2560" s="20" t="s">
        <v>3498</v>
      </c>
      <c r="C2560" s="20" t="s">
        <v>5270</v>
      </c>
      <c r="I2560" s="25" t="s">
        <v>3467</v>
      </c>
      <c r="J2560" s="25" t="s">
        <v>5185</v>
      </c>
      <c r="K2560" s="25" t="s">
        <v>71</v>
      </c>
      <c r="L2560" s="25" t="s">
        <v>3823</v>
      </c>
      <c r="M2560" s="20" t="s">
        <v>3468</v>
      </c>
      <c r="N2560" s="20" t="s">
        <v>5197</v>
      </c>
      <c r="O2560" s="20" t="s">
        <v>56</v>
      </c>
      <c r="P2560" s="20"/>
      <c r="Q2560" s="22"/>
      <c r="R2560" s="22"/>
      <c r="S2560" s="22"/>
      <c r="T2560" s="26"/>
      <c r="U2560" s="26"/>
      <c r="V2560" s="26"/>
      <c r="W2560" s="20"/>
      <c r="X2560" s="20"/>
      <c r="Y2560" s="20"/>
      <c r="Z2560" s="20"/>
      <c r="AA2560" s="20"/>
      <c r="AB2560" s="20"/>
      <c r="AC2560" s="20"/>
      <c r="AD2560" s="20"/>
      <c r="AE2560" s="20"/>
    </row>
    <row r="2561">
      <c r="A2561" s="21">
        <v>63.0</v>
      </c>
      <c r="B2561" s="20" t="s">
        <v>3498</v>
      </c>
      <c r="C2561" s="20" t="s">
        <v>5270</v>
      </c>
      <c r="I2561" s="25" t="s">
        <v>3453</v>
      </c>
      <c r="J2561" s="25" t="s">
        <v>5212</v>
      </c>
      <c r="K2561" s="25" t="s">
        <v>71</v>
      </c>
      <c r="L2561" s="25" t="s">
        <v>3823</v>
      </c>
      <c r="M2561" s="20" t="s">
        <v>61</v>
      </c>
      <c r="N2561" s="20" t="s">
        <v>5027</v>
      </c>
      <c r="O2561" s="20" t="s">
        <v>63</v>
      </c>
      <c r="P2561" s="20"/>
      <c r="Q2561" s="22"/>
      <c r="R2561" s="22"/>
      <c r="S2561" s="22"/>
      <c r="T2561" s="26"/>
      <c r="U2561" s="26"/>
      <c r="V2561" s="26"/>
      <c r="W2561" s="20"/>
      <c r="X2561" s="20"/>
      <c r="Y2561" s="20"/>
      <c r="Z2561" s="20"/>
      <c r="AA2561" s="20"/>
      <c r="AB2561" s="20"/>
      <c r="AC2561" s="20"/>
      <c r="AD2561" s="20"/>
      <c r="AE2561" s="20"/>
    </row>
    <row r="2562">
      <c r="A2562" s="21">
        <v>63.0</v>
      </c>
      <c r="B2562" s="20" t="s">
        <v>3498</v>
      </c>
      <c r="C2562" s="20" t="s">
        <v>5270</v>
      </c>
      <c r="I2562" s="25" t="s">
        <v>2759</v>
      </c>
      <c r="J2562" s="25" t="s">
        <v>5185</v>
      </c>
      <c r="K2562" s="25" t="s">
        <v>71</v>
      </c>
      <c r="L2562" s="25" t="s">
        <v>5713</v>
      </c>
      <c r="M2562" s="20" t="s">
        <v>61</v>
      </c>
      <c r="N2562" s="20" t="s">
        <v>5198</v>
      </c>
      <c r="O2562" s="20" t="s">
        <v>56</v>
      </c>
      <c r="P2562" s="20"/>
      <c r="Q2562" s="22"/>
      <c r="R2562" s="22"/>
      <c r="S2562" s="22"/>
      <c r="T2562" s="26"/>
      <c r="U2562" s="26"/>
      <c r="V2562" s="26"/>
      <c r="W2562" s="20"/>
      <c r="X2562" s="20"/>
      <c r="Y2562" s="20"/>
      <c r="Z2562" s="20"/>
      <c r="AA2562" s="20"/>
      <c r="AB2562" s="20"/>
      <c r="AC2562" s="20"/>
      <c r="AD2562" s="20"/>
      <c r="AE2562" s="20"/>
    </row>
    <row r="2563">
      <c r="A2563" s="21">
        <v>63.0</v>
      </c>
      <c r="B2563" s="20" t="s">
        <v>3498</v>
      </c>
      <c r="C2563" s="20" t="s">
        <v>5270</v>
      </c>
      <c r="I2563" s="25" t="s">
        <v>2804</v>
      </c>
      <c r="J2563" s="25" t="s">
        <v>5185</v>
      </c>
      <c r="K2563" s="25" t="s">
        <v>71</v>
      </c>
      <c r="L2563" s="25" t="s">
        <v>5713</v>
      </c>
      <c r="M2563" s="20" t="s">
        <v>4814</v>
      </c>
      <c r="N2563" s="20" t="s">
        <v>5199</v>
      </c>
      <c r="O2563" s="20" t="s">
        <v>56</v>
      </c>
      <c r="P2563" s="20"/>
      <c r="Q2563" s="22"/>
      <c r="R2563" s="22"/>
      <c r="S2563" s="22"/>
      <c r="T2563" s="26"/>
      <c r="U2563" s="26"/>
      <c r="V2563" s="26"/>
      <c r="W2563" s="20"/>
      <c r="X2563" s="20"/>
      <c r="Y2563" s="20"/>
      <c r="Z2563" s="20"/>
      <c r="AA2563" s="20"/>
      <c r="AB2563" s="20"/>
      <c r="AC2563" s="20"/>
      <c r="AD2563" s="20"/>
      <c r="AE2563" s="20"/>
    </row>
    <row r="2564">
      <c r="A2564" s="21">
        <v>63.0</v>
      </c>
      <c r="B2564" s="20" t="s">
        <v>3498</v>
      </c>
      <c r="C2564" s="20" t="s">
        <v>5270</v>
      </c>
      <c r="I2564" s="25" t="s">
        <v>2793</v>
      </c>
      <c r="J2564" s="25" t="s">
        <v>5185</v>
      </c>
      <c r="K2564" s="25" t="s">
        <v>71</v>
      </c>
      <c r="L2564" s="25" t="s">
        <v>5713</v>
      </c>
      <c r="M2564" s="20" t="s">
        <v>4482</v>
      </c>
      <c r="N2564" s="20" t="s">
        <v>5200</v>
      </c>
      <c r="O2564" s="20" t="s">
        <v>56</v>
      </c>
      <c r="P2564" s="20"/>
      <c r="Q2564" s="22"/>
      <c r="R2564" s="22"/>
      <c r="S2564" s="22"/>
      <c r="T2564" s="26"/>
      <c r="U2564" s="26"/>
      <c r="V2564" s="26"/>
      <c r="W2564" s="20"/>
      <c r="X2564" s="20"/>
      <c r="Y2564" s="20"/>
      <c r="Z2564" s="20"/>
      <c r="AA2564" s="20"/>
      <c r="AB2564" s="20"/>
      <c r="AC2564" s="20"/>
      <c r="AD2564" s="20"/>
      <c r="AE2564" s="20"/>
    </row>
    <row r="2565">
      <c r="A2565" s="21">
        <v>63.0</v>
      </c>
      <c r="B2565" s="20" t="s">
        <v>3498</v>
      </c>
      <c r="C2565" s="20" t="s">
        <v>5270</v>
      </c>
      <c r="I2565" s="25" t="s">
        <v>1174</v>
      </c>
      <c r="J2565" s="25" t="s">
        <v>5212</v>
      </c>
      <c r="K2565" s="25" t="s">
        <v>71</v>
      </c>
      <c r="L2565" s="25" t="s">
        <v>3823</v>
      </c>
      <c r="M2565" s="20" t="s">
        <v>2704</v>
      </c>
      <c r="N2565" s="20" t="s">
        <v>5214</v>
      </c>
      <c r="O2565" s="20" t="s">
        <v>63</v>
      </c>
      <c r="P2565" s="20"/>
      <c r="Q2565" s="22"/>
      <c r="R2565" s="22"/>
      <c r="S2565" s="22"/>
      <c r="T2565" s="26"/>
      <c r="U2565" s="26"/>
      <c r="V2565" s="26"/>
      <c r="W2565" s="20"/>
      <c r="X2565" s="20"/>
      <c r="Y2565" s="20"/>
      <c r="Z2565" s="20"/>
      <c r="AA2565" s="20"/>
      <c r="AB2565" s="20"/>
      <c r="AC2565" s="20"/>
      <c r="AD2565" s="20"/>
      <c r="AE2565" s="20"/>
    </row>
    <row r="2566">
      <c r="A2566" s="21">
        <v>63.0</v>
      </c>
      <c r="B2566" s="20" t="s">
        <v>3498</v>
      </c>
      <c r="C2566" s="20" t="s">
        <v>5270</v>
      </c>
      <c r="I2566" s="25" t="s">
        <v>1159</v>
      </c>
      <c r="J2566" s="25" t="s">
        <v>5185</v>
      </c>
      <c r="K2566" s="25" t="s">
        <v>71</v>
      </c>
      <c r="L2566" s="25" t="s">
        <v>3823</v>
      </c>
      <c r="M2566" s="20" t="s">
        <v>5202</v>
      </c>
      <c r="N2566" s="20" t="s">
        <v>5203</v>
      </c>
      <c r="O2566" s="20" t="s">
        <v>56</v>
      </c>
      <c r="P2566" s="20"/>
      <c r="Q2566" s="22"/>
      <c r="R2566" s="22"/>
      <c r="S2566" s="22"/>
      <c r="T2566" s="26"/>
      <c r="U2566" s="26"/>
      <c r="V2566" s="26"/>
      <c r="W2566" s="20"/>
      <c r="X2566" s="20"/>
      <c r="Y2566" s="20"/>
      <c r="Z2566" s="20"/>
      <c r="AA2566" s="20"/>
      <c r="AB2566" s="20"/>
      <c r="AC2566" s="20"/>
      <c r="AD2566" s="20"/>
      <c r="AE2566" s="20"/>
    </row>
    <row r="2567">
      <c r="A2567" s="21">
        <v>63.0</v>
      </c>
      <c r="B2567" s="20" t="s">
        <v>3498</v>
      </c>
      <c r="C2567" s="20" t="s">
        <v>5270</v>
      </c>
      <c r="I2567" s="25" t="s">
        <v>1714</v>
      </c>
      <c r="J2567" s="25" t="s">
        <v>5212</v>
      </c>
      <c r="K2567" s="25" t="s">
        <v>71</v>
      </c>
      <c r="L2567" s="25" t="s">
        <v>3823</v>
      </c>
      <c r="M2567" s="20" t="s">
        <v>61</v>
      </c>
      <c r="N2567" s="20" t="s">
        <v>5215</v>
      </c>
      <c r="O2567" s="20" t="s">
        <v>63</v>
      </c>
      <c r="P2567" s="20"/>
      <c r="Q2567" s="22"/>
      <c r="R2567" s="22"/>
      <c r="S2567" s="22"/>
      <c r="T2567" s="26"/>
      <c r="U2567" s="26"/>
      <c r="V2567" s="26"/>
      <c r="W2567" s="20"/>
      <c r="X2567" s="20"/>
      <c r="Y2567" s="20"/>
      <c r="Z2567" s="20"/>
      <c r="AA2567" s="20"/>
      <c r="AB2567" s="20"/>
      <c r="AC2567" s="20"/>
      <c r="AD2567" s="20"/>
      <c r="AE2567" s="20"/>
    </row>
    <row r="2568">
      <c r="A2568" s="21">
        <v>63.0</v>
      </c>
      <c r="B2568" s="20" t="s">
        <v>3498</v>
      </c>
      <c r="C2568" s="20" t="s">
        <v>5270</v>
      </c>
      <c r="I2568" s="25" t="s">
        <v>3471</v>
      </c>
      <c r="J2568" s="25" t="s">
        <v>5185</v>
      </c>
      <c r="K2568" s="25" t="s">
        <v>71</v>
      </c>
      <c r="L2568" s="25" t="s">
        <v>3823</v>
      </c>
      <c r="M2568" s="20" t="s">
        <v>5204</v>
      </c>
      <c r="N2568" s="20" t="s">
        <v>5205</v>
      </c>
      <c r="O2568" s="20" t="s">
        <v>56</v>
      </c>
      <c r="P2568" s="20"/>
      <c r="Q2568" s="22"/>
      <c r="R2568" s="22"/>
      <c r="S2568" s="22"/>
      <c r="T2568" s="26"/>
      <c r="U2568" s="26"/>
      <c r="V2568" s="26"/>
      <c r="W2568" s="20"/>
      <c r="X2568" s="20"/>
      <c r="Y2568" s="20"/>
      <c r="Z2568" s="20"/>
      <c r="AA2568" s="20"/>
      <c r="AB2568" s="20"/>
      <c r="AC2568" s="20"/>
      <c r="AD2568" s="20"/>
      <c r="AE2568" s="20"/>
    </row>
    <row r="2569">
      <c r="A2569" s="21">
        <v>63.0</v>
      </c>
      <c r="B2569" s="20" t="s">
        <v>3498</v>
      </c>
      <c r="C2569" s="20" t="s">
        <v>5270</v>
      </c>
      <c r="I2569" s="25" t="s">
        <v>5194</v>
      </c>
      <c r="J2569" s="25" t="s">
        <v>5185</v>
      </c>
      <c r="K2569" s="25" t="s">
        <v>67</v>
      </c>
      <c r="L2569" s="25" t="s">
        <v>1133</v>
      </c>
      <c r="M2569" s="20" t="s">
        <v>5195</v>
      </c>
      <c r="N2569" s="20" t="s">
        <v>5196</v>
      </c>
      <c r="O2569" s="20" t="s">
        <v>56</v>
      </c>
      <c r="P2569" s="20" t="s">
        <v>52</v>
      </c>
      <c r="Q2569" s="22"/>
      <c r="R2569" s="22"/>
      <c r="S2569" s="22"/>
      <c r="T2569" s="22"/>
      <c r="U2569" s="26"/>
      <c r="V2569" s="26"/>
      <c r="W2569" s="20"/>
      <c r="X2569" s="20"/>
      <c r="Y2569" s="20"/>
      <c r="Z2569" s="20"/>
      <c r="AA2569" s="20"/>
      <c r="AB2569" s="20"/>
      <c r="AC2569" s="20"/>
      <c r="AD2569" s="20"/>
      <c r="AE2569" s="20"/>
    </row>
    <row r="2570">
      <c r="A2570" s="21">
        <v>63.0</v>
      </c>
      <c r="B2570" s="20" t="s">
        <v>3498</v>
      </c>
      <c r="C2570" s="20" t="s">
        <v>5270</v>
      </c>
      <c r="I2570" s="25" t="s">
        <v>2262</v>
      </c>
      <c r="J2570" s="25" t="s">
        <v>5212</v>
      </c>
      <c r="K2570" s="25" t="s">
        <v>71</v>
      </c>
      <c r="L2570" s="25" t="s">
        <v>3823</v>
      </c>
      <c r="M2570" s="20" t="s">
        <v>5147</v>
      </c>
      <c r="N2570" s="20" t="s">
        <v>5216</v>
      </c>
      <c r="O2570" s="20" t="s">
        <v>63</v>
      </c>
      <c r="P2570" s="20"/>
      <c r="Q2570" s="22"/>
      <c r="R2570" s="22"/>
      <c r="S2570" s="22"/>
      <c r="T2570" s="26"/>
      <c r="U2570" s="26"/>
      <c r="V2570" s="26"/>
      <c r="W2570" s="20"/>
      <c r="X2570" s="20"/>
      <c r="Y2570" s="20"/>
      <c r="Z2570" s="20"/>
      <c r="AA2570" s="20"/>
      <c r="AB2570" s="20"/>
      <c r="AC2570" s="20"/>
      <c r="AD2570" s="20"/>
      <c r="AE2570" s="20"/>
    </row>
    <row r="2571">
      <c r="A2571" s="21">
        <v>63.0</v>
      </c>
      <c r="B2571" s="20" t="s">
        <v>3498</v>
      </c>
      <c r="C2571" s="20" t="s">
        <v>5270</v>
      </c>
      <c r="I2571" s="25" t="s">
        <v>1665</v>
      </c>
      <c r="J2571" s="25" t="s">
        <v>5212</v>
      </c>
      <c r="K2571" s="25" t="s">
        <v>71</v>
      </c>
      <c r="L2571" s="25" t="s">
        <v>3823</v>
      </c>
      <c r="M2571" s="20" t="s">
        <v>61</v>
      </c>
      <c r="N2571" s="20" t="s">
        <v>5217</v>
      </c>
      <c r="O2571" s="20" t="s">
        <v>63</v>
      </c>
      <c r="P2571" s="20"/>
      <c r="Q2571" s="22"/>
      <c r="R2571" s="22"/>
      <c r="S2571" s="22"/>
      <c r="T2571" s="26"/>
      <c r="U2571" s="26"/>
      <c r="V2571" s="26"/>
      <c r="W2571" s="20"/>
      <c r="X2571" s="20"/>
      <c r="Y2571" s="20"/>
      <c r="Z2571" s="20"/>
      <c r="AA2571" s="20"/>
      <c r="AB2571" s="20"/>
      <c r="AC2571" s="20"/>
      <c r="AD2571" s="20"/>
      <c r="AE2571" s="20"/>
    </row>
    <row r="2572">
      <c r="A2572" s="21">
        <v>63.0</v>
      </c>
      <c r="B2572" s="20" t="s">
        <v>3498</v>
      </c>
      <c r="C2572" s="20" t="s">
        <v>5270</v>
      </c>
      <c r="I2572" s="25" t="s">
        <v>3528</v>
      </c>
      <c r="J2572" s="25" t="s">
        <v>5185</v>
      </c>
      <c r="K2572" s="25" t="s">
        <v>71</v>
      </c>
      <c r="L2572" s="25" t="s">
        <v>3823</v>
      </c>
      <c r="M2572" s="20" t="s">
        <v>3529</v>
      </c>
      <c r="N2572" s="20" t="s">
        <v>5208</v>
      </c>
      <c r="O2572" s="20" t="s">
        <v>63</v>
      </c>
      <c r="P2572" s="20"/>
      <c r="Q2572" s="22"/>
      <c r="R2572" s="22"/>
      <c r="S2572" s="22"/>
      <c r="T2572" s="26"/>
      <c r="U2572" s="26"/>
      <c r="V2572" s="26"/>
      <c r="W2572" s="20"/>
      <c r="X2572" s="20"/>
      <c r="Y2572" s="20"/>
      <c r="Z2572" s="20"/>
      <c r="AA2572" s="20"/>
      <c r="AB2572" s="20"/>
      <c r="AC2572" s="20"/>
      <c r="AD2572" s="20"/>
      <c r="AE2572" s="20"/>
    </row>
    <row r="2573">
      <c r="A2573" s="21">
        <v>63.0</v>
      </c>
      <c r="B2573" s="20" t="s">
        <v>3498</v>
      </c>
      <c r="C2573" s="20" t="s">
        <v>5270</v>
      </c>
      <c r="I2573" s="25" t="s">
        <v>4670</v>
      </c>
      <c r="J2573" s="25" t="s">
        <v>5185</v>
      </c>
      <c r="K2573" s="25" t="s">
        <v>71</v>
      </c>
      <c r="L2573" s="25" t="s">
        <v>5781</v>
      </c>
      <c r="M2573" s="20" t="s">
        <v>61</v>
      </c>
      <c r="N2573" s="20" t="s">
        <v>5209</v>
      </c>
      <c r="O2573" s="20" t="s">
        <v>63</v>
      </c>
      <c r="P2573" s="20"/>
      <c r="Q2573" s="22"/>
      <c r="R2573" s="22"/>
      <c r="S2573" s="22"/>
      <c r="T2573" s="26"/>
      <c r="U2573" s="26"/>
      <c r="V2573" s="26"/>
      <c r="W2573" s="20"/>
      <c r="X2573" s="20"/>
      <c r="Y2573" s="20"/>
      <c r="Z2573" s="20"/>
      <c r="AA2573" s="20"/>
      <c r="AB2573" s="20"/>
      <c r="AC2573" s="20"/>
      <c r="AD2573" s="20"/>
      <c r="AE2573" s="20"/>
    </row>
    <row r="2574">
      <c r="A2574" s="21">
        <v>63.0</v>
      </c>
      <c r="B2574" s="20" t="s">
        <v>3498</v>
      </c>
      <c r="C2574" s="20" t="s">
        <v>5270</v>
      </c>
      <c r="I2574" s="25" t="s">
        <v>1952</v>
      </c>
      <c r="J2574" s="25" t="s">
        <v>5212</v>
      </c>
      <c r="K2574" s="25" t="s">
        <v>71</v>
      </c>
      <c r="L2574" s="25" t="s">
        <v>3823</v>
      </c>
      <c r="M2574" s="20" t="s">
        <v>61</v>
      </c>
      <c r="N2574" s="20" t="s">
        <v>5218</v>
      </c>
      <c r="O2574" s="20" t="s">
        <v>63</v>
      </c>
      <c r="P2574" s="20"/>
      <c r="Q2574" s="22"/>
      <c r="R2574" s="22"/>
      <c r="S2574" s="22"/>
      <c r="T2574" s="26"/>
      <c r="U2574" s="26"/>
      <c r="V2574" s="26"/>
      <c r="W2574" s="20"/>
      <c r="X2574" s="20"/>
      <c r="Y2574" s="20"/>
      <c r="Z2574" s="20"/>
      <c r="AA2574" s="20"/>
      <c r="AB2574" s="20"/>
      <c r="AC2574" s="20"/>
      <c r="AD2574" s="20"/>
      <c r="AE2574" s="20"/>
    </row>
    <row r="2575">
      <c r="A2575" s="21">
        <v>63.0</v>
      </c>
      <c r="B2575" s="20" t="s">
        <v>3498</v>
      </c>
      <c r="C2575" s="20" t="s">
        <v>5270</v>
      </c>
      <c r="I2575" s="25" t="s">
        <v>2657</v>
      </c>
      <c r="J2575" s="25" t="s">
        <v>5212</v>
      </c>
      <c r="K2575" s="25" t="s">
        <v>71</v>
      </c>
      <c r="L2575" s="25" t="s">
        <v>3823</v>
      </c>
      <c r="M2575" s="20" t="s">
        <v>61</v>
      </c>
      <c r="N2575" s="20" t="s">
        <v>5220</v>
      </c>
      <c r="O2575" s="20" t="s">
        <v>63</v>
      </c>
      <c r="P2575" s="20"/>
      <c r="Q2575" s="22"/>
      <c r="R2575" s="22"/>
      <c r="S2575" s="22"/>
      <c r="T2575" s="26"/>
      <c r="U2575" s="26"/>
      <c r="V2575" s="26"/>
      <c r="W2575" s="20"/>
      <c r="X2575" s="20"/>
      <c r="Y2575" s="20"/>
      <c r="Z2575" s="20"/>
      <c r="AA2575" s="20"/>
      <c r="AB2575" s="20"/>
      <c r="AC2575" s="20"/>
      <c r="AD2575" s="20"/>
      <c r="AE2575" s="20"/>
    </row>
    <row r="2576">
      <c r="A2576" s="21">
        <v>63.0</v>
      </c>
      <c r="B2576" s="20" t="s">
        <v>3498</v>
      </c>
      <c r="C2576" s="20" t="s">
        <v>5270</v>
      </c>
      <c r="I2576" s="25" t="s">
        <v>4911</v>
      </c>
      <c r="J2576" s="25" t="s">
        <v>5185</v>
      </c>
      <c r="K2576" s="25" t="s">
        <v>71</v>
      </c>
      <c r="L2576" s="25" t="s">
        <v>3823</v>
      </c>
      <c r="M2576" s="20" t="s">
        <v>5210</v>
      </c>
      <c r="N2576" s="20" t="s">
        <v>5211</v>
      </c>
      <c r="O2576" s="20" t="s">
        <v>63</v>
      </c>
      <c r="P2576" s="20"/>
      <c r="Q2576" s="22"/>
      <c r="R2576" s="22"/>
      <c r="S2576" s="22"/>
      <c r="T2576" s="26"/>
      <c r="U2576" s="26"/>
      <c r="V2576" s="26"/>
      <c r="W2576" s="20"/>
      <c r="X2576" s="20"/>
      <c r="Y2576" s="20"/>
      <c r="Z2576" s="20"/>
      <c r="AA2576" s="20"/>
      <c r="AB2576" s="20"/>
      <c r="AC2576" s="20"/>
      <c r="AD2576" s="20"/>
      <c r="AE2576" s="20"/>
    </row>
    <row r="2577">
      <c r="A2577" s="21">
        <v>63.0</v>
      </c>
      <c r="B2577" s="20" t="s">
        <v>3498</v>
      </c>
      <c r="C2577" s="20" t="s">
        <v>5270</v>
      </c>
      <c r="I2577" s="25" t="s">
        <v>1716</v>
      </c>
      <c r="J2577" s="25" t="s">
        <v>5212</v>
      </c>
      <c r="K2577" s="25" t="s">
        <v>71</v>
      </c>
      <c r="L2577" s="25" t="s">
        <v>3823</v>
      </c>
      <c r="M2577" s="20" t="s">
        <v>61</v>
      </c>
      <c r="N2577" s="20" t="s">
        <v>5222</v>
      </c>
      <c r="O2577" s="20" t="s">
        <v>63</v>
      </c>
      <c r="P2577" s="20"/>
      <c r="Q2577" s="22"/>
      <c r="R2577" s="22"/>
      <c r="S2577" s="22"/>
      <c r="T2577" s="26"/>
      <c r="U2577" s="26"/>
      <c r="V2577" s="26"/>
      <c r="W2577" s="20"/>
      <c r="X2577" s="20"/>
      <c r="Y2577" s="20"/>
      <c r="Z2577" s="20"/>
      <c r="AA2577" s="20"/>
      <c r="AB2577" s="20"/>
      <c r="AC2577" s="20"/>
      <c r="AD2577" s="20"/>
      <c r="AE2577" s="20"/>
    </row>
    <row r="2578">
      <c r="A2578" s="21">
        <v>63.0</v>
      </c>
      <c r="B2578" s="20" t="s">
        <v>3498</v>
      </c>
      <c r="C2578" s="20" t="s">
        <v>5270</v>
      </c>
      <c r="I2578" s="25" t="s">
        <v>1701</v>
      </c>
      <c r="J2578" s="25" t="s">
        <v>5185</v>
      </c>
      <c r="K2578" s="25" t="s">
        <v>71</v>
      </c>
      <c r="L2578" s="25" t="s">
        <v>3823</v>
      </c>
      <c r="M2578" s="20" t="s">
        <v>5206</v>
      </c>
      <c r="N2578" s="20" t="s">
        <v>5207</v>
      </c>
      <c r="O2578" s="20" t="s">
        <v>56</v>
      </c>
      <c r="P2578" s="20"/>
      <c r="Q2578" s="22"/>
      <c r="R2578" s="22"/>
      <c r="S2578" s="22"/>
      <c r="T2578" s="26"/>
      <c r="U2578" s="26"/>
      <c r="V2578" s="26"/>
      <c r="W2578" s="20"/>
      <c r="X2578" s="20"/>
      <c r="Y2578" s="20"/>
      <c r="Z2578" s="20"/>
      <c r="AA2578" s="20"/>
      <c r="AB2578" s="20"/>
      <c r="AC2578" s="20"/>
      <c r="AD2578" s="20"/>
      <c r="AE2578" s="20"/>
    </row>
    <row r="2579">
      <c r="A2579" s="21">
        <v>63.0</v>
      </c>
      <c r="B2579" s="20" t="s">
        <v>3498</v>
      </c>
      <c r="C2579" s="20" t="s">
        <v>5270</v>
      </c>
      <c r="I2579" s="25" t="s">
        <v>1669</v>
      </c>
      <c r="J2579" s="25" t="s">
        <v>5212</v>
      </c>
      <c r="K2579" s="25" t="s">
        <v>71</v>
      </c>
      <c r="L2579" s="25" t="s">
        <v>3823</v>
      </c>
      <c r="M2579" s="20" t="s">
        <v>61</v>
      </c>
      <c r="N2579" s="20" t="s">
        <v>5224</v>
      </c>
      <c r="O2579" s="20" t="s">
        <v>63</v>
      </c>
      <c r="P2579" s="20"/>
      <c r="Q2579" s="22"/>
      <c r="R2579" s="22"/>
      <c r="S2579" s="22"/>
      <c r="T2579" s="26"/>
      <c r="U2579" s="26"/>
      <c r="V2579" s="26"/>
      <c r="W2579" s="20"/>
      <c r="X2579" s="20"/>
      <c r="Y2579" s="20"/>
      <c r="Z2579" s="20"/>
      <c r="AA2579" s="20"/>
      <c r="AB2579" s="20"/>
      <c r="AC2579" s="20"/>
      <c r="AD2579" s="20"/>
      <c r="AE2579" s="20"/>
    </row>
    <row r="2580">
      <c r="A2580" s="21">
        <v>63.0</v>
      </c>
      <c r="B2580" s="20" t="s">
        <v>3498</v>
      </c>
      <c r="C2580" s="20" t="s">
        <v>5270</v>
      </c>
      <c r="I2580" s="25" t="s">
        <v>3450</v>
      </c>
      <c r="J2580" s="25" t="s">
        <v>5212</v>
      </c>
      <c r="K2580" s="25" t="s">
        <v>71</v>
      </c>
      <c r="L2580" s="25" t="s">
        <v>3823</v>
      </c>
      <c r="M2580" s="20" t="s">
        <v>61</v>
      </c>
      <c r="N2580" s="20" t="s">
        <v>5226</v>
      </c>
      <c r="O2580" s="20" t="s">
        <v>63</v>
      </c>
      <c r="P2580" s="20"/>
      <c r="Q2580" s="22"/>
      <c r="R2580" s="22"/>
      <c r="S2580" s="22"/>
      <c r="T2580" s="26"/>
      <c r="U2580" s="26"/>
      <c r="V2580" s="26"/>
      <c r="W2580" s="20"/>
      <c r="X2580" s="20"/>
      <c r="Y2580" s="20"/>
      <c r="Z2580" s="20"/>
      <c r="AA2580" s="20"/>
      <c r="AB2580" s="20"/>
      <c r="AC2580" s="20"/>
      <c r="AD2580" s="20"/>
      <c r="AE2580" s="20"/>
    </row>
    <row r="2581">
      <c r="A2581" s="21">
        <v>63.0</v>
      </c>
      <c r="B2581" s="20" t="s">
        <v>3498</v>
      </c>
      <c r="C2581" s="20" t="s">
        <v>5270</v>
      </c>
      <c r="I2581" s="25" t="s">
        <v>4664</v>
      </c>
      <c r="J2581" s="25" t="s">
        <v>5212</v>
      </c>
      <c r="K2581" s="25" t="s">
        <v>71</v>
      </c>
      <c r="L2581" s="25" t="s">
        <v>3823</v>
      </c>
      <c r="M2581" s="20" t="s">
        <v>5227</v>
      </c>
      <c r="N2581" s="20" t="s">
        <v>5228</v>
      </c>
      <c r="O2581" s="20" t="s">
        <v>63</v>
      </c>
      <c r="P2581" s="20"/>
      <c r="Q2581" s="22"/>
      <c r="R2581" s="22"/>
      <c r="S2581" s="22"/>
      <c r="T2581" s="26"/>
      <c r="U2581" s="26"/>
      <c r="V2581" s="26"/>
      <c r="W2581" s="20"/>
      <c r="X2581" s="20"/>
      <c r="Y2581" s="20"/>
      <c r="Z2581" s="20"/>
      <c r="AA2581" s="20"/>
      <c r="AB2581" s="20"/>
      <c r="AC2581" s="20"/>
      <c r="AD2581" s="20"/>
      <c r="AE2581" s="20"/>
    </row>
    <row r="2582">
      <c r="A2582" s="21">
        <v>64.0</v>
      </c>
      <c r="B2582" s="20" t="s">
        <v>2072</v>
      </c>
      <c r="C2582" s="20" t="s">
        <v>5270</v>
      </c>
      <c r="D2582" s="35">
        <v>30.0</v>
      </c>
      <c r="E2582" s="35">
        <v>5.0</v>
      </c>
      <c r="F2582" s="35">
        <v>4.0</v>
      </c>
      <c r="G2582" s="35">
        <v>21.0</v>
      </c>
      <c r="H2582" s="36" t="s">
        <v>5818</v>
      </c>
      <c r="I2582" s="25" t="s">
        <v>4034</v>
      </c>
      <c r="J2582" s="25" t="s">
        <v>5234</v>
      </c>
      <c r="K2582" s="25" t="s">
        <v>57</v>
      </c>
      <c r="L2582" s="25" t="s">
        <v>5819</v>
      </c>
      <c r="M2582" s="20" t="s">
        <v>5235</v>
      </c>
      <c r="N2582" s="20" t="s">
        <v>5236</v>
      </c>
      <c r="O2582" s="20" t="s">
        <v>56</v>
      </c>
      <c r="P2582" s="20"/>
      <c r="Q2582" s="22"/>
      <c r="R2582" s="22"/>
      <c r="S2582" s="22"/>
      <c r="T2582" s="26"/>
      <c r="U2582" s="26"/>
      <c r="V2582" s="26"/>
      <c r="W2582" s="20"/>
      <c r="X2582" s="20"/>
      <c r="Y2582" s="20"/>
      <c r="Z2582" s="20"/>
      <c r="AA2582" s="20"/>
      <c r="AB2582" s="20"/>
      <c r="AC2582" s="20"/>
      <c r="AD2582" s="20"/>
      <c r="AE2582" s="20"/>
    </row>
    <row r="2583">
      <c r="A2583" s="21">
        <v>64.0</v>
      </c>
      <c r="B2583" s="20" t="s">
        <v>2072</v>
      </c>
      <c r="C2583" s="20" t="s">
        <v>5270</v>
      </c>
      <c r="I2583" s="25" t="s">
        <v>4929</v>
      </c>
      <c r="J2583" s="25" t="s">
        <v>5229</v>
      </c>
      <c r="K2583" s="25" t="s">
        <v>57</v>
      </c>
      <c r="L2583" s="25" t="s">
        <v>5821</v>
      </c>
      <c r="M2583" s="20" t="s">
        <v>61</v>
      </c>
      <c r="N2583" s="20" t="s">
        <v>5231</v>
      </c>
      <c r="O2583" s="20" t="s">
        <v>56</v>
      </c>
      <c r="P2583" s="20"/>
      <c r="Q2583" s="22"/>
      <c r="R2583" s="22"/>
      <c r="S2583" s="22"/>
      <c r="T2583" s="26"/>
      <c r="U2583" s="26"/>
      <c r="V2583" s="26"/>
      <c r="W2583" s="20"/>
      <c r="X2583" s="20"/>
      <c r="Y2583" s="20"/>
      <c r="Z2583" s="20"/>
      <c r="AA2583" s="20"/>
      <c r="AB2583" s="20"/>
      <c r="AC2583" s="20"/>
      <c r="AD2583" s="20"/>
      <c r="AE2583" s="20"/>
    </row>
    <row r="2584">
      <c r="A2584" s="21">
        <v>64.0</v>
      </c>
      <c r="B2584" s="20" t="s">
        <v>2072</v>
      </c>
      <c r="C2584" s="20" t="s">
        <v>5270</v>
      </c>
      <c r="I2584" s="25" t="s">
        <v>1487</v>
      </c>
      <c r="J2584" s="25" t="s">
        <v>5229</v>
      </c>
      <c r="K2584" s="25" t="s">
        <v>57</v>
      </c>
      <c r="L2584" s="25" t="s">
        <v>5822</v>
      </c>
      <c r="M2584" s="20" t="s">
        <v>61</v>
      </c>
      <c r="N2584" s="20" t="s">
        <v>5232</v>
      </c>
      <c r="O2584" s="20" t="s">
        <v>56</v>
      </c>
      <c r="P2584" s="20"/>
      <c r="Q2584" s="22"/>
      <c r="R2584" s="22"/>
      <c r="S2584" s="22"/>
      <c r="T2584" s="26"/>
      <c r="U2584" s="26"/>
      <c r="V2584" s="26"/>
      <c r="W2584" s="20"/>
      <c r="X2584" s="20"/>
      <c r="Y2584" s="20"/>
      <c r="Z2584" s="20"/>
      <c r="AA2584" s="20"/>
      <c r="AB2584" s="20"/>
      <c r="AC2584" s="20"/>
      <c r="AD2584" s="20"/>
      <c r="AE2584" s="20"/>
    </row>
    <row r="2585">
      <c r="A2585" s="21">
        <v>64.0</v>
      </c>
      <c r="B2585" s="20" t="s">
        <v>2072</v>
      </c>
      <c r="C2585" s="20" t="s">
        <v>5270</v>
      </c>
      <c r="I2585" s="25" t="s">
        <v>2039</v>
      </c>
      <c r="J2585" s="25" t="s">
        <v>5229</v>
      </c>
      <c r="K2585" s="25" t="s">
        <v>57</v>
      </c>
      <c r="L2585" s="25" t="s">
        <v>5824</v>
      </c>
      <c r="M2585" s="20" t="s">
        <v>2040</v>
      </c>
      <c r="N2585" s="20" t="s">
        <v>5233</v>
      </c>
      <c r="O2585" s="20" t="s">
        <v>56</v>
      </c>
      <c r="P2585" s="20"/>
      <c r="Q2585" s="22"/>
      <c r="R2585" s="22"/>
      <c r="S2585" s="22"/>
      <c r="T2585" s="26"/>
      <c r="U2585" s="26"/>
      <c r="V2585" s="26"/>
      <c r="W2585" s="20"/>
      <c r="X2585" s="20"/>
      <c r="Y2585" s="20"/>
      <c r="Z2585" s="20"/>
      <c r="AA2585" s="20"/>
      <c r="AB2585" s="20"/>
      <c r="AC2585" s="20"/>
      <c r="AD2585" s="20"/>
      <c r="AE2585" s="20"/>
    </row>
    <row r="2586">
      <c r="A2586" s="21">
        <v>64.0</v>
      </c>
      <c r="B2586" s="20" t="s">
        <v>2072</v>
      </c>
      <c r="C2586" s="20" t="s">
        <v>5270</v>
      </c>
      <c r="I2586" s="25" t="s">
        <v>4688</v>
      </c>
      <c r="J2586" s="25" t="s">
        <v>5229</v>
      </c>
      <c r="K2586" s="25" t="s">
        <v>57</v>
      </c>
      <c r="L2586" s="25" t="s">
        <v>5827</v>
      </c>
      <c r="M2586" s="20" t="s">
        <v>5237</v>
      </c>
      <c r="N2586" s="20" t="s">
        <v>5238</v>
      </c>
      <c r="O2586" s="20" t="s">
        <v>63</v>
      </c>
      <c r="P2586" s="20"/>
      <c r="Q2586" s="22"/>
      <c r="R2586" s="22"/>
      <c r="S2586" s="22"/>
      <c r="T2586" s="26"/>
      <c r="U2586" s="26"/>
      <c r="V2586" s="26"/>
      <c r="W2586" s="20"/>
      <c r="X2586" s="20"/>
      <c r="Y2586" s="20"/>
      <c r="Z2586" s="20"/>
      <c r="AA2586" s="20"/>
      <c r="AB2586" s="20"/>
      <c r="AC2586" s="20"/>
      <c r="AD2586" s="20"/>
      <c r="AE2586" s="20"/>
    </row>
    <row r="2587">
      <c r="A2587" s="21">
        <v>64.0</v>
      </c>
      <c r="B2587" s="20" t="s">
        <v>2072</v>
      </c>
      <c r="C2587" s="20" t="s">
        <v>5270</v>
      </c>
      <c r="I2587" s="25" t="s">
        <v>2417</v>
      </c>
      <c r="J2587" s="25" t="s">
        <v>5229</v>
      </c>
      <c r="K2587" s="25" t="s">
        <v>67</v>
      </c>
      <c r="L2587" s="25" t="s">
        <v>1025</v>
      </c>
      <c r="M2587" s="20" t="s">
        <v>3696</v>
      </c>
      <c r="N2587" s="20" t="s">
        <v>5239</v>
      </c>
      <c r="O2587" s="20" t="s">
        <v>56</v>
      </c>
      <c r="P2587" s="20" t="s">
        <v>52</v>
      </c>
      <c r="Q2587" s="22"/>
      <c r="R2587" s="22"/>
      <c r="S2587" s="22"/>
      <c r="T2587" s="22"/>
      <c r="U2587" s="26"/>
      <c r="V2587" s="26"/>
      <c r="W2587" s="20"/>
      <c r="X2587" s="20"/>
      <c r="Y2587" s="20"/>
      <c r="Z2587" s="20"/>
      <c r="AA2587" s="20"/>
      <c r="AB2587" s="20"/>
      <c r="AC2587" s="20"/>
      <c r="AD2587" s="20"/>
      <c r="AE2587" s="20"/>
    </row>
    <row r="2588">
      <c r="A2588" s="21">
        <v>64.0</v>
      </c>
      <c r="B2588" s="20" t="s">
        <v>2072</v>
      </c>
      <c r="C2588" s="20" t="s">
        <v>5270</v>
      </c>
      <c r="I2588" s="25" t="s">
        <v>953</v>
      </c>
      <c r="J2588" s="25" t="s">
        <v>5229</v>
      </c>
      <c r="K2588" s="25" t="s">
        <v>71</v>
      </c>
      <c r="L2588" s="25" t="s">
        <v>5828</v>
      </c>
      <c r="M2588" s="20" t="s">
        <v>5247</v>
      </c>
      <c r="N2588" s="20" t="s">
        <v>5248</v>
      </c>
      <c r="O2588" s="20" t="s">
        <v>63</v>
      </c>
      <c r="P2588" s="20"/>
      <c r="Q2588" s="22"/>
      <c r="R2588" s="22"/>
      <c r="S2588" s="22"/>
      <c r="T2588" s="26"/>
      <c r="U2588" s="26"/>
      <c r="V2588" s="26"/>
      <c r="W2588" s="20"/>
      <c r="X2588" s="20"/>
      <c r="Y2588" s="20"/>
      <c r="Z2588" s="20"/>
      <c r="AA2588" s="20"/>
      <c r="AB2588" s="20"/>
      <c r="AC2588" s="20"/>
      <c r="AD2588" s="20"/>
      <c r="AE2588" s="20"/>
    </row>
    <row r="2589">
      <c r="A2589" s="21">
        <v>64.0</v>
      </c>
      <c r="B2589" s="20" t="s">
        <v>2072</v>
      </c>
      <c r="C2589" s="20" t="s">
        <v>5270</v>
      </c>
      <c r="I2589" s="25" t="s">
        <v>5094</v>
      </c>
      <c r="J2589" s="25" t="s">
        <v>5229</v>
      </c>
      <c r="K2589" s="25" t="s">
        <v>71</v>
      </c>
      <c r="L2589" s="25" t="s">
        <v>5829</v>
      </c>
      <c r="M2589" s="20" t="s">
        <v>5249</v>
      </c>
      <c r="N2589" s="20" t="s">
        <v>5250</v>
      </c>
      <c r="O2589" s="20" t="s">
        <v>63</v>
      </c>
      <c r="P2589" s="20"/>
      <c r="Q2589" s="22"/>
      <c r="R2589" s="22"/>
      <c r="S2589" s="22"/>
      <c r="T2589" s="26"/>
      <c r="U2589" s="26"/>
      <c r="V2589" s="26"/>
      <c r="W2589" s="20"/>
      <c r="X2589" s="20"/>
      <c r="Y2589" s="20"/>
      <c r="Z2589" s="20"/>
      <c r="AA2589" s="20"/>
      <c r="AB2589" s="20"/>
      <c r="AC2589" s="20"/>
      <c r="AD2589" s="20"/>
      <c r="AE2589" s="20"/>
    </row>
    <row r="2590">
      <c r="A2590" s="21">
        <v>64.0</v>
      </c>
      <c r="B2590" s="20" t="s">
        <v>2072</v>
      </c>
      <c r="C2590" s="20" t="s">
        <v>5270</v>
      </c>
      <c r="I2590" s="25" t="s">
        <v>3533</v>
      </c>
      <c r="J2590" s="25" t="s">
        <v>5229</v>
      </c>
      <c r="K2590" s="25" t="s">
        <v>67</v>
      </c>
      <c r="L2590" s="25" t="s">
        <v>1025</v>
      </c>
      <c r="M2590" s="20" t="s">
        <v>61</v>
      </c>
      <c r="N2590" s="20" t="s">
        <v>5240</v>
      </c>
      <c r="O2590" s="20" t="s">
        <v>56</v>
      </c>
      <c r="P2590" s="20" t="s">
        <v>52</v>
      </c>
      <c r="Q2590" s="22"/>
      <c r="R2590" s="22"/>
      <c r="S2590" s="22"/>
      <c r="T2590" s="22"/>
      <c r="U2590" s="26"/>
      <c r="V2590" s="26"/>
      <c r="W2590" s="20"/>
      <c r="X2590" s="20"/>
      <c r="Y2590" s="20"/>
      <c r="Z2590" s="20"/>
      <c r="AA2590" s="20"/>
      <c r="AB2590" s="20"/>
      <c r="AC2590" s="20"/>
      <c r="AD2590" s="20"/>
      <c r="AE2590" s="20"/>
    </row>
    <row r="2591">
      <c r="A2591" s="21">
        <v>64.0</v>
      </c>
      <c r="B2591" s="20" t="s">
        <v>2072</v>
      </c>
      <c r="C2591" s="20" t="s">
        <v>5270</v>
      </c>
      <c r="I2591" s="25" t="s">
        <v>1555</v>
      </c>
      <c r="J2591" s="25" t="s">
        <v>5229</v>
      </c>
      <c r="K2591" s="25" t="s">
        <v>67</v>
      </c>
      <c r="L2591" s="25" t="s">
        <v>1025</v>
      </c>
      <c r="M2591" s="20" t="s">
        <v>5241</v>
      </c>
      <c r="N2591" s="20" t="s">
        <v>5242</v>
      </c>
      <c r="O2591" s="20" t="s">
        <v>56</v>
      </c>
      <c r="P2591" s="20" t="s">
        <v>52</v>
      </c>
      <c r="Q2591" s="22"/>
      <c r="R2591" s="22"/>
      <c r="S2591" s="22"/>
      <c r="T2591" s="22"/>
      <c r="U2591" s="26"/>
      <c r="V2591" s="26"/>
      <c r="W2591" s="20"/>
      <c r="X2591" s="20"/>
      <c r="Y2591" s="20"/>
      <c r="Z2591" s="20"/>
      <c r="AA2591" s="20"/>
      <c r="AB2591" s="20"/>
      <c r="AC2591" s="20"/>
      <c r="AD2591" s="20"/>
      <c r="AE2591" s="20"/>
    </row>
    <row r="2592">
      <c r="A2592" s="21">
        <v>64.0</v>
      </c>
      <c r="B2592" s="20" t="s">
        <v>2072</v>
      </c>
      <c r="C2592" s="20" t="s">
        <v>5270</v>
      </c>
      <c r="I2592" s="25" t="s">
        <v>1171</v>
      </c>
      <c r="J2592" s="25" t="s">
        <v>5229</v>
      </c>
      <c r="K2592" s="25" t="s">
        <v>71</v>
      </c>
      <c r="L2592" s="25" t="s">
        <v>5830</v>
      </c>
      <c r="M2592" s="20" t="s">
        <v>2028</v>
      </c>
      <c r="N2592" s="20" t="s">
        <v>5251</v>
      </c>
      <c r="O2592" s="20" t="s">
        <v>63</v>
      </c>
      <c r="P2592" s="20"/>
      <c r="Q2592" s="22"/>
      <c r="R2592" s="22"/>
      <c r="S2592" s="22"/>
      <c r="T2592" s="26"/>
      <c r="U2592" s="26"/>
      <c r="V2592" s="26"/>
      <c r="W2592" s="20"/>
      <c r="X2592" s="20"/>
      <c r="Y2592" s="20"/>
      <c r="Z2592" s="20"/>
      <c r="AA2592" s="20"/>
      <c r="AB2592" s="20"/>
      <c r="AC2592" s="20"/>
      <c r="AD2592" s="20"/>
      <c r="AE2592" s="20"/>
    </row>
    <row r="2593">
      <c r="A2593" s="21">
        <v>64.0</v>
      </c>
      <c r="B2593" s="20" t="s">
        <v>2072</v>
      </c>
      <c r="C2593" s="20" t="s">
        <v>5270</v>
      </c>
      <c r="I2593" s="25" t="s">
        <v>1946</v>
      </c>
      <c r="J2593" s="25" t="s">
        <v>5229</v>
      </c>
      <c r="K2593" s="25" t="s">
        <v>67</v>
      </c>
      <c r="L2593" s="25" t="s">
        <v>1025</v>
      </c>
      <c r="M2593" s="20" t="s">
        <v>5243</v>
      </c>
      <c r="N2593" s="20" t="s">
        <v>5244</v>
      </c>
      <c r="O2593" s="20" t="s">
        <v>56</v>
      </c>
      <c r="P2593" s="20" t="s">
        <v>52</v>
      </c>
      <c r="Q2593" s="22"/>
      <c r="R2593" s="22"/>
      <c r="S2593" s="22"/>
      <c r="T2593" s="22"/>
      <c r="U2593" s="26"/>
      <c r="V2593" s="26"/>
      <c r="W2593" s="20"/>
      <c r="X2593" s="20"/>
      <c r="Y2593" s="20"/>
      <c r="Z2593" s="20"/>
      <c r="AA2593" s="20"/>
      <c r="AB2593" s="20"/>
      <c r="AC2593" s="20"/>
      <c r="AD2593" s="20"/>
      <c r="AE2593" s="20"/>
    </row>
    <row r="2594">
      <c r="A2594" s="21">
        <v>64.0</v>
      </c>
      <c r="B2594" s="20" t="s">
        <v>2072</v>
      </c>
      <c r="C2594" s="20" t="s">
        <v>5270</v>
      </c>
      <c r="I2594" s="25" t="s">
        <v>530</v>
      </c>
      <c r="J2594" s="25" t="s">
        <v>5234</v>
      </c>
      <c r="K2594" s="25" t="s">
        <v>71</v>
      </c>
      <c r="L2594" s="25" t="s">
        <v>5828</v>
      </c>
      <c r="M2594" s="20" t="s">
        <v>4309</v>
      </c>
      <c r="N2594" s="20" t="s">
        <v>5265</v>
      </c>
      <c r="O2594" s="20" t="s">
        <v>63</v>
      </c>
      <c r="P2594" s="20"/>
      <c r="Q2594" s="22"/>
      <c r="R2594" s="22"/>
      <c r="S2594" s="22"/>
      <c r="T2594" s="26"/>
      <c r="U2594" s="26"/>
      <c r="V2594" s="26"/>
      <c r="W2594" s="20"/>
      <c r="X2594" s="20"/>
      <c r="Y2594" s="20"/>
      <c r="Z2594" s="20"/>
      <c r="AA2594" s="20"/>
      <c r="AB2594" s="20"/>
      <c r="AC2594" s="20"/>
      <c r="AD2594" s="20"/>
      <c r="AE2594" s="20"/>
    </row>
    <row r="2595">
      <c r="A2595" s="21">
        <v>64.0</v>
      </c>
      <c r="B2595" s="20" t="s">
        <v>2072</v>
      </c>
      <c r="C2595" s="20" t="s">
        <v>5270</v>
      </c>
      <c r="I2595" s="25" t="s">
        <v>2520</v>
      </c>
      <c r="J2595" s="25" t="s">
        <v>5229</v>
      </c>
      <c r="K2595" s="25" t="s">
        <v>71</v>
      </c>
      <c r="L2595" s="25" t="s">
        <v>292</v>
      </c>
      <c r="M2595" s="20" t="s">
        <v>3331</v>
      </c>
      <c r="N2595" s="20" t="s">
        <v>5252</v>
      </c>
      <c r="O2595" s="20" t="s">
        <v>63</v>
      </c>
      <c r="P2595" s="20" t="s">
        <v>52</v>
      </c>
      <c r="Q2595" s="22"/>
      <c r="R2595" s="22"/>
      <c r="S2595" s="22"/>
      <c r="T2595" s="22"/>
      <c r="U2595" s="26"/>
      <c r="V2595" s="26"/>
      <c r="W2595" s="20"/>
      <c r="X2595" s="20"/>
      <c r="Y2595" s="20"/>
      <c r="Z2595" s="20"/>
      <c r="AA2595" s="20"/>
      <c r="AB2595" s="20"/>
      <c r="AC2595" s="20"/>
      <c r="AD2595" s="20"/>
      <c r="AE2595" s="20"/>
    </row>
    <row r="2596">
      <c r="A2596" s="21">
        <v>64.0</v>
      </c>
      <c r="B2596" s="20" t="s">
        <v>2072</v>
      </c>
      <c r="C2596" s="20" t="s">
        <v>5270</v>
      </c>
      <c r="I2596" s="25" t="s">
        <v>1484</v>
      </c>
      <c r="J2596" s="25" t="s">
        <v>5229</v>
      </c>
      <c r="K2596" s="25" t="s">
        <v>71</v>
      </c>
      <c r="L2596" s="25" t="s">
        <v>5828</v>
      </c>
      <c r="M2596" s="20" t="s">
        <v>1485</v>
      </c>
      <c r="N2596" s="20" t="s">
        <v>5253</v>
      </c>
      <c r="O2596" s="20" t="s">
        <v>63</v>
      </c>
      <c r="P2596" s="20"/>
      <c r="Q2596" s="22"/>
      <c r="R2596" s="22"/>
      <c r="S2596" s="22"/>
      <c r="T2596" s="26"/>
      <c r="U2596" s="26"/>
      <c r="V2596" s="26"/>
      <c r="W2596" s="20"/>
      <c r="X2596" s="20"/>
      <c r="Y2596" s="20"/>
      <c r="Z2596" s="20"/>
      <c r="AA2596" s="20"/>
      <c r="AB2596" s="20"/>
      <c r="AC2596" s="20"/>
      <c r="AD2596" s="20"/>
      <c r="AE2596" s="20"/>
    </row>
    <row r="2597">
      <c r="A2597" s="21">
        <v>64.0</v>
      </c>
      <c r="B2597" s="20" t="s">
        <v>2072</v>
      </c>
      <c r="C2597" s="20" t="s">
        <v>5270</v>
      </c>
      <c r="I2597" s="25" t="s">
        <v>4944</v>
      </c>
      <c r="J2597" s="25" t="s">
        <v>5229</v>
      </c>
      <c r="K2597" s="25" t="s">
        <v>71</v>
      </c>
      <c r="L2597" s="25" t="s">
        <v>5828</v>
      </c>
      <c r="M2597" s="20" t="s">
        <v>5254</v>
      </c>
      <c r="N2597" s="20" t="s">
        <v>5255</v>
      </c>
      <c r="O2597" s="20" t="s">
        <v>63</v>
      </c>
      <c r="P2597" s="20"/>
      <c r="Q2597" s="22"/>
      <c r="R2597" s="22"/>
      <c r="S2597" s="22"/>
      <c r="T2597" s="26"/>
      <c r="U2597" s="26"/>
      <c r="V2597" s="26"/>
      <c r="W2597" s="20"/>
      <c r="X2597" s="20"/>
      <c r="Y2597" s="20"/>
      <c r="Z2597" s="20"/>
      <c r="AA2597" s="20"/>
      <c r="AB2597" s="20"/>
      <c r="AC2597" s="20"/>
      <c r="AD2597" s="20"/>
      <c r="AE2597" s="20"/>
    </row>
    <row r="2598">
      <c r="A2598" s="21">
        <v>64.0</v>
      </c>
      <c r="B2598" s="20" t="s">
        <v>2072</v>
      </c>
      <c r="C2598" s="20" t="s">
        <v>5270</v>
      </c>
      <c r="I2598" s="25" t="s">
        <v>5002</v>
      </c>
      <c r="J2598" s="25" t="s">
        <v>5234</v>
      </c>
      <c r="K2598" s="25" t="s">
        <v>71</v>
      </c>
      <c r="L2598" s="25" t="s">
        <v>5828</v>
      </c>
      <c r="M2598" s="20" t="s">
        <v>5266</v>
      </c>
      <c r="N2598" s="20" t="s">
        <v>5267</v>
      </c>
      <c r="O2598" s="20" t="s">
        <v>63</v>
      </c>
      <c r="P2598" s="20"/>
      <c r="Q2598" s="22"/>
      <c r="R2598" s="22"/>
      <c r="S2598" s="22"/>
      <c r="T2598" s="26"/>
      <c r="U2598" s="26"/>
      <c r="V2598" s="26"/>
      <c r="W2598" s="20"/>
      <c r="X2598" s="20"/>
      <c r="Y2598" s="20"/>
      <c r="Z2598" s="20"/>
      <c r="AA2598" s="20"/>
      <c r="AB2598" s="20"/>
      <c r="AC2598" s="20"/>
      <c r="AD2598" s="20"/>
      <c r="AE2598" s="20"/>
    </row>
    <row r="2599">
      <c r="A2599" s="21">
        <v>64.0</v>
      </c>
      <c r="B2599" s="20" t="s">
        <v>2072</v>
      </c>
      <c r="C2599" s="20" t="s">
        <v>5270</v>
      </c>
      <c r="I2599" s="25" t="s">
        <v>1677</v>
      </c>
      <c r="J2599" s="25" t="s">
        <v>5234</v>
      </c>
      <c r="K2599" s="25" t="s">
        <v>71</v>
      </c>
      <c r="L2599" s="25" t="s">
        <v>292</v>
      </c>
      <c r="M2599" s="20" t="s">
        <v>5268</v>
      </c>
      <c r="N2599" s="20" t="s">
        <v>5269</v>
      </c>
      <c r="O2599" s="20" t="s">
        <v>63</v>
      </c>
      <c r="P2599" s="20" t="s">
        <v>52</v>
      </c>
      <c r="Q2599" s="22"/>
      <c r="R2599" s="22"/>
      <c r="S2599" s="22"/>
      <c r="T2599" s="22"/>
      <c r="U2599" s="26"/>
      <c r="V2599" s="26"/>
      <c r="W2599" s="20"/>
      <c r="X2599" s="20"/>
      <c r="Y2599" s="20"/>
      <c r="Z2599" s="20"/>
      <c r="AA2599" s="20"/>
      <c r="AB2599" s="20"/>
      <c r="AC2599" s="20"/>
      <c r="AD2599" s="20"/>
      <c r="AE2599" s="20"/>
    </row>
    <row r="2600">
      <c r="A2600" s="21">
        <v>64.0</v>
      </c>
      <c r="B2600" s="20" t="s">
        <v>2072</v>
      </c>
      <c r="C2600" s="20" t="s">
        <v>5270</v>
      </c>
      <c r="I2600" s="25" t="s">
        <v>888</v>
      </c>
      <c r="J2600" s="25" t="s">
        <v>5229</v>
      </c>
      <c r="K2600" s="25" t="s">
        <v>71</v>
      </c>
      <c r="L2600" s="25" t="s">
        <v>5828</v>
      </c>
      <c r="M2600" s="20" t="s">
        <v>5256</v>
      </c>
      <c r="N2600" s="20" t="s">
        <v>5257</v>
      </c>
      <c r="O2600" s="20" t="s">
        <v>63</v>
      </c>
      <c r="P2600" s="20"/>
      <c r="Q2600" s="22"/>
      <c r="R2600" s="22"/>
      <c r="S2600" s="22"/>
      <c r="T2600" s="26"/>
      <c r="U2600" s="26"/>
      <c r="V2600" s="26"/>
      <c r="W2600" s="20"/>
      <c r="X2600" s="20"/>
      <c r="Y2600" s="20"/>
      <c r="Z2600" s="20"/>
      <c r="AA2600" s="20"/>
      <c r="AB2600" s="20"/>
      <c r="AC2600" s="20"/>
      <c r="AD2600" s="20"/>
      <c r="AE2600" s="20"/>
    </row>
    <row r="2601">
      <c r="A2601" s="21">
        <v>64.0</v>
      </c>
      <c r="B2601" s="20" t="s">
        <v>2072</v>
      </c>
      <c r="C2601" s="20" t="s">
        <v>5270</v>
      </c>
      <c r="I2601" s="25" t="s">
        <v>1716</v>
      </c>
      <c r="J2601" s="25" t="s">
        <v>5229</v>
      </c>
      <c r="K2601" s="25" t="s">
        <v>71</v>
      </c>
      <c r="L2601" s="25" t="s">
        <v>292</v>
      </c>
      <c r="M2601" s="20" t="s">
        <v>61</v>
      </c>
      <c r="N2601" s="20" t="s">
        <v>3516</v>
      </c>
      <c r="O2601" s="20" t="s">
        <v>63</v>
      </c>
      <c r="P2601" s="20" t="s">
        <v>52</v>
      </c>
      <c r="Q2601" s="22"/>
      <c r="R2601" s="22"/>
      <c r="S2601" s="22"/>
      <c r="T2601" s="22"/>
      <c r="U2601" s="26"/>
      <c r="V2601" s="26"/>
      <c r="W2601" s="20"/>
      <c r="X2601" s="20"/>
      <c r="Y2601" s="20"/>
      <c r="Z2601" s="20"/>
      <c r="AA2601" s="20"/>
      <c r="AB2601" s="20"/>
      <c r="AC2601" s="20"/>
      <c r="AD2601" s="20"/>
      <c r="AE2601" s="20"/>
    </row>
    <row r="2602">
      <c r="A2602" s="21">
        <v>64.0</v>
      </c>
      <c r="B2602" s="20" t="s">
        <v>2072</v>
      </c>
      <c r="C2602" s="20" t="s">
        <v>5270</v>
      </c>
      <c r="I2602" s="25" t="s">
        <v>1356</v>
      </c>
      <c r="J2602" s="25" t="s">
        <v>5229</v>
      </c>
      <c r="K2602" s="25" t="s">
        <v>71</v>
      </c>
      <c r="L2602" s="25" t="s">
        <v>2501</v>
      </c>
      <c r="M2602" s="20" t="s">
        <v>61</v>
      </c>
      <c r="N2602" s="20" t="s">
        <v>5258</v>
      </c>
      <c r="O2602" s="20" t="s">
        <v>63</v>
      </c>
      <c r="P2602" s="20"/>
      <c r="Q2602" s="22"/>
      <c r="R2602" s="22"/>
      <c r="S2602" s="22"/>
      <c r="T2602" s="26"/>
      <c r="U2602" s="26"/>
      <c r="V2602" s="26"/>
      <c r="W2602" s="20"/>
      <c r="X2602" s="20"/>
      <c r="Y2602" s="20"/>
      <c r="Z2602" s="20"/>
      <c r="AA2602" s="20"/>
      <c r="AB2602" s="20"/>
      <c r="AC2602" s="20"/>
      <c r="AD2602" s="20"/>
      <c r="AE2602" s="20"/>
    </row>
    <row r="2603">
      <c r="A2603" s="21">
        <v>64.0</v>
      </c>
      <c r="B2603" s="20" t="s">
        <v>2072</v>
      </c>
      <c r="C2603" s="20" t="s">
        <v>5270</v>
      </c>
      <c r="I2603" s="25" t="s">
        <v>4701</v>
      </c>
      <c r="J2603" s="25" t="s">
        <v>5229</v>
      </c>
      <c r="K2603" s="25" t="s">
        <v>71</v>
      </c>
      <c r="L2603" s="25" t="s">
        <v>5829</v>
      </c>
      <c r="M2603" s="20" t="s">
        <v>5259</v>
      </c>
      <c r="N2603" s="20" t="s">
        <v>5260</v>
      </c>
      <c r="O2603" s="20" t="s">
        <v>63</v>
      </c>
      <c r="P2603" s="20"/>
      <c r="Q2603" s="22"/>
      <c r="R2603" s="22"/>
      <c r="S2603" s="22"/>
      <c r="T2603" s="26"/>
      <c r="U2603" s="26"/>
      <c r="V2603" s="26"/>
      <c r="W2603" s="20"/>
      <c r="X2603" s="20"/>
      <c r="Y2603" s="20"/>
      <c r="Z2603" s="20"/>
      <c r="AA2603" s="20"/>
      <c r="AB2603" s="20"/>
      <c r="AC2603" s="20"/>
      <c r="AD2603" s="20"/>
      <c r="AE2603" s="20"/>
    </row>
    <row r="2604">
      <c r="A2604" s="21">
        <v>64.0</v>
      </c>
      <c r="B2604" s="20" t="s">
        <v>2072</v>
      </c>
      <c r="C2604" s="20" t="s">
        <v>5270</v>
      </c>
      <c r="I2604" s="25" t="s">
        <v>1402</v>
      </c>
      <c r="J2604" s="25" t="s">
        <v>5229</v>
      </c>
      <c r="K2604" s="25" t="s">
        <v>71</v>
      </c>
      <c r="L2604" s="25" t="s">
        <v>5837</v>
      </c>
      <c r="M2604" s="20" t="s">
        <v>61</v>
      </c>
      <c r="N2604" s="20" t="s">
        <v>5245</v>
      </c>
      <c r="O2604" s="20" t="s">
        <v>56</v>
      </c>
      <c r="P2604" s="20"/>
      <c r="Q2604" s="22"/>
      <c r="R2604" s="22"/>
      <c r="S2604" s="22"/>
      <c r="T2604" s="26"/>
      <c r="U2604" s="26"/>
      <c r="V2604" s="26"/>
      <c r="W2604" s="20"/>
      <c r="X2604" s="20"/>
      <c r="Y2604" s="20"/>
      <c r="Z2604" s="20"/>
      <c r="AA2604" s="20"/>
      <c r="AB2604" s="20"/>
      <c r="AC2604" s="20"/>
      <c r="AD2604" s="20"/>
      <c r="AE2604" s="20"/>
    </row>
    <row r="2605">
      <c r="A2605" s="21">
        <v>64.0</v>
      </c>
      <c r="B2605" s="20" t="s">
        <v>2072</v>
      </c>
      <c r="C2605" s="20" t="s">
        <v>5270</v>
      </c>
      <c r="I2605" s="25" t="s">
        <v>1335</v>
      </c>
      <c r="J2605" s="25" t="s">
        <v>5234</v>
      </c>
      <c r="K2605" s="25" t="s">
        <v>71</v>
      </c>
      <c r="L2605" s="25" t="s">
        <v>292</v>
      </c>
      <c r="M2605" s="20" t="s">
        <v>4007</v>
      </c>
      <c r="N2605" s="20" t="s">
        <v>4008</v>
      </c>
      <c r="O2605" s="20" t="s">
        <v>63</v>
      </c>
      <c r="P2605" s="20" t="s">
        <v>52</v>
      </c>
      <c r="Q2605" s="22"/>
      <c r="R2605" s="22"/>
      <c r="S2605" s="22"/>
      <c r="T2605" s="22"/>
      <c r="U2605" s="26"/>
      <c r="V2605" s="26"/>
      <c r="W2605" s="20"/>
      <c r="X2605" s="20"/>
      <c r="Y2605" s="20"/>
      <c r="Z2605" s="20"/>
      <c r="AA2605" s="20"/>
      <c r="AB2605" s="20"/>
      <c r="AC2605" s="20"/>
      <c r="AD2605" s="20"/>
      <c r="AE2605" s="20"/>
    </row>
    <row r="2606">
      <c r="A2606" s="21">
        <v>64.0</v>
      </c>
      <c r="B2606" s="20" t="s">
        <v>2072</v>
      </c>
      <c r="C2606" s="20" t="s">
        <v>5270</v>
      </c>
      <c r="I2606" s="25" t="s">
        <v>3436</v>
      </c>
      <c r="J2606" s="25" t="s">
        <v>5229</v>
      </c>
      <c r="K2606" s="25" t="s">
        <v>71</v>
      </c>
      <c r="L2606" s="25" t="s">
        <v>5838</v>
      </c>
      <c r="M2606" s="20" t="s">
        <v>5261</v>
      </c>
      <c r="N2606" s="20" t="s">
        <v>5262</v>
      </c>
      <c r="O2606" s="20" t="s">
        <v>63</v>
      </c>
      <c r="P2606" s="20"/>
      <c r="Q2606" s="22"/>
      <c r="R2606" s="22"/>
      <c r="S2606" s="22"/>
      <c r="T2606" s="26"/>
      <c r="U2606" s="26"/>
      <c r="V2606" s="26"/>
      <c r="W2606" s="20"/>
      <c r="X2606" s="20"/>
      <c r="Y2606" s="20"/>
      <c r="Z2606" s="20"/>
      <c r="AA2606" s="20"/>
      <c r="AB2606" s="20"/>
      <c r="AC2606" s="20"/>
      <c r="AD2606" s="20"/>
      <c r="AE2606" s="20"/>
    </row>
    <row r="2607">
      <c r="A2607" s="21">
        <v>64.0</v>
      </c>
      <c r="B2607" s="20" t="s">
        <v>2072</v>
      </c>
      <c r="C2607" s="20" t="s">
        <v>5270</v>
      </c>
      <c r="I2607" s="25" t="s">
        <v>2042</v>
      </c>
      <c r="J2607" s="25" t="s">
        <v>5234</v>
      </c>
      <c r="K2607" s="25" t="s">
        <v>71</v>
      </c>
      <c r="L2607" s="25" t="s">
        <v>5840</v>
      </c>
      <c r="M2607" s="20" t="s">
        <v>61</v>
      </c>
      <c r="N2607" s="20" t="s">
        <v>5246</v>
      </c>
      <c r="O2607" s="20" t="s">
        <v>56</v>
      </c>
      <c r="P2607" s="20"/>
      <c r="Q2607" s="22"/>
      <c r="R2607" s="22"/>
      <c r="S2607" s="22"/>
      <c r="T2607" s="26"/>
      <c r="U2607" s="26"/>
      <c r="V2607" s="26"/>
      <c r="W2607" s="20"/>
      <c r="X2607" s="20"/>
      <c r="Y2607" s="20"/>
      <c r="Z2607" s="20"/>
      <c r="AA2607" s="20"/>
      <c r="AB2607" s="20"/>
      <c r="AC2607" s="20"/>
      <c r="AD2607" s="20"/>
      <c r="AE2607" s="20"/>
    </row>
    <row r="2608">
      <c r="A2608" s="21">
        <v>64.0</v>
      </c>
      <c r="B2608" s="20" t="s">
        <v>2072</v>
      </c>
      <c r="C2608" s="20" t="s">
        <v>5270</v>
      </c>
      <c r="I2608" s="25" t="s">
        <v>2657</v>
      </c>
      <c r="J2608" s="25" t="s">
        <v>5229</v>
      </c>
      <c r="K2608" s="25" t="s">
        <v>71</v>
      </c>
      <c r="L2608" s="25" t="s">
        <v>292</v>
      </c>
      <c r="M2608" s="20" t="s">
        <v>3711</v>
      </c>
      <c r="N2608" s="20" t="s">
        <v>5263</v>
      </c>
      <c r="O2608" s="20" t="s">
        <v>63</v>
      </c>
      <c r="P2608" s="20" t="s">
        <v>52</v>
      </c>
      <c r="Q2608" s="22"/>
      <c r="R2608" s="22"/>
      <c r="S2608" s="22"/>
      <c r="T2608" s="22"/>
      <c r="U2608" s="26"/>
      <c r="V2608" s="26"/>
      <c r="W2608" s="20"/>
      <c r="X2608" s="20"/>
      <c r="Y2608" s="20"/>
      <c r="Z2608" s="20"/>
      <c r="AA2608" s="20"/>
      <c r="AB2608" s="20"/>
      <c r="AC2608" s="20"/>
      <c r="AD2608" s="20"/>
      <c r="AE2608" s="20"/>
    </row>
    <row r="2609">
      <c r="A2609" s="21">
        <v>64.0</v>
      </c>
      <c r="B2609" s="20" t="s">
        <v>2072</v>
      </c>
      <c r="C2609" s="20" t="s">
        <v>5270</v>
      </c>
      <c r="I2609" s="25" t="s">
        <v>1574</v>
      </c>
      <c r="J2609" s="25" t="s">
        <v>5229</v>
      </c>
      <c r="K2609" s="25" t="s">
        <v>71</v>
      </c>
      <c r="L2609" s="25" t="s">
        <v>292</v>
      </c>
      <c r="M2609" s="20" t="s">
        <v>4775</v>
      </c>
      <c r="N2609" s="20" t="s">
        <v>5264</v>
      </c>
      <c r="O2609" s="20" t="s">
        <v>63</v>
      </c>
      <c r="P2609" s="20" t="s">
        <v>52</v>
      </c>
      <c r="Q2609" s="22"/>
      <c r="R2609" s="22"/>
      <c r="S2609" s="22"/>
      <c r="T2609" s="22"/>
      <c r="U2609" s="26"/>
      <c r="V2609" s="26"/>
      <c r="W2609" s="20"/>
      <c r="X2609" s="20"/>
      <c r="Y2609" s="20"/>
      <c r="Z2609" s="20"/>
      <c r="AA2609" s="20"/>
      <c r="AB2609" s="20"/>
      <c r="AC2609" s="20"/>
      <c r="AD2609" s="20"/>
      <c r="AE2609" s="20"/>
    </row>
    <row r="2610">
      <c r="A2610" s="21">
        <v>64.0</v>
      </c>
      <c r="B2610" s="20" t="s">
        <v>2072</v>
      </c>
      <c r="C2610" s="20" t="s">
        <v>5270</v>
      </c>
      <c r="I2610" s="25" t="s">
        <v>1119</v>
      </c>
      <c r="J2610" s="25" t="s">
        <v>5229</v>
      </c>
      <c r="K2610" s="25" t="s">
        <v>71</v>
      </c>
      <c r="L2610" s="25" t="s">
        <v>292</v>
      </c>
      <c r="M2610" s="20" t="s">
        <v>1915</v>
      </c>
      <c r="N2610" s="20" t="s">
        <v>1916</v>
      </c>
      <c r="O2610" s="20" t="s">
        <v>63</v>
      </c>
      <c r="P2610" s="20" t="s">
        <v>52</v>
      </c>
      <c r="Q2610" s="22"/>
      <c r="R2610" s="22"/>
      <c r="S2610" s="22"/>
      <c r="T2610" s="22"/>
      <c r="U2610" s="26"/>
      <c r="V2610" s="26"/>
      <c r="W2610" s="20"/>
      <c r="X2610" s="20"/>
      <c r="Y2610" s="20"/>
      <c r="Z2610" s="20"/>
      <c r="AA2610" s="20"/>
      <c r="AB2610" s="20"/>
      <c r="AC2610" s="20"/>
      <c r="AD2610" s="20"/>
      <c r="AE2610" s="20"/>
    </row>
    <row r="2611">
      <c r="A2611" s="21">
        <v>64.0</v>
      </c>
      <c r="B2611" s="20" t="s">
        <v>2072</v>
      </c>
      <c r="C2611" s="20" t="s">
        <v>5270</v>
      </c>
      <c r="I2611" s="25" t="s">
        <v>3861</v>
      </c>
      <c r="J2611" s="25" t="s">
        <v>5234</v>
      </c>
      <c r="K2611" s="25" t="s">
        <v>71</v>
      </c>
      <c r="L2611" s="25" t="s">
        <v>5828</v>
      </c>
      <c r="M2611" s="20" t="s">
        <v>3862</v>
      </c>
      <c r="N2611" s="20" t="s">
        <v>5271</v>
      </c>
      <c r="O2611" s="20" t="s">
        <v>63</v>
      </c>
      <c r="P2611" s="20"/>
      <c r="Q2611" s="22"/>
      <c r="R2611" s="22"/>
      <c r="S2611" s="22"/>
      <c r="T2611" s="26"/>
      <c r="U2611" s="26"/>
      <c r="V2611" s="26"/>
      <c r="W2611" s="20"/>
      <c r="X2611" s="20"/>
      <c r="Y2611" s="20"/>
      <c r="Z2611" s="20"/>
      <c r="AA2611" s="20"/>
      <c r="AB2611" s="20"/>
      <c r="AC2611" s="20"/>
      <c r="AD2611" s="20"/>
      <c r="AE2611" s="20"/>
    </row>
    <row r="2612">
      <c r="A2612" s="21">
        <v>65.0</v>
      </c>
      <c r="B2612" s="20" t="s">
        <v>4911</v>
      </c>
      <c r="C2612" s="20" t="s">
        <v>5270</v>
      </c>
      <c r="D2612" s="35">
        <v>30.0</v>
      </c>
      <c r="E2612" s="35">
        <v>4.0</v>
      </c>
      <c r="F2612" s="35">
        <v>1.0</v>
      </c>
      <c r="G2612" s="35">
        <v>25.0</v>
      </c>
      <c r="H2612" s="36" t="s">
        <v>5841</v>
      </c>
      <c r="I2612" s="25" t="s">
        <v>3471</v>
      </c>
      <c r="J2612" s="25" t="s">
        <v>5272</v>
      </c>
      <c r="K2612" s="25" t="s">
        <v>57</v>
      </c>
      <c r="L2612" s="25" t="s">
        <v>5842</v>
      </c>
      <c r="M2612" s="20" t="s">
        <v>3731</v>
      </c>
      <c r="N2612" s="20" t="s">
        <v>5274</v>
      </c>
      <c r="O2612" s="20" t="s">
        <v>63</v>
      </c>
      <c r="P2612" s="20"/>
      <c r="Q2612" s="22"/>
      <c r="R2612" s="22"/>
      <c r="S2612" s="22"/>
      <c r="T2612" s="26"/>
      <c r="U2612" s="26"/>
      <c r="V2612" s="26"/>
      <c r="W2612" s="20"/>
      <c r="X2612" s="20"/>
      <c r="Y2612" s="20"/>
      <c r="Z2612" s="20"/>
      <c r="AA2612" s="20"/>
      <c r="AB2612" s="20"/>
      <c r="AC2612" s="20"/>
      <c r="AD2612" s="20"/>
      <c r="AE2612" s="20"/>
    </row>
    <row r="2613">
      <c r="A2613" s="21">
        <v>65.0</v>
      </c>
      <c r="B2613" s="20" t="s">
        <v>4911</v>
      </c>
      <c r="C2613" s="20" t="s">
        <v>5270</v>
      </c>
      <c r="I2613" s="25" t="s">
        <v>1255</v>
      </c>
      <c r="J2613" s="25" t="s">
        <v>5278</v>
      </c>
      <c r="K2613" s="25" t="s">
        <v>67</v>
      </c>
      <c r="L2613" s="25" t="s">
        <v>1133</v>
      </c>
      <c r="M2613" s="20" t="s">
        <v>1256</v>
      </c>
      <c r="N2613" s="20" t="s">
        <v>5280</v>
      </c>
      <c r="O2613" s="20" t="s">
        <v>56</v>
      </c>
      <c r="P2613" s="20" t="s">
        <v>52</v>
      </c>
      <c r="Q2613" s="22"/>
      <c r="R2613" s="22"/>
      <c r="S2613" s="22"/>
      <c r="T2613" s="22"/>
      <c r="U2613" s="26"/>
      <c r="V2613" s="26"/>
      <c r="W2613" s="20"/>
      <c r="X2613" s="20"/>
      <c r="Y2613" s="20"/>
      <c r="Z2613" s="20"/>
      <c r="AA2613" s="20"/>
      <c r="AB2613" s="20"/>
      <c r="AC2613" s="20"/>
      <c r="AD2613" s="20"/>
      <c r="AE2613" s="20"/>
    </row>
    <row r="2614">
      <c r="A2614" s="21">
        <v>65.0</v>
      </c>
      <c r="B2614" s="20" t="s">
        <v>4911</v>
      </c>
      <c r="C2614" s="20" t="s">
        <v>5270</v>
      </c>
      <c r="I2614" s="25" t="s">
        <v>1677</v>
      </c>
      <c r="J2614" s="25" t="s">
        <v>5272</v>
      </c>
      <c r="K2614" s="25" t="s">
        <v>57</v>
      </c>
      <c r="L2614" s="25" t="s">
        <v>5843</v>
      </c>
      <c r="M2614" s="20" t="s">
        <v>61</v>
      </c>
      <c r="N2614" s="20" t="s">
        <v>5275</v>
      </c>
      <c r="O2614" s="20" t="s">
        <v>63</v>
      </c>
      <c r="P2614" s="20"/>
      <c r="Q2614" s="22"/>
      <c r="R2614" s="22"/>
      <c r="S2614" s="22"/>
      <c r="T2614" s="26"/>
      <c r="U2614" s="26"/>
      <c r="V2614" s="26"/>
      <c r="W2614" s="20"/>
      <c r="X2614" s="20"/>
      <c r="Y2614" s="20"/>
      <c r="Z2614" s="20"/>
      <c r="AA2614" s="20"/>
      <c r="AB2614" s="20"/>
      <c r="AC2614" s="20"/>
      <c r="AD2614" s="20"/>
      <c r="AE2614" s="20"/>
    </row>
    <row r="2615">
      <c r="A2615" s="21">
        <v>65.0</v>
      </c>
      <c r="B2615" s="20" t="s">
        <v>4911</v>
      </c>
      <c r="C2615" s="20" t="s">
        <v>5270</v>
      </c>
      <c r="I2615" s="25" t="s">
        <v>2262</v>
      </c>
      <c r="J2615" s="25" t="s">
        <v>5272</v>
      </c>
      <c r="K2615" s="25" t="s">
        <v>57</v>
      </c>
      <c r="L2615" s="25" t="s">
        <v>5844</v>
      </c>
      <c r="M2615" s="20" t="s">
        <v>5147</v>
      </c>
      <c r="N2615" s="20" t="s">
        <v>5277</v>
      </c>
      <c r="O2615" s="20" t="s">
        <v>63</v>
      </c>
      <c r="P2615" s="20"/>
      <c r="Q2615" s="22"/>
      <c r="R2615" s="22"/>
      <c r="S2615" s="22"/>
      <c r="T2615" s="26"/>
      <c r="U2615" s="26"/>
      <c r="V2615" s="26"/>
      <c r="W2615" s="20"/>
      <c r="X2615" s="20"/>
      <c r="Y2615" s="20"/>
      <c r="Z2615" s="20"/>
      <c r="AA2615" s="20"/>
      <c r="AB2615" s="20"/>
      <c r="AC2615" s="20"/>
      <c r="AD2615" s="20"/>
      <c r="AE2615" s="20"/>
    </row>
    <row r="2616">
      <c r="A2616" s="21">
        <v>65.0</v>
      </c>
      <c r="B2616" s="20" t="s">
        <v>4911</v>
      </c>
      <c r="C2616" s="20" t="s">
        <v>5270</v>
      </c>
      <c r="I2616" s="25" t="s">
        <v>1669</v>
      </c>
      <c r="J2616" s="25" t="s">
        <v>5278</v>
      </c>
      <c r="K2616" s="25" t="s">
        <v>57</v>
      </c>
      <c r="L2616" s="25" t="s">
        <v>5845</v>
      </c>
      <c r="M2616" s="20" t="s">
        <v>61</v>
      </c>
      <c r="N2616" s="20" t="s">
        <v>5279</v>
      </c>
      <c r="O2616" s="20" t="s">
        <v>63</v>
      </c>
      <c r="P2616" s="20"/>
      <c r="Q2616" s="22"/>
      <c r="R2616" s="22"/>
      <c r="S2616" s="22"/>
      <c r="T2616" s="26"/>
      <c r="U2616" s="26"/>
      <c r="V2616" s="26"/>
      <c r="W2616" s="20"/>
      <c r="X2616" s="20"/>
      <c r="Y2616" s="20"/>
      <c r="Z2616" s="20"/>
      <c r="AA2616" s="20"/>
      <c r="AB2616" s="20"/>
      <c r="AC2616" s="20"/>
      <c r="AD2616" s="20"/>
      <c r="AE2616" s="20"/>
    </row>
    <row r="2617">
      <c r="A2617" s="21">
        <v>65.0</v>
      </c>
      <c r="B2617" s="20" t="s">
        <v>4911</v>
      </c>
      <c r="C2617" s="20" t="s">
        <v>5270</v>
      </c>
      <c r="I2617" s="25" t="s">
        <v>836</v>
      </c>
      <c r="J2617" s="25" t="s">
        <v>5278</v>
      </c>
      <c r="K2617" s="25" t="s">
        <v>71</v>
      </c>
      <c r="L2617" s="25" t="s">
        <v>5847</v>
      </c>
      <c r="M2617" s="20" t="s">
        <v>5308</v>
      </c>
      <c r="N2617" s="20" t="s">
        <v>5309</v>
      </c>
      <c r="O2617" s="20" t="s">
        <v>63</v>
      </c>
      <c r="P2617" s="20"/>
      <c r="Q2617" s="22"/>
      <c r="R2617" s="22"/>
      <c r="S2617" s="22"/>
      <c r="T2617" s="26"/>
      <c r="U2617" s="26"/>
      <c r="V2617" s="26"/>
      <c r="W2617" s="20"/>
      <c r="X2617" s="20"/>
      <c r="Y2617" s="20"/>
      <c r="Z2617" s="20"/>
      <c r="AA2617" s="20"/>
      <c r="AB2617" s="20"/>
      <c r="AC2617" s="20"/>
      <c r="AD2617" s="20"/>
      <c r="AE2617" s="20"/>
    </row>
    <row r="2618">
      <c r="A2618" s="21">
        <v>65.0</v>
      </c>
      <c r="B2618" s="20" t="s">
        <v>4911</v>
      </c>
      <c r="C2618" s="20" t="s">
        <v>5270</v>
      </c>
      <c r="I2618" s="25" t="s">
        <v>2657</v>
      </c>
      <c r="J2618" s="25" t="s">
        <v>5272</v>
      </c>
      <c r="K2618" s="25" t="s">
        <v>71</v>
      </c>
      <c r="L2618" s="25" t="s">
        <v>292</v>
      </c>
      <c r="M2618" s="20" t="s">
        <v>5281</v>
      </c>
      <c r="N2618" s="20" t="s">
        <v>5282</v>
      </c>
      <c r="O2618" s="20" t="s">
        <v>63</v>
      </c>
      <c r="P2618" s="20" t="s">
        <v>52</v>
      </c>
      <c r="Q2618" s="22"/>
      <c r="R2618" s="22"/>
      <c r="S2618" s="22"/>
      <c r="T2618" s="22"/>
      <c r="U2618" s="26"/>
      <c r="V2618" s="26"/>
      <c r="W2618" s="20"/>
      <c r="X2618" s="20"/>
      <c r="Y2618" s="20"/>
      <c r="Z2618" s="20"/>
      <c r="AA2618" s="20"/>
      <c r="AB2618" s="20"/>
      <c r="AC2618" s="20"/>
      <c r="AD2618" s="20"/>
      <c r="AE2618" s="20"/>
    </row>
    <row r="2619">
      <c r="A2619" s="21">
        <v>65.0</v>
      </c>
      <c r="B2619" s="20" t="s">
        <v>4911</v>
      </c>
      <c r="C2619" s="20" t="s">
        <v>5270</v>
      </c>
      <c r="I2619" s="25" t="s">
        <v>4526</v>
      </c>
      <c r="J2619" s="25" t="s">
        <v>5278</v>
      </c>
      <c r="K2619" s="25" t="s">
        <v>71</v>
      </c>
      <c r="L2619" s="25" t="s">
        <v>292</v>
      </c>
      <c r="M2619" s="20" t="s">
        <v>4527</v>
      </c>
      <c r="N2619" s="20" t="s">
        <v>5310</v>
      </c>
      <c r="O2619" s="20" t="s">
        <v>63</v>
      </c>
      <c r="P2619" s="20" t="s">
        <v>52</v>
      </c>
      <c r="Q2619" s="22"/>
      <c r="R2619" s="22"/>
      <c r="S2619" s="22"/>
      <c r="T2619" s="22"/>
      <c r="U2619" s="26"/>
      <c r="V2619" s="26"/>
      <c r="W2619" s="20"/>
      <c r="X2619" s="20"/>
      <c r="Y2619" s="20"/>
      <c r="Z2619" s="20"/>
      <c r="AA2619" s="20"/>
      <c r="AB2619" s="20"/>
      <c r="AC2619" s="20"/>
      <c r="AD2619" s="20"/>
      <c r="AE2619" s="20"/>
    </row>
    <row r="2620">
      <c r="A2620" s="21">
        <v>65.0</v>
      </c>
      <c r="B2620" s="20" t="s">
        <v>4911</v>
      </c>
      <c r="C2620" s="20" t="s">
        <v>5270</v>
      </c>
      <c r="I2620" s="25" t="s">
        <v>3450</v>
      </c>
      <c r="J2620" s="25" t="s">
        <v>5272</v>
      </c>
      <c r="K2620" s="25" t="s">
        <v>71</v>
      </c>
      <c r="L2620" s="25" t="s">
        <v>292</v>
      </c>
      <c r="M2620" s="20" t="s">
        <v>3451</v>
      </c>
      <c r="N2620" s="20" t="s">
        <v>5284</v>
      </c>
      <c r="O2620" s="20" t="s">
        <v>63</v>
      </c>
      <c r="P2620" s="20" t="s">
        <v>52</v>
      </c>
      <c r="Q2620" s="22"/>
      <c r="R2620" s="22"/>
      <c r="S2620" s="22"/>
      <c r="T2620" s="22"/>
      <c r="U2620" s="26"/>
      <c r="V2620" s="26"/>
      <c r="W2620" s="20"/>
      <c r="X2620" s="20"/>
      <c r="Y2620" s="20"/>
      <c r="Z2620" s="20"/>
      <c r="AA2620" s="20"/>
      <c r="AB2620" s="20"/>
      <c r="AC2620" s="20"/>
      <c r="AD2620" s="20"/>
      <c r="AE2620" s="20"/>
    </row>
    <row r="2621">
      <c r="A2621" s="21">
        <v>65.0</v>
      </c>
      <c r="B2621" s="20" t="s">
        <v>4911</v>
      </c>
      <c r="C2621" s="20" t="s">
        <v>5270</v>
      </c>
      <c r="I2621" s="25" t="s">
        <v>3533</v>
      </c>
      <c r="J2621" s="25" t="s">
        <v>5272</v>
      </c>
      <c r="K2621" s="25" t="s">
        <v>71</v>
      </c>
      <c r="L2621" s="25" t="s">
        <v>292</v>
      </c>
      <c r="M2621" s="20" t="s">
        <v>5286</v>
      </c>
      <c r="N2621" s="20" t="s">
        <v>5287</v>
      </c>
      <c r="O2621" s="20" t="s">
        <v>63</v>
      </c>
      <c r="P2621" s="20" t="s">
        <v>52</v>
      </c>
      <c r="Q2621" s="22"/>
      <c r="R2621" s="22"/>
      <c r="S2621" s="22"/>
      <c r="T2621" s="22"/>
      <c r="U2621" s="26"/>
      <c r="V2621" s="26"/>
      <c r="W2621" s="20"/>
      <c r="X2621" s="20"/>
      <c r="Y2621" s="20"/>
      <c r="Z2621" s="20"/>
      <c r="AA2621" s="20"/>
      <c r="AB2621" s="20"/>
      <c r="AC2621" s="20"/>
      <c r="AD2621" s="20"/>
      <c r="AE2621" s="20"/>
    </row>
    <row r="2622">
      <c r="A2622" s="21">
        <v>65.0</v>
      </c>
      <c r="B2622" s="20" t="s">
        <v>4911</v>
      </c>
      <c r="C2622" s="20" t="s">
        <v>5270</v>
      </c>
      <c r="I2622" s="25" t="s">
        <v>3474</v>
      </c>
      <c r="J2622" s="25" t="s">
        <v>5272</v>
      </c>
      <c r="K2622" s="25" t="s">
        <v>71</v>
      </c>
      <c r="L2622" s="25" t="s">
        <v>292</v>
      </c>
      <c r="M2622" s="20" t="s">
        <v>5288</v>
      </c>
      <c r="N2622" s="20" t="s">
        <v>5289</v>
      </c>
      <c r="O2622" s="20" t="s">
        <v>63</v>
      </c>
      <c r="P2622" s="20" t="s">
        <v>52</v>
      </c>
      <c r="Q2622" s="22"/>
      <c r="R2622" s="22"/>
      <c r="S2622" s="22"/>
      <c r="T2622" s="22"/>
      <c r="U2622" s="26"/>
      <c r="V2622" s="26"/>
      <c r="W2622" s="20"/>
      <c r="X2622" s="20"/>
      <c r="Y2622" s="20"/>
      <c r="Z2622" s="20"/>
      <c r="AA2622" s="20"/>
      <c r="AB2622" s="20"/>
      <c r="AC2622" s="20"/>
      <c r="AD2622" s="20"/>
      <c r="AE2622" s="20"/>
    </row>
    <row r="2623">
      <c r="A2623" s="21">
        <v>65.0</v>
      </c>
      <c r="B2623" s="20" t="s">
        <v>4911</v>
      </c>
      <c r="C2623" s="20" t="s">
        <v>5270</v>
      </c>
      <c r="I2623" s="25" t="s">
        <v>2385</v>
      </c>
      <c r="J2623" s="25" t="s">
        <v>5272</v>
      </c>
      <c r="K2623" s="25" t="s">
        <v>71</v>
      </c>
      <c r="L2623" s="25" t="s">
        <v>5850</v>
      </c>
      <c r="M2623" s="20" t="s">
        <v>5190</v>
      </c>
      <c r="N2623" s="20" t="s">
        <v>5290</v>
      </c>
      <c r="O2623" s="20" t="s">
        <v>63</v>
      </c>
      <c r="P2623" s="20"/>
      <c r="Q2623" s="22"/>
      <c r="R2623" s="22"/>
      <c r="S2623" s="22"/>
      <c r="T2623" s="26"/>
      <c r="U2623" s="26"/>
      <c r="V2623" s="26"/>
      <c r="W2623" s="20"/>
      <c r="X2623" s="20"/>
      <c r="Y2623" s="20"/>
      <c r="Z2623" s="20"/>
      <c r="AA2623" s="20"/>
      <c r="AB2623" s="20"/>
      <c r="AC2623" s="20"/>
      <c r="AD2623" s="20"/>
      <c r="AE2623" s="20"/>
    </row>
    <row r="2624">
      <c r="A2624" s="21">
        <v>65.0</v>
      </c>
      <c r="B2624" s="20" t="s">
        <v>4911</v>
      </c>
      <c r="C2624" s="20" t="s">
        <v>5270</v>
      </c>
      <c r="I2624" s="25" t="s">
        <v>1714</v>
      </c>
      <c r="J2624" s="25" t="s">
        <v>5272</v>
      </c>
      <c r="K2624" s="25" t="s">
        <v>71</v>
      </c>
      <c r="L2624" s="25" t="s">
        <v>292</v>
      </c>
      <c r="M2624" s="20" t="s">
        <v>4467</v>
      </c>
      <c r="N2624" s="20" t="s">
        <v>5291</v>
      </c>
      <c r="O2624" s="20" t="s">
        <v>63</v>
      </c>
      <c r="P2624" s="20" t="s">
        <v>52</v>
      </c>
      <c r="Q2624" s="22"/>
      <c r="R2624" s="22"/>
      <c r="S2624" s="22"/>
      <c r="T2624" s="22"/>
      <c r="U2624" s="26"/>
      <c r="V2624" s="26"/>
      <c r="W2624" s="20"/>
      <c r="X2624" s="20"/>
      <c r="Y2624" s="20"/>
      <c r="Z2624" s="20"/>
      <c r="AA2624" s="20"/>
      <c r="AB2624" s="20"/>
      <c r="AC2624" s="20"/>
      <c r="AD2624" s="20"/>
      <c r="AE2624" s="20"/>
    </row>
    <row r="2625">
      <c r="A2625" s="21">
        <v>65.0</v>
      </c>
      <c r="B2625" s="20" t="s">
        <v>4911</v>
      </c>
      <c r="C2625" s="20" t="s">
        <v>5270</v>
      </c>
      <c r="I2625" s="25" t="s">
        <v>4934</v>
      </c>
      <c r="J2625" s="25" t="s">
        <v>5272</v>
      </c>
      <c r="K2625" s="25" t="s">
        <v>71</v>
      </c>
      <c r="L2625" s="25" t="s">
        <v>292</v>
      </c>
      <c r="M2625" s="20" t="s">
        <v>5124</v>
      </c>
      <c r="N2625" s="20" t="s">
        <v>5292</v>
      </c>
      <c r="O2625" s="20" t="s">
        <v>63</v>
      </c>
      <c r="P2625" s="20" t="s">
        <v>52</v>
      </c>
      <c r="Q2625" s="22"/>
      <c r="R2625" s="22"/>
      <c r="S2625" s="22"/>
      <c r="T2625" s="22"/>
      <c r="U2625" s="26"/>
      <c r="V2625" s="26"/>
      <c r="W2625" s="20"/>
      <c r="X2625" s="20"/>
      <c r="Y2625" s="20"/>
      <c r="Z2625" s="20"/>
      <c r="AA2625" s="20"/>
      <c r="AB2625" s="20"/>
      <c r="AC2625" s="20"/>
      <c r="AD2625" s="20"/>
      <c r="AE2625" s="20"/>
    </row>
    <row r="2626">
      <c r="A2626" s="21">
        <v>65.0</v>
      </c>
      <c r="B2626" s="20" t="s">
        <v>4911</v>
      </c>
      <c r="C2626" s="20" t="s">
        <v>5270</v>
      </c>
      <c r="I2626" s="25" t="s">
        <v>4921</v>
      </c>
      <c r="J2626" s="25" t="s">
        <v>5272</v>
      </c>
      <c r="K2626" s="25" t="s">
        <v>71</v>
      </c>
      <c r="L2626" s="25" t="s">
        <v>292</v>
      </c>
      <c r="M2626" s="20" t="s">
        <v>4922</v>
      </c>
      <c r="N2626" s="20" t="s">
        <v>5293</v>
      </c>
      <c r="O2626" s="20" t="s">
        <v>63</v>
      </c>
      <c r="P2626" s="20" t="s">
        <v>52</v>
      </c>
      <c r="Q2626" s="22"/>
      <c r="R2626" s="22"/>
      <c r="S2626" s="22"/>
      <c r="T2626" s="22"/>
      <c r="U2626" s="26"/>
      <c r="V2626" s="26"/>
      <c r="W2626" s="20"/>
      <c r="X2626" s="20"/>
      <c r="Y2626" s="20"/>
      <c r="Z2626" s="20"/>
      <c r="AA2626" s="20"/>
      <c r="AB2626" s="20"/>
      <c r="AC2626" s="20"/>
      <c r="AD2626" s="20"/>
      <c r="AE2626" s="20"/>
    </row>
    <row r="2627">
      <c r="A2627" s="21">
        <v>65.0</v>
      </c>
      <c r="B2627" s="20" t="s">
        <v>4911</v>
      </c>
      <c r="C2627" s="20" t="s">
        <v>5270</v>
      </c>
      <c r="I2627" s="25" t="s">
        <v>4698</v>
      </c>
      <c r="J2627" s="25" t="s">
        <v>5272</v>
      </c>
      <c r="K2627" s="25" t="s">
        <v>71</v>
      </c>
      <c r="L2627" s="25" t="s">
        <v>292</v>
      </c>
      <c r="M2627" s="20" t="s">
        <v>4699</v>
      </c>
      <c r="N2627" s="20" t="s">
        <v>5294</v>
      </c>
      <c r="O2627" s="20" t="s">
        <v>63</v>
      </c>
      <c r="P2627" s="20" t="s">
        <v>52</v>
      </c>
      <c r="Q2627" s="22"/>
      <c r="R2627" s="22"/>
      <c r="S2627" s="22"/>
      <c r="T2627" s="22"/>
      <c r="U2627" s="26"/>
      <c r="V2627" s="26"/>
      <c r="W2627" s="20"/>
      <c r="X2627" s="20"/>
      <c r="Y2627" s="20"/>
      <c r="Z2627" s="20"/>
      <c r="AA2627" s="20"/>
      <c r="AB2627" s="20"/>
      <c r="AC2627" s="20"/>
      <c r="AD2627" s="20"/>
      <c r="AE2627" s="20"/>
    </row>
    <row r="2628">
      <c r="A2628" s="21">
        <v>65.0</v>
      </c>
      <c r="B2628" s="20" t="s">
        <v>4911</v>
      </c>
      <c r="C2628" s="20" t="s">
        <v>5270</v>
      </c>
      <c r="I2628" s="25" t="s">
        <v>1420</v>
      </c>
      <c r="J2628" s="25" t="s">
        <v>5272</v>
      </c>
      <c r="K2628" s="25" t="s">
        <v>71</v>
      </c>
      <c r="L2628" s="25" t="s">
        <v>292</v>
      </c>
      <c r="M2628" s="20" t="s">
        <v>5295</v>
      </c>
      <c r="N2628" s="20" t="s">
        <v>5296</v>
      </c>
      <c r="O2628" s="20" t="s">
        <v>63</v>
      </c>
      <c r="P2628" s="20" t="s">
        <v>52</v>
      </c>
      <c r="Q2628" s="22"/>
      <c r="R2628" s="22"/>
      <c r="S2628" s="22"/>
      <c r="T2628" s="22"/>
      <c r="U2628" s="26"/>
      <c r="V2628" s="26"/>
      <c r="W2628" s="20"/>
      <c r="X2628" s="20"/>
      <c r="Y2628" s="20"/>
      <c r="Z2628" s="20"/>
      <c r="AA2628" s="20"/>
      <c r="AB2628" s="20"/>
      <c r="AC2628" s="20"/>
      <c r="AD2628" s="20"/>
      <c r="AE2628" s="20"/>
    </row>
    <row r="2629">
      <c r="A2629" s="21">
        <v>65.0</v>
      </c>
      <c r="B2629" s="20" t="s">
        <v>4911</v>
      </c>
      <c r="C2629" s="20" t="s">
        <v>5270</v>
      </c>
      <c r="I2629" s="25" t="s">
        <v>3464</v>
      </c>
      <c r="J2629" s="25" t="s">
        <v>5272</v>
      </c>
      <c r="K2629" s="25" t="s">
        <v>71</v>
      </c>
      <c r="L2629" s="25" t="s">
        <v>5847</v>
      </c>
      <c r="M2629" s="20" t="s">
        <v>4907</v>
      </c>
      <c r="N2629" s="20" t="s">
        <v>5297</v>
      </c>
      <c r="O2629" s="20" t="s">
        <v>63</v>
      </c>
      <c r="P2629" s="20"/>
      <c r="Q2629" s="22"/>
      <c r="R2629" s="22"/>
      <c r="S2629" s="22"/>
      <c r="T2629" s="26"/>
      <c r="U2629" s="26"/>
      <c r="V2629" s="26"/>
      <c r="W2629" s="20"/>
      <c r="X2629" s="20"/>
      <c r="Y2629" s="20"/>
      <c r="Z2629" s="20"/>
      <c r="AA2629" s="20"/>
      <c r="AB2629" s="20"/>
      <c r="AC2629" s="20"/>
      <c r="AD2629" s="20"/>
      <c r="AE2629" s="20"/>
    </row>
    <row r="2630">
      <c r="A2630" s="21">
        <v>65.0</v>
      </c>
      <c r="B2630" s="20" t="s">
        <v>4911</v>
      </c>
      <c r="C2630" s="20" t="s">
        <v>5270</v>
      </c>
      <c r="I2630" s="25" t="s">
        <v>2204</v>
      </c>
      <c r="J2630" s="25" t="s">
        <v>5272</v>
      </c>
      <c r="K2630" s="25" t="s">
        <v>71</v>
      </c>
      <c r="L2630" s="25" t="s">
        <v>292</v>
      </c>
      <c r="M2630" s="20" t="s">
        <v>5298</v>
      </c>
      <c r="N2630" s="20" t="s">
        <v>5299</v>
      </c>
      <c r="O2630" s="20" t="s">
        <v>63</v>
      </c>
      <c r="P2630" s="20" t="s">
        <v>52</v>
      </c>
      <c r="Q2630" s="22"/>
      <c r="R2630" s="22"/>
      <c r="S2630" s="22"/>
      <c r="T2630" s="22"/>
      <c r="U2630" s="26"/>
      <c r="V2630" s="26"/>
      <c r="W2630" s="20"/>
      <c r="X2630" s="20"/>
      <c r="Y2630" s="20"/>
      <c r="Z2630" s="20"/>
      <c r="AA2630" s="20"/>
      <c r="AB2630" s="20"/>
      <c r="AC2630" s="20"/>
      <c r="AD2630" s="20"/>
      <c r="AE2630" s="20"/>
    </row>
    <row r="2631">
      <c r="A2631" s="21">
        <v>65.0</v>
      </c>
      <c r="B2631" s="20" t="s">
        <v>4911</v>
      </c>
      <c r="C2631" s="20" t="s">
        <v>5270</v>
      </c>
      <c r="I2631" s="25" t="s">
        <v>3453</v>
      </c>
      <c r="J2631" s="25" t="s">
        <v>5278</v>
      </c>
      <c r="K2631" s="25" t="s">
        <v>71</v>
      </c>
      <c r="L2631" s="25" t="s">
        <v>5850</v>
      </c>
      <c r="M2631" s="20" t="s">
        <v>61</v>
      </c>
      <c r="N2631" s="20" t="s">
        <v>5311</v>
      </c>
      <c r="O2631" s="20" t="s">
        <v>63</v>
      </c>
      <c r="P2631" s="20"/>
      <c r="Q2631" s="22"/>
      <c r="R2631" s="22"/>
      <c r="S2631" s="22"/>
      <c r="T2631" s="26"/>
      <c r="U2631" s="26"/>
      <c r="V2631" s="26"/>
      <c r="W2631" s="20"/>
      <c r="X2631" s="20"/>
      <c r="Y2631" s="20"/>
      <c r="Z2631" s="20"/>
      <c r="AA2631" s="20"/>
      <c r="AB2631" s="20"/>
      <c r="AC2631" s="20"/>
      <c r="AD2631" s="20"/>
      <c r="AE2631" s="20"/>
    </row>
    <row r="2632">
      <c r="A2632" s="21">
        <v>65.0</v>
      </c>
      <c r="B2632" s="20" t="s">
        <v>4911</v>
      </c>
      <c r="C2632" s="20" t="s">
        <v>5270</v>
      </c>
      <c r="I2632" s="25" t="s">
        <v>4515</v>
      </c>
      <c r="J2632" s="25" t="s">
        <v>5272</v>
      </c>
      <c r="K2632" s="25" t="s">
        <v>71</v>
      </c>
      <c r="L2632" s="25" t="s">
        <v>5847</v>
      </c>
      <c r="M2632" s="20" t="s">
        <v>4574</v>
      </c>
      <c r="N2632" s="20" t="s">
        <v>5300</v>
      </c>
      <c r="O2632" s="20" t="s">
        <v>63</v>
      </c>
      <c r="P2632" s="20"/>
      <c r="Q2632" s="22"/>
      <c r="R2632" s="22"/>
      <c r="S2632" s="22"/>
      <c r="T2632" s="26"/>
      <c r="U2632" s="26"/>
      <c r="V2632" s="26"/>
      <c r="W2632" s="20"/>
      <c r="X2632" s="20"/>
      <c r="Y2632" s="20"/>
      <c r="Z2632" s="20"/>
      <c r="AA2632" s="20"/>
      <c r="AB2632" s="20"/>
      <c r="AC2632" s="20"/>
      <c r="AD2632" s="20"/>
      <c r="AE2632" s="20"/>
    </row>
    <row r="2633">
      <c r="A2633" s="21">
        <v>65.0</v>
      </c>
      <c r="B2633" s="20" t="s">
        <v>4911</v>
      </c>
      <c r="C2633" s="20" t="s">
        <v>5270</v>
      </c>
      <c r="I2633" s="25" t="s">
        <v>5312</v>
      </c>
      <c r="J2633" s="25" t="s">
        <v>5278</v>
      </c>
      <c r="K2633" s="25" t="s">
        <v>71</v>
      </c>
      <c r="L2633" s="25" t="s">
        <v>292</v>
      </c>
      <c r="M2633" s="20" t="s">
        <v>5313</v>
      </c>
      <c r="N2633" s="20" t="s">
        <v>5314</v>
      </c>
      <c r="O2633" s="20" t="s">
        <v>63</v>
      </c>
      <c r="P2633" s="20" t="s">
        <v>52</v>
      </c>
      <c r="Q2633" s="22"/>
      <c r="R2633" s="22"/>
      <c r="S2633" s="22"/>
      <c r="T2633" s="22"/>
      <c r="U2633" s="26"/>
      <c r="V2633" s="26"/>
      <c r="W2633" s="20"/>
      <c r="X2633" s="20"/>
      <c r="Y2633" s="20"/>
      <c r="Z2633" s="20"/>
      <c r="AA2633" s="20"/>
      <c r="AB2633" s="20"/>
      <c r="AC2633" s="20"/>
      <c r="AD2633" s="20"/>
      <c r="AE2633" s="20"/>
    </row>
    <row r="2634">
      <c r="A2634" s="21">
        <v>65.0</v>
      </c>
      <c r="B2634" s="20" t="s">
        <v>4911</v>
      </c>
      <c r="C2634" s="20" t="s">
        <v>5270</v>
      </c>
      <c r="I2634" s="25" t="s">
        <v>5315</v>
      </c>
      <c r="J2634" s="25" t="s">
        <v>5278</v>
      </c>
      <c r="K2634" s="25" t="s">
        <v>71</v>
      </c>
      <c r="L2634" s="25" t="s">
        <v>5847</v>
      </c>
      <c r="M2634" s="20" t="s">
        <v>5316</v>
      </c>
      <c r="N2634" s="20" t="s">
        <v>5317</v>
      </c>
      <c r="O2634" s="20" t="s">
        <v>63</v>
      </c>
      <c r="P2634" s="20"/>
      <c r="Q2634" s="22"/>
      <c r="R2634" s="22"/>
      <c r="S2634" s="22"/>
      <c r="T2634" s="26"/>
      <c r="U2634" s="26"/>
      <c r="V2634" s="26"/>
      <c r="W2634" s="20"/>
      <c r="X2634" s="20"/>
      <c r="Y2634" s="20"/>
      <c r="Z2634" s="20"/>
      <c r="AA2634" s="20"/>
      <c r="AB2634" s="20"/>
      <c r="AC2634" s="20"/>
      <c r="AD2634" s="20"/>
      <c r="AE2634" s="20"/>
    </row>
    <row r="2635">
      <c r="A2635" s="21">
        <v>65.0</v>
      </c>
      <c r="B2635" s="20" t="s">
        <v>4911</v>
      </c>
      <c r="C2635" s="20" t="s">
        <v>5270</v>
      </c>
      <c r="I2635" s="25" t="s">
        <v>3456</v>
      </c>
      <c r="J2635" s="25" t="s">
        <v>5272</v>
      </c>
      <c r="K2635" s="25" t="s">
        <v>71</v>
      </c>
      <c r="L2635" s="25" t="s">
        <v>292</v>
      </c>
      <c r="M2635" s="20" t="s">
        <v>5301</v>
      </c>
      <c r="N2635" s="20" t="s">
        <v>5302</v>
      </c>
      <c r="O2635" s="20" t="s">
        <v>63</v>
      </c>
      <c r="P2635" s="20" t="s">
        <v>52</v>
      </c>
      <c r="Q2635" s="22"/>
      <c r="R2635" s="22"/>
      <c r="S2635" s="22"/>
      <c r="T2635" s="22"/>
      <c r="U2635" s="26"/>
      <c r="V2635" s="26"/>
      <c r="W2635" s="20"/>
      <c r="X2635" s="20"/>
      <c r="Y2635" s="20"/>
      <c r="Z2635" s="20"/>
      <c r="AA2635" s="20"/>
      <c r="AB2635" s="20"/>
      <c r="AC2635" s="20"/>
      <c r="AD2635" s="20"/>
      <c r="AE2635" s="20"/>
    </row>
    <row r="2636">
      <c r="A2636" s="21">
        <v>65.0</v>
      </c>
      <c r="B2636" s="20" t="s">
        <v>4911</v>
      </c>
      <c r="C2636" s="20" t="s">
        <v>5270</v>
      </c>
      <c r="I2636" s="25" t="s">
        <v>3520</v>
      </c>
      <c r="J2636" s="25" t="s">
        <v>5272</v>
      </c>
      <c r="K2636" s="25" t="s">
        <v>71</v>
      </c>
      <c r="L2636" s="25" t="s">
        <v>292</v>
      </c>
      <c r="M2636" s="20" t="s">
        <v>5303</v>
      </c>
      <c r="N2636" s="20" t="s">
        <v>5304</v>
      </c>
      <c r="O2636" s="20" t="s">
        <v>63</v>
      </c>
      <c r="P2636" s="20" t="s">
        <v>52</v>
      </c>
      <c r="Q2636" s="22"/>
      <c r="R2636" s="22"/>
      <c r="S2636" s="22"/>
      <c r="T2636" s="22"/>
      <c r="U2636" s="26"/>
      <c r="V2636" s="26"/>
      <c r="W2636" s="20"/>
      <c r="X2636" s="20"/>
      <c r="Y2636" s="20"/>
      <c r="Z2636" s="20"/>
      <c r="AA2636" s="20"/>
      <c r="AB2636" s="20"/>
      <c r="AC2636" s="20"/>
      <c r="AD2636" s="20"/>
      <c r="AE2636" s="20"/>
    </row>
    <row r="2637">
      <c r="A2637" s="21">
        <v>65.0</v>
      </c>
      <c r="B2637" s="20" t="s">
        <v>4911</v>
      </c>
      <c r="C2637" s="20" t="s">
        <v>5270</v>
      </c>
      <c r="I2637" s="25" t="s">
        <v>1322</v>
      </c>
      <c r="J2637" s="25" t="s">
        <v>5272</v>
      </c>
      <c r="K2637" s="25" t="s">
        <v>71</v>
      </c>
      <c r="L2637" s="25" t="s">
        <v>292</v>
      </c>
      <c r="M2637" s="20" t="s">
        <v>2731</v>
      </c>
      <c r="N2637" s="20" t="s">
        <v>5305</v>
      </c>
      <c r="O2637" s="20" t="s">
        <v>63</v>
      </c>
      <c r="P2637" s="20" t="s">
        <v>52</v>
      </c>
      <c r="Q2637" s="22"/>
      <c r="R2637" s="22"/>
      <c r="S2637" s="22"/>
      <c r="T2637" s="22"/>
      <c r="U2637" s="26"/>
      <c r="V2637" s="26"/>
      <c r="W2637" s="20"/>
      <c r="X2637" s="20"/>
      <c r="Y2637" s="20"/>
      <c r="Z2637" s="20"/>
      <c r="AA2637" s="20"/>
      <c r="AB2637" s="20"/>
      <c r="AC2637" s="20"/>
      <c r="AD2637" s="20"/>
      <c r="AE2637" s="20"/>
    </row>
    <row r="2638">
      <c r="A2638" s="21">
        <v>65.0</v>
      </c>
      <c r="B2638" s="20" t="s">
        <v>4911</v>
      </c>
      <c r="C2638" s="20" t="s">
        <v>5270</v>
      </c>
      <c r="I2638" s="25" t="s">
        <v>2666</v>
      </c>
      <c r="J2638" s="25" t="s">
        <v>5272</v>
      </c>
      <c r="K2638" s="25" t="s">
        <v>71</v>
      </c>
      <c r="L2638" s="25" t="s">
        <v>292</v>
      </c>
      <c r="M2638" s="20" t="s">
        <v>2667</v>
      </c>
      <c r="N2638" s="20" t="s">
        <v>5306</v>
      </c>
      <c r="O2638" s="20" t="s">
        <v>63</v>
      </c>
      <c r="P2638" s="20" t="s">
        <v>52</v>
      </c>
      <c r="Q2638" s="22"/>
      <c r="R2638" s="22"/>
      <c r="S2638" s="22"/>
      <c r="T2638" s="22"/>
      <c r="U2638" s="26"/>
      <c r="V2638" s="26"/>
      <c r="W2638" s="20"/>
      <c r="X2638" s="20"/>
      <c r="Y2638" s="20"/>
      <c r="Z2638" s="20"/>
      <c r="AA2638" s="20"/>
      <c r="AB2638" s="20"/>
      <c r="AC2638" s="20"/>
      <c r="AD2638" s="20"/>
      <c r="AE2638" s="20"/>
    </row>
    <row r="2639">
      <c r="A2639" s="21">
        <v>65.0</v>
      </c>
      <c r="B2639" s="20" t="s">
        <v>4911</v>
      </c>
      <c r="C2639" s="20" t="s">
        <v>5270</v>
      </c>
      <c r="I2639" s="25" t="s">
        <v>3439</v>
      </c>
      <c r="J2639" s="25" t="s">
        <v>5278</v>
      </c>
      <c r="K2639" s="25" t="s">
        <v>71</v>
      </c>
      <c r="L2639" s="25" t="s">
        <v>5847</v>
      </c>
      <c r="M2639" s="20" t="s">
        <v>5318</v>
      </c>
      <c r="N2639" s="20" t="s">
        <v>5319</v>
      </c>
      <c r="O2639" s="20" t="s">
        <v>63</v>
      </c>
      <c r="P2639" s="20"/>
      <c r="Q2639" s="22"/>
      <c r="R2639" s="22"/>
      <c r="S2639" s="22"/>
      <c r="T2639" s="26"/>
      <c r="U2639" s="26"/>
      <c r="V2639" s="26"/>
      <c r="W2639" s="20"/>
      <c r="X2639" s="20"/>
      <c r="Y2639" s="20"/>
      <c r="Z2639" s="20"/>
      <c r="AA2639" s="20"/>
      <c r="AB2639" s="20"/>
      <c r="AC2639" s="20"/>
      <c r="AD2639" s="20"/>
      <c r="AE2639" s="20"/>
    </row>
    <row r="2640">
      <c r="A2640" s="21">
        <v>65.0</v>
      </c>
      <c r="B2640" s="20" t="s">
        <v>4911</v>
      </c>
      <c r="C2640" s="20" t="s">
        <v>5270</v>
      </c>
      <c r="I2640" s="25" t="s">
        <v>2680</v>
      </c>
      <c r="J2640" s="25" t="s">
        <v>5278</v>
      </c>
      <c r="K2640" s="25" t="s">
        <v>71</v>
      </c>
      <c r="L2640" s="25" t="s">
        <v>292</v>
      </c>
      <c r="M2640" s="20" t="s">
        <v>5320</v>
      </c>
      <c r="N2640" s="20" t="s">
        <v>5321</v>
      </c>
      <c r="O2640" s="20" t="s">
        <v>63</v>
      </c>
      <c r="P2640" s="20" t="s">
        <v>52</v>
      </c>
      <c r="Q2640" s="22"/>
      <c r="R2640" s="22"/>
      <c r="S2640" s="22"/>
      <c r="T2640" s="22"/>
      <c r="U2640" s="26"/>
      <c r="V2640" s="26"/>
      <c r="W2640" s="20"/>
      <c r="X2640" s="20"/>
      <c r="Y2640" s="20"/>
      <c r="Z2640" s="20"/>
      <c r="AA2640" s="20"/>
      <c r="AB2640" s="20"/>
      <c r="AC2640" s="20"/>
      <c r="AD2640" s="20"/>
      <c r="AE2640" s="20"/>
    </row>
    <row r="2641">
      <c r="A2641" s="21">
        <v>65.0</v>
      </c>
      <c r="B2641" s="20" t="s">
        <v>4911</v>
      </c>
      <c r="C2641" s="20" t="s">
        <v>5270</v>
      </c>
      <c r="I2641" s="25" t="s">
        <v>1174</v>
      </c>
      <c r="J2641" s="25" t="s">
        <v>5272</v>
      </c>
      <c r="K2641" s="25" t="s">
        <v>71</v>
      </c>
      <c r="L2641" s="25" t="s">
        <v>292</v>
      </c>
      <c r="M2641" s="20" t="s">
        <v>3725</v>
      </c>
      <c r="N2641" s="20" t="s">
        <v>5307</v>
      </c>
      <c r="O2641" s="20" t="s">
        <v>63</v>
      </c>
      <c r="P2641" s="20" t="s">
        <v>52</v>
      </c>
      <c r="Q2641" s="22"/>
      <c r="R2641" s="22"/>
      <c r="S2641" s="22"/>
      <c r="T2641" s="22"/>
      <c r="U2641" s="26"/>
      <c r="V2641" s="26"/>
      <c r="W2641" s="20"/>
      <c r="X2641" s="20"/>
      <c r="Y2641" s="20"/>
      <c r="Z2641" s="20"/>
      <c r="AA2641" s="20"/>
      <c r="AB2641" s="20"/>
      <c r="AC2641" s="20"/>
      <c r="AD2641" s="20"/>
      <c r="AE2641" s="20"/>
    </row>
    <row r="2642">
      <c r="A2642" s="21">
        <v>66.0</v>
      </c>
      <c r="B2642" s="20" t="s">
        <v>5322</v>
      </c>
      <c r="C2642" s="20" t="s">
        <v>5854</v>
      </c>
      <c r="D2642" s="35">
        <v>150.0</v>
      </c>
      <c r="E2642" s="35">
        <v>1.0</v>
      </c>
      <c r="F2642" s="35">
        <v>2.0</v>
      </c>
      <c r="G2642" s="35">
        <v>147.0</v>
      </c>
      <c r="H2642" s="36" t="s">
        <v>5857</v>
      </c>
      <c r="I2642" s="25" t="s">
        <v>193</v>
      </c>
      <c r="J2642" s="25" t="s">
        <v>5323</v>
      </c>
      <c r="K2642" s="25" t="s">
        <v>57</v>
      </c>
      <c r="L2642" s="25" t="s">
        <v>5858</v>
      </c>
      <c r="M2642" s="20" t="s">
        <v>4743</v>
      </c>
      <c r="N2642" s="20" t="s">
        <v>4744</v>
      </c>
      <c r="O2642" s="20" t="s">
        <v>63</v>
      </c>
      <c r="P2642" s="20"/>
      <c r="Q2642" s="22"/>
      <c r="R2642" s="22"/>
      <c r="S2642" s="22"/>
      <c r="T2642" s="26"/>
      <c r="U2642" s="26"/>
      <c r="V2642" s="26"/>
      <c r="W2642" s="20"/>
      <c r="X2642" s="20"/>
      <c r="Y2642" s="20"/>
      <c r="Z2642" s="20"/>
      <c r="AA2642" s="20"/>
      <c r="AB2642" s="20"/>
      <c r="AC2642" s="20"/>
      <c r="AD2642" s="20"/>
      <c r="AE2642" s="20"/>
    </row>
    <row r="2643">
      <c r="A2643" s="21">
        <v>66.0</v>
      </c>
      <c r="B2643" s="20" t="s">
        <v>5322</v>
      </c>
      <c r="C2643" s="20" t="s">
        <v>5854</v>
      </c>
      <c r="I2643" s="25" t="s">
        <v>1315</v>
      </c>
      <c r="J2643" s="25" t="s">
        <v>5324</v>
      </c>
      <c r="K2643" s="25" t="s">
        <v>71</v>
      </c>
      <c r="L2643" s="25" t="s">
        <v>226</v>
      </c>
      <c r="M2643" s="20" t="s">
        <v>4725</v>
      </c>
      <c r="N2643" s="20" t="s">
        <v>4726</v>
      </c>
      <c r="O2643" s="20" t="s">
        <v>63</v>
      </c>
      <c r="P2643" s="20" t="s">
        <v>52</v>
      </c>
      <c r="Q2643" s="22"/>
      <c r="R2643" s="22"/>
      <c r="S2643" s="22"/>
      <c r="T2643" s="22"/>
      <c r="U2643" s="26"/>
      <c r="V2643" s="26"/>
      <c r="W2643" s="20"/>
      <c r="X2643" s="20"/>
      <c r="Y2643" s="20"/>
      <c r="Z2643" s="20"/>
      <c r="AA2643" s="20"/>
      <c r="AB2643" s="20"/>
      <c r="AC2643" s="20"/>
      <c r="AD2643" s="20"/>
      <c r="AE2643" s="20"/>
    </row>
    <row r="2644">
      <c r="A2644" s="21">
        <v>66.0</v>
      </c>
      <c r="B2644" s="20" t="s">
        <v>5322</v>
      </c>
      <c r="C2644" s="20" t="s">
        <v>5854</v>
      </c>
      <c r="I2644" s="25" t="s">
        <v>4771</v>
      </c>
      <c r="J2644" s="25" t="s">
        <v>5323</v>
      </c>
      <c r="K2644" s="25" t="s">
        <v>71</v>
      </c>
      <c r="L2644" s="25" t="s">
        <v>226</v>
      </c>
      <c r="M2644" s="20" t="s">
        <v>4772</v>
      </c>
      <c r="N2644" s="20" t="s">
        <v>5007</v>
      </c>
      <c r="O2644" s="20" t="s">
        <v>63</v>
      </c>
      <c r="P2644" s="20" t="s">
        <v>52</v>
      </c>
      <c r="Q2644" s="22"/>
      <c r="R2644" s="22"/>
      <c r="S2644" s="22"/>
      <c r="T2644" s="22"/>
      <c r="U2644" s="26"/>
      <c r="V2644" s="26"/>
      <c r="W2644" s="20"/>
      <c r="X2644" s="20"/>
      <c r="Y2644" s="20"/>
      <c r="Z2644" s="20"/>
      <c r="AA2644" s="20"/>
      <c r="AB2644" s="20"/>
      <c r="AC2644" s="20"/>
      <c r="AD2644" s="20"/>
      <c r="AE2644" s="20"/>
    </row>
    <row r="2645">
      <c r="A2645" s="21">
        <v>66.0</v>
      </c>
      <c r="B2645" s="20" t="s">
        <v>5322</v>
      </c>
      <c r="C2645" s="20" t="s">
        <v>5854</v>
      </c>
      <c r="I2645" s="25" t="s">
        <v>81</v>
      </c>
      <c r="J2645" s="25" t="s">
        <v>5323</v>
      </c>
      <c r="K2645" s="25" t="s">
        <v>67</v>
      </c>
      <c r="L2645" s="25" t="s">
        <v>5859</v>
      </c>
      <c r="M2645" s="20" t="s">
        <v>4469</v>
      </c>
      <c r="N2645" s="20" t="s">
        <v>4835</v>
      </c>
      <c r="O2645" s="20" t="s">
        <v>63</v>
      </c>
      <c r="P2645" s="20"/>
      <c r="Q2645" s="22"/>
      <c r="R2645" s="22"/>
      <c r="S2645" s="22"/>
      <c r="T2645" s="26"/>
      <c r="U2645" s="26"/>
      <c r="V2645" s="26"/>
      <c r="W2645" s="20"/>
      <c r="X2645" s="20"/>
      <c r="Y2645" s="20"/>
      <c r="Z2645" s="20"/>
      <c r="AA2645" s="20"/>
      <c r="AB2645" s="20"/>
      <c r="AC2645" s="20"/>
      <c r="AD2645" s="20"/>
      <c r="AE2645" s="20"/>
    </row>
    <row r="2646">
      <c r="A2646" s="21">
        <v>66.0</v>
      </c>
      <c r="B2646" s="20" t="s">
        <v>5322</v>
      </c>
      <c r="C2646" s="20" t="s">
        <v>5854</v>
      </c>
      <c r="I2646" s="25" t="s">
        <v>3054</v>
      </c>
      <c r="J2646" s="25" t="s">
        <v>5324</v>
      </c>
      <c r="K2646" s="25" t="s">
        <v>67</v>
      </c>
      <c r="L2646" s="25" t="s">
        <v>5860</v>
      </c>
      <c r="M2646" s="20" t="s">
        <v>5325</v>
      </c>
      <c r="N2646" s="20" t="s">
        <v>5326</v>
      </c>
      <c r="O2646" s="20" t="s">
        <v>63</v>
      </c>
      <c r="P2646" s="20"/>
      <c r="Q2646" s="22"/>
      <c r="R2646" s="22"/>
      <c r="S2646" s="22"/>
      <c r="T2646" s="26"/>
      <c r="U2646" s="26"/>
      <c r="V2646" s="26"/>
      <c r="W2646" s="20"/>
      <c r="X2646" s="20"/>
      <c r="Y2646" s="20"/>
      <c r="Z2646" s="20"/>
      <c r="AA2646" s="20"/>
      <c r="AB2646" s="20"/>
      <c r="AC2646" s="20"/>
      <c r="AD2646" s="20"/>
      <c r="AE2646" s="20"/>
    </row>
    <row r="2647">
      <c r="A2647" s="21">
        <v>66.0</v>
      </c>
      <c r="B2647" s="20" t="s">
        <v>5322</v>
      </c>
      <c r="C2647" s="20" t="s">
        <v>5854</v>
      </c>
      <c r="I2647" s="25" t="s">
        <v>457</v>
      </c>
      <c r="J2647" s="25" t="s">
        <v>5323</v>
      </c>
      <c r="K2647" s="25" t="s">
        <v>71</v>
      </c>
      <c r="L2647" s="25" t="s">
        <v>5074</v>
      </c>
      <c r="M2647" s="20" t="s">
        <v>4789</v>
      </c>
      <c r="N2647" s="20" t="s">
        <v>4790</v>
      </c>
      <c r="O2647" s="20" t="s">
        <v>63</v>
      </c>
      <c r="P2647" s="20"/>
      <c r="Q2647" s="22"/>
      <c r="R2647" s="22"/>
      <c r="S2647" s="22"/>
      <c r="T2647" s="20"/>
      <c r="U2647" s="26"/>
      <c r="V2647" s="26"/>
      <c r="W2647" s="20"/>
      <c r="X2647" s="20"/>
      <c r="Y2647" s="20"/>
      <c r="Z2647" s="20"/>
      <c r="AA2647" s="20"/>
      <c r="AB2647" s="20"/>
      <c r="AC2647" s="20"/>
      <c r="AD2647" s="20"/>
      <c r="AE2647" s="20"/>
    </row>
    <row r="2648">
      <c r="A2648" s="21">
        <v>66.0</v>
      </c>
      <c r="B2648" s="20" t="s">
        <v>5322</v>
      </c>
      <c r="C2648" s="20" t="s">
        <v>5854</v>
      </c>
      <c r="I2648" s="25" t="s">
        <v>98</v>
      </c>
      <c r="J2648" s="25" t="s">
        <v>5324</v>
      </c>
      <c r="K2648" s="25" t="s">
        <v>71</v>
      </c>
      <c r="L2648" s="25" t="s">
        <v>5076</v>
      </c>
      <c r="M2648" s="20" t="s">
        <v>4476</v>
      </c>
      <c r="N2648" s="20" t="s">
        <v>5364</v>
      </c>
      <c r="O2648" s="20" t="s">
        <v>63</v>
      </c>
      <c r="P2648" s="20"/>
      <c r="Q2648" s="22"/>
      <c r="R2648" s="22"/>
      <c r="S2648" s="22"/>
      <c r="T2648" s="20"/>
      <c r="U2648" s="26"/>
      <c r="V2648" s="26"/>
      <c r="W2648" s="20"/>
      <c r="X2648" s="20"/>
      <c r="Y2648" s="20"/>
      <c r="Z2648" s="20"/>
      <c r="AA2648" s="20"/>
      <c r="AB2648" s="20"/>
      <c r="AC2648" s="20"/>
      <c r="AD2648" s="20"/>
      <c r="AE2648" s="20"/>
    </row>
    <row r="2649">
      <c r="A2649" s="21">
        <v>66.0</v>
      </c>
      <c r="B2649" s="20" t="s">
        <v>5322</v>
      </c>
      <c r="C2649" s="20" t="s">
        <v>5854</v>
      </c>
      <c r="I2649" s="25" t="s">
        <v>833</v>
      </c>
      <c r="J2649" s="25" t="s">
        <v>5324</v>
      </c>
      <c r="K2649" s="25" t="s">
        <v>71</v>
      </c>
      <c r="L2649" s="25" t="s">
        <v>5078</v>
      </c>
      <c r="M2649" s="20" t="s">
        <v>61</v>
      </c>
      <c r="N2649" s="20" t="s">
        <v>1206</v>
      </c>
      <c r="O2649" s="20" t="s">
        <v>63</v>
      </c>
      <c r="P2649" s="20"/>
      <c r="Q2649" s="22"/>
      <c r="R2649" s="22"/>
      <c r="S2649" s="22"/>
      <c r="T2649" s="20"/>
      <c r="U2649" s="26"/>
      <c r="V2649" s="26"/>
      <c r="W2649" s="20"/>
      <c r="X2649" s="20"/>
      <c r="Y2649" s="20"/>
      <c r="Z2649" s="20"/>
      <c r="AA2649" s="20"/>
      <c r="AB2649" s="20"/>
      <c r="AC2649" s="20"/>
      <c r="AD2649" s="20"/>
      <c r="AE2649" s="20"/>
    </row>
    <row r="2650">
      <c r="A2650" s="21">
        <v>66.0</v>
      </c>
      <c r="B2650" s="20" t="s">
        <v>5322</v>
      </c>
      <c r="C2650" s="20" t="s">
        <v>5854</v>
      </c>
      <c r="I2650" s="25" t="s">
        <v>4512</v>
      </c>
      <c r="J2650" s="25" t="s">
        <v>5323</v>
      </c>
      <c r="K2650" s="25" t="s">
        <v>71</v>
      </c>
      <c r="L2650" s="25" t="s">
        <v>4742</v>
      </c>
      <c r="M2650" s="20" t="s">
        <v>4513</v>
      </c>
      <c r="N2650" s="20" t="s">
        <v>4514</v>
      </c>
      <c r="O2650" s="20" t="s">
        <v>63</v>
      </c>
      <c r="P2650" s="20"/>
      <c r="Q2650" s="22"/>
      <c r="R2650" s="22"/>
      <c r="S2650" s="22"/>
      <c r="T2650" s="20"/>
      <c r="U2650" s="26"/>
      <c r="V2650" s="26"/>
      <c r="W2650" s="20"/>
      <c r="X2650" s="20"/>
      <c r="Y2650" s="20"/>
      <c r="Z2650" s="20"/>
      <c r="AA2650" s="20"/>
      <c r="AB2650" s="20"/>
      <c r="AC2650" s="20"/>
      <c r="AD2650" s="20"/>
      <c r="AE2650" s="20"/>
    </row>
    <row r="2651">
      <c r="A2651" s="21">
        <v>66.0</v>
      </c>
      <c r="B2651" s="20" t="s">
        <v>5322</v>
      </c>
      <c r="C2651" s="20" t="s">
        <v>5854</v>
      </c>
      <c r="I2651" s="25" t="s">
        <v>3359</v>
      </c>
      <c r="J2651" s="25" t="s">
        <v>5324</v>
      </c>
      <c r="K2651" s="25" t="s">
        <v>71</v>
      </c>
      <c r="L2651" s="25" t="s">
        <v>5076</v>
      </c>
      <c r="M2651" s="20" t="s">
        <v>5365</v>
      </c>
      <c r="N2651" s="20" t="s">
        <v>5366</v>
      </c>
      <c r="O2651" s="20" t="s">
        <v>63</v>
      </c>
      <c r="P2651" s="20"/>
      <c r="Q2651" s="22"/>
      <c r="R2651" s="22"/>
      <c r="S2651" s="22"/>
      <c r="T2651" s="20"/>
      <c r="U2651" s="26"/>
      <c r="V2651" s="26"/>
      <c r="W2651" s="20"/>
      <c r="X2651" s="20"/>
      <c r="Y2651" s="20"/>
      <c r="Z2651" s="20"/>
      <c r="AA2651" s="20"/>
      <c r="AB2651" s="20"/>
      <c r="AC2651" s="20"/>
      <c r="AD2651" s="20"/>
      <c r="AE2651" s="20"/>
    </row>
    <row r="2652">
      <c r="A2652" s="21">
        <v>66.0</v>
      </c>
      <c r="B2652" s="20" t="s">
        <v>5322</v>
      </c>
      <c r="C2652" s="20" t="s">
        <v>5854</v>
      </c>
      <c r="I2652" s="25" t="s">
        <v>2508</v>
      </c>
      <c r="J2652" s="25" t="s">
        <v>5324</v>
      </c>
      <c r="K2652" s="25" t="s">
        <v>71</v>
      </c>
      <c r="L2652" s="25" t="s">
        <v>5076</v>
      </c>
      <c r="M2652" s="20" t="s">
        <v>5367</v>
      </c>
      <c r="N2652" s="20" t="s">
        <v>5368</v>
      </c>
      <c r="O2652" s="20" t="s">
        <v>63</v>
      </c>
      <c r="P2652" s="20"/>
      <c r="Q2652" s="22"/>
      <c r="R2652" s="22"/>
      <c r="S2652" s="22"/>
      <c r="T2652" s="20"/>
      <c r="U2652" s="26"/>
      <c r="V2652" s="26"/>
      <c r="W2652" s="20"/>
      <c r="X2652" s="20"/>
      <c r="Y2652" s="20"/>
      <c r="Z2652" s="20"/>
      <c r="AA2652" s="20"/>
      <c r="AB2652" s="20"/>
      <c r="AC2652" s="20"/>
      <c r="AD2652" s="20"/>
      <c r="AE2652" s="20"/>
    </row>
    <row r="2653">
      <c r="A2653" s="21">
        <v>66.0</v>
      </c>
      <c r="B2653" s="20" t="s">
        <v>5322</v>
      </c>
      <c r="C2653" s="20" t="s">
        <v>5854</v>
      </c>
      <c r="I2653" s="25" t="s">
        <v>2614</v>
      </c>
      <c r="J2653" s="25" t="s">
        <v>5323</v>
      </c>
      <c r="K2653" s="25" t="s">
        <v>71</v>
      </c>
      <c r="L2653" s="25" t="s">
        <v>4742</v>
      </c>
      <c r="M2653" s="20" t="s">
        <v>5329</v>
      </c>
      <c r="N2653" s="20" t="s">
        <v>5330</v>
      </c>
      <c r="O2653" s="20" t="s">
        <v>63</v>
      </c>
      <c r="P2653" s="20"/>
      <c r="Q2653" s="22"/>
      <c r="R2653" s="22"/>
      <c r="S2653" s="22"/>
      <c r="T2653" s="20"/>
      <c r="U2653" s="26"/>
      <c r="V2653" s="26"/>
      <c r="W2653" s="20"/>
      <c r="X2653" s="20"/>
      <c r="Y2653" s="20"/>
      <c r="Z2653" s="20"/>
      <c r="AA2653" s="20"/>
      <c r="AB2653" s="20"/>
      <c r="AC2653" s="20"/>
      <c r="AD2653" s="20"/>
      <c r="AE2653" s="20"/>
    </row>
    <row r="2654">
      <c r="A2654" s="21">
        <v>66.0</v>
      </c>
      <c r="B2654" s="20" t="s">
        <v>5322</v>
      </c>
      <c r="C2654" s="20" t="s">
        <v>5854</v>
      </c>
      <c r="I2654" s="25" t="s">
        <v>4449</v>
      </c>
      <c r="J2654" s="25" t="s">
        <v>5323</v>
      </c>
      <c r="K2654" s="25" t="s">
        <v>71</v>
      </c>
      <c r="L2654" s="25" t="s">
        <v>292</v>
      </c>
      <c r="M2654" s="20" t="s">
        <v>4450</v>
      </c>
      <c r="N2654" s="20" t="s">
        <v>4451</v>
      </c>
      <c r="O2654" s="20" t="s">
        <v>63</v>
      </c>
      <c r="P2654" s="20" t="s">
        <v>52</v>
      </c>
      <c r="Q2654" s="22"/>
      <c r="R2654" s="22"/>
      <c r="S2654" s="22"/>
      <c r="T2654" s="22"/>
      <c r="U2654" s="26"/>
      <c r="V2654" s="26"/>
      <c r="W2654" s="20"/>
      <c r="X2654" s="20"/>
      <c r="Y2654" s="20"/>
      <c r="Z2654" s="20"/>
      <c r="AA2654" s="20"/>
      <c r="AB2654" s="20"/>
      <c r="AC2654" s="20"/>
      <c r="AD2654" s="20"/>
      <c r="AE2654" s="20"/>
    </row>
    <row r="2655">
      <c r="A2655" s="21">
        <v>66.0</v>
      </c>
      <c r="B2655" s="20" t="s">
        <v>5322</v>
      </c>
      <c r="C2655" s="20" t="s">
        <v>5854</v>
      </c>
      <c r="I2655" s="25" t="s">
        <v>85</v>
      </c>
      <c r="J2655" s="25" t="s">
        <v>5324</v>
      </c>
      <c r="K2655" s="25" t="s">
        <v>71</v>
      </c>
      <c r="L2655" s="25" t="s">
        <v>226</v>
      </c>
      <c r="M2655" s="20" t="s">
        <v>86</v>
      </c>
      <c r="N2655" s="20" t="s">
        <v>87</v>
      </c>
      <c r="O2655" s="20" t="s">
        <v>63</v>
      </c>
      <c r="P2655" s="20" t="s">
        <v>52</v>
      </c>
      <c r="Q2655" s="22"/>
      <c r="R2655" s="22"/>
      <c r="S2655" s="22"/>
      <c r="T2655" s="22"/>
      <c r="U2655" s="26"/>
      <c r="V2655" s="26"/>
      <c r="W2655" s="20"/>
      <c r="X2655" s="20"/>
      <c r="Y2655" s="20"/>
      <c r="Z2655" s="20"/>
      <c r="AA2655" s="20"/>
      <c r="AB2655" s="20"/>
      <c r="AC2655" s="20"/>
      <c r="AD2655" s="20"/>
      <c r="AE2655" s="20"/>
    </row>
    <row r="2656">
      <c r="A2656" s="21">
        <v>66.0</v>
      </c>
      <c r="B2656" s="20" t="s">
        <v>5322</v>
      </c>
      <c r="C2656" s="20" t="s">
        <v>5854</v>
      </c>
      <c r="I2656" s="25" t="s">
        <v>101</v>
      </c>
      <c r="J2656" s="25" t="s">
        <v>5323</v>
      </c>
      <c r="K2656" s="25" t="s">
        <v>71</v>
      </c>
      <c r="L2656" s="25" t="s">
        <v>5074</v>
      </c>
      <c r="M2656" s="20" t="s">
        <v>3197</v>
      </c>
      <c r="N2656" s="20" t="s">
        <v>4518</v>
      </c>
      <c r="O2656" s="20" t="s">
        <v>63</v>
      </c>
      <c r="P2656" s="20"/>
      <c r="Q2656" s="22"/>
      <c r="R2656" s="22"/>
      <c r="S2656" s="22"/>
      <c r="T2656" s="20"/>
      <c r="U2656" s="26"/>
      <c r="V2656" s="26"/>
      <c r="W2656" s="20"/>
      <c r="X2656" s="20"/>
      <c r="Y2656" s="20"/>
      <c r="Z2656" s="20"/>
      <c r="AA2656" s="20"/>
      <c r="AB2656" s="20"/>
      <c r="AC2656" s="20"/>
      <c r="AD2656" s="20"/>
      <c r="AE2656" s="20"/>
    </row>
    <row r="2657">
      <c r="A2657" s="21">
        <v>66.0</v>
      </c>
      <c r="B2657" s="20" t="s">
        <v>5322</v>
      </c>
      <c r="C2657" s="20" t="s">
        <v>5854</v>
      </c>
      <c r="I2657" s="25" t="s">
        <v>3533</v>
      </c>
      <c r="J2657" s="25" t="s">
        <v>5327</v>
      </c>
      <c r="K2657" s="25" t="s">
        <v>71</v>
      </c>
      <c r="L2657" s="25" t="s">
        <v>226</v>
      </c>
      <c r="M2657" s="20" t="s">
        <v>3534</v>
      </c>
      <c r="N2657" s="20" t="s">
        <v>5035</v>
      </c>
      <c r="O2657" s="20" t="s">
        <v>63</v>
      </c>
      <c r="P2657" s="20" t="s">
        <v>52</v>
      </c>
      <c r="Q2657" s="22"/>
      <c r="R2657" s="22"/>
      <c r="S2657" s="22"/>
      <c r="T2657" s="22"/>
      <c r="U2657" s="26"/>
      <c r="V2657" s="26"/>
      <c r="W2657" s="20"/>
      <c r="X2657" s="20"/>
      <c r="Y2657" s="20"/>
      <c r="Z2657" s="20"/>
      <c r="AA2657" s="20"/>
      <c r="AB2657" s="20"/>
      <c r="AC2657" s="20"/>
      <c r="AD2657" s="20"/>
      <c r="AE2657" s="20"/>
    </row>
    <row r="2658">
      <c r="A2658" s="21">
        <v>66.0</v>
      </c>
      <c r="B2658" s="20" t="s">
        <v>5322</v>
      </c>
      <c r="C2658" s="20" t="s">
        <v>5854</v>
      </c>
      <c r="I2658" s="25" t="s">
        <v>2804</v>
      </c>
      <c r="J2658" s="25" t="s">
        <v>5323</v>
      </c>
      <c r="K2658" s="25" t="s">
        <v>71</v>
      </c>
      <c r="L2658" s="25" t="s">
        <v>5076</v>
      </c>
      <c r="M2658" s="20" t="s">
        <v>3426</v>
      </c>
      <c r="N2658" s="20" t="s">
        <v>4519</v>
      </c>
      <c r="O2658" s="20" t="s">
        <v>63</v>
      </c>
      <c r="P2658" s="20"/>
      <c r="Q2658" s="22"/>
      <c r="R2658" s="22"/>
      <c r="S2658" s="22"/>
      <c r="T2658" s="26"/>
      <c r="U2658" s="26"/>
      <c r="V2658" s="26"/>
      <c r="W2658" s="20"/>
      <c r="X2658" s="20"/>
      <c r="Y2658" s="20"/>
      <c r="Z2658" s="20"/>
      <c r="AA2658" s="20"/>
      <c r="AB2658" s="20"/>
      <c r="AC2658" s="20"/>
      <c r="AD2658" s="20"/>
      <c r="AE2658" s="20"/>
    </row>
    <row r="2659">
      <c r="A2659" s="21">
        <v>66.0</v>
      </c>
      <c r="B2659" s="20" t="s">
        <v>5322</v>
      </c>
      <c r="C2659" s="20" t="s">
        <v>5854</v>
      </c>
      <c r="I2659" s="25" t="s">
        <v>2793</v>
      </c>
      <c r="J2659" s="25" t="s">
        <v>5324</v>
      </c>
      <c r="K2659" s="25" t="s">
        <v>71</v>
      </c>
      <c r="L2659" s="25" t="s">
        <v>5076</v>
      </c>
      <c r="M2659" s="20" t="s">
        <v>5369</v>
      </c>
      <c r="N2659" s="20" t="s">
        <v>5370</v>
      </c>
      <c r="O2659" s="20" t="s">
        <v>63</v>
      </c>
      <c r="P2659" s="20"/>
      <c r="Q2659" s="22"/>
      <c r="R2659" s="22"/>
      <c r="S2659" s="22"/>
      <c r="T2659" s="20"/>
      <c r="U2659" s="26"/>
      <c r="V2659" s="26"/>
      <c r="W2659" s="20"/>
      <c r="X2659" s="20"/>
      <c r="Y2659" s="20"/>
      <c r="Z2659" s="20"/>
      <c r="AA2659" s="20"/>
      <c r="AB2659" s="20"/>
      <c r="AC2659" s="20"/>
      <c r="AD2659" s="20"/>
      <c r="AE2659" s="20"/>
    </row>
    <row r="2660">
      <c r="A2660" s="21">
        <v>66.0</v>
      </c>
      <c r="B2660" s="20" t="s">
        <v>5322</v>
      </c>
      <c r="C2660" s="20" t="s">
        <v>5854</v>
      </c>
      <c r="I2660" s="25" t="s">
        <v>1690</v>
      </c>
      <c r="J2660" s="25" t="s">
        <v>5323</v>
      </c>
      <c r="K2660" s="25" t="s">
        <v>71</v>
      </c>
      <c r="L2660" s="25" t="s">
        <v>4742</v>
      </c>
      <c r="M2660" s="20" t="s">
        <v>1691</v>
      </c>
      <c r="N2660" s="20" t="s">
        <v>4520</v>
      </c>
      <c r="O2660" s="20" t="s">
        <v>63</v>
      </c>
      <c r="P2660" s="20"/>
      <c r="Q2660" s="22"/>
      <c r="R2660" s="22"/>
      <c r="S2660" s="22"/>
      <c r="T2660" s="26"/>
      <c r="U2660" s="26"/>
      <c r="V2660" s="26"/>
      <c r="W2660" s="20"/>
      <c r="X2660" s="20"/>
      <c r="Y2660" s="20"/>
      <c r="Z2660" s="20"/>
      <c r="AA2660" s="20"/>
      <c r="AB2660" s="20"/>
      <c r="AC2660" s="20"/>
      <c r="AD2660" s="20"/>
      <c r="AE2660" s="20"/>
    </row>
    <row r="2661">
      <c r="A2661" s="21">
        <v>66.0</v>
      </c>
      <c r="B2661" s="20" t="s">
        <v>5322</v>
      </c>
      <c r="C2661" s="20" t="s">
        <v>5854</v>
      </c>
      <c r="I2661" s="25" t="s">
        <v>109</v>
      </c>
      <c r="J2661" s="25" t="s">
        <v>5323</v>
      </c>
      <c r="K2661" s="25" t="s">
        <v>71</v>
      </c>
      <c r="L2661" s="25" t="s">
        <v>5074</v>
      </c>
      <c r="M2661" s="20" t="s">
        <v>110</v>
      </c>
      <c r="N2661" s="20" t="s">
        <v>111</v>
      </c>
      <c r="O2661" s="20" t="s">
        <v>63</v>
      </c>
      <c r="P2661" s="20"/>
      <c r="Q2661" s="22"/>
      <c r="R2661" s="22"/>
      <c r="S2661" s="22"/>
      <c r="T2661" s="20"/>
      <c r="U2661" s="26"/>
      <c r="V2661" s="26"/>
      <c r="W2661" s="20"/>
      <c r="X2661" s="20"/>
      <c r="Y2661" s="20"/>
      <c r="Z2661" s="20"/>
      <c r="AA2661" s="20"/>
      <c r="AB2661" s="20"/>
      <c r="AC2661" s="20"/>
      <c r="AD2661" s="20"/>
      <c r="AE2661" s="20"/>
    </row>
    <row r="2662">
      <c r="A2662" s="21">
        <v>66.0</v>
      </c>
      <c r="B2662" s="20" t="s">
        <v>5322</v>
      </c>
      <c r="C2662" s="20" t="s">
        <v>5854</v>
      </c>
      <c r="I2662" s="25" t="s">
        <v>4084</v>
      </c>
      <c r="J2662" s="25" t="s">
        <v>5324</v>
      </c>
      <c r="K2662" s="25" t="s">
        <v>71</v>
      </c>
      <c r="L2662" s="25" t="s">
        <v>4742</v>
      </c>
      <c r="M2662" s="20" t="s">
        <v>4085</v>
      </c>
      <c r="N2662" s="20" t="s">
        <v>5371</v>
      </c>
      <c r="O2662" s="20" t="s">
        <v>63</v>
      </c>
      <c r="P2662" s="20"/>
      <c r="Q2662" s="22"/>
      <c r="R2662" s="22"/>
      <c r="S2662" s="22"/>
      <c r="T2662" s="20"/>
      <c r="U2662" s="26"/>
      <c r="V2662" s="26"/>
      <c r="W2662" s="20"/>
      <c r="X2662" s="20"/>
      <c r="Y2662" s="20"/>
      <c r="Z2662" s="20"/>
      <c r="AA2662" s="20"/>
      <c r="AB2662" s="20"/>
      <c r="AC2662" s="20"/>
      <c r="AD2662" s="20"/>
      <c r="AE2662" s="20"/>
    </row>
    <row r="2663">
      <c r="A2663" s="21">
        <v>66.0</v>
      </c>
      <c r="B2663" s="20" t="s">
        <v>5322</v>
      </c>
      <c r="C2663" s="20" t="s">
        <v>5854</v>
      </c>
      <c r="I2663" s="25" t="s">
        <v>4526</v>
      </c>
      <c r="J2663" s="25" t="s">
        <v>5323</v>
      </c>
      <c r="K2663" s="25" t="s">
        <v>71</v>
      </c>
      <c r="L2663" s="25" t="s">
        <v>5076</v>
      </c>
      <c r="M2663" s="20" t="s">
        <v>4527</v>
      </c>
      <c r="N2663" s="20" t="s">
        <v>4528</v>
      </c>
      <c r="O2663" s="20" t="s">
        <v>63</v>
      </c>
      <c r="P2663" s="20"/>
      <c r="Q2663" s="22"/>
      <c r="R2663" s="22"/>
      <c r="S2663" s="22"/>
      <c r="T2663" s="20"/>
      <c r="U2663" s="26"/>
      <c r="V2663" s="26"/>
      <c r="W2663" s="20"/>
      <c r="X2663" s="20"/>
      <c r="Y2663" s="20"/>
      <c r="Z2663" s="20"/>
      <c r="AA2663" s="20"/>
      <c r="AB2663" s="20"/>
      <c r="AC2663" s="20"/>
      <c r="AD2663" s="20"/>
      <c r="AE2663" s="20"/>
    </row>
    <row r="2664">
      <c r="A2664" s="21">
        <v>66.0</v>
      </c>
      <c r="B2664" s="20" t="s">
        <v>5322</v>
      </c>
      <c r="C2664" s="20" t="s">
        <v>5854</v>
      </c>
      <c r="I2664" s="25" t="s">
        <v>4091</v>
      </c>
      <c r="J2664" s="25" t="s">
        <v>5323</v>
      </c>
      <c r="K2664" s="25" t="s">
        <v>71</v>
      </c>
      <c r="L2664" s="25" t="s">
        <v>4742</v>
      </c>
      <c r="M2664" s="20" t="s">
        <v>4487</v>
      </c>
      <c r="N2664" s="20" t="s">
        <v>4488</v>
      </c>
      <c r="O2664" s="20" t="s">
        <v>63</v>
      </c>
      <c r="P2664" s="20"/>
      <c r="Q2664" s="22"/>
      <c r="R2664" s="22"/>
      <c r="S2664" s="22"/>
      <c r="T2664" s="20"/>
      <c r="U2664" s="26"/>
      <c r="V2664" s="26"/>
      <c r="W2664" s="20"/>
      <c r="X2664" s="20"/>
      <c r="Y2664" s="20"/>
      <c r="Z2664" s="20"/>
      <c r="AA2664" s="20"/>
      <c r="AB2664" s="20"/>
      <c r="AC2664" s="20"/>
      <c r="AD2664" s="20"/>
      <c r="AE2664" s="20"/>
    </row>
    <row r="2665">
      <c r="A2665" s="21">
        <v>66.0</v>
      </c>
      <c r="B2665" s="20" t="s">
        <v>5322</v>
      </c>
      <c r="C2665" s="20" t="s">
        <v>5854</v>
      </c>
      <c r="I2665" s="25" t="s">
        <v>60</v>
      </c>
      <c r="J2665" s="25" t="s">
        <v>5324</v>
      </c>
      <c r="K2665" s="25" t="s">
        <v>71</v>
      </c>
      <c r="L2665" s="25" t="s">
        <v>4742</v>
      </c>
      <c r="M2665" s="20" t="s">
        <v>61</v>
      </c>
      <c r="N2665" s="20" t="s">
        <v>4119</v>
      </c>
      <c r="O2665" s="20" t="s">
        <v>63</v>
      </c>
      <c r="P2665" s="20"/>
      <c r="Q2665" s="22"/>
      <c r="R2665" s="22"/>
      <c r="S2665" s="22"/>
      <c r="T2665" s="20"/>
      <c r="U2665" s="26"/>
      <c r="V2665" s="26"/>
      <c r="W2665" s="20"/>
      <c r="X2665" s="20"/>
      <c r="Y2665" s="20"/>
      <c r="Z2665" s="20"/>
      <c r="AA2665" s="20"/>
      <c r="AB2665" s="20"/>
      <c r="AC2665" s="20"/>
      <c r="AD2665" s="20"/>
      <c r="AE2665" s="20"/>
    </row>
    <row r="2666">
      <c r="A2666" s="21">
        <v>66.0</v>
      </c>
      <c r="B2666" s="20" t="s">
        <v>5322</v>
      </c>
      <c r="C2666" s="20" t="s">
        <v>5854</v>
      </c>
      <c r="I2666" s="25" t="s">
        <v>5372</v>
      </c>
      <c r="J2666" s="25" t="s">
        <v>5324</v>
      </c>
      <c r="K2666" s="25" t="s">
        <v>71</v>
      </c>
      <c r="L2666" s="25" t="s">
        <v>5076</v>
      </c>
      <c r="M2666" s="20" t="s">
        <v>61</v>
      </c>
      <c r="N2666" s="20" t="s">
        <v>5373</v>
      </c>
      <c r="O2666" s="20" t="s">
        <v>63</v>
      </c>
      <c r="P2666" s="20"/>
      <c r="Q2666" s="22"/>
      <c r="R2666" s="22"/>
      <c r="S2666" s="22"/>
      <c r="T2666" s="20"/>
      <c r="U2666" s="26"/>
      <c r="V2666" s="26"/>
      <c r="W2666" s="20"/>
      <c r="X2666" s="20"/>
      <c r="Y2666" s="20"/>
      <c r="Z2666" s="20"/>
      <c r="AA2666" s="20"/>
      <c r="AB2666" s="20"/>
      <c r="AC2666" s="20"/>
      <c r="AD2666" s="20"/>
      <c r="AE2666" s="20"/>
    </row>
    <row r="2667">
      <c r="A2667" s="21">
        <v>66.0</v>
      </c>
      <c r="B2667" s="20" t="s">
        <v>5322</v>
      </c>
      <c r="C2667" s="20" t="s">
        <v>5854</v>
      </c>
      <c r="I2667" s="25" t="s">
        <v>2591</v>
      </c>
      <c r="J2667" s="25" t="s">
        <v>5323</v>
      </c>
      <c r="K2667" s="25" t="s">
        <v>71</v>
      </c>
      <c r="L2667" s="25" t="s">
        <v>4742</v>
      </c>
      <c r="M2667" s="20" t="s">
        <v>3069</v>
      </c>
      <c r="N2667" s="20" t="s">
        <v>4731</v>
      </c>
      <c r="O2667" s="20" t="s">
        <v>63</v>
      </c>
      <c r="P2667" s="20"/>
      <c r="Q2667" s="22"/>
      <c r="R2667" s="22"/>
      <c r="S2667" s="22"/>
      <c r="T2667" s="20"/>
      <c r="U2667" s="26"/>
      <c r="V2667" s="26"/>
      <c r="W2667" s="20"/>
      <c r="X2667" s="20"/>
      <c r="Y2667" s="20"/>
      <c r="Z2667" s="20"/>
      <c r="AA2667" s="20"/>
      <c r="AB2667" s="20"/>
      <c r="AC2667" s="20"/>
      <c r="AD2667" s="20"/>
      <c r="AE2667" s="20"/>
    </row>
    <row r="2668">
      <c r="A2668" s="21">
        <v>66.0</v>
      </c>
      <c r="B2668" s="20" t="s">
        <v>5322</v>
      </c>
      <c r="C2668" s="20" t="s">
        <v>5854</v>
      </c>
      <c r="I2668" s="25" t="s">
        <v>1677</v>
      </c>
      <c r="J2668" s="25" t="s">
        <v>5323</v>
      </c>
      <c r="K2668" s="25" t="s">
        <v>71</v>
      </c>
      <c r="L2668" s="25" t="s">
        <v>292</v>
      </c>
      <c r="M2668" s="20" t="s">
        <v>5031</v>
      </c>
      <c r="N2668" s="20" t="s">
        <v>5032</v>
      </c>
      <c r="O2668" s="20" t="s">
        <v>63</v>
      </c>
      <c r="P2668" s="20" t="s">
        <v>52</v>
      </c>
      <c r="Q2668" s="22"/>
      <c r="R2668" s="22"/>
      <c r="S2668" s="22"/>
      <c r="T2668" s="22"/>
      <c r="U2668" s="26"/>
      <c r="V2668" s="26"/>
      <c r="W2668" s="20"/>
      <c r="X2668" s="20"/>
      <c r="Y2668" s="20"/>
      <c r="Z2668" s="20"/>
      <c r="AA2668" s="20"/>
      <c r="AB2668" s="20"/>
      <c r="AC2668" s="20"/>
      <c r="AD2668" s="20"/>
      <c r="AE2668" s="20"/>
    </row>
    <row r="2669">
      <c r="A2669" s="21">
        <v>66.0</v>
      </c>
      <c r="B2669" s="20" t="s">
        <v>5322</v>
      </c>
      <c r="C2669" s="20" t="s">
        <v>5854</v>
      </c>
      <c r="I2669" s="25" t="s">
        <v>2595</v>
      </c>
      <c r="J2669" s="25" t="s">
        <v>5324</v>
      </c>
      <c r="K2669" s="25" t="s">
        <v>71</v>
      </c>
      <c r="L2669" s="25" t="s">
        <v>4742</v>
      </c>
      <c r="M2669" s="20" t="s">
        <v>5374</v>
      </c>
      <c r="N2669" s="20" t="s">
        <v>5375</v>
      </c>
      <c r="O2669" s="20" t="s">
        <v>63</v>
      </c>
      <c r="P2669" s="20"/>
      <c r="Q2669" s="22"/>
      <c r="R2669" s="22"/>
      <c r="S2669" s="22"/>
      <c r="T2669" s="20"/>
      <c r="U2669" s="26"/>
      <c r="V2669" s="26"/>
      <c r="W2669" s="20"/>
      <c r="X2669" s="20"/>
      <c r="Y2669" s="20"/>
      <c r="Z2669" s="20"/>
      <c r="AA2669" s="20"/>
      <c r="AB2669" s="20"/>
      <c r="AC2669" s="20"/>
      <c r="AD2669" s="20"/>
      <c r="AE2669" s="20"/>
    </row>
    <row r="2670">
      <c r="A2670" s="21">
        <v>66.0</v>
      </c>
      <c r="B2670" s="20" t="s">
        <v>5322</v>
      </c>
      <c r="C2670" s="20" t="s">
        <v>5854</v>
      </c>
      <c r="I2670" s="25" t="s">
        <v>2585</v>
      </c>
      <c r="J2670" s="25" t="s">
        <v>5323</v>
      </c>
      <c r="K2670" s="25" t="s">
        <v>71</v>
      </c>
      <c r="L2670" s="25" t="s">
        <v>4742</v>
      </c>
      <c r="M2670" s="20" t="s">
        <v>2586</v>
      </c>
      <c r="N2670" s="20" t="s">
        <v>4784</v>
      </c>
      <c r="O2670" s="20" t="s">
        <v>63</v>
      </c>
      <c r="P2670" s="20"/>
      <c r="Q2670" s="22"/>
      <c r="R2670" s="22"/>
      <c r="S2670" s="22"/>
      <c r="T2670" s="20"/>
      <c r="U2670" s="26"/>
      <c r="V2670" s="26"/>
      <c r="W2670" s="20"/>
      <c r="X2670" s="20"/>
      <c r="Y2670" s="20"/>
      <c r="Z2670" s="20"/>
      <c r="AA2670" s="20"/>
      <c r="AB2670" s="20"/>
      <c r="AC2670" s="20"/>
      <c r="AD2670" s="20"/>
      <c r="AE2670" s="20"/>
    </row>
    <row r="2671">
      <c r="A2671" s="21">
        <v>66.0</v>
      </c>
      <c r="B2671" s="20" t="s">
        <v>5322</v>
      </c>
      <c r="C2671" s="20" t="s">
        <v>5854</v>
      </c>
      <c r="I2671" s="25" t="s">
        <v>4493</v>
      </c>
      <c r="J2671" s="25" t="s">
        <v>5323</v>
      </c>
      <c r="K2671" s="25" t="s">
        <v>71</v>
      </c>
      <c r="L2671" s="25" t="s">
        <v>226</v>
      </c>
      <c r="M2671" s="20" t="s">
        <v>61</v>
      </c>
      <c r="N2671" s="20" t="s">
        <v>5334</v>
      </c>
      <c r="O2671" s="20" t="s">
        <v>63</v>
      </c>
      <c r="P2671" s="20" t="s">
        <v>52</v>
      </c>
      <c r="Q2671" s="22"/>
      <c r="R2671" s="22"/>
      <c r="S2671" s="22"/>
      <c r="T2671" s="22"/>
      <c r="U2671" s="26"/>
      <c r="V2671" s="26"/>
      <c r="W2671" s="20"/>
      <c r="X2671" s="20"/>
      <c r="Y2671" s="20"/>
      <c r="Z2671" s="20"/>
      <c r="AA2671" s="20"/>
      <c r="AB2671" s="20"/>
      <c r="AC2671" s="20"/>
      <c r="AD2671" s="20"/>
      <c r="AE2671" s="20"/>
    </row>
    <row r="2672">
      <c r="A2672" s="21">
        <v>66.0</v>
      </c>
      <c r="B2672" s="20" t="s">
        <v>5322</v>
      </c>
      <c r="C2672" s="20" t="s">
        <v>5854</v>
      </c>
      <c r="I2672" s="25" t="s">
        <v>53</v>
      </c>
      <c r="J2672" s="25" t="s">
        <v>5323</v>
      </c>
      <c r="K2672" s="25" t="s">
        <v>71</v>
      </c>
      <c r="L2672" s="25" t="s">
        <v>4742</v>
      </c>
      <c r="M2672" s="20" t="s">
        <v>4531</v>
      </c>
      <c r="N2672" s="20" t="s">
        <v>4532</v>
      </c>
      <c r="O2672" s="20" t="s">
        <v>63</v>
      </c>
      <c r="P2672" s="20"/>
      <c r="Q2672" s="22"/>
      <c r="R2672" s="22"/>
      <c r="S2672" s="22"/>
      <c r="T2672" s="20"/>
      <c r="U2672" s="26"/>
      <c r="V2672" s="26"/>
      <c r="W2672" s="20"/>
      <c r="X2672" s="20"/>
      <c r="Y2672" s="20"/>
      <c r="Z2672" s="20"/>
      <c r="AA2672" s="20"/>
      <c r="AB2672" s="20"/>
      <c r="AC2672" s="20"/>
      <c r="AD2672" s="20"/>
      <c r="AE2672" s="20"/>
    </row>
    <row r="2673">
      <c r="A2673" s="21">
        <v>66.0</v>
      </c>
      <c r="B2673" s="20" t="s">
        <v>5322</v>
      </c>
      <c r="C2673" s="20" t="s">
        <v>5854</v>
      </c>
      <c r="I2673" s="25" t="s">
        <v>2753</v>
      </c>
      <c r="J2673" s="25" t="s">
        <v>5323</v>
      </c>
      <c r="K2673" s="25" t="s">
        <v>71</v>
      </c>
      <c r="L2673" s="25" t="s">
        <v>4742</v>
      </c>
      <c r="M2673" s="20" t="s">
        <v>4497</v>
      </c>
      <c r="N2673" s="20" t="s">
        <v>4488</v>
      </c>
      <c r="O2673" s="20" t="s">
        <v>63</v>
      </c>
      <c r="P2673" s="20"/>
      <c r="Q2673" s="22"/>
      <c r="R2673" s="22"/>
      <c r="S2673" s="22"/>
      <c r="T2673" s="20"/>
      <c r="U2673" s="26"/>
      <c r="V2673" s="26"/>
      <c r="W2673" s="20"/>
      <c r="X2673" s="20"/>
      <c r="Y2673" s="20"/>
      <c r="Z2673" s="20"/>
      <c r="AA2673" s="20"/>
      <c r="AB2673" s="20"/>
      <c r="AC2673" s="20"/>
      <c r="AD2673" s="20"/>
      <c r="AE2673" s="20"/>
    </row>
    <row r="2674">
      <c r="A2674" s="21">
        <v>66.0</v>
      </c>
      <c r="B2674" s="20" t="s">
        <v>5322</v>
      </c>
      <c r="C2674" s="20" t="s">
        <v>5854</v>
      </c>
      <c r="I2674" s="25" t="s">
        <v>1732</v>
      </c>
      <c r="J2674" s="25" t="s">
        <v>5324</v>
      </c>
      <c r="K2674" s="25" t="s">
        <v>71</v>
      </c>
      <c r="L2674" s="25" t="s">
        <v>5133</v>
      </c>
      <c r="M2674" s="20" t="s">
        <v>4536</v>
      </c>
      <c r="N2674" s="20" t="s">
        <v>4537</v>
      </c>
      <c r="O2674" s="20" t="s">
        <v>63</v>
      </c>
      <c r="P2674" s="20"/>
      <c r="Q2674" s="22"/>
      <c r="R2674" s="22"/>
      <c r="S2674" s="22"/>
      <c r="T2674" s="20"/>
      <c r="U2674" s="26"/>
      <c r="V2674" s="26"/>
      <c r="W2674" s="20"/>
      <c r="X2674" s="20"/>
      <c r="Y2674" s="20"/>
      <c r="Z2674" s="20"/>
      <c r="AA2674" s="20"/>
      <c r="AB2674" s="20"/>
      <c r="AC2674" s="20"/>
      <c r="AD2674" s="20"/>
      <c r="AE2674" s="20"/>
    </row>
    <row r="2675">
      <c r="A2675" s="21">
        <v>66.0</v>
      </c>
      <c r="B2675" s="20" t="s">
        <v>5322</v>
      </c>
      <c r="C2675" s="20" t="s">
        <v>5854</v>
      </c>
      <c r="I2675" s="25" t="s">
        <v>561</v>
      </c>
      <c r="J2675" s="25" t="s">
        <v>5323</v>
      </c>
      <c r="K2675" s="25" t="s">
        <v>71</v>
      </c>
      <c r="L2675" s="25" t="s">
        <v>292</v>
      </c>
      <c r="M2675" s="20" t="s">
        <v>907</v>
      </c>
      <c r="N2675" s="20" t="s">
        <v>4738</v>
      </c>
      <c r="O2675" s="20" t="s">
        <v>63</v>
      </c>
      <c r="P2675" s="20" t="s">
        <v>52</v>
      </c>
      <c r="Q2675" s="22"/>
      <c r="R2675" s="22"/>
      <c r="S2675" s="22"/>
      <c r="T2675" s="22"/>
      <c r="U2675" s="26"/>
      <c r="V2675" s="26"/>
      <c r="W2675" s="20"/>
      <c r="X2675" s="20"/>
      <c r="Y2675" s="20"/>
      <c r="Z2675" s="20"/>
      <c r="AA2675" s="20"/>
      <c r="AB2675" s="20"/>
      <c r="AC2675" s="20"/>
      <c r="AD2675" s="20"/>
      <c r="AE2675" s="20"/>
    </row>
    <row r="2676">
      <c r="A2676" s="21">
        <v>66.0</v>
      </c>
      <c r="B2676" s="20" t="s">
        <v>5322</v>
      </c>
      <c r="C2676" s="20" t="s">
        <v>5854</v>
      </c>
      <c r="I2676" s="25" t="s">
        <v>201</v>
      </c>
      <c r="J2676" s="25" t="s">
        <v>5324</v>
      </c>
      <c r="K2676" s="25" t="s">
        <v>71</v>
      </c>
      <c r="L2676" s="25" t="s">
        <v>4742</v>
      </c>
      <c r="M2676" s="20" t="s">
        <v>4498</v>
      </c>
      <c r="N2676" s="20" t="s">
        <v>4927</v>
      </c>
      <c r="O2676" s="20" t="s">
        <v>63</v>
      </c>
      <c r="P2676" s="20"/>
      <c r="Q2676" s="22"/>
      <c r="R2676" s="22"/>
      <c r="S2676" s="22"/>
      <c r="T2676" s="20"/>
      <c r="U2676" s="26"/>
      <c r="V2676" s="26"/>
      <c r="W2676" s="20"/>
      <c r="X2676" s="20"/>
      <c r="Y2676" s="20"/>
      <c r="Z2676" s="20"/>
      <c r="AA2676" s="20"/>
      <c r="AB2676" s="20"/>
      <c r="AC2676" s="20"/>
      <c r="AD2676" s="20"/>
      <c r="AE2676" s="20"/>
    </row>
    <row r="2677">
      <c r="A2677" s="21">
        <v>66.0</v>
      </c>
      <c r="B2677" s="20" t="s">
        <v>5322</v>
      </c>
      <c r="C2677" s="20" t="s">
        <v>5854</v>
      </c>
      <c r="I2677" s="25" t="s">
        <v>2756</v>
      </c>
      <c r="J2677" s="25" t="s">
        <v>5323</v>
      </c>
      <c r="K2677" s="25" t="s">
        <v>71</v>
      </c>
      <c r="L2677" s="25" t="s">
        <v>5076</v>
      </c>
      <c r="M2677" s="20" t="s">
        <v>4538</v>
      </c>
      <c r="N2677" s="20" t="s">
        <v>4539</v>
      </c>
      <c r="O2677" s="20" t="s">
        <v>63</v>
      </c>
      <c r="P2677" s="20"/>
      <c r="Q2677" s="22"/>
      <c r="R2677" s="22"/>
      <c r="S2677" s="22"/>
      <c r="T2677" s="20"/>
      <c r="U2677" s="26"/>
      <c r="V2677" s="26"/>
      <c r="W2677" s="20"/>
      <c r="X2677" s="20"/>
      <c r="Y2677" s="20"/>
      <c r="Z2677" s="20"/>
      <c r="AA2677" s="20"/>
      <c r="AB2677" s="20"/>
      <c r="AC2677" s="20"/>
      <c r="AD2677" s="20"/>
      <c r="AE2677" s="20"/>
    </row>
    <row r="2678">
      <c r="A2678" s="21">
        <v>66.0</v>
      </c>
      <c r="B2678" s="20" t="s">
        <v>5322</v>
      </c>
      <c r="C2678" s="20" t="s">
        <v>5854</v>
      </c>
      <c r="I2678" s="25" t="s">
        <v>212</v>
      </c>
      <c r="J2678" s="25" t="s">
        <v>5324</v>
      </c>
      <c r="K2678" s="25" t="s">
        <v>71</v>
      </c>
      <c r="L2678" s="25" t="s">
        <v>4742</v>
      </c>
      <c r="M2678" s="20" t="s">
        <v>5055</v>
      </c>
      <c r="N2678" s="20" t="s">
        <v>5056</v>
      </c>
      <c r="O2678" s="20" t="s">
        <v>63</v>
      </c>
      <c r="P2678" s="20"/>
      <c r="Q2678" s="22"/>
      <c r="R2678" s="22"/>
      <c r="S2678" s="22"/>
      <c r="T2678" s="20"/>
      <c r="U2678" s="26"/>
      <c r="V2678" s="26"/>
      <c r="W2678" s="20"/>
      <c r="X2678" s="20"/>
      <c r="Y2678" s="20"/>
      <c r="Z2678" s="20"/>
      <c r="AA2678" s="20"/>
      <c r="AB2678" s="20"/>
      <c r="AC2678" s="20"/>
      <c r="AD2678" s="20"/>
      <c r="AE2678" s="20"/>
    </row>
    <row r="2679">
      <c r="A2679" s="21">
        <v>66.0</v>
      </c>
      <c r="B2679" s="20" t="s">
        <v>5322</v>
      </c>
      <c r="C2679" s="20" t="s">
        <v>5854</v>
      </c>
      <c r="I2679" s="25" t="s">
        <v>423</v>
      </c>
      <c r="J2679" s="25" t="s">
        <v>5323</v>
      </c>
      <c r="K2679" s="25" t="s">
        <v>71</v>
      </c>
      <c r="L2679" s="25" t="s">
        <v>226</v>
      </c>
      <c r="M2679" s="20" t="s">
        <v>4739</v>
      </c>
      <c r="N2679" s="20" t="s">
        <v>4740</v>
      </c>
      <c r="O2679" s="20" t="s">
        <v>63</v>
      </c>
      <c r="P2679" s="20" t="s">
        <v>52</v>
      </c>
      <c r="Q2679" s="22"/>
      <c r="R2679" s="22"/>
      <c r="S2679" s="22"/>
      <c r="T2679" s="22"/>
      <c r="U2679" s="26"/>
      <c r="V2679" s="26"/>
      <c r="W2679" s="20"/>
      <c r="X2679" s="20"/>
      <c r="Y2679" s="20"/>
      <c r="Z2679" s="20"/>
      <c r="AA2679" s="20"/>
      <c r="AB2679" s="20"/>
      <c r="AC2679" s="20"/>
      <c r="AD2679" s="20"/>
      <c r="AE2679" s="20"/>
    </row>
    <row r="2680">
      <c r="A2680" s="21">
        <v>66.0</v>
      </c>
      <c r="B2680" s="20" t="s">
        <v>5322</v>
      </c>
      <c r="C2680" s="20" t="s">
        <v>5854</v>
      </c>
      <c r="I2680" s="25" t="s">
        <v>1331</v>
      </c>
      <c r="J2680" s="25" t="s">
        <v>5324</v>
      </c>
      <c r="K2680" s="25" t="s">
        <v>71</v>
      </c>
      <c r="L2680" s="25" t="s">
        <v>5076</v>
      </c>
      <c r="M2680" s="20" t="s">
        <v>4540</v>
      </c>
      <c r="N2680" s="20" t="s">
        <v>4541</v>
      </c>
      <c r="O2680" s="20" t="s">
        <v>63</v>
      </c>
      <c r="P2680" s="20"/>
      <c r="Q2680" s="22"/>
      <c r="R2680" s="22"/>
      <c r="S2680" s="22"/>
      <c r="T2680" s="20"/>
      <c r="U2680" s="26"/>
      <c r="V2680" s="26"/>
      <c r="W2680" s="20"/>
      <c r="X2680" s="20"/>
      <c r="Y2680" s="20"/>
      <c r="Z2680" s="20"/>
      <c r="AA2680" s="20"/>
      <c r="AB2680" s="20"/>
      <c r="AC2680" s="20"/>
      <c r="AD2680" s="20"/>
      <c r="AE2680" s="20"/>
    </row>
    <row r="2681">
      <c r="A2681" s="21">
        <v>66.0</v>
      </c>
      <c r="B2681" s="20" t="s">
        <v>5322</v>
      </c>
      <c r="C2681" s="20" t="s">
        <v>5854</v>
      </c>
      <c r="I2681" s="25" t="s">
        <v>4505</v>
      </c>
      <c r="J2681" s="25" t="s">
        <v>5324</v>
      </c>
      <c r="K2681" s="25" t="s">
        <v>71</v>
      </c>
      <c r="L2681" s="25" t="s">
        <v>5076</v>
      </c>
      <c r="M2681" s="20" t="s">
        <v>5376</v>
      </c>
      <c r="N2681" s="20" t="s">
        <v>5377</v>
      </c>
      <c r="O2681" s="20" t="s">
        <v>63</v>
      </c>
      <c r="P2681" s="20"/>
      <c r="Q2681" s="22"/>
      <c r="R2681" s="22"/>
      <c r="S2681" s="22"/>
      <c r="T2681" s="20"/>
      <c r="U2681" s="26"/>
      <c r="V2681" s="26"/>
      <c r="W2681" s="20"/>
      <c r="X2681" s="20"/>
      <c r="Y2681" s="20"/>
      <c r="Z2681" s="20"/>
      <c r="AA2681" s="20"/>
      <c r="AB2681" s="20"/>
      <c r="AC2681" s="20"/>
      <c r="AD2681" s="20"/>
      <c r="AE2681" s="20"/>
    </row>
    <row r="2682">
      <c r="A2682" s="21">
        <v>66.0</v>
      </c>
      <c r="B2682" s="20" t="s">
        <v>5322</v>
      </c>
      <c r="C2682" s="20" t="s">
        <v>5854</v>
      </c>
      <c r="I2682" s="25" t="s">
        <v>3079</v>
      </c>
      <c r="J2682" s="25" t="s">
        <v>5323</v>
      </c>
      <c r="K2682" s="25" t="s">
        <v>71</v>
      </c>
      <c r="L2682" s="25" t="s">
        <v>4742</v>
      </c>
      <c r="M2682" s="20" t="s">
        <v>3080</v>
      </c>
      <c r="N2682" s="20" t="s">
        <v>4542</v>
      </c>
      <c r="O2682" s="20" t="s">
        <v>63</v>
      </c>
      <c r="P2682" s="20"/>
      <c r="Q2682" s="22"/>
      <c r="R2682" s="22"/>
      <c r="S2682" s="22"/>
      <c r="T2682" s="20"/>
      <c r="U2682" s="26"/>
      <c r="V2682" s="26"/>
      <c r="W2682" s="20"/>
      <c r="X2682" s="20"/>
      <c r="Y2682" s="20"/>
      <c r="Z2682" s="20"/>
      <c r="AA2682" s="20"/>
      <c r="AB2682" s="20"/>
      <c r="AC2682" s="20"/>
      <c r="AD2682" s="20"/>
      <c r="AE2682" s="20"/>
    </row>
    <row r="2683">
      <c r="A2683" s="21">
        <v>66.0</v>
      </c>
      <c r="B2683" s="20" t="s">
        <v>5322</v>
      </c>
      <c r="C2683" s="20" t="s">
        <v>5854</v>
      </c>
      <c r="I2683" s="25" t="s">
        <v>2680</v>
      </c>
      <c r="J2683" s="25" t="s">
        <v>5323</v>
      </c>
      <c r="K2683" s="25" t="s">
        <v>71</v>
      </c>
      <c r="L2683" s="25" t="s">
        <v>226</v>
      </c>
      <c r="M2683" s="20" t="s">
        <v>4925</v>
      </c>
      <c r="N2683" s="20" t="s">
        <v>3524</v>
      </c>
      <c r="O2683" s="20" t="s">
        <v>63</v>
      </c>
      <c r="P2683" s="20" t="s">
        <v>52</v>
      </c>
      <c r="Q2683" s="22"/>
      <c r="R2683" s="22"/>
      <c r="S2683" s="22"/>
      <c r="T2683" s="22"/>
      <c r="U2683" s="26"/>
      <c r="V2683" s="26"/>
      <c r="W2683" s="20"/>
      <c r="X2683" s="20"/>
      <c r="Y2683" s="20"/>
      <c r="Z2683" s="20"/>
      <c r="AA2683" s="20"/>
      <c r="AB2683" s="20"/>
      <c r="AC2683" s="20"/>
      <c r="AD2683" s="20"/>
      <c r="AE2683" s="20"/>
    </row>
    <row r="2684">
      <c r="A2684" s="21">
        <v>66.0</v>
      </c>
      <c r="B2684" s="20" t="s">
        <v>5322</v>
      </c>
      <c r="C2684" s="20" t="s">
        <v>5854</v>
      </c>
      <c r="I2684" s="25" t="s">
        <v>1303</v>
      </c>
      <c r="J2684" s="25" t="s">
        <v>5324</v>
      </c>
      <c r="K2684" s="25" t="s">
        <v>71</v>
      </c>
      <c r="L2684" s="25" t="s">
        <v>4742</v>
      </c>
      <c r="M2684" s="20" t="s">
        <v>5378</v>
      </c>
      <c r="N2684" s="20" t="s">
        <v>5379</v>
      </c>
      <c r="O2684" s="20" t="s">
        <v>63</v>
      </c>
      <c r="P2684" s="20"/>
      <c r="Q2684" s="22"/>
      <c r="R2684" s="22"/>
      <c r="S2684" s="22"/>
      <c r="T2684" s="20"/>
      <c r="U2684" s="26"/>
      <c r="V2684" s="26"/>
      <c r="W2684" s="20"/>
      <c r="X2684" s="20"/>
      <c r="Y2684" s="20"/>
      <c r="Z2684" s="20"/>
      <c r="AA2684" s="20"/>
      <c r="AB2684" s="20"/>
      <c r="AC2684" s="20"/>
      <c r="AD2684" s="20"/>
      <c r="AE2684" s="20"/>
    </row>
    <row r="2685">
      <c r="A2685" s="21">
        <v>66.0</v>
      </c>
      <c r="B2685" s="20" t="s">
        <v>5322</v>
      </c>
      <c r="C2685" s="20" t="s">
        <v>5854</v>
      </c>
      <c r="I2685" s="25" t="s">
        <v>1738</v>
      </c>
      <c r="J2685" s="25" t="s">
        <v>5324</v>
      </c>
      <c r="K2685" s="25" t="s">
        <v>71</v>
      </c>
      <c r="L2685" s="25" t="s">
        <v>5074</v>
      </c>
      <c r="M2685" s="20" t="s">
        <v>61</v>
      </c>
      <c r="N2685" s="20" t="s">
        <v>4893</v>
      </c>
      <c r="O2685" s="20" t="s">
        <v>63</v>
      </c>
      <c r="P2685" s="20"/>
      <c r="Q2685" s="22"/>
      <c r="R2685" s="22"/>
      <c r="S2685" s="22"/>
      <c r="T2685" s="20"/>
      <c r="U2685" s="26"/>
      <c r="V2685" s="26"/>
      <c r="W2685" s="20"/>
      <c r="X2685" s="20"/>
      <c r="Y2685" s="20"/>
      <c r="Z2685" s="20"/>
      <c r="AA2685" s="20"/>
      <c r="AB2685" s="20"/>
      <c r="AC2685" s="20"/>
      <c r="AD2685" s="20"/>
      <c r="AE2685" s="20"/>
    </row>
    <row r="2686">
      <c r="A2686" s="21">
        <v>66.0</v>
      </c>
      <c r="B2686" s="20" t="s">
        <v>5322</v>
      </c>
      <c r="C2686" s="20" t="s">
        <v>5854</v>
      </c>
      <c r="I2686" s="25" t="s">
        <v>2542</v>
      </c>
      <c r="J2686" s="25" t="s">
        <v>5324</v>
      </c>
      <c r="K2686" s="25" t="s">
        <v>71</v>
      </c>
      <c r="L2686" s="25" t="s">
        <v>5076</v>
      </c>
      <c r="M2686" s="20" t="s">
        <v>4510</v>
      </c>
      <c r="N2686" s="20" t="s">
        <v>4511</v>
      </c>
      <c r="O2686" s="20" t="s">
        <v>63</v>
      </c>
      <c r="P2686" s="20"/>
      <c r="Q2686" s="22"/>
      <c r="R2686" s="22"/>
      <c r="S2686" s="22"/>
      <c r="T2686" s="20"/>
      <c r="U2686" s="26"/>
      <c r="V2686" s="26"/>
      <c r="W2686" s="20"/>
      <c r="X2686" s="20"/>
      <c r="Y2686" s="20"/>
      <c r="Z2686" s="20"/>
      <c r="AA2686" s="20"/>
      <c r="AB2686" s="20"/>
      <c r="AC2686" s="20"/>
      <c r="AD2686" s="20"/>
      <c r="AE2686" s="20"/>
    </row>
    <row r="2687">
      <c r="A2687" s="21">
        <v>66.0</v>
      </c>
      <c r="B2687" s="20" t="s">
        <v>5322</v>
      </c>
      <c r="C2687" s="20" t="s">
        <v>5854</v>
      </c>
      <c r="I2687" s="25" t="s">
        <v>174</v>
      </c>
      <c r="J2687" s="25" t="s">
        <v>5323</v>
      </c>
      <c r="K2687" s="25" t="s">
        <v>71</v>
      </c>
      <c r="L2687" s="25" t="s">
        <v>5917</v>
      </c>
      <c r="M2687" s="20" t="s">
        <v>5338</v>
      </c>
      <c r="N2687" s="20" t="s">
        <v>5339</v>
      </c>
      <c r="O2687" s="20" t="s">
        <v>63</v>
      </c>
      <c r="P2687" s="20"/>
      <c r="Q2687" s="22"/>
      <c r="R2687" s="22"/>
      <c r="S2687" s="22"/>
      <c r="T2687" s="20"/>
      <c r="U2687" s="26"/>
      <c r="V2687" s="26"/>
      <c r="W2687" s="20"/>
      <c r="X2687" s="20"/>
      <c r="Y2687" s="20"/>
      <c r="Z2687" s="20"/>
      <c r="AA2687" s="20"/>
      <c r="AB2687" s="20"/>
      <c r="AC2687" s="20"/>
      <c r="AD2687" s="20"/>
      <c r="AE2687" s="20"/>
    </row>
    <row r="2688">
      <c r="A2688" s="21">
        <v>66.0</v>
      </c>
      <c r="B2688" s="20" t="s">
        <v>5322</v>
      </c>
      <c r="C2688" s="20" t="s">
        <v>5854</v>
      </c>
      <c r="I2688" s="25" t="s">
        <v>2551</v>
      </c>
      <c r="J2688" s="25" t="s">
        <v>5324</v>
      </c>
      <c r="K2688" s="25" t="s">
        <v>71</v>
      </c>
      <c r="L2688" s="25" t="s">
        <v>5076</v>
      </c>
      <c r="M2688" s="20" t="s">
        <v>5380</v>
      </c>
      <c r="N2688" s="20" t="s">
        <v>5381</v>
      </c>
      <c r="O2688" s="20" t="s">
        <v>63</v>
      </c>
      <c r="P2688" s="20"/>
      <c r="Q2688" s="22"/>
      <c r="R2688" s="22"/>
      <c r="S2688" s="22"/>
      <c r="T2688" s="20"/>
      <c r="U2688" s="26"/>
      <c r="V2688" s="26"/>
      <c r="W2688" s="20"/>
      <c r="X2688" s="20"/>
      <c r="Y2688" s="20"/>
      <c r="Z2688" s="20"/>
      <c r="AA2688" s="20"/>
      <c r="AB2688" s="20"/>
      <c r="AC2688" s="20"/>
      <c r="AD2688" s="20"/>
      <c r="AE2688" s="20"/>
    </row>
    <row r="2689">
      <c r="A2689" s="21">
        <v>66.0</v>
      </c>
      <c r="B2689" s="20" t="s">
        <v>5322</v>
      </c>
      <c r="C2689" s="20" t="s">
        <v>5854</v>
      </c>
      <c r="I2689" s="25" t="s">
        <v>50</v>
      </c>
      <c r="J2689" s="25" t="s">
        <v>5324</v>
      </c>
      <c r="K2689" s="25" t="s">
        <v>71</v>
      </c>
      <c r="L2689" s="25" t="s">
        <v>5074</v>
      </c>
      <c r="M2689" s="20" t="s">
        <v>5051</v>
      </c>
      <c r="N2689" s="20" t="s">
        <v>5052</v>
      </c>
      <c r="O2689" s="20" t="s">
        <v>63</v>
      </c>
      <c r="P2689" s="20"/>
      <c r="Q2689" s="22"/>
      <c r="R2689" s="22"/>
      <c r="S2689" s="22"/>
      <c r="T2689" s="20"/>
      <c r="U2689" s="26"/>
      <c r="V2689" s="26"/>
      <c r="W2689" s="20"/>
      <c r="X2689" s="20"/>
      <c r="Y2689" s="20"/>
      <c r="Z2689" s="20"/>
      <c r="AA2689" s="20"/>
      <c r="AB2689" s="20"/>
      <c r="AC2689" s="20"/>
      <c r="AD2689" s="20"/>
      <c r="AE2689" s="20"/>
    </row>
    <row r="2690">
      <c r="A2690" s="21">
        <v>66.0</v>
      </c>
      <c r="B2690" s="20" t="s">
        <v>5322</v>
      </c>
      <c r="C2690" s="20" t="s">
        <v>5854</v>
      </c>
      <c r="I2690" s="25" t="s">
        <v>2502</v>
      </c>
      <c r="J2690" s="25" t="s">
        <v>5324</v>
      </c>
      <c r="K2690" s="25" t="s">
        <v>71</v>
      </c>
      <c r="L2690" s="25" t="s">
        <v>5076</v>
      </c>
      <c r="M2690" s="20" t="s">
        <v>61</v>
      </c>
      <c r="N2690" s="20" t="s">
        <v>3064</v>
      </c>
      <c r="O2690" s="20" t="s">
        <v>63</v>
      </c>
      <c r="P2690" s="20"/>
      <c r="Q2690" s="22"/>
      <c r="R2690" s="22"/>
      <c r="S2690" s="22"/>
      <c r="T2690" s="20"/>
      <c r="U2690" s="26"/>
      <c r="V2690" s="26"/>
      <c r="W2690" s="20"/>
      <c r="X2690" s="20"/>
      <c r="Y2690" s="20"/>
      <c r="Z2690" s="20"/>
      <c r="AA2690" s="20"/>
      <c r="AB2690" s="20"/>
      <c r="AC2690" s="20"/>
      <c r="AD2690" s="20"/>
      <c r="AE2690" s="20"/>
    </row>
    <row r="2691">
      <c r="A2691" s="21">
        <v>66.0</v>
      </c>
      <c r="B2691" s="20" t="s">
        <v>5322</v>
      </c>
      <c r="C2691" s="20" t="s">
        <v>5854</v>
      </c>
      <c r="I2691" s="25" t="s">
        <v>96</v>
      </c>
      <c r="J2691" s="25" t="s">
        <v>5323</v>
      </c>
      <c r="K2691" s="25" t="s">
        <v>71</v>
      </c>
      <c r="L2691" s="25" t="s">
        <v>5074</v>
      </c>
      <c r="M2691" s="20" t="s">
        <v>61</v>
      </c>
      <c r="N2691" s="20" t="s">
        <v>97</v>
      </c>
      <c r="O2691" s="20" t="s">
        <v>63</v>
      </c>
      <c r="P2691" s="20"/>
      <c r="Q2691" s="22"/>
      <c r="R2691" s="22"/>
      <c r="S2691" s="22"/>
      <c r="T2691" s="20"/>
      <c r="U2691" s="26"/>
      <c r="V2691" s="26"/>
      <c r="W2691" s="20"/>
      <c r="X2691" s="20"/>
      <c r="Y2691" s="20"/>
      <c r="Z2691" s="20"/>
      <c r="AA2691" s="20"/>
      <c r="AB2691" s="20"/>
      <c r="AC2691" s="20"/>
      <c r="AD2691" s="20"/>
      <c r="AE2691" s="20"/>
    </row>
    <row r="2692">
      <c r="A2692" s="21">
        <v>66.0</v>
      </c>
      <c r="B2692" s="20" t="s">
        <v>5322</v>
      </c>
      <c r="C2692" s="20" t="s">
        <v>5854</v>
      </c>
      <c r="I2692" s="25" t="s">
        <v>75</v>
      </c>
      <c r="J2692" s="25" t="s">
        <v>5323</v>
      </c>
      <c r="K2692" s="25" t="s">
        <v>71</v>
      </c>
      <c r="L2692" s="25" t="s">
        <v>5917</v>
      </c>
      <c r="M2692" s="20" t="s">
        <v>76</v>
      </c>
      <c r="N2692" s="20" t="s">
        <v>77</v>
      </c>
      <c r="O2692" s="20" t="s">
        <v>63</v>
      </c>
      <c r="P2692" s="20"/>
      <c r="Q2692" s="22"/>
      <c r="R2692" s="22"/>
      <c r="S2692" s="22"/>
      <c r="T2692" s="20"/>
      <c r="U2692" s="26"/>
      <c r="V2692" s="26"/>
      <c r="W2692" s="20"/>
      <c r="X2692" s="20"/>
      <c r="Y2692" s="20"/>
      <c r="Z2692" s="20"/>
      <c r="AA2692" s="20"/>
      <c r="AB2692" s="20"/>
      <c r="AC2692" s="20"/>
      <c r="AD2692" s="20"/>
      <c r="AE2692" s="20"/>
    </row>
    <row r="2693">
      <c r="A2693" s="21">
        <v>66.0</v>
      </c>
      <c r="B2693" s="20" t="s">
        <v>5322</v>
      </c>
      <c r="C2693" s="20" t="s">
        <v>5854</v>
      </c>
      <c r="I2693" s="25" t="s">
        <v>1174</v>
      </c>
      <c r="J2693" s="25" t="s">
        <v>5323</v>
      </c>
      <c r="K2693" s="25" t="s">
        <v>71</v>
      </c>
      <c r="L2693" s="25" t="s">
        <v>292</v>
      </c>
      <c r="M2693" s="20" t="s">
        <v>2704</v>
      </c>
      <c r="N2693" s="20" t="s">
        <v>5028</v>
      </c>
      <c r="O2693" s="20" t="s">
        <v>63</v>
      </c>
      <c r="P2693" s="20" t="s">
        <v>52</v>
      </c>
      <c r="Q2693" s="22"/>
      <c r="R2693" s="22"/>
      <c r="S2693" s="22"/>
      <c r="T2693" s="22"/>
      <c r="U2693" s="26"/>
      <c r="V2693" s="26"/>
      <c r="W2693" s="20"/>
      <c r="X2693" s="20"/>
      <c r="Y2693" s="20"/>
      <c r="Z2693" s="20"/>
      <c r="AA2693" s="20"/>
      <c r="AB2693" s="20"/>
      <c r="AC2693" s="20"/>
      <c r="AD2693" s="20"/>
      <c r="AE2693" s="20"/>
    </row>
    <row r="2694">
      <c r="A2694" s="21">
        <v>66.0</v>
      </c>
      <c r="B2694" s="20" t="s">
        <v>5322</v>
      </c>
      <c r="C2694" s="20" t="s">
        <v>5854</v>
      </c>
      <c r="I2694" s="25" t="s">
        <v>3339</v>
      </c>
      <c r="J2694" s="25" t="s">
        <v>5323</v>
      </c>
      <c r="K2694" s="25" t="s">
        <v>71</v>
      </c>
      <c r="L2694" s="25" t="s">
        <v>292</v>
      </c>
      <c r="M2694" s="20" t="s">
        <v>3340</v>
      </c>
      <c r="N2694" s="20" t="s">
        <v>5028</v>
      </c>
      <c r="O2694" s="20" t="s">
        <v>63</v>
      </c>
      <c r="P2694" s="20" t="s">
        <v>52</v>
      </c>
      <c r="Q2694" s="22"/>
      <c r="R2694" s="22"/>
      <c r="S2694" s="22"/>
      <c r="T2694" s="22"/>
      <c r="U2694" s="26"/>
      <c r="V2694" s="26"/>
      <c r="W2694" s="20"/>
      <c r="X2694" s="20"/>
      <c r="Y2694" s="20"/>
      <c r="Z2694" s="20"/>
      <c r="AA2694" s="20"/>
      <c r="AB2694" s="20"/>
      <c r="AC2694" s="20"/>
      <c r="AD2694" s="20"/>
      <c r="AE2694" s="20"/>
    </row>
    <row r="2695">
      <c r="A2695" s="21">
        <v>66.0</v>
      </c>
      <c r="B2695" s="20" t="s">
        <v>5322</v>
      </c>
      <c r="C2695" s="20" t="s">
        <v>5854</v>
      </c>
      <c r="I2695" s="25" t="s">
        <v>2773</v>
      </c>
      <c r="J2695" s="25" t="s">
        <v>5323</v>
      </c>
      <c r="K2695" s="25" t="s">
        <v>71</v>
      </c>
      <c r="L2695" s="25" t="s">
        <v>5076</v>
      </c>
      <c r="M2695" s="20" t="s">
        <v>4826</v>
      </c>
      <c r="N2695" s="20" t="s">
        <v>4827</v>
      </c>
      <c r="O2695" s="20" t="s">
        <v>63</v>
      </c>
      <c r="P2695" s="20"/>
      <c r="Q2695" s="22"/>
      <c r="R2695" s="22"/>
      <c r="S2695" s="22"/>
      <c r="T2695" s="26"/>
      <c r="U2695" s="26"/>
      <c r="V2695" s="26"/>
      <c r="W2695" s="20"/>
      <c r="X2695" s="20"/>
      <c r="Y2695" s="20"/>
      <c r="Z2695" s="20"/>
      <c r="AA2695" s="20"/>
      <c r="AB2695" s="20"/>
      <c r="AC2695" s="20"/>
      <c r="AD2695" s="20"/>
      <c r="AE2695" s="20"/>
    </row>
    <row r="2696">
      <c r="A2696" s="21">
        <v>66.0</v>
      </c>
      <c r="B2696" s="20" t="s">
        <v>5322</v>
      </c>
      <c r="C2696" s="20" t="s">
        <v>5854</v>
      </c>
      <c r="I2696" s="25" t="s">
        <v>4068</v>
      </c>
      <c r="J2696" s="25" t="s">
        <v>5324</v>
      </c>
      <c r="K2696" s="25" t="s">
        <v>71</v>
      </c>
      <c r="L2696" s="25" t="s">
        <v>4742</v>
      </c>
      <c r="M2696" s="20" t="s">
        <v>4069</v>
      </c>
      <c r="N2696" s="20" t="s">
        <v>5383</v>
      </c>
      <c r="O2696" s="20" t="s">
        <v>63</v>
      </c>
      <c r="P2696" s="20"/>
      <c r="Q2696" s="22"/>
      <c r="R2696" s="22"/>
      <c r="S2696" s="22"/>
      <c r="T2696" s="20"/>
      <c r="U2696" s="26"/>
      <c r="V2696" s="26"/>
      <c r="W2696" s="20"/>
      <c r="X2696" s="20"/>
      <c r="Y2696" s="20"/>
      <c r="Z2696" s="20"/>
      <c r="AA2696" s="20"/>
      <c r="AB2696" s="20"/>
      <c r="AC2696" s="20"/>
      <c r="AD2696" s="20"/>
      <c r="AE2696" s="20"/>
    </row>
    <row r="2697">
      <c r="A2697" s="21">
        <v>66.0</v>
      </c>
      <c r="B2697" s="20" t="s">
        <v>5322</v>
      </c>
      <c r="C2697" s="20" t="s">
        <v>5854</v>
      </c>
      <c r="I2697" s="25" t="s">
        <v>3471</v>
      </c>
      <c r="J2697" s="25" t="s">
        <v>5323</v>
      </c>
      <c r="K2697" s="25" t="s">
        <v>71</v>
      </c>
      <c r="L2697" s="25" t="s">
        <v>226</v>
      </c>
      <c r="M2697" s="20" t="s">
        <v>5030</v>
      </c>
      <c r="N2697" s="20" t="s">
        <v>5028</v>
      </c>
      <c r="O2697" s="20" t="s">
        <v>63</v>
      </c>
      <c r="P2697" s="20" t="s">
        <v>52</v>
      </c>
      <c r="Q2697" s="22"/>
      <c r="R2697" s="22"/>
      <c r="S2697" s="22"/>
      <c r="T2697" s="22"/>
      <c r="U2697" s="26"/>
      <c r="V2697" s="26"/>
      <c r="W2697" s="20"/>
      <c r="X2697" s="20"/>
      <c r="Y2697" s="20"/>
      <c r="Z2697" s="20"/>
      <c r="AA2697" s="20"/>
      <c r="AB2697" s="20"/>
      <c r="AC2697" s="20"/>
      <c r="AD2697" s="20"/>
      <c r="AE2697" s="20"/>
    </row>
    <row r="2698">
      <c r="A2698" s="21">
        <v>66.0</v>
      </c>
      <c r="B2698" s="20" t="s">
        <v>5322</v>
      </c>
      <c r="C2698" s="20" t="s">
        <v>5854</v>
      </c>
      <c r="I2698" s="25" t="s">
        <v>1103</v>
      </c>
      <c r="J2698" s="25" t="s">
        <v>5323</v>
      </c>
      <c r="K2698" s="25" t="s">
        <v>71</v>
      </c>
      <c r="L2698" s="25" t="s">
        <v>5078</v>
      </c>
      <c r="M2698" s="20" t="s">
        <v>4786</v>
      </c>
      <c r="N2698" s="20" t="s">
        <v>4787</v>
      </c>
      <c r="O2698" s="20" t="s">
        <v>63</v>
      </c>
      <c r="P2698" s="20"/>
      <c r="Q2698" s="22"/>
      <c r="R2698" s="22"/>
      <c r="S2698" s="22"/>
      <c r="T2698" s="20"/>
      <c r="U2698" s="26"/>
      <c r="V2698" s="26"/>
      <c r="W2698" s="20"/>
      <c r="X2698" s="20"/>
      <c r="Y2698" s="20"/>
      <c r="Z2698" s="20"/>
      <c r="AA2698" s="20"/>
      <c r="AB2698" s="20"/>
      <c r="AC2698" s="20"/>
      <c r="AD2698" s="20"/>
      <c r="AE2698" s="20"/>
    </row>
    <row r="2699">
      <c r="A2699" s="21">
        <v>66.0</v>
      </c>
      <c r="B2699" s="20" t="s">
        <v>5322</v>
      </c>
      <c r="C2699" s="20" t="s">
        <v>5854</v>
      </c>
      <c r="I2699" s="25" t="s">
        <v>2750</v>
      </c>
      <c r="J2699" s="25" t="s">
        <v>5323</v>
      </c>
      <c r="K2699" s="25" t="s">
        <v>71</v>
      </c>
      <c r="L2699" s="25" t="s">
        <v>4742</v>
      </c>
      <c r="M2699" s="20" t="s">
        <v>2751</v>
      </c>
      <c r="N2699" s="20" t="s">
        <v>2752</v>
      </c>
      <c r="O2699" s="20" t="s">
        <v>63</v>
      </c>
      <c r="P2699" s="20"/>
      <c r="Q2699" s="22"/>
      <c r="R2699" s="22"/>
      <c r="S2699" s="22"/>
      <c r="T2699" s="20"/>
      <c r="U2699" s="26"/>
      <c r="V2699" s="26"/>
      <c r="W2699" s="20"/>
      <c r="X2699" s="20"/>
      <c r="Y2699" s="20"/>
      <c r="Z2699" s="20"/>
      <c r="AA2699" s="20"/>
      <c r="AB2699" s="20"/>
      <c r="AC2699" s="20"/>
      <c r="AD2699" s="20"/>
      <c r="AE2699" s="20"/>
    </row>
    <row r="2700">
      <c r="A2700" s="21">
        <v>66.0</v>
      </c>
      <c r="B2700" s="20" t="s">
        <v>5322</v>
      </c>
      <c r="C2700" s="20" t="s">
        <v>5854</v>
      </c>
      <c r="I2700" s="25" t="s">
        <v>3809</v>
      </c>
      <c r="J2700" s="25" t="s">
        <v>5323</v>
      </c>
      <c r="K2700" s="25" t="s">
        <v>71</v>
      </c>
      <c r="L2700" s="25" t="s">
        <v>5076</v>
      </c>
      <c r="M2700" s="20" t="s">
        <v>4644</v>
      </c>
      <c r="N2700" s="20" t="s">
        <v>4645</v>
      </c>
      <c r="O2700" s="20" t="s">
        <v>63</v>
      </c>
      <c r="P2700" s="20"/>
      <c r="Q2700" s="22"/>
      <c r="R2700" s="22"/>
      <c r="S2700" s="22"/>
      <c r="T2700" s="20"/>
      <c r="U2700" s="26"/>
      <c r="V2700" s="26"/>
      <c r="W2700" s="20"/>
      <c r="X2700" s="20"/>
      <c r="Y2700" s="20"/>
      <c r="Z2700" s="20"/>
      <c r="AA2700" s="20"/>
      <c r="AB2700" s="20"/>
      <c r="AC2700" s="20"/>
      <c r="AD2700" s="20"/>
      <c r="AE2700" s="20"/>
    </row>
    <row r="2701">
      <c r="A2701" s="21">
        <v>66.0</v>
      </c>
      <c r="B2701" s="20" t="s">
        <v>5322</v>
      </c>
      <c r="C2701" s="20" t="s">
        <v>5854</v>
      </c>
      <c r="I2701" s="25" t="s">
        <v>3543</v>
      </c>
      <c r="J2701" s="25" t="s">
        <v>5323</v>
      </c>
      <c r="K2701" s="25" t="s">
        <v>71</v>
      </c>
      <c r="L2701" s="25" t="s">
        <v>5076</v>
      </c>
      <c r="M2701" s="20" t="s">
        <v>61</v>
      </c>
      <c r="N2701" s="20" t="s">
        <v>4859</v>
      </c>
      <c r="O2701" s="20" t="s">
        <v>63</v>
      </c>
      <c r="P2701" s="20"/>
      <c r="Q2701" s="22"/>
      <c r="R2701" s="22"/>
      <c r="S2701" s="22"/>
      <c r="T2701" s="20"/>
      <c r="U2701" s="26"/>
      <c r="V2701" s="26"/>
      <c r="W2701" s="20"/>
      <c r="X2701" s="20"/>
      <c r="Y2701" s="20"/>
      <c r="Z2701" s="20"/>
      <c r="AA2701" s="20"/>
      <c r="AB2701" s="20"/>
      <c r="AC2701" s="20"/>
      <c r="AD2701" s="20"/>
      <c r="AE2701" s="20"/>
    </row>
    <row r="2702">
      <c r="A2702" s="21">
        <v>66.0</v>
      </c>
      <c r="B2702" s="20" t="s">
        <v>5322</v>
      </c>
      <c r="C2702" s="20" t="s">
        <v>5854</v>
      </c>
      <c r="I2702" s="25" t="s">
        <v>1884</v>
      </c>
      <c r="J2702" s="25" t="s">
        <v>5324</v>
      </c>
      <c r="K2702" s="25" t="s">
        <v>71</v>
      </c>
      <c r="L2702" s="25" t="s">
        <v>5938</v>
      </c>
      <c r="M2702" s="20" t="s">
        <v>4732</v>
      </c>
      <c r="N2702" s="20" t="s">
        <v>4733</v>
      </c>
      <c r="O2702" s="20" t="s">
        <v>63</v>
      </c>
      <c r="P2702" s="20" t="s">
        <v>52</v>
      </c>
      <c r="Q2702" s="22"/>
      <c r="R2702" s="22"/>
      <c r="S2702" s="22"/>
      <c r="T2702" s="20"/>
      <c r="U2702" s="26"/>
      <c r="V2702" s="26"/>
      <c r="W2702" s="20"/>
      <c r="X2702" s="20"/>
      <c r="Y2702" s="20"/>
      <c r="Z2702" s="20"/>
      <c r="AA2702" s="20"/>
      <c r="AB2702" s="20"/>
      <c r="AC2702" s="20"/>
      <c r="AD2702" s="20"/>
      <c r="AE2702" s="20"/>
    </row>
    <row r="2703">
      <c r="A2703" s="21">
        <v>66.0</v>
      </c>
      <c r="B2703" s="20" t="s">
        <v>5322</v>
      </c>
      <c r="C2703" s="20" t="s">
        <v>5854</v>
      </c>
      <c r="I2703" s="25" t="s">
        <v>4500</v>
      </c>
      <c r="J2703" s="25" t="s">
        <v>5324</v>
      </c>
      <c r="K2703" s="25" t="s">
        <v>71</v>
      </c>
      <c r="L2703" s="25" t="s">
        <v>5942</v>
      </c>
      <c r="M2703" s="20" t="s">
        <v>4501</v>
      </c>
      <c r="N2703" s="20" t="s">
        <v>5384</v>
      </c>
      <c r="O2703" s="20" t="s">
        <v>63</v>
      </c>
      <c r="P2703" s="20" t="s">
        <v>52</v>
      </c>
      <c r="Q2703" s="22"/>
      <c r="R2703" s="22"/>
      <c r="S2703" s="22"/>
      <c r="T2703" s="20"/>
      <c r="U2703" s="26"/>
      <c r="V2703" s="26"/>
      <c r="W2703" s="20"/>
      <c r="X2703" s="20"/>
      <c r="Y2703" s="20"/>
      <c r="Z2703" s="20"/>
      <c r="AA2703" s="20"/>
      <c r="AB2703" s="20"/>
      <c r="AC2703" s="20"/>
      <c r="AD2703" s="20"/>
      <c r="AE2703" s="20"/>
    </row>
    <row r="2704">
      <c r="A2704" s="21">
        <v>66.0</v>
      </c>
      <c r="B2704" s="20" t="s">
        <v>5322</v>
      </c>
      <c r="C2704" s="20" t="s">
        <v>5854</v>
      </c>
      <c r="I2704" s="25" t="s">
        <v>4445</v>
      </c>
      <c r="J2704" s="25" t="s">
        <v>5324</v>
      </c>
      <c r="K2704" s="25" t="s">
        <v>71</v>
      </c>
      <c r="L2704" s="25" t="s">
        <v>5944</v>
      </c>
      <c r="M2704" s="20" t="s">
        <v>4446</v>
      </c>
      <c r="N2704" s="20" t="s">
        <v>5385</v>
      </c>
      <c r="O2704" s="20" t="s">
        <v>63</v>
      </c>
      <c r="P2704" s="20" t="s">
        <v>52</v>
      </c>
      <c r="Q2704" s="22"/>
      <c r="R2704" s="22"/>
      <c r="S2704" s="22"/>
      <c r="T2704" s="20"/>
      <c r="U2704" s="26"/>
      <c r="V2704" s="26"/>
      <c r="W2704" s="20"/>
      <c r="X2704" s="20"/>
      <c r="Y2704" s="20"/>
      <c r="Z2704" s="20"/>
      <c r="AA2704" s="20"/>
      <c r="AB2704" s="20"/>
      <c r="AC2704" s="20"/>
      <c r="AD2704" s="20"/>
      <c r="AE2704" s="20"/>
    </row>
    <row r="2705">
      <c r="A2705" s="21">
        <v>66.0</v>
      </c>
      <c r="B2705" s="20" t="s">
        <v>5322</v>
      </c>
      <c r="C2705" s="20" t="s">
        <v>5854</v>
      </c>
      <c r="I2705" s="25" t="s">
        <v>5386</v>
      </c>
      <c r="J2705" s="25" t="s">
        <v>5324</v>
      </c>
      <c r="K2705" s="25" t="s">
        <v>71</v>
      </c>
      <c r="L2705" s="25" t="s">
        <v>5938</v>
      </c>
      <c r="M2705" s="20" t="s">
        <v>5387</v>
      </c>
      <c r="N2705" s="20" t="s">
        <v>5388</v>
      </c>
      <c r="O2705" s="20" t="s">
        <v>63</v>
      </c>
      <c r="P2705" s="20" t="s">
        <v>52</v>
      </c>
      <c r="Q2705" s="22"/>
      <c r="R2705" s="22"/>
      <c r="S2705" s="22"/>
      <c r="T2705" s="20"/>
      <c r="U2705" s="26"/>
      <c r="V2705" s="26"/>
      <c r="W2705" s="20"/>
      <c r="X2705" s="20"/>
      <c r="Y2705" s="20"/>
      <c r="Z2705" s="20"/>
      <c r="AA2705" s="20"/>
      <c r="AB2705" s="20"/>
      <c r="AC2705" s="20"/>
      <c r="AD2705" s="20"/>
      <c r="AE2705" s="20"/>
    </row>
    <row r="2706">
      <c r="A2706" s="21">
        <v>66.0</v>
      </c>
      <c r="B2706" s="20" t="s">
        <v>5322</v>
      </c>
      <c r="C2706" s="20" t="s">
        <v>5854</v>
      </c>
      <c r="I2706" s="25" t="s">
        <v>91</v>
      </c>
      <c r="J2706" s="25" t="s">
        <v>5323</v>
      </c>
      <c r="K2706" s="25" t="s">
        <v>71</v>
      </c>
      <c r="L2706" s="25" t="s">
        <v>5947</v>
      </c>
      <c r="M2706" s="20" t="s">
        <v>92</v>
      </c>
      <c r="N2706" s="20" t="s">
        <v>93</v>
      </c>
      <c r="O2706" s="20" t="s">
        <v>63</v>
      </c>
      <c r="P2706" s="20" t="s">
        <v>52</v>
      </c>
      <c r="Q2706" s="22"/>
      <c r="R2706" s="22"/>
      <c r="S2706" s="22"/>
      <c r="T2706" s="20"/>
      <c r="U2706" s="26"/>
      <c r="V2706" s="26"/>
      <c r="W2706" s="20"/>
      <c r="X2706" s="20"/>
      <c r="Y2706" s="20"/>
      <c r="Z2706" s="20"/>
      <c r="AA2706" s="20"/>
      <c r="AB2706" s="20"/>
      <c r="AC2706" s="20"/>
      <c r="AD2706" s="20"/>
      <c r="AE2706" s="20"/>
    </row>
    <row r="2707">
      <c r="A2707" s="21">
        <v>66.0</v>
      </c>
      <c r="B2707" s="20" t="s">
        <v>5322</v>
      </c>
      <c r="C2707" s="20" t="s">
        <v>5854</v>
      </c>
      <c r="I2707" s="25" t="s">
        <v>64</v>
      </c>
      <c r="J2707" s="25" t="s">
        <v>5323</v>
      </c>
      <c r="K2707" s="25" t="s">
        <v>71</v>
      </c>
      <c r="L2707" s="25" t="s">
        <v>5949</v>
      </c>
      <c r="M2707" s="20" t="s">
        <v>4779</v>
      </c>
      <c r="N2707" s="20" t="s">
        <v>4780</v>
      </c>
      <c r="O2707" s="20" t="s">
        <v>63</v>
      </c>
      <c r="P2707" s="20" t="s">
        <v>52</v>
      </c>
      <c r="Q2707" s="22"/>
      <c r="R2707" s="22"/>
      <c r="S2707" s="22"/>
      <c r="T2707" s="20"/>
      <c r="U2707" s="26"/>
      <c r="V2707" s="26"/>
      <c r="W2707" s="20"/>
      <c r="X2707" s="20"/>
      <c r="Y2707" s="20"/>
      <c r="Z2707" s="20"/>
      <c r="AA2707" s="20"/>
      <c r="AB2707" s="20"/>
      <c r="AC2707" s="20"/>
      <c r="AD2707" s="20"/>
      <c r="AE2707" s="20"/>
    </row>
    <row r="2708">
      <c r="A2708" s="21">
        <v>66.0</v>
      </c>
      <c r="B2708" s="20" t="s">
        <v>5322</v>
      </c>
      <c r="C2708" s="20" t="s">
        <v>5854</v>
      </c>
      <c r="I2708" s="25" t="s">
        <v>4581</v>
      </c>
      <c r="J2708" s="25" t="s">
        <v>5323</v>
      </c>
      <c r="K2708" s="25" t="s">
        <v>71</v>
      </c>
      <c r="L2708" s="25" t="s">
        <v>5950</v>
      </c>
      <c r="M2708" s="20" t="s">
        <v>5346</v>
      </c>
      <c r="N2708" s="20" t="s">
        <v>5348</v>
      </c>
      <c r="O2708" s="20" t="s">
        <v>63</v>
      </c>
      <c r="P2708" s="20" t="s">
        <v>52</v>
      </c>
      <c r="Q2708" s="22"/>
      <c r="R2708" s="22"/>
      <c r="S2708" s="22"/>
      <c r="T2708" s="20"/>
      <c r="U2708" s="26"/>
      <c r="V2708" s="26"/>
      <c r="W2708" s="20"/>
      <c r="X2708" s="20"/>
      <c r="Y2708" s="20"/>
      <c r="Z2708" s="20"/>
      <c r="AA2708" s="20"/>
      <c r="AB2708" s="20"/>
      <c r="AC2708" s="20"/>
      <c r="AD2708" s="20"/>
      <c r="AE2708" s="20"/>
    </row>
    <row r="2709">
      <c r="A2709" s="21">
        <v>66.0</v>
      </c>
      <c r="B2709" s="20" t="s">
        <v>5322</v>
      </c>
      <c r="C2709" s="20" t="s">
        <v>5854</v>
      </c>
      <c r="I2709" s="25" t="s">
        <v>160</v>
      </c>
      <c r="J2709" s="25" t="s">
        <v>5323</v>
      </c>
      <c r="K2709" s="25" t="s">
        <v>71</v>
      </c>
      <c r="L2709" s="25" t="s">
        <v>5947</v>
      </c>
      <c r="M2709" s="20" t="s">
        <v>61</v>
      </c>
      <c r="N2709" s="20" t="s">
        <v>4760</v>
      </c>
      <c r="O2709" s="20" t="s">
        <v>63</v>
      </c>
      <c r="P2709" s="20" t="s">
        <v>52</v>
      </c>
      <c r="Q2709" s="22"/>
      <c r="R2709" s="22"/>
      <c r="S2709" s="22"/>
      <c r="T2709" s="20"/>
      <c r="U2709" s="26"/>
      <c r="V2709" s="26"/>
      <c r="W2709" s="20"/>
      <c r="X2709" s="20"/>
      <c r="Y2709" s="20"/>
      <c r="Z2709" s="20"/>
      <c r="AA2709" s="20"/>
      <c r="AB2709" s="20"/>
      <c r="AC2709" s="20"/>
      <c r="AD2709" s="20"/>
      <c r="AE2709" s="20"/>
    </row>
    <row r="2710">
      <c r="A2710" s="21">
        <v>66.0</v>
      </c>
      <c r="B2710" s="20" t="s">
        <v>5322</v>
      </c>
      <c r="C2710" s="20" t="s">
        <v>5854</v>
      </c>
      <c r="I2710" s="25" t="s">
        <v>2072</v>
      </c>
      <c r="J2710" s="25" t="s">
        <v>5323</v>
      </c>
      <c r="K2710" s="25" t="s">
        <v>71</v>
      </c>
      <c r="L2710" s="25" t="s">
        <v>226</v>
      </c>
      <c r="M2710" s="20" t="s">
        <v>5050</v>
      </c>
      <c r="N2710" s="20" t="s">
        <v>4736</v>
      </c>
      <c r="O2710" s="20" t="s">
        <v>63</v>
      </c>
      <c r="P2710" s="20" t="s">
        <v>52</v>
      </c>
      <c r="Q2710" s="22"/>
      <c r="R2710" s="22"/>
      <c r="S2710" s="22"/>
      <c r="T2710" s="22"/>
      <c r="U2710" s="26"/>
      <c r="V2710" s="26"/>
      <c r="W2710" s="20"/>
      <c r="X2710" s="20"/>
      <c r="Y2710" s="20"/>
      <c r="Z2710" s="20"/>
      <c r="AA2710" s="20"/>
      <c r="AB2710" s="20"/>
      <c r="AC2710" s="20"/>
      <c r="AD2710" s="20"/>
      <c r="AE2710" s="20"/>
    </row>
    <row r="2711">
      <c r="A2711" s="21">
        <v>66.0</v>
      </c>
      <c r="B2711" s="20" t="s">
        <v>5322</v>
      </c>
      <c r="C2711" s="20" t="s">
        <v>5854</v>
      </c>
      <c r="I2711" s="25" t="s">
        <v>104</v>
      </c>
      <c r="J2711" s="25" t="s">
        <v>5323</v>
      </c>
      <c r="K2711" s="25" t="s">
        <v>71</v>
      </c>
      <c r="L2711" s="25" t="s">
        <v>5954</v>
      </c>
      <c r="M2711" s="20" t="s">
        <v>105</v>
      </c>
      <c r="N2711" s="20" t="s">
        <v>106</v>
      </c>
      <c r="O2711" s="20" t="s">
        <v>63</v>
      </c>
      <c r="P2711" s="20" t="s">
        <v>52</v>
      </c>
      <c r="Q2711" s="22"/>
      <c r="R2711" s="22"/>
      <c r="S2711" s="22"/>
      <c r="T2711" s="20"/>
      <c r="U2711" s="26"/>
      <c r="V2711" s="26"/>
      <c r="W2711" s="20"/>
      <c r="X2711" s="20"/>
      <c r="Y2711" s="20"/>
      <c r="Z2711" s="20"/>
      <c r="AA2711" s="20"/>
      <c r="AB2711" s="20"/>
      <c r="AC2711" s="20"/>
      <c r="AD2711" s="20"/>
      <c r="AE2711" s="20"/>
    </row>
    <row r="2712">
      <c r="A2712" s="21">
        <v>66.0</v>
      </c>
      <c r="B2712" s="20" t="s">
        <v>5322</v>
      </c>
      <c r="C2712" s="20" t="s">
        <v>5854</v>
      </c>
      <c r="I2712" s="25" t="s">
        <v>4587</v>
      </c>
      <c r="J2712" s="25" t="s">
        <v>5324</v>
      </c>
      <c r="K2712" s="25" t="s">
        <v>71</v>
      </c>
      <c r="L2712" s="25" t="s">
        <v>5956</v>
      </c>
      <c r="M2712" s="20" t="s">
        <v>5389</v>
      </c>
      <c r="N2712" s="20" t="s">
        <v>5390</v>
      </c>
      <c r="O2712" s="20" t="s">
        <v>63</v>
      </c>
      <c r="P2712" s="20" t="s">
        <v>52</v>
      </c>
      <c r="Q2712" s="22"/>
      <c r="R2712" s="22"/>
      <c r="S2712" s="22"/>
      <c r="T2712" s="20"/>
      <c r="U2712" s="26"/>
      <c r="V2712" s="26"/>
      <c r="W2712" s="20"/>
      <c r="X2712" s="20"/>
      <c r="Y2712" s="20"/>
      <c r="Z2712" s="20"/>
      <c r="AA2712" s="20"/>
      <c r="AB2712" s="20"/>
      <c r="AC2712" s="20"/>
      <c r="AD2712" s="20"/>
      <c r="AE2712" s="20"/>
    </row>
    <row r="2713">
      <c r="A2713" s="21">
        <v>66.0</v>
      </c>
      <c r="B2713" s="20" t="s">
        <v>5322</v>
      </c>
      <c r="C2713" s="20" t="s">
        <v>5854</v>
      </c>
      <c r="I2713" s="25" t="s">
        <v>3446</v>
      </c>
      <c r="J2713" s="25" t="s">
        <v>5324</v>
      </c>
      <c r="K2713" s="25" t="s">
        <v>71</v>
      </c>
      <c r="L2713" s="25" t="s">
        <v>5954</v>
      </c>
      <c r="M2713" s="20" t="s">
        <v>4579</v>
      </c>
      <c r="N2713" s="20" t="s">
        <v>5391</v>
      </c>
      <c r="O2713" s="20" t="s">
        <v>63</v>
      </c>
      <c r="P2713" s="20" t="s">
        <v>52</v>
      </c>
      <c r="Q2713" s="22"/>
      <c r="R2713" s="22"/>
      <c r="S2713" s="22"/>
      <c r="T2713" s="20"/>
      <c r="U2713" s="26"/>
      <c r="V2713" s="26"/>
      <c r="W2713" s="20"/>
      <c r="X2713" s="20"/>
      <c r="Y2713" s="20"/>
      <c r="Z2713" s="20"/>
      <c r="AA2713" s="20"/>
      <c r="AB2713" s="20"/>
      <c r="AC2713" s="20"/>
      <c r="AD2713" s="20"/>
      <c r="AE2713" s="20"/>
    </row>
    <row r="2714">
      <c r="A2714" s="21">
        <v>66.0</v>
      </c>
      <c r="B2714" s="20" t="s">
        <v>5322</v>
      </c>
      <c r="C2714" s="20" t="s">
        <v>5854</v>
      </c>
      <c r="I2714" s="25" t="s">
        <v>4570</v>
      </c>
      <c r="J2714" s="25" t="s">
        <v>5324</v>
      </c>
      <c r="K2714" s="25" t="s">
        <v>71</v>
      </c>
      <c r="L2714" s="25" t="s">
        <v>5950</v>
      </c>
      <c r="M2714" s="20" t="s">
        <v>61</v>
      </c>
      <c r="N2714" s="20" t="s">
        <v>5392</v>
      </c>
      <c r="O2714" s="20" t="s">
        <v>63</v>
      </c>
      <c r="P2714" s="20" t="s">
        <v>52</v>
      </c>
      <c r="Q2714" s="22"/>
      <c r="R2714" s="22"/>
      <c r="S2714" s="22"/>
      <c r="T2714" s="20"/>
      <c r="U2714" s="26"/>
      <c r="V2714" s="26"/>
      <c r="W2714" s="20"/>
      <c r="X2714" s="20"/>
      <c r="Y2714" s="20"/>
      <c r="Z2714" s="20"/>
      <c r="AA2714" s="20"/>
      <c r="AB2714" s="20"/>
      <c r="AC2714" s="20"/>
      <c r="AD2714" s="20"/>
      <c r="AE2714" s="20"/>
    </row>
    <row r="2715">
      <c r="A2715" s="21">
        <v>66.0</v>
      </c>
      <c r="B2715" s="20" t="s">
        <v>5322</v>
      </c>
      <c r="C2715" s="20" t="s">
        <v>5854</v>
      </c>
      <c r="I2715" s="25" t="s">
        <v>4279</v>
      </c>
      <c r="J2715" s="25" t="s">
        <v>5323</v>
      </c>
      <c r="K2715" s="25" t="s">
        <v>71</v>
      </c>
      <c r="L2715" s="25" t="s">
        <v>5963</v>
      </c>
      <c r="M2715" s="20" t="s">
        <v>4750</v>
      </c>
      <c r="N2715" s="20" t="s">
        <v>4751</v>
      </c>
      <c r="O2715" s="20" t="s">
        <v>63</v>
      </c>
      <c r="P2715" s="20" t="s">
        <v>52</v>
      </c>
      <c r="Q2715" s="22"/>
      <c r="R2715" s="22"/>
      <c r="S2715" s="22"/>
      <c r="T2715" s="20"/>
      <c r="U2715" s="26"/>
      <c r="V2715" s="26"/>
      <c r="W2715" s="20"/>
      <c r="X2715" s="20"/>
      <c r="Y2715" s="20"/>
      <c r="Z2715" s="20"/>
      <c r="AA2715" s="20"/>
      <c r="AB2715" s="20"/>
      <c r="AC2715" s="20"/>
      <c r="AD2715" s="20"/>
      <c r="AE2715" s="20"/>
    </row>
    <row r="2716">
      <c r="A2716" s="21">
        <v>66.0</v>
      </c>
      <c r="B2716" s="20" t="s">
        <v>5322</v>
      </c>
      <c r="C2716" s="20" t="s">
        <v>5854</v>
      </c>
      <c r="I2716" s="25" t="s">
        <v>2735</v>
      </c>
      <c r="J2716" s="25" t="s">
        <v>5323</v>
      </c>
      <c r="K2716" s="25" t="s">
        <v>71</v>
      </c>
      <c r="L2716" s="25" t="s">
        <v>5965</v>
      </c>
      <c r="M2716" s="20" t="s">
        <v>4752</v>
      </c>
      <c r="N2716" s="20" t="s">
        <v>4753</v>
      </c>
      <c r="O2716" s="20" t="s">
        <v>63</v>
      </c>
      <c r="P2716" s="20" t="s">
        <v>52</v>
      </c>
      <c r="Q2716" s="22"/>
      <c r="R2716" s="22"/>
      <c r="S2716" s="22"/>
      <c r="T2716" s="20"/>
      <c r="U2716" s="26"/>
      <c r="V2716" s="26"/>
      <c r="W2716" s="20"/>
      <c r="X2716" s="20"/>
      <c r="Y2716" s="20"/>
      <c r="Z2716" s="20"/>
      <c r="AA2716" s="20"/>
      <c r="AB2716" s="20"/>
      <c r="AC2716" s="20"/>
      <c r="AD2716" s="20"/>
      <c r="AE2716" s="20"/>
    </row>
    <row r="2717">
      <c r="A2717" s="21">
        <v>66.0</v>
      </c>
      <c r="B2717" s="20" t="s">
        <v>5322</v>
      </c>
      <c r="C2717" s="20" t="s">
        <v>5854</v>
      </c>
      <c r="I2717" s="25" t="s">
        <v>711</v>
      </c>
      <c r="J2717" s="25" t="s">
        <v>5323</v>
      </c>
      <c r="K2717" s="25" t="s">
        <v>71</v>
      </c>
      <c r="L2717" s="25" t="s">
        <v>5965</v>
      </c>
      <c r="M2717" s="20" t="s">
        <v>4754</v>
      </c>
      <c r="N2717" s="20" t="s">
        <v>4755</v>
      </c>
      <c r="O2717" s="20" t="s">
        <v>63</v>
      </c>
      <c r="P2717" s="20" t="s">
        <v>52</v>
      </c>
      <c r="Q2717" s="22"/>
      <c r="R2717" s="22"/>
      <c r="S2717" s="22"/>
      <c r="T2717" s="20"/>
      <c r="U2717" s="26"/>
      <c r="V2717" s="26"/>
      <c r="W2717" s="20"/>
      <c r="X2717" s="20"/>
      <c r="Y2717" s="20"/>
      <c r="Z2717" s="20"/>
      <c r="AA2717" s="20"/>
      <c r="AB2717" s="20"/>
      <c r="AC2717" s="20"/>
      <c r="AD2717" s="20"/>
      <c r="AE2717" s="20"/>
    </row>
    <row r="2718">
      <c r="A2718" s="21">
        <v>66.0</v>
      </c>
      <c r="B2718" s="20" t="s">
        <v>5322</v>
      </c>
      <c r="C2718" s="20" t="s">
        <v>5854</v>
      </c>
      <c r="I2718" s="25" t="s">
        <v>2019</v>
      </c>
      <c r="J2718" s="25" t="s">
        <v>5323</v>
      </c>
      <c r="K2718" s="25" t="s">
        <v>71</v>
      </c>
      <c r="L2718" s="25" t="s">
        <v>5967</v>
      </c>
      <c r="M2718" s="20" t="s">
        <v>2560</v>
      </c>
      <c r="N2718" s="20" t="s">
        <v>5349</v>
      </c>
      <c r="O2718" s="20" t="s">
        <v>63</v>
      </c>
      <c r="P2718" s="20" t="s">
        <v>52</v>
      </c>
      <c r="Q2718" s="22"/>
      <c r="R2718" s="22"/>
      <c r="S2718" s="22"/>
      <c r="T2718" s="20"/>
      <c r="U2718" s="26"/>
      <c r="V2718" s="26"/>
      <c r="W2718" s="20"/>
      <c r="X2718" s="20"/>
      <c r="Y2718" s="20"/>
      <c r="Z2718" s="20"/>
      <c r="AA2718" s="20"/>
      <c r="AB2718" s="20"/>
      <c r="AC2718" s="20"/>
      <c r="AD2718" s="20"/>
      <c r="AE2718" s="20"/>
    </row>
    <row r="2719">
      <c r="A2719" s="21">
        <v>66.0</v>
      </c>
      <c r="B2719" s="20" t="s">
        <v>5322</v>
      </c>
      <c r="C2719" s="20" t="s">
        <v>5854</v>
      </c>
      <c r="I2719" s="25" t="s">
        <v>1156</v>
      </c>
      <c r="J2719" s="25" t="s">
        <v>5323</v>
      </c>
      <c r="K2719" s="25" t="s">
        <v>71</v>
      </c>
      <c r="L2719" s="25" t="s">
        <v>5969</v>
      </c>
      <c r="M2719" s="20" t="s">
        <v>1157</v>
      </c>
      <c r="N2719" s="20" t="s">
        <v>5350</v>
      </c>
      <c r="O2719" s="20" t="s">
        <v>63</v>
      </c>
      <c r="P2719" s="20" t="s">
        <v>52</v>
      </c>
      <c r="Q2719" s="22"/>
      <c r="R2719" s="22"/>
      <c r="S2719" s="22"/>
      <c r="T2719" s="20"/>
      <c r="U2719" s="26"/>
      <c r="V2719" s="26"/>
      <c r="W2719" s="20"/>
      <c r="X2719" s="20"/>
      <c r="Y2719" s="20"/>
      <c r="Z2719" s="20"/>
      <c r="AA2719" s="20"/>
      <c r="AB2719" s="20"/>
      <c r="AC2719" s="20"/>
      <c r="AD2719" s="20"/>
      <c r="AE2719" s="20"/>
    </row>
    <row r="2720">
      <c r="A2720" s="21">
        <v>66.0</v>
      </c>
      <c r="B2720" s="20" t="s">
        <v>5322</v>
      </c>
      <c r="C2720" s="20" t="s">
        <v>5854</v>
      </c>
      <c r="I2720" s="25" t="s">
        <v>2484</v>
      </c>
      <c r="J2720" s="25" t="s">
        <v>5323</v>
      </c>
      <c r="K2720" s="25" t="s">
        <v>71</v>
      </c>
      <c r="L2720" s="25" t="s">
        <v>5970</v>
      </c>
      <c r="M2720" s="20" t="s">
        <v>4677</v>
      </c>
      <c r="N2720" s="20" t="s">
        <v>4678</v>
      </c>
      <c r="O2720" s="20" t="s">
        <v>63</v>
      </c>
      <c r="P2720" s="20" t="s">
        <v>52</v>
      </c>
      <c r="Q2720" s="22"/>
      <c r="R2720" s="22"/>
      <c r="S2720" s="22"/>
      <c r="T2720" s="20"/>
      <c r="U2720" s="26"/>
      <c r="V2720" s="26"/>
      <c r="W2720" s="20"/>
      <c r="X2720" s="20"/>
      <c r="Y2720" s="20"/>
      <c r="Z2720" s="20"/>
      <c r="AA2720" s="20"/>
      <c r="AB2720" s="20"/>
      <c r="AC2720" s="20"/>
      <c r="AD2720" s="20"/>
      <c r="AE2720" s="20"/>
    </row>
    <row r="2721">
      <c r="A2721" s="21">
        <v>66.0</v>
      </c>
      <c r="B2721" s="20" t="s">
        <v>5322</v>
      </c>
      <c r="C2721" s="20" t="s">
        <v>5854</v>
      </c>
      <c r="I2721" s="25" t="s">
        <v>2883</v>
      </c>
      <c r="J2721" s="25" t="s">
        <v>5324</v>
      </c>
      <c r="K2721" s="25" t="s">
        <v>71</v>
      </c>
      <c r="L2721" s="25" t="s">
        <v>5963</v>
      </c>
      <c r="M2721" s="20" t="s">
        <v>4115</v>
      </c>
      <c r="N2721" s="20" t="s">
        <v>4117</v>
      </c>
      <c r="O2721" s="20" t="s">
        <v>63</v>
      </c>
      <c r="P2721" s="20" t="s">
        <v>52</v>
      </c>
      <c r="Q2721" s="22"/>
      <c r="R2721" s="22"/>
      <c r="S2721" s="22"/>
      <c r="T2721" s="20"/>
      <c r="U2721" s="26"/>
      <c r="V2721" s="26"/>
      <c r="W2721" s="20"/>
      <c r="X2721" s="20"/>
      <c r="Y2721" s="20"/>
      <c r="Z2721" s="20"/>
      <c r="AA2721" s="20"/>
      <c r="AB2721" s="20"/>
      <c r="AC2721" s="20"/>
      <c r="AD2721" s="20"/>
      <c r="AE2721" s="20"/>
    </row>
    <row r="2722">
      <c r="A2722" s="21">
        <v>66.0</v>
      </c>
      <c r="B2722" s="20" t="s">
        <v>5322</v>
      </c>
      <c r="C2722" s="20" t="s">
        <v>5854</v>
      </c>
      <c r="I2722" s="25" t="s">
        <v>1997</v>
      </c>
      <c r="J2722" s="25" t="s">
        <v>5323</v>
      </c>
      <c r="K2722" s="25" t="s">
        <v>71</v>
      </c>
      <c r="L2722" s="25" t="s">
        <v>226</v>
      </c>
      <c r="M2722" s="20" t="s">
        <v>4523</v>
      </c>
      <c r="N2722" s="20" t="s">
        <v>4524</v>
      </c>
      <c r="O2722" s="20" t="s">
        <v>63</v>
      </c>
      <c r="P2722" s="20" t="s">
        <v>52</v>
      </c>
      <c r="Q2722" s="22"/>
      <c r="R2722" s="22"/>
      <c r="S2722" s="22"/>
      <c r="T2722" s="22"/>
      <c r="U2722" s="26"/>
      <c r="V2722" s="26"/>
      <c r="W2722" s="20"/>
      <c r="X2722" s="20"/>
      <c r="Y2722" s="20"/>
      <c r="Z2722" s="20"/>
      <c r="AA2722" s="20"/>
      <c r="AB2722" s="20"/>
      <c r="AC2722" s="20"/>
      <c r="AD2722" s="20"/>
      <c r="AE2722" s="20"/>
    </row>
    <row r="2723">
      <c r="A2723" s="21">
        <v>66.0</v>
      </c>
      <c r="B2723" s="20" t="s">
        <v>5322</v>
      </c>
      <c r="C2723" s="20" t="s">
        <v>5854</v>
      </c>
      <c r="I2723" s="25" t="s">
        <v>2488</v>
      </c>
      <c r="J2723" s="25" t="s">
        <v>5324</v>
      </c>
      <c r="K2723" s="25" t="s">
        <v>71</v>
      </c>
      <c r="L2723" s="25" t="s">
        <v>5971</v>
      </c>
      <c r="M2723" s="20" t="s">
        <v>5393</v>
      </c>
      <c r="N2723" s="20" t="s">
        <v>5394</v>
      </c>
      <c r="O2723" s="20" t="s">
        <v>63</v>
      </c>
      <c r="P2723" s="20" t="s">
        <v>52</v>
      </c>
      <c r="Q2723" s="22"/>
      <c r="R2723" s="22"/>
      <c r="S2723" s="22"/>
      <c r="T2723" s="20"/>
      <c r="U2723" s="26"/>
      <c r="V2723" s="26"/>
      <c r="W2723" s="20"/>
      <c r="X2723" s="20"/>
      <c r="Y2723" s="20"/>
      <c r="Z2723" s="20"/>
      <c r="AA2723" s="20"/>
      <c r="AB2723" s="20"/>
      <c r="AC2723" s="20"/>
      <c r="AD2723" s="20"/>
      <c r="AE2723" s="20"/>
    </row>
    <row r="2724">
      <c r="A2724" s="21">
        <v>66.0</v>
      </c>
      <c r="B2724" s="20" t="s">
        <v>5322</v>
      </c>
      <c r="C2724" s="20" t="s">
        <v>5854</v>
      </c>
      <c r="I2724" s="25" t="s">
        <v>4604</v>
      </c>
      <c r="J2724" s="25" t="s">
        <v>5323</v>
      </c>
      <c r="K2724" s="25" t="s">
        <v>71</v>
      </c>
      <c r="L2724" s="25" t="s">
        <v>5974</v>
      </c>
      <c r="M2724" s="20" t="s">
        <v>61</v>
      </c>
      <c r="N2724" s="20" t="s">
        <v>4768</v>
      </c>
      <c r="O2724" s="20" t="s">
        <v>63</v>
      </c>
      <c r="P2724" s="20" t="s">
        <v>52</v>
      </c>
      <c r="Q2724" s="22"/>
      <c r="R2724" s="22"/>
      <c r="S2724" s="22"/>
      <c r="T2724" s="20"/>
      <c r="U2724" s="26"/>
      <c r="V2724" s="26"/>
      <c r="W2724" s="20"/>
      <c r="X2724" s="20"/>
      <c r="Y2724" s="20"/>
      <c r="Z2724" s="20"/>
      <c r="AA2724" s="20"/>
      <c r="AB2724" s="20"/>
      <c r="AC2724" s="20"/>
      <c r="AD2724" s="20"/>
      <c r="AE2724" s="20"/>
    </row>
    <row r="2725">
      <c r="A2725" s="21">
        <v>66.0</v>
      </c>
      <c r="B2725" s="20" t="s">
        <v>5322</v>
      </c>
      <c r="C2725" s="20" t="s">
        <v>5854</v>
      </c>
      <c r="I2725" s="25" t="s">
        <v>413</v>
      </c>
      <c r="J2725" s="25" t="s">
        <v>5324</v>
      </c>
      <c r="K2725" s="25" t="s">
        <v>71</v>
      </c>
      <c r="L2725" s="25" t="s">
        <v>5954</v>
      </c>
      <c r="M2725" s="20" t="s">
        <v>5395</v>
      </c>
      <c r="N2725" s="20" t="s">
        <v>5397</v>
      </c>
      <c r="O2725" s="20" t="s">
        <v>63</v>
      </c>
      <c r="P2725" s="20" t="s">
        <v>52</v>
      </c>
      <c r="Q2725" s="22"/>
      <c r="R2725" s="22"/>
      <c r="S2725" s="22"/>
      <c r="T2725" s="20"/>
      <c r="U2725" s="26"/>
      <c r="V2725" s="26"/>
      <c r="W2725" s="20"/>
      <c r="X2725" s="20"/>
      <c r="Y2725" s="20"/>
      <c r="Z2725" s="20"/>
      <c r="AA2725" s="20"/>
      <c r="AB2725" s="20"/>
      <c r="AC2725" s="20"/>
      <c r="AD2725" s="20"/>
      <c r="AE2725" s="20"/>
    </row>
    <row r="2726">
      <c r="A2726" s="21">
        <v>66.0</v>
      </c>
      <c r="B2726" s="20" t="s">
        <v>5322</v>
      </c>
      <c r="C2726" s="20" t="s">
        <v>5854</v>
      </c>
      <c r="I2726" s="25" t="s">
        <v>1729</v>
      </c>
      <c r="J2726" s="25" t="s">
        <v>5324</v>
      </c>
      <c r="K2726" s="25" t="s">
        <v>71</v>
      </c>
      <c r="L2726" s="25" t="s">
        <v>5965</v>
      </c>
      <c r="M2726" s="20" t="s">
        <v>5398</v>
      </c>
      <c r="N2726" s="20" t="s">
        <v>5399</v>
      </c>
      <c r="O2726" s="20" t="s">
        <v>63</v>
      </c>
      <c r="P2726" s="20" t="s">
        <v>52</v>
      </c>
      <c r="Q2726" s="22"/>
      <c r="R2726" s="22"/>
      <c r="S2726" s="22"/>
      <c r="T2726" s="20"/>
      <c r="U2726" s="26"/>
      <c r="V2726" s="26"/>
      <c r="W2726" s="20"/>
      <c r="X2726" s="20"/>
      <c r="Y2726" s="20"/>
      <c r="Z2726" s="20"/>
      <c r="AA2726" s="20"/>
      <c r="AB2726" s="20"/>
      <c r="AC2726" s="20"/>
      <c r="AD2726" s="20"/>
      <c r="AE2726" s="20"/>
    </row>
    <row r="2727">
      <c r="A2727" s="21">
        <v>66.0</v>
      </c>
      <c r="B2727" s="20" t="s">
        <v>5322</v>
      </c>
      <c r="C2727" s="20" t="s">
        <v>5854</v>
      </c>
      <c r="I2727" s="25" t="s">
        <v>2564</v>
      </c>
      <c r="J2727" s="25" t="s">
        <v>5324</v>
      </c>
      <c r="K2727" s="25" t="s">
        <v>71</v>
      </c>
      <c r="L2727" s="25" t="s">
        <v>5980</v>
      </c>
      <c r="M2727" s="20" t="s">
        <v>5401</v>
      </c>
      <c r="N2727" s="20" t="s">
        <v>5402</v>
      </c>
      <c r="O2727" s="20" t="s">
        <v>63</v>
      </c>
      <c r="P2727" s="20" t="s">
        <v>52</v>
      </c>
      <c r="Q2727" s="22"/>
      <c r="R2727" s="22"/>
      <c r="S2727" s="22"/>
      <c r="T2727" s="20"/>
      <c r="U2727" s="26"/>
      <c r="V2727" s="26"/>
      <c r="W2727" s="20"/>
      <c r="X2727" s="20"/>
      <c r="Y2727" s="20"/>
      <c r="Z2727" s="20"/>
      <c r="AA2727" s="20"/>
      <c r="AB2727" s="20"/>
      <c r="AC2727" s="20"/>
      <c r="AD2727" s="20"/>
      <c r="AE2727" s="20"/>
    </row>
    <row r="2728">
      <c r="A2728" s="21">
        <v>66.0</v>
      </c>
      <c r="B2728" s="20" t="s">
        <v>5322</v>
      </c>
      <c r="C2728" s="20" t="s">
        <v>5854</v>
      </c>
      <c r="I2728" s="25" t="s">
        <v>2535</v>
      </c>
      <c r="J2728" s="25" t="s">
        <v>5324</v>
      </c>
      <c r="K2728" s="25" t="s">
        <v>71</v>
      </c>
      <c r="L2728" s="25" t="s">
        <v>5982</v>
      </c>
      <c r="M2728" s="20" t="s">
        <v>4589</v>
      </c>
      <c r="N2728" s="20" t="s">
        <v>4590</v>
      </c>
      <c r="O2728" s="20" t="s">
        <v>63</v>
      </c>
      <c r="P2728" s="20" t="s">
        <v>52</v>
      </c>
      <c r="Q2728" s="22"/>
      <c r="R2728" s="22"/>
      <c r="S2728" s="22"/>
      <c r="T2728" s="20"/>
      <c r="U2728" s="26"/>
      <c r="V2728" s="26"/>
      <c r="W2728" s="20"/>
      <c r="X2728" s="20"/>
      <c r="Y2728" s="20"/>
      <c r="Z2728" s="20"/>
      <c r="AA2728" s="20"/>
      <c r="AB2728" s="20"/>
      <c r="AC2728" s="20"/>
      <c r="AD2728" s="20"/>
      <c r="AE2728" s="20"/>
    </row>
    <row r="2729">
      <c r="A2729" s="21">
        <v>66.0</v>
      </c>
      <c r="B2729" s="20" t="s">
        <v>5322</v>
      </c>
      <c r="C2729" s="20" t="s">
        <v>5854</v>
      </c>
      <c r="I2729" s="25" t="s">
        <v>4236</v>
      </c>
      <c r="J2729" s="25" t="s">
        <v>5323</v>
      </c>
      <c r="K2729" s="25" t="s">
        <v>71</v>
      </c>
      <c r="L2729" s="25" t="s">
        <v>5950</v>
      </c>
      <c r="M2729" s="20" t="s">
        <v>4632</v>
      </c>
      <c r="N2729" s="20" t="s">
        <v>4809</v>
      </c>
      <c r="O2729" s="20" t="s">
        <v>63</v>
      </c>
      <c r="P2729" s="20" t="s">
        <v>52</v>
      </c>
      <c r="Q2729" s="22"/>
      <c r="R2729" s="22"/>
      <c r="S2729" s="22"/>
      <c r="T2729" s="20"/>
      <c r="U2729" s="26"/>
      <c r="V2729" s="26"/>
      <c r="W2729" s="20"/>
      <c r="X2729" s="20"/>
      <c r="Y2729" s="20"/>
      <c r="Z2729" s="20"/>
      <c r="AA2729" s="20"/>
      <c r="AB2729" s="20"/>
      <c r="AC2729" s="20"/>
      <c r="AD2729" s="20"/>
      <c r="AE2729" s="20"/>
    </row>
    <row r="2730">
      <c r="A2730" s="21">
        <v>66.0</v>
      </c>
      <c r="B2730" s="20" t="s">
        <v>5322</v>
      </c>
      <c r="C2730" s="20" t="s">
        <v>5854</v>
      </c>
      <c r="I2730" s="25" t="s">
        <v>5194</v>
      </c>
      <c r="J2730" s="25" t="s">
        <v>5324</v>
      </c>
      <c r="K2730" s="25" t="s">
        <v>71</v>
      </c>
      <c r="L2730" s="25" t="s">
        <v>5986</v>
      </c>
      <c r="M2730" s="20" t="s">
        <v>5403</v>
      </c>
      <c r="N2730" s="20" t="s">
        <v>5404</v>
      </c>
      <c r="O2730" s="20" t="s">
        <v>63</v>
      </c>
      <c r="P2730" s="20" t="s">
        <v>52</v>
      </c>
      <c r="Q2730" s="22"/>
      <c r="R2730" s="22"/>
      <c r="S2730" s="22"/>
      <c r="T2730" s="20"/>
      <c r="U2730" s="26"/>
      <c r="V2730" s="26"/>
      <c r="W2730" s="20"/>
      <c r="X2730" s="20"/>
      <c r="Y2730" s="20"/>
      <c r="Z2730" s="20"/>
      <c r="AA2730" s="20"/>
      <c r="AB2730" s="20"/>
      <c r="AC2730" s="20"/>
      <c r="AD2730" s="20"/>
      <c r="AE2730" s="20"/>
    </row>
    <row r="2731">
      <c r="A2731" s="21">
        <v>66.0</v>
      </c>
      <c r="B2731" s="20" t="s">
        <v>5322</v>
      </c>
      <c r="C2731" s="20" t="s">
        <v>5854</v>
      </c>
      <c r="I2731" s="25" t="s">
        <v>2539</v>
      </c>
      <c r="J2731" s="25" t="s">
        <v>5324</v>
      </c>
      <c r="K2731" s="25" t="s">
        <v>71</v>
      </c>
      <c r="L2731" s="25" t="s">
        <v>5988</v>
      </c>
      <c r="M2731" s="20" t="s">
        <v>61</v>
      </c>
      <c r="N2731" s="20" t="s">
        <v>5405</v>
      </c>
      <c r="O2731" s="20" t="s">
        <v>63</v>
      </c>
      <c r="P2731" s="20" t="s">
        <v>52</v>
      </c>
      <c r="Q2731" s="22"/>
      <c r="R2731" s="22"/>
      <c r="S2731" s="22"/>
      <c r="T2731" s="20"/>
      <c r="U2731" s="26"/>
      <c r="V2731" s="26"/>
      <c r="W2731" s="20"/>
      <c r="X2731" s="20"/>
      <c r="Y2731" s="20"/>
      <c r="Z2731" s="20"/>
      <c r="AA2731" s="20"/>
      <c r="AB2731" s="20"/>
      <c r="AC2731" s="20"/>
      <c r="AD2731" s="20"/>
      <c r="AE2731" s="20"/>
    </row>
    <row r="2732">
      <c r="A2732" s="21">
        <v>66.0</v>
      </c>
      <c r="B2732" s="20" t="s">
        <v>5322</v>
      </c>
      <c r="C2732" s="20" t="s">
        <v>5854</v>
      </c>
      <c r="I2732" s="25" t="s">
        <v>2517</v>
      </c>
      <c r="J2732" s="25" t="s">
        <v>5323</v>
      </c>
      <c r="K2732" s="25" t="s">
        <v>71</v>
      </c>
      <c r="L2732" s="25" t="s">
        <v>5991</v>
      </c>
      <c r="M2732" s="20" t="s">
        <v>4556</v>
      </c>
      <c r="N2732" s="20" t="s">
        <v>4557</v>
      </c>
      <c r="O2732" s="20" t="s">
        <v>63</v>
      </c>
      <c r="P2732" s="20" t="s">
        <v>52</v>
      </c>
      <c r="Q2732" s="22"/>
      <c r="R2732" s="22"/>
      <c r="S2732" s="22"/>
      <c r="T2732" s="20"/>
      <c r="U2732" s="26"/>
      <c r="V2732" s="26"/>
      <c r="W2732" s="20"/>
      <c r="X2732" s="20"/>
      <c r="Y2732" s="20"/>
      <c r="Z2732" s="20"/>
      <c r="AA2732" s="20"/>
      <c r="AB2732" s="20"/>
      <c r="AC2732" s="20"/>
      <c r="AD2732" s="20"/>
      <c r="AE2732" s="20"/>
    </row>
    <row r="2733">
      <c r="A2733" s="21">
        <v>66.0</v>
      </c>
      <c r="B2733" s="20" t="s">
        <v>5322</v>
      </c>
      <c r="C2733" s="20" t="s">
        <v>5854</v>
      </c>
      <c r="I2733" s="25" t="s">
        <v>231</v>
      </c>
      <c r="J2733" s="25" t="s">
        <v>5323</v>
      </c>
      <c r="K2733" s="25" t="s">
        <v>71</v>
      </c>
      <c r="L2733" s="25" t="s">
        <v>5988</v>
      </c>
      <c r="M2733" s="20" t="s">
        <v>4720</v>
      </c>
      <c r="N2733" s="20" t="s">
        <v>4721</v>
      </c>
      <c r="O2733" s="20" t="s">
        <v>63</v>
      </c>
      <c r="P2733" s="20" t="s">
        <v>52</v>
      </c>
      <c r="Q2733" s="22"/>
      <c r="R2733" s="22"/>
      <c r="S2733" s="22"/>
      <c r="T2733" s="20"/>
      <c r="U2733" s="26"/>
      <c r="V2733" s="26"/>
      <c r="W2733" s="20"/>
      <c r="X2733" s="20"/>
      <c r="Y2733" s="20"/>
      <c r="Z2733" s="20"/>
      <c r="AA2733" s="20"/>
      <c r="AB2733" s="20"/>
      <c r="AC2733" s="20"/>
      <c r="AD2733" s="20"/>
      <c r="AE2733" s="20"/>
    </row>
    <row r="2734">
      <c r="A2734" s="21">
        <v>66.0</v>
      </c>
      <c r="B2734" s="20" t="s">
        <v>5322</v>
      </c>
      <c r="C2734" s="20" t="s">
        <v>5854</v>
      </c>
      <c r="I2734" s="25" t="s">
        <v>4829</v>
      </c>
      <c r="J2734" s="25" t="s">
        <v>5323</v>
      </c>
      <c r="K2734" s="25" t="s">
        <v>71</v>
      </c>
      <c r="L2734" s="25" t="s">
        <v>5995</v>
      </c>
      <c r="M2734" s="20" t="s">
        <v>4830</v>
      </c>
      <c r="N2734" s="20" t="s">
        <v>4831</v>
      </c>
      <c r="O2734" s="20" t="s">
        <v>63</v>
      </c>
      <c r="P2734" s="20" t="s">
        <v>52</v>
      </c>
      <c r="Q2734" s="22"/>
      <c r="R2734" s="22"/>
      <c r="S2734" s="22"/>
      <c r="T2734" s="20"/>
      <c r="U2734" s="26"/>
      <c r="V2734" s="26"/>
      <c r="W2734" s="20"/>
      <c r="X2734" s="20"/>
      <c r="Y2734" s="20"/>
      <c r="Z2734" s="20"/>
      <c r="AA2734" s="20"/>
      <c r="AB2734" s="20"/>
      <c r="AC2734" s="20"/>
      <c r="AD2734" s="20"/>
      <c r="AE2734" s="20"/>
    </row>
    <row r="2735">
      <c r="A2735" s="21">
        <v>66.0</v>
      </c>
      <c r="B2735" s="20" t="s">
        <v>5322</v>
      </c>
      <c r="C2735" s="20" t="s">
        <v>5854</v>
      </c>
      <c r="I2735" s="25" t="s">
        <v>4055</v>
      </c>
      <c r="J2735" s="25" t="s">
        <v>5323</v>
      </c>
      <c r="K2735" s="25" t="s">
        <v>71</v>
      </c>
      <c r="L2735" s="25" t="s">
        <v>5998</v>
      </c>
      <c r="M2735" s="20" t="s">
        <v>4745</v>
      </c>
      <c r="N2735" s="20" t="s">
        <v>4746</v>
      </c>
      <c r="O2735" s="20" t="s">
        <v>63</v>
      </c>
      <c r="P2735" s="20" t="s">
        <v>52</v>
      </c>
      <c r="Q2735" s="22"/>
      <c r="R2735" s="22"/>
      <c r="S2735" s="22"/>
      <c r="T2735" s="20"/>
      <c r="U2735" s="26"/>
      <c r="V2735" s="26"/>
      <c r="W2735" s="20"/>
      <c r="X2735" s="20"/>
      <c r="Y2735" s="20"/>
      <c r="Z2735" s="20"/>
      <c r="AA2735" s="20"/>
      <c r="AB2735" s="20"/>
      <c r="AC2735" s="20"/>
      <c r="AD2735" s="20"/>
      <c r="AE2735" s="20"/>
    </row>
    <row r="2736">
      <c r="A2736" s="21">
        <v>66.0</v>
      </c>
      <c r="B2736" s="20" t="s">
        <v>5322</v>
      </c>
      <c r="C2736" s="20" t="s">
        <v>5854</v>
      </c>
      <c r="I2736" s="25" t="s">
        <v>4626</v>
      </c>
      <c r="J2736" s="25" t="s">
        <v>5323</v>
      </c>
      <c r="K2736" s="25" t="s">
        <v>71</v>
      </c>
      <c r="L2736" s="25" t="s">
        <v>5988</v>
      </c>
      <c r="M2736" s="20" t="s">
        <v>5353</v>
      </c>
      <c r="N2736" s="20" t="s">
        <v>5354</v>
      </c>
      <c r="O2736" s="20" t="s">
        <v>63</v>
      </c>
      <c r="P2736" s="20" t="s">
        <v>52</v>
      </c>
      <c r="Q2736" s="22"/>
      <c r="R2736" s="22"/>
      <c r="S2736" s="22"/>
      <c r="T2736" s="20"/>
      <c r="U2736" s="26"/>
      <c r="V2736" s="26"/>
      <c r="W2736" s="20"/>
      <c r="X2736" s="20"/>
      <c r="Y2736" s="20"/>
      <c r="Z2736" s="20"/>
      <c r="AA2736" s="20"/>
      <c r="AB2736" s="20"/>
      <c r="AC2736" s="20"/>
      <c r="AD2736" s="20"/>
      <c r="AE2736" s="20"/>
    </row>
    <row r="2737">
      <c r="A2737" s="21">
        <v>66.0</v>
      </c>
      <c r="B2737" s="20" t="s">
        <v>5322</v>
      </c>
      <c r="C2737" s="20" t="s">
        <v>5854</v>
      </c>
      <c r="I2737" s="25" t="s">
        <v>5406</v>
      </c>
      <c r="J2737" s="25" t="s">
        <v>5324</v>
      </c>
      <c r="K2737" s="25" t="s">
        <v>71</v>
      </c>
      <c r="L2737" s="25" t="s">
        <v>5998</v>
      </c>
      <c r="M2737" s="20" t="s">
        <v>61</v>
      </c>
      <c r="N2737" s="20" t="s">
        <v>5407</v>
      </c>
      <c r="O2737" s="20" t="s">
        <v>63</v>
      </c>
      <c r="P2737" s="20" t="s">
        <v>52</v>
      </c>
      <c r="Q2737" s="22"/>
      <c r="R2737" s="22"/>
      <c r="S2737" s="22"/>
      <c r="T2737" s="20"/>
      <c r="U2737" s="26"/>
      <c r="V2737" s="26"/>
      <c r="W2737" s="20"/>
      <c r="X2737" s="20"/>
      <c r="Y2737" s="20"/>
      <c r="Z2737" s="20"/>
      <c r="AA2737" s="20"/>
      <c r="AB2737" s="20"/>
      <c r="AC2737" s="20"/>
      <c r="AD2737" s="20"/>
      <c r="AE2737" s="20"/>
    </row>
    <row r="2738">
      <c r="A2738" s="21">
        <v>66.0</v>
      </c>
      <c r="B2738" s="20" t="s">
        <v>5322</v>
      </c>
      <c r="C2738" s="20" t="s">
        <v>5854</v>
      </c>
      <c r="I2738" s="25" t="s">
        <v>5408</v>
      </c>
      <c r="J2738" s="25" t="s">
        <v>5324</v>
      </c>
      <c r="K2738" s="25" t="s">
        <v>71</v>
      </c>
      <c r="L2738" s="25" t="s">
        <v>5986</v>
      </c>
      <c r="M2738" s="20" t="s">
        <v>5409</v>
      </c>
      <c r="N2738" s="20" t="s">
        <v>5410</v>
      </c>
      <c r="O2738" s="20" t="s">
        <v>63</v>
      </c>
      <c r="P2738" s="20" t="s">
        <v>52</v>
      </c>
      <c r="Q2738" s="22"/>
      <c r="R2738" s="22"/>
      <c r="S2738" s="22"/>
      <c r="T2738" s="26"/>
      <c r="U2738" s="26"/>
      <c r="V2738" s="26"/>
      <c r="W2738" s="20"/>
      <c r="X2738" s="20"/>
      <c r="Y2738" s="20"/>
      <c r="Z2738" s="20"/>
      <c r="AA2738" s="20"/>
      <c r="AB2738" s="20"/>
      <c r="AC2738" s="20"/>
      <c r="AD2738" s="20"/>
      <c r="AE2738" s="20"/>
    </row>
    <row r="2739">
      <c r="A2739" s="21">
        <v>66.0</v>
      </c>
      <c r="B2739" s="20" t="s">
        <v>5322</v>
      </c>
      <c r="C2739" s="20" t="s">
        <v>5854</v>
      </c>
      <c r="I2739" s="25" t="s">
        <v>4455</v>
      </c>
      <c r="J2739" s="25" t="s">
        <v>5323</v>
      </c>
      <c r="K2739" s="25" t="s">
        <v>71</v>
      </c>
      <c r="L2739" s="25" t="s">
        <v>5991</v>
      </c>
      <c r="M2739" s="20" t="s">
        <v>4456</v>
      </c>
      <c r="N2739" s="20" t="s">
        <v>4560</v>
      </c>
      <c r="O2739" s="20" t="s">
        <v>63</v>
      </c>
      <c r="P2739" s="20" t="s">
        <v>52</v>
      </c>
      <c r="Q2739" s="22"/>
      <c r="R2739" s="22"/>
      <c r="S2739" s="22"/>
      <c r="T2739" s="26"/>
      <c r="U2739" s="26"/>
      <c r="V2739" s="26"/>
      <c r="W2739" s="20"/>
      <c r="X2739" s="20"/>
      <c r="Y2739" s="20"/>
      <c r="Z2739" s="20"/>
      <c r="AA2739" s="20"/>
      <c r="AB2739" s="20"/>
      <c r="AC2739" s="20"/>
      <c r="AD2739" s="20"/>
      <c r="AE2739" s="20"/>
    </row>
    <row r="2740">
      <c r="A2740" s="21">
        <v>66.0</v>
      </c>
      <c r="B2740" s="20" t="s">
        <v>5322</v>
      </c>
      <c r="C2740" s="20" t="s">
        <v>5854</v>
      </c>
      <c r="I2740" s="25" t="s">
        <v>2787</v>
      </c>
      <c r="J2740" s="25" t="s">
        <v>5323</v>
      </c>
      <c r="K2740" s="25" t="s">
        <v>71</v>
      </c>
      <c r="L2740" s="25" t="s">
        <v>5991</v>
      </c>
      <c r="M2740" s="20" t="s">
        <v>4564</v>
      </c>
      <c r="N2740" s="20" t="s">
        <v>4565</v>
      </c>
      <c r="O2740" s="20" t="s">
        <v>63</v>
      </c>
      <c r="P2740" s="20" t="s">
        <v>52</v>
      </c>
      <c r="Q2740" s="22"/>
      <c r="R2740" s="22"/>
      <c r="S2740" s="22"/>
      <c r="T2740" s="26"/>
      <c r="U2740" s="26"/>
      <c r="V2740" s="26"/>
      <c r="W2740" s="20"/>
      <c r="X2740" s="20"/>
      <c r="Y2740" s="20"/>
      <c r="Z2740" s="20"/>
      <c r="AA2740" s="20"/>
      <c r="AB2740" s="20"/>
      <c r="AC2740" s="20"/>
      <c r="AD2740" s="20"/>
      <c r="AE2740" s="20"/>
    </row>
    <row r="2741">
      <c r="A2741" s="21">
        <v>66.0</v>
      </c>
      <c r="B2741" s="20" t="s">
        <v>5322</v>
      </c>
      <c r="C2741" s="20" t="s">
        <v>5854</v>
      </c>
      <c r="I2741" s="25" t="s">
        <v>4592</v>
      </c>
      <c r="J2741" s="25" t="s">
        <v>5324</v>
      </c>
      <c r="K2741" s="25" t="s">
        <v>71</v>
      </c>
      <c r="L2741" s="25" t="s">
        <v>5991</v>
      </c>
      <c r="M2741" s="20" t="s">
        <v>61</v>
      </c>
      <c r="N2741" s="20" t="s">
        <v>4593</v>
      </c>
      <c r="O2741" s="20" t="s">
        <v>63</v>
      </c>
      <c r="P2741" s="20" t="s">
        <v>52</v>
      </c>
      <c r="Q2741" s="22"/>
      <c r="R2741" s="22"/>
      <c r="S2741" s="22"/>
      <c r="T2741" s="26"/>
      <c r="U2741" s="26"/>
      <c r="V2741" s="26"/>
      <c r="W2741" s="20"/>
      <c r="X2741" s="20"/>
      <c r="Y2741" s="20"/>
      <c r="Z2741" s="20"/>
      <c r="AA2741" s="20"/>
      <c r="AB2741" s="20"/>
      <c r="AC2741" s="20"/>
      <c r="AD2741" s="20"/>
      <c r="AE2741" s="20"/>
    </row>
    <row r="2742">
      <c r="A2742" s="21">
        <v>66.0</v>
      </c>
      <c r="B2742" s="20" t="s">
        <v>5322</v>
      </c>
      <c r="C2742" s="20" t="s">
        <v>5854</v>
      </c>
      <c r="I2742" s="25" t="s">
        <v>4112</v>
      </c>
      <c r="J2742" s="25" t="s">
        <v>5323</v>
      </c>
      <c r="K2742" s="25" t="s">
        <v>71</v>
      </c>
      <c r="L2742" s="25" t="s">
        <v>5991</v>
      </c>
      <c r="M2742" s="20" t="s">
        <v>4113</v>
      </c>
      <c r="N2742" s="20" t="s">
        <v>5355</v>
      </c>
      <c r="O2742" s="20" t="s">
        <v>63</v>
      </c>
      <c r="P2742" s="20" t="s">
        <v>52</v>
      </c>
      <c r="Q2742" s="22"/>
      <c r="R2742" s="22"/>
      <c r="S2742" s="22"/>
      <c r="T2742" s="26"/>
      <c r="U2742" s="26"/>
      <c r="V2742" s="26"/>
      <c r="W2742" s="20"/>
      <c r="X2742" s="20"/>
      <c r="Y2742" s="20"/>
      <c r="Z2742" s="20"/>
      <c r="AA2742" s="20"/>
      <c r="AB2742" s="20"/>
      <c r="AC2742" s="20"/>
      <c r="AD2742" s="20"/>
      <c r="AE2742" s="20"/>
    </row>
    <row r="2743">
      <c r="A2743" s="21">
        <v>66.0</v>
      </c>
      <c r="B2743" s="20" t="s">
        <v>5322</v>
      </c>
      <c r="C2743" s="20" t="s">
        <v>5854</v>
      </c>
      <c r="I2743" s="25" t="s">
        <v>707</v>
      </c>
      <c r="J2743" s="25" t="s">
        <v>5323</v>
      </c>
      <c r="K2743" s="25" t="s">
        <v>71</v>
      </c>
      <c r="L2743" s="25" t="s">
        <v>6011</v>
      </c>
      <c r="M2743" s="20" t="s">
        <v>4866</v>
      </c>
      <c r="N2743" s="20" t="s">
        <v>4867</v>
      </c>
      <c r="O2743" s="20" t="s">
        <v>63</v>
      </c>
      <c r="P2743" s="20" t="s">
        <v>52</v>
      </c>
      <c r="Q2743" s="22"/>
      <c r="R2743" s="22"/>
      <c r="S2743" s="22"/>
      <c r="T2743" s="26"/>
      <c r="U2743" s="26"/>
      <c r="V2743" s="26"/>
      <c r="W2743" s="20"/>
      <c r="X2743" s="20"/>
      <c r="Y2743" s="20"/>
      <c r="Z2743" s="20"/>
      <c r="AA2743" s="20"/>
      <c r="AB2743" s="20"/>
      <c r="AC2743" s="20"/>
      <c r="AD2743" s="20"/>
      <c r="AE2743" s="20"/>
    </row>
    <row r="2744">
      <c r="A2744" s="21">
        <v>66.0</v>
      </c>
      <c r="B2744" s="20" t="s">
        <v>5322</v>
      </c>
      <c r="C2744" s="20" t="s">
        <v>5854</v>
      </c>
      <c r="I2744" s="25" t="s">
        <v>4452</v>
      </c>
      <c r="J2744" s="25" t="s">
        <v>5327</v>
      </c>
      <c r="K2744" s="25" t="s">
        <v>71</v>
      </c>
      <c r="L2744" s="25" t="s">
        <v>6013</v>
      </c>
      <c r="M2744" s="20" t="s">
        <v>4649</v>
      </c>
      <c r="N2744" s="20" t="s">
        <v>4650</v>
      </c>
      <c r="O2744" s="20" t="s">
        <v>63</v>
      </c>
      <c r="P2744" s="20" t="s">
        <v>52</v>
      </c>
      <c r="Q2744" s="22"/>
      <c r="R2744" s="22"/>
      <c r="S2744" s="22"/>
      <c r="T2744" s="26"/>
      <c r="U2744" s="26"/>
      <c r="V2744" s="26"/>
      <c r="W2744" s="20"/>
      <c r="X2744" s="20"/>
      <c r="Y2744" s="20"/>
      <c r="Z2744" s="20"/>
      <c r="AA2744" s="20"/>
      <c r="AB2744" s="20"/>
      <c r="AC2744" s="20"/>
      <c r="AD2744" s="20"/>
      <c r="AE2744" s="20"/>
    </row>
    <row r="2745">
      <c r="A2745" s="21">
        <v>66.0</v>
      </c>
      <c r="B2745" s="20" t="s">
        <v>5322</v>
      </c>
      <c r="C2745" s="20" t="s">
        <v>5854</v>
      </c>
      <c r="I2745" s="25" t="s">
        <v>4553</v>
      </c>
      <c r="J2745" s="25" t="s">
        <v>5324</v>
      </c>
      <c r="K2745" s="25" t="s">
        <v>71</v>
      </c>
      <c r="L2745" s="25" t="s">
        <v>5991</v>
      </c>
      <c r="M2745" s="20" t="s">
        <v>5411</v>
      </c>
      <c r="N2745" s="20" t="s">
        <v>5397</v>
      </c>
      <c r="O2745" s="20" t="s">
        <v>63</v>
      </c>
      <c r="P2745" s="20" t="s">
        <v>52</v>
      </c>
      <c r="Q2745" s="22"/>
      <c r="R2745" s="22"/>
      <c r="S2745" s="22"/>
      <c r="T2745" s="26"/>
      <c r="U2745" s="26"/>
      <c r="V2745" s="26"/>
      <c r="W2745" s="20"/>
      <c r="X2745" s="20"/>
      <c r="Y2745" s="20"/>
      <c r="Z2745" s="20"/>
      <c r="AA2745" s="20"/>
      <c r="AB2745" s="20"/>
      <c r="AC2745" s="20"/>
      <c r="AD2745" s="20"/>
      <c r="AE2745" s="20"/>
    </row>
    <row r="2746">
      <c r="A2746" s="21">
        <v>66.0</v>
      </c>
      <c r="B2746" s="20" t="s">
        <v>5322</v>
      </c>
      <c r="C2746" s="20" t="s">
        <v>5854</v>
      </c>
      <c r="I2746" s="25" t="s">
        <v>1687</v>
      </c>
      <c r="J2746" s="25" t="s">
        <v>5323</v>
      </c>
      <c r="K2746" s="25" t="s">
        <v>71</v>
      </c>
      <c r="L2746" s="25" t="s">
        <v>5991</v>
      </c>
      <c r="M2746" s="20" t="s">
        <v>5356</v>
      </c>
      <c r="N2746" s="20" t="s">
        <v>5357</v>
      </c>
      <c r="O2746" s="20" t="s">
        <v>63</v>
      </c>
      <c r="P2746" s="20" t="s">
        <v>52</v>
      </c>
      <c r="Q2746" s="22"/>
      <c r="R2746" s="22"/>
      <c r="S2746" s="22"/>
      <c r="T2746" s="26"/>
      <c r="U2746" s="26"/>
      <c r="V2746" s="26"/>
      <c r="W2746" s="20"/>
      <c r="X2746" s="20"/>
      <c r="Y2746" s="20"/>
      <c r="Z2746" s="20"/>
      <c r="AA2746" s="20"/>
      <c r="AB2746" s="20"/>
      <c r="AC2746" s="20"/>
      <c r="AD2746" s="20"/>
      <c r="AE2746" s="20"/>
    </row>
    <row r="2747">
      <c r="A2747" s="21">
        <v>66.0</v>
      </c>
      <c r="B2747" s="20" t="s">
        <v>5322</v>
      </c>
      <c r="C2747" s="20" t="s">
        <v>5854</v>
      </c>
      <c r="I2747" s="25" t="s">
        <v>3022</v>
      </c>
      <c r="J2747" s="25" t="s">
        <v>5323</v>
      </c>
      <c r="K2747" s="25" t="s">
        <v>71</v>
      </c>
      <c r="L2747" s="25" t="s">
        <v>226</v>
      </c>
      <c r="M2747" s="20" t="s">
        <v>3023</v>
      </c>
      <c r="N2747" s="20" t="s">
        <v>4797</v>
      </c>
      <c r="O2747" s="20" t="s">
        <v>63</v>
      </c>
      <c r="P2747" s="20" t="s">
        <v>52</v>
      </c>
      <c r="Q2747" s="22"/>
      <c r="R2747" s="22"/>
      <c r="S2747" s="22"/>
      <c r="T2747" s="22"/>
      <c r="U2747" s="26"/>
      <c r="V2747" s="26"/>
      <c r="W2747" s="20"/>
      <c r="X2747" s="20"/>
      <c r="Y2747" s="20"/>
      <c r="Z2747" s="20"/>
      <c r="AA2747" s="20"/>
      <c r="AB2747" s="20"/>
      <c r="AC2747" s="20"/>
      <c r="AD2747" s="20"/>
      <c r="AE2747" s="20"/>
    </row>
    <row r="2748">
      <c r="A2748" s="21">
        <v>66.0</v>
      </c>
      <c r="B2748" s="20" t="s">
        <v>5322</v>
      </c>
      <c r="C2748" s="20" t="s">
        <v>5854</v>
      </c>
      <c r="I2748" s="25" t="s">
        <v>3033</v>
      </c>
      <c r="J2748" s="25" t="s">
        <v>5323</v>
      </c>
      <c r="K2748" s="25" t="s">
        <v>71</v>
      </c>
      <c r="L2748" s="25" t="s">
        <v>6013</v>
      </c>
      <c r="M2748" s="20" t="s">
        <v>3523</v>
      </c>
      <c r="N2748" s="20" t="s">
        <v>3524</v>
      </c>
      <c r="O2748" s="20" t="s">
        <v>63</v>
      </c>
      <c r="P2748" s="20" t="s">
        <v>52</v>
      </c>
      <c r="Q2748" s="22"/>
      <c r="R2748" s="22"/>
      <c r="S2748" s="22"/>
      <c r="T2748" s="26"/>
      <c r="U2748" s="26"/>
      <c r="V2748" s="26"/>
      <c r="W2748" s="20"/>
      <c r="X2748" s="20"/>
      <c r="Y2748" s="20"/>
      <c r="Z2748" s="20"/>
      <c r="AA2748" s="20"/>
      <c r="AB2748" s="20"/>
      <c r="AC2748" s="20"/>
      <c r="AD2748" s="20"/>
      <c r="AE2748" s="20"/>
    </row>
    <row r="2749">
      <c r="A2749" s="21">
        <v>66.0</v>
      </c>
      <c r="B2749" s="20" t="s">
        <v>5322</v>
      </c>
      <c r="C2749" s="20" t="s">
        <v>5854</v>
      </c>
      <c r="I2749" s="25" t="s">
        <v>4756</v>
      </c>
      <c r="J2749" s="25" t="s">
        <v>5324</v>
      </c>
      <c r="K2749" s="25" t="s">
        <v>71</v>
      </c>
      <c r="L2749" s="25" t="s">
        <v>6011</v>
      </c>
      <c r="M2749" s="20" t="s">
        <v>5412</v>
      </c>
      <c r="N2749" s="20" t="s">
        <v>5413</v>
      </c>
      <c r="O2749" s="20" t="s">
        <v>63</v>
      </c>
      <c r="P2749" s="20" t="s">
        <v>52</v>
      </c>
      <c r="Q2749" s="22"/>
      <c r="R2749" s="22"/>
      <c r="S2749" s="22"/>
      <c r="T2749" s="26"/>
      <c r="U2749" s="26"/>
      <c r="V2749" s="26"/>
      <c r="W2749" s="20"/>
      <c r="X2749" s="20"/>
      <c r="Y2749" s="20"/>
      <c r="Z2749" s="20"/>
      <c r="AA2749" s="20"/>
      <c r="AB2749" s="20"/>
      <c r="AC2749" s="20"/>
      <c r="AD2749" s="20"/>
      <c r="AE2749" s="20"/>
    </row>
    <row r="2750">
      <c r="A2750" s="21">
        <v>66.0</v>
      </c>
      <c r="B2750" s="20" t="s">
        <v>5322</v>
      </c>
      <c r="C2750" s="20" t="s">
        <v>5854</v>
      </c>
      <c r="I2750" s="25" t="s">
        <v>4868</v>
      </c>
      <c r="J2750" s="25" t="s">
        <v>5323</v>
      </c>
      <c r="K2750" s="25" t="s">
        <v>71</v>
      </c>
      <c r="L2750" s="25" t="s">
        <v>6011</v>
      </c>
      <c r="M2750" s="20" t="s">
        <v>61</v>
      </c>
      <c r="N2750" s="20" t="s">
        <v>4869</v>
      </c>
      <c r="O2750" s="20" t="s">
        <v>63</v>
      </c>
      <c r="P2750" s="20" t="s">
        <v>52</v>
      </c>
      <c r="Q2750" s="22"/>
      <c r="R2750" s="22"/>
      <c r="S2750" s="22"/>
      <c r="T2750" s="26"/>
      <c r="U2750" s="26"/>
      <c r="V2750" s="26"/>
      <c r="W2750" s="20"/>
      <c r="X2750" s="20"/>
      <c r="Y2750" s="20"/>
      <c r="Z2750" s="20"/>
      <c r="AA2750" s="20"/>
      <c r="AB2750" s="20"/>
      <c r="AC2750" s="20"/>
      <c r="AD2750" s="20"/>
      <c r="AE2750" s="20"/>
    </row>
    <row r="2751">
      <c r="A2751" s="21">
        <v>66.0</v>
      </c>
      <c r="B2751" s="20" t="s">
        <v>5322</v>
      </c>
      <c r="C2751" s="20" t="s">
        <v>5854</v>
      </c>
      <c r="I2751" s="25" t="s">
        <v>3321</v>
      </c>
      <c r="J2751" s="25" t="s">
        <v>5323</v>
      </c>
      <c r="K2751" s="25" t="s">
        <v>71</v>
      </c>
      <c r="L2751" s="25" t="s">
        <v>5988</v>
      </c>
      <c r="M2751" s="20" t="s">
        <v>5358</v>
      </c>
      <c r="N2751" s="20" t="s">
        <v>5359</v>
      </c>
      <c r="O2751" s="20" t="s">
        <v>63</v>
      </c>
      <c r="P2751" s="20" t="s">
        <v>52</v>
      </c>
      <c r="Q2751" s="22"/>
      <c r="R2751" s="22"/>
      <c r="S2751" s="22"/>
      <c r="T2751" s="26"/>
      <c r="U2751" s="26"/>
      <c r="V2751" s="26"/>
      <c r="W2751" s="20"/>
      <c r="X2751" s="20"/>
      <c r="Y2751" s="20"/>
      <c r="Z2751" s="20"/>
      <c r="AA2751" s="20"/>
      <c r="AB2751" s="20"/>
      <c r="AC2751" s="20"/>
      <c r="AD2751" s="20"/>
      <c r="AE2751" s="20"/>
    </row>
    <row r="2752">
      <c r="A2752" s="21">
        <v>66.0</v>
      </c>
      <c r="B2752" s="20" t="s">
        <v>5322</v>
      </c>
      <c r="C2752" s="20" t="s">
        <v>5854</v>
      </c>
      <c r="I2752" s="25" t="s">
        <v>2497</v>
      </c>
      <c r="J2752" s="25" t="s">
        <v>5324</v>
      </c>
      <c r="K2752" s="25" t="s">
        <v>71</v>
      </c>
      <c r="L2752" s="25" t="s">
        <v>6019</v>
      </c>
      <c r="M2752" s="20" t="s">
        <v>61</v>
      </c>
      <c r="N2752" s="20" t="s">
        <v>5414</v>
      </c>
      <c r="O2752" s="20" t="s">
        <v>63</v>
      </c>
      <c r="P2752" s="20" t="s">
        <v>52</v>
      </c>
      <c r="Q2752" s="22"/>
      <c r="R2752" s="22"/>
      <c r="S2752" s="22"/>
      <c r="T2752" s="26"/>
      <c r="U2752" s="26"/>
      <c r="V2752" s="26"/>
      <c r="W2752" s="20"/>
      <c r="X2752" s="20"/>
      <c r="Y2752" s="20"/>
      <c r="Z2752" s="20"/>
      <c r="AA2752" s="20"/>
      <c r="AB2752" s="20"/>
      <c r="AC2752" s="20"/>
      <c r="AD2752" s="20"/>
      <c r="AE2752" s="20"/>
    </row>
    <row r="2753">
      <c r="A2753" s="21">
        <v>66.0</v>
      </c>
      <c r="B2753" s="20" t="s">
        <v>5322</v>
      </c>
      <c r="C2753" s="20" t="s">
        <v>5854</v>
      </c>
      <c r="I2753" s="25" t="s">
        <v>2513</v>
      </c>
      <c r="J2753" s="25" t="s">
        <v>5324</v>
      </c>
      <c r="K2753" s="25" t="s">
        <v>71</v>
      </c>
      <c r="L2753" s="25" t="s">
        <v>6019</v>
      </c>
      <c r="M2753" s="20" t="s">
        <v>5415</v>
      </c>
      <c r="N2753" s="20" t="s">
        <v>5416</v>
      </c>
      <c r="O2753" s="20" t="s">
        <v>63</v>
      </c>
      <c r="P2753" s="20" t="s">
        <v>52</v>
      </c>
      <c r="Q2753" s="22"/>
      <c r="R2753" s="22"/>
      <c r="S2753" s="22"/>
      <c r="T2753" s="26"/>
      <c r="U2753" s="26"/>
      <c r="V2753" s="26"/>
      <c r="W2753" s="20"/>
      <c r="X2753" s="20"/>
      <c r="Y2753" s="20"/>
      <c r="Z2753" s="20"/>
      <c r="AA2753" s="20"/>
      <c r="AB2753" s="20"/>
      <c r="AC2753" s="20"/>
      <c r="AD2753" s="20"/>
      <c r="AE2753" s="20"/>
    </row>
    <row r="2754">
      <c r="A2754" s="21">
        <v>66.0</v>
      </c>
      <c r="B2754" s="20" t="s">
        <v>5322</v>
      </c>
      <c r="C2754" s="20" t="s">
        <v>5854</v>
      </c>
      <c r="I2754" s="25" t="s">
        <v>2049</v>
      </c>
      <c r="J2754" s="25" t="s">
        <v>5323</v>
      </c>
      <c r="K2754" s="25" t="s">
        <v>71</v>
      </c>
      <c r="L2754" s="25" t="s">
        <v>6011</v>
      </c>
      <c r="M2754" s="20" t="s">
        <v>4761</v>
      </c>
      <c r="N2754" s="20" t="s">
        <v>4762</v>
      </c>
      <c r="O2754" s="20" t="s">
        <v>63</v>
      </c>
      <c r="P2754" s="20" t="s">
        <v>52</v>
      </c>
      <c r="Q2754" s="22"/>
      <c r="R2754" s="22"/>
      <c r="S2754" s="22"/>
      <c r="T2754" s="26"/>
      <c r="U2754" s="26"/>
      <c r="V2754" s="26"/>
      <c r="W2754" s="20"/>
      <c r="X2754" s="20"/>
      <c r="Y2754" s="20"/>
      <c r="Z2754" s="20"/>
      <c r="AA2754" s="20"/>
      <c r="AB2754" s="20"/>
      <c r="AC2754" s="20"/>
      <c r="AD2754" s="20"/>
      <c r="AE2754" s="20"/>
    </row>
    <row r="2755">
      <c r="A2755" s="21">
        <v>66.0</v>
      </c>
      <c r="B2755" s="20" t="s">
        <v>5322</v>
      </c>
      <c r="C2755" s="20" t="s">
        <v>5854</v>
      </c>
      <c r="I2755" s="25" t="s">
        <v>2091</v>
      </c>
      <c r="J2755" s="25" t="s">
        <v>5324</v>
      </c>
      <c r="K2755" s="25" t="s">
        <v>71</v>
      </c>
      <c r="L2755" s="25" t="s">
        <v>6023</v>
      </c>
      <c r="M2755" s="20" t="s">
        <v>3310</v>
      </c>
      <c r="N2755" s="20" t="s">
        <v>5417</v>
      </c>
      <c r="O2755" s="20" t="s">
        <v>63</v>
      </c>
      <c r="P2755" s="20" t="s">
        <v>52</v>
      </c>
      <c r="Q2755" s="22"/>
      <c r="R2755" s="22"/>
      <c r="S2755" s="22"/>
      <c r="T2755" s="26"/>
      <c r="U2755" s="26"/>
      <c r="V2755" s="26"/>
      <c r="W2755" s="20"/>
      <c r="X2755" s="20"/>
      <c r="Y2755" s="20"/>
      <c r="Z2755" s="20"/>
      <c r="AA2755" s="20"/>
      <c r="AB2755" s="20"/>
      <c r="AC2755" s="20"/>
      <c r="AD2755" s="20"/>
      <c r="AE2755" s="20"/>
    </row>
    <row r="2756">
      <c r="A2756" s="21">
        <v>66.0</v>
      </c>
      <c r="B2756" s="20" t="s">
        <v>5322</v>
      </c>
      <c r="C2756" s="20" t="s">
        <v>5854</v>
      </c>
      <c r="I2756" s="25" t="s">
        <v>2458</v>
      </c>
      <c r="J2756" s="25" t="s">
        <v>5323</v>
      </c>
      <c r="K2756" s="25" t="s">
        <v>71</v>
      </c>
      <c r="L2756" s="25" t="s">
        <v>226</v>
      </c>
      <c r="M2756" s="20" t="s">
        <v>2459</v>
      </c>
      <c r="N2756" s="20" t="s">
        <v>4882</v>
      </c>
      <c r="O2756" s="20" t="s">
        <v>63</v>
      </c>
      <c r="P2756" s="20" t="s">
        <v>52</v>
      </c>
      <c r="Q2756" s="22"/>
      <c r="R2756" s="22"/>
      <c r="S2756" s="22"/>
      <c r="T2756" s="22"/>
      <c r="U2756" s="26"/>
      <c r="V2756" s="26"/>
      <c r="W2756" s="20"/>
      <c r="X2756" s="20"/>
      <c r="Y2756" s="20"/>
      <c r="Z2756" s="20"/>
      <c r="AA2756" s="20"/>
      <c r="AB2756" s="20"/>
      <c r="AC2756" s="20"/>
      <c r="AD2756" s="20"/>
      <c r="AE2756" s="20"/>
    </row>
    <row r="2757">
      <c r="A2757" s="21">
        <v>66.0</v>
      </c>
      <c r="B2757" s="20" t="s">
        <v>5322</v>
      </c>
      <c r="C2757" s="20" t="s">
        <v>5854</v>
      </c>
      <c r="I2757" s="25" t="s">
        <v>1293</v>
      </c>
      <c r="J2757" s="25" t="s">
        <v>5324</v>
      </c>
      <c r="K2757" s="25" t="s">
        <v>71</v>
      </c>
      <c r="L2757" s="25" t="s">
        <v>6011</v>
      </c>
      <c r="M2757" s="20" t="s">
        <v>5418</v>
      </c>
      <c r="N2757" s="20" t="s">
        <v>5419</v>
      </c>
      <c r="O2757" s="20" t="s">
        <v>63</v>
      </c>
      <c r="P2757" s="20" t="s">
        <v>52</v>
      </c>
      <c r="Q2757" s="22"/>
      <c r="R2757" s="22"/>
      <c r="S2757" s="22"/>
      <c r="T2757" s="26"/>
      <c r="U2757" s="26"/>
      <c r="V2757" s="26"/>
      <c r="W2757" s="20"/>
      <c r="X2757" s="20"/>
      <c r="Y2757" s="20"/>
      <c r="Z2757" s="20"/>
      <c r="AA2757" s="20"/>
      <c r="AB2757" s="20"/>
      <c r="AC2757" s="20"/>
      <c r="AD2757" s="20"/>
      <c r="AE2757" s="20"/>
    </row>
    <row r="2758">
      <c r="A2758" s="21">
        <v>66.0</v>
      </c>
      <c r="B2758" s="20" t="s">
        <v>5322</v>
      </c>
      <c r="C2758" s="20" t="s">
        <v>5854</v>
      </c>
      <c r="I2758" s="25" t="s">
        <v>3295</v>
      </c>
      <c r="J2758" s="25" t="s">
        <v>5323</v>
      </c>
      <c r="K2758" s="25" t="s">
        <v>71</v>
      </c>
      <c r="L2758" s="25" t="s">
        <v>6013</v>
      </c>
      <c r="M2758" s="20" t="s">
        <v>4999</v>
      </c>
      <c r="N2758" s="20" t="s">
        <v>5000</v>
      </c>
      <c r="O2758" s="20" t="s">
        <v>63</v>
      </c>
      <c r="P2758" s="20" t="s">
        <v>52</v>
      </c>
      <c r="Q2758" s="22"/>
      <c r="R2758" s="22"/>
      <c r="S2758" s="22"/>
      <c r="T2758" s="26"/>
      <c r="U2758" s="26"/>
      <c r="V2758" s="26"/>
      <c r="W2758" s="20"/>
      <c r="X2758" s="20"/>
      <c r="Y2758" s="20"/>
      <c r="Z2758" s="20"/>
      <c r="AA2758" s="20"/>
      <c r="AB2758" s="20"/>
      <c r="AC2758" s="20"/>
      <c r="AD2758" s="20"/>
      <c r="AE2758" s="20"/>
    </row>
    <row r="2759">
      <c r="A2759" s="21">
        <v>66.0</v>
      </c>
      <c r="B2759" s="20" t="s">
        <v>5322</v>
      </c>
      <c r="C2759" s="20" t="s">
        <v>5854</v>
      </c>
      <c r="I2759" s="25" t="s">
        <v>1716</v>
      </c>
      <c r="J2759" s="25" t="s">
        <v>5327</v>
      </c>
      <c r="K2759" s="25" t="s">
        <v>71</v>
      </c>
      <c r="L2759" s="25" t="s">
        <v>6013</v>
      </c>
      <c r="M2759" s="20" t="s">
        <v>1717</v>
      </c>
      <c r="N2759" s="20" t="s">
        <v>5328</v>
      </c>
      <c r="O2759" s="20" t="s">
        <v>63</v>
      </c>
      <c r="P2759" s="20" t="s">
        <v>52</v>
      </c>
      <c r="Q2759" s="22"/>
      <c r="R2759" s="22"/>
      <c r="S2759" s="22"/>
      <c r="T2759" s="26"/>
      <c r="U2759" s="26"/>
      <c r="V2759" s="26"/>
      <c r="W2759" s="20"/>
      <c r="X2759" s="20"/>
      <c r="Y2759" s="20"/>
      <c r="Z2759" s="20"/>
      <c r="AA2759" s="20"/>
      <c r="AB2759" s="20"/>
      <c r="AC2759" s="20"/>
      <c r="AD2759" s="20"/>
      <c r="AE2759" s="20"/>
    </row>
    <row r="2760">
      <c r="A2760" s="21">
        <v>66.0</v>
      </c>
      <c r="B2760" s="20" t="s">
        <v>5322</v>
      </c>
      <c r="C2760" s="20" t="s">
        <v>5854</v>
      </c>
      <c r="I2760" s="25" t="s">
        <v>3450</v>
      </c>
      <c r="J2760" s="25" t="s">
        <v>5323</v>
      </c>
      <c r="K2760" s="25" t="s">
        <v>71</v>
      </c>
      <c r="L2760" s="25" t="s">
        <v>6013</v>
      </c>
      <c r="M2760" s="20" t="s">
        <v>3536</v>
      </c>
      <c r="N2760" s="20" t="s">
        <v>4978</v>
      </c>
      <c r="O2760" s="20" t="s">
        <v>63</v>
      </c>
      <c r="P2760" s="20" t="s">
        <v>52</v>
      </c>
      <c r="Q2760" s="22"/>
      <c r="R2760" s="22"/>
      <c r="S2760" s="22"/>
      <c r="T2760" s="26"/>
      <c r="U2760" s="26"/>
      <c r="V2760" s="26"/>
      <c r="W2760" s="20"/>
      <c r="X2760" s="20"/>
      <c r="Y2760" s="20"/>
      <c r="Z2760" s="20"/>
      <c r="AA2760" s="20"/>
      <c r="AB2760" s="20"/>
      <c r="AC2760" s="20"/>
      <c r="AD2760" s="20"/>
      <c r="AE2760" s="20"/>
    </row>
    <row r="2761">
      <c r="A2761" s="21">
        <v>66.0</v>
      </c>
      <c r="B2761" s="20" t="s">
        <v>5322</v>
      </c>
      <c r="C2761" s="20" t="s">
        <v>5854</v>
      </c>
      <c r="I2761" s="25" t="s">
        <v>3059</v>
      </c>
      <c r="J2761" s="25" t="s">
        <v>5327</v>
      </c>
      <c r="K2761" s="25" t="s">
        <v>71</v>
      </c>
      <c r="L2761" s="25" t="s">
        <v>6013</v>
      </c>
      <c r="M2761" s="20" t="s">
        <v>5038</v>
      </c>
      <c r="N2761" s="20" t="s">
        <v>5039</v>
      </c>
      <c r="O2761" s="20" t="s">
        <v>63</v>
      </c>
      <c r="P2761" s="20" t="s">
        <v>52</v>
      </c>
      <c r="Q2761" s="22"/>
      <c r="R2761" s="22"/>
      <c r="S2761" s="22"/>
      <c r="T2761" s="26"/>
      <c r="U2761" s="26"/>
      <c r="V2761" s="26"/>
      <c r="W2761" s="20"/>
      <c r="X2761" s="20"/>
      <c r="Y2761" s="20"/>
      <c r="Z2761" s="20"/>
      <c r="AA2761" s="20"/>
      <c r="AB2761" s="20"/>
      <c r="AC2761" s="20"/>
      <c r="AD2761" s="20"/>
      <c r="AE2761" s="20"/>
    </row>
    <row r="2762">
      <c r="A2762" s="21">
        <v>66.0</v>
      </c>
      <c r="B2762" s="20" t="s">
        <v>5322</v>
      </c>
      <c r="C2762" s="20" t="s">
        <v>5854</v>
      </c>
      <c r="I2762" s="25" t="s">
        <v>3351</v>
      </c>
      <c r="J2762" s="25" t="s">
        <v>5324</v>
      </c>
      <c r="K2762" s="25" t="s">
        <v>71</v>
      </c>
      <c r="L2762" s="25" t="s">
        <v>5991</v>
      </c>
      <c r="M2762" s="20" t="s">
        <v>5420</v>
      </c>
      <c r="N2762" s="20" t="s">
        <v>5421</v>
      </c>
      <c r="O2762" s="20" t="s">
        <v>63</v>
      </c>
      <c r="P2762" s="20" t="s">
        <v>52</v>
      </c>
      <c r="Q2762" s="22"/>
      <c r="R2762" s="22"/>
      <c r="S2762" s="22"/>
      <c r="T2762" s="26"/>
      <c r="U2762" s="26"/>
      <c r="V2762" s="26"/>
      <c r="W2762" s="20"/>
      <c r="X2762" s="20"/>
      <c r="Y2762" s="20"/>
      <c r="Z2762" s="20"/>
      <c r="AA2762" s="20"/>
      <c r="AB2762" s="20"/>
      <c r="AC2762" s="20"/>
      <c r="AD2762" s="20"/>
      <c r="AE2762" s="20"/>
    </row>
    <row r="2763">
      <c r="A2763" s="21">
        <v>66.0</v>
      </c>
      <c r="B2763" s="20" t="s">
        <v>5322</v>
      </c>
      <c r="C2763" s="20" t="s">
        <v>5854</v>
      </c>
      <c r="I2763" s="25" t="s">
        <v>2024</v>
      </c>
      <c r="J2763" s="25" t="s">
        <v>5324</v>
      </c>
      <c r="K2763" s="25" t="s">
        <v>71</v>
      </c>
      <c r="L2763" s="25" t="s">
        <v>5991</v>
      </c>
      <c r="M2763" s="20" t="s">
        <v>5423</v>
      </c>
      <c r="N2763" s="20" t="s">
        <v>5424</v>
      </c>
      <c r="O2763" s="20" t="s">
        <v>63</v>
      </c>
      <c r="P2763" s="20" t="s">
        <v>52</v>
      </c>
      <c r="Q2763" s="22"/>
      <c r="R2763" s="22"/>
      <c r="S2763" s="22"/>
      <c r="T2763" s="26"/>
      <c r="U2763" s="26"/>
      <c r="V2763" s="26"/>
      <c r="W2763" s="20"/>
      <c r="X2763" s="20"/>
      <c r="Y2763" s="20"/>
      <c r="Z2763" s="20"/>
      <c r="AA2763" s="20"/>
      <c r="AB2763" s="20"/>
      <c r="AC2763" s="20"/>
      <c r="AD2763" s="20"/>
      <c r="AE2763" s="20"/>
    </row>
    <row r="2764">
      <c r="A2764" s="21">
        <v>66.0</v>
      </c>
      <c r="B2764" s="20" t="s">
        <v>5322</v>
      </c>
      <c r="C2764" s="20" t="s">
        <v>5854</v>
      </c>
      <c r="I2764" s="25" t="s">
        <v>5425</v>
      </c>
      <c r="J2764" s="25" t="s">
        <v>5324</v>
      </c>
      <c r="K2764" s="25" t="s">
        <v>71</v>
      </c>
      <c r="L2764" s="25" t="s">
        <v>3342</v>
      </c>
      <c r="M2764" s="20" t="s">
        <v>61</v>
      </c>
      <c r="N2764" s="20" t="s">
        <v>5426</v>
      </c>
      <c r="O2764" s="20" t="s">
        <v>63</v>
      </c>
      <c r="P2764" s="20" t="s">
        <v>524</v>
      </c>
      <c r="Q2764" s="22"/>
      <c r="R2764" s="22"/>
      <c r="S2764" s="22"/>
      <c r="T2764" s="26"/>
      <c r="U2764" s="26"/>
      <c r="V2764" s="26"/>
      <c r="W2764" s="20"/>
      <c r="X2764" s="20"/>
      <c r="Y2764" s="20"/>
      <c r="Z2764" s="20"/>
      <c r="AA2764" s="20"/>
      <c r="AB2764" s="20"/>
      <c r="AC2764" s="20"/>
      <c r="AD2764" s="20"/>
      <c r="AE2764" s="20"/>
    </row>
    <row r="2765">
      <c r="A2765" s="21">
        <v>66.0</v>
      </c>
      <c r="B2765" s="20" t="s">
        <v>5322</v>
      </c>
      <c r="C2765" s="20" t="s">
        <v>5854</v>
      </c>
      <c r="I2765" s="25" t="s">
        <v>4852</v>
      </c>
      <c r="J2765" s="25" t="s">
        <v>5323</v>
      </c>
      <c r="K2765" s="25" t="s">
        <v>71</v>
      </c>
      <c r="L2765" s="25" t="s">
        <v>3342</v>
      </c>
      <c r="M2765" s="20" t="s">
        <v>4853</v>
      </c>
      <c r="N2765" s="20" t="s">
        <v>4854</v>
      </c>
      <c r="O2765" s="20" t="s">
        <v>63</v>
      </c>
      <c r="P2765" s="20" t="s">
        <v>52</v>
      </c>
      <c r="Q2765" s="22"/>
      <c r="R2765" s="22"/>
      <c r="S2765" s="22"/>
      <c r="T2765" s="26"/>
      <c r="U2765" s="26"/>
      <c r="V2765" s="26"/>
      <c r="W2765" s="20"/>
      <c r="X2765" s="20"/>
      <c r="Y2765" s="20"/>
      <c r="Z2765" s="20"/>
      <c r="AA2765" s="20"/>
      <c r="AB2765" s="20"/>
      <c r="AC2765" s="20"/>
      <c r="AD2765" s="20"/>
      <c r="AE2765" s="20"/>
    </row>
    <row r="2766">
      <c r="A2766" s="21">
        <v>66.0</v>
      </c>
      <c r="B2766" s="20" t="s">
        <v>5322</v>
      </c>
      <c r="C2766" s="20" t="s">
        <v>5854</v>
      </c>
      <c r="I2766" s="25" t="s">
        <v>2557</v>
      </c>
      <c r="J2766" s="25" t="s">
        <v>5324</v>
      </c>
      <c r="K2766" s="25" t="s">
        <v>71</v>
      </c>
      <c r="L2766" s="25" t="s">
        <v>3342</v>
      </c>
      <c r="M2766" s="20" t="s">
        <v>2558</v>
      </c>
      <c r="N2766" s="20" t="s">
        <v>5427</v>
      </c>
      <c r="O2766" s="20" t="s">
        <v>63</v>
      </c>
      <c r="P2766" s="20" t="s">
        <v>52</v>
      </c>
      <c r="Q2766" s="22"/>
      <c r="R2766" s="22"/>
      <c r="S2766" s="22"/>
      <c r="T2766" s="26"/>
      <c r="U2766" s="26"/>
      <c r="V2766" s="26"/>
      <c r="W2766" s="20"/>
      <c r="X2766" s="20"/>
      <c r="Y2766" s="20"/>
      <c r="Z2766" s="20"/>
      <c r="AA2766" s="20"/>
      <c r="AB2766" s="20"/>
      <c r="AC2766" s="20"/>
      <c r="AD2766" s="20"/>
      <c r="AE2766" s="20"/>
    </row>
    <row r="2767">
      <c r="A2767" s="21">
        <v>66.0</v>
      </c>
      <c r="B2767" s="20" t="s">
        <v>5322</v>
      </c>
      <c r="C2767" s="20" t="s">
        <v>5854</v>
      </c>
      <c r="I2767" s="25" t="s">
        <v>115</v>
      </c>
      <c r="J2767" s="25" t="s">
        <v>5323</v>
      </c>
      <c r="K2767" s="25" t="s">
        <v>71</v>
      </c>
      <c r="L2767" s="25" t="s">
        <v>3342</v>
      </c>
      <c r="M2767" s="20" t="s">
        <v>4792</v>
      </c>
      <c r="N2767" s="20" t="s">
        <v>4793</v>
      </c>
      <c r="O2767" s="20" t="s">
        <v>63</v>
      </c>
      <c r="P2767" s="20" t="s">
        <v>52</v>
      </c>
      <c r="Q2767" s="22"/>
      <c r="R2767" s="22"/>
      <c r="S2767" s="22"/>
      <c r="T2767" s="26"/>
      <c r="U2767" s="26"/>
      <c r="V2767" s="26"/>
      <c r="W2767" s="20"/>
      <c r="X2767" s="20"/>
      <c r="Y2767" s="20"/>
      <c r="Z2767" s="20"/>
      <c r="AA2767" s="20"/>
      <c r="AB2767" s="20"/>
      <c r="AC2767" s="20"/>
      <c r="AD2767" s="20"/>
      <c r="AE2767" s="20"/>
    </row>
    <row r="2768">
      <c r="A2768" s="21">
        <v>66.0</v>
      </c>
      <c r="B2768" s="20" t="s">
        <v>5322</v>
      </c>
      <c r="C2768" s="20" t="s">
        <v>5854</v>
      </c>
      <c r="I2768" s="25" t="s">
        <v>1129</v>
      </c>
      <c r="J2768" s="25" t="s">
        <v>5323</v>
      </c>
      <c r="K2768" s="25" t="s">
        <v>71</v>
      </c>
      <c r="L2768" s="25" t="s">
        <v>3342</v>
      </c>
      <c r="M2768" s="20" t="s">
        <v>61</v>
      </c>
      <c r="N2768" s="20" t="s">
        <v>5360</v>
      </c>
      <c r="O2768" s="20" t="s">
        <v>63</v>
      </c>
      <c r="P2768" s="20" t="s">
        <v>52</v>
      </c>
      <c r="Q2768" s="22"/>
      <c r="R2768" s="22"/>
      <c r="S2768" s="22"/>
      <c r="T2768" s="26"/>
      <c r="U2768" s="26"/>
      <c r="V2768" s="26"/>
      <c r="W2768" s="20"/>
      <c r="X2768" s="20"/>
      <c r="Y2768" s="20"/>
      <c r="Z2768" s="20"/>
      <c r="AA2768" s="20"/>
      <c r="AB2768" s="20"/>
      <c r="AC2768" s="20"/>
      <c r="AD2768" s="20"/>
      <c r="AE2768" s="20"/>
    </row>
    <row r="2769">
      <c r="A2769" s="21">
        <v>66.0</v>
      </c>
      <c r="B2769" s="20" t="s">
        <v>5322</v>
      </c>
      <c r="C2769" s="20" t="s">
        <v>5854</v>
      </c>
      <c r="I2769" s="25" t="s">
        <v>740</v>
      </c>
      <c r="J2769" s="25" t="s">
        <v>5324</v>
      </c>
      <c r="K2769" s="25" t="s">
        <v>71</v>
      </c>
      <c r="L2769" s="25" t="s">
        <v>3342</v>
      </c>
      <c r="M2769" s="20" t="s">
        <v>5064</v>
      </c>
      <c r="N2769" s="20" t="s">
        <v>5065</v>
      </c>
      <c r="O2769" s="20" t="s">
        <v>63</v>
      </c>
      <c r="P2769" s="20" t="s">
        <v>52</v>
      </c>
      <c r="Q2769" s="22"/>
      <c r="R2769" s="22"/>
      <c r="S2769" s="22"/>
      <c r="T2769" s="26"/>
      <c r="U2769" s="26"/>
      <c r="V2769" s="26"/>
      <c r="W2769" s="20"/>
      <c r="X2769" s="20"/>
      <c r="Y2769" s="20"/>
      <c r="Z2769" s="20"/>
      <c r="AA2769" s="20"/>
      <c r="AB2769" s="20"/>
      <c r="AC2769" s="20"/>
      <c r="AD2769" s="20"/>
      <c r="AE2769" s="20"/>
    </row>
    <row r="2770">
      <c r="A2770" s="21">
        <v>66.0</v>
      </c>
      <c r="B2770" s="20" t="s">
        <v>5322</v>
      </c>
      <c r="C2770" s="20" t="s">
        <v>5854</v>
      </c>
      <c r="I2770" s="25" t="s">
        <v>5428</v>
      </c>
      <c r="J2770" s="25" t="s">
        <v>5324</v>
      </c>
      <c r="K2770" s="25" t="s">
        <v>71</v>
      </c>
      <c r="L2770" s="25" t="s">
        <v>3342</v>
      </c>
      <c r="M2770" s="20" t="s">
        <v>5429</v>
      </c>
      <c r="N2770" s="20" t="s">
        <v>5430</v>
      </c>
      <c r="O2770" s="20" t="s">
        <v>63</v>
      </c>
      <c r="P2770" s="20" t="s">
        <v>52</v>
      </c>
      <c r="Q2770" s="22"/>
      <c r="R2770" s="22"/>
      <c r="S2770" s="22"/>
      <c r="T2770" s="26"/>
      <c r="U2770" s="26"/>
      <c r="V2770" s="26"/>
      <c r="W2770" s="20"/>
      <c r="X2770" s="20"/>
      <c r="Y2770" s="20"/>
      <c r="Z2770" s="20"/>
      <c r="AA2770" s="20"/>
      <c r="AB2770" s="20"/>
      <c r="AC2770" s="20"/>
      <c r="AD2770" s="20"/>
      <c r="AE2770" s="20"/>
    </row>
    <row r="2771">
      <c r="A2771" s="21">
        <v>66.0</v>
      </c>
      <c r="B2771" s="20" t="s">
        <v>5322</v>
      </c>
      <c r="C2771" s="20" t="s">
        <v>5854</v>
      </c>
      <c r="I2771" s="25" t="s">
        <v>712</v>
      </c>
      <c r="J2771" s="25" t="s">
        <v>5324</v>
      </c>
      <c r="K2771" s="25" t="s">
        <v>71</v>
      </c>
      <c r="L2771" s="25" t="s">
        <v>3342</v>
      </c>
      <c r="M2771" s="20" t="s">
        <v>5431</v>
      </c>
      <c r="N2771" s="20" t="s">
        <v>5432</v>
      </c>
      <c r="O2771" s="20" t="s">
        <v>63</v>
      </c>
      <c r="P2771" s="20" t="s">
        <v>52</v>
      </c>
      <c r="Q2771" s="22"/>
      <c r="R2771" s="22"/>
      <c r="S2771" s="22"/>
      <c r="T2771" s="26"/>
      <c r="U2771" s="26"/>
      <c r="V2771" s="26"/>
      <c r="W2771" s="20"/>
      <c r="X2771" s="20"/>
      <c r="Y2771" s="20"/>
      <c r="Z2771" s="20"/>
      <c r="AA2771" s="20"/>
      <c r="AB2771" s="20"/>
      <c r="AC2771" s="20"/>
      <c r="AD2771" s="20"/>
      <c r="AE2771" s="20"/>
    </row>
    <row r="2772">
      <c r="A2772" s="21">
        <v>66.0</v>
      </c>
      <c r="B2772" s="20" t="s">
        <v>5322</v>
      </c>
      <c r="C2772" s="20" t="s">
        <v>5854</v>
      </c>
      <c r="I2772" s="25" t="s">
        <v>4072</v>
      </c>
      <c r="J2772" s="25" t="s">
        <v>5323</v>
      </c>
      <c r="K2772" s="25" t="s">
        <v>71</v>
      </c>
      <c r="L2772" s="25" t="s">
        <v>3342</v>
      </c>
      <c r="M2772" s="20" t="s">
        <v>61</v>
      </c>
      <c r="N2772" s="20" t="s">
        <v>5361</v>
      </c>
      <c r="O2772" s="20" t="s">
        <v>63</v>
      </c>
      <c r="P2772" s="20" t="s">
        <v>52</v>
      </c>
      <c r="Q2772" s="22"/>
      <c r="R2772" s="22"/>
      <c r="S2772" s="22"/>
      <c r="T2772" s="26"/>
      <c r="U2772" s="26"/>
      <c r="V2772" s="26"/>
      <c r="W2772" s="20"/>
      <c r="X2772" s="20"/>
      <c r="Y2772" s="20"/>
      <c r="Z2772" s="20"/>
      <c r="AA2772" s="20"/>
      <c r="AB2772" s="20"/>
      <c r="AC2772" s="20"/>
      <c r="AD2772" s="20"/>
      <c r="AE2772" s="20"/>
    </row>
    <row r="2773">
      <c r="A2773" s="21">
        <v>66.0</v>
      </c>
      <c r="B2773" s="20" t="s">
        <v>5322</v>
      </c>
      <c r="C2773" s="20" t="s">
        <v>5854</v>
      </c>
      <c r="I2773" s="25" t="s">
        <v>3870</v>
      </c>
      <c r="J2773" s="25" t="s">
        <v>5324</v>
      </c>
      <c r="K2773" s="25" t="s">
        <v>71</v>
      </c>
      <c r="L2773" s="25" t="s">
        <v>3342</v>
      </c>
      <c r="M2773" s="20" t="s">
        <v>5433</v>
      </c>
      <c r="N2773" s="20" t="s">
        <v>5434</v>
      </c>
      <c r="O2773" s="20" t="s">
        <v>63</v>
      </c>
      <c r="P2773" s="20" t="s">
        <v>52</v>
      </c>
      <c r="Q2773" s="22"/>
      <c r="R2773" s="22"/>
      <c r="S2773" s="22"/>
      <c r="T2773" s="26"/>
      <c r="U2773" s="26"/>
      <c r="V2773" s="26"/>
      <c r="W2773" s="20"/>
      <c r="X2773" s="20"/>
      <c r="Y2773" s="20"/>
      <c r="Z2773" s="20"/>
      <c r="AA2773" s="20"/>
      <c r="AB2773" s="20"/>
      <c r="AC2773" s="20"/>
      <c r="AD2773" s="20"/>
      <c r="AE2773" s="20"/>
    </row>
    <row r="2774">
      <c r="A2774" s="21">
        <v>66.0</v>
      </c>
      <c r="B2774" s="20" t="s">
        <v>5322</v>
      </c>
      <c r="C2774" s="20" t="s">
        <v>5854</v>
      </c>
      <c r="I2774" s="25" t="s">
        <v>5435</v>
      </c>
      <c r="J2774" s="25" t="s">
        <v>5324</v>
      </c>
      <c r="K2774" s="25" t="s">
        <v>71</v>
      </c>
      <c r="L2774" s="25" t="s">
        <v>3342</v>
      </c>
      <c r="M2774" s="20" t="s">
        <v>61</v>
      </c>
      <c r="N2774" s="20" t="s">
        <v>5436</v>
      </c>
      <c r="O2774" s="20" t="s">
        <v>63</v>
      </c>
      <c r="P2774" s="20" t="s">
        <v>52</v>
      </c>
      <c r="Q2774" s="22"/>
      <c r="R2774" s="22"/>
      <c r="S2774" s="22"/>
      <c r="T2774" s="26"/>
      <c r="U2774" s="26"/>
      <c r="V2774" s="26"/>
      <c r="W2774" s="20"/>
      <c r="X2774" s="20"/>
      <c r="Y2774" s="20"/>
      <c r="Z2774" s="20"/>
      <c r="AA2774" s="20"/>
      <c r="AB2774" s="20"/>
      <c r="AC2774" s="20"/>
      <c r="AD2774" s="20"/>
      <c r="AE2774" s="20"/>
    </row>
    <row r="2775">
      <c r="A2775" s="21">
        <v>66.0</v>
      </c>
      <c r="B2775" s="20" t="s">
        <v>5322</v>
      </c>
      <c r="C2775" s="20" t="s">
        <v>5854</v>
      </c>
      <c r="I2775" s="25" t="s">
        <v>444</v>
      </c>
      <c r="J2775" s="25" t="s">
        <v>5323</v>
      </c>
      <c r="K2775" s="25" t="s">
        <v>71</v>
      </c>
      <c r="L2775" s="25" t="s">
        <v>3342</v>
      </c>
      <c r="M2775" s="20" t="s">
        <v>4503</v>
      </c>
      <c r="N2775" s="20" t="s">
        <v>4791</v>
      </c>
      <c r="O2775" s="20" t="s">
        <v>63</v>
      </c>
      <c r="P2775" s="20" t="s">
        <v>52</v>
      </c>
      <c r="Q2775" s="22"/>
      <c r="R2775" s="22"/>
      <c r="S2775" s="22"/>
      <c r="T2775" s="26"/>
      <c r="U2775" s="26"/>
      <c r="V2775" s="26"/>
      <c r="W2775" s="20"/>
      <c r="X2775" s="20"/>
      <c r="Y2775" s="20"/>
      <c r="Z2775" s="20"/>
      <c r="AA2775" s="20"/>
      <c r="AB2775" s="20"/>
      <c r="AC2775" s="20"/>
      <c r="AD2775" s="20"/>
      <c r="AE2775" s="20"/>
    </row>
    <row r="2776">
      <c r="A2776" s="21">
        <v>66.0</v>
      </c>
      <c r="B2776" s="20" t="s">
        <v>5322</v>
      </c>
      <c r="C2776" s="20" t="s">
        <v>5854</v>
      </c>
      <c r="I2776" s="25" t="s">
        <v>1509</v>
      </c>
      <c r="J2776" s="25" t="s">
        <v>5324</v>
      </c>
      <c r="K2776" s="25" t="s">
        <v>71</v>
      </c>
      <c r="L2776" s="25" t="s">
        <v>3342</v>
      </c>
      <c r="M2776" s="20" t="s">
        <v>5437</v>
      </c>
      <c r="N2776" s="20" t="s">
        <v>5438</v>
      </c>
      <c r="O2776" s="20" t="s">
        <v>63</v>
      </c>
      <c r="P2776" s="20" t="s">
        <v>52</v>
      </c>
      <c r="Q2776" s="22"/>
      <c r="R2776" s="22"/>
      <c r="S2776" s="22"/>
      <c r="T2776" s="26"/>
      <c r="U2776" s="26"/>
      <c r="V2776" s="26"/>
      <c r="W2776" s="20"/>
      <c r="X2776" s="20"/>
      <c r="Y2776" s="20"/>
      <c r="Z2776" s="20"/>
      <c r="AA2776" s="20"/>
      <c r="AB2776" s="20"/>
      <c r="AC2776" s="20"/>
      <c r="AD2776" s="20"/>
      <c r="AE2776" s="20"/>
    </row>
    <row r="2777">
      <c r="A2777" s="21">
        <v>66.0</v>
      </c>
      <c r="B2777" s="20" t="s">
        <v>5322</v>
      </c>
      <c r="C2777" s="20" t="s">
        <v>5854</v>
      </c>
      <c r="I2777" s="25" t="s">
        <v>3679</v>
      </c>
      <c r="J2777" s="25" t="s">
        <v>5323</v>
      </c>
      <c r="K2777" s="25" t="s">
        <v>71</v>
      </c>
      <c r="L2777" s="25" t="s">
        <v>3342</v>
      </c>
      <c r="M2777" s="20" t="s">
        <v>4858</v>
      </c>
      <c r="N2777" s="20" t="s">
        <v>4518</v>
      </c>
      <c r="O2777" s="20" t="s">
        <v>63</v>
      </c>
      <c r="P2777" s="20" t="s">
        <v>52</v>
      </c>
      <c r="Q2777" s="22"/>
      <c r="R2777" s="22"/>
      <c r="S2777" s="22"/>
      <c r="T2777" s="26"/>
      <c r="U2777" s="26"/>
      <c r="V2777" s="26"/>
      <c r="W2777" s="20"/>
      <c r="X2777" s="20"/>
      <c r="Y2777" s="20"/>
      <c r="Z2777" s="20"/>
      <c r="AA2777" s="20"/>
      <c r="AB2777" s="20"/>
      <c r="AC2777" s="20"/>
      <c r="AD2777" s="20"/>
      <c r="AE2777" s="20"/>
    </row>
    <row r="2778">
      <c r="A2778" s="21">
        <v>66.0</v>
      </c>
      <c r="B2778" s="20" t="s">
        <v>5322</v>
      </c>
      <c r="C2778" s="20" t="s">
        <v>5854</v>
      </c>
      <c r="I2778" s="25" t="s">
        <v>1797</v>
      </c>
      <c r="J2778" s="25" t="s">
        <v>5323</v>
      </c>
      <c r="K2778" s="25" t="s">
        <v>71</v>
      </c>
      <c r="L2778" s="25" t="s">
        <v>226</v>
      </c>
      <c r="M2778" s="20" t="s">
        <v>4712</v>
      </c>
      <c r="N2778" s="20" t="s">
        <v>4713</v>
      </c>
      <c r="O2778" s="20" t="s">
        <v>63</v>
      </c>
      <c r="P2778" s="20" t="s">
        <v>52</v>
      </c>
      <c r="Q2778" s="22"/>
      <c r="R2778" s="22"/>
      <c r="S2778" s="22"/>
      <c r="T2778" s="22"/>
      <c r="U2778" s="26"/>
      <c r="V2778" s="26"/>
      <c r="W2778" s="20"/>
      <c r="X2778" s="20"/>
      <c r="Y2778" s="20"/>
      <c r="Z2778" s="20"/>
      <c r="AA2778" s="20"/>
      <c r="AB2778" s="20"/>
      <c r="AC2778" s="20"/>
      <c r="AD2778" s="20"/>
      <c r="AE2778" s="20"/>
    </row>
    <row r="2779">
      <c r="A2779" s="21">
        <v>66.0</v>
      </c>
      <c r="B2779" s="20" t="s">
        <v>5322</v>
      </c>
      <c r="C2779" s="20" t="s">
        <v>5854</v>
      </c>
      <c r="I2779" s="25" t="s">
        <v>1162</v>
      </c>
      <c r="J2779" s="25" t="s">
        <v>5323</v>
      </c>
      <c r="K2779" s="25" t="s">
        <v>71</v>
      </c>
      <c r="L2779" s="25" t="s">
        <v>6065</v>
      </c>
      <c r="M2779" s="20" t="s">
        <v>1163</v>
      </c>
      <c r="N2779" s="20" t="s">
        <v>4705</v>
      </c>
      <c r="O2779" s="20" t="s">
        <v>63</v>
      </c>
      <c r="P2779" s="20" t="s">
        <v>52</v>
      </c>
      <c r="Q2779" s="22"/>
      <c r="R2779" s="22"/>
      <c r="S2779" s="22"/>
      <c r="T2779" s="26"/>
      <c r="U2779" s="26"/>
      <c r="V2779" s="26"/>
      <c r="W2779" s="20"/>
      <c r="X2779" s="20"/>
      <c r="Y2779" s="20"/>
      <c r="Z2779" s="20"/>
      <c r="AA2779" s="20"/>
      <c r="AB2779" s="20"/>
      <c r="AC2779" s="20"/>
      <c r="AD2779" s="20"/>
      <c r="AE2779" s="20"/>
    </row>
    <row r="2780">
      <c r="A2780" s="21">
        <v>66.0</v>
      </c>
      <c r="B2780" s="20" t="s">
        <v>5322</v>
      </c>
      <c r="C2780" s="20" t="s">
        <v>5854</v>
      </c>
      <c r="I2780" s="25" t="s">
        <v>2520</v>
      </c>
      <c r="J2780" s="25" t="s">
        <v>5324</v>
      </c>
      <c r="K2780" s="25" t="s">
        <v>71</v>
      </c>
      <c r="L2780" s="25" t="s">
        <v>6067</v>
      </c>
      <c r="M2780" s="20" t="s">
        <v>2521</v>
      </c>
      <c r="N2780" s="20" t="s">
        <v>5439</v>
      </c>
      <c r="O2780" s="20" t="s">
        <v>63</v>
      </c>
      <c r="P2780" s="20" t="s">
        <v>52</v>
      </c>
      <c r="Q2780" s="22"/>
      <c r="R2780" s="22"/>
      <c r="S2780" s="22"/>
      <c r="T2780" s="26"/>
      <c r="U2780" s="26"/>
      <c r="V2780" s="26"/>
      <c r="W2780" s="20"/>
      <c r="X2780" s="20"/>
      <c r="Y2780" s="20"/>
      <c r="Z2780" s="20"/>
      <c r="AA2780" s="20"/>
      <c r="AB2780" s="20"/>
      <c r="AC2780" s="20"/>
      <c r="AD2780" s="20"/>
      <c r="AE2780" s="20"/>
    </row>
    <row r="2781">
      <c r="A2781" s="21">
        <v>66.0</v>
      </c>
      <c r="B2781" s="20" t="s">
        <v>5322</v>
      </c>
      <c r="C2781" s="20" t="s">
        <v>5854</v>
      </c>
      <c r="I2781" s="25" t="s">
        <v>4952</v>
      </c>
      <c r="J2781" s="25" t="s">
        <v>5323</v>
      </c>
      <c r="K2781" s="25" t="s">
        <v>71</v>
      </c>
      <c r="L2781" s="25" t="s">
        <v>6070</v>
      </c>
      <c r="M2781" s="20" t="s">
        <v>4953</v>
      </c>
      <c r="N2781" s="20" t="s">
        <v>5033</v>
      </c>
      <c r="O2781" s="20" t="s">
        <v>63</v>
      </c>
      <c r="P2781" s="20" t="s">
        <v>52</v>
      </c>
      <c r="Q2781" s="22"/>
      <c r="R2781" s="22"/>
      <c r="S2781" s="22"/>
      <c r="T2781" s="26"/>
      <c r="U2781" s="26"/>
      <c r="V2781" s="26"/>
      <c r="W2781" s="20"/>
      <c r="X2781" s="20"/>
      <c r="Y2781" s="20"/>
      <c r="Z2781" s="20"/>
      <c r="AA2781" s="20"/>
      <c r="AB2781" s="20"/>
      <c r="AC2781" s="20"/>
      <c r="AD2781" s="20"/>
      <c r="AE2781" s="20"/>
    </row>
    <row r="2782">
      <c r="A2782" s="21">
        <v>66.0</v>
      </c>
      <c r="B2782" s="20" t="s">
        <v>5322</v>
      </c>
      <c r="C2782" s="20" t="s">
        <v>5854</v>
      </c>
      <c r="I2782" s="25" t="s">
        <v>2759</v>
      </c>
      <c r="J2782" s="25" t="s">
        <v>5323</v>
      </c>
      <c r="K2782" s="25" t="s">
        <v>71</v>
      </c>
      <c r="L2782" s="25" t="s">
        <v>6070</v>
      </c>
      <c r="M2782" s="20" t="s">
        <v>3508</v>
      </c>
      <c r="N2782" s="20" t="s">
        <v>4919</v>
      </c>
      <c r="O2782" s="20" t="s">
        <v>63</v>
      </c>
      <c r="P2782" s="20" t="s">
        <v>52</v>
      </c>
      <c r="Q2782" s="22"/>
      <c r="R2782" s="22"/>
      <c r="S2782" s="22"/>
      <c r="T2782" s="26"/>
      <c r="U2782" s="26"/>
      <c r="V2782" s="26"/>
      <c r="W2782" s="20"/>
      <c r="X2782" s="20"/>
      <c r="Y2782" s="20"/>
      <c r="Z2782" s="20"/>
      <c r="AA2782" s="20"/>
      <c r="AB2782" s="20"/>
      <c r="AC2782" s="20"/>
      <c r="AD2782" s="20"/>
      <c r="AE2782" s="20"/>
    </row>
    <row r="2783">
      <c r="A2783" s="21">
        <v>66.0</v>
      </c>
      <c r="B2783" s="20" t="s">
        <v>5322</v>
      </c>
      <c r="C2783" s="20" t="s">
        <v>5854</v>
      </c>
      <c r="I2783" s="25" t="s">
        <v>2475</v>
      </c>
      <c r="J2783" s="25" t="s">
        <v>5324</v>
      </c>
      <c r="K2783" s="25" t="s">
        <v>71</v>
      </c>
      <c r="L2783" s="25" t="s">
        <v>6073</v>
      </c>
      <c r="M2783" s="20" t="s">
        <v>5440</v>
      </c>
      <c r="N2783" s="20" t="s">
        <v>5441</v>
      </c>
      <c r="O2783" s="20" t="s">
        <v>63</v>
      </c>
      <c r="P2783" s="20" t="s">
        <v>52</v>
      </c>
      <c r="Q2783" s="22"/>
      <c r="R2783" s="22"/>
      <c r="S2783" s="22"/>
      <c r="T2783" s="26"/>
      <c r="U2783" s="26"/>
      <c r="V2783" s="26"/>
      <c r="W2783" s="20"/>
      <c r="X2783" s="20"/>
      <c r="Y2783" s="20"/>
      <c r="Z2783" s="20"/>
      <c r="AA2783" s="20"/>
      <c r="AB2783" s="20"/>
      <c r="AC2783" s="20"/>
      <c r="AD2783" s="20"/>
      <c r="AE2783" s="20"/>
    </row>
    <row r="2784">
      <c r="A2784" s="21">
        <v>66.0</v>
      </c>
      <c r="B2784" s="20" t="s">
        <v>5322</v>
      </c>
      <c r="C2784" s="20" t="s">
        <v>5854</v>
      </c>
      <c r="I2784" s="25" t="s">
        <v>2013</v>
      </c>
      <c r="J2784" s="25" t="s">
        <v>5324</v>
      </c>
      <c r="K2784" s="25" t="s">
        <v>71</v>
      </c>
      <c r="L2784" s="25" t="s">
        <v>6074</v>
      </c>
      <c r="M2784" s="20" t="s">
        <v>5442</v>
      </c>
      <c r="N2784" s="20" t="s">
        <v>5443</v>
      </c>
      <c r="O2784" s="20" t="s">
        <v>63</v>
      </c>
      <c r="P2784" s="20" t="s">
        <v>52</v>
      </c>
      <c r="Q2784" s="22"/>
      <c r="R2784" s="22"/>
      <c r="S2784" s="22"/>
      <c r="T2784" s="26"/>
      <c r="U2784" s="26"/>
      <c r="V2784" s="26"/>
      <c r="W2784" s="20"/>
      <c r="X2784" s="20"/>
      <c r="Y2784" s="20"/>
      <c r="Z2784" s="20"/>
      <c r="AA2784" s="20"/>
      <c r="AB2784" s="20"/>
      <c r="AC2784" s="20"/>
      <c r="AD2784" s="20"/>
      <c r="AE2784" s="20"/>
    </row>
    <row r="2785">
      <c r="A2785" s="21">
        <v>66.0</v>
      </c>
      <c r="B2785" s="20" t="s">
        <v>5322</v>
      </c>
      <c r="C2785" s="20" t="s">
        <v>5854</v>
      </c>
      <c r="I2785" s="25" t="s">
        <v>132</v>
      </c>
      <c r="J2785" s="25" t="s">
        <v>5324</v>
      </c>
      <c r="K2785" s="25" t="s">
        <v>71</v>
      </c>
      <c r="L2785" s="25" t="s">
        <v>6075</v>
      </c>
      <c r="M2785" s="20" t="s">
        <v>134</v>
      </c>
      <c r="N2785" s="20" t="s">
        <v>5444</v>
      </c>
      <c r="O2785" s="20" t="s">
        <v>63</v>
      </c>
      <c r="P2785" s="20" t="s">
        <v>52</v>
      </c>
      <c r="Q2785" s="22"/>
      <c r="R2785" s="22"/>
      <c r="S2785" s="22"/>
      <c r="T2785" s="26"/>
      <c r="U2785" s="26"/>
      <c r="V2785" s="26"/>
      <c r="W2785" s="20"/>
      <c r="X2785" s="20"/>
      <c r="Y2785" s="20"/>
      <c r="Z2785" s="20"/>
      <c r="AA2785" s="20"/>
      <c r="AB2785" s="20"/>
      <c r="AC2785" s="20"/>
      <c r="AD2785" s="20"/>
      <c r="AE2785" s="20"/>
    </row>
    <row r="2786">
      <c r="A2786" s="21">
        <v>66.0</v>
      </c>
      <c r="B2786" s="20" t="s">
        <v>5322</v>
      </c>
      <c r="C2786" s="20" t="s">
        <v>5854</v>
      </c>
      <c r="I2786" s="25" t="s">
        <v>2570</v>
      </c>
      <c r="J2786" s="25" t="s">
        <v>5323</v>
      </c>
      <c r="K2786" s="25" t="s">
        <v>71</v>
      </c>
      <c r="L2786" s="25" t="s">
        <v>6076</v>
      </c>
      <c r="M2786" s="20" t="s">
        <v>4706</v>
      </c>
      <c r="N2786" s="20" t="s">
        <v>4707</v>
      </c>
      <c r="O2786" s="20" t="s">
        <v>63</v>
      </c>
      <c r="P2786" s="20" t="s">
        <v>52</v>
      </c>
      <c r="Q2786" s="22"/>
      <c r="R2786" s="22"/>
      <c r="S2786" s="22"/>
      <c r="T2786" s="26"/>
      <c r="U2786" s="26"/>
      <c r="V2786" s="26"/>
      <c r="W2786" s="20"/>
      <c r="X2786" s="20"/>
      <c r="Y2786" s="20"/>
      <c r="Z2786" s="20"/>
      <c r="AA2786" s="20"/>
      <c r="AB2786" s="20"/>
      <c r="AC2786" s="20"/>
      <c r="AD2786" s="20"/>
      <c r="AE2786" s="20"/>
    </row>
    <row r="2787">
      <c r="A2787" s="21">
        <v>66.0</v>
      </c>
      <c r="B2787" s="20" t="s">
        <v>5322</v>
      </c>
      <c r="C2787" s="20" t="s">
        <v>5854</v>
      </c>
      <c r="I2787" s="25" t="s">
        <v>3474</v>
      </c>
      <c r="J2787" s="25" t="s">
        <v>5323</v>
      </c>
      <c r="K2787" s="25" t="s">
        <v>71</v>
      </c>
      <c r="L2787" s="25" t="s">
        <v>292</v>
      </c>
      <c r="M2787" s="20" t="s">
        <v>5288</v>
      </c>
      <c r="N2787" s="20" t="s">
        <v>5362</v>
      </c>
      <c r="O2787" s="20" t="s">
        <v>63</v>
      </c>
      <c r="P2787" s="20" t="s">
        <v>52</v>
      </c>
      <c r="Q2787" s="22"/>
      <c r="R2787" s="22"/>
      <c r="S2787" s="22"/>
      <c r="T2787" s="22"/>
      <c r="U2787" s="26"/>
      <c r="V2787" s="26"/>
      <c r="W2787" s="20"/>
      <c r="X2787" s="20"/>
      <c r="Y2787" s="20"/>
      <c r="Z2787" s="20"/>
      <c r="AA2787" s="20"/>
      <c r="AB2787" s="20"/>
      <c r="AC2787" s="20"/>
      <c r="AD2787" s="20"/>
      <c r="AE2787" s="20"/>
    </row>
    <row r="2788">
      <c r="A2788" s="21">
        <v>66.0</v>
      </c>
      <c r="B2788" s="20" t="s">
        <v>5322</v>
      </c>
      <c r="C2788" s="20" t="s">
        <v>5854</v>
      </c>
      <c r="I2788" s="25" t="s">
        <v>1654</v>
      </c>
      <c r="J2788" s="25" t="s">
        <v>5324</v>
      </c>
      <c r="K2788" s="25" t="s">
        <v>71</v>
      </c>
      <c r="L2788" s="25" t="s">
        <v>6076</v>
      </c>
      <c r="M2788" s="20" t="s">
        <v>5445</v>
      </c>
      <c r="N2788" s="20" t="s">
        <v>5446</v>
      </c>
      <c r="O2788" s="20" t="s">
        <v>63</v>
      </c>
      <c r="P2788" s="20" t="s">
        <v>52</v>
      </c>
      <c r="Q2788" s="22"/>
      <c r="R2788" s="22"/>
      <c r="S2788" s="22"/>
      <c r="T2788" s="26"/>
      <c r="U2788" s="26"/>
      <c r="V2788" s="26"/>
      <c r="W2788" s="20"/>
      <c r="X2788" s="20"/>
      <c r="Y2788" s="20"/>
      <c r="Z2788" s="20"/>
      <c r="AA2788" s="20"/>
      <c r="AB2788" s="20"/>
      <c r="AC2788" s="20"/>
      <c r="AD2788" s="20"/>
      <c r="AE2788" s="20"/>
    </row>
    <row r="2789">
      <c r="A2789" s="21">
        <v>66.0</v>
      </c>
      <c r="B2789" s="20" t="s">
        <v>5322</v>
      </c>
      <c r="C2789" s="20" t="s">
        <v>5854</v>
      </c>
      <c r="I2789" s="25" t="s">
        <v>4282</v>
      </c>
      <c r="J2789" s="25" t="s">
        <v>5323</v>
      </c>
      <c r="K2789" s="25" t="s">
        <v>71</v>
      </c>
      <c r="L2789" s="25" t="s">
        <v>292</v>
      </c>
      <c r="M2789" s="20" t="s">
        <v>4883</v>
      </c>
      <c r="N2789" s="20" t="s">
        <v>4884</v>
      </c>
      <c r="O2789" s="20" t="s">
        <v>63</v>
      </c>
      <c r="P2789" s="20" t="s">
        <v>52</v>
      </c>
      <c r="Q2789" s="22"/>
      <c r="R2789" s="22"/>
      <c r="S2789" s="22"/>
      <c r="T2789" s="22"/>
      <c r="U2789" s="26"/>
      <c r="V2789" s="26"/>
      <c r="W2789" s="20"/>
      <c r="X2789" s="20"/>
      <c r="Y2789" s="20"/>
      <c r="Z2789" s="20"/>
      <c r="AA2789" s="20"/>
      <c r="AB2789" s="20"/>
      <c r="AC2789" s="20"/>
      <c r="AD2789" s="20"/>
      <c r="AE2789" s="20"/>
    </row>
    <row r="2790">
      <c r="A2790" s="21">
        <v>66.0</v>
      </c>
      <c r="B2790" s="20" t="s">
        <v>5322</v>
      </c>
      <c r="C2790" s="20" t="s">
        <v>5854</v>
      </c>
      <c r="I2790" s="25" t="s">
        <v>518</v>
      </c>
      <c r="J2790" s="25" t="s">
        <v>5324</v>
      </c>
      <c r="K2790" s="25" t="s">
        <v>71</v>
      </c>
      <c r="L2790" s="25" t="s">
        <v>6082</v>
      </c>
      <c r="M2790" s="20" t="s">
        <v>61</v>
      </c>
      <c r="N2790" s="20" t="s">
        <v>5447</v>
      </c>
      <c r="O2790" s="20" t="s">
        <v>63</v>
      </c>
      <c r="P2790" s="20" t="s">
        <v>524</v>
      </c>
      <c r="Q2790" s="22"/>
      <c r="R2790" s="22"/>
      <c r="S2790" s="22"/>
      <c r="T2790" s="26"/>
      <c r="U2790" s="26"/>
      <c r="V2790" s="26"/>
      <c r="W2790" s="20"/>
      <c r="X2790" s="20"/>
      <c r="Y2790" s="20"/>
      <c r="Z2790" s="20"/>
      <c r="AA2790" s="20"/>
      <c r="AB2790" s="20"/>
      <c r="AC2790" s="20"/>
      <c r="AD2790" s="20"/>
      <c r="AE2790" s="20"/>
    </row>
    <row r="2791">
      <c r="A2791" s="21">
        <v>66.0</v>
      </c>
      <c r="B2791" s="20" t="s">
        <v>5322</v>
      </c>
      <c r="C2791" s="20" t="s">
        <v>5854</v>
      </c>
      <c r="I2791" s="25" t="s">
        <v>1297</v>
      </c>
      <c r="J2791" s="25" t="s">
        <v>5323</v>
      </c>
      <c r="K2791" s="25" t="s">
        <v>71</v>
      </c>
      <c r="L2791" s="25" t="s">
        <v>292</v>
      </c>
      <c r="M2791" s="20" t="s">
        <v>1408</v>
      </c>
      <c r="N2791" s="20" t="s">
        <v>1409</v>
      </c>
      <c r="O2791" s="20" t="s">
        <v>63</v>
      </c>
      <c r="P2791" s="20" t="s">
        <v>52</v>
      </c>
      <c r="Q2791" s="22"/>
      <c r="R2791" s="22"/>
      <c r="S2791" s="22"/>
      <c r="T2791" s="22"/>
      <c r="U2791" s="26"/>
      <c r="V2791" s="26"/>
      <c r="W2791" s="20"/>
      <c r="X2791" s="20"/>
      <c r="Y2791" s="20"/>
      <c r="Z2791" s="20"/>
      <c r="AA2791" s="20"/>
      <c r="AB2791" s="20"/>
      <c r="AC2791" s="20"/>
      <c r="AD2791" s="20"/>
      <c r="AE2791" s="20"/>
    </row>
    <row r="2792">
      <c r="A2792" s="21">
        <v>67.0</v>
      </c>
      <c r="B2792" s="20" t="s">
        <v>5448</v>
      </c>
      <c r="C2792" s="20" t="s">
        <v>5854</v>
      </c>
      <c r="D2792" s="35">
        <v>100.0</v>
      </c>
      <c r="E2792" s="35">
        <v>2.0</v>
      </c>
      <c r="F2792" s="35">
        <v>3.0</v>
      </c>
      <c r="G2792" s="35">
        <v>95.0</v>
      </c>
      <c r="H2792" s="36" t="s">
        <v>6085</v>
      </c>
      <c r="I2792" s="25" t="s">
        <v>1376</v>
      </c>
      <c r="J2792" s="25" t="s">
        <v>5449</v>
      </c>
      <c r="K2792" s="25" t="s">
        <v>57</v>
      </c>
      <c r="L2792" s="25" t="s">
        <v>6088</v>
      </c>
      <c r="M2792" s="20" t="s">
        <v>5118</v>
      </c>
      <c r="N2792" s="20" t="s">
        <v>5119</v>
      </c>
      <c r="O2792" s="20" t="s">
        <v>63</v>
      </c>
      <c r="P2792" s="20"/>
      <c r="Q2792" s="22"/>
      <c r="R2792" s="22"/>
      <c r="S2792" s="22"/>
      <c r="T2792" s="26"/>
      <c r="U2792" s="26"/>
      <c r="V2792" s="26"/>
      <c r="W2792" s="20"/>
      <c r="X2792" s="20"/>
      <c r="Y2792" s="20"/>
      <c r="Z2792" s="20"/>
      <c r="AA2792" s="20"/>
      <c r="AB2792" s="20"/>
      <c r="AC2792" s="20"/>
      <c r="AD2792" s="20"/>
      <c r="AE2792" s="20"/>
    </row>
    <row r="2793">
      <c r="A2793" s="21">
        <v>67.0</v>
      </c>
      <c r="B2793" s="20" t="s">
        <v>5448</v>
      </c>
      <c r="C2793" s="20" t="s">
        <v>5854</v>
      </c>
      <c r="I2793" s="25" t="s">
        <v>1217</v>
      </c>
      <c r="J2793" s="25" t="s">
        <v>5450</v>
      </c>
      <c r="K2793" s="25" t="s">
        <v>57</v>
      </c>
      <c r="L2793" s="25" t="s">
        <v>6090</v>
      </c>
      <c r="M2793" s="20" t="s">
        <v>61</v>
      </c>
      <c r="N2793" s="20" t="s">
        <v>5451</v>
      </c>
      <c r="O2793" s="20" t="s">
        <v>63</v>
      </c>
      <c r="P2793" s="20"/>
      <c r="Q2793" s="22"/>
      <c r="R2793" s="22"/>
      <c r="S2793" s="22"/>
      <c r="T2793" s="26"/>
      <c r="U2793" s="26"/>
      <c r="V2793" s="26"/>
      <c r="W2793" s="20"/>
      <c r="X2793" s="20"/>
      <c r="Y2793" s="20"/>
      <c r="Z2793" s="20"/>
      <c r="AA2793" s="20"/>
      <c r="AB2793" s="20"/>
      <c r="AC2793" s="20"/>
      <c r="AD2793" s="20"/>
      <c r="AE2793" s="20"/>
    </row>
    <row r="2794">
      <c r="A2794" s="21">
        <v>67.0</v>
      </c>
      <c r="B2794" s="20" t="s">
        <v>5448</v>
      </c>
      <c r="C2794" s="20" t="s">
        <v>5854</v>
      </c>
      <c r="I2794" s="25" t="s">
        <v>1952</v>
      </c>
      <c r="J2794" s="25" t="s">
        <v>5449</v>
      </c>
      <c r="K2794" s="25" t="s">
        <v>67</v>
      </c>
      <c r="L2794" s="25" t="s">
        <v>6091</v>
      </c>
      <c r="M2794" s="20" t="s">
        <v>4714</v>
      </c>
      <c r="N2794" s="20" t="s">
        <v>5452</v>
      </c>
      <c r="O2794" s="20" t="s">
        <v>63</v>
      </c>
      <c r="P2794" s="20"/>
      <c r="Q2794" s="22"/>
      <c r="R2794" s="22"/>
      <c r="S2794" s="22"/>
      <c r="T2794" s="26"/>
      <c r="U2794" s="26"/>
      <c r="V2794" s="26"/>
      <c r="W2794" s="20"/>
      <c r="X2794" s="20"/>
      <c r="Y2794" s="20"/>
      <c r="Z2794" s="20"/>
      <c r="AA2794" s="20"/>
      <c r="AB2794" s="20"/>
      <c r="AC2794" s="20"/>
      <c r="AD2794" s="20"/>
      <c r="AE2794" s="20"/>
    </row>
    <row r="2795">
      <c r="A2795" s="21">
        <v>67.0</v>
      </c>
      <c r="B2795" s="20" t="s">
        <v>5448</v>
      </c>
      <c r="C2795" s="20" t="s">
        <v>5854</v>
      </c>
      <c r="I2795" s="25" t="s">
        <v>2385</v>
      </c>
      <c r="J2795" s="25" t="s">
        <v>5449</v>
      </c>
      <c r="K2795" s="25" t="s">
        <v>67</v>
      </c>
      <c r="L2795" s="25" t="s">
        <v>6092</v>
      </c>
      <c r="M2795" s="20" t="s">
        <v>4665</v>
      </c>
      <c r="N2795" s="20" t="s">
        <v>4666</v>
      </c>
      <c r="O2795" s="20" t="s">
        <v>63</v>
      </c>
      <c r="P2795" s="20"/>
      <c r="Q2795" s="22"/>
      <c r="R2795" s="22"/>
      <c r="S2795" s="22"/>
      <c r="T2795" s="26"/>
      <c r="U2795" s="26"/>
      <c r="V2795" s="26"/>
      <c r="W2795" s="20"/>
      <c r="X2795" s="20"/>
      <c r="Y2795" s="20"/>
      <c r="Z2795" s="20"/>
      <c r="AA2795" s="20"/>
      <c r="AB2795" s="20"/>
      <c r="AC2795" s="20"/>
      <c r="AD2795" s="20"/>
      <c r="AE2795" s="20"/>
    </row>
    <row r="2796">
      <c r="A2796" s="21">
        <v>67.0</v>
      </c>
      <c r="B2796" s="20" t="s">
        <v>5448</v>
      </c>
      <c r="C2796" s="20" t="s">
        <v>5854</v>
      </c>
      <c r="I2796" s="25" t="s">
        <v>1174</v>
      </c>
      <c r="J2796" s="25" t="s">
        <v>5449</v>
      </c>
      <c r="K2796" s="25" t="s">
        <v>67</v>
      </c>
      <c r="L2796" s="25" t="s">
        <v>6093</v>
      </c>
      <c r="M2796" s="20" t="s">
        <v>2704</v>
      </c>
      <c r="N2796" s="20" t="s">
        <v>5453</v>
      </c>
      <c r="O2796" s="20" t="s">
        <v>63</v>
      </c>
      <c r="P2796" s="20"/>
      <c r="Q2796" s="22"/>
      <c r="R2796" s="22"/>
      <c r="S2796" s="22"/>
      <c r="T2796" s="26"/>
      <c r="U2796" s="26"/>
      <c r="V2796" s="26"/>
      <c r="W2796" s="20"/>
      <c r="X2796" s="20"/>
      <c r="Y2796" s="20"/>
      <c r="Z2796" s="20"/>
      <c r="AA2796" s="20"/>
      <c r="AB2796" s="20"/>
      <c r="AC2796" s="20"/>
      <c r="AD2796" s="20"/>
      <c r="AE2796" s="20"/>
    </row>
    <row r="2797">
      <c r="A2797" s="21">
        <v>67.0</v>
      </c>
      <c r="B2797" s="20" t="s">
        <v>5448</v>
      </c>
      <c r="C2797" s="20" t="s">
        <v>5854</v>
      </c>
      <c r="I2797" s="25" t="s">
        <v>107</v>
      </c>
      <c r="J2797" s="25" t="s">
        <v>5450</v>
      </c>
      <c r="K2797" s="25" t="s">
        <v>71</v>
      </c>
      <c r="L2797" s="25" t="s">
        <v>292</v>
      </c>
      <c r="M2797" s="20" t="s">
        <v>5502</v>
      </c>
      <c r="N2797" s="20" t="s">
        <v>5503</v>
      </c>
      <c r="O2797" s="20" t="s">
        <v>63</v>
      </c>
      <c r="P2797" s="20" t="s">
        <v>52</v>
      </c>
      <c r="Q2797" s="22"/>
      <c r="R2797" s="22"/>
      <c r="S2797" s="22"/>
      <c r="T2797" s="22"/>
      <c r="U2797" s="26"/>
      <c r="V2797" s="26"/>
      <c r="W2797" s="20"/>
      <c r="X2797" s="20"/>
      <c r="Y2797" s="20"/>
      <c r="Z2797" s="20"/>
      <c r="AA2797" s="20"/>
      <c r="AB2797" s="20"/>
      <c r="AC2797" s="20"/>
      <c r="AD2797" s="20"/>
      <c r="AE2797" s="20"/>
    </row>
    <row r="2798">
      <c r="A2798" s="21">
        <v>67.0</v>
      </c>
      <c r="B2798" s="20" t="s">
        <v>5448</v>
      </c>
      <c r="C2798" s="20" t="s">
        <v>5854</v>
      </c>
      <c r="I2798" s="25" t="s">
        <v>4452</v>
      </c>
      <c r="J2798" s="25" t="s">
        <v>5450</v>
      </c>
      <c r="K2798" s="25" t="s">
        <v>71</v>
      </c>
      <c r="L2798" s="25" t="s">
        <v>5499</v>
      </c>
      <c r="M2798" s="20" t="s">
        <v>61</v>
      </c>
      <c r="N2798" s="20" t="s">
        <v>5504</v>
      </c>
      <c r="O2798" s="20" t="s">
        <v>63</v>
      </c>
      <c r="P2798" s="20"/>
      <c r="Q2798" s="22"/>
      <c r="R2798" s="22"/>
      <c r="S2798" s="22"/>
      <c r="T2798" s="26"/>
      <c r="U2798" s="26"/>
      <c r="V2798" s="26"/>
      <c r="W2798" s="20"/>
      <c r="X2798" s="20"/>
      <c r="Y2798" s="20"/>
      <c r="Z2798" s="20"/>
      <c r="AA2798" s="20"/>
      <c r="AB2798" s="20"/>
      <c r="AC2798" s="20"/>
      <c r="AD2798" s="20"/>
      <c r="AE2798" s="20"/>
    </row>
    <row r="2799">
      <c r="A2799" s="21">
        <v>67.0</v>
      </c>
      <c r="B2799" s="20" t="s">
        <v>5448</v>
      </c>
      <c r="C2799" s="20" t="s">
        <v>5854</v>
      </c>
      <c r="I2799" s="25" t="s">
        <v>2796</v>
      </c>
      <c r="J2799" s="25" t="s">
        <v>5449</v>
      </c>
      <c r="K2799" s="25" t="s">
        <v>71</v>
      </c>
      <c r="L2799" s="25" t="s">
        <v>292</v>
      </c>
      <c r="M2799" s="20" t="s">
        <v>4996</v>
      </c>
      <c r="N2799" s="20" t="s">
        <v>5454</v>
      </c>
      <c r="O2799" s="20" t="s">
        <v>63</v>
      </c>
      <c r="P2799" s="20" t="s">
        <v>52</v>
      </c>
      <c r="Q2799" s="22"/>
      <c r="R2799" s="22"/>
      <c r="S2799" s="22"/>
      <c r="T2799" s="22"/>
      <c r="U2799" s="26"/>
      <c r="V2799" s="26"/>
      <c r="W2799" s="20"/>
      <c r="X2799" s="20"/>
      <c r="Y2799" s="20"/>
      <c r="Z2799" s="20"/>
      <c r="AA2799" s="20"/>
      <c r="AB2799" s="20"/>
      <c r="AC2799" s="20"/>
      <c r="AD2799" s="20"/>
      <c r="AE2799" s="20"/>
    </row>
    <row r="2800">
      <c r="A2800" s="21">
        <v>67.0</v>
      </c>
      <c r="B2800" s="20" t="s">
        <v>5448</v>
      </c>
      <c r="C2800" s="20" t="s">
        <v>5854</v>
      </c>
      <c r="I2800" s="25" t="s">
        <v>4661</v>
      </c>
      <c r="J2800" s="25" t="s">
        <v>5449</v>
      </c>
      <c r="K2800" s="25" t="s">
        <v>71</v>
      </c>
      <c r="L2800" s="25" t="s">
        <v>292</v>
      </c>
      <c r="M2800" s="20" t="s">
        <v>4662</v>
      </c>
      <c r="N2800" s="20" t="s">
        <v>4663</v>
      </c>
      <c r="O2800" s="20" t="s">
        <v>63</v>
      </c>
      <c r="P2800" s="20" t="s">
        <v>52</v>
      </c>
      <c r="Q2800" s="22"/>
      <c r="R2800" s="22"/>
      <c r="S2800" s="22"/>
      <c r="T2800" s="22"/>
      <c r="U2800" s="26"/>
      <c r="V2800" s="26"/>
      <c r="W2800" s="20"/>
      <c r="X2800" s="20"/>
      <c r="Y2800" s="20"/>
      <c r="Z2800" s="20"/>
      <c r="AA2800" s="20"/>
      <c r="AB2800" s="20"/>
      <c r="AC2800" s="20"/>
      <c r="AD2800" s="20"/>
      <c r="AE2800" s="20"/>
    </row>
    <row r="2801">
      <c r="A2801" s="21">
        <v>67.0</v>
      </c>
      <c r="B2801" s="20" t="s">
        <v>5448</v>
      </c>
      <c r="C2801" s="20" t="s">
        <v>5854</v>
      </c>
      <c r="I2801" s="25" t="s">
        <v>3502</v>
      </c>
      <c r="J2801" s="25" t="s">
        <v>5450</v>
      </c>
      <c r="K2801" s="25" t="s">
        <v>71</v>
      </c>
      <c r="L2801" s="25" t="s">
        <v>6101</v>
      </c>
      <c r="M2801" s="20" t="s">
        <v>3503</v>
      </c>
      <c r="N2801" s="20" t="s">
        <v>5026</v>
      </c>
      <c r="O2801" s="20" t="s">
        <v>63</v>
      </c>
      <c r="P2801" s="20"/>
      <c r="Q2801" s="22"/>
      <c r="R2801" s="22"/>
      <c r="S2801" s="22"/>
      <c r="T2801" s="26"/>
      <c r="U2801" s="26"/>
      <c r="V2801" s="26"/>
      <c r="W2801" s="20"/>
      <c r="X2801" s="20"/>
      <c r="Y2801" s="20"/>
      <c r="Z2801" s="20"/>
      <c r="AA2801" s="20"/>
      <c r="AB2801" s="20"/>
      <c r="AC2801" s="20"/>
      <c r="AD2801" s="20"/>
      <c r="AE2801" s="20"/>
    </row>
    <row r="2802">
      <c r="A2802" s="21">
        <v>67.0</v>
      </c>
      <c r="B2802" s="20" t="s">
        <v>5448</v>
      </c>
      <c r="C2802" s="20" t="s">
        <v>5854</v>
      </c>
      <c r="I2802" s="25" t="s">
        <v>3464</v>
      </c>
      <c r="J2802" s="25" t="s">
        <v>5450</v>
      </c>
      <c r="K2802" s="25" t="s">
        <v>71</v>
      </c>
      <c r="L2802" s="25" t="s">
        <v>6101</v>
      </c>
      <c r="M2802" s="20" t="s">
        <v>5505</v>
      </c>
      <c r="N2802" s="20" t="s">
        <v>5506</v>
      </c>
      <c r="O2802" s="20" t="s">
        <v>63</v>
      </c>
      <c r="P2802" s="20"/>
      <c r="Q2802" s="22"/>
      <c r="R2802" s="22"/>
      <c r="S2802" s="22"/>
      <c r="T2802" s="26"/>
      <c r="U2802" s="26"/>
      <c r="V2802" s="26"/>
      <c r="W2802" s="20"/>
      <c r="X2802" s="20"/>
      <c r="Y2802" s="20"/>
      <c r="Z2802" s="20"/>
      <c r="AA2802" s="20"/>
      <c r="AB2802" s="20"/>
      <c r="AC2802" s="20"/>
      <c r="AD2802" s="20"/>
      <c r="AE2802" s="20"/>
    </row>
    <row r="2803">
      <c r="A2803" s="21">
        <v>67.0</v>
      </c>
      <c r="B2803" s="20" t="s">
        <v>5448</v>
      </c>
      <c r="C2803" s="20" t="s">
        <v>5854</v>
      </c>
      <c r="I2803" s="25" t="s">
        <v>3467</v>
      </c>
      <c r="J2803" s="25" t="s">
        <v>5450</v>
      </c>
      <c r="K2803" s="25" t="s">
        <v>71</v>
      </c>
      <c r="L2803" s="25" t="s">
        <v>6101</v>
      </c>
      <c r="M2803" s="20" t="s">
        <v>3468</v>
      </c>
      <c r="N2803" s="20" t="s">
        <v>5507</v>
      </c>
      <c r="O2803" s="20" t="s">
        <v>63</v>
      </c>
      <c r="P2803" s="20"/>
      <c r="Q2803" s="22"/>
      <c r="R2803" s="22"/>
      <c r="S2803" s="22"/>
      <c r="T2803" s="26"/>
      <c r="U2803" s="26"/>
      <c r="V2803" s="26"/>
      <c r="W2803" s="20"/>
      <c r="X2803" s="20"/>
      <c r="Y2803" s="20"/>
      <c r="Z2803" s="20"/>
      <c r="AA2803" s="20"/>
      <c r="AB2803" s="20"/>
      <c r="AC2803" s="20"/>
      <c r="AD2803" s="20"/>
      <c r="AE2803" s="20"/>
    </row>
    <row r="2804">
      <c r="A2804" s="21">
        <v>67.0</v>
      </c>
      <c r="B2804" s="20" t="s">
        <v>5448</v>
      </c>
      <c r="C2804" s="20" t="s">
        <v>5854</v>
      </c>
      <c r="I2804" s="25" t="s">
        <v>3453</v>
      </c>
      <c r="J2804" s="25" t="s">
        <v>5449</v>
      </c>
      <c r="K2804" s="25" t="s">
        <v>71</v>
      </c>
      <c r="L2804" s="25" t="s">
        <v>3823</v>
      </c>
      <c r="M2804" s="20" t="s">
        <v>61</v>
      </c>
      <c r="N2804" s="20" t="s">
        <v>5311</v>
      </c>
      <c r="O2804" s="20" t="s">
        <v>63</v>
      </c>
      <c r="P2804" s="20"/>
      <c r="Q2804" s="22"/>
      <c r="R2804" s="22"/>
      <c r="S2804" s="22"/>
      <c r="T2804" s="26"/>
      <c r="U2804" s="26"/>
      <c r="V2804" s="26"/>
      <c r="W2804" s="20"/>
      <c r="X2804" s="20"/>
      <c r="Y2804" s="20"/>
      <c r="Z2804" s="20"/>
      <c r="AA2804" s="20"/>
      <c r="AB2804" s="20"/>
      <c r="AC2804" s="20"/>
      <c r="AD2804" s="20"/>
      <c r="AE2804" s="20"/>
    </row>
    <row r="2805">
      <c r="A2805" s="21">
        <v>67.0</v>
      </c>
      <c r="B2805" s="20" t="s">
        <v>5448</v>
      </c>
      <c r="C2805" s="20" t="s">
        <v>5854</v>
      </c>
      <c r="I2805" s="25" t="s">
        <v>4515</v>
      </c>
      <c r="J2805" s="25" t="s">
        <v>5450</v>
      </c>
      <c r="K2805" s="25" t="s">
        <v>71</v>
      </c>
      <c r="L2805" s="25" t="s">
        <v>5499</v>
      </c>
      <c r="M2805" s="20" t="s">
        <v>4516</v>
      </c>
      <c r="N2805" s="20" t="s">
        <v>5508</v>
      </c>
      <c r="O2805" s="20" t="s">
        <v>63</v>
      </c>
      <c r="P2805" s="20"/>
      <c r="Q2805" s="22"/>
      <c r="R2805" s="22"/>
      <c r="S2805" s="22"/>
      <c r="T2805" s="26"/>
      <c r="U2805" s="26"/>
      <c r="V2805" s="26"/>
      <c r="W2805" s="20"/>
      <c r="X2805" s="20"/>
      <c r="Y2805" s="20"/>
      <c r="Z2805" s="20"/>
      <c r="AA2805" s="20"/>
      <c r="AB2805" s="20"/>
      <c r="AC2805" s="20"/>
      <c r="AD2805" s="20"/>
      <c r="AE2805" s="20"/>
    </row>
    <row r="2806">
      <c r="A2806" s="21">
        <v>67.0</v>
      </c>
      <c r="B2806" s="20" t="s">
        <v>5448</v>
      </c>
      <c r="C2806" s="20" t="s">
        <v>5854</v>
      </c>
      <c r="I2806" s="25" t="s">
        <v>3505</v>
      </c>
      <c r="J2806" s="25" t="s">
        <v>5450</v>
      </c>
      <c r="K2806" s="25" t="s">
        <v>71</v>
      </c>
      <c r="L2806" s="25" t="s">
        <v>5499</v>
      </c>
      <c r="M2806" s="20" t="s">
        <v>5509</v>
      </c>
      <c r="N2806" s="20" t="s">
        <v>5510</v>
      </c>
      <c r="O2806" s="20" t="s">
        <v>63</v>
      </c>
      <c r="P2806" s="20"/>
      <c r="Q2806" s="22"/>
      <c r="R2806" s="22"/>
      <c r="S2806" s="22"/>
      <c r="T2806" s="26"/>
      <c r="U2806" s="26"/>
      <c r="V2806" s="26"/>
      <c r="W2806" s="20"/>
      <c r="X2806" s="20"/>
      <c r="Y2806" s="20"/>
      <c r="Z2806" s="20"/>
      <c r="AA2806" s="20"/>
      <c r="AB2806" s="20"/>
      <c r="AC2806" s="20"/>
      <c r="AD2806" s="20"/>
      <c r="AE2806" s="20"/>
    </row>
    <row r="2807">
      <c r="A2807" s="21">
        <v>67.0</v>
      </c>
      <c r="B2807" s="20" t="s">
        <v>5448</v>
      </c>
      <c r="C2807" s="20" t="s">
        <v>5854</v>
      </c>
      <c r="I2807" s="25" t="s">
        <v>109</v>
      </c>
      <c r="J2807" s="25" t="s">
        <v>5449</v>
      </c>
      <c r="K2807" s="25" t="s">
        <v>71</v>
      </c>
      <c r="L2807" s="25" t="s">
        <v>5499</v>
      </c>
      <c r="M2807" s="20" t="s">
        <v>5455</v>
      </c>
      <c r="N2807" s="20" t="s">
        <v>5456</v>
      </c>
      <c r="O2807" s="20" t="s">
        <v>63</v>
      </c>
      <c r="P2807" s="20"/>
      <c r="Q2807" s="22"/>
      <c r="R2807" s="22"/>
      <c r="S2807" s="22"/>
      <c r="T2807" s="26"/>
      <c r="U2807" s="26"/>
      <c r="V2807" s="26"/>
      <c r="W2807" s="20"/>
      <c r="X2807" s="20"/>
      <c r="Y2807" s="20"/>
      <c r="Z2807" s="20"/>
      <c r="AA2807" s="20"/>
      <c r="AB2807" s="20"/>
      <c r="AC2807" s="20"/>
      <c r="AD2807" s="20"/>
      <c r="AE2807" s="20"/>
    </row>
    <row r="2808">
      <c r="A2808" s="21">
        <v>67.0</v>
      </c>
      <c r="B2808" s="20" t="s">
        <v>5448</v>
      </c>
      <c r="C2808" s="20" t="s">
        <v>5854</v>
      </c>
      <c r="I2808" s="25" t="s">
        <v>3033</v>
      </c>
      <c r="J2808" s="25" t="s">
        <v>5449</v>
      </c>
      <c r="K2808" s="25" t="s">
        <v>71</v>
      </c>
      <c r="L2808" s="25" t="s">
        <v>5499</v>
      </c>
      <c r="M2808" s="20" t="s">
        <v>3034</v>
      </c>
      <c r="N2808" s="20" t="s">
        <v>3712</v>
      </c>
      <c r="O2808" s="20" t="s">
        <v>63</v>
      </c>
      <c r="P2808" s="20"/>
      <c r="Q2808" s="22"/>
      <c r="R2808" s="22"/>
      <c r="S2808" s="22"/>
      <c r="T2808" s="26"/>
      <c r="U2808" s="26"/>
      <c r="V2808" s="26"/>
      <c r="W2808" s="20"/>
      <c r="X2808" s="20"/>
      <c r="Y2808" s="20"/>
      <c r="Z2808" s="20"/>
      <c r="AA2808" s="20"/>
      <c r="AB2808" s="20"/>
      <c r="AC2808" s="20"/>
      <c r="AD2808" s="20"/>
      <c r="AE2808" s="20"/>
    </row>
    <row r="2809">
      <c r="A2809" s="21">
        <v>67.0</v>
      </c>
      <c r="B2809" s="20" t="s">
        <v>5448</v>
      </c>
      <c r="C2809" s="20" t="s">
        <v>5854</v>
      </c>
      <c r="I2809" s="25" t="s">
        <v>4800</v>
      </c>
      <c r="J2809" s="25" t="s">
        <v>5449</v>
      </c>
      <c r="K2809" s="25" t="s">
        <v>71</v>
      </c>
      <c r="L2809" s="25" t="s">
        <v>292</v>
      </c>
      <c r="M2809" s="20" t="s">
        <v>4801</v>
      </c>
      <c r="N2809" s="20" t="s">
        <v>5117</v>
      </c>
      <c r="O2809" s="20" t="s">
        <v>63</v>
      </c>
      <c r="P2809" s="20" t="s">
        <v>52</v>
      </c>
      <c r="Q2809" s="22"/>
      <c r="R2809" s="22"/>
      <c r="S2809" s="22"/>
      <c r="T2809" s="22"/>
      <c r="U2809" s="26"/>
      <c r="V2809" s="26"/>
      <c r="W2809" s="20"/>
      <c r="X2809" s="20"/>
      <c r="Y2809" s="20"/>
      <c r="Z2809" s="20"/>
      <c r="AA2809" s="20"/>
      <c r="AB2809" s="20"/>
      <c r="AC2809" s="20"/>
      <c r="AD2809" s="20"/>
      <c r="AE2809" s="20"/>
    </row>
    <row r="2810">
      <c r="A2810" s="21">
        <v>67.0</v>
      </c>
      <c r="B2810" s="20" t="s">
        <v>5448</v>
      </c>
      <c r="C2810" s="20" t="s">
        <v>5854</v>
      </c>
      <c r="I2810" s="25" t="s">
        <v>1159</v>
      </c>
      <c r="J2810" s="25" t="s">
        <v>5449</v>
      </c>
      <c r="K2810" s="25" t="s">
        <v>71</v>
      </c>
      <c r="L2810" s="25" t="s">
        <v>3823</v>
      </c>
      <c r="M2810" s="20" t="s">
        <v>5459</v>
      </c>
      <c r="N2810" s="20" t="s">
        <v>5460</v>
      </c>
      <c r="O2810" s="20" t="s">
        <v>63</v>
      </c>
      <c r="P2810" s="20"/>
      <c r="Q2810" s="22"/>
      <c r="R2810" s="22"/>
      <c r="S2810" s="22"/>
      <c r="T2810" s="26"/>
      <c r="U2810" s="26"/>
      <c r="V2810" s="26"/>
      <c r="W2810" s="20"/>
      <c r="X2810" s="20"/>
      <c r="Y2810" s="20"/>
      <c r="Z2810" s="20"/>
      <c r="AA2810" s="20"/>
      <c r="AB2810" s="20"/>
      <c r="AC2810" s="20"/>
      <c r="AD2810" s="20"/>
      <c r="AE2810" s="20"/>
    </row>
    <row r="2811">
      <c r="A2811" s="21">
        <v>67.0</v>
      </c>
      <c r="B2811" s="20" t="s">
        <v>5448</v>
      </c>
      <c r="C2811" s="20" t="s">
        <v>5854</v>
      </c>
      <c r="I2811" s="25" t="s">
        <v>1714</v>
      </c>
      <c r="J2811" s="25" t="s">
        <v>5450</v>
      </c>
      <c r="K2811" s="25" t="s">
        <v>71</v>
      </c>
      <c r="L2811" s="25" t="s">
        <v>5515</v>
      </c>
      <c r="M2811" s="20" t="s">
        <v>4993</v>
      </c>
      <c r="N2811" s="20" t="s">
        <v>5511</v>
      </c>
      <c r="O2811" s="20" t="s">
        <v>63</v>
      </c>
      <c r="P2811" s="20"/>
      <c r="Q2811" s="22"/>
      <c r="R2811" s="22"/>
      <c r="S2811" s="22"/>
      <c r="T2811" s="26"/>
      <c r="U2811" s="26"/>
      <c r="V2811" s="26"/>
      <c r="W2811" s="20"/>
      <c r="X2811" s="20"/>
      <c r="Y2811" s="20"/>
      <c r="Z2811" s="20"/>
      <c r="AA2811" s="20"/>
      <c r="AB2811" s="20"/>
      <c r="AC2811" s="20"/>
      <c r="AD2811" s="20"/>
      <c r="AE2811" s="20"/>
    </row>
    <row r="2812">
      <c r="A2812" s="21">
        <v>67.0</v>
      </c>
      <c r="B2812" s="20" t="s">
        <v>5448</v>
      </c>
      <c r="C2812" s="20" t="s">
        <v>5854</v>
      </c>
      <c r="I2812" s="25" t="s">
        <v>3471</v>
      </c>
      <c r="J2812" s="25" t="s">
        <v>5450</v>
      </c>
      <c r="K2812" s="25" t="s">
        <v>71</v>
      </c>
      <c r="L2812" s="25" t="s">
        <v>3823</v>
      </c>
      <c r="M2812" s="20" t="s">
        <v>3472</v>
      </c>
      <c r="N2812" s="20" t="s">
        <v>5512</v>
      </c>
      <c r="O2812" s="20" t="s">
        <v>63</v>
      </c>
      <c r="P2812" s="20"/>
      <c r="Q2812" s="22"/>
      <c r="R2812" s="22"/>
      <c r="S2812" s="22"/>
      <c r="T2812" s="26"/>
      <c r="U2812" s="26"/>
      <c r="V2812" s="26"/>
      <c r="W2812" s="20"/>
      <c r="X2812" s="20"/>
      <c r="Y2812" s="20"/>
      <c r="Z2812" s="20"/>
      <c r="AA2812" s="20"/>
      <c r="AB2812" s="20"/>
      <c r="AC2812" s="20"/>
      <c r="AD2812" s="20"/>
      <c r="AE2812" s="20"/>
    </row>
    <row r="2813">
      <c r="A2813" s="21">
        <v>67.0</v>
      </c>
      <c r="B2813" s="20" t="s">
        <v>5448</v>
      </c>
      <c r="C2813" s="20" t="s">
        <v>5854</v>
      </c>
      <c r="I2813" s="25" t="s">
        <v>3439</v>
      </c>
      <c r="J2813" s="25" t="s">
        <v>5449</v>
      </c>
      <c r="K2813" s="25" t="s">
        <v>71</v>
      </c>
      <c r="L2813" s="25" t="s">
        <v>292</v>
      </c>
      <c r="M2813" s="20" t="s">
        <v>5126</v>
      </c>
      <c r="N2813" s="20" t="s">
        <v>5127</v>
      </c>
      <c r="O2813" s="20" t="s">
        <v>63</v>
      </c>
      <c r="P2813" s="20" t="s">
        <v>52</v>
      </c>
      <c r="Q2813" s="22"/>
      <c r="R2813" s="22"/>
      <c r="S2813" s="22"/>
      <c r="T2813" s="22"/>
      <c r="U2813" s="26"/>
      <c r="V2813" s="26"/>
      <c r="W2813" s="20"/>
      <c r="X2813" s="20"/>
      <c r="Y2813" s="20"/>
      <c r="Z2813" s="20"/>
      <c r="AA2813" s="20"/>
      <c r="AB2813" s="20"/>
      <c r="AC2813" s="20"/>
      <c r="AD2813" s="20"/>
      <c r="AE2813" s="20"/>
    </row>
    <row r="2814">
      <c r="A2814" s="21">
        <v>67.0</v>
      </c>
      <c r="B2814" s="20" t="s">
        <v>5448</v>
      </c>
      <c r="C2814" s="20" t="s">
        <v>5854</v>
      </c>
      <c r="I2814" s="25" t="s">
        <v>2262</v>
      </c>
      <c r="J2814" s="25" t="s">
        <v>5449</v>
      </c>
      <c r="K2814" s="25" t="s">
        <v>71</v>
      </c>
      <c r="L2814" s="25" t="s">
        <v>3823</v>
      </c>
      <c r="M2814" s="20" t="s">
        <v>61</v>
      </c>
      <c r="N2814" s="20" t="s">
        <v>5461</v>
      </c>
      <c r="O2814" s="20" t="s">
        <v>63</v>
      </c>
      <c r="P2814" s="20"/>
      <c r="Q2814" s="22"/>
      <c r="R2814" s="22"/>
      <c r="S2814" s="22"/>
      <c r="T2814" s="26"/>
      <c r="U2814" s="26"/>
      <c r="V2814" s="26"/>
      <c r="W2814" s="20"/>
      <c r="X2814" s="20"/>
      <c r="Y2814" s="20"/>
      <c r="Z2814" s="20"/>
      <c r="AA2814" s="20"/>
      <c r="AB2814" s="20"/>
      <c r="AC2814" s="20"/>
      <c r="AD2814" s="20"/>
      <c r="AE2814" s="20"/>
    </row>
    <row r="2815">
      <c r="A2815" s="21">
        <v>67.0</v>
      </c>
      <c r="B2815" s="20" t="s">
        <v>5448</v>
      </c>
      <c r="C2815" s="20" t="s">
        <v>5854</v>
      </c>
      <c r="I2815" s="25" t="s">
        <v>1665</v>
      </c>
      <c r="J2815" s="25" t="s">
        <v>5449</v>
      </c>
      <c r="K2815" s="25" t="s">
        <v>71</v>
      </c>
      <c r="L2815" s="25" t="s">
        <v>3823</v>
      </c>
      <c r="M2815" s="20" t="s">
        <v>4665</v>
      </c>
      <c r="N2815" s="20" t="s">
        <v>4666</v>
      </c>
      <c r="O2815" s="20" t="s">
        <v>63</v>
      </c>
      <c r="P2815" s="20"/>
      <c r="Q2815" s="22"/>
      <c r="R2815" s="22"/>
      <c r="S2815" s="22"/>
      <c r="T2815" s="26"/>
      <c r="U2815" s="26"/>
      <c r="V2815" s="26"/>
      <c r="W2815" s="20"/>
      <c r="X2815" s="20"/>
      <c r="Y2815" s="20"/>
      <c r="Z2815" s="20"/>
      <c r="AA2815" s="20"/>
      <c r="AB2815" s="20"/>
      <c r="AC2815" s="20"/>
      <c r="AD2815" s="20"/>
      <c r="AE2815" s="20"/>
    </row>
    <row r="2816">
      <c r="A2816" s="21">
        <v>67.0</v>
      </c>
      <c r="B2816" s="20" t="s">
        <v>5448</v>
      </c>
      <c r="C2816" s="20" t="s">
        <v>5854</v>
      </c>
      <c r="I2816" s="25" t="s">
        <v>3477</v>
      </c>
      <c r="J2816" s="25" t="s">
        <v>5449</v>
      </c>
      <c r="K2816" s="25" t="s">
        <v>71</v>
      </c>
      <c r="L2816" s="25" t="s">
        <v>3888</v>
      </c>
      <c r="M2816" s="20" t="s">
        <v>61</v>
      </c>
      <c r="N2816" s="20" t="s">
        <v>5075</v>
      </c>
      <c r="O2816" s="20" t="s">
        <v>63</v>
      </c>
      <c r="P2816" s="20"/>
      <c r="Q2816" s="22"/>
      <c r="R2816" s="22"/>
      <c r="S2816" s="22"/>
      <c r="T2816" s="26"/>
      <c r="U2816" s="26"/>
      <c r="V2816" s="26"/>
      <c r="W2816" s="20"/>
      <c r="X2816" s="20"/>
      <c r="Y2816" s="20"/>
      <c r="Z2816" s="20"/>
      <c r="AA2816" s="20"/>
      <c r="AB2816" s="20"/>
      <c r="AC2816" s="20"/>
      <c r="AD2816" s="20"/>
      <c r="AE2816" s="20"/>
    </row>
    <row r="2817">
      <c r="A2817" s="21">
        <v>67.0</v>
      </c>
      <c r="B2817" s="20" t="s">
        <v>5448</v>
      </c>
      <c r="C2817" s="20" t="s">
        <v>5854</v>
      </c>
      <c r="I2817" s="25" t="s">
        <v>3528</v>
      </c>
      <c r="J2817" s="25" t="s">
        <v>5449</v>
      </c>
      <c r="K2817" s="25" t="s">
        <v>71</v>
      </c>
      <c r="L2817" s="25" t="s">
        <v>3823</v>
      </c>
      <c r="M2817" s="20" t="s">
        <v>5462</v>
      </c>
      <c r="N2817" s="20" t="s">
        <v>5463</v>
      </c>
      <c r="O2817" s="20" t="s">
        <v>63</v>
      </c>
      <c r="P2817" s="20"/>
      <c r="Q2817" s="22"/>
      <c r="R2817" s="22"/>
      <c r="S2817" s="22"/>
      <c r="T2817" s="26"/>
      <c r="U2817" s="26"/>
      <c r="V2817" s="26"/>
      <c r="W2817" s="20"/>
      <c r="X2817" s="20"/>
      <c r="Y2817" s="20"/>
      <c r="Z2817" s="20"/>
      <c r="AA2817" s="20"/>
      <c r="AB2817" s="20"/>
      <c r="AC2817" s="20"/>
      <c r="AD2817" s="20"/>
      <c r="AE2817" s="20"/>
    </row>
    <row r="2818">
      <c r="A2818" s="21">
        <v>67.0</v>
      </c>
      <c r="B2818" s="20" t="s">
        <v>5448</v>
      </c>
      <c r="C2818" s="20" t="s">
        <v>5854</v>
      </c>
      <c r="I2818" s="25" t="s">
        <v>4670</v>
      </c>
      <c r="J2818" s="25" t="s">
        <v>5449</v>
      </c>
      <c r="K2818" s="25" t="s">
        <v>71</v>
      </c>
      <c r="L2818" s="25" t="s">
        <v>6156</v>
      </c>
      <c r="M2818" s="20" t="s">
        <v>5102</v>
      </c>
      <c r="N2818" s="20" t="s">
        <v>5103</v>
      </c>
      <c r="O2818" s="20" t="s">
        <v>63</v>
      </c>
      <c r="P2818" s="20"/>
      <c r="Q2818" s="22"/>
      <c r="R2818" s="22"/>
      <c r="S2818" s="22"/>
      <c r="T2818" s="26"/>
      <c r="U2818" s="26"/>
      <c r="V2818" s="26"/>
      <c r="W2818" s="20"/>
      <c r="X2818" s="20"/>
      <c r="Y2818" s="20"/>
      <c r="Z2818" s="20"/>
      <c r="AA2818" s="20"/>
      <c r="AB2818" s="20"/>
      <c r="AC2818" s="20"/>
      <c r="AD2818" s="20"/>
      <c r="AE2818" s="20"/>
    </row>
    <row r="2819">
      <c r="A2819" s="21">
        <v>67.0</v>
      </c>
      <c r="B2819" s="20" t="s">
        <v>5448</v>
      </c>
      <c r="C2819" s="20" t="s">
        <v>5854</v>
      </c>
      <c r="I2819" s="25" t="s">
        <v>1300</v>
      </c>
      <c r="J2819" s="25" t="s">
        <v>5449</v>
      </c>
      <c r="K2819" s="25" t="s">
        <v>71</v>
      </c>
      <c r="L2819" s="25" t="s">
        <v>292</v>
      </c>
      <c r="M2819" s="20" t="s">
        <v>5464</v>
      </c>
      <c r="N2819" s="20" t="s">
        <v>5460</v>
      </c>
      <c r="O2819" s="20" t="s">
        <v>63</v>
      </c>
      <c r="P2819" s="20" t="s">
        <v>52</v>
      </c>
      <c r="Q2819" s="22"/>
      <c r="R2819" s="22"/>
      <c r="S2819" s="22"/>
      <c r="T2819" s="22"/>
      <c r="U2819" s="26"/>
      <c r="V2819" s="26"/>
      <c r="W2819" s="20"/>
      <c r="X2819" s="20"/>
      <c r="Y2819" s="20"/>
      <c r="Z2819" s="20"/>
      <c r="AA2819" s="20"/>
      <c r="AB2819" s="20"/>
      <c r="AC2819" s="20"/>
      <c r="AD2819" s="20"/>
      <c r="AE2819" s="20"/>
    </row>
    <row r="2820">
      <c r="A2820" s="21">
        <v>67.0</v>
      </c>
      <c r="B2820" s="20" t="s">
        <v>5448</v>
      </c>
      <c r="C2820" s="20" t="s">
        <v>5854</v>
      </c>
      <c r="I2820" s="25" t="s">
        <v>1896</v>
      </c>
      <c r="J2820" s="25" t="s">
        <v>5449</v>
      </c>
      <c r="K2820" s="25" t="s">
        <v>71</v>
      </c>
      <c r="L2820" s="25" t="s">
        <v>6156</v>
      </c>
      <c r="M2820" s="20" t="s">
        <v>5465</v>
      </c>
      <c r="N2820" s="20" t="s">
        <v>5466</v>
      </c>
      <c r="O2820" s="20" t="s">
        <v>63</v>
      </c>
      <c r="P2820" s="20"/>
      <c r="Q2820" s="22"/>
      <c r="R2820" s="22"/>
      <c r="S2820" s="22"/>
      <c r="T2820" s="20"/>
      <c r="U2820" s="26"/>
      <c r="V2820" s="26"/>
      <c r="W2820" s="20"/>
      <c r="X2820" s="20"/>
      <c r="Y2820" s="20"/>
      <c r="Z2820" s="20"/>
      <c r="AA2820" s="20"/>
      <c r="AB2820" s="20"/>
      <c r="AC2820" s="20"/>
      <c r="AD2820" s="20"/>
      <c r="AE2820" s="20"/>
    </row>
    <row r="2821">
      <c r="A2821" s="21">
        <v>67.0</v>
      </c>
      <c r="B2821" s="20" t="s">
        <v>5448</v>
      </c>
      <c r="C2821" s="20" t="s">
        <v>5854</v>
      </c>
      <c r="I2821" s="25" t="s">
        <v>68</v>
      </c>
      <c r="J2821" s="25" t="s">
        <v>5450</v>
      </c>
      <c r="K2821" s="25" t="s">
        <v>71</v>
      </c>
      <c r="L2821" s="25" t="s">
        <v>5499</v>
      </c>
      <c r="M2821" s="20" t="s">
        <v>69</v>
      </c>
      <c r="N2821" s="20" t="s">
        <v>5513</v>
      </c>
      <c r="O2821" s="20" t="s">
        <v>63</v>
      </c>
      <c r="P2821" s="20"/>
      <c r="Q2821" s="22"/>
      <c r="R2821" s="22"/>
      <c r="S2821" s="22"/>
      <c r="T2821" s="20"/>
      <c r="U2821" s="26"/>
      <c r="V2821" s="26"/>
      <c r="W2821" s="20"/>
      <c r="X2821" s="20"/>
      <c r="Y2821" s="20"/>
      <c r="Z2821" s="20"/>
      <c r="AA2821" s="20"/>
      <c r="AB2821" s="20"/>
      <c r="AC2821" s="20"/>
      <c r="AD2821" s="20"/>
      <c r="AE2821" s="20"/>
    </row>
    <row r="2822">
      <c r="A2822" s="21">
        <v>67.0</v>
      </c>
      <c r="B2822" s="20" t="s">
        <v>5448</v>
      </c>
      <c r="C2822" s="20" t="s">
        <v>5854</v>
      </c>
      <c r="I2822" s="25" t="s">
        <v>2657</v>
      </c>
      <c r="J2822" s="25" t="s">
        <v>5450</v>
      </c>
      <c r="K2822" s="25" t="s">
        <v>71</v>
      </c>
      <c r="L2822" s="25" t="s">
        <v>3823</v>
      </c>
      <c r="M2822" s="20" t="s">
        <v>3711</v>
      </c>
      <c r="N2822" s="20" t="s">
        <v>5514</v>
      </c>
      <c r="O2822" s="20" t="s">
        <v>63</v>
      </c>
      <c r="P2822" s="20"/>
      <c r="Q2822" s="22"/>
      <c r="R2822" s="22"/>
      <c r="S2822" s="22"/>
      <c r="T2822" s="20"/>
      <c r="U2822" s="26"/>
      <c r="V2822" s="26"/>
      <c r="W2822" s="20"/>
      <c r="X2822" s="20"/>
      <c r="Y2822" s="20"/>
      <c r="Z2822" s="20"/>
      <c r="AA2822" s="20"/>
      <c r="AB2822" s="20"/>
      <c r="AC2822" s="20"/>
      <c r="AD2822" s="20"/>
      <c r="AE2822" s="20"/>
    </row>
    <row r="2823">
      <c r="A2823" s="21">
        <v>67.0</v>
      </c>
      <c r="B2823" s="20" t="s">
        <v>5448</v>
      </c>
      <c r="C2823" s="20" t="s">
        <v>5854</v>
      </c>
      <c r="I2823" s="25" t="s">
        <v>4911</v>
      </c>
      <c r="J2823" s="25" t="s">
        <v>5449</v>
      </c>
      <c r="K2823" s="25" t="s">
        <v>71</v>
      </c>
      <c r="L2823" s="25" t="s">
        <v>3823</v>
      </c>
      <c r="M2823" s="20" t="s">
        <v>4912</v>
      </c>
      <c r="N2823" s="20" t="s">
        <v>5077</v>
      </c>
      <c r="O2823" s="20" t="s">
        <v>63</v>
      </c>
      <c r="P2823" s="20"/>
      <c r="Q2823" s="22"/>
      <c r="R2823" s="22"/>
      <c r="S2823" s="22"/>
      <c r="T2823" s="20"/>
      <c r="U2823" s="26"/>
      <c r="V2823" s="26"/>
      <c r="W2823" s="20"/>
      <c r="X2823" s="20"/>
      <c r="Y2823" s="20"/>
      <c r="Z2823" s="20"/>
      <c r="AA2823" s="20"/>
      <c r="AB2823" s="20"/>
      <c r="AC2823" s="20"/>
      <c r="AD2823" s="20"/>
      <c r="AE2823" s="20"/>
    </row>
    <row r="2824">
      <c r="A2824" s="21">
        <v>67.0</v>
      </c>
      <c r="B2824" s="20" t="s">
        <v>5448</v>
      </c>
      <c r="C2824" s="20" t="s">
        <v>5854</v>
      </c>
      <c r="I2824" s="25" t="s">
        <v>1946</v>
      </c>
      <c r="J2824" s="25" t="s">
        <v>5449</v>
      </c>
      <c r="K2824" s="25" t="s">
        <v>71</v>
      </c>
      <c r="L2824" s="25" t="s">
        <v>292</v>
      </c>
      <c r="M2824" s="20" t="s">
        <v>5243</v>
      </c>
      <c r="N2824" s="20" t="s">
        <v>5467</v>
      </c>
      <c r="O2824" s="20" t="s">
        <v>63</v>
      </c>
      <c r="P2824" s="20" t="s">
        <v>52</v>
      </c>
      <c r="Q2824" s="22"/>
      <c r="R2824" s="22"/>
      <c r="S2824" s="22"/>
      <c r="T2824" s="22"/>
      <c r="U2824" s="26"/>
      <c r="V2824" s="26"/>
      <c r="W2824" s="20"/>
      <c r="X2824" s="20"/>
      <c r="Y2824" s="20"/>
      <c r="Z2824" s="20"/>
      <c r="AA2824" s="20"/>
      <c r="AB2824" s="20"/>
      <c r="AC2824" s="20"/>
      <c r="AD2824" s="20"/>
      <c r="AE2824" s="20"/>
    </row>
    <row r="2825">
      <c r="A2825" s="21">
        <v>67.0</v>
      </c>
      <c r="B2825" s="20" t="s">
        <v>5448</v>
      </c>
      <c r="C2825" s="20" t="s">
        <v>5854</v>
      </c>
      <c r="I2825" s="25" t="s">
        <v>1716</v>
      </c>
      <c r="J2825" s="25" t="s">
        <v>5450</v>
      </c>
      <c r="K2825" s="25" t="s">
        <v>71</v>
      </c>
      <c r="L2825" s="25" t="s">
        <v>6157</v>
      </c>
      <c r="M2825" s="20" t="s">
        <v>61</v>
      </c>
      <c r="N2825" s="20" t="s">
        <v>3516</v>
      </c>
      <c r="O2825" s="20" t="s">
        <v>63</v>
      </c>
      <c r="P2825" s="20"/>
      <c r="Q2825" s="22"/>
      <c r="R2825" s="22"/>
      <c r="S2825" s="22"/>
      <c r="T2825" s="20"/>
      <c r="U2825" s="26"/>
      <c r="V2825" s="26"/>
      <c r="W2825" s="20"/>
      <c r="X2825" s="20"/>
      <c r="Y2825" s="20"/>
      <c r="Z2825" s="20"/>
      <c r="AA2825" s="20"/>
      <c r="AB2825" s="20"/>
      <c r="AC2825" s="20"/>
      <c r="AD2825" s="20"/>
      <c r="AE2825" s="20"/>
    </row>
    <row r="2826">
      <c r="A2826" s="21">
        <v>67.0</v>
      </c>
      <c r="B2826" s="20" t="s">
        <v>5448</v>
      </c>
      <c r="C2826" s="20" t="s">
        <v>5854</v>
      </c>
      <c r="I2826" s="25" t="s">
        <v>4445</v>
      </c>
      <c r="J2826" s="25" t="s">
        <v>5449</v>
      </c>
      <c r="K2826" s="25" t="s">
        <v>71</v>
      </c>
      <c r="L2826" s="25" t="s">
        <v>5499</v>
      </c>
      <c r="M2826" s="20" t="s">
        <v>61</v>
      </c>
      <c r="N2826" s="20" t="s">
        <v>5468</v>
      </c>
      <c r="O2826" s="20" t="s">
        <v>63</v>
      </c>
      <c r="P2826" s="20"/>
      <c r="Q2826" s="22"/>
      <c r="R2826" s="22"/>
      <c r="S2826" s="22"/>
      <c r="T2826" s="20"/>
      <c r="U2826" s="26"/>
      <c r="V2826" s="26"/>
      <c r="W2826" s="20"/>
      <c r="X2826" s="20"/>
      <c r="Y2826" s="20"/>
      <c r="Z2826" s="20"/>
      <c r="AA2826" s="20"/>
      <c r="AB2826" s="20"/>
      <c r="AC2826" s="20"/>
      <c r="AD2826" s="20"/>
      <c r="AE2826" s="20"/>
    </row>
    <row r="2827">
      <c r="A2827" s="21">
        <v>67.0</v>
      </c>
      <c r="B2827" s="20" t="s">
        <v>5448</v>
      </c>
      <c r="C2827" s="20" t="s">
        <v>5854</v>
      </c>
      <c r="I2827" s="25" t="s">
        <v>3165</v>
      </c>
      <c r="J2827" s="25" t="s">
        <v>5449</v>
      </c>
      <c r="K2827" s="25" t="s">
        <v>71</v>
      </c>
      <c r="L2827" s="25" t="s">
        <v>292</v>
      </c>
      <c r="M2827" s="20" t="s">
        <v>5470</v>
      </c>
      <c r="N2827" s="20" t="s">
        <v>5471</v>
      </c>
      <c r="O2827" s="20" t="s">
        <v>63</v>
      </c>
      <c r="P2827" s="20" t="s">
        <v>52</v>
      </c>
      <c r="Q2827" s="22"/>
      <c r="R2827" s="22"/>
      <c r="S2827" s="22"/>
      <c r="T2827" s="22"/>
      <c r="U2827" s="26"/>
      <c r="V2827" s="26"/>
      <c r="W2827" s="20"/>
      <c r="X2827" s="20"/>
      <c r="Y2827" s="20"/>
      <c r="Z2827" s="20"/>
      <c r="AA2827" s="20"/>
      <c r="AB2827" s="20"/>
      <c r="AC2827" s="20"/>
      <c r="AD2827" s="20"/>
      <c r="AE2827" s="20"/>
    </row>
    <row r="2828">
      <c r="A2828" s="21">
        <v>67.0</v>
      </c>
      <c r="B2828" s="20" t="s">
        <v>5448</v>
      </c>
      <c r="C2828" s="20" t="s">
        <v>5854</v>
      </c>
      <c r="I2828" s="25" t="s">
        <v>3517</v>
      </c>
      <c r="J2828" s="25" t="s">
        <v>5449</v>
      </c>
      <c r="K2828" s="25" t="s">
        <v>71</v>
      </c>
      <c r="L2828" s="25" t="s">
        <v>3888</v>
      </c>
      <c r="M2828" s="20" t="s">
        <v>5079</v>
      </c>
      <c r="N2828" s="20" t="s">
        <v>5080</v>
      </c>
      <c r="O2828" s="20" t="s">
        <v>63</v>
      </c>
      <c r="P2828" s="20"/>
      <c r="Q2828" s="22"/>
      <c r="R2828" s="22"/>
      <c r="S2828" s="22"/>
      <c r="T2828" s="20"/>
      <c r="U2828" s="26"/>
      <c r="V2828" s="26"/>
      <c r="W2828" s="20"/>
      <c r="X2828" s="20"/>
      <c r="Y2828" s="20"/>
      <c r="Z2828" s="20"/>
      <c r="AA2828" s="20"/>
      <c r="AB2828" s="20"/>
      <c r="AC2828" s="20"/>
      <c r="AD2828" s="20"/>
      <c r="AE2828" s="20"/>
    </row>
    <row r="2829">
      <c r="A2829" s="21">
        <v>67.0</v>
      </c>
      <c r="B2829" s="20" t="s">
        <v>5448</v>
      </c>
      <c r="C2829" s="20" t="s">
        <v>5854</v>
      </c>
      <c r="I2829" s="25" t="s">
        <v>1701</v>
      </c>
      <c r="J2829" s="25" t="s">
        <v>5449</v>
      </c>
      <c r="K2829" s="25" t="s">
        <v>71</v>
      </c>
      <c r="L2829" s="25" t="s">
        <v>3823</v>
      </c>
      <c r="M2829" s="20" t="s">
        <v>5472</v>
      </c>
      <c r="N2829" s="20" t="s">
        <v>5473</v>
      </c>
      <c r="O2829" s="20" t="s">
        <v>63</v>
      </c>
      <c r="P2829" s="20"/>
      <c r="Q2829" s="22"/>
      <c r="R2829" s="22"/>
      <c r="S2829" s="22"/>
      <c r="T2829" s="20"/>
      <c r="U2829" s="26"/>
      <c r="V2829" s="26"/>
      <c r="W2829" s="20"/>
      <c r="X2829" s="20"/>
      <c r="Y2829" s="20"/>
      <c r="Z2829" s="20"/>
      <c r="AA2829" s="20"/>
      <c r="AB2829" s="20"/>
      <c r="AC2829" s="20"/>
      <c r="AD2829" s="20"/>
      <c r="AE2829" s="20"/>
    </row>
    <row r="2830">
      <c r="A2830" s="21">
        <v>67.0</v>
      </c>
      <c r="B2830" s="20" t="s">
        <v>5448</v>
      </c>
      <c r="C2830" s="20" t="s">
        <v>5854</v>
      </c>
      <c r="I2830" s="25" t="s">
        <v>1839</v>
      </c>
      <c r="J2830" s="25" t="s">
        <v>5450</v>
      </c>
      <c r="K2830" s="25" t="s">
        <v>71</v>
      </c>
      <c r="L2830" s="25" t="s">
        <v>292</v>
      </c>
      <c r="M2830" s="20" t="s">
        <v>5516</v>
      </c>
      <c r="N2830" s="20" t="s">
        <v>5517</v>
      </c>
      <c r="O2830" s="20" t="s">
        <v>63</v>
      </c>
      <c r="P2830" s="20" t="s">
        <v>52</v>
      </c>
      <c r="Q2830" s="22"/>
      <c r="R2830" s="22"/>
      <c r="S2830" s="22"/>
      <c r="T2830" s="22"/>
      <c r="U2830" s="26"/>
      <c r="V2830" s="26"/>
      <c r="W2830" s="20"/>
      <c r="X2830" s="20"/>
      <c r="Y2830" s="20"/>
      <c r="Z2830" s="20"/>
      <c r="AA2830" s="20"/>
      <c r="AB2830" s="20"/>
      <c r="AC2830" s="20"/>
      <c r="AD2830" s="20"/>
      <c r="AE2830" s="20"/>
    </row>
    <row r="2831">
      <c r="A2831" s="21">
        <v>67.0</v>
      </c>
      <c r="B2831" s="20" t="s">
        <v>5448</v>
      </c>
      <c r="C2831" s="20" t="s">
        <v>5854</v>
      </c>
      <c r="I2831" s="25" t="s">
        <v>1669</v>
      </c>
      <c r="J2831" s="25" t="s">
        <v>5449</v>
      </c>
      <c r="K2831" s="25" t="s">
        <v>71</v>
      </c>
      <c r="L2831" s="25" t="s">
        <v>3823</v>
      </c>
      <c r="M2831" s="20" t="s">
        <v>5081</v>
      </c>
      <c r="N2831" s="20" t="s">
        <v>5082</v>
      </c>
      <c r="O2831" s="20" t="s">
        <v>63</v>
      </c>
      <c r="P2831" s="20"/>
      <c r="Q2831" s="22"/>
      <c r="R2831" s="22"/>
      <c r="S2831" s="22"/>
      <c r="T2831" s="20"/>
      <c r="U2831" s="26"/>
      <c r="V2831" s="26"/>
      <c r="W2831" s="20"/>
      <c r="X2831" s="20"/>
      <c r="Y2831" s="20"/>
      <c r="Z2831" s="20"/>
      <c r="AA2831" s="20"/>
      <c r="AB2831" s="20"/>
      <c r="AC2831" s="20"/>
      <c r="AD2831" s="20"/>
      <c r="AE2831" s="20"/>
    </row>
    <row r="2832">
      <c r="A2832" s="21">
        <v>67.0</v>
      </c>
      <c r="B2832" s="20" t="s">
        <v>5448</v>
      </c>
      <c r="C2832" s="20" t="s">
        <v>5854</v>
      </c>
      <c r="I2832" s="25" t="s">
        <v>3450</v>
      </c>
      <c r="J2832" s="25" t="s">
        <v>5449</v>
      </c>
      <c r="K2832" s="25" t="s">
        <v>71</v>
      </c>
      <c r="L2832" s="25" t="s">
        <v>6162</v>
      </c>
      <c r="M2832" s="20" t="s">
        <v>5144</v>
      </c>
      <c r="N2832" s="20" t="s">
        <v>5474</v>
      </c>
      <c r="O2832" s="20" t="s">
        <v>63</v>
      </c>
      <c r="P2832" s="20"/>
      <c r="Q2832" s="22"/>
      <c r="R2832" s="22"/>
      <c r="S2832" s="22"/>
      <c r="T2832" s="20"/>
      <c r="U2832" s="26"/>
      <c r="V2832" s="26"/>
      <c r="W2832" s="20"/>
      <c r="X2832" s="20"/>
      <c r="Y2832" s="20"/>
      <c r="Z2832" s="20"/>
      <c r="AA2832" s="20"/>
      <c r="AB2832" s="20"/>
      <c r="AC2832" s="20"/>
      <c r="AD2832" s="20"/>
      <c r="AE2832" s="20"/>
    </row>
    <row r="2833">
      <c r="A2833" s="21">
        <v>67.0</v>
      </c>
      <c r="B2833" s="20" t="s">
        <v>5448</v>
      </c>
      <c r="C2833" s="20" t="s">
        <v>5854</v>
      </c>
      <c r="I2833" s="25" t="s">
        <v>2072</v>
      </c>
      <c r="J2833" s="25" t="s">
        <v>5449</v>
      </c>
      <c r="K2833" s="25" t="s">
        <v>71</v>
      </c>
      <c r="L2833" s="25" t="s">
        <v>6156</v>
      </c>
      <c r="M2833" s="20" t="s">
        <v>2073</v>
      </c>
      <c r="N2833" s="20" t="s">
        <v>5476</v>
      </c>
      <c r="O2833" s="20" t="s">
        <v>63</v>
      </c>
      <c r="P2833" s="20"/>
      <c r="Q2833" s="22"/>
      <c r="R2833" s="22"/>
      <c r="S2833" s="22"/>
      <c r="T2833" s="20"/>
      <c r="U2833" s="26"/>
      <c r="V2833" s="26"/>
      <c r="W2833" s="20"/>
      <c r="X2833" s="20"/>
      <c r="Y2833" s="20"/>
      <c r="Z2833" s="20"/>
      <c r="AA2833" s="20"/>
      <c r="AB2833" s="20"/>
      <c r="AC2833" s="20"/>
      <c r="AD2833" s="20"/>
      <c r="AE2833" s="20"/>
    </row>
    <row r="2834">
      <c r="A2834" s="21">
        <v>67.0</v>
      </c>
      <c r="B2834" s="20" t="s">
        <v>5448</v>
      </c>
      <c r="C2834" s="20" t="s">
        <v>5854</v>
      </c>
      <c r="I2834" s="25" t="s">
        <v>2013</v>
      </c>
      <c r="J2834" s="25" t="s">
        <v>5449</v>
      </c>
      <c r="K2834" s="25" t="s">
        <v>71</v>
      </c>
      <c r="L2834" s="25" t="s">
        <v>292</v>
      </c>
      <c r="M2834" s="20" t="s">
        <v>5442</v>
      </c>
      <c r="N2834" s="20" t="s">
        <v>5477</v>
      </c>
      <c r="O2834" s="20" t="s">
        <v>63</v>
      </c>
      <c r="P2834" s="20" t="s">
        <v>52</v>
      </c>
      <c r="Q2834" s="22"/>
      <c r="R2834" s="22"/>
      <c r="S2834" s="22"/>
      <c r="T2834" s="22"/>
      <c r="U2834" s="26"/>
      <c r="V2834" s="26"/>
      <c r="W2834" s="20"/>
      <c r="X2834" s="20"/>
      <c r="Y2834" s="20"/>
      <c r="Z2834" s="20"/>
      <c r="AA2834" s="20"/>
      <c r="AB2834" s="20"/>
      <c r="AC2834" s="20"/>
      <c r="AD2834" s="20"/>
      <c r="AE2834" s="20"/>
    </row>
    <row r="2835">
      <c r="A2835" s="21">
        <v>67.0</v>
      </c>
      <c r="B2835" s="20" t="s">
        <v>5448</v>
      </c>
      <c r="C2835" s="20" t="s">
        <v>5854</v>
      </c>
      <c r="I2835" s="25" t="s">
        <v>78</v>
      </c>
      <c r="J2835" s="25" t="s">
        <v>5450</v>
      </c>
      <c r="K2835" s="25" t="s">
        <v>71</v>
      </c>
      <c r="L2835" s="25" t="s">
        <v>292</v>
      </c>
      <c r="M2835" s="20" t="s">
        <v>4547</v>
      </c>
      <c r="N2835" s="20" t="s">
        <v>5518</v>
      </c>
      <c r="O2835" s="20" t="s">
        <v>63</v>
      </c>
      <c r="P2835" s="20" t="s">
        <v>52</v>
      </c>
      <c r="Q2835" s="22"/>
      <c r="R2835" s="22"/>
      <c r="S2835" s="22"/>
      <c r="T2835" s="22"/>
      <c r="U2835" s="26"/>
      <c r="V2835" s="26"/>
      <c r="W2835" s="20"/>
      <c r="X2835" s="20"/>
      <c r="Y2835" s="20"/>
      <c r="Z2835" s="20"/>
      <c r="AA2835" s="20"/>
      <c r="AB2835" s="20"/>
      <c r="AC2835" s="20"/>
      <c r="AD2835" s="20"/>
      <c r="AE2835" s="20"/>
    </row>
    <row r="2836">
      <c r="A2836" s="21">
        <v>67.0</v>
      </c>
      <c r="B2836" s="20" t="s">
        <v>5448</v>
      </c>
      <c r="C2836" s="20" t="s">
        <v>5854</v>
      </c>
      <c r="I2836" s="25" t="s">
        <v>94</v>
      </c>
      <c r="J2836" s="25" t="s">
        <v>5450</v>
      </c>
      <c r="K2836" s="25" t="s">
        <v>71</v>
      </c>
      <c r="L2836" s="25" t="s">
        <v>5499</v>
      </c>
      <c r="M2836" s="20" t="s">
        <v>5519</v>
      </c>
      <c r="N2836" s="20" t="s">
        <v>5520</v>
      </c>
      <c r="O2836" s="20" t="s">
        <v>63</v>
      </c>
      <c r="P2836" s="20"/>
      <c r="Q2836" s="22"/>
      <c r="R2836" s="22"/>
      <c r="S2836" s="22"/>
      <c r="T2836" s="20"/>
      <c r="U2836" s="26"/>
      <c r="V2836" s="26"/>
      <c r="W2836" s="20"/>
      <c r="X2836" s="20"/>
      <c r="Y2836" s="20"/>
      <c r="Z2836" s="20"/>
      <c r="AA2836" s="20"/>
      <c r="AB2836" s="20"/>
      <c r="AC2836" s="20"/>
      <c r="AD2836" s="20"/>
      <c r="AE2836" s="20"/>
    </row>
    <row r="2837">
      <c r="A2837" s="21">
        <v>67.0</v>
      </c>
      <c r="B2837" s="20" t="s">
        <v>5448</v>
      </c>
      <c r="C2837" s="20" t="s">
        <v>5854</v>
      </c>
      <c r="I2837" s="25" t="s">
        <v>4664</v>
      </c>
      <c r="J2837" s="25" t="s">
        <v>5449</v>
      </c>
      <c r="K2837" s="25" t="s">
        <v>71</v>
      </c>
      <c r="L2837" s="25" t="s">
        <v>3823</v>
      </c>
      <c r="M2837" s="20" t="s">
        <v>4665</v>
      </c>
      <c r="N2837" s="20" t="s">
        <v>4666</v>
      </c>
      <c r="O2837" s="20" t="s">
        <v>63</v>
      </c>
      <c r="P2837" s="20"/>
      <c r="Q2837" s="22"/>
      <c r="R2837" s="22"/>
      <c r="S2837" s="22"/>
      <c r="T2837" s="20"/>
      <c r="U2837" s="26"/>
      <c r="V2837" s="26"/>
      <c r="W2837" s="20"/>
      <c r="X2837" s="20"/>
      <c r="Y2837" s="20"/>
      <c r="Z2837" s="20"/>
      <c r="AA2837" s="20"/>
      <c r="AB2837" s="20"/>
      <c r="AC2837" s="20"/>
      <c r="AD2837" s="20"/>
      <c r="AE2837" s="20"/>
    </row>
    <row r="2838">
      <c r="A2838" s="21">
        <v>67.0</v>
      </c>
      <c r="B2838" s="20" t="s">
        <v>5448</v>
      </c>
      <c r="C2838" s="20" t="s">
        <v>5854</v>
      </c>
      <c r="I2838" s="25" t="s">
        <v>1677</v>
      </c>
      <c r="J2838" s="25" t="s">
        <v>5449</v>
      </c>
      <c r="K2838" s="25" t="s">
        <v>71</v>
      </c>
      <c r="L2838" s="25" t="s">
        <v>3823</v>
      </c>
      <c r="M2838" s="20" t="s">
        <v>5031</v>
      </c>
      <c r="N2838" s="20" t="s">
        <v>5032</v>
      </c>
      <c r="O2838" s="20" t="s">
        <v>63</v>
      </c>
      <c r="P2838" s="20"/>
      <c r="Q2838" s="22"/>
      <c r="R2838" s="22"/>
      <c r="S2838" s="22"/>
      <c r="T2838" s="20"/>
      <c r="U2838" s="26"/>
      <c r="V2838" s="26"/>
      <c r="W2838" s="20"/>
      <c r="X2838" s="20"/>
      <c r="Y2838" s="20"/>
      <c r="Z2838" s="20"/>
      <c r="AA2838" s="20"/>
      <c r="AB2838" s="20"/>
      <c r="AC2838" s="20"/>
      <c r="AD2838" s="20"/>
      <c r="AE2838" s="20"/>
    </row>
    <row r="2839">
      <c r="A2839" s="21">
        <v>67.0</v>
      </c>
      <c r="B2839" s="20" t="s">
        <v>5448</v>
      </c>
      <c r="C2839" s="20" t="s">
        <v>5854</v>
      </c>
      <c r="I2839" s="25" t="s">
        <v>1884</v>
      </c>
      <c r="J2839" s="25" t="s">
        <v>5449</v>
      </c>
      <c r="K2839" s="25" t="s">
        <v>71</v>
      </c>
      <c r="L2839" s="25" t="s">
        <v>5499</v>
      </c>
      <c r="M2839" s="20" t="s">
        <v>4732</v>
      </c>
      <c r="N2839" s="20" t="s">
        <v>5083</v>
      </c>
      <c r="O2839" s="20" t="s">
        <v>63</v>
      </c>
      <c r="P2839" s="20"/>
      <c r="Q2839" s="22"/>
      <c r="R2839" s="22"/>
      <c r="S2839" s="22"/>
      <c r="T2839" s="20"/>
      <c r="U2839" s="26"/>
      <c r="V2839" s="26"/>
      <c r="W2839" s="20"/>
      <c r="X2839" s="20"/>
      <c r="Y2839" s="20"/>
      <c r="Z2839" s="20"/>
      <c r="AA2839" s="20"/>
      <c r="AB2839" s="20"/>
      <c r="AC2839" s="20"/>
      <c r="AD2839" s="20"/>
      <c r="AE2839" s="20"/>
    </row>
    <row r="2840">
      <c r="A2840" s="21">
        <v>67.0</v>
      </c>
      <c r="B2840" s="20" t="s">
        <v>5448</v>
      </c>
      <c r="C2840" s="20" t="s">
        <v>5854</v>
      </c>
      <c r="I2840" s="25" t="s">
        <v>3679</v>
      </c>
      <c r="J2840" s="25" t="s">
        <v>5449</v>
      </c>
      <c r="K2840" s="25" t="s">
        <v>71</v>
      </c>
      <c r="L2840" s="25" t="s">
        <v>292</v>
      </c>
      <c r="M2840" s="20" t="s">
        <v>5478</v>
      </c>
      <c r="N2840" s="20" t="s">
        <v>5479</v>
      </c>
      <c r="O2840" s="20" t="s">
        <v>63</v>
      </c>
      <c r="P2840" s="20" t="s">
        <v>52</v>
      </c>
      <c r="Q2840" s="22"/>
      <c r="R2840" s="22"/>
      <c r="S2840" s="22"/>
      <c r="T2840" s="22"/>
      <c r="U2840" s="26"/>
      <c r="V2840" s="26"/>
      <c r="W2840" s="20"/>
      <c r="X2840" s="20"/>
      <c r="Y2840" s="20"/>
      <c r="Z2840" s="20"/>
      <c r="AA2840" s="20"/>
      <c r="AB2840" s="20"/>
      <c r="AC2840" s="20"/>
      <c r="AD2840" s="20"/>
      <c r="AE2840" s="20"/>
    </row>
    <row r="2841">
      <c r="A2841" s="21">
        <v>67.0</v>
      </c>
      <c r="B2841" s="20" t="s">
        <v>5448</v>
      </c>
      <c r="C2841" s="20" t="s">
        <v>5854</v>
      </c>
      <c r="I2841" s="25" t="s">
        <v>4952</v>
      </c>
      <c r="J2841" s="25" t="s">
        <v>5449</v>
      </c>
      <c r="K2841" s="25" t="s">
        <v>71</v>
      </c>
      <c r="L2841" s="25" t="s">
        <v>3823</v>
      </c>
      <c r="M2841" s="20" t="s">
        <v>5480</v>
      </c>
      <c r="N2841" s="20" t="s">
        <v>5481</v>
      </c>
      <c r="O2841" s="20" t="s">
        <v>63</v>
      </c>
      <c r="P2841" s="20"/>
      <c r="Q2841" s="22"/>
      <c r="R2841" s="22"/>
      <c r="S2841" s="22"/>
      <c r="T2841" s="20"/>
      <c r="U2841" s="26"/>
      <c r="V2841" s="26"/>
      <c r="W2841" s="20"/>
      <c r="X2841" s="20"/>
      <c r="Y2841" s="20"/>
      <c r="Z2841" s="20"/>
      <c r="AA2841" s="20"/>
      <c r="AB2841" s="20"/>
      <c r="AC2841" s="20"/>
      <c r="AD2841" s="20"/>
      <c r="AE2841" s="20"/>
    </row>
    <row r="2842">
      <c r="A2842" s="21">
        <v>67.0</v>
      </c>
      <c r="B2842" s="20" t="s">
        <v>5448</v>
      </c>
      <c r="C2842" s="20" t="s">
        <v>5854</v>
      </c>
      <c r="I2842" s="25" t="s">
        <v>5172</v>
      </c>
      <c r="J2842" s="25" t="s">
        <v>5450</v>
      </c>
      <c r="K2842" s="25" t="s">
        <v>71</v>
      </c>
      <c r="L2842" s="25" t="s">
        <v>3823</v>
      </c>
      <c r="M2842" s="20" t="s">
        <v>5521</v>
      </c>
      <c r="N2842" s="20" t="s">
        <v>5522</v>
      </c>
      <c r="O2842" s="20" t="s">
        <v>63</v>
      </c>
      <c r="P2842" s="20"/>
      <c r="Q2842" s="22"/>
      <c r="R2842" s="22"/>
      <c r="S2842" s="22"/>
      <c r="T2842" s="20"/>
      <c r="U2842" s="26"/>
      <c r="V2842" s="26"/>
      <c r="W2842" s="20"/>
      <c r="X2842" s="20"/>
      <c r="Y2842" s="20"/>
      <c r="Z2842" s="20"/>
      <c r="AA2842" s="20"/>
      <c r="AB2842" s="20"/>
      <c r="AC2842" s="20"/>
      <c r="AD2842" s="20"/>
      <c r="AE2842" s="20"/>
    </row>
    <row r="2843">
      <c r="A2843" s="21">
        <v>67.0</v>
      </c>
      <c r="B2843" s="20" t="s">
        <v>5448</v>
      </c>
      <c r="C2843" s="20" t="s">
        <v>5854</v>
      </c>
      <c r="I2843" s="25" t="s">
        <v>3410</v>
      </c>
      <c r="J2843" s="25" t="s">
        <v>5449</v>
      </c>
      <c r="K2843" s="25" t="s">
        <v>71</v>
      </c>
      <c r="L2843" s="25" t="s">
        <v>3823</v>
      </c>
      <c r="M2843" s="20" t="s">
        <v>5084</v>
      </c>
      <c r="N2843" s="20" t="s">
        <v>5085</v>
      </c>
      <c r="O2843" s="20" t="s">
        <v>63</v>
      </c>
      <c r="P2843" s="20"/>
      <c r="Q2843" s="22"/>
      <c r="R2843" s="22"/>
      <c r="S2843" s="22"/>
      <c r="T2843" s="20"/>
      <c r="U2843" s="26"/>
      <c r="V2843" s="26"/>
      <c r="W2843" s="20"/>
      <c r="X2843" s="20"/>
      <c r="Y2843" s="20"/>
      <c r="Z2843" s="20"/>
      <c r="AA2843" s="20"/>
      <c r="AB2843" s="20"/>
      <c r="AC2843" s="20"/>
      <c r="AD2843" s="20"/>
      <c r="AE2843" s="20"/>
    </row>
    <row r="2844">
      <c r="A2844" s="21">
        <v>67.0</v>
      </c>
      <c r="B2844" s="20" t="s">
        <v>5448</v>
      </c>
      <c r="C2844" s="20" t="s">
        <v>5854</v>
      </c>
      <c r="I2844" s="25" t="s">
        <v>1643</v>
      </c>
      <c r="J2844" s="25" t="s">
        <v>5449</v>
      </c>
      <c r="K2844" s="25" t="s">
        <v>71</v>
      </c>
      <c r="L2844" s="25" t="s">
        <v>292</v>
      </c>
      <c r="M2844" s="20" t="s">
        <v>2141</v>
      </c>
      <c r="N2844" s="20" t="s">
        <v>4685</v>
      </c>
      <c r="O2844" s="20" t="s">
        <v>63</v>
      </c>
      <c r="P2844" s="20" t="s">
        <v>52</v>
      </c>
      <c r="Q2844" s="22"/>
      <c r="R2844" s="22"/>
      <c r="S2844" s="22"/>
      <c r="T2844" s="22"/>
      <c r="U2844" s="26"/>
      <c r="V2844" s="26"/>
      <c r="W2844" s="20"/>
      <c r="X2844" s="20"/>
      <c r="Y2844" s="20"/>
      <c r="Z2844" s="20"/>
      <c r="AA2844" s="20"/>
      <c r="AB2844" s="20"/>
      <c r="AC2844" s="20"/>
      <c r="AD2844" s="20"/>
      <c r="AE2844" s="20"/>
    </row>
    <row r="2845">
      <c r="A2845" s="21">
        <v>67.0</v>
      </c>
      <c r="B2845" s="20" t="s">
        <v>5448</v>
      </c>
      <c r="C2845" s="20" t="s">
        <v>5854</v>
      </c>
      <c r="I2845" s="25" t="s">
        <v>1255</v>
      </c>
      <c r="J2845" s="25" t="s">
        <v>5449</v>
      </c>
      <c r="K2845" s="25" t="s">
        <v>71</v>
      </c>
      <c r="L2845" s="25" t="s">
        <v>3823</v>
      </c>
      <c r="M2845" s="20" t="s">
        <v>3531</v>
      </c>
      <c r="N2845" s="20" t="s">
        <v>3712</v>
      </c>
      <c r="O2845" s="20" t="s">
        <v>63</v>
      </c>
      <c r="P2845" s="20"/>
      <c r="Q2845" s="22"/>
      <c r="R2845" s="22"/>
      <c r="S2845" s="22"/>
      <c r="T2845" s="20"/>
      <c r="U2845" s="26"/>
      <c r="V2845" s="26"/>
      <c r="W2845" s="20"/>
      <c r="X2845" s="20"/>
      <c r="Y2845" s="20"/>
      <c r="Z2845" s="20"/>
      <c r="AA2845" s="20"/>
      <c r="AB2845" s="20"/>
      <c r="AC2845" s="20"/>
      <c r="AD2845" s="20"/>
      <c r="AE2845" s="20"/>
    </row>
    <row r="2846">
      <c r="A2846" s="21">
        <v>67.0</v>
      </c>
      <c r="B2846" s="20" t="s">
        <v>5448</v>
      </c>
      <c r="C2846" s="20" t="s">
        <v>5854</v>
      </c>
      <c r="I2846" s="25" t="s">
        <v>3520</v>
      </c>
      <c r="J2846" s="25" t="s">
        <v>5449</v>
      </c>
      <c r="K2846" s="25" t="s">
        <v>71</v>
      </c>
      <c r="L2846" s="25" t="s">
        <v>292</v>
      </c>
      <c r="M2846" s="20" t="s">
        <v>5303</v>
      </c>
      <c r="N2846" s="20" t="s">
        <v>5485</v>
      </c>
      <c r="O2846" s="20" t="s">
        <v>63</v>
      </c>
      <c r="P2846" s="20" t="s">
        <v>52</v>
      </c>
      <c r="Q2846" s="22"/>
      <c r="R2846" s="22"/>
      <c r="S2846" s="22"/>
      <c r="T2846" s="22"/>
      <c r="U2846" s="26"/>
      <c r="V2846" s="26"/>
      <c r="W2846" s="20"/>
      <c r="X2846" s="20"/>
      <c r="Y2846" s="20"/>
      <c r="Z2846" s="20"/>
      <c r="AA2846" s="20"/>
      <c r="AB2846" s="20"/>
      <c r="AC2846" s="20"/>
      <c r="AD2846" s="20"/>
      <c r="AE2846" s="20"/>
    </row>
    <row r="2847">
      <c r="A2847" s="21">
        <v>67.0</v>
      </c>
      <c r="B2847" s="20" t="s">
        <v>5448</v>
      </c>
      <c r="C2847" s="20" t="s">
        <v>5854</v>
      </c>
      <c r="I2847" s="25" t="s">
        <v>3533</v>
      </c>
      <c r="J2847" s="25" t="s">
        <v>5449</v>
      </c>
      <c r="K2847" s="25" t="s">
        <v>71</v>
      </c>
      <c r="L2847" s="25" t="s">
        <v>3823</v>
      </c>
      <c r="M2847" s="20" t="s">
        <v>3534</v>
      </c>
      <c r="N2847" s="20" t="s">
        <v>5487</v>
      </c>
      <c r="O2847" s="20" t="s">
        <v>63</v>
      </c>
      <c r="P2847" s="20"/>
      <c r="Q2847" s="22"/>
      <c r="R2847" s="22"/>
      <c r="S2847" s="22"/>
      <c r="T2847" s="20"/>
      <c r="U2847" s="26"/>
      <c r="V2847" s="26"/>
      <c r="W2847" s="20"/>
      <c r="X2847" s="20"/>
      <c r="Y2847" s="20"/>
      <c r="Z2847" s="20"/>
      <c r="AA2847" s="20"/>
      <c r="AB2847" s="20"/>
      <c r="AC2847" s="20"/>
      <c r="AD2847" s="20"/>
      <c r="AE2847" s="20"/>
    </row>
    <row r="2848">
      <c r="A2848" s="21">
        <v>67.0</v>
      </c>
      <c r="B2848" s="20" t="s">
        <v>5448</v>
      </c>
      <c r="C2848" s="20" t="s">
        <v>5854</v>
      </c>
      <c r="I2848" s="25" t="s">
        <v>2595</v>
      </c>
      <c r="J2848" s="25" t="s">
        <v>5450</v>
      </c>
      <c r="K2848" s="25" t="s">
        <v>71</v>
      </c>
      <c r="L2848" s="25" t="s">
        <v>292</v>
      </c>
      <c r="M2848" s="20" t="s">
        <v>5374</v>
      </c>
      <c r="N2848" s="20" t="s">
        <v>5523</v>
      </c>
      <c r="O2848" s="20" t="s">
        <v>63</v>
      </c>
      <c r="P2848" s="20" t="s">
        <v>52</v>
      </c>
      <c r="Q2848" s="22"/>
      <c r="R2848" s="22"/>
      <c r="S2848" s="22"/>
      <c r="T2848" s="22"/>
      <c r="U2848" s="26"/>
      <c r="V2848" s="26"/>
      <c r="W2848" s="20"/>
      <c r="X2848" s="20"/>
      <c r="Y2848" s="20"/>
      <c r="Z2848" s="20"/>
      <c r="AA2848" s="20"/>
      <c r="AB2848" s="20"/>
      <c r="AC2848" s="20"/>
      <c r="AD2848" s="20"/>
      <c r="AE2848" s="20"/>
    </row>
    <row r="2849">
      <c r="A2849" s="21">
        <v>67.0</v>
      </c>
      <c r="B2849" s="20" t="s">
        <v>5448</v>
      </c>
      <c r="C2849" s="20" t="s">
        <v>5854</v>
      </c>
      <c r="I2849" s="25" t="s">
        <v>1319</v>
      </c>
      <c r="J2849" s="25" t="s">
        <v>5449</v>
      </c>
      <c r="K2849" s="25" t="s">
        <v>71</v>
      </c>
      <c r="L2849" s="25" t="s">
        <v>292</v>
      </c>
      <c r="M2849" s="20" t="s">
        <v>4004</v>
      </c>
      <c r="N2849" s="20" t="s">
        <v>4730</v>
      </c>
      <c r="O2849" s="20" t="s">
        <v>63</v>
      </c>
      <c r="P2849" s="20" t="s">
        <v>52</v>
      </c>
      <c r="Q2849" s="22"/>
      <c r="R2849" s="22"/>
      <c r="S2849" s="22"/>
      <c r="T2849" s="22"/>
      <c r="U2849" s="26"/>
      <c r="V2849" s="26"/>
      <c r="W2849" s="20"/>
      <c r="X2849" s="20"/>
      <c r="Y2849" s="20"/>
      <c r="Z2849" s="20"/>
      <c r="AA2849" s="20"/>
      <c r="AB2849" s="20"/>
      <c r="AC2849" s="20"/>
      <c r="AD2849" s="20"/>
      <c r="AE2849" s="20"/>
    </row>
    <row r="2850">
      <c r="A2850" s="21">
        <v>67.0</v>
      </c>
      <c r="B2850" s="20" t="s">
        <v>5448</v>
      </c>
      <c r="C2850" s="20" t="s">
        <v>5854</v>
      </c>
      <c r="I2850" s="25" t="s">
        <v>2680</v>
      </c>
      <c r="J2850" s="25" t="s">
        <v>5449</v>
      </c>
      <c r="K2850" s="25" t="s">
        <v>71</v>
      </c>
      <c r="L2850" s="25" t="s">
        <v>6156</v>
      </c>
      <c r="M2850" s="20" t="s">
        <v>5320</v>
      </c>
      <c r="N2850" s="20" t="s">
        <v>5488</v>
      </c>
      <c r="O2850" s="20" t="s">
        <v>63</v>
      </c>
      <c r="P2850" s="20"/>
      <c r="Q2850" s="22"/>
      <c r="R2850" s="22"/>
      <c r="S2850" s="22"/>
      <c r="T2850" s="20"/>
      <c r="U2850" s="26"/>
      <c r="V2850" s="26"/>
      <c r="W2850" s="20"/>
      <c r="X2850" s="20"/>
      <c r="Y2850" s="20"/>
      <c r="Z2850" s="20"/>
      <c r="AA2850" s="20"/>
      <c r="AB2850" s="20"/>
      <c r="AC2850" s="20"/>
      <c r="AD2850" s="20"/>
      <c r="AE2850" s="20"/>
    </row>
    <row r="2851">
      <c r="A2851" s="21">
        <v>67.0</v>
      </c>
      <c r="B2851" s="20" t="s">
        <v>5448</v>
      </c>
      <c r="C2851" s="20" t="s">
        <v>5854</v>
      </c>
      <c r="I2851" s="25" t="s">
        <v>3059</v>
      </c>
      <c r="J2851" s="25" t="s">
        <v>5449</v>
      </c>
      <c r="K2851" s="25" t="s">
        <v>71</v>
      </c>
      <c r="L2851" s="25" t="s">
        <v>5499</v>
      </c>
      <c r="M2851" s="20" t="s">
        <v>5038</v>
      </c>
      <c r="N2851" s="20" t="s">
        <v>3712</v>
      </c>
      <c r="O2851" s="20" t="s">
        <v>63</v>
      </c>
      <c r="P2851" s="20"/>
      <c r="Q2851" s="22"/>
      <c r="R2851" s="22"/>
      <c r="S2851" s="22"/>
      <c r="T2851" s="20"/>
      <c r="U2851" s="26"/>
      <c r="V2851" s="26"/>
      <c r="W2851" s="20"/>
      <c r="X2851" s="20"/>
      <c r="Y2851" s="20"/>
      <c r="Z2851" s="20"/>
      <c r="AA2851" s="20"/>
      <c r="AB2851" s="20"/>
      <c r="AC2851" s="20"/>
      <c r="AD2851" s="20"/>
      <c r="AE2851" s="20"/>
    </row>
    <row r="2852">
      <c r="A2852" s="21">
        <v>67.0</v>
      </c>
      <c r="B2852" s="20" t="s">
        <v>5448</v>
      </c>
      <c r="C2852" s="20" t="s">
        <v>5854</v>
      </c>
      <c r="I2852" s="25" t="s">
        <v>3640</v>
      </c>
      <c r="J2852" s="25" t="s">
        <v>5449</v>
      </c>
      <c r="K2852" s="25" t="s">
        <v>71</v>
      </c>
      <c r="L2852" s="25" t="s">
        <v>3823</v>
      </c>
      <c r="M2852" s="20" t="s">
        <v>3641</v>
      </c>
      <c r="N2852" s="20" t="s">
        <v>3642</v>
      </c>
      <c r="O2852" s="20" t="s">
        <v>63</v>
      </c>
      <c r="P2852" s="20"/>
      <c r="Q2852" s="22"/>
      <c r="R2852" s="22"/>
      <c r="S2852" s="22"/>
      <c r="T2852" s="26"/>
      <c r="U2852" s="26"/>
      <c r="V2852" s="26"/>
      <c r="W2852" s="20"/>
      <c r="X2852" s="20"/>
      <c r="Y2852" s="20"/>
      <c r="Z2852" s="20"/>
      <c r="AA2852" s="20"/>
      <c r="AB2852" s="20"/>
      <c r="AC2852" s="20"/>
      <c r="AD2852" s="20"/>
      <c r="AE2852" s="20"/>
    </row>
    <row r="2853">
      <c r="A2853" s="21">
        <v>67.0</v>
      </c>
      <c r="B2853" s="20" t="s">
        <v>5448</v>
      </c>
      <c r="C2853" s="20" t="s">
        <v>5854</v>
      </c>
      <c r="I2853" s="25" t="s">
        <v>3643</v>
      </c>
      <c r="J2853" s="25" t="s">
        <v>5449</v>
      </c>
      <c r="K2853" s="25" t="s">
        <v>71</v>
      </c>
      <c r="L2853" s="25" t="s">
        <v>3823</v>
      </c>
      <c r="M2853" s="20" t="s">
        <v>5088</v>
      </c>
      <c r="N2853" s="20" t="s">
        <v>5089</v>
      </c>
      <c r="O2853" s="20" t="s">
        <v>63</v>
      </c>
      <c r="P2853" s="20"/>
      <c r="Q2853" s="22"/>
      <c r="R2853" s="22"/>
      <c r="S2853" s="22"/>
      <c r="T2853" s="20"/>
      <c r="U2853" s="26"/>
      <c r="V2853" s="26"/>
      <c r="W2853" s="20"/>
      <c r="X2853" s="20"/>
      <c r="Y2853" s="20"/>
      <c r="Z2853" s="20"/>
      <c r="AA2853" s="20"/>
      <c r="AB2853" s="20"/>
      <c r="AC2853" s="20"/>
      <c r="AD2853" s="20"/>
      <c r="AE2853" s="20"/>
    </row>
    <row r="2854">
      <c r="A2854" s="21">
        <v>67.0</v>
      </c>
      <c r="B2854" s="20" t="s">
        <v>5448</v>
      </c>
      <c r="C2854" s="20" t="s">
        <v>5854</v>
      </c>
      <c r="I2854" s="25" t="s">
        <v>3498</v>
      </c>
      <c r="J2854" s="25" t="s">
        <v>5449</v>
      </c>
      <c r="K2854" s="25" t="s">
        <v>71</v>
      </c>
      <c r="L2854" s="25" t="s">
        <v>5332</v>
      </c>
      <c r="M2854" s="20" t="s">
        <v>3499</v>
      </c>
      <c r="N2854" s="20" t="s">
        <v>5090</v>
      </c>
      <c r="O2854" s="20" t="s">
        <v>63</v>
      </c>
      <c r="P2854" s="20" t="s">
        <v>52</v>
      </c>
      <c r="Q2854" s="22"/>
      <c r="R2854" s="22"/>
      <c r="S2854" s="22"/>
      <c r="T2854" s="26"/>
      <c r="U2854" s="26"/>
      <c r="V2854" s="26"/>
      <c r="W2854" s="20"/>
      <c r="X2854" s="20"/>
      <c r="Y2854" s="20"/>
      <c r="Z2854" s="20"/>
      <c r="AA2854" s="20"/>
      <c r="AB2854" s="20"/>
      <c r="AC2854" s="20"/>
      <c r="AD2854" s="20"/>
      <c r="AE2854" s="20"/>
    </row>
    <row r="2855">
      <c r="A2855" s="21">
        <v>67.0</v>
      </c>
      <c r="B2855" s="20" t="s">
        <v>5448</v>
      </c>
      <c r="C2855" s="20" t="s">
        <v>5854</v>
      </c>
      <c r="I2855" s="25" t="s">
        <v>1335</v>
      </c>
      <c r="J2855" s="25" t="s">
        <v>5450</v>
      </c>
      <c r="K2855" s="25" t="s">
        <v>71</v>
      </c>
      <c r="L2855" s="25" t="s">
        <v>292</v>
      </c>
      <c r="M2855" s="20" t="s">
        <v>4007</v>
      </c>
      <c r="N2855" s="20" t="s">
        <v>5116</v>
      </c>
      <c r="O2855" s="20" t="s">
        <v>63</v>
      </c>
      <c r="P2855" s="20" t="s">
        <v>52</v>
      </c>
      <c r="Q2855" s="22"/>
      <c r="R2855" s="22"/>
      <c r="S2855" s="22"/>
      <c r="T2855" s="22"/>
      <c r="U2855" s="26"/>
      <c r="V2855" s="26"/>
      <c r="W2855" s="20"/>
      <c r="X2855" s="20"/>
      <c r="Y2855" s="20"/>
      <c r="Z2855" s="20"/>
      <c r="AA2855" s="20"/>
      <c r="AB2855" s="20"/>
      <c r="AC2855" s="20"/>
      <c r="AD2855" s="20"/>
      <c r="AE2855" s="20"/>
    </row>
    <row r="2856">
      <c r="A2856" s="21">
        <v>67.0</v>
      </c>
      <c r="B2856" s="20" t="s">
        <v>5448</v>
      </c>
      <c r="C2856" s="20" t="s">
        <v>5854</v>
      </c>
      <c r="I2856" s="25" t="s">
        <v>4959</v>
      </c>
      <c r="J2856" s="25" t="s">
        <v>5449</v>
      </c>
      <c r="K2856" s="25" t="s">
        <v>71</v>
      </c>
      <c r="L2856" s="25" t="s">
        <v>5333</v>
      </c>
      <c r="M2856" s="20" t="s">
        <v>5091</v>
      </c>
      <c r="N2856" s="20" t="s">
        <v>5092</v>
      </c>
      <c r="O2856" s="20" t="s">
        <v>63</v>
      </c>
      <c r="P2856" s="20" t="s">
        <v>52</v>
      </c>
      <c r="Q2856" s="22"/>
      <c r="R2856" s="22"/>
      <c r="S2856" s="22"/>
      <c r="T2856" s="20"/>
      <c r="U2856" s="26"/>
      <c r="V2856" s="26"/>
      <c r="W2856" s="20"/>
      <c r="X2856" s="20"/>
      <c r="Y2856" s="20"/>
      <c r="Z2856" s="20"/>
      <c r="AA2856" s="20"/>
      <c r="AB2856" s="20"/>
      <c r="AC2856" s="20"/>
      <c r="AD2856" s="20"/>
      <c r="AE2856" s="20"/>
    </row>
    <row r="2857">
      <c r="A2857" s="21">
        <v>67.0</v>
      </c>
      <c r="B2857" s="20" t="s">
        <v>5448</v>
      </c>
      <c r="C2857" s="20" t="s">
        <v>5854</v>
      </c>
      <c r="I2857" s="25" t="s">
        <v>1475</v>
      </c>
      <c r="J2857" s="25" t="s">
        <v>5450</v>
      </c>
      <c r="K2857" s="25" t="s">
        <v>71</v>
      </c>
      <c r="L2857" s="25" t="s">
        <v>3908</v>
      </c>
      <c r="M2857" s="20" t="s">
        <v>5524</v>
      </c>
      <c r="N2857" s="20" t="s">
        <v>5525</v>
      </c>
      <c r="O2857" s="20" t="s">
        <v>63</v>
      </c>
      <c r="P2857" s="20" t="s">
        <v>52</v>
      </c>
      <c r="Q2857" s="22"/>
      <c r="R2857" s="22"/>
      <c r="S2857" s="22"/>
      <c r="T2857" s="20"/>
      <c r="U2857" s="26"/>
      <c r="V2857" s="26"/>
      <c r="W2857" s="20"/>
      <c r="X2857" s="20"/>
      <c r="Y2857" s="20"/>
      <c r="Z2857" s="20"/>
      <c r="AA2857" s="20"/>
      <c r="AB2857" s="20"/>
      <c r="AC2857" s="20"/>
      <c r="AD2857" s="20"/>
      <c r="AE2857" s="20"/>
    </row>
    <row r="2858">
      <c r="A2858" s="21">
        <v>67.0</v>
      </c>
      <c r="B2858" s="20" t="s">
        <v>5448</v>
      </c>
      <c r="C2858" s="20" t="s">
        <v>5854</v>
      </c>
      <c r="I2858" s="25" t="s">
        <v>2759</v>
      </c>
      <c r="J2858" s="25" t="s">
        <v>5449</v>
      </c>
      <c r="K2858" s="25" t="s">
        <v>71</v>
      </c>
      <c r="L2858" s="25" t="s">
        <v>3908</v>
      </c>
      <c r="M2858" s="20" t="s">
        <v>3508</v>
      </c>
      <c r="N2858" s="20" t="s">
        <v>5093</v>
      </c>
      <c r="O2858" s="20" t="s">
        <v>63</v>
      </c>
      <c r="P2858" s="20" t="s">
        <v>52</v>
      </c>
      <c r="Q2858" s="22"/>
      <c r="R2858" s="22"/>
      <c r="S2858" s="22"/>
      <c r="T2858" s="20"/>
      <c r="U2858" s="26"/>
      <c r="V2858" s="26"/>
      <c r="W2858" s="20"/>
      <c r="X2858" s="20"/>
      <c r="Y2858" s="20"/>
      <c r="Z2858" s="20"/>
      <c r="AA2858" s="20"/>
      <c r="AB2858" s="20"/>
      <c r="AC2858" s="20"/>
      <c r="AD2858" s="20"/>
      <c r="AE2858" s="20"/>
    </row>
    <row r="2859">
      <c r="A2859" s="21">
        <v>67.0</v>
      </c>
      <c r="B2859" s="20" t="s">
        <v>5448</v>
      </c>
      <c r="C2859" s="20" t="s">
        <v>5854</v>
      </c>
      <c r="I2859" s="25" t="s">
        <v>341</v>
      </c>
      <c r="J2859" s="25" t="s">
        <v>5450</v>
      </c>
      <c r="K2859" s="25" t="s">
        <v>71</v>
      </c>
      <c r="L2859" s="25" t="s">
        <v>292</v>
      </c>
      <c r="M2859" s="20" t="s">
        <v>5526</v>
      </c>
      <c r="N2859" s="20" t="s">
        <v>5517</v>
      </c>
      <c r="O2859" s="20" t="s">
        <v>63</v>
      </c>
      <c r="P2859" s="20" t="s">
        <v>52</v>
      </c>
      <c r="Q2859" s="22"/>
      <c r="R2859" s="22"/>
      <c r="S2859" s="22"/>
      <c r="T2859" s="22"/>
      <c r="U2859" s="26"/>
      <c r="V2859" s="26"/>
      <c r="W2859" s="20"/>
      <c r="X2859" s="20"/>
      <c r="Y2859" s="20"/>
      <c r="Z2859" s="20"/>
      <c r="AA2859" s="20"/>
      <c r="AB2859" s="20"/>
      <c r="AC2859" s="20"/>
      <c r="AD2859" s="20"/>
      <c r="AE2859" s="20"/>
    </row>
    <row r="2860">
      <c r="A2860" s="21">
        <v>67.0</v>
      </c>
      <c r="B2860" s="20" t="s">
        <v>5448</v>
      </c>
      <c r="C2860" s="20" t="s">
        <v>5854</v>
      </c>
      <c r="I2860" s="25" t="s">
        <v>4055</v>
      </c>
      <c r="J2860" s="25" t="s">
        <v>5450</v>
      </c>
      <c r="K2860" s="25" t="s">
        <v>71</v>
      </c>
      <c r="L2860" s="25" t="s">
        <v>292</v>
      </c>
      <c r="M2860" s="20" t="s">
        <v>4745</v>
      </c>
      <c r="N2860" s="20" t="s">
        <v>5527</v>
      </c>
      <c r="O2860" s="20" t="s">
        <v>63</v>
      </c>
      <c r="P2860" s="20" t="s">
        <v>52</v>
      </c>
      <c r="Q2860" s="22"/>
      <c r="R2860" s="22"/>
      <c r="S2860" s="22"/>
      <c r="T2860" s="22"/>
      <c r="U2860" s="26"/>
      <c r="V2860" s="26"/>
      <c r="W2860" s="20"/>
      <c r="X2860" s="20"/>
      <c r="Y2860" s="20"/>
      <c r="Z2860" s="20"/>
      <c r="AA2860" s="20"/>
      <c r="AB2860" s="20"/>
      <c r="AC2860" s="20"/>
      <c r="AD2860" s="20"/>
      <c r="AE2860" s="20"/>
    </row>
    <row r="2861">
      <c r="A2861" s="21">
        <v>67.0</v>
      </c>
      <c r="B2861" s="20" t="s">
        <v>5448</v>
      </c>
      <c r="C2861" s="20" t="s">
        <v>5854</v>
      </c>
      <c r="I2861" s="25" t="s">
        <v>2793</v>
      </c>
      <c r="J2861" s="25" t="s">
        <v>5449</v>
      </c>
      <c r="K2861" s="25" t="s">
        <v>71</v>
      </c>
      <c r="L2861" s="25" t="s">
        <v>292</v>
      </c>
      <c r="M2861" s="20" t="s">
        <v>4482</v>
      </c>
      <c r="N2861" s="20" t="s">
        <v>4965</v>
      </c>
      <c r="O2861" s="20" t="s">
        <v>63</v>
      </c>
      <c r="P2861" s="20" t="s">
        <v>52</v>
      </c>
      <c r="Q2861" s="22"/>
      <c r="R2861" s="22"/>
      <c r="S2861" s="22"/>
      <c r="T2861" s="22"/>
      <c r="U2861" s="26"/>
      <c r="V2861" s="26"/>
      <c r="W2861" s="20"/>
      <c r="X2861" s="20"/>
      <c r="Y2861" s="20"/>
      <c r="Z2861" s="20"/>
      <c r="AA2861" s="20"/>
      <c r="AB2861" s="20"/>
      <c r="AC2861" s="20"/>
      <c r="AD2861" s="20"/>
      <c r="AE2861" s="20"/>
    </row>
    <row r="2862">
      <c r="A2862" s="21">
        <v>67.0</v>
      </c>
      <c r="B2862" s="20" t="s">
        <v>5448</v>
      </c>
      <c r="C2862" s="20" t="s">
        <v>5854</v>
      </c>
      <c r="I2862" s="25" t="s">
        <v>724</v>
      </c>
      <c r="J2862" s="25" t="s">
        <v>5449</v>
      </c>
      <c r="K2862" s="25" t="s">
        <v>71</v>
      </c>
      <c r="L2862" s="25" t="s">
        <v>292</v>
      </c>
      <c r="M2862" s="20" t="s">
        <v>1626</v>
      </c>
      <c r="N2862" s="20" t="s">
        <v>4685</v>
      </c>
      <c r="O2862" s="20" t="s">
        <v>63</v>
      </c>
      <c r="P2862" s="20" t="s">
        <v>52</v>
      </c>
      <c r="Q2862" s="22"/>
      <c r="R2862" s="22"/>
      <c r="S2862" s="22"/>
      <c r="T2862" s="22"/>
      <c r="U2862" s="26"/>
      <c r="V2862" s="26"/>
      <c r="W2862" s="20"/>
      <c r="X2862" s="20"/>
      <c r="Y2862" s="20"/>
      <c r="Z2862" s="20"/>
      <c r="AA2862" s="20"/>
      <c r="AB2862" s="20"/>
      <c r="AC2862" s="20"/>
      <c r="AD2862" s="20"/>
      <c r="AE2862" s="20"/>
    </row>
    <row r="2863">
      <c r="A2863" s="21">
        <v>67.0</v>
      </c>
      <c r="B2863" s="20" t="s">
        <v>5448</v>
      </c>
      <c r="C2863" s="20" t="s">
        <v>5854</v>
      </c>
      <c r="I2863" s="25" t="s">
        <v>1119</v>
      </c>
      <c r="J2863" s="25" t="s">
        <v>5449</v>
      </c>
      <c r="K2863" s="25" t="s">
        <v>71</v>
      </c>
      <c r="L2863" s="25" t="s">
        <v>292</v>
      </c>
      <c r="M2863" s="20" t="s">
        <v>1915</v>
      </c>
      <c r="N2863" s="20" t="s">
        <v>1916</v>
      </c>
      <c r="O2863" s="20" t="s">
        <v>63</v>
      </c>
      <c r="P2863" s="20" t="s">
        <v>52</v>
      </c>
      <c r="Q2863" s="22"/>
      <c r="R2863" s="22"/>
      <c r="S2863" s="22"/>
      <c r="T2863" s="22"/>
      <c r="U2863" s="26"/>
      <c r="V2863" s="26"/>
      <c r="W2863" s="20"/>
      <c r="X2863" s="20"/>
      <c r="Y2863" s="20"/>
      <c r="Z2863" s="20"/>
      <c r="AA2863" s="20"/>
      <c r="AB2863" s="20"/>
      <c r="AC2863" s="20"/>
      <c r="AD2863" s="20"/>
      <c r="AE2863" s="20"/>
    </row>
    <row r="2864">
      <c r="A2864" s="21">
        <v>67.0</v>
      </c>
      <c r="B2864" s="20" t="s">
        <v>5448</v>
      </c>
      <c r="C2864" s="20" t="s">
        <v>5854</v>
      </c>
      <c r="I2864" s="25" t="s">
        <v>3348</v>
      </c>
      <c r="J2864" s="25" t="s">
        <v>5449</v>
      </c>
      <c r="K2864" s="25" t="s">
        <v>71</v>
      </c>
      <c r="L2864" s="25" t="s">
        <v>3910</v>
      </c>
      <c r="M2864" s="20" t="s">
        <v>3349</v>
      </c>
      <c r="N2864" s="20" t="s">
        <v>5097</v>
      </c>
      <c r="O2864" s="20" t="s">
        <v>63</v>
      </c>
      <c r="P2864" s="20" t="s">
        <v>52</v>
      </c>
      <c r="Q2864" s="22"/>
      <c r="R2864" s="22"/>
      <c r="S2864" s="22"/>
      <c r="T2864" s="20"/>
      <c r="U2864" s="26"/>
      <c r="V2864" s="26"/>
      <c r="W2864" s="20"/>
      <c r="X2864" s="20"/>
      <c r="Y2864" s="20"/>
      <c r="Z2864" s="20"/>
      <c r="AA2864" s="20"/>
      <c r="AB2864" s="20"/>
      <c r="AC2864" s="20"/>
      <c r="AD2864" s="20"/>
      <c r="AE2864" s="20"/>
    </row>
    <row r="2865">
      <c r="A2865" s="21">
        <v>67.0</v>
      </c>
      <c r="B2865" s="20" t="s">
        <v>5448</v>
      </c>
      <c r="C2865" s="20" t="s">
        <v>5854</v>
      </c>
      <c r="I2865" s="25" t="s">
        <v>3328</v>
      </c>
      <c r="J2865" s="25" t="s">
        <v>5449</v>
      </c>
      <c r="K2865" s="25" t="s">
        <v>71</v>
      </c>
      <c r="L2865" s="25" t="s">
        <v>3910</v>
      </c>
      <c r="M2865" s="20" t="s">
        <v>3538</v>
      </c>
      <c r="N2865" s="20" t="s">
        <v>5098</v>
      </c>
      <c r="O2865" s="20" t="s">
        <v>63</v>
      </c>
      <c r="P2865" s="20" t="s">
        <v>52</v>
      </c>
      <c r="Q2865" s="22"/>
      <c r="R2865" s="22"/>
      <c r="S2865" s="22"/>
      <c r="T2865" s="20"/>
      <c r="U2865" s="26"/>
      <c r="V2865" s="26"/>
      <c r="W2865" s="20"/>
      <c r="X2865" s="20"/>
      <c r="Y2865" s="20"/>
      <c r="Z2865" s="20"/>
      <c r="AA2865" s="20"/>
      <c r="AB2865" s="20"/>
      <c r="AC2865" s="20"/>
      <c r="AD2865" s="20"/>
      <c r="AE2865" s="20"/>
    </row>
    <row r="2866">
      <c r="A2866" s="21">
        <v>67.0</v>
      </c>
      <c r="B2866" s="20" t="s">
        <v>5448</v>
      </c>
      <c r="C2866" s="20" t="s">
        <v>5854</v>
      </c>
      <c r="I2866" s="25" t="s">
        <v>1405</v>
      </c>
      <c r="J2866" s="25" t="s">
        <v>5449</v>
      </c>
      <c r="K2866" s="25" t="s">
        <v>71</v>
      </c>
      <c r="L2866" s="25" t="s">
        <v>292</v>
      </c>
      <c r="M2866" s="20" t="s">
        <v>5491</v>
      </c>
      <c r="N2866" s="20" t="s">
        <v>5492</v>
      </c>
      <c r="O2866" s="20" t="s">
        <v>63</v>
      </c>
      <c r="P2866" s="20" t="s">
        <v>52</v>
      </c>
      <c r="Q2866" s="22"/>
      <c r="R2866" s="22"/>
      <c r="S2866" s="22"/>
      <c r="T2866" s="22"/>
      <c r="U2866" s="26"/>
      <c r="V2866" s="26"/>
      <c r="W2866" s="20"/>
      <c r="X2866" s="20"/>
      <c r="Y2866" s="20"/>
      <c r="Z2866" s="20"/>
      <c r="AA2866" s="20"/>
      <c r="AB2866" s="20"/>
      <c r="AC2866" s="20"/>
      <c r="AD2866" s="20"/>
      <c r="AE2866" s="20"/>
    </row>
    <row r="2867">
      <c r="A2867" s="21">
        <v>67.0</v>
      </c>
      <c r="B2867" s="20" t="s">
        <v>5448</v>
      </c>
      <c r="C2867" s="20" t="s">
        <v>5854</v>
      </c>
      <c r="I2867" s="25" t="s">
        <v>3339</v>
      </c>
      <c r="J2867" s="25" t="s">
        <v>5449</v>
      </c>
      <c r="K2867" s="25" t="s">
        <v>71</v>
      </c>
      <c r="L2867" s="25" t="s">
        <v>5599</v>
      </c>
      <c r="M2867" s="20" t="s">
        <v>3340</v>
      </c>
      <c r="N2867" s="20" t="s">
        <v>5453</v>
      </c>
      <c r="O2867" s="20" t="s">
        <v>63</v>
      </c>
      <c r="P2867" s="20" t="s">
        <v>52</v>
      </c>
      <c r="Q2867" s="22"/>
      <c r="R2867" s="22"/>
      <c r="S2867" s="22"/>
      <c r="T2867" s="20"/>
      <c r="U2867" s="26"/>
      <c r="V2867" s="26"/>
      <c r="W2867" s="20"/>
      <c r="X2867" s="20"/>
      <c r="Y2867" s="20"/>
      <c r="Z2867" s="20"/>
      <c r="AA2867" s="20"/>
      <c r="AB2867" s="20"/>
      <c r="AC2867" s="20"/>
      <c r="AD2867" s="20"/>
      <c r="AE2867" s="20"/>
    </row>
    <row r="2868">
      <c r="A2868" s="21">
        <v>67.0</v>
      </c>
      <c r="B2868" s="20" t="s">
        <v>5448</v>
      </c>
      <c r="C2868" s="20" t="s">
        <v>5854</v>
      </c>
      <c r="I2868" s="25" t="s">
        <v>894</v>
      </c>
      <c r="J2868" s="25" t="s">
        <v>5449</v>
      </c>
      <c r="K2868" s="25" t="s">
        <v>71</v>
      </c>
      <c r="L2868" s="25" t="s">
        <v>3910</v>
      </c>
      <c r="M2868" s="20" t="s">
        <v>3510</v>
      </c>
      <c r="N2868" s="20" t="s">
        <v>5099</v>
      </c>
      <c r="O2868" s="20" t="s">
        <v>63</v>
      </c>
      <c r="P2868" s="20" t="s">
        <v>52</v>
      </c>
      <c r="Q2868" s="22"/>
      <c r="R2868" s="22"/>
      <c r="S2868" s="22"/>
      <c r="T2868" s="20"/>
      <c r="U2868" s="26"/>
      <c r="V2868" s="26"/>
      <c r="W2868" s="20"/>
      <c r="X2868" s="20"/>
      <c r="Y2868" s="20"/>
      <c r="Z2868" s="20"/>
      <c r="AA2868" s="20"/>
      <c r="AB2868" s="20"/>
      <c r="AC2868" s="20"/>
      <c r="AD2868" s="20"/>
      <c r="AE2868" s="20"/>
    </row>
    <row r="2869">
      <c r="A2869" s="21">
        <v>67.0</v>
      </c>
      <c r="B2869" s="20" t="s">
        <v>5448</v>
      </c>
      <c r="C2869" s="20" t="s">
        <v>5854</v>
      </c>
      <c r="I2869" s="25" t="s">
        <v>3543</v>
      </c>
      <c r="J2869" s="25" t="s">
        <v>5449</v>
      </c>
      <c r="K2869" s="25" t="s">
        <v>71</v>
      </c>
      <c r="L2869" s="25" t="s">
        <v>3916</v>
      </c>
      <c r="M2869" s="20" t="s">
        <v>5100</v>
      </c>
      <c r="N2869" s="20" t="s">
        <v>5101</v>
      </c>
      <c r="O2869" s="20" t="s">
        <v>63</v>
      </c>
      <c r="P2869" s="20" t="s">
        <v>52</v>
      </c>
      <c r="Q2869" s="22"/>
      <c r="R2869" s="22"/>
      <c r="S2869" s="22"/>
      <c r="T2869" s="20"/>
      <c r="U2869" s="26"/>
      <c r="V2869" s="26"/>
      <c r="W2869" s="20"/>
      <c r="X2869" s="20"/>
      <c r="Y2869" s="20"/>
      <c r="Z2869" s="20"/>
      <c r="AA2869" s="20"/>
      <c r="AB2869" s="20"/>
      <c r="AC2869" s="20"/>
      <c r="AD2869" s="20"/>
      <c r="AE2869" s="20"/>
    </row>
    <row r="2870">
      <c r="A2870" s="21">
        <v>67.0</v>
      </c>
      <c r="B2870" s="20" t="s">
        <v>5448</v>
      </c>
      <c r="C2870" s="20" t="s">
        <v>5854</v>
      </c>
      <c r="I2870" s="25" t="s">
        <v>270</v>
      </c>
      <c r="J2870" s="25" t="s">
        <v>5450</v>
      </c>
      <c r="K2870" s="25" t="s">
        <v>71</v>
      </c>
      <c r="L2870" s="25" t="s">
        <v>292</v>
      </c>
      <c r="M2870" s="20" t="s">
        <v>5528</v>
      </c>
      <c r="N2870" s="20" t="s">
        <v>5517</v>
      </c>
      <c r="O2870" s="20" t="s">
        <v>63</v>
      </c>
      <c r="P2870" s="20" t="s">
        <v>52</v>
      </c>
      <c r="Q2870" s="22"/>
      <c r="R2870" s="22"/>
      <c r="S2870" s="22"/>
      <c r="T2870" s="22"/>
      <c r="U2870" s="26"/>
      <c r="V2870" s="26"/>
      <c r="W2870" s="20"/>
      <c r="X2870" s="20"/>
      <c r="Y2870" s="20"/>
      <c r="Z2870" s="20"/>
      <c r="AA2870" s="20"/>
      <c r="AB2870" s="20"/>
      <c r="AC2870" s="20"/>
      <c r="AD2870" s="20"/>
      <c r="AE2870" s="20"/>
    </row>
    <row r="2871">
      <c r="A2871" s="21">
        <v>67.0</v>
      </c>
      <c r="B2871" s="20" t="s">
        <v>5448</v>
      </c>
      <c r="C2871" s="20" t="s">
        <v>5854</v>
      </c>
      <c r="I2871" s="25" t="s">
        <v>4921</v>
      </c>
      <c r="J2871" s="25" t="s">
        <v>5449</v>
      </c>
      <c r="K2871" s="25" t="s">
        <v>71</v>
      </c>
      <c r="L2871" s="25" t="s">
        <v>5343</v>
      </c>
      <c r="M2871" s="20" t="s">
        <v>5494</v>
      </c>
      <c r="N2871" s="20" t="s">
        <v>5495</v>
      </c>
      <c r="O2871" s="20" t="s">
        <v>63</v>
      </c>
      <c r="P2871" s="20" t="s">
        <v>52</v>
      </c>
      <c r="Q2871" s="22"/>
      <c r="R2871" s="22"/>
      <c r="S2871" s="22"/>
      <c r="T2871" s="20"/>
      <c r="U2871" s="26"/>
      <c r="V2871" s="26"/>
      <c r="W2871" s="20"/>
      <c r="X2871" s="20"/>
      <c r="Y2871" s="20"/>
      <c r="Z2871" s="20"/>
      <c r="AA2871" s="20"/>
      <c r="AB2871" s="20"/>
      <c r="AC2871" s="20"/>
      <c r="AD2871" s="20"/>
      <c r="AE2871" s="20"/>
    </row>
    <row r="2872">
      <c r="A2872" s="21">
        <v>67.0</v>
      </c>
      <c r="B2872" s="20" t="s">
        <v>5448</v>
      </c>
      <c r="C2872" s="20" t="s">
        <v>5854</v>
      </c>
      <c r="I2872" s="25" t="s">
        <v>320</v>
      </c>
      <c r="J2872" s="25" t="s">
        <v>5449</v>
      </c>
      <c r="K2872" s="25" t="s">
        <v>71</v>
      </c>
      <c r="L2872" s="25" t="s">
        <v>292</v>
      </c>
      <c r="M2872" s="20" t="s">
        <v>5496</v>
      </c>
      <c r="N2872" s="20" t="s">
        <v>4685</v>
      </c>
      <c r="O2872" s="20" t="s">
        <v>63</v>
      </c>
      <c r="P2872" s="20" t="s">
        <v>52</v>
      </c>
      <c r="Q2872" s="22"/>
      <c r="R2872" s="22"/>
      <c r="S2872" s="22"/>
      <c r="T2872" s="22"/>
      <c r="U2872" s="26"/>
      <c r="V2872" s="26"/>
      <c r="W2872" s="20"/>
      <c r="X2872" s="20"/>
      <c r="Y2872" s="20"/>
      <c r="Z2872" s="20"/>
      <c r="AA2872" s="20"/>
      <c r="AB2872" s="20"/>
      <c r="AC2872" s="20"/>
      <c r="AD2872" s="20"/>
      <c r="AE2872" s="20"/>
    </row>
    <row r="2873">
      <c r="A2873" s="21">
        <v>67.0</v>
      </c>
      <c r="B2873" s="20" t="s">
        <v>5448</v>
      </c>
      <c r="C2873" s="20" t="s">
        <v>5854</v>
      </c>
      <c r="I2873" s="25" t="s">
        <v>2424</v>
      </c>
      <c r="J2873" s="25" t="s">
        <v>5449</v>
      </c>
      <c r="K2873" s="25" t="s">
        <v>71</v>
      </c>
      <c r="L2873" s="25" t="s">
        <v>5344</v>
      </c>
      <c r="M2873" s="20" t="s">
        <v>5104</v>
      </c>
      <c r="N2873" s="20" t="s">
        <v>5105</v>
      </c>
      <c r="O2873" s="20" t="s">
        <v>63</v>
      </c>
      <c r="P2873" s="20" t="s">
        <v>52</v>
      </c>
      <c r="Q2873" s="22"/>
      <c r="R2873" s="22"/>
      <c r="S2873" s="22"/>
      <c r="T2873" s="20"/>
      <c r="U2873" s="26"/>
      <c r="V2873" s="26"/>
      <c r="W2873" s="20"/>
      <c r="X2873" s="20"/>
      <c r="Y2873" s="20"/>
      <c r="Z2873" s="20"/>
      <c r="AA2873" s="20"/>
      <c r="AB2873" s="20"/>
      <c r="AC2873" s="20"/>
      <c r="AD2873" s="20"/>
      <c r="AE2873" s="20"/>
    </row>
    <row r="2874">
      <c r="A2874" s="21">
        <v>67.0</v>
      </c>
      <c r="B2874" s="20" t="s">
        <v>5448</v>
      </c>
      <c r="C2874" s="20" t="s">
        <v>5854</v>
      </c>
      <c r="I2874" s="25" t="s">
        <v>4493</v>
      </c>
      <c r="J2874" s="25" t="s">
        <v>5450</v>
      </c>
      <c r="K2874" s="25" t="s">
        <v>71</v>
      </c>
      <c r="L2874" s="25" t="s">
        <v>5345</v>
      </c>
      <c r="M2874" s="20" t="s">
        <v>5529</v>
      </c>
      <c r="N2874" s="20" t="s">
        <v>5530</v>
      </c>
      <c r="O2874" s="20" t="s">
        <v>63</v>
      </c>
      <c r="P2874" s="20" t="s">
        <v>52</v>
      </c>
      <c r="Q2874" s="22"/>
      <c r="R2874" s="22"/>
      <c r="S2874" s="22"/>
      <c r="T2874" s="20"/>
      <c r="U2874" s="26"/>
      <c r="V2874" s="26"/>
      <c r="W2874" s="20"/>
      <c r="X2874" s="20"/>
      <c r="Y2874" s="20"/>
      <c r="Z2874" s="20"/>
      <c r="AA2874" s="20"/>
      <c r="AB2874" s="20"/>
      <c r="AC2874" s="20"/>
      <c r="AD2874" s="20"/>
      <c r="AE2874" s="20"/>
    </row>
    <row r="2875">
      <c r="A2875" s="21">
        <v>67.0</v>
      </c>
      <c r="B2875" s="20" t="s">
        <v>5448</v>
      </c>
      <c r="C2875" s="20" t="s">
        <v>5854</v>
      </c>
      <c r="I2875" s="25" t="s">
        <v>4747</v>
      </c>
      <c r="J2875" s="25" t="s">
        <v>5449</v>
      </c>
      <c r="K2875" s="25" t="s">
        <v>71</v>
      </c>
      <c r="L2875" s="25" t="s">
        <v>5345</v>
      </c>
      <c r="M2875" s="20" t="s">
        <v>5106</v>
      </c>
      <c r="N2875" s="20" t="s">
        <v>5107</v>
      </c>
      <c r="O2875" s="20" t="s">
        <v>63</v>
      </c>
      <c r="P2875" s="20" t="s">
        <v>52</v>
      </c>
      <c r="Q2875" s="22"/>
      <c r="R2875" s="22"/>
      <c r="S2875" s="22"/>
      <c r="T2875" s="20"/>
      <c r="U2875" s="26"/>
      <c r="V2875" s="26"/>
      <c r="W2875" s="20"/>
      <c r="X2875" s="20"/>
      <c r="Y2875" s="20"/>
      <c r="Z2875" s="20"/>
      <c r="AA2875" s="20"/>
      <c r="AB2875" s="20"/>
      <c r="AC2875" s="20"/>
      <c r="AD2875" s="20"/>
      <c r="AE2875" s="20"/>
    </row>
    <row r="2876">
      <c r="A2876" s="21">
        <v>67.0</v>
      </c>
      <c r="B2876" s="20" t="s">
        <v>5448</v>
      </c>
      <c r="C2876" s="20" t="s">
        <v>5854</v>
      </c>
      <c r="I2876" s="25" t="s">
        <v>512</v>
      </c>
      <c r="J2876" s="25" t="s">
        <v>5449</v>
      </c>
      <c r="K2876" s="25" t="s">
        <v>71</v>
      </c>
      <c r="L2876" s="25" t="s">
        <v>5347</v>
      </c>
      <c r="M2876" s="20" t="s">
        <v>4672</v>
      </c>
      <c r="N2876" s="20" t="s">
        <v>4673</v>
      </c>
      <c r="O2876" s="20" t="s">
        <v>63</v>
      </c>
      <c r="P2876" s="20" t="s">
        <v>52</v>
      </c>
      <c r="Q2876" s="22"/>
      <c r="R2876" s="22"/>
      <c r="S2876" s="22"/>
      <c r="T2876" s="20"/>
      <c r="U2876" s="26"/>
      <c r="V2876" s="26"/>
      <c r="W2876" s="20"/>
      <c r="X2876" s="20"/>
      <c r="Y2876" s="20"/>
      <c r="Z2876" s="20"/>
      <c r="AA2876" s="20"/>
      <c r="AB2876" s="20"/>
      <c r="AC2876" s="20"/>
      <c r="AD2876" s="20"/>
      <c r="AE2876" s="20"/>
    </row>
    <row r="2877">
      <c r="A2877" s="21">
        <v>67.0</v>
      </c>
      <c r="B2877" s="20" t="s">
        <v>5448</v>
      </c>
      <c r="C2877" s="20" t="s">
        <v>5854</v>
      </c>
      <c r="I2877" s="25" t="s">
        <v>953</v>
      </c>
      <c r="J2877" s="25" t="s">
        <v>5450</v>
      </c>
      <c r="K2877" s="25" t="s">
        <v>71</v>
      </c>
      <c r="L2877" s="25" t="s">
        <v>292</v>
      </c>
      <c r="M2877" s="20" t="s">
        <v>5247</v>
      </c>
      <c r="N2877" s="20" t="s">
        <v>5248</v>
      </c>
      <c r="O2877" s="20" t="s">
        <v>63</v>
      </c>
      <c r="P2877" s="20" t="s">
        <v>52</v>
      </c>
      <c r="Q2877" s="22"/>
      <c r="R2877" s="22"/>
      <c r="S2877" s="22"/>
      <c r="T2877" s="22"/>
      <c r="U2877" s="26"/>
      <c r="V2877" s="26"/>
      <c r="W2877" s="20"/>
      <c r="X2877" s="20"/>
      <c r="Y2877" s="20"/>
      <c r="Z2877" s="20"/>
      <c r="AA2877" s="20"/>
      <c r="AB2877" s="20"/>
      <c r="AC2877" s="20"/>
      <c r="AD2877" s="20"/>
      <c r="AE2877" s="20"/>
    </row>
    <row r="2878">
      <c r="A2878" s="21">
        <v>67.0</v>
      </c>
      <c r="B2878" s="20" t="s">
        <v>5448</v>
      </c>
      <c r="C2878" s="20" t="s">
        <v>5854</v>
      </c>
      <c r="I2878" s="25" t="s">
        <v>4674</v>
      </c>
      <c r="J2878" s="25" t="s">
        <v>5449</v>
      </c>
      <c r="K2878" s="25" t="s">
        <v>71</v>
      </c>
      <c r="L2878" s="25" t="s">
        <v>5351</v>
      </c>
      <c r="M2878" s="20" t="s">
        <v>4675</v>
      </c>
      <c r="N2878" s="20" t="s">
        <v>4676</v>
      </c>
      <c r="O2878" s="20" t="s">
        <v>63</v>
      </c>
      <c r="P2878" s="20" t="s">
        <v>52</v>
      </c>
      <c r="Q2878" s="22"/>
      <c r="R2878" s="22"/>
      <c r="S2878" s="22"/>
      <c r="T2878" s="20"/>
      <c r="U2878" s="26"/>
      <c r="V2878" s="26"/>
      <c r="W2878" s="20"/>
      <c r="X2878" s="20"/>
      <c r="Y2878" s="20"/>
      <c r="Z2878" s="20"/>
      <c r="AA2878" s="20"/>
      <c r="AB2878" s="20"/>
      <c r="AC2878" s="20"/>
      <c r="AD2878" s="20"/>
      <c r="AE2878" s="20"/>
    </row>
    <row r="2879">
      <c r="A2879" s="21">
        <v>67.0</v>
      </c>
      <c r="B2879" s="20" t="s">
        <v>5448</v>
      </c>
      <c r="C2879" s="20" t="s">
        <v>5854</v>
      </c>
      <c r="I2879" s="25" t="s">
        <v>5531</v>
      </c>
      <c r="J2879" s="25" t="s">
        <v>5450</v>
      </c>
      <c r="K2879" s="25" t="s">
        <v>71</v>
      </c>
      <c r="L2879" s="25" t="s">
        <v>292</v>
      </c>
      <c r="M2879" s="20" t="s">
        <v>5532</v>
      </c>
      <c r="N2879" s="20" t="s">
        <v>5533</v>
      </c>
      <c r="O2879" s="20" t="s">
        <v>63</v>
      </c>
      <c r="P2879" s="20" t="s">
        <v>52</v>
      </c>
      <c r="Q2879" s="22"/>
      <c r="R2879" s="22"/>
      <c r="S2879" s="22"/>
      <c r="T2879" s="22"/>
      <c r="U2879" s="26"/>
      <c r="V2879" s="26"/>
      <c r="W2879" s="20"/>
      <c r="X2879" s="20"/>
      <c r="Y2879" s="20"/>
      <c r="Z2879" s="20"/>
      <c r="AA2879" s="20"/>
      <c r="AB2879" s="20"/>
      <c r="AC2879" s="20"/>
      <c r="AD2879" s="20"/>
      <c r="AE2879" s="20"/>
    </row>
    <row r="2880">
      <c r="A2880" s="21">
        <v>67.0</v>
      </c>
      <c r="B2880" s="20" t="s">
        <v>5448</v>
      </c>
      <c r="C2880" s="20" t="s">
        <v>5854</v>
      </c>
      <c r="I2880" s="25" t="s">
        <v>707</v>
      </c>
      <c r="J2880" s="25" t="s">
        <v>5449</v>
      </c>
      <c r="K2880" s="25" t="s">
        <v>71</v>
      </c>
      <c r="L2880" s="25" t="s">
        <v>5345</v>
      </c>
      <c r="M2880" s="20" t="s">
        <v>5109</v>
      </c>
      <c r="N2880" s="20" t="s">
        <v>5110</v>
      </c>
      <c r="O2880" s="20" t="s">
        <v>63</v>
      </c>
      <c r="P2880" s="20" t="s">
        <v>52</v>
      </c>
      <c r="Q2880" s="22"/>
      <c r="R2880" s="22"/>
      <c r="S2880" s="22"/>
      <c r="T2880" s="20"/>
      <c r="U2880" s="26"/>
      <c r="V2880" s="26"/>
      <c r="W2880" s="20"/>
      <c r="X2880" s="20"/>
      <c r="Y2880" s="20"/>
      <c r="Z2880" s="20"/>
      <c r="AA2880" s="20"/>
      <c r="AB2880" s="20"/>
      <c r="AC2880" s="20"/>
      <c r="AD2880" s="20"/>
      <c r="AE2880" s="20"/>
    </row>
    <row r="2881">
      <c r="A2881" s="21">
        <v>67.0</v>
      </c>
      <c r="B2881" s="20" t="s">
        <v>5448</v>
      </c>
      <c r="C2881" s="20" t="s">
        <v>5854</v>
      </c>
      <c r="I2881" s="25" t="s">
        <v>302</v>
      </c>
      <c r="J2881" s="25" t="s">
        <v>5449</v>
      </c>
      <c r="K2881" s="25" t="s">
        <v>71</v>
      </c>
      <c r="L2881" s="25" t="s">
        <v>292</v>
      </c>
      <c r="M2881" s="20" t="s">
        <v>4304</v>
      </c>
      <c r="N2881" s="20" t="s">
        <v>4685</v>
      </c>
      <c r="O2881" s="20" t="s">
        <v>63</v>
      </c>
      <c r="P2881" s="20" t="s">
        <v>52</v>
      </c>
      <c r="Q2881" s="22"/>
      <c r="R2881" s="22"/>
      <c r="S2881" s="22"/>
      <c r="T2881" s="22"/>
      <c r="U2881" s="26"/>
      <c r="V2881" s="26"/>
      <c r="W2881" s="20"/>
      <c r="X2881" s="20"/>
      <c r="Y2881" s="20"/>
      <c r="Z2881" s="20"/>
      <c r="AA2881" s="20"/>
      <c r="AB2881" s="20"/>
      <c r="AC2881" s="20"/>
      <c r="AD2881" s="20"/>
      <c r="AE2881" s="20"/>
    </row>
    <row r="2882">
      <c r="A2882" s="21">
        <v>67.0</v>
      </c>
      <c r="B2882" s="20" t="s">
        <v>5448</v>
      </c>
      <c r="C2882" s="20" t="s">
        <v>5854</v>
      </c>
      <c r="I2882" s="25" t="s">
        <v>700</v>
      </c>
      <c r="J2882" s="25" t="s">
        <v>5450</v>
      </c>
      <c r="K2882" s="25" t="s">
        <v>71</v>
      </c>
      <c r="L2882" s="25" t="s">
        <v>292</v>
      </c>
      <c r="M2882" s="20" t="s">
        <v>5534</v>
      </c>
      <c r="N2882" s="20" t="s">
        <v>5535</v>
      </c>
      <c r="O2882" s="20" t="s">
        <v>63</v>
      </c>
      <c r="P2882" s="20" t="s">
        <v>52</v>
      </c>
      <c r="Q2882" s="22"/>
      <c r="R2882" s="22"/>
      <c r="S2882" s="22"/>
      <c r="T2882" s="22"/>
      <c r="U2882" s="26"/>
      <c r="V2882" s="26"/>
      <c r="W2882" s="20"/>
      <c r="X2882" s="20"/>
      <c r="Y2882" s="20"/>
      <c r="Z2882" s="20"/>
      <c r="AA2882" s="20"/>
      <c r="AB2882" s="20"/>
      <c r="AC2882" s="20"/>
      <c r="AD2882" s="20"/>
      <c r="AE2882" s="20"/>
    </row>
    <row r="2883">
      <c r="A2883" s="21">
        <v>67.0</v>
      </c>
      <c r="B2883" s="20" t="s">
        <v>5448</v>
      </c>
      <c r="C2883" s="20" t="s">
        <v>5854</v>
      </c>
      <c r="I2883" s="25" t="s">
        <v>2239</v>
      </c>
      <c r="J2883" s="25" t="s">
        <v>5450</v>
      </c>
      <c r="K2883" s="25" t="s">
        <v>71</v>
      </c>
      <c r="L2883" s="25" t="s">
        <v>292</v>
      </c>
      <c r="M2883" s="20" t="s">
        <v>2240</v>
      </c>
      <c r="N2883" s="20" t="s">
        <v>5536</v>
      </c>
      <c r="O2883" s="20" t="s">
        <v>63</v>
      </c>
      <c r="P2883" s="20" t="s">
        <v>52</v>
      </c>
      <c r="Q2883" s="22"/>
      <c r="R2883" s="22"/>
      <c r="S2883" s="22"/>
      <c r="T2883" s="22"/>
      <c r="U2883" s="26"/>
      <c r="V2883" s="26"/>
      <c r="W2883" s="20"/>
      <c r="X2883" s="20"/>
      <c r="Y2883" s="20"/>
      <c r="Z2883" s="20"/>
      <c r="AA2883" s="20"/>
      <c r="AB2883" s="20"/>
      <c r="AC2883" s="20"/>
      <c r="AD2883" s="20"/>
      <c r="AE2883" s="20"/>
    </row>
    <row r="2884">
      <c r="A2884" s="21">
        <v>67.0</v>
      </c>
      <c r="B2884" s="20" t="s">
        <v>5448</v>
      </c>
      <c r="C2884" s="20" t="s">
        <v>5854</v>
      </c>
      <c r="I2884" s="25" t="s">
        <v>4756</v>
      </c>
      <c r="J2884" s="25" t="s">
        <v>5450</v>
      </c>
      <c r="K2884" s="25" t="s">
        <v>71</v>
      </c>
      <c r="L2884" s="25" t="s">
        <v>5345</v>
      </c>
      <c r="M2884" s="20" t="s">
        <v>5412</v>
      </c>
      <c r="N2884" s="20" t="s">
        <v>5537</v>
      </c>
      <c r="O2884" s="20" t="s">
        <v>63</v>
      </c>
      <c r="P2884" s="20" t="s">
        <v>52</v>
      </c>
      <c r="Q2884" s="22"/>
      <c r="R2884" s="22"/>
      <c r="S2884" s="22"/>
      <c r="T2884" s="26"/>
      <c r="U2884" s="26"/>
      <c r="V2884" s="26"/>
      <c r="W2884" s="20"/>
      <c r="X2884" s="20"/>
      <c r="Y2884" s="20"/>
      <c r="Z2884" s="20"/>
      <c r="AA2884" s="20"/>
      <c r="AB2884" s="20"/>
      <c r="AC2884" s="20"/>
      <c r="AD2884" s="20"/>
      <c r="AE2884" s="20"/>
    </row>
    <row r="2885">
      <c r="A2885" s="21">
        <v>67.0</v>
      </c>
      <c r="B2885" s="20" t="s">
        <v>5448</v>
      </c>
      <c r="C2885" s="20" t="s">
        <v>5854</v>
      </c>
      <c r="I2885" s="25" t="s">
        <v>2042</v>
      </c>
      <c r="J2885" s="25" t="s">
        <v>5449</v>
      </c>
      <c r="K2885" s="25" t="s">
        <v>71</v>
      </c>
      <c r="L2885" s="25" t="s">
        <v>292</v>
      </c>
      <c r="M2885" s="20" t="s">
        <v>4665</v>
      </c>
      <c r="N2885" s="20" t="s">
        <v>4666</v>
      </c>
      <c r="O2885" s="20" t="s">
        <v>63</v>
      </c>
      <c r="P2885" s="20" t="s">
        <v>52</v>
      </c>
      <c r="Q2885" s="22"/>
      <c r="R2885" s="22"/>
      <c r="S2885" s="22"/>
      <c r="T2885" s="22"/>
      <c r="U2885" s="26"/>
      <c r="V2885" s="26"/>
      <c r="W2885" s="20"/>
      <c r="X2885" s="20"/>
      <c r="Y2885" s="20"/>
      <c r="Z2885" s="20"/>
      <c r="AA2885" s="20"/>
      <c r="AB2885" s="20"/>
      <c r="AC2885" s="20"/>
      <c r="AD2885" s="20"/>
      <c r="AE2885" s="20"/>
    </row>
    <row r="2886">
      <c r="A2886" s="21">
        <v>67.0</v>
      </c>
      <c r="B2886" s="20" t="s">
        <v>5448</v>
      </c>
      <c r="C2886" s="20" t="s">
        <v>5854</v>
      </c>
      <c r="I2886" s="25" t="s">
        <v>731</v>
      </c>
      <c r="J2886" s="25" t="s">
        <v>5449</v>
      </c>
      <c r="K2886" s="25" t="s">
        <v>71</v>
      </c>
      <c r="L2886" s="25" t="s">
        <v>292</v>
      </c>
      <c r="M2886" s="20" t="s">
        <v>4079</v>
      </c>
      <c r="N2886" s="20" t="s">
        <v>4685</v>
      </c>
      <c r="O2886" s="20" t="s">
        <v>63</v>
      </c>
      <c r="P2886" s="20" t="s">
        <v>52</v>
      </c>
      <c r="Q2886" s="22"/>
      <c r="R2886" s="22"/>
      <c r="S2886" s="22"/>
      <c r="T2886" s="22"/>
      <c r="U2886" s="26"/>
      <c r="V2886" s="26"/>
      <c r="W2886" s="20"/>
      <c r="X2886" s="20"/>
      <c r="Y2886" s="20"/>
      <c r="Z2886" s="20"/>
      <c r="AA2886" s="20"/>
      <c r="AB2886" s="20"/>
      <c r="AC2886" s="20"/>
      <c r="AD2886" s="20"/>
      <c r="AE2886" s="20"/>
    </row>
    <row r="2887">
      <c r="A2887" s="21">
        <v>67.0</v>
      </c>
      <c r="B2887" s="20" t="s">
        <v>5448</v>
      </c>
      <c r="C2887" s="20" t="s">
        <v>5854</v>
      </c>
      <c r="I2887" s="25" t="s">
        <v>4771</v>
      </c>
      <c r="J2887" s="25" t="s">
        <v>5449</v>
      </c>
      <c r="K2887" s="25" t="s">
        <v>71</v>
      </c>
      <c r="L2887" s="25" t="s">
        <v>5345</v>
      </c>
      <c r="M2887" s="20" t="s">
        <v>4772</v>
      </c>
      <c r="N2887" s="20" t="s">
        <v>5007</v>
      </c>
      <c r="O2887" s="20" t="s">
        <v>63</v>
      </c>
      <c r="P2887" s="20" t="s">
        <v>52</v>
      </c>
      <c r="Q2887" s="22"/>
      <c r="R2887" s="22"/>
      <c r="S2887" s="22"/>
      <c r="T2887" s="26"/>
      <c r="U2887" s="26"/>
      <c r="V2887" s="26"/>
      <c r="W2887" s="20"/>
      <c r="X2887" s="20"/>
      <c r="Y2887" s="20"/>
      <c r="Z2887" s="20"/>
      <c r="AA2887" s="20"/>
      <c r="AB2887" s="20"/>
      <c r="AC2887" s="20"/>
      <c r="AD2887" s="20"/>
      <c r="AE2887" s="20"/>
    </row>
    <row r="2888">
      <c r="A2888" s="21">
        <v>67.0</v>
      </c>
      <c r="B2888" s="20" t="s">
        <v>5448</v>
      </c>
      <c r="C2888" s="20" t="s">
        <v>5854</v>
      </c>
      <c r="I2888" s="25" t="s">
        <v>722</v>
      </c>
      <c r="J2888" s="25" t="s">
        <v>5450</v>
      </c>
      <c r="K2888" s="25" t="s">
        <v>71</v>
      </c>
      <c r="L2888" s="25" t="s">
        <v>292</v>
      </c>
      <c r="M2888" s="20" t="s">
        <v>5538</v>
      </c>
      <c r="N2888" s="20" t="s">
        <v>5535</v>
      </c>
      <c r="O2888" s="20" t="s">
        <v>63</v>
      </c>
      <c r="P2888" s="20" t="s">
        <v>52</v>
      </c>
      <c r="Q2888" s="22"/>
      <c r="R2888" s="22"/>
      <c r="S2888" s="22"/>
      <c r="T2888" s="22"/>
      <c r="U2888" s="26"/>
      <c r="V2888" s="26"/>
      <c r="W2888" s="20"/>
      <c r="X2888" s="20"/>
      <c r="Y2888" s="20"/>
      <c r="Z2888" s="20"/>
      <c r="AA2888" s="20"/>
      <c r="AB2888" s="20"/>
      <c r="AC2888" s="20"/>
      <c r="AD2888" s="20"/>
      <c r="AE2888" s="20"/>
    </row>
    <row r="2889">
      <c r="A2889" s="21">
        <v>67.0</v>
      </c>
      <c r="B2889" s="20" t="s">
        <v>5448</v>
      </c>
      <c r="C2889" s="20" t="s">
        <v>5854</v>
      </c>
      <c r="I2889" s="25" t="s">
        <v>2953</v>
      </c>
      <c r="J2889" s="25" t="s">
        <v>5450</v>
      </c>
      <c r="K2889" s="25" t="s">
        <v>71</v>
      </c>
      <c r="L2889" s="25" t="s">
        <v>226</v>
      </c>
      <c r="M2889" s="20" t="s">
        <v>4251</v>
      </c>
      <c r="N2889" s="20" t="s">
        <v>5535</v>
      </c>
      <c r="O2889" s="20" t="s">
        <v>63</v>
      </c>
      <c r="P2889" s="20" t="s">
        <v>52</v>
      </c>
      <c r="Q2889" s="22"/>
      <c r="R2889" s="22"/>
      <c r="S2889" s="22"/>
      <c r="T2889" s="22"/>
      <c r="U2889" s="26"/>
      <c r="V2889" s="26"/>
      <c r="W2889" s="20"/>
      <c r="X2889" s="20"/>
      <c r="Y2889" s="20"/>
      <c r="Z2889" s="20"/>
      <c r="AA2889" s="20"/>
      <c r="AB2889" s="20"/>
      <c r="AC2889" s="20"/>
      <c r="AD2889" s="20"/>
      <c r="AE2889" s="20"/>
    </row>
    <row r="2890">
      <c r="A2890" s="21">
        <v>67.0</v>
      </c>
      <c r="B2890" s="20" t="s">
        <v>5448</v>
      </c>
      <c r="C2890" s="20" t="s">
        <v>5854</v>
      </c>
      <c r="I2890" s="25" t="s">
        <v>632</v>
      </c>
      <c r="J2890" s="25" t="s">
        <v>5450</v>
      </c>
      <c r="K2890" s="25" t="s">
        <v>71</v>
      </c>
      <c r="L2890" s="25" t="s">
        <v>292</v>
      </c>
      <c r="M2890" s="20" t="s">
        <v>2807</v>
      </c>
      <c r="N2890" s="20" t="s">
        <v>5535</v>
      </c>
      <c r="O2890" s="20" t="s">
        <v>63</v>
      </c>
      <c r="P2890" s="20" t="s">
        <v>52</v>
      </c>
      <c r="Q2890" s="22"/>
      <c r="R2890" s="22"/>
      <c r="S2890" s="22"/>
      <c r="T2890" s="22"/>
      <c r="U2890" s="26"/>
      <c r="V2890" s="26"/>
      <c r="W2890" s="20"/>
      <c r="X2890" s="20"/>
      <c r="Y2890" s="20"/>
      <c r="Z2890" s="20"/>
      <c r="AA2890" s="20"/>
      <c r="AB2890" s="20"/>
      <c r="AC2890" s="20"/>
      <c r="AD2890" s="20"/>
      <c r="AE2890" s="20"/>
    </row>
    <row r="2891">
      <c r="A2891" s="21">
        <v>67.0</v>
      </c>
      <c r="B2891" s="20" t="s">
        <v>5448</v>
      </c>
      <c r="C2891" s="20" t="s">
        <v>5854</v>
      </c>
      <c r="I2891" s="25" t="s">
        <v>5500</v>
      </c>
      <c r="J2891" s="25" t="s">
        <v>5449</v>
      </c>
      <c r="K2891" s="25" t="s">
        <v>71</v>
      </c>
      <c r="L2891" s="25" t="s">
        <v>292</v>
      </c>
      <c r="M2891" s="20" t="s">
        <v>61</v>
      </c>
      <c r="N2891" s="20" t="s">
        <v>5501</v>
      </c>
      <c r="O2891" s="20" t="s">
        <v>63</v>
      </c>
      <c r="P2891" s="20" t="s">
        <v>52</v>
      </c>
      <c r="Q2891" s="22"/>
      <c r="R2891" s="22"/>
      <c r="S2891" s="22"/>
      <c r="T2891" s="22"/>
      <c r="U2891" s="26"/>
      <c r="V2891" s="26"/>
      <c r="W2891" s="20"/>
      <c r="X2891" s="20"/>
      <c r="Y2891" s="20"/>
      <c r="Z2891" s="20"/>
      <c r="AA2891" s="20"/>
      <c r="AB2891" s="20"/>
      <c r="AC2891" s="20"/>
      <c r="AD2891" s="20"/>
      <c r="AE2891" s="20"/>
    </row>
    <row r="2892">
      <c r="A2892" s="21">
        <v>68.0</v>
      </c>
      <c r="B2892" s="20" t="s">
        <v>1293</v>
      </c>
      <c r="C2892" s="20" t="s">
        <v>6164</v>
      </c>
      <c r="D2892" s="35">
        <v>193.0</v>
      </c>
      <c r="E2892" s="35">
        <v>4.0</v>
      </c>
      <c r="F2892" s="35">
        <v>29.0</v>
      </c>
      <c r="G2892" s="35">
        <v>160.0</v>
      </c>
      <c r="H2892" s="36" t="s">
        <v>6165</v>
      </c>
      <c r="I2892" s="25" t="s">
        <v>1509</v>
      </c>
      <c r="J2892" s="25" t="s">
        <v>5543</v>
      </c>
      <c r="K2892" s="25" t="s">
        <v>57</v>
      </c>
      <c r="L2892" s="25" t="s">
        <v>6166</v>
      </c>
      <c r="M2892" s="20" t="s">
        <v>61</v>
      </c>
      <c r="N2892" s="20" t="s">
        <v>5544</v>
      </c>
      <c r="O2892" s="20" t="s">
        <v>63</v>
      </c>
      <c r="P2892" s="25" t="s">
        <v>5545</v>
      </c>
      <c r="Q2892" s="22"/>
      <c r="R2892" s="22"/>
      <c r="S2892" s="22"/>
      <c r="T2892" s="26"/>
      <c r="U2892" s="26"/>
      <c r="V2892" s="26"/>
      <c r="W2892" s="20"/>
      <c r="X2892" s="20"/>
      <c r="Y2892" s="20"/>
      <c r="Z2892" s="20"/>
      <c r="AA2892" s="20"/>
      <c r="AB2892" s="20"/>
      <c r="AC2892" s="20"/>
      <c r="AD2892" s="20"/>
      <c r="AE2892" s="20"/>
    </row>
    <row r="2893">
      <c r="A2893" s="21">
        <v>68.0</v>
      </c>
      <c r="B2893" s="20" t="s">
        <v>1293</v>
      </c>
      <c r="C2893" s="20" t="s">
        <v>6164</v>
      </c>
      <c r="I2893" s="25" t="s">
        <v>5372</v>
      </c>
      <c r="J2893" s="25" t="s">
        <v>5540</v>
      </c>
      <c r="K2893" s="25" t="s">
        <v>57</v>
      </c>
      <c r="L2893" s="25" t="s">
        <v>6167</v>
      </c>
      <c r="M2893" s="20" t="s">
        <v>61</v>
      </c>
      <c r="N2893" s="20" t="s">
        <v>5373</v>
      </c>
      <c r="O2893" s="20" t="s">
        <v>63</v>
      </c>
      <c r="P2893" s="20"/>
      <c r="Q2893" s="22"/>
      <c r="R2893" s="22"/>
      <c r="S2893" s="22"/>
      <c r="T2893" s="26"/>
      <c r="U2893" s="26"/>
      <c r="V2893" s="26"/>
      <c r="W2893" s="20"/>
      <c r="X2893" s="20"/>
      <c r="Y2893" s="20"/>
      <c r="Z2893" s="20"/>
      <c r="AA2893" s="20"/>
      <c r="AB2893" s="20"/>
      <c r="AC2893" s="20"/>
      <c r="AD2893" s="20"/>
      <c r="AE2893" s="20"/>
    </row>
    <row r="2894">
      <c r="A2894" s="21">
        <v>68.0</v>
      </c>
      <c r="B2894" s="20" t="s">
        <v>1293</v>
      </c>
      <c r="C2894" s="20" t="s">
        <v>6164</v>
      </c>
      <c r="I2894" s="25" t="s">
        <v>201</v>
      </c>
      <c r="J2894" s="25" t="s">
        <v>5539</v>
      </c>
      <c r="K2894" s="25" t="s">
        <v>57</v>
      </c>
      <c r="L2894" s="25" t="s">
        <v>6168</v>
      </c>
      <c r="M2894" s="20" t="s">
        <v>4498</v>
      </c>
      <c r="N2894" s="20" t="s">
        <v>4499</v>
      </c>
      <c r="O2894" s="20" t="s">
        <v>63</v>
      </c>
      <c r="P2894" s="20"/>
      <c r="Q2894" s="22"/>
      <c r="R2894" s="22"/>
      <c r="S2894" s="22"/>
      <c r="T2894" s="26"/>
      <c r="U2894" s="26"/>
      <c r="V2894" s="26"/>
      <c r="W2894" s="20"/>
      <c r="X2894" s="20"/>
      <c r="Y2894" s="20"/>
      <c r="Z2894" s="20"/>
      <c r="AA2894" s="20"/>
      <c r="AB2894" s="20"/>
      <c r="AC2894" s="20"/>
      <c r="AD2894" s="20"/>
      <c r="AE2894" s="20"/>
    </row>
    <row r="2895">
      <c r="A2895" s="21">
        <v>68.0</v>
      </c>
      <c r="B2895" s="20" t="s">
        <v>1293</v>
      </c>
      <c r="C2895" s="20" t="s">
        <v>6164</v>
      </c>
      <c r="I2895" s="25" t="s">
        <v>4868</v>
      </c>
      <c r="J2895" s="25" t="s">
        <v>5541</v>
      </c>
      <c r="K2895" s="25" t="s">
        <v>57</v>
      </c>
      <c r="L2895" s="25" t="s">
        <v>6169</v>
      </c>
      <c r="M2895" s="20" t="s">
        <v>195</v>
      </c>
      <c r="N2895" s="20" t="s">
        <v>5542</v>
      </c>
      <c r="O2895" s="20" t="s">
        <v>63</v>
      </c>
      <c r="P2895" s="20"/>
      <c r="Q2895" s="22"/>
      <c r="R2895" s="22"/>
      <c r="S2895" s="22"/>
      <c r="T2895" s="26"/>
      <c r="U2895" s="26"/>
      <c r="V2895" s="26"/>
      <c r="W2895" s="20"/>
      <c r="X2895" s="20"/>
      <c r="Y2895" s="20"/>
      <c r="Z2895" s="20"/>
      <c r="AA2895" s="20"/>
      <c r="AB2895" s="20"/>
      <c r="AC2895" s="20"/>
      <c r="AD2895" s="20"/>
      <c r="AE2895" s="20"/>
    </row>
    <row r="2896">
      <c r="A2896" s="21">
        <v>68.0</v>
      </c>
      <c r="B2896" s="20" t="s">
        <v>1293</v>
      </c>
      <c r="C2896" s="20" t="s">
        <v>6164</v>
      </c>
      <c r="I2896" s="25" t="s">
        <v>3870</v>
      </c>
      <c r="J2896" s="25" t="s">
        <v>5587</v>
      </c>
      <c r="K2896" s="25" t="s">
        <v>67</v>
      </c>
      <c r="L2896" s="25" t="s">
        <v>6170</v>
      </c>
      <c r="M2896" s="20" t="s">
        <v>61</v>
      </c>
      <c r="N2896" s="20" t="s">
        <v>5588</v>
      </c>
      <c r="O2896" s="20" t="s">
        <v>56</v>
      </c>
      <c r="P2896" s="20"/>
      <c r="Q2896" s="22"/>
      <c r="R2896" s="22"/>
      <c r="S2896" s="22"/>
      <c r="T2896" s="26"/>
      <c r="U2896" s="26"/>
      <c r="V2896" s="26"/>
      <c r="W2896" s="20"/>
      <c r="X2896" s="20"/>
      <c r="Y2896" s="20"/>
      <c r="Z2896" s="20"/>
      <c r="AA2896" s="20"/>
      <c r="AB2896" s="20"/>
      <c r="AC2896" s="20"/>
      <c r="AD2896" s="20"/>
      <c r="AE2896" s="20"/>
    </row>
    <row r="2897">
      <c r="A2897" s="21">
        <v>68.0</v>
      </c>
      <c r="B2897" s="20" t="s">
        <v>1293</v>
      </c>
      <c r="C2897" s="20" t="s">
        <v>6164</v>
      </c>
      <c r="I2897" s="25" t="s">
        <v>4829</v>
      </c>
      <c r="J2897" s="25" t="s">
        <v>5587</v>
      </c>
      <c r="K2897" s="25" t="s">
        <v>71</v>
      </c>
      <c r="L2897" s="25" t="s">
        <v>6171</v>
      </c>
      <c r="M2897" s="20" t="s">
        <v>5727</v>
      </c>
      <c r="N2897" s="20" t="s">
        <v>5728</v>
      </c>
      <c r="O2897" s="20" t="s">
        <v>56</v>
      </c>
      <c r="P2897" s="20"/>
      <c r="Q2897" s="22"/>
      <c r="R2897" s="22"/>
      <c r="S2897" s="22"/>
      <c r="T2897" s="26"/>
      <c r="U2897" s="26"/>
      <c r="V2897" s="26"/>
      <c r="W2897" s="20"/>
      <c r="X2897" s="20"/>
      <c r="Y2897" s="20"/>
      <c r="Z2897" s="20"/>
      <c r="AA2897" s="20"/>
      <c r="AB2897" s="20"/>
      <c r="AC2897" s="20"/>
      <c r="AD2897" s="20"/>
      <c r="AE2897" s="20"/>
    </row>
    <row r="2898">
      <c r="A2898" s="21">
        <v>68.0</v>
      </c>
      <c r="B2898" s="20" t="s">
        <v>1293</v>
      </c>
      <c r="C2898" s="20" t="s">
        <v>6164</v>
      </c>
      <c r="I2898" s="25" t="s">
        <v>2024</v>
      </c>
      <c r="J2898" s="25" t="s">
        <v>5546</v>
      </c>
      <c r="K2898" s="25" t="s">
        <v>71</v>
      </c>
      <c r="L2898" s="25" t="s">
        <v>6172</v>
      </c>
      <c r="M2898" s="20" t="s">
        <v>61</v>
      </c>
      <c r="N2898" s="20" t="s">
        <v>5594</v>
      </c>
      <c r="O2898" s="20" t="s">
        <v>56</v>
      </c>
      <c r="P2898" s="20"/>
      <c r="Q2898" s="22"/>
      <c r="R2898" s="22"/>
      <c r="S2898" s="22"/>
      <c r="T2898" s="26"/>
      <c r="U2898" s="26"/>
      <c r="V2898" s="26"/>
      <c r="W2898" s="20"/>
      <c r="X2898" s="20"/>
      <c r="Y2898" s="20"/>
      <c r="Z2898" s="20"/>
      <c r="AA2898" s="20"/>
      <c r="AB2898" s="20"/>
      <c r="AC2898" s="20"/>
      <c r="AD2898" s="20"/>
      <c r="AE2898" s="20"/>
    </row>
    <row r="2899">
      <c r="A2899" s="21">
        <v>68.0</v>
      </c>
      <c r="B2899" s="20" t="s">
        <v>1293</v>
      </c>
      <c r="C2899" s="20" t="s">
        <v>6164</v>
      </c>
      <c r="I2899" s="25" t="s">
        <v>4604</v>
      </c>
      <c r="J2899" s="25" t="s">
        <v>5589</v>
      </c>
      <c r="K2899" s="25" t="s">
        <v>71</v>
      </c>
      <c r="L2899" s="25" t="s">
        <v>6173</v>
      </c>
      <c r="M2899" s="20" t="s">
        <v>61</v>
      </c>
      <c r="N2899" s="20" t="s">
        <v>5752</v>
      </c>
      <c r="O2899" s="20" t="s">
        <v>56</v>
      </c>
      <c r="P2899" s="20"/>
      <c r="Q2899" s="22"/>
      <c r="R2899" s="22"/>
      <c r="S2899" s="22"/>
      <c r="T2899" s="26"/>
      <c r="U2899" s="26"/>
      <c r="V2899" s="26"/>
      <c r="W2899" s="20"/>
      <c r="X2899" s="20"/>
      <c r="Y2899" s="20"/>
      <c r="Z2899" s="20"/>
      <c r="AA2899" s="20"/>
      <c r="AB2899" s="20"/>
      <c r="AC2899" s="20"/>
      <c r="AD2899" s="20"/>
      <c r="AE2899" s="20"/>
    </row>
    <row r="2900">
      <c r="A2900" s="21">
        <v>68.0</v>
      </c>
      <c r="B2900" s="20" t="s">
        <v>1293</v>
      </c>
      <c r="C2900" s="20" t="s">
        <v>6164</v>
      </c>
      <c r="I2900" s="25" t="s">
        <v>1156</v>
      </c>
      <c r="J2900" s="25" t="s">
        <v>5589</v>
      </c>
      <c r="K2900" s="25" t="s">
        <v>71</v>
      </c>
      <c r="L2900" s="25" t="s">
        <v>6172</v>
      </c>
      <c r="M2900" s="20" t="s">
        <v>5753</v>
      </c>
      <c r="N2900" s="20" t="s">
        <v>5754</v>
      </c>
      <c r="O2900" s="20" t="s">
        <v>56</v>
      </c>
      <c r="P2900" s="20"/>
      <c r="Q2900" s="22"/>
      <c r="R2900" s="22"/>
      <c r="S2900" s="22"/>
      <c r="T2900" s="26"/>
      <c r="U2900" s="26"/>
      <c r="V2900" s="26"/>
      <c r="W2900" s="20"/>
      <c r="X2900" s="20"/>
      <c r="Y2900" s="20"/>
      <c r="Z2900" s="20"/>
      <c r="AA2900" s="20"/>
      <c r="AB2900" s="20"/>
      <c r="AC2900" s="20"/>
      <c r="AD2900" s="20"/>
      <c r="AE2900" s="20"/>
    </row>
    <row r="2901">
      <c r="A2901" s="21">
        <v>68.0</v>
      </c>
      <c r="B2901" s="20" t="s">
        <v>1293</v>
      </c>
      <c r="C2901" s="20" t="s">
        <v>6164</v>
      </c>
      <c r="I2901" s="25" t="s">
        <v>1331</v>
      </c>
      <c r="J2901" s="25" t="s">
        <v>5589</v>
      </c>
      <c r="K2901" s="25" t="s">
        <v>71</v>
      </c>
      <c r="L2901" s="25" t="s">
        <v>6172</v>
      </c>
      <c r="M2901" s="20" t="s">
        <v>61</v>
      </c>
      <c r="N2901" s="20" t="s">
        <v>5756</v>
      </c>
      <c r="O2901" s="20" t="s">
        <v>56</v>
      </c>
      <c r="P2901" s="20"/>
      <c r="Q2901" s="22"/>
      <c r="R2901" s="22"/>
      <c r="S2901" s="22"/>
      <c r="T2901" s="26"/>
      <c r="U2901" s="26"/>
      <c r="V2901" s="26"/>
      <c r="W2901" s="20"/>
      <c r="X2901" s="20"/>
      <c r="Y2901" s="20"/>
      <c r="Z2901" s="20"/>
      <c r="AA2901" s="20"/>
      <c r="AB2901" s="20"/>
      <c r="AC2901" s="20"/>
      <c r="AD2901" s="20"/>
      <c r="AE2901" s="20"/>
    </row>
    <row r="2902">
      <c r="A2902" s="21">
        <v>68.0</v>
      </c>
      <c r="B2902" s="20" t="s">
        <v>1293</v>
      </c>
      <c r="C2902" s="20" t="s">
        <v>6164</v>
      </c>
      <c r="I2902" s="25" t="s">
        <v>1738</v>
      </c>
      <c r="J2902" s="25" t="s">
        <v>5589</v>
      </c>
      <c r="K2902" s="25" t="s">
        <v>71</v>
      </c>
      <c r="L2902" s="25" t="s">
        <v>6172</v>
      </c>
      <c r="M2902" s="20" t="s">
        <v>61</v>
      </c>
      <c r="N2902" s="20" t="s">
        <v>5758</v>
      </c>
      <c r="O2902" s="20" t="s">
        <v>56</v>
      </c>
      <c r="P2902" s="20"/>
      <c r="Q2902" s="22"/>
      <c r="R2902" s="22"/>
      <c r="S2902" s="22"/>
      <c r="T2902" s="26"/>
      <c r="U2902" s="26"/>
      <c r="V2902" s="26"/>
      <c r="W2902" s="20"/>
      <c r="X2902" s="20"/>
      <c r="Y2902" s="20"/>
      <c r="Z2902" s="20"/>
      <c r="AA2902" s="20"/>
      <c r="AB2902" s="20"/>
      <c r="AC2902" s="20"/>
      <c r="AD2902" s="20"/>
      <c r="AE2902" s="20"/>
    </row>
    <row r="2903">
      <c r="A2903" s="21">
        <v>68.0</v>
      </c>
      <c r="B2903" s="20" t="s">
        <v>1293</v>
      </c>
      <c r="C2903" s="20" t="s">
        <v>6164</v>
      </c>
      <c r="I2903" s="25" t="s">
        <v>3054</v>
      </c>
      <c r="J2903" s="25" t="s">
        <v>5589</v>
      </c>
      <c r="K2903" s="25" t="s">
        <v>71</v>
      </c>
      <c r="L2903" s="25" t="s">
        <v>6173</v>
      </c>
      <c r="M2903" s="20" t="s">
        <v>61</v>
      </c>
      <c r="N2903" s="20" t="s">
        <v>5760</v>
      </c>
      <c r="O2903" s="20" t="s">
        <v>56</v>
      </c>
      <c r="P2903" s="20"/>
      <c r="Q2903" s="22"/>
      <c r="R2903" s="22"/>
      <c r="S2903" s="22"/>
      <c r="T2903" s="26"/>
      <c r="U2903" s="26"/>
      <c r="V2903" s="26"/>
      <c r="W2903" s="20"/>
      <c r="X2903" s="20"/>
      <c r="Y2903" s="20"/>
      <c r="Z2903" s="20"/>
      <c r="AA2903" s="20"/>
      <c r="AB2903" s="20"/>
      <c r="AC2903" s="20"/>
      <c r="AD2903" s="20"/>
      <c r="AE2903" s="20"/>
    </row>
    <row r="2904">
      <c r="A2904" s="21">
        <v>68.0</v>
      </c>
      <c r="B2904" s="20" t="s">
        <v>1293</v>
      </c>
      <c r="C2904" s="20" t="s">
        <v>6164</v>
      </c>
      <c r="I2904" s="25" t="s">
        <v>81</v>
      </c>
      <c r="J2904" s="25" t="s">
        <v>5546</v>
      </c>
      <c r="K2904" s="25" t="s">
        <v>71</v>
      </c>
      <c r="L2904" s="25" t="s">
        <v>6172</v>
      </c>
      <c r="M2904" s="20" t="s">
        <v>61</v>
      </c>
      <c r="N2904" s="20" t="s">
        <v>5595</v>
      </c>
      <c r="O2904" s="20" t="s">
        <v>56</v>
      </c>
      <c r="P2904" s="20"/>
      <c r="Q2904" s="22"/>
      <c r="R2904" s="22"/>
      <c r="S2904" s="22"/>
      <c r="T2904" s="26"/>
      <c r="U2904" s="26"/>
      <c r="V2904" s="26"/>
      <c r="W2904" s="20"/>
      <c r="X2904" s="20"/>
      <c r="Y2904" s="20"/>
      <c r="Z2904" s="20"/>
      <c r="AA2904" s="20"/>
      <c r="AB2904" s="20"/>
      <c r="AC2904" s="20"/>
      <c r="AD2904" s="20"/>
      <c r="AE2904" s="20"/>
    </row>
    <row r="2905">
      <c r="A2905" s="21">
        <v>68.0</v>
      </c>
      <c r="B2905" s="20" t="s">
        <v>1293</v>
      </c>
      <c r="C2905" s="20" t="s">
        <v>6164</v>
      </c>
      <c r="I2905" s="25" t="s">
        <v>2773</v>
      </c>
      <c r="J2905" s="25" t="s">
        <v>5589</v>
      </c>
      <c r="K2905" s="25" t="s">
        <v>71</v>
      </c>
      <c r="L2905" s="25" t="s">
        <v>6172</v>
      </c>
      <c r="M2905" s="20" t="s">
        <v>61</v>
      </c>
      <c r="N2905" s="20" t="s">
        <v>5761</v>
      </c>
      <c r="O2905" s="20" t="s">
        <v>56</v>
      </c>
      <c r="P2905" s="20"/>
      <c r="Q2905" s="22"/>
      <c r="R2905" s="22"/>
      <c r="S2905" s="22"/>
      <c r="T2905" s="26"/>
      <c r="U2905" s="26"/>
      <c r="V2905" s="26"/>
      <c r="W2905" s="20"/>
      <c r="X2905" s="20"/>
      <c r="Y2905" s="20"/>
      <c r="Z2905" s="20"/>
      <c r="AA2905" s="20"/>
      <c r="AB2905" s="20"/>
      <c r="AC2905" s="20"/>
      <c r="AD2905" s="20"/>
      <c r="AE2905" s="20"/>
    </row>
    <row r="2906">
      <c r="A2906" s="21">
        <v>68.0</v>
      </c>
      <c r="B2906" s="20" t="s">
        <v>1293</v>
      </c>
      <c r="C2906" s="20" t="s">
        <v>6164</v>
      </c>
      <c r="I2906" s="25" t="s">
        <v>2505</v>
      </c>
      <c r="J2906" s="25" t="s">
        <v>5589</v>
      </c>
      <c r="K2906" s="25" t="s">
        <v>71</v>
      </c>
      <c r="L2906" s="25" t="s">
        <v>6172</v>
      </c>
      <c r="M2906" s="20" t="s">
        <v>61</v>
      </c>
      <c r="N2906" s="20" t="s">
        <v>5762</v>
      </c>
      <c r="O2906" s="20" t="s">
        <v>56</v>
      </c>
      <c r="P2906" s="20"/>
      <c r="Q2906" s="22"/>
      <c r="R2906" s="22"/>
      <c r="S2906" s="22"/>
      <c r="T2906" s="26"/>
      <c r="U2906" s="26"/>
      <c r="V2906" s="26"/>
      <c r="W2906" s="20"/>
      <c r="X2906" s="20"/>
      <c r="Y2906" s="20"/>
      <c r="Z2906" s="20"/>
      <c r="AA2906" s="20"/>
      <c r="AB2906" s="20"/>
      <c r="AC2906" s="20"/>
      <c r="AD2906" s="20"/>
      <c r="AE2906" s="20"/>
    </row>
    <row r="2907">
      <c r="A2907" s="21">
        <v>68.0</v>
      </c>
      <c r="B2907" s="20" t="s">
        <v>1293</v>
      </c>
      <c r="C2907" s="20" t="s">
        <v>6164</v>
      </c>
      <c r="I2907" s="25" t="s">
        <v>3809</v>
      </c>
      <c r="J2907" s="25" t="s">
        <v>5589</v>
      </c>
      <c r="K2907" s="25" t="s">
        <v>71</v>
      </c>
      <c r="L2907" s="25" t="s">
        <v>6174</v>
      </c>
      <c r="M2907" s="20" t="s">
        <v>5763</v>
      </c>
      <c r="N2907" s="20" t="s">
        <v>5765</v>
      </c>
      <c r="O2907" s="20" t="s">
        <v>56</v>
      </c>
      <c r="P2907" s="20"/>
      <c r="Q2907" s="22"/>
      <c r="R2907" s="22"/>
      <c r="S2907" s="22"/>
      <c r="T2907" s="26"/>
      <c r="U2907" s="26"/>
      <c r="V2907" s="26"/>
      <c r="W2907" s="20"/>
      <c r="X2907" s="20"/>
      <c r="Y2907" s="20"/>
      <c r="Z2907" s="20"/>
      <c r="AA2907" s="20"/>
      <c r="AB2907" s="20"/>
      <c r="AC2907" s="20"/>
      <c r="AD2907" s="20"/>
      <c r="AE2907" s="20"/>
    </row>
    <row r="2908">
      <c r="A2908" s="21">
        <v>68.0</v>
      </c>
      <c r="B2908" s="20" t="s">
        <v>1293</v>
      </c>
      <c r="C2908" s="20" t="s">
        <v>6164</v>
      </c>
      <c r="I2908" s="25" t="s">
        <v>3679</v>
      </c>
      <c r="J2908" s="25" t="s">
        <v>5589</v>
      </c>
      <c r="K2908" s="25" t="s">
        <v>71</v>
      </c>
      <c r="L2908" s="25" t="s">
        <v>6172</v>
      </c>
      <c r="M2908" s="20" t="s">
        <v>61</v>
      </c>
      <c r="N2908" s="20" t="s">
        <v>5767</v>
      </c>
      <c r="O2908" s="20" t="s">
        <v>56</v>
      </c>
      <c r="P2908" s="20"/>
      <c r="Q2908" s="22"/>
      <c r="R2908" s="22"/>
      <c r="S2908" s="22"/>
      <c r="T2908" s="26"/>
      <c r="U2908" s="26"/>
      <c r="V2908" s="26"/>
      <c r="W2908" s="20"/>
      <c r="X2908" s="20"/>
      <c r="Y2908" s="20"/>
      <c r="Z2908" s="20"/>
      <c r="AA2908" s="20"/>
      <c r="AB2908" s="20"/>
      <c r="AC2908" s="20"/>
      <c r="AD2908" s="20"/>
      <c r="AE2908" s="20"/>
    </row>
    <row r="2909">
      <c r="A2909" s="21">
        <v>68.0</v>
      </c>
      <c r="B2909" s="20" t="s">
        <v>1293</v>
      </c>
      <c r="C2909" s="20" t="s">
        <v>6164</v>
      </c>
      <c r="I2909" s="25" t="s">
        <v>53</v>
      </c>
      <c r="J2909" s="25" t="s">
        <v>5546</v>
      </c>
      <c r="K2909" s="25" t="s">
        <v>71</v>
      </c>
      <c r="L2909" s="25" t="s">
        <v>6175</v>
      </c>
      <c r="M2909" s="20" t="s">
        <v>61</v>
      </c>
      <c r="N2909" s="20" t="s">
        <v>5596</v>
      </c>
      <c r="O2909" s="20" t="s">
        <v>56</v>
      </c>
      <c r="P2909" s="20" t="s">
        <v>52</v>
      </c>
      <c r="Q2909" s="22"/>
      <c r="R2909" s="22"/>
      <c r="S2909" s="22"/>
      <c r="T2909" s="26"/>
      <c r="U2909" s="26"/>
      <c r="V2909" s="26"/>
      <c r="W2909" s="20"/>
      <c r="X2909" s="20"/>
      <c r="Y2909" s="20"/>
      <c r="Z2909" s="20"/>
      <c r="AA2909" s="20"/>
      <c r="AB2909" s="20"/>
      <c r="AC2909" s="20"/>
      <c r="AD2909" s="20"/>
      <c r="AE2909" s="20"/>
    </row>
    <row r="2910">
      <c r="A2910" s="21">
        <v>68.0</v>
      </c>
      <c r="B2910" s="20" t="s">
        <v>1293</v>
      </c>
      <c r="C2910" s="20" t="s">
        <v>6164</v>
      </c>
      <c r="I2910" s="25" t="s">
        <v>50</v>
      </c>
      <c r="J2910" s="25" t="s">
        <v>5546</v>
      </c>
      <c r="K2910" s="25" t="s">
        <v>71</v>
      </c>
      <c r="L2910" s="25" t="s">
        <v>6176</v>
      </c>
      <c r="M2910" s="20" t="s">
        <v>61</v>
      </c>
      <c r="N2910" s="20" t="s">
        <v>4871</v>
      </c>
      <c r="O2910" s="20" t="s">
        <v>56</v>
      </c>
      <c r="P2910" s="20" t="s">
        <v>52</v>
      </c>
      <c r="Q2910" s="22"/>
      <c r="R2910" s="22"/>
      <c r="S2910" s="22"/>
      <c r="T2910" s="26"/>
      <c r="U2910" s="26"/>
      <c r="V2910" s="26"/>
      <c r="W2910" s="20"/>
      <c r="X2910" s="20"/>
      <c r="Y2910" s="20"/>
      <c r="Z2910" s="20"/>
      <c r="AA2910" s="20"/>
      <c r="AB2910" s="20"/>
      <c r="AC2910" s="20"/>
      <c r="AD2910" s="20"/>
      <c r="AE2910" s="20"/>
    </row>
    <row r="2911">
      <c r="A2911" s="21">
        <v>68.0</v>
      </c>
      <c r="B2911" s="20" t="s">
        <v>1293</v>
      </c>
      <c r="C2911" s="20" t="s">
        <v>6164</v>
      </c>
      <c r="I2911" s="25" t="s">
        <v>91</v>
      </c>
      <c r="J2911" s="25" t="s">
        <v>5546</v>
      </c>
      <c r="K2911" s="25" t="s">
        <v>71</v>
      </c>
      <c r="L2911" s="25" t="s">
        <v>5947</v>
      </c>
      <c r="M2911" s="20" t="s">
        <v>61</v>
      </c>
      <c r="N2911" s="20" t="s">
        <v>5597</v>
      </c>
      <c r="O2911" s="20" t="s">
        <v>56</v>
      </c>
      <c r="P2911" s="20" t="s">
        <v>52</v>
      </c>
      <c r="Q2911" s="22"/>
      <c r="R2911" s="22"/>
      <c r="S2911" s="22"/>
      <c r="T2911" s="26"/>
      <c r="U2911" s="26"/>
      <c r="V2911" s="26"/>
      <c r="W2911" s="20"/>
      <c r="X2911" s="20"/>
      <c r="Y2911" s="20"/>
      <c r="Z2911" s="20"/>
      <c r="AA2911" s="20"/>
      <c r="AB2911" s="20"/>
      <c r="AC2911" s="20"/>
      <c r="AD2911" s="20"/>
      <c r="AE2911" s="20"/>
    </row>
    <row r="2912">
      <c r="A2912" s="21">
        <v>68.0</v>
      </c>
      <c r="B2912" s="20" t="s">
        <v>1293</v>
      </c>
      <c r="C2912" s="20" t="s">
        <v>6164</v>
      </c>
      <c r="I2912" s="25" t="s">
        <v>140</v>
      </c>
      <c r="J2912" s="25" t="s">
        <v>5546</v>
      </c>
      <c r="K2912" s="25" t="s">
        <v>71</v>
      </c>
      <c r="L2912" s="25" t="s">
        <v>6177</v>
      </c>
      <c r="M2912" s="20" t="s">
        <v>61</v>
      </c>
      <c r="N2912" s="20" t="s">
        <v>5598</v>
      </c>
      <c r="O2912" s="20" t="s">
        <v>56</v>
      </c>
      <c r="P2912" s="20" t="s">
        <v>52</v>
      </c>
      <c r="Q2912" s="22"/>
      <c r="R2912" s="22"/>
      <c r="S2912" s="22"/>
      <c r="T2912" s="26"/>
      <c r="U2912" s="26"/>
      <c r="V2912" s="26"/>
      <c r="W2912" s="20"/>
      <c r="X2912" s="20"/>
      <c r="Y2912" s="20"/>
      <c r="Z2912" s="20"/>
      <c r="AA2912" s="20"/>
      <c r="AB2912" s="20"/>
      <c r="AC2912" s="20"/>
      <c r="AD2912" s="20"/>
      <c r="AE2912" s="20"/>
    </row>
    <row r="2913">
      <c r="A2913" s="21">
        <v>68.0</v>
      </c>
      <c r="B2913" s="20" t="s">
        <v>1293</v>
      </c>
      <c r="C2913" s="20" t="s">
        <v>6164</v>
      </c>
      <c r="I2913" s="25" t="s">
        <v>64</v>
      </c>
      <c r="J2913" s="25" t="s">
        <v>5546</v>
      </c>
      <c r="K2913" s="25" t="s">
        <v>71</v>
      </c>
      <c r="L2913" s="25" t="s">
        <v>5949</v>
      </c>
      <c r="M2913" s="20" t="s">
        <v>61</v>
      </c>
      <c r="N2913" s="20" t="s">
        <v>5600</v>
      </c>
      <c r="O2913" s="20" t="s">
        <v>56</v>
      </c>
      <c r="P2913" s="20" t="s">
        <v>52</v>
      </c>
      <c r="Q2913" s="22"/>
      <c r="R2913" s="22"/>
      <c r="S2913" s="22"/>
      <c r="T2913" s="26"/>
      <c r="U2913" s="26"/>
      <c r="V2913" s="26"/>
      <c r="W2913" s="20"/>
      <c r="X2913" s="20"/>
      <c r="Y2913" s="20"/>
      <c r="Z2913" s="20"/>
      <c r="AA2913" s="20"/>
      <c r="AB2913" s="20"/>
      <c r="AC2913" s="20"/>
      <c r="AD2913" s="20"/>
      <c r="AE2913" s="20"/>
    </row>
    <row r="2914">
      <c r="A2914" s="21">
        <v>68.0</v>
      </c>
      <c r="B2914" s="20" t="s">
        <v>1293</v>
      </c>
      <c r="C2914" s="20" t="s">
        <v>6164</v>
      </c>
      <c r="I2914" s="25" t="s">
        <v>94</v>
      </c>
      <c r="J2914" s="25" t="s">
        <v>5546</v>
      </c>
      <c r="K2914" s="25" t="s">
        <v>71</v>
      </c>
      <c r="L2914" s="25" t="s">
        <v>6178</v>
      </c>
      <c r="M2914" s="20" t="s">
        <v>61</v>
      </c>
      <c r="N2914" s="20" t="s">
        <v>5601</v>
      </c>
      <c r="O2914" s="20" t="s">
        <v>56</v>
      </c>
      <c r="P2914" s="20" t="s">
        <v>52</v>
      </c>
      <c r="Q2914" s="22"/>
      <c r="R2914" s="22"/>
      <c r="S2914" s="22"/>
      <c r="T2914" s="26"/>
      <c r="U2914" s="26"/>
      <c r="V2914" s="26"/>
      <c r="W2914" s="20"/>
      <c r="X2914" s="20"/>
      <c r="Y2914" s="20"/>
      <c r="Z2914" s="20"/>
      <c r="AA2914" s="20"/>
      <c r="AB2914" s="20"/>
      <c r="AC2914" s="20"/>
      <c r="AD2914" s="20"/>
      <c r="AE2914" s="20"/>
    </row>
    <row r="2915">
      <c r="A2915" s="21">
        <v>68.0</v>
      </c>
      <c r="B2915" s="20" t="s">
        <v>1293</v>
      </c>
      <c r="C2915" s="20" t="s">
        <v>6164</v>
      </c>
      <c r="I2915" s="25" t="s">
        <v>4581</v>
      </c>
      <c r="J2915" s="25" t="s">
        <v>5546</v>
      </c>
      <c r="K2915" s="25" t="s">
        <v>71</v>
      </c>
      <c r="L2915" s="25" t="s">
        <v>5950</v>
      </c>
      <c r="M2915" s="20" t="s">
        <v>61</v>
      </c>
      <c r="N2915" s="20" t="s">
        <v>5602</v>
      </c>
      <c r="O2915" s="20" t="s">
        <v>56</v>
      </c>
      <c r="P2915" s="20" t="s">
        <v>52</v>
      </c>
      <c r="Q2915" s="22"/>
      <c r="R2915" s="22"/>
      <c r="S2915" s="22"/>
      <c r="T2915" s="26"/>
      <c r="U2915" s="26"/>
      <c r="V2915" s="26"/>
      <c r="W2915" s="20"/>
      <c r="X2915" s="20"/>
      <c r="Y2915" s="20"/>
      <c r="Z2915" s="20"/>
      <c r="AA2915" s="20"/>
      <c r="AB2915" s="20"/>
      <c r="AC2915" s="20"/>
      <c r="AD2915" s="20"/>
      <c r="AE2915" s="20"/>
    </row>
    <row r="2916">
      <c r="A2916" s="21">
        <v>68.0</v>
      </c>
      <c r="B2916" s="20" t="s">
        <v>1293</v>
      </c>
      <c r="C2916" s="20" t="s">
        <v>6164</v>
      </c>
      <c r="I2916" s="25" t="s">
        <v>96</v>
      </c>
      <c r="J2916" s="25" t="s">
        <v>5546</v>
      </c>
      <c r="K2916" s="25" t="s">
        <v>71</v>
      </c>
      <c r="L2916" s="25" t="s">
        <v>6179</v>
      </c>
      <c r="M2916" s="20" t="s">
        <v>61</v>
      </c>
      <c r="N2916" s="20" t="s">
        <v>5603</v>
      </c>
      <c r="O2916" s="20" t="s">
        <v>56</v>
      </c>
      <c r="P2916" s="20" t="s">
        <v>52</v>
      </c>
      <c r="Q2916" s="22"/>
      <c r="R2916" s="22"/>
      <c r="S2916" s="22"/>
      <c r="T2916" s="26"/>
      <c r="U2916" s="26"/>
      <c r="V2916" s="26"/>
      <c r="W2916" s="20"/>
      <c r="X2916" s="20"/>
      <c r="Y2916" s="20"/>
      <c r="Z2916" s="20"/>
      <c r="AA2916" s="20"/>
      <c r="AB2916" s="20"/>
      <c r="AC2916" s="20"/>
      <c r="AD2916" s="20"/>
      <c r="AE2916" s="20"/>
    </row>
    <row r="2917">
      <c r="A2917" s="21">
        <v>68.0</v>
      </c>
      <c r="B2917" s="20" t="s">
        <v>1293</v>
      </c>
      <c r="C2917" s="20" t="s">
        <v>6164</v>
      </c>
      <c r="I2917" s="25" t="s">
        <v>98</v>
      </c>
      <c r="J2917" s="25" t="s">
        <v>5546</v>
      </c>
      <c r="K2917" s="25" t="s">
        <v>71</v>
      </c>
      <c r="L2917" s="25" t="s">
        <v>6180</v>
      </c>
      <c r="M2917" s="20" t="s">
        <v>61</v>
      </c>
      <c r="N2917" s="20" t="s">
        <v>5604</v>
      </c>
      <c r="O2917" s="20" t="s">
        <v>56</v>
      </c>
      <c r="P2917" s="20" t="s">
        <v>52</v>
      </c>
      <c r="Q2917" s="22"/>
      <c r="R2917" s="22"/>
      <c r="S2917" s="22"/>
      <c r="T2917" s="20"/>
      <c r="U2917" s="26"/>
      <c r="V2917" s="26"/>
      <c r="W2917" s="20"/>
      <c r="X2917" s="20"/>
      <c r="Y2917" s="20"/>
      <c r="Z2917" s="20"/>
      <c r="AA2917" s="20"/>
      <c r="AB2917" s="20"/>
      <c r="AC2917" s="20"/>
      <c r="AD2917" s="20"/>
      <c r="AE2917" s="20"/>
    </row>
    <row r="2918">
      <c r="A2918" s="21">
        <v>68.0</v>
      </c>
      <c r="B2918" s="20" t="s">
        <v>1293</v>
      </c>
      <c r="C2918" s="20" t="s">
        <v>6164</v>
      </c>
      <c r="I2918" s="25" t="s">
        <v>101</v>
      </c>
      <c r="J2918" s="25" t="s">
        <v>5589</v>
      </c>
      <c r="K2918" s="25" t="s">
        <v>71</v>
      </c>
      <c r="L2918" s="25" t="s">
        <v>5950</v>
      </c>
      <c r="M2918" s="20" t="s">
        <v>102</v>
      </c>
      <c r="N2918" s="20" t="s">
        <v>5768</v>
      </c>
      <c r="O2918" s="20" t="s">
        <v>56</v>
      </c>
      <c r="P2918" s="20" t="s">
        <v>52</v>
      </c>
      <c r="Q2918" s="22"/>
      <c r="R2918" s="22"/>
      <c r="S2918" s="22"/>
      <c r="T2918" s="20"/>
      <c r="U2918" s="26"/>
      <c r="V2918" s="26"/>
      <c r="W2918" s="20"/>
      <c r="X2918" s="20"/>
      <c r="Y2918" s="20"/>
      <c r="Z2918" s="20"/>
      <c r="AA2918" s="20"/>
      <c r="AB2918" s="20"/>
      <c r="AC2918" s="20"/>
      <c r="AD2918" s="20"/>
      <c r="AE2918" s="20"/>
    </row>
    <row r="2919">
      <c r="A2919" s="21">
        <v>68.0</v>
      </c>
      <c r="B2919" s="20" t="s">
        <v>1293</v>
      </c>
      <c r="C2919" s="20" t="s">
        <v>6164</v>
      </c>
      <c r="I2919" s="25" t="s">
        <v>68</v>
      </c>
      <c r="J2919" s="25" t="s">
        <v>5546</v>
      </c>
      <c r="K2919" s="25" t="s">
        <v>71</v>
      </c>
      <c r="L2919" s="25" t="s">
        <v>6176</v>
      </c>
      <c r="M2919" s="20" t="s">
        <v>61</v>
      </c>
      <c r="N2919" s="20" t="s">
        <v>5605</v>
      </c>
      <c r="O2919" s="20" t="s">
        <v>56</v>
      </c>
      <c r="P2919" s="20" t="s">
        <v>52</v>
      </c>
      <c r="Q2919" s="22"/>
      <c r="R2919" s="22"/>
      <c r="S2919" s="22"/>
      <c r="T2919" s="20"/>
      <c r="U2919" s="26"/>
      <c r="V2919" s="26"/>
      <c r="W2919" s="20"/>
      <c r="X2919" s="20"/>
      <c r="Y2919" s="20"/>
      <c r="Z2919" s="20"/>
      <c r="AA2919" s="20"/>
      <c r="AB2919" s="20"/>
      <c r="AC2919" s="20"/>
      <c r="AD2919" s="20"/>
      <c r="AE2919" s="20"/>
    </row>
    <row r="2920">
      <c r="A2920" s="21">
        <v>68.0</v>
      </c>
      <c r="B2920" s="20" t="s">
        <v>1293</v>
      </c>
      <c r="C2920" s="20" t="s">
        <v>6164</v>
      </c>
      <c r="I2920" s="25" t="s">
        <v>75</v>
      </c>
      <c r="J2920" s="25" t="s">
        <v>5546</v>
      </c>
      <c r="K2920" s="25" t="s">
        <v>71</v>
      </c>
      <c r="L2920" s="25" t="s">
        <v>6181</v>
      </c>
      <c r="M2920" s="20" t="s">
        <v>61</v>
      </c>
      <c r="N2920" s="20" t="s">
        <v>5606</v>
      </c>
      <c r="O2920" s="20" t="s">
        <v>56</v>
      </c>
      <c r="P2920" s="20" t="s">
        <v>52</v>
      </c>
      <c r="Q2920" s="22"/>
      <c r="R2920" s="22"/>
      <c r="S2920" s="22"/>
      <c r="T2920" s="20"/>
      <c r="U2920" s="26"/>
      <c r="V2920" s="26"/>
      <c r="W2920" s="20"/>
      <c r="X2920" s="20"/>
      <c r="Y2920" s="20"/>
      <c r="Z2920" s="20"/>
      <c r="AA2920" s="20"/>
      <c r="AB2920" s="20"/>
      <c r="AC2920" s="20"/>
      <c r="AD2920" s="20"/>
      <c r="AE2920" s="20"/>
    </row>
    <row r="2921">
      <c r="A2921" s="21">
        <v>68.0</v>
      </c>
      <c r="B2921" s="20" t="s">
        <v>1293</v>
      </c>
      <c r="C2921" s="20" t="s">
        <v>6164</v>
      </c>
      <c r="I2921" s="25" t="s">
        <v>174</v>
      </c>
      <c r="J2921" s="25" t="s">
        <v>5546</v>
      </c>
      <c r="K2921" s="25" t="s">
        <v>71</v>
      </c>
      <c r="L2921" s="25" t="s">
        <v>6181</v>
      </c>
      <c r="M2921" s="20" t="s">
        <v>61</v>
      </c>
      <c r="N2921" s="20" t="s">
        <v>5608</v>
      </c>
      <c r="O2921" s="20" t="s">
        <v>56</v>
      </c>
      <c r="P2921" s="20" t="s">
        <v>52</v>
      </c>
      <c r="Q2921" s="22"/>
      <c r="R2921" s="22"/>
      <c r="S2921" s="22"/>
      <c r="T2921" s="20"/>
      <c r="U2921" s="26"/>
      <c r="V2921" s="26"/>
      <c r="W2921" s="20"/>
      <c r="X2921" s="20"/>
      <c r="Y2921" s="20"/>
      <c r="Z2921" s="20"/>
      <c r="AA2921" s="20"/>
      <c r="AB2921" s="20"/>
      <c r="AC2921" s="20"/>
      <c r="AD2921" s="20"/>
      <c r="AE2921" s="20"/>
    </row>
    <row r="2922">
      <c r="A2922" s="21">
        <v>68.0</v>
      </c>
      <c r="B2922" s="20" t="s">
        <v>1293</v>
      </c>
      <c r="C2922" s="20" t="s">
        <v>6164</v>
      </c>
      <c r="I2922" s="25" t="s">
        <v>206</v>
      </c>
      <c r="J2922" s="25" t="s">
        <v>5589</v>
      </c>
      <c r="K2922" s="25" t="s">
        <v>71</v>
      </c>
      <c r="L2922" s="25" t="s">
        <v>6182</v>
      </c>
      <c r="M2922" s="20" t="s">
        <v>5770</v>
      </c>
      <c r="N2922" s="20" t="s">
        <v>5771</v>
      </c>
      <c r="O2922" s="20" t="s">
        <v>56</v>
      </c>
      <c r="P2922" s="20" t="s">
        <v>52</v>
      </c>
      <c r="Q2922" s="22"/>
      <c r="R2922" s="22"/>
      <c r="S2922" s="22"/>
      <c r="T2922" s="20"/>
      <c r="U2922" s="26"/>
      <c r="V2922" s="26"/>
      <c r="W2922" s="20"/>
      <c r="X2922" s="20"/>
      <c r="Y2922" s="20"/>
      <c r="Z2922" s="20"/>
      <c r="AA2922" s="20"/>
      <c r="AB2922" s="20"/>
      <c r="AC2922" s="20"/>
      <c r="AD2922" s="20"/>
      <c r="AE2922" s="20"/>
    </row>
    <row r="2923">
      <c r="A2923" s="21">
        <v>68.0</v>
      </c>
      <c r="B2923" s="20" t="s">
        <v>1293</v>
      </c>
      <c r="C2923" s="20" t="s">
        <v>6164</v>
      </c>
      <c r="I2923" s="25" t="s">
        <v>3022</v>
      </c>
      <c r="J2923" s="25" t="s">
        <v>5546</v>
      </c>
      <c r="K2923" s="25" t="s">
        <v>67</v>
      </c>
      <c r="L2923" s="25" t="s">
        <v>1025</v>
      </c>
      <c r="M2923" s="20" t="s">
        <v>5547</v>
      </c>
      <c r="N2923" s="20" t="s">
        <v>5548</v>
      </c>
      <c r="O2923" s="20" t="s">
        <v>56</v>
      </c>
      <c r="P2923" s="20" t="s">
        <v>52</v>
      </c>
      <c r="Q2923" s="22"/>
      <c r="R2923" s="22"/>
      <c r="S2923" s="22"/>
      <c r="T2923" s="22"/>
      <c r="U2923" s="26"/>
      <c r="V2923" s="26"/>
      <c r="W2923" s="20"/>
      <c r="X2923" s="20"/>
      <c r="Y2923" s="20"/>
      <c r="Z2923" s="20"/>
      <c r="AA2923" s="20"/>
      <c r="AB2923" s="20"/>
      <c r="AC2923" s="20"/>
      <c r="AD2923" s="20"/>
      <c r="AE2923" s="20"/>
    </row>
    <row r="2924">
      <c r="A2924" s="21">
        <v>68.0</v>
      </c>
      <c r="B2924" s="20" t="s">
        <v>1293</v>
      </c>
      <c r="C2924" s="20" t="s">
        <v>6164</v>
      </c>
      <c r="I2924" s="25" t="s">
        <v>186</v>
      </c>
      <c r="J2924" s="25" t="s">
        <v>5589</v>
      </c>
      <c r="K2924" s="25" t="s">
        <v>71</v>
      </c>
      <c r="L2924" s="25" t="s">
        <v>6183</v>
      </c>
      <c r="M2924" s="20" t="s">
        <v>5773</v>
      </c>
      <c r="N2924" s="20" t="s">
        <v>5774</v>
      </c>
      <c r="O2924" s="20" t="s">
        <v>56</v>
      </c>
      <c r="P2924" s="20" t="s">
        <v>52</v>
      </c>
      <c r="Q2924" s="22"/>
      <c r="R2924" s="22"/>
      <c r="S2924" s="22"/>
      <c r="T2924" s="20"/>
      <c r="U2924" s="26"/>
      <c r="V2924" s="26"/>
      <c r="W2924" s="20"/>
      <c r="X2924" s="20"/>
      <c r="Y2924" s="20"/>
      <c r="Z2924" s="20"/>
      <c r="AA2924" s="20"/>
      <c r="AB2924" s="20"/>
      <c r="AC2924" s="20"/>
      <c r="AD2924" s="20"/>
      <c r="AE2924" s="20"/>
    </row>
    <row r="2925">
      <c r="A2925" s="21">
        <v>68.0</v>
      </c>
      <c r="B2925" s="20" t="s">
        <v>1293</v>
      </c>
      <c r="C2925" s="20" t="s">
        <v>6164</v>
      </c>
      <c r="I2925" s="25" t="s">
        <v>160</v>
      </c>
      <c r="J2925" s="25" t="s">
        <v>5589</v>
      </c>
      <c r="K2925" s="25" t="s">
        <v>71</v>
      </c>
      <c r="L2925" s="25" t="s">
        <v>5947</v>
      </c>
      <c r="M2925" s="20" t="s">
        <v>5775</v>
      </c>
      <c r="N2925" s="20" t="s">
        <v>5777</v>
      </c>
      <c r="O2925" s="20" t="s">
        <v>56</v>
      </c>
      <c r="P2925" s="20" t="s">
        <v>52</v>
      </c>
      <c r="Q2925" s="22"/>
      <c r="R2925" s="22"/>
      <c r="S2925" s="22"/>
      <c r="T2925" s="20"/>
      <c r="U2925" s="26"/>
      <c r="V2925" s="26"/>
      <c r="W2925" s="20"/>
      <c r="X2925" s="20"/>
      <c r="Y2925" s="20"/>
      <c r="Z2925" s="20"/>
      <c r="AA2925" s="20"/>
      <c r="AB2925" s="20"/>
      <c r="AC2925" s="20"/>
      <c r="AD2925" s="20"/>
      <c r="AE2925" s="20"/>
    </row>
    <row r="2926">
      <c r="A2926" s="21">
        <v>68.0</v>
      </c>
      <c r="B2926" s="20" t="s">
        <v>1293</v>
      </c>
      <c r="C2926" s="20" t="s">
        <v>6164</v>
      </c>
      <c r="I2926" s="25" t="s">
        <v>2508</v>
      </c>
      <c r="J2926" s="25" t="s">
        <v>5546</v>
      </c>
      <c r="K2926" s="25" t="s">
        <v>71</v>
      </c>
      <c r="L2926" s="25" t="s">
        <v>6184</v>
      </c>
      <c r="M2926" s="20" t="s">
        <v>61</v>
      </c>
      <c r="N2926" s="20" t="s">
        <v>5609</v>
      </c>
      <c r="O2926" s="20" t="s">
        <v>56</v>
      </c>
      <c r="P2926" s="20" t="s">
        <v>52</v>
      </c>
      <c r="Q2926" s="22"/>
      <c r="R2926" s="22"/>
      <c r="S2926" s="22"/>
      <c r="T2926" s="20"/>
      <c r="U2926" s="26"/>
      <c r="V2926" s="26"/>
      <c r="W2926" s="20"/>
      <c r="X2926" s="20"/>
      <c r="Y2926" s="20"/>
      <c r="Z2926" s="20"/>
      <c r="AA2926" s="20"/>
      <c r="AB2926" s="20"/>
      <c r="AC2926" s="20"/>
      <c r="AD2926" s="20"/>
      <c r="AE2926" s="20"/>
    </row>
    <row r="2927">
      <c r="A2927" s="21">
        <v>68.0</v>
      </c>
      <c r="B2927" s="20" t="s">
        <v>1293</v>
      </c>
      <c r="C2927" s="20" t="s">
        <v>6164</v>
      </c>
      <c r="I2927" s="25" t="s">
        <v>4526</v>
      </c>
      <c r="J2927" s="25" t="s">
        <v>5589</v>
      </c>
      <c r="K2927" s="25" t="s">
        <v>71</v>
      </c>
      <c r="L2927" s="25" t="s">
        <v>6185</v>
      </c>
      <c r="M2927" s="20" t="s">
        <v>5778</v>
      </c>
      <c r="N2927" s="20" t="s">
        <v>5779</v>
      </c>
      <c r="O2927" s="20" t="s">
        <v>56</v>
      </c>
      <c r="P2927" s="20" t="s">
        <v>52</v>
      </c>
      <c r="Q2927" s="22"/>
      <c r="R2927" s="22"/>
      <c r="S2927" s="22"/>
      <c r="T2927" s="20"/>
      <c r="U2927" s="26"/>
      <c r="V2927" s="26"/>
      <c r="W2927" s="20"/>
      <c r="X2927" s="20"/>
      <c r="Y2927" s="20"/>
      <c r="Z2927" s="20"/>
      <c r="AA2927" s="20"/>
      <c r="AB2927" s="20"/>
      <c r="AC2927" s="20"/>
      <c r="AD2927" s="20"/>
      <c r="AE2927" s="20"/>
    </row>
    <row r="2928">
      <c r="A2928" s="21">
        <v>68.0</v>
      </c>
      <c r="B2928" s="20" t="s">
        <v>1293</v>
      </c>
      <c r="C2928" s="20" t="s">
        <v>6164</v>
      </c>
      <c r="I2928" s="25" t="s">
        <v>60</v>
      </c>
      <c r="J2928" s="25" t="s">
        <v>5546</v>
      </c>
      <c r="K2928" s="25" t="s">
        <v>71</v>
      </c>
      <c r="L2928" s="25" t="s">
        <v>6186</v>
      </c>
      <c r="M2928" s="20" t="s">
        <v>61</v>
      </c>
      <c r="N2928" s="20" t="s">
        <v>4119</v>
      </c>
      <c r="O2928" s="20" t="s">
        <v>56</v>
      </c>
      <c r="P2928" s="20" t="s">
        <v>52</v>
      </c>
      <c r="Q2928" s="22"/>
      <c r="R2928" s="22"/>
      <c r="S2928" s="22"/>
      <c r="T2928" s="20"/>
      <c r="U2928" s="26"/>
      <c r="V2928" s="26"/>
      <c r="W2928" s="20"/>
      <c r="X2928" s="20"/>
      <c r="Y2928" s="20"/>
      <c r="Z2928" s="20"/>
      <c r="AA2928" s="20"/>
      <c r="AB2928" s="20"/>
      <c r="AC2928" s="20"/>
      <c r="AD2928" s="20"/>
      <c r="AE2928" s="20"/>
    </row>
    <row r="2929">
      <c r="A2929" s="21">
        <v>68.0</v>
      </c>
      <c r="B2929" s="20" t="s">
        <v>1293</v>
      </c>
      <c r="C2929" s="20" t="s">
        <v>6164</v>
      </c>
      <c r="I2929" s="25" t="s">
        <v>78</v>
      </c>
      <c r="J2929" s="25" t="s">
        <v>5589</v>
      </c>
      <c r="K2929" s="25" t="s">
        <v>71</v>
      </c>
      <c r="L2929" s="25" t="s">
        <v>5954</v>
      </c>
      <c r="M2929" s="20" t="s">
        <v>61</v>
      </c>
      <c r="N2929" s="20" t="s">
        <v>5780</v>
      </c>
      <c r="O2929" s="20" t="s">
        <v>56</v>
      </c>
      <c r="P2929" s="20" t="s">
        <v>52</v>
      </c>
      <c r="Q2929" s="22"/>
      <c r="R2929" s="22"/>
      <c r="S2929" s="22"/>
      <c r="T2929" s="20"/>
      <c r="U2929" s="26"/>
      <c r="V2929" s="26"/>
      <c r="W2929" s="20"/>
      <c r="X2929" s="20"/>
      <c r="Y2929" s="20"/>
      <c r="Z2929" s="20"/>
      <c r="AA2929" s="20"/>
      <c r="AB2929" s="20"/>
      <c r="AC2929" s="20"/>
      <c r="AD2929" s="20"/>
      <c r="AE2929" s="20"/>
    </row>
    <row r="2930">
      <c r="A2930" s="21">
        <v>68.0</v>
      </c>
      <c r="B2930" s="20" t="s">
        <v>1293</v>
      </c>
      <c r="C2930" s="20" t="s">
        <v>6164</v>
      </c>
      <c r="I2930" s="25" t="s">
        <v>1690</v>
      </c>
      <c r="J2930" s="25" t="s">
        <v>5546</v>
      </c>
      <c r="K2930" s="25" t="s">
        <v>71</v>
      </c>
      <c r="L2930" s="25" t="s">
        <v>6186</v>
      </c>
      <c r="M2930" s="20" t="s">
        <v>61</v>
      </c>
      <c r="N2930" s="20" t="s">
        <v>5610</v>
      </c>
      <c r="O2930" s="20" t="s">
        <v>56</v>
      </c>
      <c r="P2930" s="20" t="s">
        <v>52</v>
      </c>
      <c r="Q2930" s="22"/>
      <c r="R2930" s="22"/>
      <c r="S2930" s="22"/>
      <c r="T2930" s="20"/>
      <c r="U2930" s="26"/>
      <c r="V2930" s="26"/>
      <c r="W2930" s="20"/>
      <c r="X2930" s="20"/>
      <c r="Y2930" s="20"/>
      <c r="Z2930" s="20"/>
      <c r="AA2930" s="20"/>
      <c r="AB2930" s="20"/>
      <c r="AC2930" s="20"/>
      <c r="AD2930" s="20"/>
      <c r="AE2930" s="20"/>
    </row>
    <row r="2931">
      <c r="A2931" s="21">
        <v>68.0</v>
      </c>
      <c r="B2931" s="20" t="s">
        <v>1293</v>
      </c>
      <c r="C2931" s="20" t="s">
        <v>6164</v>
      </c>
      <c r="I2931" s="25" t="s">
        <v>109</v>
      </c>
      <c r="J2931" s="25" t="s">
        <v>5546</v>
      </c>
      <c r="K2931" s="25" t="s">
        <v>71</v>
      </c>
      <c r="L2931" s="25" t="s">
        <v>6178</v>
      </c>
      <c r="M2931" s="20" t="s">
        <v>61</v>
      </c>
      <c r="N2931" s="20" t="s">
        <v>5611</v>
      </c>
      <c r="O2931" s="20" t="s">
        <v>56</v>
      </c>
      <c r="P2931" s="20" t="s">
        <v>52</v>
      </c>
      <c r="Q2931" s="22"/>
      <c r="R2931" s="22"/>
      <c r="S2931" s="22"/>
      <c r="T2931" s="20"/>
      <c r="U2931" s="26"/>
      <c r="V2931" s="26"/>
      <c r="W2931" s="20"/>
      <c r="X2931" s="20"/>
      <c r="Y2931" s="20"/>
      <c r="Z2931" s="20"/>
      <c r="AA2931" s="20"/>
      <c r="AB2931" s="20"/>
      <c r="AC2931" s="20"/>
      <c r="AD2931" s="20"/>
      <c r="AE2931" s="20"/>
    </row>
    <row r="2932">
      <c r="A2932" s="21">
        <v>68.0</v>
      </c>
      <c r="B2932" s="20" t="s">
        <v>1293</v>
      </c>
      <c r="C2932" s="20" t="s">
        <v>6164</v>
      </c>
      <c r="I2932" s="25" t="s">
        <v>193</v>
      </c>
      <c r="J2932" s="25" t="s">
        <v>5587</v>
      </c>
      <c r="K2932" s="25" t="s">
        <v>71</v>
      </c>
      <c r="L2932" s="25" t="s">
        <v>6183</v>
      </c>
      <c r="M2932" s="20" t="s">
        <v>5729</v>
      </c>
      <c r="N2932" s="20" t="s">
        <v>5730</v>
      </c>
      <c r="O2932" s="20" t="s">
        <v>56</v>
      </c>
      <c r="P2932" s="20" t="s">
        <v>52</v>
      </c>
      <c r="Q2932" s="22"/>
      <c r="R2932" s="22"/>
      <c r="S2932" s="22"/>
      <c r="T2932" s="20"/>
      <c r="U2932" s="26"/>
      <c r="V2932" s="26"/>
      <c r="W2932" s="20"/>
      <c r="X2932" s="20"/>
      <c r="Y2932" s="20"/>
      <c r="Z2932" s="20"/>
      <c r="AA2932" s="20"/>
      <c r="AB2932" s="20"/>
      <c r="AC2932" s="20"/>
      <c r="AD2932" s="20"/>
      <c r="AE2932" s="20"/>
    </row>
    <row r="2933">
      <c r="A2933" s="21">
        <v>68.0</v>
      </c>
      <c r="B2933" s="20" t="s">
        <v>1293</v>
      </c>
      <c r="C2933" s="20" t="s">
        <v>6164</v>
      </c>
      <c r="I2933" s="25" t="s">
        <v>1884</v>
      </c>
      <c r="J2933" s="25" t="s">
        <v>5546</v>
      </c>
      <c r="K2933" s="25" t="s">
        <v>71</v>
      </c>
      <c r="L2933" s="25" t="s">
        <v>5967</v>
      </c>
      <c r="M2933" s="20" t="s">
        <v>61</v>
      </c>
      <c r="N2933" s="20" t="s">
        <v>5612</v>
      </c>
      <c r="O2933" s="20" t="s">
        <v>56</v>
      </c>
      <c r="P2933" s="20" t="s">
        <v>52</v>
      </c>
      <c r="Q2933" s="22"/>
      <c r="R2933" s="22"/>
      <c r="S2933" s="22"/>
      <c r="T2933" s="20"/>
      <c r="U2933" s="26"/>
      <c r="V2933" s="26"/>
      <c r="W2933" s="20"/>
      <c r="X2933" s="20"/>
      <c r="Y2933" s="20"/>
      <c r="Z2933" s="20"/>
      <c r="AA2933" s="20"/>
      <c r="AB2933" s="20"/>
      <c r="AC2933" s="20"/>
      <c r="AD2933" s="20"/>
      <c r="AE2933" s="20"/>
    </row>
    <row r="2934">
      <c r="A2934" s="21">
        <v>68.0</v>
      </c>
      <c r="B2934" s="20" t="s">
        <v>1293</v>
      </c>
      <c r="C2934" s="20" t="s">
        <v>6164</v>
      </c>
      <c r="I2934" s="25" t="s">
        <v>107</v>
      </c>
      <c r="J2934" s="25" t="s">
        <v>5546</v>
      </c>
      <c r="K2934" s="25" t="s">
        <v>71</v>
      </c>
      <c r="L2934" s="25" t="s">
        <v>6176</v>
      </c>
      <c r="M2934" s="20" t="s">
        <v>61</v>
      </c>
      <c r="N2934" s="20" t="s">
        <v>5613</v>
      </c>
      <c r="O2934" s="20" t="s">
        <v>56</v>
      </c>
      <c r="P2934" s="20" t="s">
        <v>52</v>
      </c>
      <c r="Q2934" s="22"/>
      <c r="R2934" s="22"/>
      <c r="S2934" s="22"/>
      <c r="T2934" s="20"/>
      <c r="U2934" s="26"/>
      <c r="V2934" s="26"/>
      <c r="W2934" s="20"/>
      <c r="X2934" s="20"/>
      <c r="Y2934" s="20"/>
      <c r="Z2934" s="20"/>
      <c r="AA2934" s="20"/>
      <c r="AB2934" s="20"/>
      <c r="AC2934" s="20"/>
      <c r="AD2934" s="20"/>
      <c r="AE2934" s="20"/>
    </row>
    <row r="2935">
      <c r="A2935" s="21">
        <v>68.0</v>
      </c>
      <c r="B2935" s="20" t="s">
        <v>1293</v>
      </c>
      <c r="C2935" s="20" t="s">
        <v>6164</v>
      </c>
      <c r="I2935" s="25" t="s">
        <v>104</v>
      </c>
      <c r="J2935" s="25" t="s">
        <v>5546</v>
      </c>
      <c r="K2935" s="25" t="s">
        <v>71</v>
      </c>
      <c r="L2935" s="25" t="s">
        <v>5954</v>
      </c>
      <c r="M2935" s="20" t="s">
        <v>61</v>
      </c>
      <c r="N2935" s="20" t="s">
        <v>5614</v>
      </c>
      <c r="O2935" s="20" t="s">
        <v>56</v>
      </c>
      <c r="P2935" s="20" t="s">
        <v>52</v>
      </c>
      <c r="Q2935" s="22"/>
      <c r="R2935" s="22"/>
      <c r="S2935" s="22"/>
      <c r="T2935" s="20"/>
      <c r="U2935" s="26"/>
      <c r="V2935" s="26"/>
      <c r="W2935" s="20"/>
      <c r="X2935" s="20"/>
      <c r="Y2935" s="20"/>
      <c r="Z2935" s="20"/>
      <c r="AA2935" s="20"/>
      <c r="AB2935" s="20"/>
      <c r="AC2935" s="20"/>
      <c r="AD2935" s="20"/>
      <c r="AE2935" s="20"/>
    </row>
    <row r="2936">
      <c r="A2936" s="21">
        <v>68.0</v>
      </c>
      <c r="B2936" s="20" t="s">
        <v>1293</v>
      </c>
      <c r="C2936" s="20" t="s">
        <v>6164</v>
      </c>
      <c r="I2936" s="25" t="s">
        <v>4587</v>
      </c>
      <c r="J2936" s="25" t="s">
        <v>5546</v>
      </c>
      <c r="K2936" s="25" t="s">
        <v>71</v>
      </c>
      <c r="L2936" s="25" t="s">
        <v>5956</v>
      </c>
      <c r="M2936" s="20" t="s">
        <v>61</v>
      </c>
      <c r="N2936" s="20" t="s">
        <v>4588</v>
      </c>
      <c r="O2936" s="20" t="s">
        <v>56</v>
      </c>
      <c r="P2936" s="20" t="s">
        <v>52</v>
      </c>
      <c r="Q2936" s="22"/>
      <c r="R2936" s="22"/>
      <c r="S2936" s="22"/>
      <c r="T2936" s="20"/>
      <c r="U2936" s="26"/>
      <c r="V2936" s="26"/>
      <c r="W2936" s="20"/>
      <c r="X2936" s="20"/>
      <c r="Y2936" s="20"/>
      <c r="Z2936" s="20"/>
      <c r="AA2936" s="20"/>
      <c r="AB2936" s="20"/>
      <c r="AC2936" s="20"/>
      <c r="AD2936" s="20"/>
      <c r="AE2936" s="20"/>
    </row>
    <row r="2937">
      <c r="A2937" s="21">
        <v>68.0</v>
      </c>
      <c r="B2937" s="20" t="s">
        <v>1293</v>
      </c>
      <c r="C2937" s="20" t="s">
        <v>6164</v>
      </c>
      <c r="I2937" s="25" t="s">
        <v>3446</v>
      </c>
      <c r="J2937" s="25" t="s">
        <v>5546</v>
      </c>
      <c r="K2937" s="25" t="s">
        <v>71</v>
      </c>
      <c r="L2937" s="25" t="s">
        <v>5954</v>
      </c>
      <c r="M2937" s="20" t="s">
        <v>61</v>
      </c>
      <c r="N2937" s="20" t="s">
        <v>5615</v>
      </c>
      <c r="O2937" s="20" t="s">
        <v>56</v>
      </c>
      <c r="P2937" s="20" t="s">
        <v>52</v>
      </c>
      <c r="Q2937" s="22"/>
      <c r="R2937" s="22"/>
      <c r="S2937" s="22"/>
      <c r="T2937" s="20"/>
      <c r="U2937" s="26"/>
      <c r="V2937" s="26"/>
      <c r="W2937" s="20"/>
      <c r="X2937" s="20"/>
      <c r="Y2937" s="20"/>
      <c r="Z2937" s="20"/>
      <c r="AA2937" s="20"/>
      <c r="AB2937" s="20"/>
      <c r="AC2937" s="20"/>
      <c r="AD2937" s="20"/>
      <c r="AE2937" s="20"/>
    </row>
    <row r="2938">
      <c r="A2938" s="21">
        <v>68.0</v>
      </c>
      <c r="B2938" s="20" t="s">
        <v>1293</v>
      </c>
      <c r="C2938" s="20" t="s">
        <v>6164</v>
      </c>
      <c r="I2938" s="25" t="s">
        <v>2551</v>
      </c>
      <c r="J2938" s="25" t="s">
        <v>5589</v>
      </c>
      <c r="K2938" s="25" t="s">
        <v>71</v>
      </c>
      <c r="L2938" s="25" t="s">
        <v>6187</v>
      </c>
      <c r="M2938" s="20" t="s">
        <v>5782</v>
      </c>
      <c r="N2938" s="20" t="s">
        <v>5783</v>
      </c>
      <c r="O2938" s="20" t="s">
        <v>56</v>
      </c>
      <c r="P2938" s="20" t="s">
        <v>52</v>
      </c>
      <c r="Q2938" s="22"/>
      <c r="R2938" s="22"/>
      <c r="S2938" s="22"/>
      <c r="T2938" s="20"/>
      <c r="U2938" s="26"/>
      <c r="V2938" s="26"/>
      <c r="W2938" s="20"/>
      <c r="X2938" s="20"/>
      <c r="Y2938" s="20"/>
      <c r="Z2938" s="20"/>
      <c r="AA2938" s="20"/>
      <c r="AB2938" s="20"/>
      <c r="AC2938" s="20"/>
      <c r="AD2938" s="20"/>
      <c r="AE2938" s="20"/>
    </row>
    <row r="2939">
      <c r="A2939" s="21">
        <v>68.0</v>
      </c>
      <c r="B2939" s="20" t="s">
        <v>1293</v>
      </c>
      <c r="C2939" s="20" t="s">
        <v>6164</v>
      </c>
      <c r="I2939" s="25" t="s">
        <v>4505</v>
      </c>
      <c r="J2939" s="25" t="s">
        <v>5587</v>
      </c>
      <c r="K2939" s="25" t="s">
        <v>71</v>
      </c>
      <c r="L2939" s="25" t="s">
        <v>6188</v>
      </c>
      <c r="M2939" s="20" t="s">
        <v>4506</v>
      </c>
      <c r="N2939" s="20" t="s">
        <v>5731</v>
      </c>
      <c r="O2939" s="20" t="s">
        <v>56</v>
      </c>
      <c r="P2939" s="20" t="s">
        <v>52</v>
      </c>
      <c r="Q2939" s="22"/>
      <c r="R2939" s="22"/>
      <c r="S2939" s="22"/>
      <c r="T2939" s="20"/>
      <c r="U2939" s="26"/>
      <c r="V2939" s="26"/>
      <c r="W2939" s="20"/>
      <c r="X2939" s="20"/>
      <c r="Y2939" s="20"/>
      <c r="Z2939" s="20"/>
      <c r="AA2939" s="20"/>
      <c r="AB2939" s="20"/>
      <c r="AC2939" s="20"/>
      <c r="AD2939" s="20"/>
      <c r="AE2939" s="20"/>
    </row>
    <row r="2940">
      <c r="A2940" s="21">
        <v>68.0</v>
      </c>
      <c r="B2940" s="20" t="s">
        <v>1293</v>
      </c>
      <c r="C2940" s="20" t="s">
        <v>6164</v>
      </c>
      <c r="I2940" s="25" t="s">
        <v>4570</v>
      </c>
      <c r="J2940" s="25" t="s">
        <v>5589</v>
      </c>
      <c r="K2940" s="25" t="s">
        <v>71</v>
      </c>
      <c r="L2940" s="25" t="s">
        <v>5950</v>
      </c>
      <c r="M2940" s="20" t="s">
        <v>5784</v>
      </c>
      <c r="N2940" s="20" t="s">
        <v>5785</v>
      </c>
      <c r="O2940" s="20" t="s">
        <v>56</v>
      </c>
      <c r="P2940" s="20" t="s">
        <v>52</v>
      </c>
      <c r="Q2940" s="22"/>
      <c r="R2940" s="22"/>
      <c r="S2940" s="22"/>
      <c r="T2940" s="20"/>
      <c r="U2940" s="26"/>
      <c r="V2940" s="26"/>
      <c r="W2940" s="20"/>
      <c r="X2940" s="20"/>
      <c r="Y2940" s="20"/>
      <c r="Z2940" s="20"/>
      <c r="AA2940" s="20"/>
      <c r="AB2940" s="20"/>
      <c r="AC2940" s="20"/>
      <c r="AD2940" s="20"/>
      <c r="AE2940" s="20"/>
    </row>
    <row r="2941">
      <c r="A2941" s="21">
        <v>68.0</v>
      </c>
      <c r="B2941" s="20" t="s">
        <v>1293</v>
      </c>
      <c r="C2941" s="20" t="s">
        <v>6164</v>
      </c>
      <c r="I2941" s="25" t="s">
        <v>2019</v>
      </c>
      <c r="J2941" s="25" t="s">
        <v>5546</v>
      </c>
      <c r="K2941" s="25" t="s">
        <v>71</v>
      </c>
      <c r="L2941" s="25" t="s">
        <v>5967</v>
      </c>
      <c r="M2941" s="20" t="s">
        <v>61</v>
      </c>
      <c r="N2941" s="20" t="s">
        <v>5616</v>
      </c>
      <c r="O2941" s="20" t="s">
        <v>56</v>
      </c>
      <c r="P2941" s="20" t="s">
        <v>52</v>
      </c>
      <c r="Q2941" s="22"/>
      <c r="R2941" s="22"/>
      <c r="S2941" s="22"/>
      <c r="T2941" s="20"/>
      <c r="U2941" s="26"/>
      <c r="V2941" s="26"/>
      <c r="W2941" s="20"/>
      <c r="X2941" s="20"/>
      <c r="Y2941" s="20"/>
      <c r="Z2941" s="20"/>
      <c r="AA2941" s="20"/>
      <c r="AB2941" s="20"/>
      <c r="AC2941" s="20"/>
      <c r="AD2941" s="20"/>
      <c r="AE2941" s="20"/>
    </row>
    <row r="2942">
      <c r="A2942" s="21">
        <v>68.0</v>
      </c>
      <c r="B2942" s="20" t="s">
        <v>1293</v>
      </c>
      <c r="C2942" s="20" t="s">
        <v>6164</v>
      </c>
      <c r="I2942" s="25" t="s">
        <v>4084</v>
      </c>
      <c r="J2942" s="25" t="s">
        <v>5546</v>
      </c>
      <c r="K2942" s="25" t="s">
        <v>71</v>
      </c>
      <c r="L2942" s="25" t="s">
        <v>6177</v>
      </c>
      <c r="M2942" s="20" t="s">
        <v>61</v>
      </c>
      <c r="N2942" s="20" t="s">
        <v>5617</v>
      </c>
      <c r="O2942" s="20" t="s">
        <v>56</v>
      </c>
      <c r="P2942" s="20" t="s">
        <v>52</v>
      </c>
      <c r="Q2942" s="22"/>
      <c r="R2942" s="22"/>
      <c r="S2942" s="22"/>
      <c r="T2942" s="20"/>
      <c r="U2942" s="26"/>
      <c r="V2942" s="26"/>
      <c r="W2942" s="20"/>
      <c r="X2942" s="20"/>
      <c r="Y2942" s="20"/>
      <c r="Z2942" s="20"/>
      <c r="AA2942" s="20"/>
      <c r="AB2942" s="20"/>
      <c r="AC2942" s="20"/>
      <c r="AD2942" s="20"/>
      <c r="AE2942" s="20"/>
    </row>
    <row r="2943">
      <c r="A2943" s="21">
        <v>68.0</v>
      </c>
      <c r="B2943" s="20" t="s">
        <v>1293</v>
      </c>
      <c r="C2943" s="20" t="s">
        <v>6164</v>
      </c>
      <c r="I2943" s="25" t="s">
        <v>2502</v>
      </c>
      <c r="J2943" s="25" t="s">
        <v>5546</v>
      </c>
      <c r="K2943" s="25" t="s">
        <v>71</v>
      </c>
      <c r="L2943" s="25" t="s">
        <v>6184</v>
      </c>
      <c r="M2943" s="20" t="s">
        <v>61</v>
      </c>
      <c r="N2943" s="20" t="s">
        <v>5618</v>
      </c>
      <c r="O2943" s="20" t="s">
        <v>56</v>
      </c>
      <c r="P2943" s="20" t="s">
        <v>52</v>
      </c>
      <c r="Q2943" s="22"/>
      <c r="R2943" s="22"/>
      <c r="S2943" s="22"/>
      <c r="T2943" s="20"/>
      <c r="U2943" s="26"/>
      <c r="V2943" s="26"/>
      <c r="W2943" s="20"/>
      <c r="X2943" s="20"/>
      <c r="Y2943" s="20"/>
      <c r="Z2943" s="20"/>
      <c r="AA2943" s="20"/>
      <c r="AB2943" s="20"/>
      <c r="AC2943" s="20"/>
      <c r="AD2943" s="20"/>
      <c r="AE2943" s="20"/>
    </row>
    <row r="2944">
      <c r="A2944" s="21">
        <v>68.0</v>
      </c>
      <c r="B2944" s="20" t="s">
        <v>1293</v>
      </c>
      <c r="C2944" s="20" t="s">
        <v>6164</v>
      </c>
      <c r="I2944" s="25" t="s">
        <v>5590</v>
      </c>
      <c r="J2944" s="25" t="s">
        <v>5589</v>
      </c>
      <c r="K2944" s="25" t="s">
        <v>67</v>
      </c>
      <c r="L2944" s="25" t="s">
        <v>1133</v>
      </c>
      <c r="M2944" s="20" t="s">
        <v>5592</v>
      </c>
      <c r="N2944" s="20" t="s">
        <v>5593</v>
      </c>
      <c r="O2944" s="20" t="s">
        <v>56</v>
      </c>
      <c r="P2944" s="20" t="s">
        <v>52</v>
      </c>
      <c r="Q2944" s="22"/>
      <c r="R2944" s="22"/>
      <c r="S2944" s="22"/>
      <c r="T2944" s="22"/>
      <c r="U2944" s="26"/>
      <c r="V2944" s="26"/>
      <c r="W2944" s="20"/>
      <c r="X2944" s="20"/>
      <c r="Y2944" s="20"/>
      <c r="Z2944" s="20"/>
      <c r="AA2944" s="20"/>
      <c r="AB2944" s="20"/>
      <c r="AC2944" s="20"/>
      <c r="AD2944" s="20"/>
      <c r="AE2944" s="20"/>
    </row>
    <row r="2945">
      <c r="A2945" s="21">
        <v>68.0</v>
      </c>
      <c r="B2945" s="20" t="s">
        <v>1293</v>
      </c>
      <c r="C2945" s="20" t="s">
        <v>6164</v>
      </c>
      <c r="I2945" s="25" t="s">
        <v>4279</v>
      </c>
      <c r="J2945" s="25" t="s">
        <v>5546</v>
      </c>
      <c r="K2945" s="25" t="s">
        <v>71</v>
      </c>
      <c r="L2945" s="25" t="s">
        <v>5963</v>
      </c>
      <c r="M2945" s="20" t="s">
        <v>61</v>
      </c>
      <c r="N2945" s="20" t="s">
        <v>5619</v>
      </c>
      <c r="O2945" s="20" t="s">
        <v>56</v>
      </c>
      <c r="P2945" s="20" t="s">
        <v>52</v>
      </c>
      <c r="Q2945" s="22"/>
      <c r="R2945" s="22"/>
      <c r="S2945" s="22"/>
      <c r="T2945" s="20"/>
      <c r="U2945" s="26"/>
      <c r="V2945" s="26"/>
      <c r="W2945" s="20"/>
      <c r="X2945" s="20"/>
      <c r="Y2945" s="20"/>
      <c r="Z2945" s="20"/>
      <c r="AA2945" s="20"/>
      <c r="AB2945" s="20"/>
      <c r="AC2945" s="20"/>
      <c r="AD2945" s="20"/>
      <c r="AE2945" s="20"/>
    </row>
    <row r="2946">
      <c r="A2946" s="21">
        <v>68.0</v>
      </c>
      <c r="B2946" s="20" t="s">
        <v>1293</v>
      </c>
      <c r="C2946" s="20" t="s">
        <v>6164</v>
      </c>
      <c r="I2946" s="25" t="s">
        <v>2735</v>
      </c>
      <c r="J2946" s="25" t="s">
        <v>5587</v>
      </c>
      <c r="K2946" s="25" t="s">
        <v>71</v>
      </c>
      <c r="L2946" s="25" t="s">
        <v>5965</v>
      </c>
      <c r="M2946" s="20" t="s">
        <v>5733</v>
      </c>
      <c r="N2946" s="20" t="s">
        <v>5734</v>
      </c>
      <c r="O2946" s="20" t="s">
        <v>56</v>
      </c>
      <c r="P2946" s="20" t="s">
        <v>52</v>
      </c>
      <c r="Q2946" s="22"/>
      <c r="R2946" s="22"/>
      <c r="S2946" s="22"/>
      <c r="T2946" s="20"/>
      <c r="U2946" s="26"/>
      <c r="V2946" s="26"/>
      <c r="W2946" s="20"/>
      <c r="X2946" s="20"/>
      <c r="Y2946" s="20"/>
      <c r="Z2946" s="20"/>
      <c r="AA2946" s="20"/>
      <c r="AB2946" s="20"/>
      <c r="AC2946" s="20"/>
      <c r="AD2946" s="20"/>
      <c r="AE2946" s="20"/>
    </row>
    <row r="2947">
      <c r="A2947" s="21">
        <v>68.0</v>
      </c>
      <c r="B2947" s="20" t="s">
        <v>1293</v>
      </c>
      <c r="C2947" s="20" t="s">
        <v>6164</v>
      </c>
      <c r="I2947" s="25" t="s">
        <v>711</v>
      </c>
      <c r="J2947" s="25" t="s">
        <v>5546</v>
      </c>
      <c r="K2947" s="25" t="s">
        <v>71</v>
      </c>
      <c r="L2947" s="25" t="s">
        <v>5965</v>
      </c>
      <c r="M2947" s="20" t="s">
        <v>61</v>
      </c>
      <c r="N2947" s="20" t="s">
        <v>5620</v>
      </c>
      <c r="O2947" s="20" t="s">
        <v>56</v>
      </c>
      <c r="P2947" s="20" t="s">
        <v>52</v>
      </c>
      <c r="Q2947" s="22"/>
      <c r="R2947" s="22"/>
      <c r="S2947" s="22"/>
      <c r="T2947" s="20"/>
      <c r="U2947" s="26"/>
      <c r="V2947" s="26"/>
      <c r="W2947" s="20"/>
      <c r="X2947" s="20"/>
      <c r="Y2947" s="20"/>
      <c r="Z2947" s="20"/>
      <c r="AA2947" s="20"/>
      <c r="AB2947" s="20"/>
      <c r="AC2947" s="20"/>
      <c r="AD2947" s="20"/>
      <c r="AE2947" s="20"/>
    </row>
    <row r="2948">
      <c r="A2948" s="21">
        <v>68.0</v>
      </c>
      <c r="B2948" s="20" t="s">
        <v>1293</v>
      </c>
      <c r="C2948" s="20" t="s">
        <v>6164</v>
      </c>
      <c r="I2948" s="25" t="s">
        <v>2488</v>
      </c>
      <c r="J2948" s="25" t="s">
        <v>5546</v>
      </c>
      <c r="K2948" s="25" t="s">
        <v>71</v>
      </c>
      <c r="L2948" s="25" t="s">
        <v>5971</v>
      </c>
      <c r="M2948" s="20" t="s">
        <v>61</v>
      </c>
      <c r="N2948" s="20" t="s">
        <v>5621</v>
      </c>
      <c r="O2948" s="20" t="s">
        <v>56</v>
      </c>
      <c r="P2948" s="20" t="s">
        <v>52</v>
      </c>
      <c r="Q2948" s="22"/>
      <c r="R2948" s="22"/>
      <c r="S2948" s="22"/>
      <c r="T2948" s="20"/>
      <c r="U2948" s="26"/>
      <c r="V2948" s="26"/>
      <c r="W2948" s="20"/>
      <c r="X2948" s="20"/>
      <c r="Y2948" s="20"/>
      <c r="Z2948" s="20"/>
      <c r="AA2948" s="20"/>
      <c r="AB2948" s="20"/>
      <c r="AC2948" s="20"/>
      <c r="AD2948" s="20"/>
      <c r="AE2948" s="20"/>
    </row>
    <row r="2949">
      <c r="A2949" s="21">
        <v>68.0</v>
      </c>
      <c r="B2949" s="20" t="s">
        <v>1293</v>
      </c>
      <c r="C2949" s="20" t="s">
        <v>6164</v>
      </c>
      <c r="I2949" s="25" t="s">
        <v>2753</v>
      </c>
      <c r="J2949" s="25" t="s">
        <v>5587</v>
      </c>
      <c r="K2949" s="25" t="s">
        <v>71</v>
      </c>
      <c r="L2949" s="25" t="s">
        <v>6189</v>
      </c>
      <c r="M2949" s="20" t="s">
        <v>4497</v>
      </c>
      <c r="N2949" s="20" t="s">
        <v>5735</v>
      </c>
      <c r="O2949" s="20" t="s">
        <v>56</v>
      </c>
      <c r="P2949" s="20" t="s">
        <v>52</v>
      </c>
      <c r="Q2949" s="22"/>
      <c r="R2949" s="22"/>
      <c r="S2949" s="22"/>
      <c r="T2949" s="20"/>
      <c r="U2949" s="26"/>
      <c r="V2949" s="26"/>
      <c r="W2949" s="20"/>
      <c r="X2949" s="20"/>
      <c r="Y2949" s="20"/>
      <c r="Z2949" s="20"/>
      <c r="AA2949" s="20"/>
      <c r="AB2949" s="20"/>
      <c r="AC2949" s="20"/>
      <c r="AD2949" s="20"/>
      <c r="AE2949" s="20"/>
    </row>
    <row r="2950">
      <c r="A2950" s="21">
        <v>68.0</v>
      </c>
      <c r="B2950" s="20" t="s">
        <v>1293</v>
      </c>
      <c r="C2950" s="20" t="s">
        <v>6164</v>
      </c>
      <c r="I2950" s="25" t="s">
        <v>413</v>
      </c>
      <c r="J2950" s="25" t="s">
        <v>5546</v>
      </c>
      <c r="K2950" s="25" t="s">
        <v>71</v>
      </c>
      <c r="L2950" s="25" t="s">
        <v>5954</v>
      </c>
      <c r="M2950" s="20" t="s">
        <v>61</v>
      </c>
      <c r="N2950" s="20" t="s">
        <v>5622</v>
      </c>
      <c r="O2950" s="20" t="s">
        <v>56</v>
      </c>
      <c r="P2950" s="20" t="s">
        <v>52</v>
      </c>
      <c r="Q2950" s="22"/>
      <c r="R2950" s="22"/>
      <c r="S2950" s="22"/>
      <c r="T2950" s="20"/>
      <c r="U2950" s="26"/>
      <c r="V2950" s="26"/>
      <c r="W2950" s="20"/>
      <c r="X2950" s="20"/>
      <c r="Y2950" s="20"/>
      <c r="Z2950" s="20"/>
      <c r="AA2950" s="20"/>
      <c r="AB2950" s="20"/>
      <c r="AC2950" s="20"/>
      <c r="AD2950" s="20"/>
      <c r="AE2950" s="20"/>
    </row>
    <row r="2951">
      <c r="A2951" s="21">
        <v>68.0</v>
      </c>
      <c r="B2951" s="20" t="s">
        <v>1293</v>
      </c>
      <c r="C2951" s="20" t="s">
        <v>6164</v>
      </c>
      <c r="I2951" s="25" t="s">
        <v>2542</v>
      </c>
      <c r="J2951" s="25" t="s">
        <v>5589</v>
      </c>
      <c r="K2951" s="25" t="s">
        <v>71</v>
      </c>
      <c r="L2951" s="25" t="s">
        <v>6188</v>
      </c>
      <c r="M2951" s="20" t="s">
        <v>4510</v>
      </c>
      <c r="N2951" s="20" t="s">
        <v>5786</v>
      </c>
      <c r="O2951" s="20" t="s">
        <v>56</v>
      </c>
      <c r="P2951" s="20" t="s">
        <v>52</v>
      </c>
      <c r="Q2951" s="22"/>
      <c r="R2951" s="22"/>
      <c r="S2951" s="22"/>
      <c r="T2951" s="20"/>
      <c r="U2951" s="26"/>
      <c r="V2951" s="26"/>
      <c r="W2951" s="20"/>
      <c r="X2951" s="20"/>
      <c r="Y2951" s="20"/>
      <c r="Z2951" s="20"/>
      <c r="AA2951" s="20"/>
      <c r="AB2951" s="20"/>
      <c r="AC2951" s="20"/>
      <c r="AD2951" s="20"/>
      <c r="AE2951" s="20"/>
    </row>
    <row r="2952">
      <c r="A2952" s="21">
        <v>68.0</v>
      </c>
      <c r="B2952" s="20" t="s">
        <v>1293</v>
      </c>
      <c r="C2952" s="20" t="s">
        <v>6164</v>
      </c>
      <c r="I2952" s="25" t="s">
        <v>4068</v>
      </c>
      <c r="J2952" s="25" t="s">
        <v>5587</v>
      </c>
      <c r="K2952" s="25" t="s">
        <v>71</v>
      </c>
      <c r="L2952" s="25" t="s">
        <v>6182</v>
      </c>
      <c r="M2952" s="20" t="s">
        <v>5736</v>
      </c>
      <c r="N2952" s="20" t="s">
        <v>5737</v>
      </c>
      <c r="O2952" s="20" t="s">
        <v>56</v>
      </c>
      <c r="P2952" s="20" t="s">
        <v>52</v>
      </c>
      <c r="Q2952" s="22"/>
      <c r="R2952" s="22"/>
      <c r="S2952" s="22"/>
      <c r="T2952" s="20"/>
      <c r="U2952" s="26"/>
      <c r="V2952" s="26"/>
      <c r="W2952" s="20"/>
      <c r="X2952" s="20"/>
      <c r="Y2952" s="20"/>
      <c r="Z2952" s="20"/>
      <c r="AA2952" s="20"/>
      <c r="AB2952" s="20"/>
      <c r="AC2952" s="20"/>
      <c r="AD2952" s="20"/>
      <c r="AE2952" s="20"/>
    </row>
    <row r="2953">
      <c r="A2953" s="21">
        <v>68.0</v>
      </c>
      <c r="B2953" s="20" t="s">
        <v>1293</v>
      </c>
      <c r="C2953" s="20" t="s">
        <v>6164</v>
      </c>
      <c r="I2953" s="25" t="s">
        <v>2484</v>
      </c>
      <c r="J2953" s="25" t="s">
        <v>5546</v>
      </c>
      <c r="K2953" s="25" t="s">
        <v>71</v>
      </c>
      <c r="L2953" s="25" t="s">
        <v>5970</v>
      </c>
      <c r="M2953" s="20" t="s">
        <v>61</v>
      </c>
      <c r="N2953" s="20" t="s">
        <v>5623</v>
      </c>
      <c r="O2953" s="20" t="s">
        <v>56</v>
      </c>
      <c r="P2953" s="20" t="s">
        <v>52</v>
      </c>
      <c r="Q2953" s="22"/>
      <c r="R2953" s="22"/>
      <c r="S2953" s="22"/>
      <c r="T2953" s="20"/>
      <c r="U2953" s="26"/>
      <c r="V2953" s="26"/>
      <c r="W2953" s="20"/>
      <c r="X2953" s="20"/>
      <c r="Y2953" s="20"/>
      <c r="Z2953" s="20"/>
      <c r="AA2953" s="20"/>
      <c r="AB2953" s="20"/>
      <c r="AC2953" s="20"/>
      <c r="AD2953" s="20"/>
      <c r="AE2953" s="20"/>
    </row>
    <row r="2954">
      <c r="A2954" s="21">
        <v>68.0</v>
      </c>
      <c r="B2954" s="20" t="s">
        <v>1293</v>
      </c>
      <c r="C2954" s="20" t="s">
        <v>6164</v>
      </c>
      <c r="I2954" s="25" t="s">
        <v>2883</v>
      </c>
      <c r="J2954" s="25" t="s">
        <v>5546</v>
      </c>
      <c r="K2954" s="25" t="s">
        <v>71</v>
      </c>
      <c r="L2954" s="25" t="s">
        <v>5963</v>
      </c>
      <c r="M2954" s="20" t="s">
        <v>61</v>
      </c>
      <c r="N2954" s="20" t="s">
        <v>5624</v>
      </c>
      <c r="O2954" s="20" t="s">
        <v>56</v>
      </c>
      <c r="P2954" s="20" t="s">
        <v>52</v>
      </c>
      <c r="Q2954" s="22"/>
      <c r="R2954" s="22"/>
      <c r="S2954" s="22"/>
      <c r="T2954" s="20"/>
      <c r="U2954" s="26"/>
      <c r="V2954" s="26"/>
      <c r="W2954" s="20"/>
      <c r="X2954" s="20"/>
      <c r="Y2954" s="20"/>
      <c r="Z2954" s="20"/>
      <c r="AA2954" s="20"/>
      <c r="AB2954" s="20"/>
      <c r="AC2954" s="20"/>
      <c r="AD2954" s="20"/>
      <c r="AE2954" s="20"/>
    </row>
    <row r="2955">
      <c r="A2955" s="21">
        <v>68.0</v>
      </c>
      <c r="B2955" s="20" t="s">
        <v>1293</v>
      </c>
      <c r="C2955" s="20" t="s">
        <v>6164</v>
      </c>
      <c r="I2955" s="25" t="s">
        <v>1475</v>
      </c>
      <c r="J2955" s="25" t="s">
        <v>5546</v>
      </c>
      <c r="K2955" s="25" t="s">
        <v>71</v>
      </c>
      <c r="L2955" s="25" t="s">
        <v>6190</v>
      </c>
      <c r="M2955" s="20" t="s">
        <v>5626</v>
      </c>
      <c r="N2955" s="20" t="s">
        <v>5627</v>
      </c>
      <c r="O2955" s="20" t="s">
        <v>56</v>
      </c>
      <c r="P2955" s="20" t="s">
        <v>52</v>
      </c>
      <c r="Q2955" s="22"/>
      <c r="R2955" s="22"/>
      <c r="S2955" s="22"/>
      <c r="T2955" s="20"/>
      <c r="U2955" s="26"/>
      <c r="V2955" s="26"/>
      <c r="W2955" s="20"/>
      <c r="X2955" s="20"/>
      <c r="Y2955" s="20"/>
      <c r="Z2955" s="20"/>
      <c r="AA2955" s="20"/>
      <c r="AB2955" s="20"/>
      <c r="AC2955" s="20"/>
      <c r="AD2955" s="20"/>
      <c r="AE2955" s="20"/>
    </row>
    <row r="2956">
      <c r="A2956" s="21">
        <v>68.0</v>
      </c>
      <c r="B2956" s="20" t="s">
        <v>1293</v>
      </c>
      <c r="C2956" s="20" t="s">
        <v>6164</v>
      </c>
      <c r="I2956" s="25" t="s">
        <v>1729</v>
      </c>
      <c r="J2956" s="25" t="s">
        <v>5589</v>
      </c>
      <c r="K2956" s="25" t="s">
        <v>71</v>
      </c>
      <c r="L2956" s="25" t="s">
        <v>5965</v>
      </c>
      <c r="M2956" s="20" t="s">
        <v>5398</v>
      </c>
      <c r="N2956" s="20" t="s">
        <v>5787</v>
      </c>
      <c r="O2956" s="20" t="s">
        <v>56</v>
      </c>
      <c r="P2956" s="20" t="s">
        <v>52</v>
      </c>
      <c r="Q2956" s="22"/>
      <c r="R2956" s="22"/>
      <c r="S2956" s="22"/>
      <c r="T2956" s="20"/>
      <c r="U2956" s="26"/>
      <c r="V2956" s="26"/>
      <c r="W2956" s="20"/>
      <c r="X2956" s="20"/>
      <c r="Y2956" s="20"/>
      <c r="Z2956" s="20"/>
      <c r="AA2956" s="20"/>
      <c r="AB2956" s="20"/>
      <c r="AC2956" s="20"/>
      <c r="AD2956" s="20"/>
      <c r="AE2956" s="20"/>
    </row>
    <row r="2957">
      <c r="A2957" s="21">
        <v>68.0</v>
      </c>
      <c r="B2957" s="20" t="s">
        <v>1293</v>
      </c>
      <c r="C2957" s="20" t="s">
        <v>6164</v>
      </c>
      <c r="I2957" s="25" t="s">
        <v>4500</v>
      </c>
      <c r="J2957" s="25" t="s">
        <v>5546</v>
      </c>
      <c r="K2957" s="25" t="s">
        <v>71</v>
      </c>
      <c r="L2957" s="25" t="s">
        <v>6191</v>
      </c>
      <c r="M2957" s="20" t="s">
        <v>61</v>
      </c>
      <c r="N2957" s="20" t="s">
        <v>4651</v>
      </c>
      <c r="O2957" s="20" t="s">
        <v>56</v>
      </c>
      <c r="P2957" s="20" t="s">
        <v>52</v>
      </c>
      <c r="Q2957" s="22"/>
      <c r="R2957" s="22"/>
      <c r="S2957" s="22"/>
      <c r="T2957" s="20"/>
      <c r="U2957" s="26"/>
      <c r="V2957" s="26"/>
      <c r="W2957" s="20"/>
      <c r="X2957" s="20"/>
      <c r="Y2957" s="20"/>
      <c r="Z2957" s="20"/>
      <c r="AA2957" s="20"/>
      <c r="AB2957" s="20"/>
      <c r="AC2957" s="20"/>
      <c r="AD2957" s="20"/>
      <c r="AE2957" s="20"/>
    </row>
    <row r="2958">
      <c r="A2958" s="21">
        <v>68.0</v>
      </c>
      <c r="B2958" s="20" t="s">
        <v>1293</v>
      </c>
      <c r="C2958" s="20" t="s">
        <v>6164</v>
      </c>
      <c r="I2958" s="25" t="s">
        <v>2564</v>
      </c>
      <c r="J2958" s="25" t="s">
        <v>5589</v>
      </c>
      <c r="K2958" s="25" t="s">
        <v>71</v>
      </c>
      <c r="L2958" s="25" t="s">
        <v>5980</v>
      </c>
      <c r="M2958" s="20" t="s">
        <v>5401</v>
      </c>
      <c r="N2958" s="20" t="s">
        <v>5788</v>
      </c>
      <c r="O2958" s="20" t="s">
        <v>56</v>
      </c>
      <c r="P2958" s="20" t="s">
        <v>52</v>
      </c>
      <c r="Q2958" s="22"/>
      <c r="R2958" s="22"/>
      <c r="S2958" s="22"/>
      <c r="T2958" s="20"/>
      <c r="U2958" s="26"/>
      <c r="V2958" s="26"/>
      <c r="W2958" s="20"/>
      <c r="X2958" s="20"/>
      <c r="Y2958" s="20"/>
      <c r="Z2958" s="20"/>
      <c r="AA2958" s="20"/>
      <c r="AB2958" s="20"/>
      <c r="AC2958" s="20"/>
      <c r="AD2958" s="20"/>
      <c r="AE2958" s="20"/>
    </row>
    <row r="2959">
      <c r="A2959" s="21">
        <v>68.0</v>
      </c>
      <c r="B2959" s="20" t="s">
        <v>1293</v>
      </c>
      <c r="C2959" s="20" t="s">
        <v>6164</v>
      </c>
      <c r="I2959" s="25" t="s">
        <v>1103</v>
      </c>
      <c r="J2959" s="25" t="s">
        <v>5589</v>
      </c>
      <c r="K2959" s="25" t="s">
        <v>71</v>
      </c>
      <c r="L2959" s="25" t="s">
        <v>6192</v>
      </c>
      <c r="M2959" s="20" t="s">
        <v>4786</v>
      </c>
      <c r="N2959" s="20" t="s">
        <v>5789</v>
      </c>
      <c r="O2959" s="20" t="s">
        <v>56</v>
      </c>
      <c r="P2959" s="20" t="s">
        <v>52</v>
      </c>
      <c r="Q2959" s="22"/>
      <c r="R2959" s="22"/>
      <c r="S2959" s="22"/>
      <c r="T2959" s="20"/>
      <c r="U2959" s="26"/>
      <c r="V2959" s="26"/>
      <c r="W2959" s="20"/>
      <c r="X2959" s="20"/>
      <c r="Y2959" s="20"/>
      <c r="Z2959" s="20"/>
      <c r="AA2959" s="20"/>
      <c r="AB2959" s="20"/>
      <c r="AC2959" s="20"/>
      <c r="AD2959" s="20"/>
      <c r="AE2959" s="20"/>
    </row>
    <row r="2960">
      <c r="A2960" s="21">
        <v>68.0</v>
      </c>
      <c r="B2960" s="20" t="s">
        <v>1293</v>
      </c>
      <c r="C2960" s="20" t="s">
        <v>6164</v>
      </c>
      <c r="I2960" s="25" t="s">
        <v>3543</v>
      </c>
      <c r="J2960" s="25" t="s">
        <v>5546</v>
      </c>
      <c r="K2960" s="25" t="s">
        <v>71</v>
      </c>
      <c r="L2960" s="25" t="s">
        <v>6193</v>
      </c>
      <c r="M2960" s="20" t="s">
        <v>61</v>
      </c>
      <c r="N2960" s="20" t="s">
        <v>5628</v>
      </c>
      <c r="O2960" s="20" t="s">
        <v>56</v>
      </c>
      <c r="P2960" s="20" t="s">
        <v>52</v>
      </c>
      <c r="Q2960" s="22"/>
      <c r="R2960" s="22"/>
      <c r="S2960" s="22"/>
      <c r="T2960" s="20"/>
      <c r="U2960" s="26"/>
      <c r="V2960" s="26"/>
      <c r="W2960" s="20"/>
      <c r="X2960" s="20"/>
      <c r="Y2960" s="20"/>
      <c r="Z2960" s="20"/>
      <c r="AA2960" s="20"/>
      <c r="AB2960" s="20"/>
      <c r="AC2960" s="20"/>
      <c r="AD2960" s="20"/>
      <c r="AE2960" s="20"/>
    </row>
    <row r="2961">
      <c r="A2961" s="21">
        <v>68.0</v>
      </c>
      <c r="B2961" s="20" t="s">
        <v>1293</v>
      </c>
      <c r="C2961" s="20" t="s">
        <v>6164</v>
      </c>
      <c r="I2961" s="25" t="s">
        <v>2804</v>
      </c>
      <c r="J2961" s="25" t="s">
        <v>5546</v>
      </c>
      <c r="K2961" s="25" t="s">
        <v>71</v>
      </c>
      <c r="L2961" s="25" t="s">
        <v>6194</v>
      </c>
      <c r="M2961" s="20" t="s">
        <v>5629</v>
      </c>
      <c r="N2961" s="20" t="s">
        <v>5630</v>
      </c>
      <c r="O2961" s="20" t="s">
        <v>56</v>
      </c>
      <c r="P2961" s="20" t="s">
        <v>52</v>
      </c>
      <c r="Q2961" s="22"/>
      <c r="R2961" s="22"/>
      <c r="S2961" s="22"/>
      <c r="T2961" s="20"/>
      <c r="U2961" s="26"/>
      <c r="V2961" s="26"/>
      <c r="W2961" s="20"/>
      <c r="X2961" s="20"/>
      <c r="Y2961" s="20"/>
      <c r="Z2961" s="20"/>
      <c r="AA2961" s="20"/>
      <c r="AB2961" s="20"/>
      <c r="AC2961" s="20"/>
      <c r="AD2961" s="20"/>
      <c r="AE2961" s="20"/>
    </row>
    <row r="2962">
      <c r="A2962" s="21">
        <v>68.0</v>
      </c>
      <c r="B2962" s="20" t="s">
        <v>1293</v>
      </c>
      <c r="C2962" s="20" t="s">
        <v>6164</v>
      </c>
      <c r="I2962" s="25" t="s">
        <v>1732</v>
      </c>
      <c r="J2962" s="25" t="s">
        <v>5546</v>
      </c>
      <c r="K2962" s="25" t="s">
        <v>71</v>
      </c>
      <c r="L2962" s="25" t="s">
        <v>6195</v>
      </c>
      <c r="M2962" s="20" t="s">
        <v>61</v>
      </c>
      <c r="N2962" s="20" t="s">
        <v>5631</v>
      </c>
      <c r="O2962" s="20" t="s">
        <v>56</v>
      </c>
      <c r="P2962" s="20" t="s">
        <v>52</v>
      </c>
      <c r="Q2962" s="22"/>
      <c r="R2962" s="22"/>
      <c r="S2962" s="22"/>
      <c r="T2962" s="20"/>
      <c r="U2962" s="26"/>
      <c r="V2962" s="26"/>
      <c r="W2962" s="20"/>
      <c r="X2962" s="20"/>
      <c r="Y2962" s="20"/>
      <c r="Z2962" s="20"/>
      <c r="AA2962" s="20"/>
      <c r="AB2962" s="20"/>
      <c r="AC2962" s="20"/>
      <c r="AD2962" s="20"/>
      <c r="AE2962" s="20"/>
    </row>
    <row r="2963">
      <c r="A2963" s="21">
        <v>68.0</v>
      </c>
      <c r="B2963" s="20" t="s">
        <v>1293</v>
      </c>
      <c r="C2963" s="20" t="s">
        <v>6164</v>
      </c>
      <c r="I2963" s="25" t="s">
        <v>2535</v>
      </c>
      <c r="J2963" s="25" t="s">
        <v>5546</v>
      </c>
      <c r="K2963" s="25" t="s">
        <v>71</v>
      </c>
      <c r="L2963" s="25" t="s">
        <v>5982</v>
      </c>
      <c r="M2963" s="20" t="s">
        <v>61</v>
      </c>
      <c r="N2963" s="20" t="s">
        <v>5632</v>
      </c>
      <c r="O2963" s="20" t="s">
        <v>56</v>
      </c>
      <c r="P2963" s="20" t="s">
        <v>52</v>
      </c>
      <c r="Q2963" s="22"/>
      <c r="R2963" s="22"/>
      <c r="S2963" s="22"/>
      <c r="T2963" s="20"/>
      <c r="U2963" s="26"/>
      <c r="V2963" s="26"/>
      <c r="W2963" s="20"/>
      <c r="X2963" s="20"/>
      <c r="Y2963" s="20"/>
      <c r="Z2963" s="20"/>
      <c r="AA2963" s="20"/>
      <c r="AB2963" s="20"/>
      <c r="AC2963" s="20"/>
      <c r="AD2963" s="20"/>
      <c r="AE2963" s="20"/>
    </row>
    <row r="2964">
      <c r="A2964" s="21">
        <v>68.0</v>
      </c>
      <c r="B2964" s="20" t="s">
        <v>1293</v>
      </c>
      <c r="C2964" s="20" t="s">
        <v>6164</v>
      </c>
      <c r="I2964" s="25" t="s">
        <v>4236</v>
      </c>
      <c r="J2964" s="25" t="s">
        <v>5546</v>
      </c>
      <c r="K2964" s="25" t="s">
        <v>71</v>
      </c>
      <c r="L2964" s="25" t="s">
        <v>5950</v>
      </c>
      <c r="M2964" s="20" t="s">
        <v>61</v>
      </c>
      <c r="N2964" s="20" t="s">
        <v>5633</v>
      </c>
      <c r="O2964" s="20" t="s">
        <v>56</v>
      </c>
      <c r="P2964" s="20" t="s">
        <v>52</v>
      </c>
      <c r="Q2964" s="22"/>
      <c r="R2964" s="22"/>
      <c r="S2964" s="22"/>
      <c r="T2964" s="20"/>
      <c r="U2964" s="26"/>
      <c r="V2964" s="26"/>
      <c r="W2964" s="20"/>
      <c r="X2964" s="20"/>
      <c r="Y2964" s="20"/>
      <c r="Z2964" s="20"/>
      <c r="AA2964" s="20"/>
      <c r="AB2964" s="20"/>
      <c r="AC2964" s="20"/>
      <c r="AD2964" s="20"/>
      <c r="AE2964" s="20"/>
    </row>
    <row r="2965">
      <c r="A2965" s="21">
        <v>68.0</v>
      </c>
      <c r="B2965" s="20" t="s">
        <v>1293</v>
      </c>
      <c r="C2965" s="20" t="s">
        <v>6164</v>
      </c>
      <c r="I2965" s="25" t="s">
        <v>4515</v>
      </c>
      <c r="J2965" s="25" t="s">
        <v>5546</v>
      </c>
      <c r="K2965" s="25" t="s">
        <v>71</v>
      </c>
      <c r="L2965" s="25" t="s">
        <v>6185</v>
      </c>
      <c r="M2965" s="20" t="s">
        <v>61</v>
      </c>
      <c r="N2965" s="20" t="s">
        <v>5634</v>
      </c>
      <c r="O2965" s="20" t="s">
        <v>56</v>
      </c>
      <c r="P2965" s="20" t="s">
        <v>52</v>
      </c>
      <c r="Q2965" s="22"/>
      <c r="R2965" s="22"/>
      <c r="S2965" s="22"/>
      <c r="T2965" s="20"/>
      <c r="U2965" s="26"/>
      <c r="V2965" s="26"/>
      <c r="W2965" s="20"/>
      <c r="X2965" s="20"/>
      <c r="Y2965" s="20"/>
      <c r="Z2965" s="20"/>
      <c r="AA2965" s="20"/>
      <c r="AB2965" s="20"/>
      <c r="AC2965" s="20"/>
      <c r="AD2965" s="20"/>
      <c r="AE2965" s="20"/>
    </row>
    <row r="2966">
      <c r="A2966" s="21">
        <v>68.0</v>
      </c>
      <c r="B2966" s="20" t="s">
        <v>1293</v>
      </c>
      <c r="C2966" s="20" t="s">
        <v>6164</v>
      </c>
      <c r="I2966" s="25" t="s">
        <v>457</v>
      </c>
      <c r="J2966" s="25" t="s">
        <v>5546</v>
      </c>
      <c r="K2966" s="25" t="s">
        <v>71</v>
      </c>
      <c r="L2966" s="25" t="s">
        <v>6195</v>
      </c>
      <c r="M2966" s="20" t="s">
        <v>61</v>
      </c>
      <c r="N2966" s="20" t="s">
        <v>4217</v>
      </c>
      <c r="O2966" s="20" t="s">
        <v>56</v>
      </c>
      <c r="P2966" s="20" t="s">
        <v>52</v>
      </c>
      <c r="Q2966" s="22"/>
      <c r="R2966" s="22"/>
      <c r="S2966" s="22"/>
      <c r="T2966" s="20"/>
      <c r="U2966" s="26"/>
      <c r="V2966" s="26"/>
      <c r="W2966" s="20"/>
      <c r="X2966" s="20"/>
      <c r="Y2966" s="20"/>
      <c r="Z2966" s="20"/>
      <c r="AA2966" s="20"/>
      <c r="AB2966" s="20"/>
      <c r="AC2966" s="20"/>
      <c r="AD2966" s="20"/>
      <c r="AE2966" s="20"/>
    </row>
    <row r="2967">
      <c r="A2967" s="21">
        <v>68.0</v>
      </c>
      <c r="B2967" s="20" t="s">
        <v>1293</v>
      </c>
      <c r="C2967" s="20" t="s">
        <v>6164</v>
      </c>
      <c r="I2967" s="25" t="s">
        <v>5194</v>
      </c>
      <c r="J2967" s="25" t="s">
        <v>5589</v>
      </c>
      <c r="K2967" s="25" t="s">
        <v>71</v>
      </c>
      <c r="L2967" s="25" t="s">
        <v>5986</v>
      </c>
      <c r="M2967" s="20" t="s">
        <v>5790</v>
      </c>
      <c r="N2967" s="20" t="s">
        <v>5791</v>
      </c>
      <c r="O2967" s="20" t="s">
        <v>56</v>
      </c>
      <c r="P2967" s="20" t="s">
        <v>52</v>
      </c>
      <c r="Q2967" s="22"/>
      <c r="R2967" s="22"/>
      <c r="S2967" s="22"/>
      <c r="T2967" s="20"/>
      <c r="U2967" s="26"/>
      <c r="V2967" s="26"/>
      <c r="W2967" s="20"/>
      <c r="X2967" s="20"/>
      <c r="Y2967" s="20"/>
      <c r="Z2967" s="20"/>
      <c r="AA2967" s="20"/>
      <c r="AB2967" s="20"/>
      <c r="AC2967" s="20"/>
      <c r="AD2967" s="20"/>
      <c r="AE2967" s="20"/>
    </row>
    <row r="2968">
      <c r="A2968" s="21">
        <v>68.0</v>
      </c>
      <c r="B2968" s="20" t="s">
        <v>1293</v>
      </c>
      <c r="C2968" s="20" t="s">
        <v>6164</v>
      </c>
      <c r="I2968" s="25" t="s">
        <v>2539</v>
      </c>
      <c r="J2968" s="25" t="s">
        <v>5546</v>
      </c>
      <c r="K2968" s="25" t="s">
        <v>71</v>
      </c>
      <c r="L2968" s="25" t="s">
        <v>5988</v>
      </c>
      <c r="M2968" s="20" t="s">
        <v>61</v>
      </c>
      <c r="N2968" s="20" t="s">
        <v>5635</v>
      </c>
      <c r="O2968" s="20" t="s">
        <v>56</v>
      </c>
      <c r="P2968" s="20" t="s">
        <v>52</v>
      </c>
      <c r="Q2968" s="22"/>
      <c r="R2968" s="22"/>
      <c r="S2968" s="22"/>
      <c r="T2968" s="20"/>
      <c r="U2968" s="26"/>
      <c r="V2968" s="26"/>
      <c r="W2968" s="20"/>
      <c r="X2968" s="20"/>
      <c r="Y2968" s="20"/>
      <c r="Z2968" s="20"/>
      <c r="AA2968" s="20"/>
      <c r="AB2968" s="20"/>
      <c r="AC2968" s="20"/>
      <c r="AD2968" s="20"/>
      <c r="AE2968" s="20"/>
    </row>
    <row r="2969">
      <c r="A2969" s="21">
        <v>68.0</v>
      </c>
      <c r="B2969" s="20" t="s">
        <v>1293</v>
      </c>
      <c r="C2969" s="20" t="s">
        <v>6164</v>
      </c>
      <c r="I2969" s="25" t="s">
        <v>2517</v>
      </c>
      <c r="J2969" s="25" t="s">
        <v>5587</v>
      </c>
      <c r="K2969" s="25" t="s">
        <v>71</v>
      </c>
      <c r="L2969" s="25" t="s">
        <v>5991</v>
      </c>
      <c r="M2969" s="20" t="s">
        <v>5739</v>
      </c>
      <c r="N2969" s="20" t="s">
        <v>5740</v>
      </c>
      <c r="O2969" s="20" t="s">
        <v>56</v>
      </c>
      <c r="P2969" s="20" t="s">
        <v>52</v>
      </c>
      <c r="Q2969" s="22"/>
      <c r="R2969" s="22"/>
      <c r="S2969" s="22"/>
      <c r="T2969" s="20"/>
      <c r="U2969" s="26"/>
      <c r="V2969" s="26"/>
      <c r="W2969" s="20"/>
      <c r="X2969" s="20"/>
      <c r="Y2969" s="20"/>
      <c r="Z2969" s="20"/>
      <c r="AA2969" s="20"/>
      <c r="AB2969" s="20"/>
      <c r="AC2969" s="20"/>
      <c r="AD2969" s="20"/>
      <c r="AE2969" s="20"/>
    </row>
    <row r="2970">
      <c r="A2970" s="21">
        <v>68.0</v>
      </c>
      <c r="B2970" s="20" t="s">
        <v>1293</v>
      </c>
      <c r="C2970" s="20" t="s">
        <v>6164</v>
      </c>
      <c r="I2970" s="25" t="s">
        <v>231</v>
      </c>
      <c r="J2970" s="25" t="s">
        <v>5546</v>
      </c>
      <c r="K2970" s="25" t="s">
        <v>71</v>
      </c>
      <c r="L2970" s="25" t="s">
        <v>5988</v>
      </c>
      <c r="M2970" s="20" t="s">
        <v>61</v>
      </c>
      <c r="N2970" s="20" t="s">
        <v>5636</v>
      </c>
      <c r="O2970" s="20" t="s">
        <v>56</v>
      </c>
      <c r="P2970" s="20" t="s">
        <v>52</v>
      </c>
      <c r="Q2970" s="22"/>
      <c r="R2970" s="22"/>
      <c r="S2970" s="22"/>
      <c r="T2970" s="20"/>
      <c r="U2970" s="26"/>
      <c r="V2970" s="26"/>
      <c r="W2970" s="20"/>
      <c r="X2970" s="20"/>
      <c r="Y2970" s="20"/>
      <c r="Z2970" s="20"/>
      <c r="AA2970" s="20"/>
      <c r="AB2970" s="20"/>
      <c r="AC2970" s="20"/>
      <c r="AD2970" s="20"/>
      <c r="AE2970" s="20"/>
    </row>
    <row r="2971">
      <c r="A2971" s="21">
        <v>68.0</v>
      </c>
      <c r="B2971" s="20" t="s">
        <v>1293</v>
      </c>
      <c r="C2971" s="20" t="s">
        <v>6164</v>
      </c>
      <c r="I2971" s="25" t="s">
        <v>3359</v>
      </c>
      <c r="J2971" s="25" t="s">
        <v>5546</v>
      </c>
      <c r="K2971" s="25" t="s">
        <v>71</v>
      </c>
      <c r="L2971" s="25" t="s">
        <v>6196</v>
      </c>
      <c r="M2971" s="20" t="s">
        <v>61</v>
      </c>
      <c r="N2971" s="20" t="s">
        <v>5637</v>
      </c>
      <c r="O2971" s="20" t="s">
        <v>56</v>
      </c>
      <c r="P2971" s="20" t="s">
        <v>52</v>
      </c>
      <c r="Q2971" s="22"/>
      <c r="R2971" s="22"/>
      <c r="S2971" s="22"/>
      <c r="T2971" s="20"/>
      <c r="U2971" s="26"/>
      <c r="V2971" s="26"/>
      <c r="W2971" s="20"/>
      <c r="X2971" s="20"/>
      <c r="Y2971" s="20"/>
      <c r="Z2971" s="20"/>
      <c r="AA2971" s="20"/>
      <c r="AB2971" s="20"/>
      <c r="AC2971" s="20"/>
      <c r="AD2971" s="20"/>
      <c r="AE2971" s="20"/>
    </row>
    <row r="2972">
      <c r="A2972" s="21">
        <v>68.0</v>
      </c>
      <c r="B2972" s="20" t="s">
        <v>1293</v>
      </c>
      <c r="C2972" s="20" t="s">
        <v>6164</v>
      </c>
      <c r="I2972" s="25" t="s">
        <v>4055</v>
      </c>
      <c r="J2972" s="25" t="s">
        <v>5546</v>
      </c>
      <c r="K2972" s="25" t="s">
        <v>71</v>
      </c>
      <c r="L2972" s="25" t="s">
        <v>5998</v>
      </c>
      <c r="M2972" s="20" t="s">
        <v>61</v>
      </c>
      <c r="N2972" s="20" t="s">
        <v>5638</v>
      </c>
      <c r="O2972" s="20" t="s">
        <v>56</v>
      </c>
      <c r="P2972" s="20" t="s">
        <v>52</v>
      </c>
      <c r="Q2972" s="22"/>
      <c r="R2972" s="22"/>
      <c r="S2972" s="22"/>
      <c r="T2972" s="20"/>
      <c r="U2972" s="26"/>
      <c r="V2972" s="26"/>
      <c r="W2972" s="20"/>
      <c r="X2972" s="20"/>
      <c r="Y2972" s="20"/>
      <c r="Z2972" s="20"/>
      <c r="AA2972" s="20"/>
      <c r="AB2972" s="20"/>
      <c r="AC2972" s="20"/>
      <c r="AD2972" s="20"/>
      <c r="AE2972" s="20"/>
    </row>
    <row r="2973">
      <c r="A2973" s="21">
        <v>68.0</v>
      </c>
      <c r="B2973" s="20" t="s">
        <v>1293</v>
      </c>
      <c r="C2973" s="20" t="s">
        <v>6164</v>
      </c>
      <c r="I2973" s="25" t="s">
        <v>4626</v>
      </c>
      <c r="J2973" s="25" t="s">
        <v>5589</v>
      </c>
      <c r="K2973" s="25" t="s">
        <v>71</v>
      </c>
      <c r="L2973" s="25" t="s">
        <v>5988</v>
      </c>
      <c r="M2973" s="20" t="s">
        <v>5792</v>
      </c>
      <c r="N2973" s="20" t="s">
        <v>5793</v>
      </c>
      <c r="O2973" s="20" t="s">
        <v>56</v>
      </c>
      <c r="P2973" s="20" t="s">
        <v>52</v>
      </c>
      <c r="Q2973" s="22"/>
      <c r="R2973" s="22"/>
      <c r="S2973" s="22"/>
      <c r="T2973" s="20"/>
      <c r="U2973" s="26"/>
      <c r="V2973" s="26"/>
      <c r="W2973" s="20"/>
      <c r="X2973" s="20"/>
      <c r="Y2973" s="20"/>
      <c r="Z2973" s="20"/>
      <c r="AA2973" s="20"/>
      <c r="AB2973" s="20"/>
      <c r="AC2973" s="20"/>
      <c r="AD2973" s="20"/>
      <c r="AE2973" s="20"/>
    </row>
    <row r="2974">
      <c r="A2974" s="21">
        <v>68.0</v>
      </c>
      <c r="B2974" s="20" t="s">
        <v>1293</v>
      </c>
      <c r="C2974" s="20" t="s">
        <v>6164</v>
      </c>
      <c r="I2974" s="25" t="s">
        <v>5406</v>
      </c>
      <c r="J2974" s="25" t="s">
        <v>5546</v>
      </c>
      <c r="K2974" s="25" t="s">
        <v>71</v>
      </c>
      <c r="L2974" s="25" t="s">
        <v>5998</v>
      </c>
      <c r="M2974" s="20" t="s">
        <v>61</v>
      </c>
      <c r="N2974" s="20" t="s">
        <v>5639</v>
      </c>
      <c r="O2974" s="20" t="s">
        <v>56</v>
      </c>
      <c r="P2974" s="20" t="s">
        <v>52</v>
      </c>
      <c r="Q2974" s="22"/>
      <c r="R2974" s="22"/>
      <c r="S2974" s="22"/>
      <c r="T2974" s="20"/>
      <c r="U2974" s="26"/>
      <c r="V2974" s="26"/>
      <c r="W2974" s="20"/>
      <c r="X2974" s="20"/>
      <c r="Y2974" s="20"/>
      <c r="Z2974" s="20"/>
      <c r="AA2974" s="20"/>
      <c r="AB2974" s="20"/>
      <c r="AC2974" s="20"/>
      <c r="AD2974" s="20"/>
      <c r="AE2974" s="20"/>
    </row>
    <row r="2975">
      <c r="A2975" s="21">
        <v>68.0</v>
      </c>
      <c r="B2975" s="20" t="s">
        <v>1293</v>
      </c>
      <c r="C2975" s="20" t="s">
        <v>6164</v>
      </c>
      <c r="I2975" s="25" t="s">
        <v>5408</v>
      </c>
      <c r="J2975" s="25" t="s">
        <v>5546</v>
      </c>
      <c r="K2975" s="25" t="s">
        <v>71</v>
      </c>
      <c r="L2975" s="25" t="s">
        <v>5986</v>
      </c>
      <c r="M2975" s="20" t="s">
        <v>61</v>
      </c>
      <c r="N2975" s="20" t="s">
        <v>5640</v>
      </c>
      <c r="O2975" s="20" t="s">
        <v>56</v>
      </c>
      <c r="P2975" s="20" t="s">
        <v>52</v>
      </c>
      <c r="Q2975" s="22"/>
      <c r="R2975" s="22"/>
      <c r="S2975" s="22"/>
      <c r="T2975" s="20"/>
      <c r="U2975" s="26"/>
      <c r="V2975" s="26"/>
      <c r="W2975" s="20"/>
      <c r="X2975" s="20"/>
      <c r="Y2975" s="20"/>
      <c r="Z2975" s="20"/>
      <c r="AA2975" s="20"/>
      <c r="AB2975" s="20"/>
      <c r="AC2975" s="20"/>
      <c r="AD2975" s="20"/>
      <c r="AE2975" s="20"/>
    </row>
    <row r="2976">
      <c r="A2976" s="21">
        <v>68.0</v>
      </c>
      <c r="B2976" s="20" t="s">
        <v>1293</v>
      </c>
      <c r="C2976" s="20" t="s">
        <v>6164</v>
      </c>
      <c r="I2976" s="25" t="s">
        <v>2756</v>
      </c>
      <c r="J2976" s="25" t="s">
        <v>5587</v>
      </c>
      <c r="K2976" s="25" t="s">
        <v>71</v>
      </c>
      <c r="L2976" s="25" t="s">
        <v>6196</v>
      </c>
      <c r="M2976" s="20" t="s">
        <v>5742</v>
      </c>
      <c r="N2976" s="20" t="s">
        <v>5743</v>
      </c>
      <c r="O2976" s="20" t="s">
        <v>56</v>
      </c>
      <c r="P2976" s="20" t="s">
        <v>52</v>
      </c>
      <c r="Q2976" s="22"/>
      <c r="R2976" s="22"/>
      <c r="S2976" s="22"/>
      <c r="T2976" s="20"/>
      <c r="U2976" s="26"/>
      <c r="V2976" s="26"/>
      <c r="W2976" s="20"/>
      <c r="X2976" s="20"/>
      <c r="Y2976" s="20"/>
      <c r="Z2976" s="20"/>
      <c r="AA2976" s="20"/>
      <c r="AB2976" s="20"/>
      <c r="AC2976" s="20"/>
      <c r="AD2976" s="20"/>
      <c r="AE2976" s="20"/>
    </row>
    <row r="2977">
      <c r="A2977" s="21">
        <v>68.0</v>
      </c>
      <c r="B2977" s="20" t="s">
        <v>1293</v>
      </c>
      <c r="C2977" s="20" t="s">
        <v>6164</v>
      </c>
      <c r="I2977" s="25" t="s">
        <v>4455</v>
      </c>
      <c r="J2977" s="25" t="s">
        <v>5589</v>
      </c>
      <c r="K2977" s="25" t="s">
        <v>71</v>
      </c>
      <c r="L2977" s="25" t="s">
        <v>5991</v>
      </c>
      <c r="M2977" s="20" t="s">
        <v>61</v>
      </c>
      <c r="N2977" s="20" t="s">
        <v>5794</v>
      </c>
      <c r="O2977" s="20" t="s">
        <v>56</v>
      </c>
      <c r="P2977" s="20" t="s">
        <v>52</v>
      </c>
      <c r="Q2977" s="22"/>
      <c r="R2977" s="22"/>
      <c r="S2977" s="22"/>
      <c r="T2977" s="20"/>
      <c r="U2977" s="26"/>
      <c r="V2977" s="26"/>
      <c r="W2977" s="20"/>
      <c r="X2977" s="20"/>
      <c r="Y2977" s="20"/>
      <c r="Z2977" s="20"/>
      <c r="AA2977" s="20"/>
      <c r="AB2977" s="20"/>
      <c r="AC2977" s="20"/>
      <c r="AD2977" s="20"/>
      <c r="AE2977" s="20"/>
    </row>
    <row r="2978">
      <c r="A2978" s="21">
        <v>68.0</v>
      </c>
      <c r="B2978" s="20" t="s">
        <v>1293</v>
      </c>
      <c r="C2978" s="20" t="s">
        <v>6164</v>
      </c>
      <c r="I2978" s="25" t="s">
        <v>2787</v>
      </c>
      <c r="J2978" s="25" t="s">
        <v>5589</v>
      </c>
      <c r="K2978" s="25" t="s">
        <v>71</v>
      </c>
      <c r="L2978" s="25" t="s">
        <v>5991</v>
      </c>
      <c r="M2978" s="20" t="s">
        <v>4564</v>
      </c>
      <c r="N2978" s="20" t="s">
        <v>5795</v>
      </c>
      <c r="O2978" s="20" t="s">
        <v>56</v>
      </c>
      <c r="P2978" s="20" t="s">
        <v>52</v>
      </c>
      <c r="Q2978" s="22"/>
      <c r="R2978" s="22"/>
      <c r="S2978" s="22"/>
      <c r="T2978" s="20"/>
      <c r="U2978" s="26"/>
      <c r="V2978" s="26"/>
      <c r="W2978" s="20"/>
      <c r="X2978" s="20"/>
      <c r="Y2978" s="20"/>
      <c r="Z2978" s="20"/>
      <c r="AA2978" s="20"/>
      <c r="AB2978" s="20"/>
      <c r="AC2978" s="20"/>
      <c r="AD2978" s="20"/>
      <c r="AE2978" s="20"/>
    </row>
    <row r="2979">
      <c r="A2979" s="21">
        <v>68.0</v>
      </c>
      <c r="B2979" s="20" t="s">
        <v>1293</v>
      </c>
      <c r="C2979" s="20" t="s">
        <v>6164</v>
      </c>
      <c r="I2979" s="25" t="s">
        <v>4592</v>
      </c>
      <c r="J2979" s="25" t="s">
        <v>5589</v>
      </c>
      <c r="K2979" s="25" t="s">
        <v>71</v>
      </c>
      <c r="L2979" s="25" t="s">
        <v>5991</v>
      </c>
      <c r="M2979" s="20" t="s">
        <v>5796</v>
      </c>
      <c r="N2979" s="20" t="s">
        <v>5797</v>
      </c>
      <c r="O2979" s="20" t="s">
        <v>56</v>
      </c>
      <c r="P2979" s="20" t="s">
        <v>52</v>
      </c>
      <c r="Q2979" s="22"/>
      <c r="R2979" s="22"/>
      <c r="S2979" s="22"/>
      <c r="T2979" s="20"/>
      <c r="U2979" s="26"/>
      <c r="V2979" s="26"/>
      <c r="W2979" s="20"/>
      <c r="X2979" s="20"/>
      <c r="Y2979" s="20"/>
      <c r="Z2979" s="20"/>
      <c r="AA2979" s="20"/>
      <c r="AB2979" s="20"/>
      <c r="AC2979" s="20"/>
      <c r="AD2979" s="20"/>
      <c r="AE2979" s="20"/>
    </row>
    <row r="2980">
      <c r="A2980" s="21">
        <v>68.0</v>
      </c>
      <c r="B2980" s="20" t="s">
        <v>1293</v>
      </c>
      <c r="C2980" s="20" t="s">
        <v>6164</v>
      </c>
      <c r="I2980" s="25" t="s">
        <v>4112</v>
      </c>
      <c r="J2980" s="25" t="s">
        <v>5587</v>
      </c>
      <c r="K2980" s="25" t="s">
        <v>71</v>
      </c>
      <c r="L2980" s="25" t="s">
        <v>5991</v>
      </c>
      <c r="M2980" s="20" t="s">
        <v>4113</v>
      </c>
      <c r="N2980" s="20" t="s">
        <v>5744</v>
      </c>
      <c r="O2980" s="20" t="s">
        <v>56</v>
      </c>
      <c r="P2980" s="20" t="s">
        <v>52</v>
      </c>
      <c r="Q2980" s="22"/>
      <c r="R2980" s="22"/>
      <c r="S2980" s="22"/>
      <c r="T2980" s="20"/>
      <c r="U2980" s="26"/>
      <c r="V2980" s="26"/>
      <c r="W2980" s="20"/>
      <c r="X2980" s="20"/>
      <c r="Y2980" s="20"/>
      <c r="Z2980" s="20"/>
      <c r="AA2980" s="20"/>
      <c r="AB2980" s="20"/>
      <c r="AC2980" s="20"/>
      <c r="AD2980" s="20"/>
      <c r="AE2980" s="20"/>
    </row>
    <row r="2981">
      <c r="A2981" s="21">
        <v>68.0</v>
      </c>
      <c r="B2981" s="20" t="s">
        <v>1293</v>
      </c>
      <c r="C2981" s="20" t="s">
        <v>6164</v>
      </c>
      <c r="I2981" s="25" t="s">
        <v>4091</v>
      </c>
      <c r="J2981" s="25" t="s">
        <v>5587</v>
      </c>
      <c r="K2981" s="25" t="s">
        <v>71</v>
      </c>
      <c r="L2981" s="25" t="s">
        <v>6197</v>
      </c>
      <c r="M2981" s="20" t="s">
        <v>4487</v>
      </c>
      <c r="N2981" s="20" t="s">
        <v>5746</v>
      </c>
      <c r="O2981" s="20" t="s">
        <v>56</v>
      </c>
      <c r="P2981" s="20" t="s">
        <v>52</v>
      </c>
      <c r="Q2981" s="22"/>
      <c r="R2981" s="22"/>
      <c r="S2981" s="22"/>
      <c r="T2981" s="20"/>
      <c r="U2981" s="26"/>
      <c r="V2981" s="26"/>
      <c r="W2981" s="20"/>
      <c r="X2981" s="20"/>
      <c r="Y2981" s="20"/>
      <c r="Z2981" s="20"/>
      <c r="AA2981" s="20"/>
      <c r="AB2981" s="20"/>
      <c r="AC2981" s="20"/>
      <c r="AD2981" s="20"/>
      <c r="AE2981" s="20"/>
    </row>
    <row r="2982">
      <c r="A2982" s="21">
        <v>68.0</v>
      </c>
      <c r="B2982" s="20" t="s">
        <v>1293</v>
      </c>
      <c r="C2982" s="20" t="s">
        <v>6164</v>
      </c>
      <c r="I2982" s="25" t="s">
        <v>4512</v>
      </c>
      <c r="J2982" s="25" t="s">
        <v>5546</v>
      </c>
      <c r="K2982" s="25" t="s">
        <v>71</v>
      </c>
      <c r="L2982" s="25" t="s">
        <v>6197</v>
      </c>
      <c r="M2982" s="20" t="s">
        <v>4513</v>
      </c>
      <c r="N2982" s="20" t="s">
        <v>5641</v>
      </c>
      <c r="O2982" s="20" t="s">
        <v>56</v>
      </c>
      <c r="P2982" s="20" t="s">
        <v>52</v>
      </c>
      <c r="Q2982" s="22"/>
      <c r="R2982" s="22"/>
      <c r="S2982" s="22"/>
      <c r="T2982" s="20"/>
      <c r="U2982" s="26"/>
      <c r="V2982" s="26"/>
      <c r="W2982" s="20"/>
      <c r="X2982" s="20"/>
      <c r="Y2982" s="20"/>
      <c r="Z2982" s="20"/>
      <c r="AA2982" s="20"/>
      <c r="AB2982" s="20"/>
      <c r="AC2982" s="20"/>
      <c r="AD2982" s="20"/>
      <c r="AE2982" s="20"/>
    </row>
    <row r="2983">
      <c r="A2983" s="21">
        <v>68.0</v>
      </c>
      <c r="B2983" s="20" t="s">
        <v>1293</v>
      </c>
      <c r="C2983" s="20" t="s">
        <v>6164</v>
      </c>
      <c r="I2983" s="25" t="s">
        <v>4553</v>
      </c>
      <c r="J2983" s="25" t="s">
        <v>5546</v>
      </c>
      <c r="K2983" s="25" t="s">
        <v>71</v>
      </c>
      <c r="L2983" s="25" t="s">
        <v>5991</v>
      </c>
      <c r="M2983" s="20" t="s">
        <v>61</v>
      </c>
      <c r="N2983" s="20" t="s">
        <v>5642</v>
      </c>
      <c r="O2983" s="20" t="s">
        <v>56</v>
      </c>
      <c r="P2983" s="20" t="s">
        <v>52</v>
      </c>
      <c r="Q2983" s="22"/>
      <c r="R2983" s="22"/>
      <c r="S2983" s="22"/>
      <c r="T2983" s="20"/>
      <c r="U2983" s="26"/>
      <c r="V2983" s="26"/>
      <c r="W2983" s="20"/>
      <c r="X2983" s="20"/>
      <c r="Y2983" s="20"/>
      <c r="Z2983" s="20"/>
      <c r="AA2983" s="20"/>
      <c r="AB2983" s="20"/>
      <c r="AC2983" s="20"/>
      <c r="AD2983" s="20"/>
      <c r="AE2983" s="20"/>
    </row>
    <row r="2984">
      <c r="A2984" s="21">
        <v>68.0</v>
      </c>
      <c r="B2984" s="20" t="s">
        <v>1293</v>
      </c>
      <c r="C2984" s="20" t="s">
        <v>6164</v>
      </c>
      <c r="I2984" s="25" t="s">
        <v>1687</v>
      </c>
      <c r="J2984" s="25" t="s">
        <v>5587</v>
      </c>
      <c r="K2984" s="25" t="s">
        <v>71</v>
      </c>
      <c r="L2984" s="25" t="s">
        <v>5991</v>
      </c>
      <c r="M2984" s="20" t="s">
        <v>1688</v>
      </c>
      <c r="N2984" s="20" t="s">
        <v>5747</v>
      </c>
      <c r="O2984" s="20" t="s">
        <v>56</v>
      </c>
      <c r="P2984" s="20" t="s">
        <v>52</v>
      </c>
      <c r="Q2984" s="22"/>
      <c r="R2984" s="22"/>
      <c r="S2984" s="22"/>
      <c r="T2984" s="20"/>
      <c r="U2984" s="26"/>
      <c r="V2984" s="26"/>
      <c r="W2984" s="20"/>
      <c r="X2984" s="20"/>
      <c r="Y2984" s="20"/>
      <c r="Z2984" s="20"/>
      <c r="AA2984" s="20"/>
      <c r="AB2984" s="20"/>
      <c r="AC2984" s="20"/>
      <c r="AD2984" s="20"/>
      <c r="AE2984" s="20"/>
    </row>
    <row r="2985">
      <c r="A2985" s="21">
        <v>68.0</v>
      </c>
      <c r="B2985" s="20" t="s">
        <v>1293</v>
      </c>
      <c r="C2985" s="20" t="s">
        <v>6164</v>
      </c>
      <c r="I2985" s="25" t="s">
        <v>4445</v>
      </c>
      <c r="J2985" s="25" t="s">
        <v>5546</v>
      </c>
      <c r="K2985" s="25" t="s">
        <v>71</v>
      </c>
      <c r="L2985" s="25" t="s">
        <v>6011</v>
      </c>
      <c r="M2985" s="20" t="s">
        <v>61</v>
      </c>
      <c r="N2985" s="20" t="s">
        <v>5643</v>
      </c>
      <c r="O2985" s="20" t="s">
        <v>56</v>
      </c>
      <c r="P2985" s="20" t="s">
        <v>52</v>
      </c>
      <c r="Q2985" s="22"/>
      <c r="R2985" s="22"/>
      <c r="S2985" s="22"/>
      <c r="T2985" s="20"/>
      <c r="U2985" s="26"/>
      <c r="V2985" s="26"/>
      <c r="W2985" s="20"/>
      <c r="X2985" s="20"/>
      <c r="Y2985" s="20"/>
      <c r="Z2985" s="20"/>
      <c r="AA2985" s="20"/>
      <c r="AB2985" s="20"/>
      <c r="AC2985" s="20"/>
      <c r="AD2985" s="20"/>
      <c r="AE2985" s="20"/>
    </row>
    <row r="2986">
      <c r="A2986" s="21">
        <v>68.0</v>
      </c>
      <c r="B2986" s="20" t="s">
        <v>1293</v>
      </c>
      <c r="C2986" s="20" t="s">
        <v>6164</v>
      </c>
      <c r="I2986" s="25" t="s">
        <v>5386</v>
      </c>
      <c r="J2986" s="25" t="s">
        <v>5546</v>
      </c>
      <c r="K2986" s="25" t="s">
        <v>71</v>
      </c>
      <c r="L2986" s="25" t="s">
        <v>5986</v>
      </c>
      <c r="M2986" s="20" t="s">
        <v>61</v>
      </c>
      <c r="N2986" s="20" t="s">
        <v>5644</v>
      </c>
      <c r="O2986" s="20" t="s">
        <v>56</v>
      </c>
      <c r="P2986" s="20" t="s">
        <v>52</v>
      </c>
      <c r="Q2986" s="22"/>
      <c r="R2986" s="22"/>
      <c r="S2986" s="22"/>
      <c r="T2986" s="20"/>
      <c r="U2986" s="26"/>
      <c r="V2986" s="26"/>
      <c r="W2986" s="20"/>
      <c r="X2986" s="20"/>
      <c r="Y2986" s="20"/>
      <c r="Z2986" s="20"/>
      <c r="AA2986" s="20"/>
      <c r="AB2986" s="20"/>
      <c r="AC2986" s="20"/>
      <c r="AD2986" s="20"/>
      <c r="AE2986" s="20"/>
    </row>
    <row r="2987">
      <c r="A2987" s="21">
        <v>68.0</v>
      </c>
      <c r="B2987" s="20" t="s">
        <v>1293</v>
      </c>
      <c r="C2987" s="20" t="s">
        <v>6164</v>
      </c>
      <c r="I2987" s="25" t="s">
        <v>707</v>
      </c>
      <c r="J2987" s="25" t="s">
        <v>5546</v>
      </c>
      <c r="K2987" s="25" t="s">
        <v>71</v>
      </c>
      <c r="L2987" s="25" t="s">
        <v>6011</v>
      </c>
      <c r="M2987" s="20" t="s">
        <v>61</v>
      </c>
      <c r="N2987" s="20" t="s">
        <v>5645</v>
      </c>
      <c r="O2987" s="20" t="s">
        <v>56</v>
      </c>
      <c r="P2987" s="20" t="s">
        <v>52</v>
      </c>
      <c r="Q2987" s="22"/>
      <c r="R2987" s="22"/>
      <c r="S2987" s="22"/>
      <c r="T2987" s="20"/>
      <c r="U2987" s="26"/>
      <c r="V2987" s="26"/>
      <c r="W2987" s="20"/>
      <c r="X2987" s="20"/>
      <c r="Y2987" s="20"/>
      <c r="Z2987" s="20"/>
      <c r="AA2987" s="20"/>
      <c r="AB2987" s="20"/>
      <c r="AC2987" s="20"/>
      <c r="AD2987" s="20"/>
      <c r="AE2987" s="20"/>
    </row>
    <row r="2988">
      <c r="A2988" s="21">
        <v>68.0</v>
      </c>
      <c r="B2988" s="20" t="s">
        <v>1293</v>
      </c>
      <c r="C2988" s="20" t="s">
        <v>6164</v>
      </c>
      <c r="I2988" s="25" t="s">
        <v>3321</v>
      </c>
      <c r="J2988" s="25" t="s">
        <v>5546</v>
      </c>
      <c r="K2988" s="25" t="s">
        <v>71</v>
      </c>
      <c r="L2988" s="25" t="s">
        <v>5988</v>
      </c>
      <c r="M2988" s="20" t="s">
        <v>61</v>
      </c>
      <c r="N2988" s="20" t="s">
        <v>5646</v>
      </c>
      <c r="O2988" s="20" t="s">
        <v>56</v>
      </c>
      <c r="P2988" s="20" t="s">
        <v>52</v>
      </c>
      <c r="Q2988" s="22"/>
      <c r="R2988" s="22"/>
      <c r="S2988" s="22"/>
      <c r="T2988" s="20"/>
      <c r="U2988" s="26"/>
      <c r="V2988" s="26"/>
      <c r="W2988" s="20"/>
      <c r="X2988" s="20"/>
      <c r="Y2988" s="20"/>
      <c r="Z2988" s="20"/>
      <c r="AA2988" s="20"/>
      <c r="AB2988" s="20"/>
      <c r="AC2988" s="20"/>
      <c r="AD2988" s="20"/>
      <c r="AE2988" s="20"/>
    </row>
    <row r="2989">
      <c r="A2989" s="21">
        <v>68.0</v>
      </c>
      <c r="B2989" s="20" t="s">
        <v>1293</v>
      </c>
      <c r="C2989" s="20" t="s">
        <v>6164</v>
      </c>
      <c r="I2989" s="25" t="s">
        <v>2497</v>
      </c>
      <c r="J2989" s="25" t="s">
        <v>5546</v>
      </c>
      <c r="K2989" s="25" t="s">
        <v>71</v>
      </c>
      <c r="L2989" s="25" t="s">
        <v>6019</v>
      </c>
      <c r="M2989" s="20" t="s">
        <v>61</v>
      </c>
      <c r="N2989" s="20" t="s">
        <v>5647</v>
      </c>
      <c r="O2989" s="20" t="s">
        <v>56</v>
      </c>
      <c r="P2989" s="20" t="s">
        <v>52</v>
      </c>
      <c r="Q2989" s="22"/>
      <c r="R2989" s="22"/>
      <c r="S2989" s="22"/>
      <c r="T2989" s="20"/>
      <c r="U2989" s="26"/>
      <c r="V2989" s="26"/>
      <c r="W2989" s="20"/>
      <c r="X2989" s="20"/>
      <c r="Y2989" s="20"/>
      <c r="Z2989" s="20"/>
      <c r="AA2989" s="20"/>
      <c r="AB2989" s="20"/>
      <c r="AC2989" s="20"/>
      <c r="AD2989" s="20"/>
      <c r="AE2989" s="20"/>
    </row>
    <row r="2990">
      <c r="A2990" s="21">
        <v>68.0</v>
      </c>
      <c r="B2990" s="20" t="s">
        <v>1293</v>
      </c>
      <c r="C2990" s="20" t="s">
        <v>6164</v>
      </c>
      <c r="I2990" s="25" t="s">
        <v>2513</v>
      </c>
      <c r="J2990" s="25" t="s">
        <v>5546</v>
      </c>
      <c r="K2990" s="25" t="s">
        <v>71</v>
      </c>
      <c r="L2990" s="25" t="s">
        <v>6019</v>
      </c>
      <c r="M2990" s="20" t="s">
        <v>61</v>
      </c>
      <c r="N2990" s="20" t="s">
        <v>5648</v>
      </c>
      <c r="O2990" s="20" t="s">
        <v>56</v>
      </c>
      <c r="P2990" s="20" t="s">
        <v>52</v>
      </c>
      <c r="Q2990" s="22"/>
      <c r="R2990" s="22"/>
      <c r="S2990" s="22"/>
      <c r="T2990" s="26"/>
      <c r="U2990" s="26"/>
      <c r="V2990" s="26"/>
      <c r="W2990" s="20"/>
      <c r="X2990" s="20"/>
      <c r="Y2990" s="20"/>
      <c r="Z2990" s="20"/>
      <c r="AA2990" s="20"/>
      <c r="AB2990" s="20"/>
      <c r="AC2990" s="20"/>
      <c r="AD2990" s="20"/>
      <c r="AE2990" s="20"/>
    </row>
    <row r="2991">
      <c r="A2991" s="21">
        <v>68.0</v>
      </c>
      <c r="B2991" s="20" t="s">
        <v>1293</v>
      </c>
      <c r="C2991" s="20" t="s">
        <v>6164</v>
      </c>
      <c r="I2991" s="25" t="s">
        <v>4756</v>
      </c>
      <c r="J2991" s="25" t="s">
        <v>5546</v>
      </c>
      <c r="K2991" s="25" t="s">
        <v>71</v>
      </c>
      <c r="L2991" s="25" t="s">
        <v>6011</v>
      </c>
      <c r="M2991" s="20" t="s">
        <v>61</v>
      </c>
      <c r="N2991" s="20" t="s">
        <v>5649</v>
      </c>
      <c r="O2991" s="20" t="s">
        <v>56</v>
      </c>
      <c r="P2991" s="20" t="s">
        <v>52</v>
      </c>
      <c r="Q2991" s="22"/>
      <c r="R2991" s="22"/>
      <c r="S2991" s="22"/>
      <c r="T2991" s="26"/>
      <c r="U2991" s="26"/>
      <c r="V2991" s="26"/>
      <c r="W2991" s="20"/>
      <c r="X2991" s="20"/>
      <c r="Y2991" s="20"/>
      <c r="Z2991" s="20"/>
      <c r="AA2991" s="20"/>
      <c r="AB2991" s="20"/>
      <c r="AC2991" s="20"/>
      <c r="AD2991" s="20"/>
      <c r="AE2991" s="20"/>
    </row>
    <row r="2992">
      <c r="A2992" s="21">
        <v>68.0</v>
      </c>
      <c r="B2992" s="20" t="s">
        <v>1293</v>
      </c>
      <c r="C2992" s="20" t="s">
        <v>6164</v>
      </c>
      <c r="I2992" s="25" t="s">
        <v>2091</v>
      </c>
      <c r="J2992" s="25" t="s">
        <v>5589</v>
      </c>
      <c r="K2992" s="25" t="s">
        <v>71</v>
      </c>
      <c r="L2992" s="25" t="s">
        <v>6023</v>
      </c>
      <c r="M2992" s="20" t="s">
        <v>61</v>
      </c>
      <c r="N2992" s="20" t="s">
        <v>5798</v>
      </c>
      <c r="O2992" s="20" t="s">
        <v>56</v>
      </c>
      <c r="P2992" s="20" t="s">
        <v>52</v>
      </c>
      <c r="Q2992" s="22"/>
      <c r="R2992" s="22"/>
      <c r="S2992" s="22"/>
      <c r="T2992" s="26"/>
      <c r="U2992" s="26"/>
      <c r="V2992" s="26"/>
      <c r="W2992" s="20"/>
      <c r="X2992" s="20"/>
      <c r="Y2992" s="20"/>
      <c r="Z2992" s="20"/>
      <c r="AA2992" s="20"/>
      <c r="AB2992" s="20"/>
      <c r="AC2992" s="20"/>
      <c r="AD2992" s="20"/>
      <c r="AE2992" s="20"/>
    </row>
    <row r="2993">
      <c r="A2993" s="21">
        <v>68.0</v>
      </c>
      <c r="B2993" s="20" t="s">
        <v>1293</v>
      </c>
      <c r="C2993" s="20" t="s">
        <v>6164</v>
      </c>
      <c r="I2993" s="25" t="s">
        <v>4561</v>
      </c>
      <c r="J2993" s="25" t="s">
        <v>5589</v>
      </c>
      <c r="K2993" s="25" t="s">
        <v>71</v>
      </c>
      <c r="L2993" s="25" t="s">
        <v>5991</v>
      </c>
      <c r="M2993" s="20" t="s">
        <v>61</v>
      </c>
      <c r="N2993" s="20" t="s">
        <v>5799</v>
      </c>
      <c r="O2993" s="20" t="s">
        <v>56</v>
      </c>
      <c r="P2993" s="20" t="s">
        <v>52</v>
      </c>
      <c r="Q2993" s="22"/>
      <c r="R2993" s="22"/>
      <c r="S2993" s="22"/>
      <c r="T2993" s="26"/>
      <c r="U2993" s="26"/>
      <c r="V2993" s="26"/>
      <c r="W2993" s="20"/>
      <c r="X2993" s="20"/>
      <c r="Y2993" s="20"/>
      <c r="Z2993" s="20"/>
      <c r="AA2993" s="20"/>
      <c r="AB2993" s="20"/>
      <c r="AC2993" s="20"/>
      <c r="AD2993" s="20"/>
      <c r="AE2993" s="20"/>
    </row>
    <row r="2994">
      <c r="A2994" s="21">
        <v>68.0</v>
      </c>
      <c r="B2994" s="20" t="s">
        <v>1293</v>
      </c>
      <c r="C2994" s="20" t="s">
        <v>6164</v>
      </c>
      <c r="I2994" s="25" t="s">
        <v>2793</v>
      </c>
      <c r="J2994" s="25" t="s">
        <v>5589</v>
      </c>
      <c r="K2994" s="25" t="s">
        <v>71</v>
      </c>
      <c r="L2994" s="25" t="s">
        <v>6196</v>
      </c>
      <c r="M2994" s="20" t="s">
        <v>2794</v>
      </c>
      <c r="N2994" s="20" t="s">
        <v>5800</v>
      </c>
      <c r="O2994" s="20" t="s">
        <v>56</v>
      </c>
      <c r="P2994" s="20" t="s">
        <v>52</v>
      </c>
      <c r="Q2994" s="22"/>
      <c r="R2994" s="22"/>
      <c r="S2994" s="22"/>
      <c r="T2994" s="26"/>
      <c r="U2994" s="26"/>
      <c r="V2994" s="26"/>
      <c r="W2994" s="20"/>
      <c r="X2994" s="20"/>
      <c r="Y2994" s="20"/>
      <c r="Z2994" s="20"/>
      <c r="AA2994" s="20"/>
      <c r="AB2994" s="20"/>
      <c r="AC2994" s="20"/>
      <c r="AD2994" s="20"/>
      <c r="AE2994" s="20"/>
    </row>
    <row r="2995">
      <c r="A2995" s="21">
        <v>68.0</v>
      </c>
      <c r="B2995" s="20" t="s">
        <v>1293</v>
      </c>
      <c r="C2995" s="20" t="s">
        <v>6164</v>
      </c>
      <c r="I2995" s="25" t="s">
        <v>2049</v>
      </c>
      <c r="J2995" s="25" t="s">
        <v>5589</v>
      </c>
      <c r="K2995" s="25" t="s">
        <v>71</v>
      </c>
      <c r="L2995" s="25" t="s">
        <v>6011</v>
      </c>
      <c r="M2995" s="20" t="s">
        <v>5801</v>
      </c>
      <c r="N2995" s="20" t="s">
        <v>5802</v>
      </c>
      <c r="O2995" s="20" t="s">
        <v>56</v>
      </c>
      <c r="P2995" s="20" t="s">
        <v>52</v>
      </c>
      <c r="Q2995" s="22"/>
      <c r="R2995" s="22"/>
      <c r="S2995" s="22"/>
      <c r="T2995" s="26"/>
      <c r="U2995" s="26"/>
      <c r="V2995" s="26"/>
      <c r="W2995" s="20"/>
      <c r="X2995" s="20"/>
      <c r="Y2995" s="20"/>
      <c r="Z2995" s="20"/>
      <c r="AA2995" s="20"/>
      <c r="AB2995" s="20"/>
      <c r="AC2995" s="20"/>
      <c r="AD2995" s="20"/>
      <c r="AE2995" s="20"/>
    </row>
    <row r="2996">
      <c r="A2996" s="21">
        <v>68.0</v>
      </c>
      <c r="B2996" s="20" t="s">
        <v>1293</v>
      </c>
      <c r="C2996" s="20" t="s">
        <v>6164</v>
      </c>
      <c r="I2996" s="25" t="s">
        <v>3351</v>
      </c>
      <c r="J2996" s="25" t="s">
        <v>5546</v>
      </c>
      <c r="K2996" s="25" t="s">
        <v>71</v>
      </c>
      <c r="L2996" s="25" t="s">
        <v>5991</v>
      </c>
      <c r="M2996" s="20" t="s">
        <v>61</v>
      </c>
      <c r="N2996" s="20" t="s">
        <v>5650</v>
      </c>
      <c r="O2996" s="20" t="s">
        <v>56</v>
      </c>
      <c r="P2996" s="20" t="s">
        <v>52</v>
      </c>
      <c r="Q2996" s="22"/>
      <c r="R2996" s="22"/>
      <c r="S2996" s="22"/>
      <c r="T2996" s="26"/>
      <c r="U2996" s="26"/>
      <c r="V2996" s="26"/>
      <c r="W2996" s="20"/>
      <c r="X2996" s="20"/>
      <c r="Y2996" s="20"/>
      <c r="Z2996" s="20"/>
      <c r="AA2996" s="20"/>
      <c r="AB2996" s="20"/>
      <c r="AC2996" s="20"/>
      <c r="AD2996" s="20"/>
      <c r="AE2996" s="20"/>
    </row>
    <row r="2997">
      <c r="A2997" s="21">
        <v>68.0</v>
      </c>
      <c r="B2997" s="20" t="s">
        <v>1293</v>
      </c>
      <c r="C2997" s="20" t="s">
        <v>6164</v>
      </c>
      <c r="I2997" s="25" t="s">
        <v>5425</v>
      </c>
      <c r="J2997" s="25" t="s">
        <v>5587</v>
      </c>
      <c r="K2997" s="25" t="s">
        <v>71</v>
      </c>
      <c r="L2997" s="25" t="s">
        <v>3342</v>
      </c>
      <c r="M2997" s="20" t="s">
        <v>5748</v>
      </c>
      <c r="N2997" s="20" t="s">
        <v>5749</v>
      </c>
      <c r="O2997" s="20" t="s">
        <v>56</v>
      </c>
      <c r="P2997" s="20" t="s">
        <v>524</v>
      </c>
      <c r="Q2997" s="22"/>
      <c r="R2997" s="22"/>
      <c r="S2997" s="22"/>
      <c r="T2997" s="26"/>
      <c r="U2997" s="26"/>
      <c r="V2997" s="26"/>
      <c r="W2997" s="20"/>
      <c r="X2997" s="20"/>
      <c r="Y2997" s="20"/>
      <c r="Z2997" s="20"/>
      <c r="AA2997" s="20"/>
      <c r="AB2997" s="20"/>
      <c r="AC2997" s="20"/>
      <c r="AD2997" s="20"/>
      <c r="AE2997" s="20"/>
    </row>
    <row r="2998">
      <c r="A2998" s="21">
        <v>68.0</v>
      </c>
      <c r="B2998" s="20" t="s">
        <v>1293</v>
      </c>
      <c r="C2998" s="20" t="s">
        <v>6164</v>
      </c>
      <c r="I2998" s="25" t="s">
        <v>4852</v>
      </c>
      <c r="J2998" s="25" t="s">
        <v>5546</v>
      </c>
      <c r="K2998" s="25" t="s">
        <v>71</v>
      </c>
      <c r="L2998" s="25" t="s">
        <v>3342</v>
      </c>
      <c r="M2998" s="20" t="s">
        <v>61</v>
      </c>
      <c r="N2998" s="20" t="s">
        <v>5651</v>
      </c>
      <c r="O2998" s="20" t="s">
        <v>56</v>
      </c>
      <c r="P2998" s="20" t="s">
        <v>52</v>
      </c>
      <c r="Q2998" s="22"/>
      <c r="R2998" s="22"/>
      <c r="S2998" s="22"/>
      <c r="T2998" s="26"/>
      <c r="U2998" s="26"/>
      <c r="V2998" s="26"/>
      <c r="W2998" s="20"/>
      <c r="X2998" s="20"/>
      <c r="Y2998" s="20"/>
      <c r="Z2998" s="20"/>
      <c r="AA2998" s="20"/>
      <c r="AB2998" s="20"/>
      <c r="AC2998" s="20"/>
      <c r="AD2998" s="20"/>
      <c r="AE2998" s="20"/>
    </row>
    <row r="2999">
      <c r="A2999" s="21">
        <v>68.0</v>
      </c>
      <c r="B2999" s="20" t="s">
        <v>1293</v>
      </c>
      <c r="C2999" s="20" t="s">
        <v>6164</v>
      </c>
      <c r="I2999" s="25" t="s">
        <v>2557</v>
      </c>
      <c r="J2999" s="25" t="s">
        <v>5589</v>
      </c>
      <c r="K2999" s="25" t="s">
        <v>71</v>
      </c>
      <c r="L2999" s="25" t="s">
        <v>3342</v>
      </c>
      <c r="M2999" s="20" t="s">
        <v>2558</v>
      </c>
      <c r="N2999" s="20" t="s">
        <v>5803</v>
      </c>
      <c r="O2999" s="20" t="s">
        <v>56</v>
      </c>
      <c r="P2999" s="20" t="s">
        <v>52</v>
      </c>
      <c r="Q2999" s="22"/>
      <c r="R2999" s="22"/>
      <c r="S2999" s="22"/>
      <c r="T2999" s="26"/>
      <c r="U2999" s="26"/>
      <c r="V2999" s="26"/>
      <c r="W2999" s="20"/>
      <c r="X2999" s="20"/>
      <c r="Y2999" s="20"/>
      <c r="Z2999" s="20"/>
      <c r="AA2999" s="20"/>
      <c r="AB2999" s="20"/>
      <c r="AC2999" s="20"/>
      <c r="AD2999" s="20"/>
      <c r="AE2999" s="20"/>
    </row>
    <row r="3000">
      <c r="A3000" s="21">
        <v>68.0</v>
      </c>
      <c r="B3000" s="20" t="s">
        <v>1293</v>
      </c>
      <c r="C3000" s="20" t="s">
        <v>6164</v>
      </c>
      <c r="I3000" s="25" t="s">
        <v>115</v>
      </c>
      <c r="J3000" s="25" t="s">
        <v>5546</v>
      </c>
      <c r="K3000" s="25" t="s">
        <v>71</v>
      </c>
      <c r="L3000" s="25" t="s">
        <v>3342</v>
      </c>
      <c r="M3000" s="20" t="s">
        <v>61</v>
      </c>
      <c r="N3000" s="20" t="s">
        <v>5652</v>
      </c>
      <c r="O3000" s="20" t="s">
        <v>56</v>
      </c>
      <c r="P3000" s="20" t="s">
        <v>52</v>
      </c>
      <c r="Q3000" s="22"/>
      <c r="R3000" s="22"/>
      <c r="S3000" s="22"/>
      <c r="T3000" s="26"/>
      <c r="U3000" s="26"/>
      <c r="V3000" s="26"/>
      <c r="W3000" s="20"/>
      <c r="X3000" s="20"/>
      <c r="Y3000" s="20"/>
      <c r="Z3000" s="20"/>
      <c r="AA3000" s="20"/>
      <c r="AB3000" s="20"/>
      <c r="AC3000" s="20"/>
      <c r="AD3000" s="20"/>
      <c r="AE3000" s="20"/>
    </row>
    <row r="3001">
      <c r="A3001" s="21">
        <v>68.0</v>
      </c>
      <c r="B3001" s="20" t="s">
        <v>1293</v>
      </c>
      <c r="C3001" s="20" t="s">
        <v>6164</v>
      </c>
      <c r="I3001" s="25" t="s">
        <v>1129</v>
      </c>
      <c r="J3001" s="25" t="s">
        <v>5546</v>
      </c>
      <c r="K3001" s="25" t="s">
        <v>71</v>
      </c>
      <c r="L3001" s="25" t="s">
        <v>3342</v>
      </c>
      <c r="M3001" s="20" t="s">
        <v>61</v>
      </c>
      <c r="N3001" s="20" t="s">
        <v>5653</v>
      </c>
      <c r="O3001" s="20" t="s">
        <v>56</v>
      </c>
      <c r="P3001" s="20" t="s">
        <v>52</v>
      </c>
      <c r="Q3001" s="22"/>
      <c r="R3001" s="22"/>
      <c r="S3001" s="22"/>
      <c r="T3001" s="26"/>
      <c r="U3001" s="26"/>
      <c r="V3001" s="26"/>
      <c r="W3001" s="20"/>
      <c r="X3001" s="20"/>
      <c r="Y3001" s="20"/>
      <c r="Z3001" s="20"/>
      <c r="AA3001" s="20"/>
      <c r="AB3001" s="20"/>
      <c r="AC3001" s="20"/>
      <c r="AD3001" s="20"/>
      <c r="AE3001" s="20"/>
    </row>
    <row r="3002">
      <c r="A3002" s="21">
        <v>68.0</v>
      </c>
      <c r="B3002" s="20" t="s">
        <v>1293</v>
      </c>
      <c r="C3002" s="20" t="s">
        <v>6164</v>
      </c>
      <c r="I3002" s="25" t="s">
        <v>740</v>
      </c>
      <c r="J3002" s="25" t="s">
        <v>5587</v>
      </c>
      <c r="K3002" s="25" t="s">
        <v>71</v>
      </c>
      <c r="L3002" s="25" t="s">
        <v>3342</v>
      </c>
      <c r="M3002" s="20" t="s">
        <v>2706</v>
      </c>
      <c r="N3002" s="20" t="s">
        <v>5751</v>
      </c>
      <c r="O3002" s="20" t="s">
        <v>56</v>
      </c>
      <c r="P3002" s="20" t="s">
        <v>52</v>
      </c>
      <c r="Q3002" s="22"/>
      <c r="R3002" s="22"/>
      <c r="S3002" s="22"/>
      <c r="T3002" s="26"/>
      <c r="U3002" s="26"/>
      <c r="V3002" s="26"/>
      <c r="W3002" s="20"/>
      <c r="X3002" s="20"/>
      <c r="Y3002" s="20"/>
      <c r="Z3002" s="20"/>
      <c r="AA3002" s="20"/>
      <c r="AB3002" s="20"/>
      <c r="AC3002" s="20"/>
      <c r="AD3002" s="20"/>
      <c r="AE3002" s="20"/>
    </row>
    <row r="3003">
      <c r="A3003" s="21">
        <v>68.0</v>
      </c>
      <c r="B3003" s="20" t="s">
        <v>1293</v>
      </c>
      <c r="C3003" s="20" t="s">
        <v>6164</v>
      </c>
      <c r="I3003" s="25" t="s">
        <v>5428</v>
      </c>
      <c r="J3003" s="25" t="s">
        <v>5546</v>
      </c>
      <c r="K3003" s="25" t="s">
        <v>71</v>
      </c>
      <c r="L3003" s="25" t="s">
        <v>3342</v>
      </c>
      <c r="M3003" s="20" t="s">
        <v>61</v>
      </c>
      <c r="N3003" s="20" t="s">
        <v>5654</v>
      </c>
      <c r="O3003" s="20" t="s">
        <v>56</v>
      </c>
      <c r="P3003" s="20" t="s">
        <v>52</v>
      </c>
      <c r="Q3003" s="22"/>
      <c r="R3003" s="22"/>
      <c r="S3003" s="22"/>
      <c r="T3003" s="26"/>
      <c r="U3003" s="26"/>
      <c r="V3003" s="26"/>
      <c r="W3003" s="20"/>
      <c r="X3003" s="20"/>
      <c r="Y3003" s="20"/>
      <c r="Z3003" s="20"/>
      <c r="AA3003" s="20"/>
      <c r="AB3003" s="20"/>
      <c r="AC3003" s="20"/>
      <c r="AD3003" s="20"/>
      <c r="AE3003" s="20"/>
    </row>
    <row r="3004">
      <c r="A3004" s="21">
        <v>68.0</v>
      </c>
      <c r="B3004" s="20" t="s">
        <v>1293</v>
      </c>
      <c r="C3004" s="20" t="s">
        <v>6164</v>
      </c>
      <c r="I3004" s="25" t="s">
        <v>712</v>
      </c>
      <c r="J3004" s="25" t="s">
        <v>5546</v>
      </c>
      <c r="K3004" s="25" t="s">
        <v>71</v>
      </c>
      <c r="L3004" s="25" t="s">
        <v>3342</v>
      </c>
      <c r="M3004" s="20" t="s">
        <v>5656</v>
      </c>
      <c r="N3004" s="20" t="s">
        <v>5657</v>
      </c>
      <c r="O3004" s="20" t="s">
        <v>56</v>
      </c>
      <c r="P3004" s="20" t="s">
        <v>52</v>
      </c>
      <c r="Q3004" s="22"/>
      <c r="R3004" s="22"/>
      <c r="S3004" s="22"/>
      <c r="T3004" s="26"/>
      <c r="U3004" s="26"/>
      <c r="V3004" s="26"/>
      <c r="W3004" s="20"/>
      <c r="X3004" s="20"/>
      <c r="Y3004" s="20"/>
      <c r="Z3004" s="20"/>
      <c r="AA3004" s="20"/>
      <c r="AB3004" s="20"/>
      <c r="AC3004" s="20"/>
      <c r="AD3004" s="20"/>
      <c r="AE3004" s="20"/>
    </row>
    <row r="3005">
      <c r="A3005" s="21">
        <v>68.0</v>
      </c>
      <c r="B3005" s="20" t="s">
        <v>1293</v>
      </c>
      <c r="C3005" s="20" t="s">
        <v>6164</v>
      </c>
      <c r="I3005" s="25" t="s">
        <v>4072</v>
      </c>
      <c r="J3005" s="25" t="s">
        <v>5546</v>
      </c>
      <c r="K3005" s="25" t="s">
        <v>71</v>
      </c>
      <c r="L3005" s="25" t="s">
        <v>3342</v>
      </c>
      <c r="M3005" s="20" t="s">
        <v>61</v>
      </c>
      <c r="N3005" s="20" t="s">
        <v>5658</v>
      </c>
      <c r="O3005" s="20" t="s">
        <v>56</v>
      </c>
      <c r="P3005" s="20" t="s">
        <v>52</v>
      </c>
      <c r="Q3005" s="22"/>
      <c r="R3005" s="22"/>
      <c r="S3005" s="22"/>
      <c r="T3005" s="26"/>
      <c r="U3005" s="26"/>
      <c r="V3005" s="26"/>
      <c r="W3005" s="20"/>
      <c r="X3005" s="20"/>
      <c r="Y3005" s="20"/>
      <c r="Z3005" s="20"/>
      <c r="AA3005" s="20"/>
      <c r="AB3005" s="20"/>
      <c r="AC3005" s="20"/>
      <c r="AD3005" s="20"/>
      <c r="AE3005" s="20"/>
    </row>
    <row r="3006">
      <c r="A3006" s="21">
        <v>68.0</v>
      </c>
      <c r="B3006" s="20" t="s">
        <v>1293</v>
      </c>
      <c r="C3006" s="20" t="s">
        <v>6164</v>
      </c>
      <c r="I3006" s="25" t="s">
        <v>5435</v>
      </c>
      <c r="J3006" s="25" t="s">
        <v>5546</v>
      </c>
      <c r="K3006" s="25" t="s">
        <v>71</v>
      </c>
      <c r="L3006" s="25" t="s">
        <v>3342</v>
      </c>
      <c r="M3006" s="20" t="s">
        <v>61</v>
      </c>
      <c r="N3006" s="20" t="s">
        <v>5659</v>
      </c>
      <c r="O3006" s="20" t="s">
        <v>56</v>
      </c>
      <c r="P3006" s="20" t="s">
        <v>52</v>
      </c>
      <c r="Q3006" s="22"/>
      <c r="R3006" s="22"/>
      <c r="S3006" s="22"/>
      <c r="T3006" s="26"/>
      <c r="U3006" s="26"/>
      <c r="V3006" s="26"/>
      <c r="W3006" s="20"/>
      <c r="X3006" s="20"/>
      <c r="Y3006" s="20"/>
      <c r="Z3006" s="20"/>
      <c r="AA3006" s="20"/>
      <c r="AB3006" s="20"/>
      <c r="AC3006" s="20"/>
      <c r="AD3006" s="20"/>
      <c r="AE3006" s="20"/>
    </row>
    <row r="3007">
      <c r="A3007" s="21">
        <v>68.0</v>
      </c>
      <c r="B3007" s="20" t="s">
        <v>1293</v>
      </c>
      <c r="C3007" s="20" t="s">
        <v>6164</v>
      </c>
      <c r="I3007" s="25" t="s">
        <v>833</v>
      </c>
      <c r="J3007" s="25" t="s">
        <v>5546</v>
      </c>
      <c r="K3007" s="25" t="s">
        <v>71</v>
      </c>
      <c r="L3007" s="25" t="s">
        <v>3342</v>
      </c>
      <c r="M3007" s="20" t="s">
        <v>61</v>
      </c>
      <c r="N3007" s="20" t="s">
        <v>5660</v>
      </c>
      <c r="O3007" s="20" t="s">
        <v>56</v>
      </c>
      <c r="P3007" s="20" t="s">
        <v>52</v>
      </c>
      <c r="Q3007" s="22"/>
      <c r="R3007" s="22"/>
      <c r="S3007" s="22"/>
      <c r="T3007" s="26"/>
      <c r="U3007" s="26"/>
      <c r="V3007" s="26"/>
      <c r="W3007" s="20"/>
      <c r="X3007" s="20"/>
      <c r="Y3007" s="20"/>
      <c r="Z3007" s="20"/>
      <c r="AA3007" s="20"/>
      <c r="AB3007" s="20"/>
      <c r="AC3007" s="20"/>
      <c r="AD3007" s="20"/>
      <c r="AE3007" s="20"/>
    </row>
    <row r="3008">
      <c r="A3008" s="21">
        <v>68.0</v>
      </c>
      <c r="B3008" s="20" t="s">
        <v>1293</v>
      </c>
      <c r="C3008" s="20" t="s">
        <v>6164</v>
      </c>
      <c r="I3008" s="25" t="s">
        <v>444</v>
      </c>
      <c r="J3008" s="25" t="s">
        <v>5546</v>
      </c>
      <c r="K3008" s="25" t="s">
        <v>71</v>
      </c>
      <c r="L3008" s="25" t="s">
        <v>3342</v>
      </c>
      <c r="M3008" s="20" t="s">
        <v>61</v>
      </c>
      <c r="N3008" s="20" t="s">
        <v>5661</v>
      </c>
      <c r="O3008" s="20" t="s">
        <v>56</v>
      </c>
      <c r="P3008" s="20" t="s">
        <v>52</v>
      </c>
      <c r="Q3008" s="22"/>
      <c r="R3008" s="22"/>
      <c r="S3008" s="22"/>
      <c r="T3008" s="26"/>
      <c r="U3008" s="26"/>
      <c r="V3008" s="26"/>
      <c r="W3008" s="20"/>
      <c r="X3008" s="20"/>
      <c r="Y3008" s="20"/>
      <c r="Z3008" s="20"/>
      <c r="AA3008" s="20"/>
      <c r="AB3008" s="20"/>
      <c r="AC3008" s="20"/>
      <c r="AD3008" s="20"/>
      <c r="AE3008" s="20"/>
    </row>
    <row r="3009">
      <c r="A3009" s="21">
        <v>68.0</v>
      </c>
      <c r="B3009" s="20" t="s">
        <v>1293</v>
      </c>
      <c r="C3009" s="20" t="s">
        <v>6164</v>
      </c>
      <c r="I3009" s="25" t="s">
        <v>2447</v>
      </c>
      <c r="J3009" s="25" t="s">
        <v>5589</v>
      </c>
      <c r="K3009" s="25" t="s">
        <v>71</v>
      </c>
      <c r="L3009" s="25" t="s">
        <v>6198</v>
      </c>
      <c r="M3009" s="20" t="s">
        <v>4492</v>
      </c>
      <c r="N3009" s="20" t="s">
        <v>5804</v>
      </c>
      <c r="O3009" s="20" t="s">
        <v>56</v>
      </c>
      <c r="P3009" s="20" t="s">
        <v>52</v>
      </c>
      <c r="Q3009" s="22"/>
      <c r="R3009" s="22"/>
      <c r="S3009" s="22"/>
      <c r="T3009" s="26"/>
      <c r="U3009" s="26"/>
      <c r="V3009" s="26"/>
      <c r="W3009" s="20"/>
      <c r="X3009" s="20"/>
      <c r="Y3009" s="20"/>
      <c r="Z3009" s="20"/>
      <c r="AA3009" s="20"/>
      <c r="AB3009" s="20"/>
      <c r="AC3009" s="20"/>
      <c r="AD3009" s="20"/>
      <c r="AE3009" s="20"/>
    </row>
    <row r="3010">
      <c r="A3010" s="21">
        <v>68.0</v>
      </c>
      <c r="B3010" s="20" t="s">
        <v>1293</v>
      </c>
      <c r="C3010" s="20" t="s">
        <v>6164</v>
      </c>
      <c r="I3010" s="25" t="s">
        <v>2895</v>
      </c>
      <c r="J3010" s="25" t="s">
        <v>5546</v>
      </c>
      <c r="K3010" s="25" t="s">
        <v>71</v>
      </c>
      <c r="L3010" s="25" t="s">
        <v>3342</v>
      </c>
      <c r="M3010" s="20" t="s">
        <v>61</v>
      </c>
      <c r="N3010" s="20" t="s">
        <v>5662</v>
      </c>
      <c r="O3010" s="20" t="s">
        <v>56</v>
      </c>
      <c r="P3010" s="20" t="s">
        <v>52</v>
      </c>
      <c r="Q3010" s="22"/>
      <c r="R3010" s="22"/>
      <c r="S3010" s="22"/>
      <c r="T3010" s="26"/>
      <c r="U3010" s="26"/>
      <c r="V3010" s="26"/>
      <c r="W3010" s="20"/>
      <c r="X3010" s="20"/>
      <c r="Y3010" s="20"/>
      <c r="Z3010" s="20"/>
      <c r="AA3010" s="20"/>
      <c r="AB3010" s="20"/>
      <c r="AC3010" s="20"/>
      <c r="AD3010" s="20"/>
      <c r="AE3010" s="20"/>
    </row>
    <row r="3011">
      <c r="A3011" s="21">
        <v>68.0</v>
      </c>
      <c r="B3011" s="20" t="s">
        <v>1293</v>
      </c>
      <c r="C3011" s="20" t="s">
        <v>6164</v>
      </c>
      <c r="I3011" s="25" t="s">
        <v>1162</v>
      </c>
      <c r="J3011" s="25" t="s">
        <v>5546</v>
      </c>
      <c r="K3011" s="25" t="s">
        <v>71</v>
      </c>
      <c r="L3011" s="25" t="s">
        <v>6065</v>
      </c>
      <c r="M3011" s="20" t="s">
        <v>1163</v>
      </c>
      <c r="N3011" s="20" t="s">
        <v>5663</v>
      </c>
      <c r="O3011" s="20" t="s">
        <v>56</v>
      </c>
      <c r="P3011" s="20" t="s">
        <v>52</v>
      </c>
      <c r="Q3011" s="22"/>
      <c r="R3011" s="22"/>
      <c r="S3011" s="22"/>
      <c r="T3011" s="26"/>
      <c r="U3011" s="26"/>
      <c r="V3011" s="26"/>
      <c r="W3011" s="20"/>
      <c r="X3011" s="20"/>
      <c r="Y3011" s="20"/>
      <c r="Z3011" s="20"/>
      <c r="AA3011" s="20"/>
      <c r="AB3011" s="20"/>
      <c r="AC3011" s="20"/>
      <c r="AD3011" s="20"/>
      <c r="AE3011" s="20"/>
    </row>
    <row r="3012">
      <c r="A3012" s="21">
        <v>68.0</v>
      </c>
      <c r="B3012" s="20" t="s">
        <v>1293</v>
      </c>
      <c r="C3012" s="20" t="s">
        <v>6164</v>
      </c>
      <c r="I3012" s="25" t="s">
        <v>471</v>
      </c>
      <c r="J3012" s="25" t="s">
        <v>5546</v>
      </c>
      <c r="K3012" s="25" t="s">
        <v>67</v>
      </c>
      <c r="L3012" s="25" t="s">
        <v>1025</v>
      </c>
      <c r="M3012" s="20" t="s">
        <v>61</v>
      </c>
      <c r="N3012" s="20" t="s">
        <v>5549</v>
      </c>
      <c r="O3012" s="20" t="s">
        <v>56</v>
      </c>
      <c r="P3012" s="20" t="s">
        <v>52</v>
      </c>
      <c r="Q3012" s="22"/>
      <c r="R3012" s="22"/>
      <c r="S3012" s="22"/>
      <c r="T3012" s="22"/>
      <c r="U3012" s="26"/>
      <c r="V3012" s="26"/>
      <c r="W3012" s="20"/>
      <c r="X3012" s="20"/>
      <c r="Y3012" s="20"/>
      <c r="Z3012" s="20"/>
      <c r="AA3012" s="20"/>
      <c r="AB3012" s="20"/>
      <c r="AC3012" s="20"/>
      <c r="AD3012" s="20"/>
      <c r="AE3012" s="20"/>
    </row>
    <row r="3013">
      <c r="A3013" s="21">
        <v>68.0</v>
      </c>
      <c r="B3013" s="20" t="s">
        <v>1293</v>
      </c>
      <c r="C3013" s="20" t="s">
        <v>6164</v>
      </c>
      <c r="I3013" s="25" t="s">
        <v>4952</v>
      </c>
      <c r="J3013" s="25" t="s">
        <v>5546</v>
      </c>
      <c r="K3013" s="25" t="s">
        <v>71</v>
      </c>
      <c r="L3013" s="25" t="s">
        <v>6070</v>
      </c>
      <c r="M3013" s="20" t="s">
        <v>5664</v>
      </c>
      <c r="N3013" s="20" t="s">
        <v>5665</v>
      </c>
      <c r="O3013" s="20" t="s">
        <v>56</v>
      </c>
      <c r="P3013" s="20" t="s">
        <v>52</v>
      </c>
      <c r="Q3013" s="22"/>
      <c r="R3013" s="22"/>
      <c r="S3013" s="22"/>
      <c r="T3013" s="26"/>
      <c r="U3013" s="26"/>
      <c r="V3013" s="26"/>
      <c r="W3013" s="20"/>
      <c r="X3013" s="20"/>
      <c r="Y3013" s="20"/>
      <c r="Z3013" s="20"/>
      <c r="AA3013" s="20"/>
      <c r="AB3013" s="20"/>
      <c r="AC3013" s="20"/>
      <c r="AD3013" s="20"/>
      <c r="AE3013" s="20"/>
    </row>
    <row r="3014">
      <c r="A3014" s="21">
        <v>68.0</v>
      </c>
      <c r="B3014" s="20" t="s">
        <v>1293</v>
      </c>
      <c r="C3014" s="20" t="s">
        <v>6164</v>
      </c>
      <c r="I3014" s="25" t="s">
        <v>4449</v>
      </c>
      <c r="J3014" s="25" t="s">
        <v>5546</v>
      </c>
      <c r="K3014" s="25" t="s">
        <v>67</v>
      </c>
      <c r="L3014" s="25" t="s">
        <v>1025</v>
      </c>
      <c r="M3014" s="20" t="s">
        <v>61</v>
      </c>
      <c r="N3014" s="20" t="s">
        <v>5550</v>
      </c>
      <c r="O3014" s="20" t="s">
        <v>56</v>
      </c>
      <c r="P3014" s="20" t="s">
        <v>52</v>
      </c>
      <c r="Q3014" s="22"/>
      <c r="R3014" s="22"/>
      <c r="S3014" s="22"/>
      <c r="T3014" s="22"/>
      <c r="U3014" s="26"/>
      <c r="V3014" s="26"/>
      <c r="W3014" s="20"/>
      <c r="X3014" s="20"/>
      <c r="Y3014" s="20"/>
      <c r="Z3014" s="20"/>
      <c r="AA3014" s="20"/>
      <c r="AB3014" s="20"/>
      <c r="AC3014" s="20"/>
      <c r="AD3014" s="20"/>
      <c r="AE3014" s="20"/>
    </row>
    <row r="3015">
      <c r="A3015" s="21">
        <v>68.0</v>
      </c>
      <c r="B3015" s="20" t="s">
        <v>1293</v>
      </c>
      <c r="C3015" s="20" t="s">
        <v>6164</v>
      </c>
      <c r="I3015" s="25" t="s">
        <v>124</v>
      </c>
      <c r="J3015" s="25" t="s">
        <v>5546</v>
      </c>
      <c r="K3015" s="25" t="s">
        <v>71</v>
      </c>
      <c r="L3015" s="25" t="s">
        <v>6199</v>
      </c>
      <c r="M3015" s="20" t="s">
        <v>5666</v>
      </c>
      <c r="N3015" s="20" t="s">
        <v>5667</v>
      </c>
      <c r="O3015" s="20" t="s">
        <v>56</v>
      </c>
      <c r="P3015" s="20" t="s">
        <v>52</v>
      </c>
      <c r="Q3015" s="22"/>
      <c r="R3015" s="22"/>
      <c r="S3015" s="22"/>
      <c r="T3015" s="26"/>
      <c r="U3015" s="26"/>
      <c r="V3015" s="26"/>
      <c r="W3015" s="20"/>
      <c r="X3015" s="20"/>
      <c r="Y3015" s="20"/>
      <c r="Z3015" s="20"/>
      <c r="AA3015" s="20"/>
      <c r="AB3015" s="20"/>
      <c r="AC3015" s="20"/>
      <c r="AD3015" s="20"/>
      <c r="AE3015" s="20"/>
    </row>
    <row r="3016">
      <c r="A3016" s="21">
        <v>68.0</v>
      </c>
      <c r="B3016" s="20" t="s">
        <v>1293</v>
      </c>
      <c r="C3016" s="20" t="s">
        <v>6164</v>
      </c>
      <c r="I3016" s="25" t="s">
        <v>2759</v>
      </c>
      <c r="J3016" s="25" t="s">
        <v>5589</v>
      </c>
      <c r="K3016" s="25" t="s">
        <v>71</v>
      </c>
      <c r="L3016" s="25" t="s">
        <v>6070</v>
      </c>
      <c r="M3016" s="20" t="s">
        <v>3508</v>
      </c>
      <c r="N3016" s="20" t="s">
        <v>5805</v>
      </c>
      <c r="O3016" s="20" t="s">
        <v>56</v>
      </c>
      <c r="P3016" s="20" t="s">
        <v>52</v>
      </c>
      <c r="Q3016" s="22"/>
      <c r="R3016" s="22"/>
      <c r="S3016" s="22"/>
      <c r="T3016" s="26"/>
      <c r="U3016" s="26"/>
      <c r="V3016" s="26"/>
      <c r="W3016" s="20"/>
      <c r="X3016" s="20"/>
      <c r="Y3016" s="20"/>
      <c r="Z3016" s="20"/>
      <c r="AA3016" s="20"/>
      <c r="AB3016" s="20"/>
      <c r="AC3016" s="20"/>
      <c r="AD3016" s="20"/>
      <c r="AE3016" s="20"/>
    </row>
    <row r="3017">
      <c r="A3017" s="21">
        <v>68.0</v>
      </c>
      <c r="B3017" s="20" t="s">
        <v>1293</v>
      </c>
      <c r="C3017" s="20" t="s">
        <v>6164</v>
      </c>
      <c r="I3017" s="25" t="s">
        <v>845</v>
      </c>
      <c r="J3017" s="25" t="s">
        <v>5546</v>
      </c>
      <c r="K3017" s="25" t="s">
        <v>67</v>
      </c>
      <c r="L3017" s="25" t="s">
        <v>1025</v>
      </c>
      <c r="M3017" s="20" t="s">
        <v>5551</v>
      </c>
      <c r="N3017" s="20" t="s">
        <v>5552</v>
      </c>
      <c r="O3017" s="20" t="s">
        <v>56</v>
      </c>
      <c r="P3017" s="20" t="s">
        <v>52</v>
      </c>
      <c r="Q3017" s="22"/>
      <c r="R3017" s="22"/>
      <c r="S3017" s="22"/>
      <c r="T3017" s="22"/>
      <c r="U3017" s="26"/>
      <c r="V3017" s="26"/>
      <c r="W3017" s="20"/>
      <c r="X3017" s="20"/>
      <c r="Y3017" s="20"/>
      <c r="Z3017" s="20"/>
      <c r="AA3017" s="20"/>
      <c r="AB3017" s="20"/>
      <c r="AC3017" s="20"/>
      <c r="AD3017" s="20"/>
      <c r="AE3017" s="20"/>
    </row>
    <row r="3018">
      <c r="A3018" s="21">
        <v>68.0</v>
      </c>
      <c r="B3018" s="20" t="s">
        <v>1293</v>
      </c>
      <c r="C3018" s="20" t="s">
        <v>6164</v>
      </c>
      <c r="I3018" s="25" t="s">
        <v>2475</v>
      </c>
      <c r="J3018" s="25" t="s">
        <v>5546</v>
      </c>
      <c r="K3018" s="25" t="s">
        <v>71</v>
      </c>
      <c r="L3018" s="25" t="s">
        <v>6073</v>
      </c>
      <c r="M3018" s="20" t="s">
        <v>5440</v>
      </c>
      <c r="N3018" s="20" t="s">
        <v>5668</v>
      </c>
      <c r="O3018" s="20" t="s">
        <v>56</v>
      </c>
      <c r="P3018" s="20" t="s">
        <v>52</v>
      </c>
      <c r="Q3018" s="22"/>
      <c r="R3018" s="22"/>
      <c r="S3018" s="22"/>
      <c r="T3018" s="20"/>
      <c r="U3018" s="26"/>
      <c r="V3018" s="26"/>
      <c r="W3018" s="20"/>
      <c r="X3018" s="20"/>
      <c r="Y3018" s="20"/>
      <c r="Z3018" s="20"/>
      <c r="AA3018" s="20"/>
      <c r="AB3018" s="20"/>
      <c r="AC3018" s="20"/>
      <c r="AD3018" s="20"/>
      <c r="AE3018" s="20"/>
    </row>
    <row r="3019">
      <c r="A3019" s="21">
        <v>68.0</v>
      </c>
      <c r="B3019" s="20" t="s">
        <v>1293</v>
      </c>
      <c r="C3019" s="20" t="s">
        <v>6164</v>
      </c>
      <c r="I3019" s="25" t="s">
        <v>2515</v>
      </c>
      <c r="J3019" s="25" t="s">
        <v>5546</v>
      </c>
      <c r="K3019" s="25" t="s">
        <v>67</v>
      </c>
      <c r="L3019" s="25" t="s">
        <v>1133</v>
      </c>
      <c r="M3019" s="20" t="s">
        <v>61</v>
      </c>
      <c r="N3019" s="20" t="s">
        <v>5553</v>
      </c>
      <c r="O3019" s="20" t="s">
        <v>56</v>
      </c>
      <c r="P3019" s="20" t="s">
        <v>52</v>
      </c>
      <c r="Q3019" s="22"/>
      <c r="R3019" s="22"/>
      <c r="S3019" s="22"/>
      <c r="T3019" s="22"/>
      <c r="U3019" s="26"/>
      <c r="V3019" s="26"/>
      <c r="W3019" s="20"/>
      <c r="X3019" s="20"/>
      <c r="Y3019" s="20"/>
      <c r="Z3019" s="20"/>
      <c r="AA3019" s="20"/>
      <c r="AB3019" s="20"/>
      <c r="AC3019" s="20"/>
      <c r="AD3019" s="20"/>
      <c r="AE3019" s="20"/>
    </row>
    <row r="3020">
      <c r="A3020" s="21">
        <v>68.0</v>
      </c>
      <c r="B3020" s="20" t="s">
        <v>1293</v>
      </c>
      <c r="C3020" s="20" t="s">
        <v>6164</v>
      </c>
      <c r="I3020" s="25" t="s">
        <v>132</v>
      </c>
      <c r="J3020" s="25" t="s">
        <v>5546</v>
      </c>
      <c r="K3020" s="25" t="s">
        <v>71</v>
      </c>
      <c r="L3020" s="25" t="s">
        <v>6075</v>
      </c>
      <c r="M3020" s="20" t="s">
        <v>134</v>
      </c>
      <c r="N3020" s="20" t="s">
        <v>5669</v>
      </c>
      <c r="O3020" s="20" t="s">
        <v>56</v>
      </c>
      <c r="P3020" s="20" t="s">
        <v>52</v>
      </c>
      <c r="Q3020" s="22"/>
      <c r="R3020" s="22"/>
      <c r="S3020" s="22"/>
      <c r="T3020" s="20"/>
      <c r="U3020" s="26"/>
      <c r="V3020" s="26"/>
      <c r="W3020" s="20"/>
      <c r="X3020" s="20"/>
      <c r="Y3020" s="20"/>
      <c r="Z3020" s="20"/>
      <c r="AA3020" s="20"/>
      <c r="AB3020" s="20"/>
      <c r="AC3020" s="20"/>
      <c r="AD3020" s="20"/>
      <c r="AE3020" s="20"/>
    </row>
    <row r="3021">
      <c r="A3021" s="21">
        <v>68.0</v>
      </c>
      <c r="B3021" s="20" t="s">
        <v>1293</v>
      </c>
      <c r="C3021" s="20" t="s">
        <v>6164</v>
      </c>
      <c r="I3021" s="25" t="s">
        <v>2573</v>
      </c>
      <c r="J3021" s="25" t="s">
        <v>5546</v>
      </c>
      <c r="K3021" s="25" t="s">
        <v>71</v>
      </c>
      <c r="L3021" s="25" t="s">
        <v>6076</v>
      </c>
      <c r="M3021" s="20" t="s">
        <v>2574</v>
      </c>
      <c r="N3021" s="20" t="s">
        <v>5670</v>
      </c>
      <c r="O3021" s="20" t="s">
        <v>56</v>
      </c>
      <c r="P3021" s="20" t="s">
        <v>52</v>
      </c>
      <c r="Q3021" s="22"/>
      <c r="R3021" s="22"/>
      <c r="S3021" s="22"/>
      <c r="T3021" s="20"/>
      <c r="U3021" s="26"/>
      <c r="V3021" s="26"/>
      <c r="W3021" s="20"/>
      <c r="X3021" s="20"/>
      <c r="Y3021" s="20"/>
      <c r="Z3021" s="20"/>
      <c r="AA3021" s="20"/>
      <c r="AB3021" s="20"/>
      <c r="AC3021" s="20"/>
      <c r="AD3021" s="20"/>
      <c r="AE3021" s="20"/>
    </row>
    <row r="3022">
      <c r="A3022" s="21">
        <v>68.0</v>
      </c>
      <c r="B3022" s="20" t="s">
        <v>1293</v>
      </c>
      <c r="C3022" s="20" t="s">
        <v>6164</v>
      </c>
      <c r="I3022" s="25" t="s">
        <v>3068</v>
      </c>
      <c r="J3022" s="25" t="s">
        <v>5546</v>
      </c>
      <c r="K3022" s="25" t="s">
        <v>71</v>
      </c>
      <c r="L3022" s="25" t="s">
        <v>6076</v>
      </c>
      <c r="M3022" s="20" t="s">
        <v>5671</v>
      </c>
      <c r="N3022" s="20" t="s">
        <v>5672</v>
      </c>
      <c r="O3022" s="20" t="s">
        <v>56</v>
      </c>
      <c r="P3022" s="20" t="s">
        <v>52</v>
      </c>
      <c r="Q3022" s="22"/>
      <c r="R3022" s="22"/>
      <c r="S3022" s="22"/>
      <c r="T3022" s="20"/>
      <c r="U3022" s="26"/>
      <c r="V3022" s="26"/>
      <c r="W3022" s="20"/>
      <c r="X3022" s="20"/>
      <c r="Y3022" s="20"/>
      <c r="Z3022" s="20"/>
      <c r="AA3022" s="20"/>
      <c r="AB3022" s="20"/>
      <c r="AC3022" s="20"/>
      <c r="AD3022" s="20"/>
      <c r="AE3022" s="20"/>
    </row>
    <row r="3023">
      <c r="A3023" s="21">
        <v>68.0</v>
      </c>
      <c r="B3023" s="20" t="s">
        <v>1293</v>
      </c>
      <c r="C3023" s="20" t="s">
        <v>6164</v>
      </c>
      <c r="I3023" s="25" t="s">
        <v>2570</v>
      </c>
      <c r="J3023" s="25" t="s">
        <v>5546</v>
      </c>
      <c r="K3023" s="25" t="s">
        <v>71</v>
      </c>
      <c r="L3023" s="25" t="s">
        <v>6076</v>
      </c>
      <c r="M3023" s="20" t="s">
        <v>3880</v>
      </c>
      <c r="N3023" s="20" t="s">
        <v>5673</v>
      </c>
      <c r="O3023" s="20" t="s">
        <v>56</v>
      </c>
      <c r="P3023" s="20" t="s">
        <v>52</v>
      </c>
      <c r="Q3023" s="22"/>
      <c r="R3023" s="22"/>
      <c r="S3023" s="22"/>
      <c r="T3023" s="20"/>
      <c r="U3023" s="26"/>
      <c r="V3023" s="26"/>
      <c r="W3023" s="20"/>
      <c r="X3023" s="20"/>
      <c r="Y3023" s="20"/>
      <c r="Z3023" s="20"/>
      <c r="AA3023" s="20"/>
      <c r="AB3023" s="20"/>
      <c r="AC3023" s="20"/>
      <c r="AD3023" s="20"/>
      <c r="AE3023" s="20"/>
    </row>
    <row r="3024">
      <c r="A3024" s="21">
        <v>68.0</v>
      </c>
      <c r="B3024" s="20" t="s">
        <v>1293</v>
      </c>
      <c r="C3024" s="20" t="s">
        <v>6164</v>
      </c>
      <c r="I3024" s="25" t="s">
        <v>2987</v>
      </c>
      <c r="J3024" s="25" t="s">
        <v>5546</v>
      </c>
      <c r="K3024" s="25" t="s">
        <v>71</v>
      </c>
      <c r="L3024" s="25" t="s">
        <v>6076</v>
      </c>
      <c r="M3024" s="20" t="s">
        <v>5674</v>
      </c>
      <c r="N3024" s="20" t="s">
        <v>5675</v>
      </c>
      <c r="O3024" s="20" t="s">
        <v>56</v>
      </c>
      <c r="P3024" s="20" t="s">
        <v>52</v>
      </c>
      <c r="Q3024" s="22"/>
      <c r="R3024" s="22"/>
      <c r="S3024" s="22"/>
      <c r="T3024" s="20"/>
      <c r="U3024" s="26"/>
      <c r="V3024" s="26"/>
      <c r="W3024" s="20"/>
      <c r="X3024" s="20"/>
      <c r="Y3024" s="20"/>
      <c r="Z3024" s="20"/>
      <c r="AA3024" s="20"/>
      <c r="AB3024" s="20"/>
      <c r="AC3024" s="20"/>
      <c r="AD3024" s="20"/>
      <c r="AE3024" s="20"/>
    </row>
    <row r="3025">
      <c r="A3025" s="21">
        <v>68.0</v>
      </c>
      <c r="B3025" s="20" t="s">
        <v>1293</v>
      </c>
      <c r="C3025" s="20" t="s">
        <v>6164</v>
      </c>
      <c r="I3025" s="25" t="s">
        <v>3495</v>
      </c>
      <c r="J3025" s="25" t="s">
        <v>5546</v>
      </c>
      <c r="K3025" s="25" t="s">
        <v>67</v>
      </c>
      <c r="L3025" s="25" t="s">
        <v>1025</v>
      </c>
      <c r="M3025" s="20" t="s">
        <v>5554</v>
      </c>
      <c r="N3025" s="20" t="s">
        <v>5555</v>
      </c>
      <c r="O3025" s="20" t="s">
        <v>56</v>
      </c>
      <c r="P3025" s="20" t="s">
        <v>52</v>
      </c>
      <c r="Q3025" s="22"/>
      <c r="R3025" s="22"/>
      <c r="S3025" s="22"/>
      <c r="T3025" s="22"/>
      <c r="U3025" s="26"/>
      <c r="V3025" s="26"/>
      <c r="W3025" s="20"/>
      <c r="X3025" s="20"/>
      <c r="Y3025" s="20"/>
      <c r="Z3025" s="20"/>
      <c r="AA3025" s="20"/>
      <c r="AB3025" s="20"/>
      <c r="AC3025" s="20"/>
      <c r="AD3025" s="20"/>
      <c r="AE3025" s="20"/>
    </row>
    <row r="3026">
      <c r="A3026" s="21">
        <v>68.0</v>
      </c>
      <c r="B3026" s="20" t="s">
        <v>1293</v>
      </c>
      <c r="C3026" s="20" t="s">
        <v>6164</v>
      </c>
      <c r="I3026" s="25" t="s">
        <v>1654</v>
      </c>
      <c r="J3026" s="25" t="s">
        <v>5546</v>
      </c>
      <c r="K3026" s="25" t="s">
        <v>71</v>
      </c>
      <c r="L3026" s="25" t="s">
        <v>6076</v>
      </c>
      <c r="M3026" s="20" t="s">
        <v>5445</v>
      </c>
      <c r="N3026" s="20" t="s">
        <v>5676</v>
      </c>
      <c r="O3026" s="20" t="s">
        <v>56</v>
      </c>
      <c r="P3026" s="20" t="s">
        <v>52</v>
      </c>
      <c r="Q3026" s="22"/>
      <c r="R3026" s="22"/>
      <c r="S3026" s="22"/>
      <c r="T3026" s="20"/>
      <c r="U3026" s="26"/>
      <c r="V3026" s="26"/>
      <c r="W3026" s="20"/>
      <c r="X3026" s="20"/>
      <c r="Y3026" s="20"/>
      <c r="Z3026" s="20"/>
      <c r="AA3026" s="20"/>
      <c r="AB3026" s="20"/>
      <c r="AC3026" s="20"/>
      <c r="AD3026" s="20"/>
      <c r="AE3026" s="20"/>
    </row>
    <row r="3027">
      <c r="A3027" s="21">
        <v>68.0</v>
      </c>
      <c r="B3027" s="20" t="s">
        <v>1293</v>
      </c>
      <c r="C3027" s="20" t="s">
        <v>6164</v>
      </c>
      <c r="I3027" s="25" t="s">
        <v>2046</v>
      </c>
      <c r="J3027" s="25" t="s">
        <v>5546</v>
      </c>
      <c r="K3027" s="25" t="s">
        <v>71</v>
      </c>
      <c r="L3027" s="25" t="s">
        <v>6076</v>
      </c>
      <c r="M3027" s="20" t="s">
        <v>2047</v>
      </c>
      <c r="N3027" s="20" t="s">
        <v>5677</v>
      </c>
      <c r="O3027" s="20" t="s">
        <v>56</v>
      </c>
      <c r="P3027" s="20" t="s">
        <v>52</v>
      </c>
      <c r="Q3027" s="22"/>
      <c r="R3027" s="22"/>
      <c r="S3027" s="22"/>
      <c r="T3027" s="20"/>
      <c r="U3027" s="26"/>
      <c r="V3027" s="26"/>
      <c r="W3027" s="20"/>
      <c r="X3027" s="20"/>
      <c r="Y3027" s="20"/>
      <c r="Z3027" s="20"/>
      <c r="AA3027" s="20"/>
      <c r="AB3027" s="20"/>
      <c r="AC3027" s="20"/>
      <c r="AD3027" s="20"/>
      <c r="AE3027" s="20"/>
    </row>
    <row r="3028">
      <c r="A3028" s="21">
        <v>68.0</v>
      </c>
      <c r="B3028" s="20" t="s">
        <v>1293</v>
      </c>
      <c r="C3028" s="20" t="s">
        <v>6164</v>
      </c>
      <c r="I3028" s="25" t="s">
        <v>518</v>
      </c>
      <c r="J3028" s="25" t="s">
        <v>5546</v>
      </c>
      <c r="K3028" s="25" t="s">
        <v>71</v>
      </c>
      <c r="L3028" s="25" t="s">
        <v>6082</v>
      </c>
      <c r="M3028" s="20" t="s">
        <v>61</v>
      </c>
      <c r="N3028" s="20" t="s">
        <v>5678</v>
      </c>
      <c r="O3028" s="20" t="s">
        <v>56</v>
      </c>
      <c r="P3028" s="20" t="s">
        <v>524</v>
      </c>
      <c r="Q3028" s="22"/>
      <c r="R3028" s="22"/>
      <c r="S3028" s="22"/>
      <c r="T3028" s="20"/>
      <c r="U3028" s="26"/>
      <c r="V3028" s="26"/>
      <c r="W3028" s="20"/>
      <c r="X3028" s="20"/>
      <c r="Y3028" s="20"/>
      <c r="Z3028" s="20"/>
      <c r="AA3028" s="20"/>
      <c r="AB3028" s="20"/>
      <c r="AC3028" s="20"/>
      <c r="AD3028" s="20"/>
      <c r="AE3028" s="20"/>
    </row>
    <row r="3029">
      <c r="A3029" s="21">
        <v>68.0</v>
      </c>
      <c r="B3029" s="20" t="s">
        <v>1293</v>
      </c>
      <c r="C3029" s="20" t="s">
        <v>6164</v>
      </c>
      <c r="I3029" s="25" t="s">
        <v>4576</v>
      </c>
      <c r="J3029" s="25" t="s">
        <v>5546</v>
      </c>
      <c r="K3029" s="25" t="s">
        <v>71</v>
      </c>
      <c r="L3029" s="25" t="s">
        <v>6200</v>
      </c>
      <c r="M3029" s="20" t="s">
        <v>5679</v>
      </c>
      <c r="N3029" s="20" t="s">
        <v>5680</v>
      </c>
      <c r="O3029" s="20" t="s">
        <v>56</v>
      </c>
      <c r="P3029" s="20" t="s">
        <v>52</v>
      </c>
      <c r="Q3029" s="22"/>
      <c r="R3029" s="22"/>
      <c r="S3029" s="22"/>
      <c r="T3029" s="20"/>
      <c r="U3029" s="26"/>
      <c r="V3029" s="26"/>
      <c r="W3029" s="20"/>
      <c r="X3029" s="20"/>
      <c r="Y3029" s="20"/>
      <c r="Z3029" s="20"/>
      <c r="AA3029" s="20"/>
      <c r="AB3029" s="20"/>
      <c r="AC3029" s="20"/>
      <c r="AD3029" s="20"/>
      <c r="AE3029" s="20"/>
    </row>
    <row r="3030">
      <c r="A3030" s="21">
        <v>68.0</v>
      </c>
      <c r="B3030" s="20" t="s">
        <v>1293</v>
      </c>
      <c r="C3030" s="20" t="s">
        <v>6164</v>
      </c>
      <c r="I3030" s="25" t="s">
        <v>2395</v>
      </c>
      <c r="J3030" s="25" t="s">
        <v>5546</v>
      </c>
      <c r="K3030" s="25" t="s">
        <v>71</v>
      </c>
      <c r="L3030" s="25" t="s">
        <v>6201</v>
      </c>
      <c r="M3030" s="20" t="s">
        <v>5681</v>
      </c>
      <c r="N3030" s="20" t="s">
        <v>5682</v>
      </c>
      <c r="O3030" s="20" t="s">
        <v>56</v>
      </c>
      <c r="P3030" s="20" t="s">
        <v>52</v>
      </c>
      <c r="Q3030" s="22"/>
      <c r="R3030" s="22"/>
      <c r="S3030" s="22"/>
      <c r="T3030" s="20"/>
      <c r="U3030" s="26"/>
      <c r="V3030" s="26"/>
      <c r="W3030" s="20"/>
      <c r="X3030" s="20"/>
      <c r="Y3030" s="20"/>
      <c r="Z3030" s="20"/>
      <c r="AA3030" s="20"/>
      <c r="AB3030" s="20"/>
      <c r="AC3030" s="20"/>
      <c r="AD3030" s="20"/>
      <c r="AE3030" s="20"/>
    </row>
    <row r="3031">
      <c r="A3031" s="21">
        <v>68.0</v>
      </c>
      <c r="B3031" s="20" t="s">
        <v>1293</v>
      </c>
      <c r="C3031" s="20" t="s">
        <v>6164</v>
      </c>
      <c r="I3031" s="25" t="s">
        <v>2031</v>
      </c>
      <c r="J3031" s="25" t="s">
        <v>5546</v>
      </c>
      <c r="K3031" s="25" t="s">
        <v>71</v>
      </c>
      <c r="L3031" s="25" t="s">
        <v>6076</v>
      </c>
      <c r="M3031" s="20" t="s">
        <v>5683</v>
      </c>
      <c r="N3031" s="20" t="s">
        <v>5684</v>
      </c>
      <c r="O3031" s="20" t="s">
        <v>56</v>
      </c>
      <c r="P3031" s="20" t="s">
        <v>52</v>
      </c>
      <c r="Q3031" s="22"/>
      <c r="R3031" s="22"/>
      <c r="S3031" s="22"/>
      <c r="T3031" s="20"/>
      <c r="U3031" s="26"/>
      <c r="V3031" s="26"/>
      <c r="W3031" s="20"/>
      <c r="X3031" s="20"/>
      <c r="Y3031" s="20"/>
      <c r="Z3031" s="20"/>
      <c r="AA3031" s="20"/>
      <c r="AB3031" s="20"/>
      <c r="AC3031" s="20"/>
      <c r="AD3031" s="20"/>
      <c r="AE3031" s="20"/>
    </row>
    <row r="3032">
      <c r="A3032" s="21">
        <v>68.0</v>
      </c>
      <c r="B3032" s="20" t="s">
        <v>1293</v>
      </c>
      <c r="C3032" s="20" t="s">
        <v>6164</v>
      </c>
      <c r="I3032" s="25" t="s">
        <v>2492</v>
      </c>
      <c r="J3032" s="25" t="s">
        <v>5546</v>
      </c>
      <c r="K3032" s="25" t="s">
        <v>71</v>
      </c>
      <c r="L3032" s="25" t="s">
        <v>6201</v>
      </c>
      <c r="M3032" s="20" t="s">
        <v>61</v>
      </c>
      <c r="N3032" s="20" t="s">
        <v>3316</v>
      </c>
      <c r="O3032" s="20" t="s">
        <v>56</v>
      </c>
      <c r="P3032" s="20" t="s">
        <v>52</v>
      </c>
      <c r="Q3032" s="22"/>
      <c r="R3032" s="22"/>
      <c r="S3032" s="22"/>
      <c r="T3032" s="20"/>
      <c r="U3032" s="26"/>
      <c r="V3032" s="26"/>
      <c r="W3032" s="20"/>
      <c r="X3032" s="20"/>
      <c r="Y3032" s="20"/>
      <c r="Z3032" s="20"/>
      <c r="AA3032" s="20"/>
      <c r="AB3032" s="20"/>
      <c r="AC3032" s="20"/>
      <c r="AD3032" s="20"/>
      <c r="AE3032" s="20"/>
    </row>
    <row r="3033">
      <c r="A3033" s="21">
        <v>68.0</v>
      </c>
      <c r="B3033" s="20" t="s">
        <v>1293</v>
      </c>
      <c r="C3033" s="20" t="s">
        <v>6164</v>
      </c>
      <c r="I3033" s="25" t="s">
        <v>5556</v>
      </c>
      <c r="J3033" s="25" t="s">
        <v>5546</v>
      </c>
      <c r="K3033" s="25" t="s">
        <v>67</v>
      </c>
      <c r="L3033" s="25" t="s">
        <v>1025</v>
      </c>
      <c r="M3033" s="20" t="s">
        <v>5557</v>
      </c>
      <c r="N3033" s="20" t="s">
        <v>5558</v>
      </c>
      <c r="O3033" s="20" t="s">
        <v>56</v>
      </c>
      <c r="P3033" s="20" t="s">
        <v>52</v>
      </c>
      <c r="Q3033" s="22"/>
      <c r="R3033" s="22"/>
      <c r="S3033" s="22"/>
      <c r="T3033" s="22"/>
      <c r="U3033" s="26"/>
      <c r="V3033" s="26"/>
      <c r="W3033" s="20"/>
      <c r="X3033" s="20"/>
      <c r="Y3033" s="20"/>
      <c r="Z3033" s="20"/>
      <c r="AA3033" s="20"/>
      <c r="AB3033" s="20"/>
      <c r="AC3033" s="20"/>
      <c r="AD3033" s="20"/>
      <c r="AE3033" s="20"/>
    </row>
    <row r="3034">
      <c r="A3034" s="21">
        <v>68.0</v>
      </c>
      <c r="B3034" s="20" t="s">
        <v>1293</v>
      </c>
      <c r="C3034" s="20" t="s">
        <v>6164</v>
      </c>
      <c r="I3034" s="25" t="s">
        <v>4493</v>
      </c>
      <c r="J3034" s="25" t="s">
        <v>5546</v>
      </c>
      <c r="K3034" s="25" t="s">
        <v>71</v>
      </c>
      <c r="L3034" s="25" t="s">
        <v>6202</v>
      </c>
      <c r="M3034" s="20" t="s">
        <v>61</v>
      </c>
      <c r="N3034" s="20" t="s">
        <v>5334</v>
      </c>
      <c r="O3034" s="20" t="s">
        <v>56</v>
      </c>
      <c r="P3034" s="20" t="s">
        <v>52</v>
      </c>
      <c r="Q3034" s="22"/>
      <c r="R3034" s="22"/>
      <c r="S3034" s="22"/>
      <c r="T3034" s="20"/>
      <c r="U3034" s="26"/>
      <c r="V3034" s="26"/>
      <c r="W3034" s="20"/>
      <c r="X3034" s="20"/>
      <c r="Y3034" s="20"/>
      <c r="Z3034" s="20"/>
      <c r="AA3034" s="20"/>
      <c r="AB3034" s="20"/>
      <c r="AC3034" s="20"/>
      <c r="AD3034" s="20"/>
      <c r="AE3034" s="20"/>
    </row>
    <row r="3035">
      <c r="A3035" s="21">
        <v>68.0</v>
      </c>
      <c r="B3035" s="20" t="s">
        <v>1293</v>
      </c>
      <c r="C3035" s="20" t="s">
        <v>6164</v>
      </c>
      <c r="I3035" s="25" t="s">
        <v>541</v>
      </c>
      <c r="J3035" s="25" t="s">
        <v>5546</v>
      </c>
      <c r="K3035" s="25" t="s">
        <v>67</v>
      </c>
      <c r="L3035" s="25" t="s">
        <v>1025</v>
      </c>
      <c r="M3035" s="20" t="s">
        <v>944</v>
      </c>
      <c r="N3035" s="20" t="s">
        <v>5559</v>
      </c>
      <c r="O3035" s="20" t="s">
        <v>56</v>
      </c>
      <c r="P3035" s="20" t="s">
        <v>52</v>
      </c>
      <c r="Q3035" s="22"/>
      <c r="R3035" s="22"/>
      <c r="S3035" s="22"/>
      <c r="T3035" s="22"/>
      <c r="U3035" s="26"/>
      <c r="V3035" s="26"/>
      <c r="W3035" s="20"/>
      <c r="X3035" s="20"/>
      <c r="Y3035" s="20"/>
      <c r="Z3035" s="20"/>
      <c r="AA3035" s="20"/>
      <c r="AB3035" s="20"/>
      <c r="AC3035" s="20"/>
      <c r="AD3035" s="20"/>
      <c r="AE3035" s="20"/>
    </row>
    <row r="3036">
      <c r="A3036" s="21">
        <v>68.0</v>
      </c>
      <c r="B3036" s="20" t="s">
        <v>1293</v>
      </c>
      <c r="C3036" s="20" t="s">
        <v>6164</v>
      </c>
      <c r="I3036" s="25" t="s">
        <v>3074</v>
      </c>
      <c r="J3036" s="25" t="s">
        <v>5546</v>
      </c>
      <c r="K3036" s="25" t="s">
        <v>71</v>
      </c>
      <c r="L3036" s="25" t="s">
        <v>6076</v>
      </c>
      <c r="M3036" s="20" t="s">
        <v>5685</v>
      </c>
      <c r="N3036" s="20" t="s">
        <v>5686</v>
      </c>
      <c r="O3036" s="20" t="s">
        <v>56</v>
      </c>
      <c r="P3036" s="20" t="s">
        <v>52</v>
      </c>
      <c r="Q3036" s="22"/>
      <c r="R3036" s="22"/>
      <c r="S3036" s="22"/>
      <c r="T3036" s="20"/>
      <c r="U3036" s="26"/>
      <c r="V3036" s="26"/>
      <c r="W3036" s="20"/>
      <c r="X3036" s="20"/>
      <c r="Y3036" s="20"/>
      <c r="Z3036" s="20"/>
      <c r="AA3036" s="20"/>
      <c r="AB3036" s="20"/>
      <c r="AC3036" s="20"/>
      <c r="AD3036" s="20"/>
      <c r="AE3036" s="20"/>
    </row>
    <row r="3037">
      <c r="A3037" s="21">
        <v>68.0</v>
      </c>
      <c r="B3037" s="20" t="s">
        <v>1293</v>
      </c>
      <c r="C3037" s="20" t="s">
        <v>6164</v>
      </c>
      <c r="I3037" s="25" t="s">
        <v>4820</v>
      </c>
      <c r="J3037" s="25" t="s">
        <v>5546</v>
      </c>
      <c r="K3037" s="25" t="s">
        <v>67</v>
      </c>
      <c r="L3037" s="25" t="s">
        <v>1025</v>
      </c>
      <c r="M3037" s="20" t="s">
        <v>5560</v>
      </c>
      <c r="N3037" s="20" t="s">
        <v>5561</v>
      </c>
      <c r="O3037" s="20" t="s">
        <v>56</v>
      </c>
      <c r="P3037" s="20" t="s">
        <v>52</v>
      </c>
      <c r="Q3037" s="22"/>
      <c r="R3037" s="22"/>
      <c r="S3037" s="22"/>
      <c r="T3037" s="22"/>
      <c r="U3037" s="26"/>
      <c r="V3037" s="26"/>
      <c r="W3037" s="20"/>
      <c r="X3037" s="20"/>
      <c r="Y3037" s="20"/>
      <c r="Z3037" s="20"/>
      <c r="AA3037" s="20"/>
      <c r="AB3037" s="20"/>
      <c r="AC3037" s="20"/>
      <c r="AD3037" s="20"/>
      <c r="AE3037" s="20"/>
    </row>
    <row r="3038">
      <c r="A3038" s="21">
        <v>68.0</v>
      </c>
      <c r="B3038" s="20" t="s">
        <v>1293</v>
      </c>
      <c r="C3038" s="20" t="s">
        <v>6164</v>
      </c>
      <c r="I3038" s="25" t="s">
        <v>5562</v>
      </c>
      <c r="J3038" s="25" t="s">
        <v>5546</v>
      </c>
      <c r="K3038" s="25" t="s">
        <v>67</v>
      </c>
      <c r="L3038" s="25" t="s">
        <v>1025</v>
      </c>
      <c r="M3038" s="20" t="s">
        <v>5563</v>
      </c>
      <c r="N3038" s="20" t="s">
        <v>5564</v>
      </c>
      <c r="O3038" s="20" t="s">
        <v>56</v>
      </c>
      <c r="P3038" s="20" t="s">
        <v>52</v>
      </c>
      <c r="Q3038" s="22"/>
      <c r="R3038" s="22"/>
      <c r="S3038" s="22"/>
      <c r="T3038" s="22"/>
      <c r="U3038" s="26"/>
      <c r="V3038" s="26"/>
      <c r="W3038" s="20"/>
      <c r="X3038" s="20"/>
      <c r="Y3038" s="20"/>
      <c r="Z3038" s="20"/>
      <c r="AA3038" s="20"/>
      <c r="AB3038" s="20"/>
      <c r="AC3038" s="20"/>
      <c r="AD3038" s="20"/>
      <c r="AE3038" s="20"/>
    </row>
    <row r="3039">
      <c r="A3039" s="21">
        <v>68.0</v>
      </c>
      <c r="B3039" s="20" t="s">
        <v>1293</v>
      </c>
      <c r="C3039" s="20" t="s">
        <v>6164</v>
      </c>
      <c r="I3039" s="25" t="s">
        <v>3079</v>
      </c>
      <c r="J3039" s="25" t="s">
        <v>5546</v>
      </c>
      <c r="K3039" s="25" t="s">
        <v>71</v>
      </c>
      <c r="L3039" s="25" t="s">
        <v>6203</v>
      </c>
      <c r="M3039" s="20" t="s">
        <v>5687</v>
      </c>
      <c r="N3039" s="20" t="s">
        <v>5688</v>
      </c>
      <c r="O3039" s="20" t="s">
        <v>56</v>
      </c>
      <c r="P3039" s="20" t="s">
        <v>52</v>
      </c>
      <c r="Q3039" s="22"/>
      <c r="R3039" s="22"/>
      <c r="S3039" s="22"/>
      <c r="T3039" s="20"/>
      <c r="U3039" s="26"/>
      <c r="V3039" s="26"/>
      <c r="W3039" s="20"/>
      <c r="X3039" s="20"/>
      <c r="Y3039" s="20"/>
      <c r="Z3039" s="20"/>
      <c r="AA3039" s="20"/>
      <c r="AB3039" s="20"/>
      <c r="AC3039" s="20"/>
      <c r="AD3039" s="20"/>
      <c r="AE3039" s="20"/>
    </row>
    <row r="3040">
      <c r="A3040" s="21">
        <v>68.0</v>
      </c>
      <c r="B3040" s="20" t="s">
        <v>1293</v>
      </c>
      <c r="C3040" s="20" t="s">
        <v>6164</v>
      </c>
      <c r="I3040" s="25" t="s">
        <v>888</v>
      </c>
      <c r="J3040" s="25" t="s">
        <v>5546</v>
      </c>
      <c r="K3040" s="25" t="s">
        <v>67</v>
      </c>
      <c r="L3040" s="25" t="s">
        <v>1025</v>
      </c>
      <c r="M3040" s="20" t="s">
        <v>889</v>
      </c>
      <c r="N3040" s="20" t="s">
        <v>5565</v>
      </c>
      <c r="O3040" s="20" t="s">
        <v>56</v>
      </c>
      <c r="P3040" s="20" t="s">
        <v>52</v>
      </c>
      <c r="Q3040" s="22"/>
      <c r="R3040" s="22"/>
      <c r="S3040" s="22"/>
      <c r="T3040" s="22"/>
      <c r="U3040" s="26"/>
      <c r="V3040" s="26"/>
      <c r="W3040" s="20"/>
      <c r="X3040" s="20"/>
      <c r="Y3040" s="20"/>
      <c r="Z3040" s="20"/>
      <c r="AA3040" s="20"/>
      <c r="AB3040" s="20"/>
      <c r="AC3040" s="20"/>
      <c r="AD3040" s="20"/>
      <c r="AE3040" s="20"/>
    </row>
    <row r="3041">
      <c r="A3041" s="21">
        <v>68.0</v>
      </c>
      <c r="B3041" s="20" t="s">
        <v>1293</v>
      </c>
      <c r="C3041" s="20" t="s">
        <v>6164</v>
      </c>
      <c r="I3041" s="25" t="s">
        <v>72</v>
      </c>
      <c r="J3041" s="25" t="s">
        <v>5546</v>
      </c>
      <c r="K3041" s="25" t="s">
        <v>67</v>
      </c>
      <c r="L3041" s="25" t="s">
        <v>1025</v>
      </c>
      <c r="M3041" s="20" t="s">
        <v>73</v>
      </c>
      <c r="N3041" s="20" t="s">
        <v>5566</v>
      </c>
      <c r="O3041" s="20" t="s">
        <v>56</v>
      </c>
      <c r="P3041" s="20" t="s">
        <v>52</v>
      </c>
      <c r="Q3041" s="22"/>
      <c r="R3041" s="22"/>
      <c r="S3041" s="22"/>
      <c r="T3041" s="22"/>
      <c r="U3041" s="26"/>
      <c r="V3041" s="26"/>
      <c r="W3041" s="20"/>
      <c r="X3041" s="20"/>
      <c r="Y3041" s="20"/>
      <c r="Z3041" s="20"/>
      <c r="AA3041" s="20"/>
      <c r="AB3041" s="20"/>
      <c r="AC3041" s="20"/>
      <c r="AD3041" s="20"/>
      <c r="AE3041" s="20"/>
    </row>
    <row r="3042">
      <c r="A3042" s="21">
        <v>68.0</v>
      </c>
      <c r="B3042" s="20" t="s">
        <v>1293</v>
      </c>
      <c r="C3042" s="20" t="s">
        <v>6164</v>
      </c>
      <c r="I3042" s="25" t="s">
        <v>2545</v>
      </c>
      <c r="J3042" s="25" t="s">
        <v>5589</v>
      </c>
      <c r="K3042" s="25" t="s">
        <v>71</v>
      </c>
      <c r="L3042" s="25" t="s">
        <v>6204</v>
      </c>
      <c r="M3042" s="20" t="s">
        <v>5806</v>
      </c>
      <c r="N3042" s="20" t="s">
        <v>5807</v>
      </c>
      <c r="O3042" s="20" t="s">
        <v>56</v>
      </c>
      <c r="P3042" s="20" t="s">
        <v>52</v>
      </c>
      <c r="Q3042" s="22"/>
      <c r="R3042" s="22"/>
      <c r="S3042" s="22"/>
      <c r="T3042" s="26"/>
      <c r="U3042" s="26"/>
      <c r="V3042" s="26"/>
      <c r="W3042" s="20"/>
      <c r="X3042" s="20"/>
      <c r="Y3042" s="20"/>
      <c r="Z3042" s="20"/>
      <c r="AA3042" s="20"/>
      <c r="AB3042" s="20"/>
      <c r="AC3042" s="20"/>
      <c r="AD3042" s="20"/>
      <c r="AE3042" s="20"/>
    </row>
    <row r="3043">
      <c r="A3043" s="21">
        <v>68.0</v>
      </c>
      <c r="B3043" s="20" t="s">
        <v>1293</v>
      </c>
      <c r="C3043" s="20" t="s">
        <v>6164</v>
      </c>
      <c r="I3043" s="25" t="s">
        <v>4452</v>
      </c>
      <c r="J3043" s="25" t="s">
        <v>5546</v>
      </c>
      <c r="K3043" s="25" t="s">
        <v>71</v>
      </c>
      <c r="L3043" s="25" t="s">
        <v>6202</v>
      </c>
      <c r="M3043" s="20" t="s">
        <v>61</v>
      </c>
      <c r="N3043" s="20" t="s">
        <v>5689</v>
      </c>
      <c r="O3043" s="20" t="s">
        <v>56</v>
      </c>
      <c r="P3043" s="20" t="s">
        <v>52</v>
      </c>
      <c r="Q3043" s="22"/>
      <c r="R3043" s="22"/>
      <c r="S3043" s="22"/>
      <c r="T3043" s="20"/>
      <c r="U3043" s="26"/>
      <c r="V3043" s="26"/>
      <c r="W3043" s="20"/>
      <c r="X3043" s="20"/>
      <c r="Y3043" s="20"/>
      <c r="Z3043" s="20"/>
      <c r="AA3043" s="20"/>
      <c r="AB3043" s="20"/>
      <c r="AC3043" s="20"/>
      <c r="AD3043" s="20"/>
      <c r="AE3043" s="20"/>
    </row>
    <row r="3044">
      <c r="A3044" s="21">
        <v>68.0</v>
      </c>
      <c r="B3044" s="20" t="s">
        <v>1293</v>
      </c>
      <c r="C3044" s="20" t="s">
        <v>6164</v>
      </c>
      <c r="I3044" s="25" t="s">
        <v>3498</v>
      </c>
      <c r="J3044" s="25" t="s">
        <v>5546</v>
      </c>
      <c r="K3044" s="25" t="s">
        <v>71</v>
      </c>
      <c r="L3044" s="25" t="s">
        <v>6202</v>
      </c>
      <c r="M3044" s="20" t="s">
        <v>5691</v>
      </c>
      <c r="N3044" s="20" t="s">
        <v>5692</v>
      </c>
      <c r="O3044" s="20" t="s">
        <v>56</v>
      </c>
      <c r="P3044" s="20" t="s">
        <v>52</v>
      </c>
      <c r="Q3044" s="22"/>
      <c r="R3044" s="22"/>
      <c r="S3044" s="22"/>
      <c r="T3044" s="20"/>
      <c r="U3044" s="26"/>
      <c r="V3044" s="26"/>
      <c r="W3044" s="20"/>
      <c r="X3044" s="20"/>
      <c r="Y3044" s="20"/>
      <c r="Z3044" s="20"/>
      <c r="AA3044" s="20"/>
      <c r="AB3044" s="20"/>
      <c r="AC3044" s="20"/>
      <c r="AD3044" s="20"/>
      <c r="AE3044" s="20"/>
    </row>
    <row r="3045">
      <c r="A3045" s="21">
        <v>68.0</v>
      </c>
      <c r="B3045" s="20" t="s">
        <v>1293</v>
      </c>
      <c r="C3045" s="20" t="s">
        <v>6164</v>
      </c>
      <c r="I3045" s="25" t="s">
        <v>1032</v>
      </c>
      <c r="J3045" s="25" t="s">
        <v>5546</v>
      </c>
      <c r="K3045" s="25" t="s">
        <v>67</v>
      </c>
      <c r="L3045" s="25" t="s">
        <v>1025</v>
      </c>
      <c r="M3045" s="20" t="s">
        <v>61</v>
      </c>
      <c r="N3045" s="20" t="s">
        <v>5567</v>
      </c>
      <c r="O3045" s="20" t="s">
        <v>56</v>
      </c>
      <c r="P3045" s="20" t="s">
        <v>52</v>
      </c>
      <c r="Q3045" s="22"/>
      <c r="R3045" s="22"/>
      <c r="S3045" s="22"/>
      <c r="T3045" s="22"/>
      <c r="U3045" s="26"/>
      <c r="V3045" s="26"/>
      <c r="W3045" s="20"/>
      <c r="X3045" s="20"/>
      <c r="Y3045" s="20"/>
      <c r="Z3045" s="20"/>
      <c r="AA3045" s="20"/>
      <c r="AB3045" s="20"/>
      <c r="AC3045" s="20"/>
      <c r="AD3045" s="20"/>
      <c r="AE3045" s="20"/>
    </row>
    <row r="3046">
      <c r="A3046" s="21">
        <v>68.0</v>
      </c>
      <c r="B3046" s="20" t="s">
        <v>1293</v>
      </c>
      <c r="C3046" s="20" t="s">
        <v>6164</v>
      </c>
      <c r="I3046" s="25" t="s">
        <v>2511</v>
      </c>
      <c r="J3046" s="25" t="s">
        <v>5546</v>
      </c>
      <c r="K3046" s="25" t="s">
        <v>71</v>
      </c>
      <c r="L3046" s="25" t="s">
        <v>6205</v>
      </c>
      <c r="M3046" s="20" t="s">
        <v>61</v>
      </c>
      <c r="N3046" s="20" t="s">
        <v>5693</v>
      </c>
      <c r="O3046" s="20" t="s">
        <v>56</v>
      </c>
      <c r="P3046" s="20" t="s">
        <v>52</v>
      </c>
      <c r="Q3046" s="22"/>
      <c r="R3046" s="22"/>
      <c r="S3046" s="22"/>
      <c r="T3046" s="20"/>
      <c r="U3046" s="26"/>
      <c r="V3046" s="26"/>
      <c r="W3046" s="20"/>
      <c r="X3046" s="20"/>
      <c r="Y3046" s="20"/>
      <c r="Z3046" s="20"/>
      <c r="AA3046" s="20"/>
      <c r="AB3046" s="20"/>
      <c r="AC3046" s="20"/>
      <c r="AD3046" s="20"/>
      <c r="AE3046" s="20"/>
    </row>
    <row r="3047">
      <c r="A3047" s="21">
        <v>68.0</v>
      </c>
      <c r="B3047" s="20" t="s">
        <v>1293</v>
      </c>
      <c r="C3047" s="20" t="s">
        <v>6164</v>
      </c>
      <c r="I3047" s="25" t="s">
        <v>3505</v>
      </c>
      <c r="J3047" s="25" t="s">
        <v>5546</v>
      </c>
      <c r="K3047" s="25" t="s">
        <v>71</v>
      </c>
      <c r="L3047" s="25" t="s">
        <v>6202</v>
      </c>
      <c r="M3047" s="20" t="s">
        <v>5509</v>
      </c>
      <c r="N3047" s="20" t="s">
        <v>5694</v>
      </c>
      <c r="O3047" s="20" t="s">
        <v>56</v>
      </c>
      <c r="P3047" s="20" t="s">
        <v>52</v>
      </c>
      <c r="Q3047" s="22"/>
      <c r="R3047" s="22"/>
      <c r="S3047" s="22"/>
      <c r="T3047" s="20"/>
      <c r="U3047" s="26"/>
      <c r="V3047" s="26"/>
      <c r="W3047" s="20"/>
      <c r="X3047" s="20"/>
      <c r="Y3047" s="20"/>
      <c r="Z3047" s="20"/>
      <c r="AA3047" s="20"/>
      <c r="AB3047" s="20"/>
      <c r="AC3047" s="20"/>
      <c r="AD3047" s="20"/>
      <c r="AE3047" s="20"/>
    </row>
    <row r="3048">
      <c r="A3048" s="21">
        <v>68.0</v>
      </c>
      <c r="B3048" s="20" t="s">
        <v>1293</v>
      </c>
      <c r="C3048" s="20" t="s">
        <v>6164</v>
      </c>
      <c r="I3048" s="25" t="s">
        <v>3033</v>
      </c>
      <c r="J3048" s="25" t="s">
        <v>5546</v>
      </c>
      <c r="K3048" s="25" t="s">
        <v>71</v>
      </c>
      <c r="L3048" s="25" t="s">
        <v>6202</v>
      </c>
      <c r="M3048" s="20" t="s">
        <v>5695</v>
      </c>
      <c r="N3048" s="20" t="s">
        <v>5696</v>
      </c>
      <c r="O3048" s="20" t="s">
        <v>56</v>
      </c>
      <c r="P3048" s="20" t="s">
        <v>52</v>
      </c>
      <c r="Q3048" s="22"/>
      <c r="R3048" s="22"/>
      <c r="S3048" s="22"/>
      <c r="T3048" s="20"/>
      <c r="U3048" s="26"/>
      <c r="V3048" s="26"/>
      <c r="W3048" s="20"/>
      <c r="X3048" s="20"/>
      <c r="Y3048" s="20"/>
      <c r="Z3048" s="20"/>
      <c r="AA3048" s="20"/>
      <c r="AB3048" s="20"/>
      <c r="AC3048" s="20"/>
      <c r="AD3048" s="20"/>
      <c r="AE3048" s="20"/>
    </row>
    <row r="3049">
      <c r="A3049" s="21">
        <v>68.0</v>
      </c>
      <c r="B3049" s="20" t="s">
        <v>1293</v>
      </c>
      <c r="C3049" s="20" t="s">
        <v>6164</v>
      </c>
      <c r="I3049" s="25" t="s">
        <v>1405</v>
      </c>
      <c r="J3049" s="25" t="s">
        <v>5810</v>
      </c>
      <c r="K3049" s="25" t="s">
        <v>71</v>
      </c>
      <c r="L3049" s="25" t="s">
        <v>292</v>
      </c>
      <c r="M3049" s="20" t="s">
        <v>61</v>
      </c>
      <c r="N3049" s="20" t="s">
        <v>1668</v>
      </c>
      <c r="O3049" s="20" t="s">
        <v>63</v>
      </c>
      <c r="P3049" s="20" t="s">
        <v>52</v>
      </c>
      <c r="Q3049" s="22"/>
      <c r="R3049" s="22"/>
      <c r="S3049" s="22"/>
      <c r="T3049" s="22"/>
      <c r="U3049" s="26"/>
      <c r="V3049" s="26"/>
      <c r="W3049" s="20"/>
      <c r="X3049" s="20"/>
      <c r="Y3049" s="20"/>
      <c r="Z3049" s="20"/>
      <c r="AA3049" s="20"/>
      <c r="AB3049" s="20"/>
      <c r="AC3049" s="20"/>
      <c r="AD3049" s="20"/>
      <c r="AE3049" s="20"/>
    </row>
    <row r="3050">
      <c r="A3050" s="21">
        <v>68.0</v>
      </c>
      <c r="B3050" s="20" t="s">
        <v>1293</v>
      </c>
      <c r="C3050" s="20" t="s">
        <v>6164</v>
      </c>
      <c r="I3050" s="25" t="s">
        <v>270</v>
      </c>
      <c r="J3050" s="25" t="s">
        <v>5546</v>
      </c>
      <c r="K3050" s="25" t="s">
        <v>67</v>
      </c>
      <c r="L3050" s="25" t="s">
        <v>1025</v>
      </c>
      <c r="M3050" s="20" t="s">
        <v>939</v>
      </c>
      <c r="N3050" s="20" t="s">
        <v>5568</v>
      </c>
      <c r="O3050" s="20" t="s">
        <v>56</v>
      </c>
      <c r="P3050" s="20" t="s">
        <v>52</v>
      </c>
      <c r="Q3050" s="22"/>
      <c r="R3050" s="22"/>
      <c r="S3050" s="22"/>
      <c r="T3050" s="22"/>
      <c r="U3050" s="26"/>
      <c r="V3050" s="26"/>
      <c r="W3050" s="20"/>
      <c r="X3050" s="20"/>
      <c r="Y3050" s="20"/>
      <c r="Z3050" s="20"/>
      <c r="AA3050" s="20"/>
      <c r="AB3050" s="20"/>
      <c r="AC3050" s="20"/>
      <c r="AD3050" s="20"/>
      <c r="AE3050" s="20"/>
    </row>
    <row r="3051">
      <c r="A3051" s="21">
        <v>68.0</v>
      </c>
      <c r="B3051" s="20" t="s">
        <v>1293</v>
      </c>
      <c r="C3051" s="20" t="s">
        <v>6164</v>
      </c>
      <c r="I3051" s="25" t="s">
        <v>1843</v>
      </c>
      <c r="J3051" s="25" t="s">
        <v>5546</v>
      </c>
      <c r="K3051" s="25" t="s">
        <v>67</v>
      </c>
      <c r="L3051" s="25" t="s">
        <v>1025</v>
      </c>
      <c r="M3051" s="20" t="s">
        <v>5569</v>
      </c>
      <c r="N3051" s="20" t="s">
        <v>5570</v>
      </c>
      <c r="O3051" s="20" t="s">
        <v>56</v>
      </c>
      <c r="P3051" s="20" t="s">
        <v>52</v>
      </c>
      <c r="Q3051" s="22"/>
      <c r="R3051" s="22"/>
      <c r="S3051" s="22"/>
      <c r="T3051" s="22"/>
      <c r="U3051" s="26"/>
      <c r="V3051" s="26"/>
      <c r="W3051" s="20"/>
      <c r="X3051" s="20"/>
      <c r="Y3051" s="20"/>
      <c r="Z3051" s="20"/>
      <c r="AA3051" s="20"/>
      <c r="AB3051" s="20"/>
      <c r="AC3051" s="20"/>
      <c r="AD3051" s="20"/>
      <c r="AE3051" s="20"/>
    </row>
    <row r="3052">
      <c r="A3052" s="21">
        <v>68.0</v>
      </c>
      <c r="B3052" s="20" t="s">
        <v>1293</v>
      </c>
      <c r="C3052" s="20" t="s">
        <v>6164</v>
      </c>
      <c r="I3052" s="25" t="s">
        <v>1303</v>
      </c>
      <c r="J3052" s="25" t="s">
        <v>5546</v>
      </c>
      <c r="K3052" s="25" t="s">
        <v>71</v>
      </c>
      <c r="L3052" s="25" t="s">
        <v>6203</v>
      </c>
      <c r="M3052" s="20" t="s">
        <v>5378</v>
      </c>
      <c r="N3052" s="20" t="s">
        <v>5697</v>
      </c>
      <c r="O3052" s="20" t="s">
        <v>56</v>
      </c>
      <c r="P3052" s="20" t="s">
        <v>52</v>
      </c>
      <c r="Q3052" s="22"/>
      <c r="R3052" s="22"/>
      <c r="S3052" s="22"/>
      <c r="T3052" s="20"/>
      <c r="U3052" s="26"/>
      <c r="V3052" s="26"/>
      <c r="W3052" s="20"/>
      <c r="X3052" s="20"/>
      <c r="Y3052" s="20"/>
      <c r="Z3052" s="20"/>
      <c r="AA3052" s="20"/>
      <c r="AB3052" s="20"/>
      <c r="AC3052" s="20"/>
      <c r="AD3052" s="20"/>
      <c r="AE3052" s="20"/>
    </row>
    <row r="3053">
      <c r="A3053" s="21">
        <v>68.0</v>
      </c>
      <c r="B3053" s="20" t="s">
        <v>1293</v>
      </c>
      <c r="C3053" s="20" t="s">
        <v>6164</v>
      </c>
      <c r="I3053" s="25" t="s">
        <v>720</v>
      </c>
      <c r="J3053" s="25" t="s">
        <v>5546</v>
      </c>
      <c r="K3053" s="25" t="s">
        <v>67</v>
      </c>
      <c r="L3053" s="25" t="s">
        <v>1025</v>
      </c>
      <c r="M3053" s="20" t="s">
        <v>5571</v>
      </c>
      <c r="N3053" s="20" t="s">
        <v>5572</v>
      </c>
      <c r="O3053" s="20" t="s">
        <v>56</v>
      </c>
      <c r="P3053" s="20" t="s">
        <v>52</v>
      </c>
      <c r="Q3053" s="22"/>
      <c r="R3053" s="22"/>
      <c r="S3053" s="22"/>
      <c r="T3053" s="22"/>
      <c r="U3053" s="26"/>
      <c r="V3053" s="26"/>
      <c r="W3053" s="20"/>
      <c r="X3053" s="20"/>
      <c r="Y3053" s="20"/>
      <c r="Z3053" s="20"/>
      <c r="AA3053" s="20"/>
      <c r="AB3053" s="20"/>
      <c r="AC3053" s="20"/>
      <c r="AD3053" s="20"/>
      <c r="AE3053" s="20"/>
    </row>
    <row r="3054">
      <c r="A3054" s="21">
        <v>68.0</v>
      </c>
      <c r="B3054" s="20" t="s">
        <v>1293</v>
      </c>
      <c r="C3054" s="20" t="s">
        <v>6164</v>
      </c>
      <c r="I3054" s="25" t="s">
        <v>1255</v>
      </c>
      <c r="J3054" s="25" t="s">
        <v>5546</v>
      </c>
      <c r="K3054" s="25" t="s">
        <v>71</v>
      </c>
      <c r="L3054" s="25" t="s">
        <v>6202</v>
      </c>
      <c r="M3054" s="20" t="s">
        <v>3531</v>
      </c>
      <c r="N3054" s="20" t="s">
        <v>5699</v>
      </c>
      <c r="O3054" s="20" t="s">
        <v>56</v>
      </c>
      <c r="P3054" s="20" t="s">
        <v>52</v>
      </c>
      <c r="Q3054" s="22"/>
      <c r="R3054" s="22"/>
      <c r="S3054" s="22"/>
      <c r="T3054" s="20"/>
      <c r="U3054" s="26"/>
      <c r="V3054" s="26"/>
      <c r="W3054" s="20"/>
      <c r="X3054" s="20"/>
      <c r="Y3054" s="20"/>
      <c r="Z3054" s="20"/>
      <c r="AA3054" s="20"/>
      <c r="AB3054" s="20"/>
      <c r="AC3054" s="20"/>
      <c r="AD3054" s="20"/>
      <c r="AE3054" s="20"/>
    </row>
    <row r="3055">
      <c r="A3055" s="21">
        <v>68.0</v>
      </c>
      <c r="B3055" s="20" t="s">
        <v>1293</v>
      </c>
      <c r="C3055" s="20" t="s">
        <v>6164</v>
      </c>
      <c r="I3055" s="25" t="s">
        <v>3533</v>
      </c>
      <c r="J3055" s="25" t="s">
        <v>5589</v>
      </c>
      <c r="K3055" s="25" t="s">
        <v>71</v>
      </c>
      <c r="L3055" s="25" t="s">
        <v>6202</v>
      </c>
      <c r="M3055" s="20" t="s">
        <v>5181</v>
      </c>
      <c r="N3055" s="20" t="s">
        <v>5808</v>
      </c>
      <c r="O3055" s="20" t="s">
        <v>56</v>
      </c>
      <c r="P3055" s="20" t="s">
        <v>52</v>
      </c>
      <c r="Q3055" s="22"/>
      <c r="R3055" s="22"/>
      <c r="S3055" s="22"/>
      <c r="T3055" s="20"/>
      <c r="U3055" s="26"/>
      <c r="V3055" s="26"/>
      <c r="W3055" s="20"/>
      <c r="X3055" s="20"/>
      <c r="Y3055" s="20"/>
      <c r="Z3055" s="20"/>
      <c r="AA3055" s="20"/>
      <c r="AB3055" s="20"/>
      <c r="AC3055" s="20"/>
      <c r="AD3055" s="20"/>
      <c r="AE3055" s="20"/>
    </row>
    <row r="3056">
      <c r="A3056" s="21">
        <v>68.0</v>
      </c>
      <c r="B3056" s="20" t="s">
        <v>1293</v>
      </c>
      <c r="C3056" s="20" t="s">
        <v>6164</v>
      </c>
      <c r="I3056" s="25" t="s">
        <v>706</v>
      </c>
      <c r="J3056" s="25" t="s">
        <v>5546</v>
      </c>
      <c r="K3056" s="25" t="s">
        <v>67</v>
      </c>
      <c r="L3056" s="25" t="s">
        <v>1025</v>
      </c>
      <c r="M3056" s="20" t="s">
        <v>5573</v>
      </c>
      <c r="N3056" s="20" t="s">
        <v>5574</v>
      </c>
      <c r="O3056" s="20" t="s">
        <v>56</v>
      </c>
      <c r="P3056" s="20" t="s">
        <v>52</v>
      </c>
      <c r="Q3056" s="22"/>
      <c r="R3056" s="22"/>
      <c r="S3056" s="22"/>
      <c r="T3056" s="22"/>
      <c r="U3056" s="26"/>
      <c r="V3056" s="26"/>
      <c r="W3056" s="20"/>
      <c r="X3056" s="20"/>
      <c r="Y3056" s="20"/>
      <c r="Z3056" s="20"/>
      <c r="AA3056" s="20"/>
      <c r="AB3056" s="20"/>
      <c r="AC3056" s="20"/>
      <c r="AD3056" s="20"/>
      <c r="AE3056" s="20"/>
    </row>
    <row r="3057">
      <c r="A3057" s="21">
        <v>68.0</v>
      </c>
      <c r="B3057" s="20" t="s">
        <v>1293</v>
      </c>
      <c r="C3057" s="20" t="s">
        <v>6164</v>
      </c>
      <c r="I3057" s="25" t="s">
        <v>3471</v>
      </c>
      <c r="J3057" s="25" t="s">
        <v>5811</v>
      </c>
      <c r="K3057" s="25" t="s">
        <v>71</v>
      </c>
      <c r="L3057" s="25" t="s">
        <v>6202</v>
      </c>
      <c r="M3057" s="20" t="s">
        <v>3472</v>
      </c>
      <c r="N3057" s="20" t="s">
        <v>5812</v>
      </c>
      <c r="O3057" s="20" t="s">
        <v>63</v>
      </c>
      <c r="P3057" s="20" t="s">
        <v>52</v>
      </c>
      <c r="Q3057" s="22"/>
      <c r="R3057" s="22"/>
      <c r="S3057" s="22"/>
      <c r="T3057" s="20"/>
      <c r="U3057" s="26"/>
      <c r="V3057" s="26"/>
      <c r="W3057" s="20"/>
      <c r="X3057" s="20"/>
      <c r="Y3057" s="20"/>
      <c r="Z3057" s="20"/>
      <c r="AA3057" s="20"/>
      <c r="AB3057" s="20"/>
      <c r="AC3057" s="20"/>
      <c r="AD3057" s="20"/>
      <c r="AE3057" s="20"/>
    </row>
    <row r="3058">
      <c r="A3058" s="21">
        <v>68.0</v>
      </c>
      <c r="B3058" s="20" t="s">
        <v>1293</v>
      </c>
      <c r="C3058" s="20" t="s">
        <v>6164</v>
      </c>
      <c r="I3058" s="25" t="s">
        <v>2523</v>
      </c>
      <c r="J3058" s="25" t="s">
        <v>5546</v>
      </c>
      <c r="K3058" s="25" t="s">
        <v>71</v>
      </c>
      <c r="L3058" s="25" t="s">
        <v>6205</v>
      </c>
      <c r="M3058" s="20" t="s">
        <v>2524</v>
      </c>
      <c r="N3058" s="20" t="s">
        <v>5700</v>
      </c>
      <c r="O3058" s="20" t="s">
        <v>56</v>
      </c>
      <c r="P3058" s="20" t="s">
        <v>52</v>
      </c>
      <c r="Q3058" s="22"/>
      <c r="R3058" s="22"/>
      <c r="S3058" s="22"/>
      <c r="T3058" s="20"/>
      <c r="U3058" s="26"/>
      <c r="V3058" s="26"/>
      <c r="W3058" s="20"/>
      <c r="X3058" s="20"/>
      <c r="Y3058" s="20"/>
      <c r="Z3058" s="20"/>
      <c r="AA3058" s="20"/>
      <c r="AB3058" s="20"/>
      <c r="AC3058" s="20"/>
      <c r="AD3058" s="20"/>
      <c r="AE3058" s="20"/>
    </row>
    <row r="3059">
      <c r="A3059" s="21">
        <v>68.0</v>
      </c>
      <c r="B3059" s="20" t="s">
        <v>1293</v>
      </c>
      <c r="C3059" s="20" t="s">
        <v>6164</v>
      </c>
      <c r="I3059" s="25" t="s">
        <v>1487</v>
      </c>
      <c r="J3059" s="25" t="s">
        <v>5546</v>
      </c>
      <c r="K3059" s="25" t="s">
        <v>67</v>
      </c>
      <c r="L3059" s="25" t="s">
        <v>1025</v>
      </c>
      <c r="M3059" s="20" t="s">
        <v>5575</v>
      </c>
      <c r="N3059" s="20" t="s">
        <v>5576</v>
      </c>
      <c r="O3059" s="20" t="s">
        <v>56</v>
      </c>
      <c r="P3059" s="20" t="s">
        <v>52</v>
      </c>
      <c r="Q3059" s="22"/>
      <c r="R3059" s="22"/>
      <c r="S3059" s="22"/>
      <c r="T3059" s="22"/>
      <c r="U3059" s="26"/>
      <c r="V3059" s="26"/>
      <c r="W3059" s="20"/>
      <c r="X3059" s="20"/>
      <c r="Y3059" s="20"/>
      <c r="Z3059" s="20"/>
      <c r="AA3059" s="20"/>
      <c r="AB3059" s="20"/>
      <c r="AC3059" s="20"/>
      <c r="AD3059" s="20"/>
      <c r="AE3059" s="20"/>
    </row>
    <row r="3060">
      <c r="A3060" s="21">
        <v>68.0</v>
      </c>
      <c r="B3060" s="20" t="s">
        <v>1293</v>
      </c>
      <c r="C3060" s="20" t="s">
        <v>6164</v>
      </c>
      <c r="I3060" s="25" t="s">
        <v>3262</v>
      </c>
      <c r="J3060" s="25" t="s">
        <v>5546</v>
      </c>
      <c r="K3060" s="25" t="s">
        <v>71</v>
      </c>
      <c r="L3060" s="25" t="s">
        <v>6205</v>
      </c>
      <c r="M3060" s="20" t="s">
        <v>5701</v>
      </c>
      <c r="N3060" s="20" t="s">
        <v>5702</v>
      </c>
      <c r="O3060" s="20" t="s">
        <v>56</v>
      </c>
      <c r="P3060" s="20" t="s">
        <v>52</v>
      </c>
      <c r="Q3060" s="22"/>
      <c r="R3060" s="22"/>
      <c r="S3060" s="22"/>
      <c r="T3060" s="20"/>
      <c r="U3060" s="26"/>
      <c r="V3060" s="26"/>
      <c r="W3060" s="20"/>
      <c r="X3060" s="20"/>
      <c r="Y3060" s="20"/>
      <c r="Z3060" s="20"/>
      <c r="AA3060" s="20"/>
      <c r="AB3060" s="20"/>
      <c r="AC3060" s="20"/>
      <c r="AD3060" s="20"/>
      <c r="AE3060" s="20"/>
    </row>
    <row r="3061">
      <c r="A3061" s="21">
        <v>68.0</v>
      </c>
      <c r="B3061" s="20" t="s">
        <v>1293</v>
      </c>
      <c r="C3061" s="20" t="s">
        <v>6164</v>
      </c>
      <c r="I3061" s="25" t="s">
        <v>2529</v>
      </c>
      <c r="J3061" s="25" t="s">
        <v>5546</v>
      </c>
      <c r="K3061" s="25" t="s">
        <v>71</v>
      </c>
      <c r="L3061" s="25" t="s">
        <v>6205</v>
      </c>
      <c r="M3061" s="20" t="s">
        <v>5704</v>
      </c>
      <c r="N3061" s="20" t="s">
        <v>5705</v>
      </c>
      <c r="O3061" s="20" t="s">
        <v>56</v>
      </c>
      <c r="P3061" s="20" t="s">
        <v>52</v>
      </c>
      <c r="Q3061" s="22"/>
      <c r="R3061" s="22"/>
      <c r="S3061" s="22"/>
      <c r="T3061" s="20"/>
      <c r="U3061" s="26"/>
      <c r="V3061" s="26"/>
      <c r="W3061" s="20"/>
      <c r="X3061" s="20"/>
      <c r="Y3061" s="20"/>
      <c r="Z3061" s="20"/>
      <c r="AA3061" s="20"/>
      <c r="AB3061" s="20"/>
      <c r="AC3061" s="20"/>
      <c r="AD3061" s="20"/>
      <c r="AE3061" s="20"/>
    </row>
    <row r="3062">
      <c r="A3062" s="21">
        <v>68.0</v>
      </c>
      <c r="B3062" s="20" t="s">
        <v>1293</v>
      </c>
      <c r="C3062" s="20" t="s">
        <v>6164</v>
      </c>
      <c r="I3062" s="25" t="s">
        <v>4771</v>
      </c>
      <c r="J3062" s="25" t="s">
        <v>5546</v>
      </c>
      <c r="K3062" s="25" t="s">
        <v>71</v>
      </c>
      <c r="L3062" s="25" t="s">
        <v>6202</v>
      </c>
      <c r="M3062" s="20" t="s">
        <v>5707</v>
      </c>
      <c r="N3062" s="20" t="s">
        <v>5708</v>
      </c>
      <c r="O3062" s="20" t="s">
        <v>56</v>
      </c>
      <c r="P3062" s="20" t="s">
        <v>52</v>
      </c>
      <c r="Q3062" s="22"/>
      <c r="R3062" s="22"/>
      <c r="S3062" s="22"/>
      <c r="T3062" s="20"/>
      <c r="U3062" s="26"/>
      <c r="V3062" s="26"/>
      <c r="W3062" s="20"/>
      <c r="X3062" s="20"/>
      <c r="Y3062" s="20"/>
      <c r="Z3062" s="20"/>
      <c r="AA3062" s="20"/>
      <c r="AB3062" s="20"/>
      <c r="AC3062" s="20"/>
      <c r="AD3062" s="20"/>
      <c r="AE3062" s="20"/>
    </row>
    <row r="3063">
      <c r="A3063" s="21">
        <v>68.0</v>
      </c>
      <c r="B3063" s="20" t="s">
        <v>1293</v>
      </c>
      <c r="C3063" s="20" t="s">
        <v>6164</v>
      </c>
      <c r="I3063" s="25" t="s">
        <v>3410</v>
      </c>
      <c r="J3063" s="25" t="s">
        <v>5546</v>
      </c>
      <c r="K3063" s="25" t="s">
        <v>71</v>
      </c>
      <c r="L3063" s="25" t="s">
        <v>6202</v>
      </c>
      <c r="M3063" s="20" t="s">
        <v>5710</v>
      </c>
      <c r="N3063" s="20" t="s">
        <v>5711</v>
      </c>
      <c r="O3063" s="20" t="s">
        <v>56</v>
      </c>
      <c r="P3063" s="20" t="s">
        <v>52</v>
      </c>
      <c r="Q3063" s="22"/>
      <c r="R3063" s="22"/>
      <c r="S3063" s="22"/>
      <c r="T3063" s="20"/>
      <c r="U3063" s="26"/>
      <c r="V3063" s="26"/>
      <c r="W3063" s="20"/>
      <c r="X3063" s="20"/>
      <c r="Y3063" s="20"/>
      <c r="Z3063" s="20"/>
      <c r="AA3063" s="20"/>
      <c r="AB3063" s="20"/>
      <c r="AC3063" s="20"/>
      <c r="AD3063" s="20"/>
      <c r="AE3063" s="20"/>
    </row>
    <row r="3064">
      <c r="A3064" s="21">
        <v>68.0</v>
      </c>
      <c r="B3064" s="20" t="s">
        <v>1293</v>
      </c>
      <c r="C3064" s="20" t="s">
        <v>6164</v>
      </c>
      <c r="I3064" s="25" t="s">
        <v>3640</v>
      </c>
      <c r="J3064" s="25" t="s">
        <v>5546</v>
      </c>
      <c r="K3064" s="25" t="s">
        <v>71</v>
      </c>
      <c r="L3064" s="25" t="s">
        <v>6202</v>
      </c>
      <c r="M3064" s="20" t="s">
        <v>3641</v>
      </c>
      <c r="N3064" s="20" t="s">
        <v>5712</v>
      </c>
      <c r="O3064" s="20" t="s">
        <v>56</v>
      </c>
      <c r="P3064" s="20" t="s">
        <v>52</v>
      </c>
      <c r="Q3064" s="22"/>
      <c r="R3064" s="22"/>
      <c r="S3064" s="22"/>
      <c r="T3064" s="20"/>
      <c r="U3064" s="26"/>
      <c r="V3064" s="26"/>
      <c r="W3064" s="20"/>
      <c r="X3064" s="20"/>
      <c r="Y3064" s="20"/>
      <c r="Z3064" s="20"/>
      <c r="AA3064" s="20"/>
      <c r="AB3064" s="20"/>
      <c r="AC3064" s="20"/>
      <c r="AD3064" s="20"/>
      <c r="AE3064" s="20"/>
    </row>
    <row r="3065">
      <c r="A3065" s="21">
        <v>68.0</v>
      </c>
      <c r="B3065" s="20" t="s">
        <v>1293</v>
      </c>
      <c r="C3065" s="20" t="s">
        <v>6164</v>
      </c>
      <c r="I3065" s="25" t="s">
        <v>3502</v>
      </c>
      <c r="J3065" s="25" t="s">
        <v>5546</v>
      </c>
      <c r="K3065" s="25" t="s">
        <v>71</v>
      </c>
      <c r="L3065" s="25" t="s">
        <v>6202</v>
      </c>
      <c r="M3065" s="20" t="s">
        <v>3503</v>
      </c>
      <c r="N3065" s="20" t="s">
        <v>5714</v>
      </c>
      <c r="O3065" s="20" t="s">
        <v>56</v>
      </c>
      <c r="P3065" s="20" t="s">
        <v>52</v>
      </c>
      <c r="Q3065" s="22"/>
      <c r="R3065" s="22"/>
      <c r="S3065" s="22"/>
      <c r="T3065" s="20"/>
      <c r="U3065" s="26"/>
      <c r="V3065" s="26"/>
      <c r="W3065" s="20"/>
      <c r="X3065" s="20"/>
      <c r="Y3065" s="20"/>
      <c r="Z3065" s="20"/>
      <c r="AA3065" s="20"/>
      <c r="AB3065" s="20"/>
      <c r="AC3065" s="20"/>
      <c r="AD3065" s="20"/>
      <c r="AE3065" s="20"/>
    </row>
    <row r="3066">
      <c r="A3066" s="21">
        <v>68.0</v>
      </c>
      <c r="B3066" s="20" t="s">
        <v>1293</v>
      </c>
      <c r="C3066" s="20" t="s">
        <v>6164</v>
      </c>
      <c r="I3066" s="25" t="s">
        <v>4273</v>
      </c>
      <c r="J3066" s="25" t="s">
        <v>5546</v>
      </c>
      <c r="K3066" s="25" t="s">
        <v>67</v>
      </c>
      <c r="L3066" s="25" t="s">
        <v>1025</v>
      </c>
      <c r="M3066" s="20" t="s">
        <v>5577</v>
      </c>
      <c r="N3066" s="20" t="s">
        <v>5578</v>
      </c>
      <c r="O3066" s="20" t="s">
        <v>56</v>
      </c>
      <c r="P3066" s="20" t="s">
        <v>52</v>
      </c>
      <c r="Q3066" s="22"/>
      <c r="R3066" s="22"/>
      <c r="S3066" s="22"/>
      <c r="T3066" s="22"/>
      <c r="U3066" s="26"/>
      <c r="V3066" s="26"/>
      <c r="W3066" s="20"/>
      <c r="X3066" s="20"/>
      <c r="Y3066" s="20"/>
      <c r="Z3066" s="20"/>
      <c r="AA3066" s="20"/>
      <c r="AB3066" s="20"/>
      <c r="AC3066" s="20"/>
      <c r="AD3066" s="20"/>
      <c r="AE3066" s="20"/>
    </row>
    <row r="3067">
      <c r="A3067" s="21">
        <v>68.0</v>
      </c>
      <c r="B3067" s="20" t="s">
        <v>1293</v>
      </c>
      <c r="C3067" s="20" t="s">
        <v>6164</v>
      </c>
      <c r="I3067" s="25" t="s">
        <v>692</v>
      </c>
      <c r="J3067" s="25" t="s">
        <v>5546</v>
      </c>
      <c r="K3067" s="25" t="s">
        <v>67</v>
      </c>
      <c r="L3067" s="25" t="s">
        <v>1025</v>
      </c>
      <c r="M3067" s="20" t="s">
        <v>5579</v>
      </c>
      <c r="N3067" s="20" t="s">
        <v>5580</v>
      </c>
      <c r="O3067" s="20" t="s">
        <v>56</v>
      </c>
      <c r="P3067" s="20" t="s">
        <v>52</v>
      </c>
      <c r="Q3067" s="22"/>
      <c r="R3067" s="22"/>
      <c r="S3067" s="22"/>
      <c r="T3067" s="22"/>
      <c r="U3067" s="26"/>
      <c r="V3067" s="26"/>
      <c r="W3067" s="20"/>
      <c r="X3067" s="20"/>
      <c r="Y3067" s="20"/>
      <c r="Z3067" s="20"/>
      <c r="AA3067" s="20"/>
      <c r="AB3067" s="20"/>
      <c r="AC3067" s="20"/>
      <c r="AD3067" s="20"/>
      <c r="AE3067" s="20"/>
    </row>
    <row r="3068">
      <c r="A3068" s="21">
        <v>68.0</v>
      </c>
      <c r="B3068" s="20" t="s">
        <v>1293</v>
      </c>
      <c r="C3068" s="20" t="s">
        <v>6164</v>
      </c>
      <c r="I3068" s="25" t="s">
        <v>672</v>
      </c>
      <c r="J3068" s="25" t="s">
        <v>5546</v>
      </c>
      <c r="K3068" s="25" t="s">
        <v>67</v>
      </c>
      <c r="L3068" s="25" t="s">
        <v>1025</v>
      </c>
      <c r="M3068" s="20" t="s">
        <v>843</v>
      </c>
      <c r="N3068" s="20" t="s">
        <v>5581</v>
      </c>
      <c r="O3068" s="20" t="s">
        <v>56</v>
      </c>
      <c r="P3068" s="20" t="s">
        <v>52</v>
      </c>
      <c r="Q3068" s="22"/>
      <c r="R3068" s="22"/>
      <c r="S3068" s="22"/>
      <c r="T3068" s="22"/>
      <c r="U3068" s="26"/>
      <c r="V3068" s="26"/>
      <c r="W3068" s="20"/>
      <c r="X3068" s="20"/>
      <c r="Y3068" s="20"/>
      <c r="Z3068" s="20"/>
      <c r="AA3068" s="20"/>
      <c r="AB3068" s="20"/>
      <c r="AC3068" s="20"/>
      <c r="AD3068" s="20"/>
      <c r="AE3068" s="20"/>
    </row>
    <row r="3069">
      <c r="A3069" s="21">
        <v>68.0</v>
      </c>
      <c r="B3069" s="20" t="s">
        <v>1293</v>
      </c>
      <c r="C3069" s="20" t="s">
        <v>6164</v>
      </c>
      <c r="I3069" s="25" t="s">
        <v>570</v>
      </c>
      <c r="J3069" s="25" t="s">
        <v>5546</v>
      </c>
      <c r="K3069" s="25" t="s">
        <v>67</v>
      </c>
      <c r="L3069" s="25" t="s">
        <v>1025</v>
      </c>
      <c r="M3069" s="20" t="s">
        <v>817</v>
      </c>
      <c r="N3069" s="20" t="s">
        <v>5582</v>
      </c>
      <c r="O3069" s="20" t="s">
        <v>56</v>
      </c>
      <c r="P3069" s="20" t="s">
        <v>52</v>
      </c>
      <c r="Q3069" s="22"/>
      <c r="R3069" s="22"/>
      <c r="S3069" s="22"/>
      <c r="T3069" s="22"/>
      <c r="U3069" s="26"/>
      <c r="V3069" s="26"/>
      <c r="W3069" s="20"/>
      <c r="X3069" s="20"/>
      <c r="Y3069" s="20"/>
      <c r="Z3069" s="20"/>
      <c r="AA3069" s="20"/>
      <c r="AB3069" s="20"/>
      <c r="AC3069" s="20"/>
      <c r="AD3069" s="20"/>
      <c r="AE3069" s="20"/>
    </row>
    <row r="3070">
      <c r="A3070" s="21">
        <v>68.0</v>
      </c>
      <c r="B3070" s="20" t="s">
        <v>1293</v>
      </c>
      <c r="C3070" s="20" t="s">
        <v>6164</v>
      </c>
      <c r="I3070" s="25" t="s">
        <v>3528</v>
      </c>
      <c r="J3070" s="25" t="s">
        <v>5546</v>
      </c>
      <c r="K3070" s="25" t="s">
        <v>71</v>
      </c>
      <c r="L3070" s="25" t="s">
        <v>6202</v>
      </c>
      <c r="M3070" s="20" t="s">
        <v>4460</v>
      </c>
      <c r="N3070" s="20" t="s">
        <v>5716</v>
      </c>
      <c r="O3070" s="20" t="s">
        <v>56</v>
      </c>
      <c r="P3070" s="20" t="s">
        <v>52</v>
      </c>
      <c r="Q3070" s="22"/>
      <c r="R3070" s="22"/>
      <c r="S3070" s="22"/>
      <c r="T3070" s="20"/>
      <c r="U3070" s="26"/>
      <c r="V3070" s="26"/>
      <c r="W3070" s="20"/>
      <c r="X3070" s="20"/>
      <c r="Y3070" s="20"/>
      <c r="Z3070" s="20"/>
      <c r="AA3070" s="20"/>
      <c r="AB3070" s="20"/>
      <c r="AC3070" s="20"/>
      <c r="AD3070" s="20"/>
      <c r="AE3070" s="20"/>
    </row>
    <row r="3071">
      <c r="A3071" s="21">
        <v>68.0</v>
      </c>
      <c r="B3071" s="20" t="s">
        <v>1293</v>
      </c>
      <c r="C3071" s="20" t="s">
        <v>6164</v>
      </c>
      <c r="I3071" s="25" t="s">
        <v>3295</v>
      </c>
      <c r="J3071" s="25" t="s">
        <v>5546</v>
      </c>
      <c r="K3071" s="25" t="s">
        <v>71</v>
      </c>
      <c r="L3071" s="25" t="s">
        <v>6202</v>
      </c>
      <c r="M3071" s="20" t="s">
        <v>4106</v>
      </c>
      <c r="N3071" s="20" t="s">
        <v>5717</v>
      </c>
      <c r="O3071" s="20" t="s">
        <v>56</v>
      </c>
      <c r="P3071" s="20" t="s">
        <v>52</v>
      </c>
      <c r="Q3071" s="22"/>
      <c r="R3071" s="22"/>
      <c r="S3071" s="22"/>
      <c r="T3071" s="20"/>
      <c r="U3071" s="26"/>
      <c r="V3071" s="26"/>
      <c r="W3071" s="20"/>
      <c r="X3071" s="20"/>
      <c r="Y3071" s="20"/>
      <c r="Z3071" s="20"/>
      <c r="AA3071" s="20"/>
      <c r="AB3071" s="20"/>
      <c r="AC3071" s="20"/>
      <c r="AD3071" s="20"/>
      <c r="AE3071" s="20"/>
    </row>
    <row r="3072">
      <c r="A3072" s="21">
        <v>68.0</v>
      </c>
      <c r="B3072" s="20" t="s">
        <v>1293</v>
      </c>
      <c r="C3072" s="20" t="s">
        <v>6164</v>
      </c>
      <c r="I3072" s="25" t="s">
        <v>2878</v>
      </c>
      <c r="J3072" s="25" t="s">
        <v>5546</v>
      </c>
      <c r="K3072" s="25" t="s">
        <v>71</v>
      </c>
      <c r="L3072" s="25" t="s">
        <v>6205</v>
      </c>
      <c r="M3072" s="20" t="s">
        <v>4818</v>
      </c>
      <c r="N3072" s="20" t="s">
        <v>5719</v>
      </c>
      <c r="O3072" s="20" t="s">
        <v>56</v>
      </c>
      <c r="P3072" s="20" t="s">
        <v>52</v>
      </c>
      <c r="Q3072" s="22"/>
      <c r="R3072" s="22"/>
      <c r="S3072" s="22"/>
      <c r="T3072" s="20"/>
      <c r="U3072" s="26"/>
      <c r="V3072" s="26"/>
      <c r="W3072" s="20"/>
      <c r="X3072" s="20"/>
      <c r="Y3072" s="20"/>
      <c r="Z3072" s="20"/>
      <c r="AA3072" s="20"/>
      <c r="AB3072" s="20"/>
      <c r="AC3072" s="20"/>
      <c r="AD3072" s="20"/>
      <c r="AE3072" s="20"/>
    </row>
    <row r="3073">
      <c r="A3073" s="21">
        <v>68.0</v>
      </c>
      <c r="B3073" s="20" t="s">
        <v>1293</v>
      </c>
      <c r="C3073" s="20" t="s">
        <v>6164</v>
      </c>
      <c r="I3073" s="25" t="s">
        <v>1716</v>
      </c>
      <c r="J3073" s="25" t="s">
        <v>5546</v>
      </c>
      <c r="K3073" s="25" t="s">
        <v>71</v>
      </c>
      <c r="L3073" s="25" t="s">
        <v>6202</v>
      </c>
      <c r="M3073" s="20" t="s">
        <v>1717</v>
      </c>
      <c r="N3073" s="20" t="s">
        <v>5720</v>
      </c>
      <c r="O3073" s="20" t="s">
        <v>56</v>
      </c>
      <c r="P3073" s="20" t="s">
        <v>52</v>
      </c>
      <c r="Q3073" s="22"/>
      <c r="R3073" s="22"/>
      <c r="S3073" s="22"/>
      <c r="T3073" s="20"/>
      <c r="U3073" s="26"/>
      <c r="V3073" s="26"/>
      <c r="W3073" s="20"/>
      <c r="X3073" s="20"/>
      <c r="Y3073" s="20"/>
      <c r="Z3073" s="20"/>
      <c r="AA3073" s="20"/>
      <c r="AB3073" s="20"/>
      <c r="AC3073" s="20"/>
      <c r="AD3073" s="20"/>
      <c r="AE3073" s="20"/>
    </row>
    <row r="3074">
      <c r="A3074" s="21">
        <v>68.0</v>
      </c>
      <c r="B3074" s="20" t="s">
        <v>1293</v>
      </c>
      <c r="C3074" s="20" t="s">
        <v>6164</v>
      </c>
      <c r="I3074" s="25" t="s">
        <v>1701</v>
      </c>
      <c r="J3074" s="25" t="s">
        <v>5589</v>
      </c>
      <c r="K3074" s="25" t="s">
        <v>71</v>
      </c>
      <c r="L3074" s="25" t="s">
        <v>6202</v>
      </c>
      <c r="M3074" s="20" t="s">
        <v>5206</v>
      </c>
      <c r="N3074" s="20" t="s">
        <v>5809</v>
      </c>
      <c r="O3074" s="20" t="s">
        <v>56</v>
      </c>
      <c r="P3074" s="20" t="s">
        <v>52</v>
      </c>
      <c r="Q3074" s="22"/>
      <c r="R3074" s="22"/>
      <c r="S3074" s="22"/>
      <c r="T3074" s="20"/>
      <c r="U3074" s="26"/>
      <c r="V3074" s="26"/>
      <c r="W3074" s="20"/>
      <c r="X3074" s="20"/>
      <c r="Y3074" s="20"/>
      <c r="Z3074" s="20"/>
      <c r="AA3074" s="20"/>
      <c r="AB3074" s="20"/>
      <c r="AC3074" s="20"/>
      <c r="AD3074" s="20"/>
      <c r="AE3074" s="20"/>
    </row>
    <row r="3075">
      <c r="A3075" s="21">
        <v>68.0</v>
      </c>
      <c r="B3075" s="20" t="s">
        <v>1293</v>
      </c>
      <c r="C3075" s="20" t="s">
        <v>6164</v>
      </c>
      <c r="I3075" s="25" t="s">
        <v>3450</v>
      </c>
      <c r="J3075" s="25" t="s">
        <v>5546</v>
      </c>
      <c r="K3075" s="25" t="s">
        <v>71</v>
      </c>
      <c r="L3075" s="25" t="s">
        <v>6202</v>
      </c>
      <c r="M3075" s="20" t="s">
        <v>3536</v>
      </c>
      <c r="N3075" s="20" t="s">
        <v>5721</v>
      </c>
      <c r="O3075" s="20" t="s">
        <v>56</v>
      </c>
      <c r="P3075" s="20" t="s">
        <v>52</v>
      </c>
      <c r="Q3075" s="22"/>
      <c r="R3075" s="22"/>
      <c r="S3075" s="22"/>
      <c r="T3075" s="20"/>
      <c r="U3075" s="26"/>
      <c r="V3075" s="26"/>
      <c r="W3075" s="20"/>
      <c r="X3075" s="20"/>
      <c r="Y3075" s="20"/>
      <c r="Z3075" s="20"/>
      <c r="AA3075" s="20"/>
      <c r="AB3075" s="20"/>
      <c r="AC3075" s="20"/>
      <c r="AD3075" s="20"/>
      <c r="AE3075" s="20"/>
    </row>
    <row r="3076">
      <c r="A3076" s="21">
        <v>68.0</v>
      </c>
      <c r="B3076" s="20" t="s">
        <v>1293</v>
      </c>
      <c r="C3076" s="20" t="s">
        <v>6164</v>
      </c>
      <c r="I3076" s="25" t="s">
        <v>3059</v>
      </c>
      <c r="J3076" s="25" t="s">
        <v>5546</v>
      </c>
      <c r="K3076" s="25" t="s">
        <v>71</v>
      </c>
      <c r="L3076" s="25" t="s">
        <v>6202</v>
      </c>
      <c r="M3076" s="20" t="s">
        <v>5722</v>
      </c>
      <c r="N3076" s="20" t="s">
        <v>5723</v>
      </c>
      <c r="O3076" s="20" t="s">
        <v>56</v>
      </c>
      <c r="P3076" s="20" t="s">
        <v>52</v>
      </c>
      <c r="Q3076" s="22"/>
      <c r="R3076" s="22"/>
      <c r="S3076" s="22"/>
      <c r="T3076" s="20"/>
      <c r="U3076" s="26"/>
      <c r="V3076" s="26"/>
      <c r="W3076" s="20"/>
      <c r="X3076" s="20"/>
      <c r="Y3076" s="20"/>
      <c r="Z3076" s="20"/>
      <c r="AA3076" s="20"/>
      <c r="AB3076" s="20"/>
      <c r="AC3076" s="20"/>
      <c r="AD3076" s="20"/>
      <c r="AE3076" s="20"/>
    </row>
    <row r="3077">
      <c r="A3077" s="21">
        <v>68.0</v>
      </c>
      <c r="B3077" s="20" t="s">
        <v>1293</v>
      </c>
      <c r="C3077" s="20" t="s">
        <v>6164</v>
      </c>
      <c r="I3077" s="25" t="s">
        <v>724</v>
      </c>
      <c r="J3077" s="25" t="s">
        <v>5546</v>
      </c>
      <c r="K3077" s="25" t="s">
        <v>67</v>
      </c>
      <c r="L3077" s="25" t="s">
        <v>1025</v>
      </c>
      <c r="M3077" s="20" t="s">
        <v>1626</v>
      </c>
      <c r="N3077" s="20" t="s">
        <v>5583</v>
      </c>
      <c r="O3077" s="20" t="s">
        <v>56</v>
      </c>
      <c r="P3077" s="20" t="s">
        <v>52</v>
      </c>
      <c r="Q3077" s="22"/>
      <c r="R3077" s="22"/>
      <c r="S3077" s="22"/>
      <c r="T3077" s="22"/>
      <c r="U3077" s="26"/>
      <c r="V3077" s="26"/>
      <c r="W3077" s="20"/>
      <c r="X3077" s="20"/>
      <c r="Y3077" s="20"/>
      <c r="Z3077" s="20"/>
      <c r="AA3077" s="20"/>
      <c r="AB3077" s="20"/>
      <c r="AC3077" s="20"/>
      <c r="AD3077" s="20"/>
      <c r="AE3077" s="20"/>
    </row>
    <row r="3078">
      <c r="A3078" s="21">
        <v>68.0</v>
      </c>
      <c r="B3078" s="20" t="s">
        <v>1293</v>
      </c>
      <c r="C3078" s="20" t="s">
        <v>6164</v>
      </c>
      <c r="I3078" s="25" t="s">
        <v>1714</v>
      </c>
      <c r="J3078" s="25" t="s">
        <v>5546</v>
      </c>
      <c r="K3078" s="25" t="s">
        <v>71</v>
      </c>
      <c r="L3078" s="25" t="s">
        <v>6202</v>
      </c>
      <c r="M3078" s="20" t="s">
        <v>4467</v>
      </c>
      <c r="N3078" s="20" t="s">
        <v>4468</v>
      </c>
      <c r="O3078" s="20" t="s">
        <v>56</v>
      </c>
      <c r="P3078" s="20" t="s">
        <v>52</v>
      </c>
      <c r="Q3078" s="22"/>
      <c r="R3078" s="22"/>
      <c r="S3078" s="22"/>
      <c r="T3078" s="20"/>
      <c r="U3078" s="26"/>
      <c r="V3078" s="26"/>
      <c r="W3078" s="20"/>
      <c r="X3078" s="20"/>
      <c r="Y3078" s="20"/>
      <c r="Z3078" s="20"/>
      <c r="AA3078" s="20"/>
      <c r="AB3078" s="20"/>
      <c r="AC3078" s="20"/>
      <c r="AD3078" s="20"/>
      <c r="AE3078" s="20"/>
    </row>
    <row r="3079">
      <c r="A3079" s="21">
        <v>68.0</v>
      </c>
      <c r="B3079" s="20" t="s">
        <v>1293</v>
      </c>
      <c r="C3079" s="20" t="s">
        <v>6164</v>
      </c>
      <c r="I3079" s="25" t="s">
        <v>731</v>
      </c>
      <c r="J3079" s="25" t="s">
        <v>5546</v>
      </c>
      <c r="K3079" s="25" t="s">
        <v>67</v>
      </c>
      <c r="L3079" s="25" t="s">
        <v>1025</v>
      </c>
      <c r="M3079" s="20" t="s">
        <v>4079</v>
      </c>
      <c r="N3079" s="20" t="s">
        <v>5583</v>
      </c>
      <c r="O3079" s="20" t="s">
        <v>56</v>
      </c>
      <c r="P3079" s="20" t="s">
        <v>52</v>
      </c>
      <c r="Q3079" s="22"/>
      <c r="R3079" s="22"/>
      <c r="S3079" s="22"/>
      <c r="T3079" s="22"/>
      <c r="U3079" s="26"/>
      <c r="V3079" s="26"/>
      <c r="W3079" s="20"/>
      <c r="X3079" s="20"/>
      <c r="Y3079" s="20"/>
      <c r="Z3079" s="20"/>
      <c r="AA3079" s="20"/>
      <c r="AB3079" s="20"/>
      <c r="AC3079" s="20"/>
      <c r="AD3079" s="20"/>
      <c r="AE3079" s="20"/>
    </row>
    <row r="3080">
      <c r="A3080" s="21">
        <v>68.0</v>
      </c>
      <c r="B3080" s="20" t="s">
        <v>1293</v>
      </c>
      <c r="C3080" s="20" t="s">
        <v>6164</v>
      </c>
      <c r="I3080" s="25" t="s">
        <v>212</v>
      </c>
      <c r="J3080" s="25" t="s">
        <v>5546</v>
      </c>
      <c r="K3080" s="25" t="s">
        <v>71</v>
      </c>
      <c r="L3080" s="25" t="s">
        <v>6203</v>
      </c>
      <c r="M3080" s="20" t="s">
        <v>5724</v>
      </c>
      <c r="N3080" s="20" t="s">
        <v>5725</v>
      </c>
      <c r="O3080" s="20" t="s">
        <v>56</v>
      </c>
      <c r="P3080" s="20" t="s">
        <v>52</v>
      </c>
      <c r="Q3080" s="22"/>
      <c r="R3080" s="22"/>
      <c r="S3080" s="22"/>
      <c r="T3080" s="20"/>
      <c r="U3080" s="26"/>
      <c r="V3080" s="26"/>
      <c r="W3080" s="20"/>
      <c r="X3080" s="20"/>
      <c r="Y3080" s="20"/>
      <c r="Z3080" s="20"/>
      <c r="AA3080" s="20"/>
      <c r="AB3080" s="20"/>
      <c r="AC3080" s="20"/>
      <c r="AD3080" s="20"/>
      <c r="AE3080" s="20"/>
    </row>
    <row r="3081">
      <c r="A3081" s="21">
        <v>68.0</v>
      </c>
      <c r="B3081" s="20" t="s">
        <v>1293</v>
      </c>
      <c r="C3081" s="20" t="s">
        <v>6164</v>
      </c>
      <c r="I3081" s="25" t="s">
        <v>544</v>
      </c>
      <c r="J3081" s="25" t="s">
        <v>5546</v>
      </c>
      <c r="K3081" s="25" t="s">
        <v>67</v>
      </c>
      <c r="L3081" s="25" t="s">
        <v>1025</v>
      </c>
      <c r="M3081" s="20" t="s">
        <v>4390</v>
      </c>
      <c r="N3081" s="20" t="s">
        <v>5583</v>
      </c>
      <c r="O3081" s="20" t="s">
        <v>56</v>
      </c>
      <c r="P3081" s="20" t="s">
        <v>52</v>
      </c>
      <c r="Q3081" s="22"/>
      <c r="R3081" s="22"/>
      <c r="S3081" s="22"/>
      <c r="T3081" s="22"/>
      <c r="U3081" s="26"/>
      <c r="V3081" s="26"/>
      <c r="W3081" s="20"/>
      <c r="X3081" s="20"/>
      <c r="Y3081" s="20"/>
      <c r="Z3081" s="20"/>
      <c r="AA3081" s="20"/>
      <c r="AB3081" s="20"/>
      <c r="AC3081" s="20"/>
      <c r="AD3081" s="20"/>
      <c r="AE3081" s="20"/>
    </row>
    <row r="3082">
      <c r="A3082" s="21">
        <v>68.0</v>
      </c>
      <c r="B3082" s="20" t="s">
        <v>1293</v>
      </c>
      <c r="C3082" s="20" t="s">
        <v>6164</v>
      </c>
      <c r="I3082" s="25" t="s">
        <v>403</v>
      </c>
      <c r="J3082" s="25" t="s">
        <v>5546</v>
      </c>
      <c r="K3082" s="25" t="s">
        <v>67</v>
      </c>
      <c r="L3082" s="25" t="s">
        <v>1025</v>
      </c>
      <c r="M3082" s="20" t="s">
        <v>5584</v>
      </c>
      <c r="N3082" s="20" t="s">
        <v>5583</v>
      </c>
      <c r="O3082" s="20" t="s">
        <v>56</v>
      </c>
      <c r="P3082" s="20" t="s">
        <v>52</v>
      </c>
      <c r="Q3082" s="22"/>
      <c r="R3082" s="22"/>
      <c r="S3082" s="22"/>
      <c r="T3082" s="22"/>
      <c r="U3082" s="26"/>
      <c r="V3082" s="26"/>
      <c r="W3082" s="20"/>
      <c r="X3082" s="20"/>
      <c r="Y3082" s="20"/>
      <c r="Z3082" s="20"/>
      <c r="AA3082" s="20"/>
      <c r="AB3082" s="20"/>
      <c r="AC3082" s="20"/>
      <c r="AD3082" s="20"/>
      <c r="AE3082" s="20"/>
    </row>
    <row r="3083">
      <c r="A3083" s="21">
        <v>68.0</v>
      </c>
      <c r="B3083" s="20" t="s">
        <v>1293</v>
      </c>
      <c r="C3083" s="20" t="s">
        <v>6164</v>
      </c>
      <c r="I3083" s="25" t="s">
        <v>1356</v>
      </c>
      <c r="J3083" s="25" t="s">
        <v>5546</v>
      </c>
      <c r="K3083" s="25" t="s">
        <v>71</v>
      </c>
      <c r="L3083" s="25" t="s">
        <v>6202</v>
      </c>
      <c r="M3083" s="20" t="s">
        <v>4458</v>
      </c>
      <c r="N3083" s="20" t="s">
        <v>4459</v>
      </c>
      <c r="O3083" s="20" t="s">
        <v>56</v>
      </c>
      <c r="P3083" s="20" t="s">
        <v>52</v>
      </c>
      <c r="Q3083" s="22"/>
      <c r="R3083" s="22"/>
      <c r="S3083" s="22"/>
      <c r="T3083" s="20"/>
      <c r="U3083" s="26"/>
      <c r="V3083" s="26"/>
      <c r="W3083" s="20"/>
      <c r="X3083" s="20"/>
      <c r="Y3083" s="20"/>
      <c r="Z3083" s="20"/>
      <c r="AA3083" s="20"/>
      <c r="AB3083" s="20"/>
      <c r="AC3083" s="20"/>
      <c r="AD3083" s="20"/>
      <c r="AE3083" s="20"/>
    </row>
    <row r="3084">
      <c r="A3084" s="21">
        <v>68.0</v>
      </c>
      <c r="B3084" s="20" t="s">
        <v>1293</v>
      </c>
      <c r="C3084" s="20" t="s">
        <v>6164</v>
      </c>
      <c r="I3084" s="25" t="s">
        <v>4890</v>
      </c>
      <c r="J3084" s="25" t="s">
        <v>5546</v>
      </c>
      <c r="K3084" s="25" t="s">
        <v>67</v>
      </c>
      <c r="L3084" s="25" t="s">
        <v>1025</v>
      </c>
      <c r="M3084" s="20" t="s">
        <v>5585</v>
      </c>
      <c r="N3084" s="20" t="s">
        <v>5586</v>
      </c>
      <c r="O3084" s="20" t="s">
        <v>56</v>
      </c>
      <c r="P3084" s="20" t="s">
        <v>52</v>
      </c>
      <c r="Q3084" s="22"/>
      <c r="R3084" s="22"/>
      <c r="S3084" s="22"/>
      <c r="T3084" s="22"/>
      <c r="U3084" s="26"/>
      <c r="V3084" s="26"/>
      <c r="W3084" s="20"/>
      <c r="X3084" s="20"/>
      <c r="Y3084" s="20"/>
      <c r="Z3084" s="20"/>
      <c r="AA3084" s="20"/>
      <c r="AB3084" s="20"/>
      <c r="AC3084" s="20"/>
      <c r="AD3084" s="20"/>
      <c r="AE3084" s="20"/>
    </row>
    <row r="3085">
      <c r="A3085" s="21">
        <v>69.0</v>
      </c>
      <c r="B3085" s="20" t="s">
        <v>1738</v>
      </c>
      <c r="C3085" s="20" t="s">
        <v>6164</v>
      </c>
      <c r="D3085" s="35">
        <v>100.0</v>
      </c>
      <c r="E3085" s="35">
        <v>3.0</v>
      </c>
      <c r="F3085" s="35">
        <v>4.0</v>
      </c>
      <c r="G3085" s="35">
        <v>93.0</v>
      </c>
      <c r="H3085" s="36" t="s">
        <v>6209</v>
      </c>
      <c r="I3085" s="25" t="s">
        <v>4493</v>
      </c>
      <c r="J3085" s="25" t="s">
        <v>5813</v>
      </c>
      <c r="K3085" s="25" t="s">
        <v>57</v>
      </c>
      <c r="L3085" s="25" t="s">
        <v>6210</v>
      </c>
      <c r="M3085" s="20" t="s">
        <v>61</v>
      </c>
      <c r="N3085" s="20" t="s">
        <v>5334</v>
      </c>
      <c r="O3085" s="20" t="s">
        <v>63</v>
      </c>
      <c r="P3085" s="20"/>
      <c r="Q3085" s="22"/>
      <c r="R3085" s="22"/>
      <c r="S3085" s="22"/>
      <c r="T3085" s="20"/>
      <c r="U3085" s="26"/>
      <c r="V3085" s="26"/>
      <c r="W3085" s="20"/>
      <c r="X3085" s="20"/>
      <c r="Y3085" s="20"/>
      <c r="Z3085" s="20"/>
      <c r="AA3085" s="20"/>
      <c r="AB3085" s="20"/>
      <c r="AC3085" s="20"/>
      <c r="AD3085" s="20"/>
      <c r="AE3085" s="20"/>
    </row>
    <row r="3086">
      <c r="A3086" s="21">
        <v>69.0</v>
      </c>
      <c r="B3086" s="20" t="s">
        <v>1738</v>
      </c>
      <c r="C3086" s="20" t="s">
        <v>6164</v>
      </c>
      <c r="I3086" s="25" t="s">
        <v>1732</v>
      </c>
      <c r="J3086" s="25" t="s">
        <v>5814</v>
      </c>
      <c r="K3086" s="25" t="s">
        <v>57</v>
      </c>
      <c r="L3086" s="25" t="s">
        <v>6211</v>
      </c>
      <c r="M3086" s="20" t="s">
        <v>1733</v>
      </c>
      <c r="N3086" s="20" t="s">
        <v>4875</v>
      </c>
      <c r="O3086" s="20" t="s">
        <v>63</v>
      </c>
      <c r="P3086" s="20"/>
      <c r="Q3086" s="22"/>
      <c r="R3086" s="22"/>
      <c r="S3086" s="22"/>
      <c r="T3086" s="20"/>
      <c r="U3086" s="26"/>
      <c r="V3086" s="26"/>
      <c r="W3086" s="20"/>
      <c r="X3086" s="20"/>
      <c r="Y3086" s="20"/>
      <c r="Z3086" s="20"/>
      <c r="AA3086" s="20"/>
      <c r="AB3086" s="20"/>
      <c r="AC3086" s="20"/>
      <c r="AD3086" s="20"/>
      <c r="AE3086" s="20"/>
    </row>
    <row r="3087">
      <c r="A3087" s="21">
        <v>69.0</v>
      </c>
      <c r="B3087" s="20" t="s">
        <v>1738</v>
      </c>
      <c r="C3087" s="20" t="s">
        <v>6164</v>
      </c>
      <c r="I3087" s="25" t="s">
        <v>96</v>
      </c>
      <c r="J3087" s="25" t="s">
        <v>5815</v>
      </c>
      <c r="K3087" s="25" t="s">
        <v>57</v>
      </c>
      <c r="L3087" s="25" t="s">
        <v>6212</v>
      </c>
      <c r="M3087" s="20" t="s">
        <v>4877</v>
      </c>
      <c r="N3087" s="20" t="s">
        <v>4878</v>
      </c>
      <c r="O3087" s="20" t="s">
        <v>63</v>
      </c>
      <c r="P3087" s="20"/>
      <c r="Q3087" s="22"/>
      <c r="R3087" s="22"/>
      <c r="S3087" s="22"/>
      <c r="T3087" s="20"/>
      <c r="U3087" s="26"/>
      <c r="V3087" s="26"/>
      <c r="W3087" s="20"/>
      <c r="X3087" s="20"/>
      <c r="Y3087" s="20"/>
      <c r="Z3087" s="20"/>
      <c r="AA3087" s="20"/>
      <c r="AB3087" s="20"/>
      <c r="AC3087" s="20"/>
      <c r="AD3087" s="20"/>
      <c r="AE3087" s="20"/>
    </row>
    <row r="3088">
      <c r="A3088" s="21">
        <v>69.0</v>
      </c>
      <c r="B3088" s="20" t="s">
        <v>1738</v>
      </c>
      <c r="C3088" s="20" t="s">
        <v>6164</v>
      </c>
      <c r="I3088" s="25" t="s">
        <v>444</v>
      </c>
      <c r="J3088" s="25" t="s">
        <v>5813</v>
      </c>
      <c r="K3088" s="25" t="s">
        <v>67</v>
      </c>
      <c r="L3088" s="25" t="s">
        <v>6213</v>
      </c>
      <c r="M3088" s="20" t="s">
        <v>4503</v>
      </c>
      <c r="N3088" s="20" t="s">
        <v>4791</v>
      </c>
      <c r="O3088" s="20" t="s">
        <v>63</v>
      </c>
      <c r="P3088" s="20"/>
      <c r="Q3088" s="22"/>
      <c r="R3088" s="22"/>
      <c r="S3088" s="22"/>
      <c r="T3088" s="20"/>
      <c r="U3088" s="26"/>
      <c r="V3088" s="26"/>
      <c r="W3088" s="20"/>
      <c r="X3088" s="20"/>
      <c r="Y3088" s="20"/>
      <c r="Z3088" s="20"/>
      <c r="AA3088" s="20"/>
      <c r="AB3088" s="20"/>
      <c r="AC3088" s="20"/>
      <c r="AD3088" s="20"/>
      <c r="AE3088" s="20"/>
    </row>
    <row r="3089">
      <c r="A3089" s="21">
        <v>69.0</v>
      </c>
      <c r="B3089" s="20" t="s">
        <v>1738</v>
      </c>
      <c r="C3089" s="20" t="s">
        <v>6164</v>
      </c>
      <c r="I3089" s="25" t="s">
        <v>4771</v>
      </c>
      <c r="J3089" s="25" t="s">
        <v>5813</v>
      </c>
      <c r="K3089" s="25" t="s">
        <v>67</v>
      </c>
      <c r="L3089" s="25" t="s">
        <v>6214</v>
      </c>
      <c r="M3089" s="20" t="s">
        <v>4772</v>
      </c>
      <c r="N3089" s="20" t="s">
        <v>4773</v>
      </c>
      <c r="O3089" s="20" t="s">
        <v>63</v>
      </c>
      <c r="P3089" s="20"/>
      <c r="Q3089" s="22"/>
      <c r="R3089" s="22"/>
      <c r="S3089" s="22"/>
      <c r="T3089" s="20"/>
      <c r="U3089" s="26"/>
      <c r="V3089" s="26"/>
      <c r="W3089" s="20"/>
      <c r="X3089" s="20"/>
      <c r="Y3089" s="20"/>
      <c r="Z3089" s="20"/>
      <c r="AA3089" s="20"/>
      <c r="AB3089" s="20"/>
      <c r="AC3089" s="20"/>
      <c r="AD3089" s="20"/>
      <c r="AE3089" s="20"/>
    </row>
    <row r="3090">
      <c r="A3090" s="21">
        <v>69.0</v>
      </c>
      <c r="B3090" s="20" t="s">
        <v>1738</v>
      </c>
      <c r="C3090" s="20" t="s">
        <v>6164</v>
      </c>
      <c r="I3090" s="25" t="s">
        <v>457</v>
      </c>
      <c r="J3090" s="25" t="s">
        <v>5816</v>
      </c>
      <c r="K3090" s="25" t="s">
        <v>71</v>
      </c>
      <c r="L3090" s="25" t="s">
        <v>5074</v>
      </c>
      <c r="M3090" s="20" t="s">
        <v>4789</v>
      </c>
      <c r="N3090" s="20" t="s">
        <v>4790</v>
      </c>
      <c r="O3090" s="20" t="s">
        <v>63</v>
      </c>
      <c r="P3090" s="20"/>
      <c r="Q3090" s="22"/>
      <c r="R3090" s="22"/>
      <c r="S3090" s="22"/>
      <c r="T3090" s="20"/>
      <c r="U3090" s="26"/>
      <c r="V3090" s="26"/>
      <c r="W3090" s="20"/>
      <c r="X3090" s="20"/>
      <c r="Y3090" s="20"/>
      <c r="Z3090" s="20"/>
      <c r="AA3090" s="20"/>
      <c r="AB3090" s="20"/>
      <c r="AC3090" s="20"/>
      <c r="AD3090" s="20"/>
      <c r="AE3090" s="20"/>
    </row>
    <row r="3091">
      <c r="A3091" s="21">
        <v>69.0</v>
      </c>
      <c r="B3091" s="20" t="s">
        <v>1738</v>
      </c>
      <c r="C3091" s="20" t="s">
        <v>6164</v>
      </c>
      <c r="I3091" s="25" t="s">
        <v>833</v>
      </c>
      <c r="J3091" s="25" t="s">
        <v>5813</v>
      </c>
      <c r="K3091" s="25" t="s">
        <v>71</v>
      </c>
      <c r="L3091" s="25" t="s">
        <v>5078</v>
      </c>
      <c r="M3091" s="20" t="s">
        <v>5825</v>
      </c>
      <c r="N3091" s="20" t="s">
        <v>5826</v>
      </c>
      <c r="O3091" s="20" t="s">
        <v>63</v>
      </c>
      <c r="P3091" s="20"/>
      <c r="Q3091" s="22"/>
      <c r="R3091" s="22"/>
      <c r="S3091" s="22"/>
      <c r="T3091" s="20"/>
      <c r="U3091" s="26"/>
      <c r="V3091" s="26"/>
      <c r="W3091" s="20"/>
      <c r="X3091" s="20"/>
      <c r="Y3091" s="20"/>
      <c r="Z3091" s="20"/>
      <c r="AA3091" s="20"/>
      <c r="AB3091" s="20"/>
      <c r="AC3091" s="20"/>
      <c r="AD3091" s="20"/>
      <c r="AE3091" s="20"/>
    </row>
    <row r="3092">
      <c r="A3092" s="21">
        <v>69.0</v>
      </c>
      <c r="B3092" s="20" t="s">
        <v>1738</v>
      </c>
      <c r="C3092" s="20" t="s">
        <v>6164</v>
      </c>
      <c r="I3092" s="25" t="s">
        <v>101</v>
      </c>
      <c r="J3092" s="25" t="s">
        <v>5853</v>
      </c>
      <c r="K3092" s="25" t="s">
        <v>71</v>
      </c>
      <c r="L3092" s="25" t="s">
        <v>5074</v>
      </c>
      <c r="M3092" s="20" t="s">
        <v>3197</v>
      </c>
      <c r="N3092" s="20" t="s">
        <v>4518</v>
      </c>
      <c r="O3092" s="20" t="s">
        <v>63</v>
      </c>
      <c r="P3092" s="20"/>
      <c r="Q3092" s="22"/>
      <c r="R3092" s="22"/>
      <c r="S3092" s="22"/>
      <c r="T3092" s="20"/>
      <c r="U3092" s="26"/>
      <c r="V3092" s="26"/>
      <c r="W3092" s="20"/>
      <c r="X3092" s="20"/>
      <c r="Y3092" s="20"/>
      <c r="Z3092" s="20"/>
      <c r="AA3092" s="20"/>
      <c r="AB3092" s="20"/>
      <c r="AC3092" s="20"/>
      <c r="AD3092" s="20"/>
      <c r="AE3092" s="20"/>
    </row>
    <row r="3093">
      <c r="A3093" s="21">
        <v>69.0</v>
      </c>
      <c r="B3093" s="20" t="s">
        <v>1738</v>
      </c>
      <c r="C3093" s="20" t="s">
        <v>6164</v>
      </c>
      <c r="I3093" s="25" t="s">
        <v>107</v>
      </c>
      <c r="J3093" s="25" t="s">
        <v>5815</v>
      </c>
      <c r="K3093" s="25" t="s">
        <v>71</v>
      </c>
      <c r="L3093" s="25" t="s">
        <v>5074</v>
      </c>
      <c r="M3093" s="20" t="s">
        <v>4873</v>
      </c>
      <c r="N3093" s="20" t="s">
        <v>4874</v>
      </c>
      <c r="O3093" s="20" t="s">
        <v>63</v>
      </c>
      <c r="P3093" s="20"/>
      <c r="Q3093" s="22"/>
      <c r="R3093" s="22"/>
      <c r="S3093" s="22"/>
      <c r="T3093" s="20"/>
      <c r="U3093" s="26"/>
      <c r="V3093" s="26"/>
      <c r="W3093" s="20"/>
      <c r="X3093" s="20"/>
      <c r="Y3093" s="20"/>
      <c r="Z3093" s="20"/>
      <c r="AA3093" s="20"/>
      <c r="AB3093" s="20"/>
      <c r="AC3093" s="20"/>
      <c r="AD3093" s="20"/>
      <c r="AE3093" s="20"/>
    </row>
    <row r="3094">
      <c r="A3094" s="21">
        <v>69.0</v>
      </c>
      <c r="B3094" s="20" t="s">
        <v>1738</v>
      </c>
      <c r="C3094" s="20" t="s">
        <v>6164</v>
      </c>
      <c r="I3094" s="25" t="s">
        <v>109</v>
      </c>
      <c r="J3094" s="25" t="s">
        <v>5853</v>
      </c>
      <c r="K3094" s="25" t="s">
        <v>71</v>
      </c>
      <c r="L3094" s="25" t="s">
        <v>5074</v>
      </c>
      <c r="M3094" s="20" t="s">
        <v>110</v>
      </c>
      <c r="N3094" s="20" t="s">
        <v>111</v>
      </c>
      <c r="O3094" s="20" t="s">
        <v>63</v>
      </c>
      <c r="P3094" s="20"/>
      <c r="Q3094" s="22"/>
      <c r="R3094" s="22"/>
      <c r="S3094" s="22"/>
      <c r="T3094" s="20"/>
      <c r="U3094" s="26"/>
      <c r="V3094" s="26"/>
      <c r="W3094" s="20"/>
      <c r="X3094" s="20"/>
      <c r="Y3094" s="20"/>
      <c r="Z3094" s="20"/>
      <c r="AA3094" s="20"/>
      <c r="AB3094" s="20"/>
      <c r="AC3094" s="20"/>
      <c r="AD3094" s="20"/>
      <c r="AE3094" s="20"/>
    </row>
    <row r="3095">
      <c r="A3095" s="21">
        <v>69.0</v>
      </c>
      <c r="B3095" s="20" t="s">
        <v>1738</v>
      </c>
      <c r="C3095" s="20" t="s">
        <v>6164</v>
      </c>
      <c r="I3095" s="25" t="s">
        <v>3068</v>
      </c>
      <c r="J3095" s="25" t="s">
        <v>5816</v>
      </c>
      <c r="K3095" s="25" t="s">
        <v>67</v>
      </c>
      <c r="L3095" s="25" t="s">
        <v>1133</v>
      </c>
      <c r="M3095" s="20" t="s">
        <v>4464</v>
      </c>
      <c r="N3095" s="20" t="s">
        <v>5817</v>
      </c>
      <c r="O3095" s="20" t="s">
        <v>56</v>
      </c>
      <c r="P3095" s="20" t="s">
        <v>52</v>
      </c>
      <c r="Q3095" s="22"/>
      <c r="R3095" s="22"/>
      <c r="S3095" s="22"/>
      <c r="T3095" s="22"/>
      <c r="U3095" s="26"/>
      <c r="V3095" s="26"/>
      <c r="W3095" s="20"/>
      <c r="X3095" s="20"/>
      <c r="Y3095" s="20"/>
      <c r="Z3095" s="20"/>
      <c r="AA3095" s="20"/>
      <c r="AB3095" s="20"/>
      <c r="AC3095" s="20"/>
      <c r="AD3095" s="20"/>
      <c r="AE3095" s="20"/>
    </row>
    <row r="3096">
      <c r="A3096" s="21">
        <v>69.0</v>
      </c>
      <c r="B3096" s="20" t="s">
        <v>1738</v>
      </c>
      <c r="C3096" s="20" t="s">
        <v>6164</v>
      </c>
      <c r="I3096" s="25" t="s">
        <v>4500</v>
      </c>
      <c r="J3096" s="25" t="s">
        <v>5816</v>
      </c>
      <c r="K3096" s="25" t="s">
        <v>71</v>
      </c>
      <c r="L3096" s="25" t="s">
        <v>6215</v>
      </c>
      <c r="M3096" s="20" t="s">
        <v>61</v>
      </c>
      <c r="N3096" s="20" t="s">
        <v>4651</v>
      </c>
      <c r="O3096" s="20" t="s">
        <v>63</v>
      </c>
      <c r="P3096" s="20"/>
      <c r="Q3096" s="22"/>
      <c r="R3096" s="22"/>
      <c r="S3096" s="22"/>
      <c r="T3096" s="20"/>
      <c r="U3096" s="26"/>
      <c r="V3096" s="26"/>
      <c r="W3096" s="20"/>
      <c r="X3096" s="20"/>
      <c r="Y3096" s="20"/>
      <c r="Z3096" s="20"/>
      <c r="AA3096" s="20"/>
      <c r="AB3096" s="20"/>
      <c r="AC3096" s="20"/>
      <c r="AD3096" s="20"/>
      <c r="AE3096" s="20"/>
    </row>
    <row r="3097">
      <c r="A3097" s="21">
        <v>69.0</v>
      </c>
      <c r="B3097" s="20" t="s">
        <v>1738</v>
      </c>
      <c r="C3097" s="20" t="s">
        <v>6164</v>
      </c>
      <c r="I3097" s="25" t="s">
        <v>94</v>
      </c>
      <c r="J3097" s="25" t="s">
        <v>5816</v>
      </c>
      <c r="K3097" s="25" t="s">
        <v>71</v>
      </c>
      <c r="L3097" s="25" t="s">
        <v>5074</v>
      </c>
      <c r="M3097" s="20" t="s">
        <v>61</v>
      </c>
      <c r="N3097" s="20" t="s">
        <v>5823</v>
      </c>
      <c r="O3097" s="20" t="s">
        <v>56</v>
      </c>
      <c r="P3097" s="20"/>
      <c r="Q3097" s="22"/>
      <c r="R3097" s="22"/>
      <c r="S3097" s="22"/>
      <c r="T3097" s="20"/>
      <c r="U3097" s="26"/>
      <c r="V3097" s="26"/>
      <c r="W3097" s="20"/>
      <c r="X3097" s="20"/>
      <c r="Y3097" s="20"/>
      <c r="Z3097" s="20"/>
      <c r="AA3097" s="20"/>
      <c r="AB3097" s="20"/>
      <c r="AC3097" s="20"/>
      <c r="AD3097" s="20"/>
      <c r="AE3097" s="20"/>
    </row>
    <row r="3098">
      <c r="A3098" s="21">
        <v>69.0</v>
      </c>
      <c r="B3098" s="20" t="s">
        <v>1738</v>
      </c>
      <c r="C3098" s="20" t="s">
        <v>6164</v>
      </c>
      <c r="I3098" s="25" t="s">
        <v>50</v>
      </c>
      <c r="J3098" s="25" t="s">
        <v>5815</v>
      </c>
      <c r="K3098" s="25" t="s">
        <v>71</v>
      </c>
      <c r="L3098" s="25" t="s">
        <v>5074</v>
      </c>
      <c r="M3098" s="20" t="s">
        <v>61</v>
      </c>
      <c r="N3098" s="20" t="s">
        <v>4871</v>
      </c>
      <c r="O3098" s="20" t="s">
        <v>63</v>
      </c>
      <c r="P3098" s="20"/>
      <c r="Q3098" s="22"/>
      <c r="R3098" s="22"/>
      <c r="S3098" s="22"/>
      <c r="T3098" s="20"/>
      <c r="U3098" s="26"/>
      <c r="V3098" s="26"/>
      <c r="W3098" s="20"/>
      <c r="X3098" s="20"/>
      <c r="Y3098" s="20"/>
      <c r="Z3098" s="20"/>
      <c r="AA3098" s="20"/>
      <c r="AB3098" s="20"/>
      <c r="AC3098" s="20"/>
      <c r="AD3098" s="20"/>
      <c r="AE3098" s="20"/>
    </row>
    <row r="3099">
      <c r="A3099" s="21">
        <v>69.0</v>
      </c>
      <c r="B3099" s="20" t="s">
        <v>1738</v>
      </c>
      <c r="C3099" s="20" t="s">
        <v>6164</v>
      </c>
      <c r="I3099" s="25" t="s">
        <v>1103</v>
      </c>
      <c r="J3099" s="25" t="s">
        <v>5813</v>
      </c>
      <c r="K3099" s="25" t="s">
        <v>71</v>
      </c>
      <c r="L3099" s="25" t="s">
        <v>5078</v>
      </c>
      <c r="M3099" s="20" t="s">
        <v>4786</v>
      </c>
      <c r="N3099" s="20" t="s">
        <v>4787</v>
      </c>
      <c r="O3099" s="20" t="s">
        <v>63</v>
      </c>
      <c r="P3099" s="20"/>
      <c r="Q3099" s="22"/>
      <c r="R3099" s="22"/>
      <c r="S3099" s="22"/>
      <c r="T3099" s="20"/>
      <c r="U3099" s="26"/>
      <c r="V3099" s="26"/>
      <c r="W3099" s="20"/>
      <c r="X3099" s="20"/>
      <c r="Y3099" s="20"/>
      <c r="Z3099" s="20"/>
      <c r="AA3099" s="20"/>
      <c r="AB3099" s="20"/>
      <c r="AC3099" s="20"/>
      <c r="AD3099" s="20"/>
      <c r="AE3099" s="20"/>
    </row>
    <row r="3100">
      <c r="A3100" s="21">
        <v>69.0</v>
      </c>
      <c r="B3100" s="20" t="s">
        <v>1738</v>
      </c>
      <c r="C3100" s="20" t="s">
        <v>6164</v>
      </c>
      <c r="I3100" s="25" t="s">
        <v>3543</v>
      </c>
      <c r="J3100" s="25" t="s">
        <v>5853</v>
      </c>
      <c r="K3100" s="25" t="s">
        <v>71</v>
      </c>
      <c r="L3100" s="25" t="s">
        <v>6215</v>
      </c>
      <c r="M3100" s="20" t="s">
        <v>61</v>
      </c>
      <c r="N3100" s="20" t="s">
        <v>4859</v>
      </c>
      <c r="O3100" s="20" t="s">
        <v>63</v>
      </c>
      <c r="P3100" s="20"/>
      <c r="Q3100" s="22"/>
      <c r="R3100" s="22"/>
      <c r="S3100" s="22"/>
      <c r="T3100" s="20"/>
      <c r="U3100" s="26"/>
      <c r="V3100" s="26"/>
      <c r="W3100" s="20"/>
      <c r="X3100" s="20"/>
      <c r="Y3100" s="20"/>
      <c r="Z3100" s="20"/>
      <c r="AA3100" s="20"/>
      <c r="AB3100" s="20"/>
      <c r="AC3100" s="20"/>
      <c r="AD3100" s="20"/>
      <c r="AE3100" s="20"/>
    </row>
    <row r="3101">
      <c r="A3101" s="21">
        <v>69.0</v>
      </c>
      <c r="B3101" s="20" t="s">
        <v>1738</v>
      </c>
      <c r="C3101" s="20" t="s">
        <v>6164</v>
      </c>
      <c r="I3101" s="25" t="s">
        <v>53</v>
      </c>
      <c r="J3101" s="25" t="s">
        <v>5816</v>
      </c>
      <c r="K3101" s="25" t="s">
        <v>71</v>
      </c>
      <c r="L3101" s="25" t="s">
        <v>6216</v>
      </c>
      <c r="M3101" s="20" t="s">
        <v>4531</v>
      </c>
      <c r="N3101" s="20" t="s">
        <v>4532</v>
      </c>
      <c r="O3101" s="20" t="s">
        <v>63</v>
      </c>
      <c r="P3101" s="20" t="s">
        <v>52</v>
      </c>
      <c r="Q3101" s="22"/>
      <c r="R3101" s="22"/>
      <c r="S3101" s="22"/>
      <c r="T3101" s="20"/>
      <c r="U3101" s="26"/>
      <c r="V3101" s="26"/>
      <c r="W3101" s="20"/>
      <c r="X3101" s="20"/>
      <c r="Y3101" s="20"/>
      <c r="Z3101" s="20"/>
      <c r="AA3101" s="20"/>
      <c r="AB3101" s="20"/>
      <c r="AC3101" s="20"/>
      <c r="AD3101" s="20"/>
      <c r="AE3101" s="20"/>
    </row>
    <row r="3102">
      <c r="A3102" s="21">
        <v>69.0</v>
      </c>
      <c r="B3102" s="20" t="s">
        <v>1738</v>
      </c>
      <c r="C3102" s="20" t="s">
        <v>6164</v>
      </c>
      <c r="I3102" s="25" t="s">
        <v>91</v>
      </c>
      <c r="J3102" s="25" t="s">
        <v>5815</v>
      </c>
      <c r="K3102" s="25" t="s">
        <v>71</v>
      </c>
      <c r="L3102" s="25" t="s">
        <v>6217</v>
      </c>
      <c r="M3102" s="20" t="s">
        <v>92</v>
      </c>
      <c r="N3102" s="20" t="s">
        <v>93</v>
      </c>
      <c r="O3102" s="20" t="s">
        <v>63</v>
      </c>
      <c r="P3102" s="20" t="s">
        <v>52</v>
      </c>
      <c r="Q3102" s="22"/>
      <c r="R3102" s="22"/>
      <c r="S3102" s="22"/>
      <c r="T3102" s="20"/>
      <c r="U3102" s="26"/>
      <c r="V3102" s="26"/>
      <c r="W3102" s="20"/>
      <c r="X3102" s="20"/>
      <c r="Y3102" s="20"/>
      <c r="Z3102" s="20"/>
      <c r="AA3102" s="20"/>
      <c r="AB3102" s="20"/>
      <c r="AC3102" s="20"/>
      <c r="AD3102" s="20"/>
      <c r="AE3102" s="20"/>
    </row>
    <row r="3103">
      <c r="A3103" s="21">
        <v>69.0</v>
      </c>
      <c r="B3103" s="20" t="s">
        <v>1738</v>
      </c>
      <c r="C3103" s="20" t="s">
        <v>6164</v>
      </c>
      <c r="I3103" s="25" t="s">
        <v>140</v>
      </c>
      <c r="J3103" s="25" t="s">
        <v>5853</v>
      </c>
      <c r="K3103" s="25" t="s">
        <v>71</v>
      </c>
      <c r="L3103" s="25" t="s">
        <v>6218</v>
      </c>
      <c r="M3103" s="20" t="s">
        <v>141</v>
      </c>
      <c r="N3103" s="20" t="s">
        <v>4872</v>
      </c>
      <c r="O3103" s="20" t="s">
        <v>63</v>
      </c>
      <c r="P3103" s="20" t="s">
        <v>52</v>
      </c>
      <c r="Q3103" s="22"/>
      <c r="R3103" s="22"/>
      <c r="S3103" s="22"/>
      <c r="T3103" s="20"/>
      <c r="U3103" s="26"/>
      <c r="V3103" s="26"/>
      <c r="W3103" s="20"/>
      <c r="X3103" s="20"/>
      <c r="Y3103" s="20"/>
      <c r="Z3103" s="20"/>
      <c r="AA3103" s="20"/>
      <c r="AB3103" s="20"/>
      <c r="AC3103" s="20"/>
      <c r="AD3103" s="20"/>
      <c r="AE3103" s="20"/>
    </row>
    <row r="3104">
      <c r="A3104" s="21">
        <v>69.0</v>
      </c>
      <c r="B3104" s="20" t="s">
        <v>1738</v>
      </c>
      <c r="C3104" s="20" t="s">
        <v>6164</v>
      </c>
      <c r="I3104" s="25" t="s">
        <v>64</v>
      </c>
      <c r="J3104" s="25" t="s">
        <v>5813</v>
      </c>
      <c r="K3104" s="25" t="s">
        <v>71</v>
      </c>
      <c r="L3104" s="25" t="s">
        <v>6216</v>
      </c>
      <c r="M3104" s="20" t="s">
        <v>4779</v>
      </c>
      <c r="N3104" s="20" t="s">
        <v>4780</v>
      </c>
      <c r="O3104" s="20" t="s">
        <v>63</v>
      </c>
      <c r="P3104" s="20" t="s">
        <v>52</v>
      </c>
      <c r="Q3104" s="22"/>
      <c r="R3104" s="22"/>
      <c r="S3104" s="22"/>
      <c r="T3104" s="20"/>
      <c r="U3104" s="26"/>
      <c r="V3104" s="26"/>
      <c r="W3104" s="20"/>
      <c r="X3104" s="20"/>
      <c r="Y3104" s="20"/>
      <c r="Z3104" s="20"/>
      <c r="AA3104" s="20"/>
      <c r="AB3104" s="20"/>
      <c r="AC3104" s="20"/>
      <c r="AD3104" s="20"/>
      <c r="AE3104" s="20"/>
    </row>
    <row r="3105">
      <c r="A3105" s="21">
        <v>69.0</v>
      </c>
      <c r="B3105" s="20" t="s">
        <v>1738</v>
      </c>
      <c r="C3105" s="20" t="s">
        <v>6164</v>
      </c>
      <c r="I3105" s="25" t="s">
        <v>201</v>
      </c>
      <c r="J3105" s="25" t="s">
        <v>5816</v>
      </c>
      <c r="K3105" s="25" t="s">
        <v>71</v>
      </c>
      <c r="L3105" s="25" t="s">
        <v>6218</v>
      </c>
      <c r="M3105" s="20" t="s">
        <v>4498</v>
      </c>
      <c r="N3105" s="20" t="s">
        <v>4927</v>
      </c>
      <c r="O3105" s="20" t="s">
        <v>63</v>
      </c>
      <c r="P3105" s="20" t="s">
        <v>52</v>
      </c>
      <c r="Q3105" s="22"/>
      <c r="R3105" s="22"/>
      <c r="S3105" s="22"/>
      <c r="T3105" s="20"/>
      <c r="U3105" s="26"/>
      <c r="V3105" s="26"/>
      <c r="W3105" s="20"/>
      <c r="X3105" s="20"/>
      <c r="Y3105" s="20"/>
      <c r="Z3105" s="20"/>
      <c r="AA3105" s="20"/>
      <c r="AB3105" s="20"/>
      <c r="AC3105" s="20"/>
      <c r="AD3105" s="20"/>
      <c r="AE3105" s="20"/>
    </row>
    <row r="3106">
      <c r="A3106" s="21">
        <v>69.0</v>
      </c>
      <c r="B3106" s="20" t="s">
        <v>1738</v>
      </c>
      <c r="C3106" s="20" t="s">
        <v>6164</v>
      </c>
      <c r="I3106" s="25" t="s">
        <v>2895</v>
      </c>
      <c r="J3106" s="25" t="s">
        <v>5816</v>
      </c>
      <c r="K3106" s="25" t="s">
        <v>67</v>
      </c>
      <c r="L3106" s="25" t="s">
        <v>1025</v>
      </c>
      <c r="M3106" s="20" t="s">
        <v>2896</v>
      </c>
      <c r="N3106" s="20" t="s">
        <v>5820</v>
      </c>
      <c r="O3106" s="20" t="s">
        <v>56</v>
      </c>
      <c r="P3106" s="20" t="s">
        <v>52</v>
      </c>
      <c r="Q3106" s="22"/>
      <c r="R3106" s="22"/>
      <c r="S3106" s="22"/>
      <c r="T3106" s="22"/>
      <c r="U3106" s="26"/>
      <c r="V3106" s="26"/>
      <c r="W3106" s="20"/>
      <c r="X3106" s="20"/>
      <c r="Y3106" s="20"/>
      <c r="Z3106" s="20"/>
      <c r="AA3106" s="20"/>
      <c r="AB3106" s="20"/>
      <c r="AC3106" s="20"/>
      <c r="AD3106" s="20"/>
      <c r="AE3106" s="20"/>
    </row>
    <row r="3107">
      <c r="A3107" s="21">
        <v>69.0</v>
      </c>
      <c r="B3107" s="20" t="s">
        <v>1738</v>
      </c>
      <c r="C3107" s="20" t="s">
        <v>6164</v>
      </c>
      <c r="I3107" s="25" t="s">
        <v>186</v>
      </c>
      <c r="J3107" s="25" t="s">
        <v>5813</v>
      </c>
      <c r="K3107" s="25" t="s">
        <v>71</v>
      </c>
      <c r="L3107" s="25" t="s">
        <v>6218</v>
      </c>
      <c r="M3107" s="20" t="s">
        <v>4777</v>
      </c>
      <c r="N3107" s="20" t="s">
        <v>4778</v>
      </c>
      <c r="O3107" s="20" t="s">
        <v>63</v>
      </c>
      <c r="P3107" s="20" t="s">
        <v>52</v>
      </c>
      <c r="Q3107" s="22"/>
      <c r="R3107" s="22"/>
      <c r="S3107" s="22"/>
      <c r="T3107" s="20"/>
      <c r="U3107" s="26"/>
      <c r="V3107" s="26"/>
      <c r="W3107" s="20"/>
      <c r="X3107" s="20"/>
      <c r="Y3107" s="20"/>
      <c r="Z3107" s="20"/>
      <c r="AA3107" s="20"/>
      <c r="AB3107" s="20"/>
      <c r="AC3107" s="20"/>
      <c r="AD3107" s="20"/>
      <c r="AE3107" s="20"/>
    </row>
    <row r="3108">
      <c r="A3108" s="21">
        <v>69.0</v>
      </c>
      <c r="B3108" s="20" t="s">
        <v>1738</v>
      </c>
      <c r="C3108" s="20" t="s">
        <v>6164</v>
      </c>
      <c r="I3108" s="25" t="s">
        <v>160</v>
      </c>
      <c r="J3108" s="25" t="s">
        <v>5816</v>
      </c>
      <c r="K3108" s="25" t="s">
        <v>71</v>
      </c>
      <c r="L3108" s="25" t="s">
        <v>6217</v>
      </c>
      <c r="M3108" s="20" t="s">
        <v>61</v>
      </c>
      <c r="N3108" s="20" t="s">
        <v>4760</v>
      </c>
      <c r="O3108" s="20" t="s">
        <v>63</v>
      </c>
      <c r="P3108" s="20" t="s">
        <v>52</v>
      </c>
      <c r="Q3108" s="22"/>
      <c r="R3108" s="22"/>
      <c r="S3108" s="22"/>
      <c r="T3108" s="20"/>
      <c r="U3108" s="26"/>
      <c r="V3108" s="26"/>
      <c r="W3108" s="20"/>
      <c r="X3108" s="20"/>
      <c r="Y3108" s="20"/>
      <c r="Z3108" s="20"/>
      <c r="AA3108" s="20"/>
      <c r="AB3108" s="20"/>
      <c r="AC3108" s="20"/>
      <c r="AD3108" s="20"/>
      <c r="AE3108" s="20"/>
    </row>
    <row r="3109">
      <c r="A3109" s="21">
        <v>69.0</v>
      </c>
      <c r="B3109" s="20" t="s">
        <v>1738</v>
      </c>
      <c r="C3109" s="20" t="s">
        <v>6164</v>
      </c>
      <c r="I3109" s="25" t="s">
        <v>60</v>
      </c>
      <c r="J3109" s="25" t="s">
        <v>5813</v>
      </c>
      <c r="K3109" s="25" t="s">
        <v>71</v>
      </c>
      <c r="L3109" s="25" t="s">
        <v>6218</v>
      </c>
      <c r="M3109" s="20" t="s">
        <v>61</v>
      </c>
      <c r="N3109" s="20" t="s">
        <v>4119</v>
      </c>
      <c r="O3109" s="20" t="s">
        <v>63</v>
      </c>
      <c r="P3109" s="20" t="s">
        <v>52</v>
      </c>
      <c r="Q3109" s="22"/>
      <c r="R3109" s="22"/>
      <c r="S3109" s="22"/>
      <c r="T3109" s="20"/>
      <c r="U3109" s="26"/>
      <c r="V3109" s="26"/>
      <c r="W3109" s="20"/>
      <c r="X3109" s="20"/>
      <c r="Y3109" s="20"/>
      <c r="Z3109" s="20"/>
      <c r="AA3109" s="20"/>
      <c r="AB3109" s="20"/>
      <c r="AC3109" s="20"/>
      <c r="AD3109" s="20"/>
      <c r="AE3109" s="20"/>
    </row>
    <row r="3110">
      <c r="A3110" s="21">
        <v>69.0</v>
      </c>
      <c r="B3110" s="20" t="s">
        <v>1738</v>
      </c>
      <c r="C3110" s="20" t="s">
        <v>6164</v>
      </c>
      <c r="I3110" s="25" t="s">
        <v>78</v>
      </c>
      <c r="J3110" s="25" t="s">
        <v>5816</v>
      </c>
      <c r="K3110" s="25" t="s">
        <v>71</v>
      </c>
      <c r="L3110" s="25" t="s">
        <v>6216</v>
      </c>
      <c r="M3110" s="20" t="s">
        <v>4547</v>
      </c>
      <c r="N3110" s="20" t="s">
        <v>4548</v>
      </c>
      <c r="O3110" s="20" t="s">
        <v>63</v>
      </c>
      <c r="P3110" s="20" t="s">
        <v>52</v>
      </c>
      <c r="Q3110" s="22"/>
      <c r="R3110" s="22"/>
      <c r="S3110" s="22"/>
      <c r="T3110" s="20"/>
      <c r="U3110" s="26"/>
      <c r="V3110" s="26"/>
      <c r="W3110" s="20"/>
      <c r="X3110" s="20"/>
      <c r="Y3110" s="20"/>
      <c r="Z3110" s="20"/>
      <c r="AA3110" s="20"/>
      <c r="AB3110" s="20"/>
      <c r="AC3110" s="20"/>
      <c r="AD3110" s="20"/>
      <c r="AE3110" s="20"/>
    </row>
    <row r="3111">
      <c r="A3111" s="21">
        <v>69.0</v>
      </c>
      <c r="B3111" s="20" t="s">
        <v>1738</v>
      </c>
      <c r="C3111" s="20" t="s">
        <v>6164</v>
      </c>
      <c r="I3111" s="25" t="s">
        <v>1690</v>
      </c>
      <c r="J3111" s="25" t="s">
        <v>5813</v>
      </c>
      <c r="K3111" s="25" t="s">
        <v>71</v>
      </c>
      <c r="L3111" s="25" t="s">
        <v>6218</v>
      </c>
      <c r="M3111" s="20" t="s">
        <v>1691</v>
      </c>
      <c r="N3111" s="20" t="s">
        <v>4520</v>
      </c>
      <c r="O3111" s="20" t="s">
        <v>63</v>
      </c>
      <c r="P3111" s="20" t="s">
        <v>52</v>
      </c>
      <c r="Q3111" s="22"/>
      <c r="R3111" s="22"/>
      <c r="S3111" s="22"/>
      <c r="T3111" s="20"/>
      <c r="U3111" s="26"/>
      <c r="V3111" s="26"/>
      <c r="W3111" s="20"/>
      <c r="X3111" s="20"/>
      <c r="Y3111" s="20"/>
      <c r="Z3111" s="20"/>
      <c r="AA3111" s="20"/>
      <c r="AB3111" s="20"/>
      <c r="AC3111" s="20"/>
      <c r="AD3111" s="20"/>
      <c r="AE3111" s="20"/>
    </row>
    <row r="3112">
      <c r="A3112" s="21">
        <v>69.0</v>
      </c>
      <c r="B3112" s="20" t="s">
        <v>1738</v>
      </c>
      <c r="C3112" s="20" t="s">
        <v>6164</v>
      </c>
      <c r="I3112" s="25" t="s">
        <v>193</v>
      </c>
      <c r="J3112" s="25" t="s">
        <v>5816</v>
      </c>
      <c r="K3112" s="25" t="s">
        <v>71</v>
      </c>
      <c r="L3112" s="25" t="s">
        <v>6218</v>
      </c>
      <c r="M3112" s="20" t="s">
        <v>4743</v>
      </c>
      <c r="N3112" s="20" t="s">
        <v>4744</v>
      </c>
      <c r="O3112" s="20" t="s">
        <v>63</v>
      </c>
      <c r="P3112" s="20" t="s">
        <v>52</v>
      </c>
      <c r="Q3112" s="22"/>
      <c r="R3112" s="22"/>
      <c r="S3112" s="22"/>
      <c r="T3112" s="20"/>
      <c r="U3112" s="26"/>
      <c r="V3112" s="26"/>
      <c r="W3112" s="20"/>
      <c r="X3112" s="20"/>
      <c r="Y3112" s="20"/>
      <c r="Z3112" s="20"/>
      <c r="AA3112" s="20"/>
      <c r="AB3112" s="20"/>
      <c r="AC3112" s="20"/>
      <c r="AD3112" s="20"/>
      <c r="AE3112" s="20"/>
    </row>
    <row r="3113">
      <c r="A3113" s="21">
        <v>69.0</v>
      </c>
      <c r="B3113" s="20" t="s">
        <v>1738</v>
      </c>
      <c r="C3113" s="20" t="s">
        <v>6164</v>
      </c>
      <c r="I3113" s="25" t="s">
        <v>1884</v>
      </c>
      <c r="J3113" s="25" t="s">
        <v>5815</v>
      </c>
      <c r="K3113" s="25" t="s">
        <v>71</v>
      </c>
      <c r="L3113" s="25" t="s">
        <v>6219</v>
      </c>
      <c r="M3113" s="20" t="s">
        <v>61</v>
      </c>
      <c r="N3113" s="20" t="s">
        <v>5612</v>
      </c>
      <c r="O3113" s="20" t="s">
        <v>63</v>
      </c>
      <c r="P3113" s="20" t="s">
        <v>52</v>
      </c>
      <c r="Q3113" s="22"/>
      <c r="R3113" s="22"/>
      <c r="S3113" s="22"/>
      <c r="T3113" s="20"/>
      <c r="U3113" s="26"/>
      <c r="V3113" s="26"/>
      <c r="W3113" s="20"/>
      <c r="X3113" s="20"/>
      <c r="Y3113" s="20"/>
      <c r="Z3113" s="20"/>
      <c r="AA3113" s="20"/>
      <c r="AB3113" s="20"/>
      <c r="AC3113" s="20"/>
      <c r="AD3113" s="20"/>
      <c r="AE3113" s="20"/>
    </row>
    <row r="3114">
      <c r="A3114" s="21">
        <v>69.0</v>
      </c>
      <c r="B3114" s="20" t="s">
        <v>1738</v>
      </c>
      <c r="C3114" s="20" t="s">
        <v>6164</v>
      </c>
      <c r="I3114" s="25" t="s">
        <v>104</v>
      </c>
      <c r="J3114" s="25" t="s">
        <v>5813</v>
      </c>
      <c r="K3114" s="25" t="s">
        <v>71</v>
      </c>
      <c r="L3114" s="25" t="s">
        <v>6216</v>
      </c>
      <c r="M3114" s="20" t="s">
        <v>105</v>
      </c>
      <c r="N3114" s="20" t="s">
        <v>106</v>
      </c>
      <c r="O3114" s="20" t="s">
        <v>63</v>
      </c>
      <c r="P3114" s="20" t="s">
        <v>52</v>
      </c>
      <c r="Q3114" s="22"/>
      <c r="R3114" s="22"/>
      <c r="S3114" s="22"/>
      <c r="T3114" s="20"/>
      <c r="U3114" s="26"/>
      <c r="V3114" s="26"/>
      <c r="W3114" s="20"/>
      <c r="X3114" s="20"/>
      <c r="Y3114" s="20"/>
      <c r="Z3114" s="20"/>
      <c r="AA3114" s="20"/>
      <c r="AB3114" s="20"/>
      <c r="AC3114" s="20"/>
      <c r="AD3114" s="20"/>
      <c r="AE3114" s="20"/>
    </row>
    <row r="3115">
      <c r="A3115" s="21">
        <v>69.0</v>
      </c>
      <c r="B3115" s="20" t="s">
        <v>1738</v>
      </c>
      <c r="C3115" s="20" t="s">
        <v>6164</v>
      </c>
      <c r="I3115" s="25" t="s">
        <v>4604</v>
      </c>
      <c r="J3115" s="25" t="s">
        <v>5816</v>
      </c>
      <c r="K3115" s="25" t="s">
        <v>71</v>
      </c>
      <c r="L3115" s="25" t="s">
        <v>6220</v>
      </c>
      <c r="M3115" s="20" t="s">
        <v>61</v>
      </c>
      <c r="N3115" s="20" t="s">
        <v>4768</v>
      </c>
      <c r="O3115" s="20" t="s">
        <v>63</v>
      </c>
      <c r="P3115" s="20" t="s">
        <v>52</v>
      </c>
      <c r="Q3115" s="22"/>
      <c r="R3115" s="22"/>
      <c r="S3115" s="22"/>
      <c r="T3115" s="20"/>
      <c r="U3115" s="26"/>
      <c r="V3115" s="26"/>
      <c r="W3115" s="20"/>
      <c r="X3115" s="20"/>
      <c r="Y3115" s="20"/>
      <c r="Z3115" s="20"/>
      <c r="AA3115" s="20"/>
      <c r="AB3115" s="20"/>
      <c r="AC3115" s="20"/>
      <c r="AD3115" s="20"/>
      <c r="AE3115" s="20"/>
    </row>
    <row r="3116">
      <c r="A3116" s="21">
        <v>69.0</v>
      </c>
      <c r="B3116" s="20" t="s">
        <v>1738</v>
      </c>
      <c r="C3116" s="20" t="s">
        <v>6164</v>
      </c>
      <c r="I3116" s="25" t="s">
        <v>2750</v>
      </c>
      <c r="J3116" s="25" t="s">
        <v>5813</v>
      </c>
      <c r="K3116" s="25" t="s">
        <v>71</v>
      </c>
      <c r="L3116" s="25" t="s">
        <v>6218</v>
      </c>
      <c r="M3116" s="20" t="s">
        <v>2751</v>
      </c>
      <c r="N3116" s="20" t="s">
        <v>2752</v>
      </c>
      <c r="O3116" s="20" t="s">
        <v>63</v>
      </c>
      <c r="P3116" s="20" t="s">
        <v>52</v>
      </c>
      <c r="Q3116" s="22"/>
      <c r="R3116" s="22"/>
      <c r="S3116" s="22"/>
      <c r="T3116" s="20"/>
      <c r="U3116" s="26"/>
      <c r="V3116" s="26"/>
      <c r="W3116" s="20"/>
      <c r="X3116" s="20"/>
      <c r="Y3116" s="20"/>
      <c r="Z3116" s="20"/>
      <c r="AA3116" s="20"/>
      <c r="AB3116" s="20"/>
      <c r="AC3116" s="20"/>
      <c r="AD3116" s="20"/>
      <c r="AE3116" s="20"/>
    </row>
    <row r="3117">
      <c r="A3117" s="21">
        <v>69.0</v>
      </c>
      <c r="B3117" s="20" t="s">
        <v>1738</v>
      </c>
      <c r="C3117" s="20" t="s">
        <v>6164</v>
      </c>
      <c r="I3117" s="25" t="s">
        <v>4279</v>
      </c>
      <c r="J3117" s="25" t="s">
        <v>5816</v>
      </c>
      <c r="K3117" s="25" t="s">
        <v>71</v>
      </c>
      <c r="L3117" s="25" t="s">
        <v>6216</v>
      </c>
      <c r="M3117" s="20" t="s">
        <v>4750</v>
      </c>
      <c r="N3117" s="20" t="s">
        <v>4751</v>
      </c>
      <c r="O3117" s="20" t="s">
        <v>63</v>
      </c>
      <c r="P3117" s="20" t="s">
        <v>52</v>
      </c>
      <c r="Q3117" s="22"/>
      <c r="R3117" s="22"/>
      <c r="S3117" s="22"/>
      <c r="T3117" s="20"/>
      <c r="U3117" s="26"/>
      <c r="V3117" s="26"/>
      <c r="W3117" s="20"/>
      <c r="X3117" s="20"/>
      <c r="Y3117" s="20"/>
      <c r="Z3117" s="20"/>
      <c r="AA3117" s="20"/>
      <c r="AB3117" s="20"/>
      <c r="AC3117" s="20"/>
      <c r="AD3117" s="20"/>
      <c r="AE3117" s="20"/>
    </row>
    <row r="3118">
      <c r="A3118" s="21">
        <v>69.0</v>
      </c>
      <c r="B3118" s="20" t="s">
        <v>1738</v>
      </c>
      <c r="C3118" s="20" t="s">
        <v>6164</v>
      </c>
      <c r="I3118" s="25" t="s">
        <v>2735</v>
      </c>
      <c r="J3118" s="25" t="s">
        <v>5813</v>
      </c>
      <c r="K3118" s="25" t="s">
        <v>71</v>
      </c>
      <c r="L3118" s="25" t="s">
        <v>6221</v>
      </c>
      <c r="M3118" s="20" t="s">
        <v>4752</v>
      </c>
      <c r="N3118" s="20" t="s">
        <v>4753</v>
      </c>
      <c r="O3118" s="20" t="s">
        <v>63</v>
      </c>
      <c r="P3118" s="20" t="s">
        <v>52</v>
      </c>
      <c r="Q3118" s="22"/>
      <c r="R3118" s="22"/>
      <c r="S3118" s="22"/>
      <c r="T3118" s="20"/>
      <c r="U3118" s="26"/>
      <c r="V3118" s="26"/>
      <c r="W3118" s="20"/>
      <c r="X3118" s="20"/>
      <c r="Y3118" s="20"/>
      <c r="Z3118" s="20"/>
      <c r="AA3118" s="20"/>
      <c r="AB3118" s="20"/>
      <c r="AC3118" s="20"/>
      <c r="AD3118" s="20"/>
      <c r="AE3118" s="20"/>
    </row>
    <row r="3119">
      <c r="A3119" s="21">
        <v>69.0</v>
      </c>
      <c r="B3119" s="20" t="s">
        <v>1738</v>
      </c>
      <c r="C3119" s="20" t="s">
        <v>6164</v>
      </c>
      <c r="I3119" s="25" t="s">
        <v>711</v>
      </c>
      <c r="J3119" s="25" t="s">
        <v>5816</v>
      </c>
      <c r="K3119" s="25" t="s">
        <v>71</v>
      </c>
      <c r="L3119" s="25" t="s">
        <v>6221</v>
      </c>
      <c r="M3119" s="20" t="s">
        <v>4754</v>
      </c>
      <c r="N3119" s="20" t="s">
        <v>4755</v>
      </c>
      <c r="O3119" s="20" t="s">
        <v>63</v>
      </c>
      <c r="P3119" s="20" t="s">
        <v>52</v>
      </c>
      <c r="Q3119" s="22"/>
      <c r="R3119" s="22"/>
      <c r="S3119" s="22"/>
      <c r="T3119" s="20"/>
      <c r="U3119" s="26"/>
      <c r="V3119" s="26"/>
      <c r="W3119" s="20"/>
      <c r="X3119" s="20"/>
      <c r="Y3119" s="20"/>
      <c r="Z3119" s="20"/>
      <c r="AA3119" s="20"/>
      <c r="AB3119" s="20"/>
      <c r="AC3119" s="20"/>
      <c r="AD3119" s="20"/>
      <c r="AE3119" s="20"/>
    </row>
    <row r="3120">
      <c r="A3120" s="21">
        <v>69.0</v>
      </c>
      <c r="B3120" s="20" t="s">
        <v>1738</v>
      </c>
      <c r="C3120" s="20" t="s">
        <v>6164</v>
      </c>
      <c r="I3120" s="25" t="s">
        <v>2753</v>
      </c>
      <c r="J3120" s="25" t="s">
        <v>5813</v>
      </c>
      <c r="K3120" s="25" t="s">
        <v>71</v>
      </c>
      <c r="L3120" s="25" t="s">
        <v>6218</v>
      </c>
      <c r="M3120" s="20" t="s">
        <v>4763</v>
      </c>
      <c r="N3120" s="20" t="s">
        <v>5831</v>
      </c>
      <c r="O3120" s="20" t="s">
        <v>63</v>
      </c>
      <c r="P3120" s="20" t="s">
        <v>52</v>
      </c>
      <c r="Q3120" s="22"/>
      <c r="R3120" s="22"/>
      <c r="S3120" s="22"/>
      <c r="T3120" s="20"/>
      <c r="U3120" s="26"/>
      <c r="V3120" s="26"/>
      <c r="W3120" s="20"/>
      <c r="X3120" s="20"/>
      <c r="Y3120" s="20"/>
      <c r="Z3120" s="20"/>
      <c r="AA3120" s="20"/>
      <c r="AB3120" s="20"/>
      <c r="AC3120" s="20"/>
      <c r="AD3120" s="20"/>
      <c r="AE3120" s="20"/>
    </row>
    <row r="3121">
      <c r="A3121" s="21">
        <v>69.0</v>
      </c>
      <c r="B3121" s="20" t="s">
        <v>1738</v>
      </c>
      <c r="C3121" s="20" t="s">
        <v>6164</v>
      </c>
      <c r="I3121" s="25" t="s">
        <v>2484</v>
      </c>
      <c r="J3121" s="25" t="s">
        <v>5816</v>
      </c>
      <c r="K3121" s="25" t="s">
        <v>71</v>
      </c>
      <c r="L3121" s="25" t="s">
        <v>6222</v>
      </c>
      <c r="M3121" s="20" t="s">
        <v>61</v>
      </c>
      <c r="N3121" s="20" t="s">
        <v>5846</v>
      </c>
      <c r="O3121" s="20" t="s">
        <v>63</v>
      </c>
      <c r="P3121" s="20" t="s">
        <v>52</v>
      </c>
      <c r="Q3121" s="22"/>
      <c r="R3121" s="22"/>
      <c r="S3121" s="22"/>
      <c r="T3121" s="20"/>
      <c r="U3121" s="26"/>
      <c r="V3121" s="26"/>
      <c r="W3121" s="20"/>
      <c r="X3121" s="20"/>
      <c r="Y3121" s="20"/>
      <c r="Z3121" s="20"/>
      <c r="AA3121" s="20"/>
      <c r="AB3121" s="20"/>
      <c r="AC3121" s="20"/>
      <c r="AD3121" s="20"/>
      <c r="AE3121" s="20"/>
    </row>
    <row r="3122">
      <c r="A3122" s="21">
        <v>69.0</v>
      </c>
      <c r="B3122" s="20" t="s">
        <v>1738</v>
      </c>
      <c r="C3122" s="20" t="s">
        <v>6164</v>
      </c>
      <c r="I3122" s="25" t="s">
        <v>2883</v>
      </c>
      <c r="J3122" s="25" t="s">
        <v>5853</v>
      </c>
      <c r="K3122" s="25" t="s">
        <v>71</v>
      </c>
      <c r="L3122" s="25" t="s">
        <v>6216</v>
      </c>
      <c r="M3122" s="20" t="s">
        <v>4115</v>
      </c>
      <c r="N3122" s="20" t="s">
        <v>4870</v>
      </c>
      <c r="O3122" s="20" t="s">
        <v>63</v>
      </c>
      <c r="P3122" s="20" t="s">
        <v>52</v>
      </c>
      <c r="Q3122" s="22"/>
      <c r="R3122" s="22"/>
      <c r="S3122" s="22"/>
      <c r="T3122" s="20"/>
      <c r="U3122" s="26"/>
      <c r="V3122" s="26"/>
      <c r="W3122" s="20"/>
      <c r="X3122" s="20"/>
      <c r="Y3122" s="20"/>
      <c r="Z3122" s="20"/>
      <c r="AA3122" s="20"/>
      <c r="AB3122" s="20"/>
      <c r="AC3122" s="20"/>
      <c r="AD3122" s="20"/>
      <c r="AE3122" s="20"/>
    </row>
    <row r="3123">
      <c r="A3123" s="21">
        <v>69.0</v>
      </c>
      <c r="B3123" s="20" t="s">
        <v>1738</v>
      </c>
      <c r="C3123" s="20" t="s">
        <v>6164</v>
      </c>
      <c r="I3123" s="25" t="s">
        <v>1475</v>
      </c>
      <c r="J3123" s="25" t="s">
        <v>5815</v>
      </c>
      <c r="K3123" s="25" t="s">
        <v>71</v>
      </c>
      <c r="L3123" s="25" t="s">
        <v>6223</v>
      </c>
      <c r="M3123" s="20" t="s">
        <v>5524</v>
      </c>
      <c r="N3123" s="20" t="s">
        <v>5861</v>
      </c>
      <c r="O3123" s="20" t="s">
        <v>63</v>
      </c>
      <c r="P3123" s="20" t="s">
        <v>52</v>
      </c>
      <c r="Q3123" s="22"/>
      <c r="R3123" s="22"/>
      <c r="S3123" s="22"/>
      <c r="T3123" s="20"/>
      <c r="U3123" s="26"/>
      <c r="V3123" s="26"/>
      <c r="W3123" s="20"/>
      <c r="X3123" s="20"/>
      <c r="Y3123" s="20"/>
      <c r="Z3123" s="20"/>
      <c r="AA3123" s="20"/>
      <c r="AB3123" s="20"/>
      <c r="AC3123" s="20"/>
      <c r="AD3123" s="20"/>
      <c r="AE3123" s="20"/>
    </row>
    <row r="3124">
      <c r="A3124" s="21">
        <v>69.0</v>
      </c>
      <c r="B3124" s="20" t="s">
        <v>1738</v>
      </c>
      <c r="C3124" s="20" t="s">
        <v>6164</v>
      </c>
      <c r="I3124" s="25" t="s">
        <v>1729</v>
      </c>
      <c r="J3124" s="25" t="s">
        <v>5813</v>
      </c>
      <c r="K3124" s="25" t="s">
        <v>71</v>
      </c>
      <c r="L3124" s="25" t="s">
        <v>6221</v>
      </c>
      <c r="M3124" s="20" t="s">
        <v>1730</v>
      </c>
      <c r="N3124" s="20" t="s">
        <v>4038</v>
      </c>
      <c r="O3124" s="20" t="s">
        <v>63</v>
      </c>
      <c r="P3124" s="20" t="s">
        <v>52</v>
      </c>
      <c r="Q3124" s="22"/>
      <c r="R3124" s="22"/>
      <c r="S3124" s="22"/>
      <c r="T3124" s="20"/>
      <c r="U3124" s="26"/>
      <c r="V3124" s="26"/>
      <c r="W3124" s="20"/>
      <c r="X3124" s="20"/>
      <c r="Y3124" s="20"/>
      <c r="Z3124" s="20"/>
      <c r="AA3124" s="20"/>
      <c r="AB3124" s="20"/>
      <c r="AC3124" s="20"/>
      <c r="AD3124" s="20"/>
      <c r="AE3124" s="20"/>
    </row>
    <row r="3125">
      <c r="A3125" s="21">
        <v>69.0</v>
      </c>
      <c r="B3125" s="20" t="s">
        <v>1738</v>
      </c>
      <c r="C3125" s="20" t="s">
        <v>6164</v>
      </c>
      <c r="I3125" s="25" t="s">
        <v>4581</v>
      </c>
      <c r="J3125" s="25" t="s">
        <v>5815</v>
      </c>
      <c r="K3125" s="25" t="s">
        <v>71</v>
      </c>
      <c r="L3125" s="25" t="s">
        <v>5950</v>
      </c>
      <c r="M3125" s="20" t="s">
        <v>5862</v>
      </c>
      <c r="N3125" s="20" t="s">
        <v>5863</v>
      </c>
      <c r="O3125" s="20" t="s">
        <v>63</v>
      </c>
      <c r="P3125" s="20" t="s">
        <v>52</v>
      </c>
      <c r="Q3125" s="22"/>
      <c r="R3125" s="22"/>
      <c r="S3125" s="22"/>
      <c r="T3125" s="20"/>
      <c r="U3125" s="26"/>
      <c r="V3125" s="26"/>
      <c r="W3125" s="20"/>
      <c r="X3125" s="20"/>
      <c r="Y3125" s="20"/>
      <c r="Z3125" s="20"/>
      <c r="AA3125" s="20"/>
      <c r="AB3125" s="20"/>
      <c r="AC3125" s="20"/>
      <c r="AD3125" s="20"/>
      <c r="AE3125" s="20"/>
    </row>
    <row r="3126">
      <c r="A3126" s="21">
        <v>69.0</v>
      </c>
      <c r="B3126" s="20" t="s">
        <v>1738</v>
      </c>
      <c r="C3126" s="20" t="s">
        <v>6164</v>
      </c>
      <c r="I3126" s="25" t="s">
        <v>98</v>
      </c>
      <c r="J3126" s="25" t="s">
        <v>5816</v>
      </c>
      <c r="K3126" s="25" t="s">
        <v>71</v>
      </c>
      <c r="L3126" s="25" t="s">
        <v>6180</v>
      </c>
      <c r="M3126" s="20" t="s">
        <v>99</v>
      </c>
      <c r="N3126" s="20" t="s">
        <v>100</v>
      </c>
      <c r="O3126" s="20" t="s">
        <v>63</v>
      </c>
      <c r="P3126" s="20" t="s">
        <v>52</v>
      </c>
      <c r="Q3126" s="22"/>
      <c r="R3126" s="22"/>
      <c r="S3126" s="22"/>
      <c r="T3126" s="20"/>
      <c r="U3126" s="26"/>
      <c r="V3126" s="26"/>
      <c r="W3126" s="20"/>
      <c r="X3126" s="20"/>
      <c r="Y3126" s="20"/>
      <c r="Z3126" s="20"/>
      <c r="AA3126" s="20"/>
      <c r="AB3126" s="20"/>
      <c r="AC3126" s="20"/>
      <c r="AD3126" s="20"/>
      <c r="AE3126" s="20"/>
    </row>
    <row r="3127">
      <c r="A3127" s="21">
        <v>69.0</v>
      </c>
      <c r="B3127" s="20" t="s">
        <v>1738</v>
      </c>
      <c r="C3127" s="20" t="s">
        <v>6164</v>
      </c>
      <c r="I3127" s="25" t="s">
        <v>75</v>
      </c>
      <c r="J3127" s="25" t="s">
        <v>5813</v>
      </c>
      <c r="K3127" s="25" t="s">
        <v>71</v>
      </c>
      <c r="L3127" s="25" t="s">
        <v>6181</v>
      </c>
      <c r="M3127" s="20" t="s">
        <v>76</v>
      </c>
      <c r="N3127" s="20" t="s">
        <v>4807</v>
      </c>
      <c r="O3127" s="20" t="s">
        <v>63</v>
      </c>
      <c r="P3127" s="20" t="s">
        <v>52</v>
      </c>
      <c r="Q3127" s="22"/>
      <c r="R3127" s="22"/>
      <c r="S3127" s="22"/>
      <c r="T3127" s="20"/>
      <c r="U3127" s="26"/>
      <c r="V3127" s="26"/>
      <c r="W3127" s="20"/>
      <c r="X3127" s="20"/>
      <c r="Y3127" s="20"/>
      <c r="Z3127" s="20"/>
      <c r="AA3127" s="20"/>
      <c r="AB3127" s="20"/>
      <c r="AC3127" s="20"/>
      <c r="AD3127" s="20"/>
      <c r="AE3127" s="20"/>
    </row>
    <row r="3128">
      <c r="A3128" s="21">
        <v>69.0</v>
      </c>
      <c r="B3128" s="20" t="s">
        <v>1738</v>
      </c>
      <c r="C3128" s="20" t="s">
        <v>6164</v>
      </c>
      <c r="I3128" s="25" t="s">
        <v>4445</v>
      </c>
      <c r="J3128" s="25" t="s">
        <v>5816</v>
      </c>
      <c r="K3128" s="25" t="s">
        <v>71</v>
      </c>
      <c r="L3128" s="25" t="s">
        <v>6224</v>
      </c>
      <c r="M3128" s="20" t="s">
        <v>4765</v>
      </c>
      <c r="N3128" s="20" t="s">
        <v>4766</v>
      </c>
      <c r="O3128" s="20" t="s">
        <v>63</v>
      </c>
      <c r="P3128" s="20" t="s">
        <v>52</v>
      </c>
      <c r="Q3128" s="22"/>
      <c r="R3128" s="22"/>
      <c r="S3128" s="22"/>
      <c r="T3128" s="20"/>
      <c r="U3128" s="26"/>
      <c r="V3128" s="26"/>
      <c r="W3128" s="20"/>
      <c r="X3128" s="20"/>
      <c r="Y3128" s="20"/>
      <c r="Z3128" s="20"/>
      <c r="AA3128" s="20"/>
      <c r="AB3128" s="20"/>
      <c r="AC3128" s="20"/>
      <c r="AD3128" s="20"/>
      <c r="AE3128" s="20"/>
    </row>
    <row r="3129">
      <c r="A3129" s="21">
        <v>69.0</v>
      </c>
      <c r="B3129" s="20" t="s">
        <v>1738</v>
      </c>
      <c r="C3129" s="20" t="s">
        <v>6164</v>
      </c>
      <c r="I3129" s="25" t="s">
        <v>4868</v>
      </c>
      <c r="J3129" s="25" t="s">
        <v>5853</v>
      </c>
      <c r="K3129" s="25" t="s">
        <v>71</v>
      </c>
      <c r="L3129" s="25" t="s">
        <v>6224</v>
      </c>
      <c r="M3129" s="20" t="s">
        <v>61</v>
      </c>
      <c r="N3129" s="20" t="s">
        <v>4869</v>
      </c>
      <c r="O3129" s="20" t="s">
        <v>63</v>
      </c>
      <c r="P3129" s="20" t="s">
        <v>52</v>
      </c>
      <c r="Q3129" s="22"/>
      <c r="R3129" s="22"/>
      <c r="S3129" s="22"/>
      <c r="T3129" s="20"/>
      <c r="U3129" s="26"/>
      <c r="V3129" s="26"/>
      <c r="W3129" s="20"/>
      <c r="X3129" s="20"/>
      <c r="Y3129" s="20"/>
      <c r="Z3129" s="20"/>
      <c r="AA3129" s="20"/>
      <c r="AB3129" s="20"/>
      <c r="AC3129" s="20"/>
      <c r="AD3129" s="20"/>
      <c r="AE3129" s="20"/>
    </row>
    <row r="3130">
      <c r="A3130" s="21">
        <v>69.0</v>
      </c>
      <c r="B3130" s="20" t="s">
        <v>1738</v>
      </c>
      <c r="C3130" s="20" t="s">
        <v>6164</v>
      </c>
      <c r="I3130" s="25" t="s">
        <v>174</v>
      </c>
      <c r="J3130" s="25" t="s">
        <v>5813</v>
      </c>
      <c r="K3130" s="25" t="s">
        <v>71</v>
      </c>
      <c r="L3130" s="25" t="s">
        <v>6181</v>
      </c>
      <c r="M3130" s="20" t="s">
        <v>5338</v>
      </c>
      <c r="N3130" s="20" t="s">
        <v>5339</v>
      </c>
      <c r="O3130" s="20" t="s">
        <v>63</v>
      </c>
      <c r="P3130" s="20" t="s">
        <v>52</v>
      </c>
      <c r="Q3130" s="22"/>
      <c r="R3130" s="22"/>
      <c r="S3130" s="22"/>
      <c r="T3130" s="20"/>
      <c r="U3130" s="26"/>
      <c r="V3130" s="26"/>
      <c r="W3130" s="20"/>
      <c r="X3130" s="20"/>
      <c r="Y3130" s="20"/>
      <c r="Z3130" s="20"/>
      <c r="AA3130" s="20"/>
      <c r="AB3130" s="20"/>
      <c r="AC3130" s="20"/>
      <c r="AD3130" s="20"/>
      <c r="AE3130" s="20"/>
    </row>
    <row r="3131">
      <c r="A3131" s="21">
        <v>69.0</v>
      </c>
      <c r="B3131" s="20" t="s">
        <v>1738</v>
      </c>
      <c r="C3131" s="20" t="s">
        <v>6164</v>
      </c>
      <c r="I3131" s="25" t="s">
        <v>1293</v>
      </c>
      <c r="J3131" s="25" t="s">
        <v>5816</v>
      </c>
      <c r="K3131" s="25" t="s">
        <v>71</v>
      </c>
      <c r="L3131" s="25" t="s">
        <v>6224</v>
      </c>
      <c r="M3131" s="20" t="s">
        <v>61</v>
      </c>
      <c r="N3131" s="20" t="s">
        <v>4774</v>
      </c>
      <c r="O3131" s="20" t="s">
        <v>63</v>
      </c>
      <c r="P3131" s="20" t="s">
        <v>52</v>
      </c>
      <c r="Q3131" s="22"/>
      <c r="R3131" s="22"/>
      <c r="S3131" s="22"/>
      <c r="T3131" s="20"/>
      <c r="U3131" s="26"/>
      <c r="V3131" s="26"/>
      <c r="W3131" s="20"/>
      <c r="X3131" s="20"/>
      <c r="Y3131" s="20"/>
      <c r="Z3131" s="20"/>
      <c r="AA3131" s="20"/>
      <c r="AB3131" s="20"/>
      <c r="AC3131" s="20"/>
      <c r="AD3131" s="20"/>
      <c r="AE3131" s="20"/>
    </row>
    <row r="3132">
      <c r="A3132" s="21">
        <v>69.0</v>
      </c>
      <c r="B3132" s="20" t="s">
        <v>1738</v>
      </c>
      <c r="C3132" s="20" t="s">
        <v>6164</v>
      </c>
      <c r="I3132" s="25" t="s">
        <v>81</v>
      </c>
      <c r="J3132" s="25" t="s">
        <v>5813</v>
      </c>
      <c r="K3132" s="25" t="s">
        <v>71</v>
      </c>
      <c r="L3132" s="25" t="s">
        <v>5950</v>
      </c>
      <c r="M3132" s="20" t="s">
        <v>4469</v>
      </c>
      <c r="N3132" s="20" t="s">
        <v>4835</v>
      </c>
      <c r="O3132" s="20" t="s">
        <v>63</v>
      </c>
      <c r="P3132" s="20" t="s">
        <v>52</v>
      </c>
      <c r="Q3132" s="22"/>
      <c r="R3132" s="22"/>
      <c r="S3132" s="22"/>
      <c r="T3132" s="20"/>
      <c r="U3132" s="26"/>
      <c r="V3132" s="26"/>
      <c r="W3132" s="20"/>
      <c r="X3132" s="20"/>
      <c r="Y3132" s="20"/>
      <c r="Z3132" s="20"/>
      <c r="AA3132" s="20"/>
      <c r="AB3132" s="20"/>
      <c r="AC3132" s="20"/>
      <c r="AD3132" s="20"/>
      <c r="AE3132" s="20"/>
    </row>
    <row r="3133">
      <c r="A3133" s="21">
        <v>69.0</v>
      </c>
      <c r="B3133" s="20" t="s">
        <v>1738</v>
      </c>
      <c r="C3133" s="20" t="s">
        <v>6164</v>
      </c>
      <c r="I3133" s="25" t="s">
        <v>707</v>
      </c>
      <c r="J3133" s="25" t="s">
        <v>5853</v>
      </c>
      <c r="K3133" s="25" t="s">
        <v>71</v>
      </c>
      <c r="L3133" s="25" t="s">
        <v>6224</v>
      </c>
      <c r="M3133" s="20" t="s">
        <v>4866</v>
      </c>
      <c r="N3133" s="20" t="s">
        <v>4867</v>
      </c>
      <c r="O3133" s="20" t="s">
        <v>63</v>
      </c>
      <c r="P3133" s="20" t="s">
        <v>52</v>
      </c>
      <c r="Q3133" s="22"/>
      <c r="R3133" s="22"/>
      <c r="S3133" s="22"/>
      <c r="T3133" s="20"/>
      <c r="U3133" s="26"/>
      <c r="V3133" s="26"/>
      <c r="W3133" s="20"/>
      <c r="X3133" s="20"/>
      <c r="Y3133" s="20"/>
      <c r="Z3133" s="20"/>
      <c r="AA3133" s="20"/>
      <c r="AB3133" s="20"/>
      <c r="AC3133" s="20"/>
      <c r="AD3133" s="20"/>
      <c r="AE3133" s="20"/>
    </row>
    <row r="3134">
      <c r="A3134" s="21">
        <v>69.0</v>
      </c>
      <c r="B3134" s="20" t="s">
        <v>1738</v>
      </c>
      <c r="C3134" s="20" t="s">
        <v>6164</v>
      </c>
      <c r="I3134" s="25" t="s">
        <v>4756</v>
      </c>
      <c r="J3134" s="25" t="s">
        <v>5815</v>
      </c>
      <c r="K3134" s="25" t="s">
        <v>71</v>
      </c>
      <c r="L3134" s="25" t="s">
        <v>6224</v>
      </c>
      <c r="M3134" s="20" t="s">
        <v>5412</v>
      </c>
      <c r="N3134" s="20" t="s">
        <v>5413</v>
      </c>
      <c r="O3134" s="20" t="s">
        <v>63</v>
      </c>
      <c r="P3134" s="20" t="s">
        <v>52</v>
      </c>
      <c r="Q3134" s="22"/>
      <c r="R3134" s="22"/>
      <c r="S3134" s="22"/>
      <c r="T3134" s="20"/>
      <c r="U3134" s="26"/>
      <c r="V3134" s="26"/>
      <c r="W3134" s="20"/>
      <c r="X3134" s="20"/>
      <c r="Y3134" s="20"/>
      <c r="Z3134" s="20"/>
      <c r="AA3134" s="20"/>
      <c r="AB3134" s="20"/>
      <c r="AC3134" s="20"/>
      <c r="AD3134" s="20"/>
      <c r="AE3134" s="20"/>
    </row>
    <row r="3135">
      <c r="A3135" s="21">
        <v>69.0</v>
      </c>
      <c r="B3135" s="20" t="s">
        <v>1738</v>
      </c>
      <c r="C3135" s="20" t="s">
        <v>6164</v>
      </c>
      <c r="I3135" s="25" t="s">
        <v>206</v>
      </c>
      <c r="J3135" s="25" t="s">
        <v>5816</v>
      </c>
      <c r="K3135" s="25" t="s">
        <v>71</v>
      </c>
      <c r="L3135" s="25" t="s">
        <v>6182</v>
      </c>
      <c r="M3135" s="20" t="s">
        <v>5848</v>
      </c>
      <c r="N3135" s="20" t="s">
        <v>5849</v>
      </c>
      <c r="O3135" s="20" t="s">
        <v>63</v>
      </c>
      <c r="P3135" s="20" t="s">
        <v>52</v>
      </c>
      <c r="Q3135" s="22"/>
      <c r="R3135" s="22"/>
      <c r="S3135" s="22"/>
      <c r="T3135" s="20"/>
      <c r="U3135" s="26"/>
      <c r="V3135" s="26"/>
      <c r="W3135" s="20"/>
      <c r="X3135" s="20"/>
      <c r="Y3135" s="20"/>
      <c r="Z3135" s="20"/>
      <c r="AA3135" s="20"/>
      <c r="AB3135" s="20"/>
      <c r="AC3135" s="20"/>
      <c r="AD3135" s="20"/>
      <c r="AE3135" s="20"/>
    </row>
    <row r="3136">
      <c r="A3136" s="21">
        <v>69.0</v>
      </c>
      <c r="B3136" s="20" t="s">
        <v>1738</v>
      </c>
      <c r="C3136" s="20" t="s">
        <v>6164</v>
      </c>
      <c r="I3136" s="25" t="s">
        <v>2508</v>
      </c>
      <c r="J3136" s="25" t="s">
        <v>5813</v>
      </c>
      <c r="K3136" s="25" t="s">
        <v>71</v>
      </c>
      <c r="L3136" s="25" t="s">
        <v>6184</v>
      </c>
      <c r="M3136" s="20" t="s">
        <v>5367</v>
      </c>
      <c r="N3136" s="20" t="s">
        <v>5368</v>
      </c>
      <c r="O3136" s="20" t="s">
        <v>63</v>
      </c>
      <c r="P3136" s="20" t="s">
        <v>52</v>
      </c>
      <c r="Q3136" s="22"/>
      <c r="R3136" s="22"/>
      <c r="S3136" s="22"/>
      <c r="T3136" s="20"/>
      <c r="U3136" s="26"/>
      <c r="V3136" s="26"/>
      <c r="W3136" s="20"/>
      <c r="X3136" s="20"/>
      <c r="Y3136" s="20"/>
      <c r="Z3136" s="20"/>
      <c r="AA3136" s="20"/>
      <c r="AB3136" s="20"/>
      <c r="AC3136" s="20"/>
      <c r="AD3136" s="20"/>
      <c r="AE3136" s="20"/>
    </row>
    <row r="3137">
      <c r="A3137" s="21">
        <v>69.0</v>
      </c>
      <c r="B3137" s="20" t="s">
        <v>1738</v>
      </c>
      <c r="C3137" s="20" t="s">
        <v>6164</v>
      </c>
      <c r="I3137" s="25" t="s">
        <v>4526</v>
      </c>
      <c r="J3137" s="25" t="s">
        <v>5816</v>
      </c>
      <c r="K3137" s="25" t="s">
        <v>71</v>
      </c>
      <c r="L3137" s="25" t="s">
        <v>6185</v>
      </c>
      <c r="M3137" s="20" t="s">
        <v>4527</v>
      </c>
      <c r="N3137" s="20" t="s">
        <v>4528</v>
      </c>
      <c r="O3137" s="20" t="s">
        <v>63</v>
      </c>
      <c r="P3137" s="20" t="s">
        <v>52</v>
      </c>
      <c r="Q3137" s="22"/>
      <c r="R3137" s="22"/>
      <c r="S3137" s="22"/>
      <c r="T3137" s="20"/>
      <c r="U3137" s="26"/>
      <c r="V3137" s="26"/>
      <c r="W3137" s="20"/>
      <c r="X3137" s="20"/>
      <c r="Y3137" s="20"/>
      <c r="Z3137" s="20"/>
      <c r="AA3137" s="20"/>
      <c r="AB3137" s="20"/>
      <c r="AC3137" s="20"/>
      <c r="AD3137" s="20"/>
      <c r="AE3137" s="20"/>
    </row>
    <row r="3138">
      <c r="A3138" s="21">
        <v>69.0</v>
      </c>
      <c r="B3138" s="20" t="s">
        <v>1738</v>
      </c>
      <c r="C3138" s="20" t="s">
        <v>6164</v>
      </c>
      <c r="I3138" s="25" t="s">
        <v>2049</v>
      </c>
      <c r="J3138" s="25" t="s">
        <v>5813</v>
      </c>
      <c r="K3138" s="25" t="s">
        <v>71</v>
      </c>
      <c r="L3138" s="25" t="s">
        <v>6224</v>
      </c>
      <c r="M3138" s="20" t="s">
        <v>4761</v>
      </c>
      <c r="N3138" s="20" t="s">
        <v>4762</v>
      </c>
      <c r="O3138" s="20" t="s">
        <v>63</v>
      </c>
      <c r="P3138" s="20" t="s">
        <v>52</v>
      </c>
      <c r="Q3138" s="22"/>
      <c r="R3138" s="22"/>
      <c r="S3138" s="22"/>
      <c r="T3138" s="20"/>
      <c r="U3138" s="26"/>
      <c r="V3138" s="26"/>
      <c r="W3138" s="20"/>
      <c r="X3138" s="20"/>
      <c r="Y3138" s="20"/>
      <c r="Z3138" s="20"/>
      <c r="AA3138" s="20"/>
      <c r="AB3138" s="20"/>
      <c r="AC3138" s="20"/>
      <c r="AD3138" s="20"/>
      <c r="AE3138" s="20"/>
    </row>
    <row r="3139">
      <c r="A3139" s="21">
        <v>69.0</v>
      </c>
      <c r="B3139" s="20" t="s">
        <v>1738</v>
      </c>
      <c r="C3139" s="20" t="s">
        <v>6164</v>
      </c>
      <c r="I3139" s="25" t="s">
        <v>3809</v>
      </c>
      <c r="J3139" s="25" t="s">
        <v>5816</v>
      </c>
      <c r="K3139" s="25" t="s">
        <v>71</v>
      </c>
      <c r="L3139" s="25" t="s">
        <v>6185</v>
      </c>
      <c r="M3139" s="20" t="s">
        <v>4644</v>
      </c>
      <c r="N3139" s="20" t="s">
        <v>4645</v>
      </c>
      <c r="O3139" s="20" t="s">
        <v>63</v>
      </c>
      <c r="P3139" s="20" t="s">
        <v>52</v>
      </c>
      <c r="Q3139" s="22"/>
      <c r="R3139" s="22"/>
      <c r="S3139" s="22"/>
      <c r="T3139" s="20"/>
      <c r="U3139" s="26"/>
      <c r="V3139" s="26"/>
      <c r="W3139" s="20"/>
      <c r="X3139" s="20"/>
      <c r="Y3139" s="20"/>
      <c r="Z3139" s="20"/>
      <c r="AA3139" s="20"/>
      <c r="AB3139" s="20"/>
      <c r="AC3139" s="20"/>
      <c r="AD3139" s="20"/>
      <c r="AE3139" s="20"/>
    </row>
    <row r="3140">
      <c r="A3140" s="21">
        <v>69.0</v>
      </c>
      <c r="B3140" s="20" t="s">
        <v>1738</v>
      </c>
      <c r="C3140" s="20" t="s">
        <v>6164</v>
      </c>
      <c r="I3140" s="25" t="s">
        <v>4587</v>
      </c>
      <c r="J3140" s="25" t="s">
        <v>5813</v>
      </c>
      <c r="K3140" s="25" t="s">
        <v>71</v>
      </c>
      <c r="L3140" s="25" t="s">
        <v>5956</v>
      </c>
      <c r="M3140" s="20" t="s">
        <v>5832</v>
      </c>
      <c r="N3140" s="20" t="s">
        <v>5833</v>
      </c>
      <c r="O3140" s="20" t="s">
        <v>63</v>
      </c>
      <c r="P3140" s="20" t="s">
        <v>52</v>
      </c>
      <c r="Q3140" s="22"/>
      <c r="R3140" s="22"/>
      <c r="S3140" s="22"/>
      <c r="T3140" s="20"/>
      <c r="U3140" s="26"/>
      <c r="V3140" s="26"/>
      <c r="W3140" s="20"/>
      <c r="X3140" s="20"/>
      <c r="Y3140" s="20"/>
      <c r="Z3140" s="20"/>
      <c r="AA3140" s="20"/>
      <c r="AB3140" s="20"/>
      <c r="AC3140" s="20"/>
      <c r="AD3140" s="20"/>
      <c r="AE3140" s="20"/>
    </row>
    <row r="3141">
      <c r="A3141" s="21">
        <v>69.0</v>
      </c>
      <c r="B3141" s="20" t="s">
        <v>1738</v>
      </c>
      <c r="C3141" s="20" t="s">
        <v>6164</v>
      </c>
      <c r="I3141" s="25" t="s">
        <v>3446</v>
      </c>
      <c r="J3141" s="25" t="s">
        <v>5816</v>
      </c>
      <c r="K3141" s="25" t="s">
        <v>71</v>
      </c>
      <c r="L3141" s="25" t="s">
        <v>5954</v>
      </c>
      <c r="M3141" s="20" t="s">
        <v>4579</v>
      </c>
      <c r="N3141" s="20" t="s">
        <v>5391</v>
      </c>
      <c r="O3141" s="20" t="s">
        <v>63</v>
      </c>
      <c r="P3141" s="20" t="s">
        <v>52</v>
      </c>
      <c r="Q3141" s="22"/>
      <c r="R3141" s="22"/>
      <c r="S3141" s="22"/>
      <c r="T3141" s="20"/>
      <c r="U3141" s="26"/>
      <c r="V3141" s="26"/>
      <c r="W3141" s="20"/>
      <c r="X3141" s="20"/>
      <c r="Y3141" s="20"/>
      <c r="Z3141" s="20"/>
      <c r="AA3141" s="20"/>
      <c r="AB3141" s="20"/>
      <c r="AC3141" s="20"/>
      <c r="AD3141" s="20"/>
      <c r="AE3141" s="20"/>
    </row>
    <row r="3142">
      <c r="A3142" s="21">
        <v>69.0</v>
      </c>
      <c r="B3142" s="20" t="s">
        <v>1738</v>
      </c>
      <c r="C3142" s="20" t="s">
        <v>6164</v>
      </c>
      <c r="I3142" s="25" t="s">
        <v>2551</v>
      </c>
      <c r="J3142" s="25" t="s">
        <v>5813</v>
      </c>
      <c r="K3142" s="25" t="s">
        <v>71</v>
      </c>
      <c r="L3142" s="25" t="s">
        <v>6187</v>
      </c>
      <c r="M3142" s="20" t="s">
        <v>5834</v>
      </c>
      <c r="N3142" s="20" t="s">
        <v>5835</v>
      </c>
      <c r="O3142" s="20" t="s">
        <v>63</v>
      </c>
      <c r="P3142" s="20" t="s">
        <v>52</v>
      </c>
      <c r="Q3142" s="22"/>
      <c r="R3142" s="22"/>
      <c r="S3142" s="22"/>
      <c r="T3142" s="20"/>
      <c r="U3142" s="26"/>
      <c r="V3142" s="26"/>
      <c r="W3142" s="20"/>
      <c r="X3142" s="20"/>
      <c r="Y3142" s="20"/>
      <c r="Z3142" s="20"/>
      <c r="AA3142" s="20"/>
      <c r="AB3142" s="20"/>
      <c r="AC3142" s="20"/>
      <c r="AD3142" s="20"/>
      <c r="AE3142" s="20"/>
    </row>
    <row r="3143">
      <c r="A3143" s="21">
        <v>69.0</v>
      </c>
      <c r="B3143" s="20" t="s">
        <v>1738</v>
      </c>
      <c r="C3143" s="20" t="s">
        <v>6164</v>
      </c>
      <c r="I3143" s="25" t="s">
        <v>1156</v>
      </c>
      <c r="J3143" s="25" t="s">
        <v>5815</v>
      </c>
      <c r="K3143" s="25" t="s">
        <v>71</v>
      </c>
      <c r="L3143" s="25" t="s">
        <v>5969</v>
      </c>
      <c r="M3143" s="20" t="s">
        <v>61</v>
      </c>
      <c r="N3143" s="20" t="s">
        <v>5864</v>
      </c>
      <c r="O3143" s="20" t="s">
        <v>63</v>
      </c>
      <c r="P3143" s="20" t="s">
        <v>52</v>
      </c>
      <c r="Q3143" s="22"/>
      <c r="R3143" s="22"/>
      <c r="S3143" s="22"/>
      <c r="T3143" s="20"/>
      <c r="U3143" s="26"/>
      <c r="V3143" s="26"/>
      <c r="W3143" s="20"/>
      <c r="X3143" s="20"/>
      <c r="Y3143" s="20"/>
      <c r="Z3143" s="20"/>
      <c r="AA3143" s="20"/>
      <c r="AB3143" s="20"/>
      <c r="AC3143" s="20"/>
      <c r="AD3143" s="20"/>
      <c r="AE3143" s="20"/>
    </row>
    <row r="3144">
      <c r="A3144" s="21">
        <v>69.0</v>
      </c>
      <c r="B3144" s="20" t="s">
        <v>1738</v>
      </c>
      <c r="C3144" s="20" t="s">
        <v>6164</v>
      </c>
      <c r="I3144" s="25" t="s">
        <v>1331</v>
      </c>
      <c r="J3144" s="25" t="s">
        <v>5816</v>
      </c>
      <c r="K3144" s="25" t="s">
        <v>71</v>
      </c>
      <c r="L3144" s="25" t="s">
        <v>6225</v>
      </c>
      <c r="M3144" s="20" t="s">
        <v>4723</v>
      </c>
      <c r="N3144" s="20" t="s">
        <v>4724</v>
      </c>
      <c r="O3144" s="20" t="s">
        <v>63</v>
      </c>
      <c r="P3144" s="20" t="s">
        <v>52</v>
      </c>
      <c r="Q3144" s="22"/>
      <c r="R3144" s="22"/>
      <c r="S3144" s="22"/>
      <c r="T3144" s="26"/>
      <c r="U3144" s="26"/>
      <c r="V3144" s="26"/>
      <c r="W3144" s="20"/>
      <c r="X3144" s="20"/>
      <c r="Y3144" s="20"/>
      <c r="Z3144" s="20"/>
      <c r="AA3144" s="20"/>
      <c r="AB3144" s="20"/>
      <c r="AC3144" s="20"/>
      <c r="AD3144" s="20"/>
      <c r="AE3144" s="20"/>
    </row>
    <row r="3145">
      <c r="A3145" s="21">
        <v>69.0</v>
      </c>
      <c r="B3145" s="20" t="s">
        <v>1738</v>
      </c>
      <c r="C3145" s="20" t="s">
        <v>6164</v>
      </c>
      <c r="I3145" s="25" t="s">
        <v>4505</v>
      </c>
      <c r="J3145" s="25" t="s">
        <v>5853</v>
      </c>
      <c r="K3145" s="25" t="s">
        <v>71</v>
      </c>
      <c r="L3145" s="25" t="s">
        <v>6188</v>
      </c>
      <c r="M3145" s="20" t="s">
        <v>4506</v>
      </c>
      <c r="N3145" s="20" t="s">
        <v>4507</v>
      </c>
      <c r="O3145" s="20" t="s">
        <v>63</v>
      </c>
      <c r="P3145" s="20" t="s">
        <v>52</v>
      </c>
      <c r="Q3145" s="22"/>
      <c r="R3145" s="22"/>
      <c r="S3145" s="22"/>
      <c r="T3145" s="26"/>
      <c r="U3145" s="26"/>
      <c r="V3145" s="26"/>
      <c r="W3145" s="20"/>
      <c r="X3145" s="20"/>
      <c r="Y3145" s="20"/>
      <c r="Z3145" s="20"/>
      <c r="AA3145" s="20"/>
      <c r="AB3145" s="20"/>
      <c r="AC3145" s="20"/>
      <c r="AD3145" s="20"/>
      <c r="AE3145" s="20"/>
    </row>
    <row r="3146">
      <c r="A3146" s="21">
        <v>69.0</v>
      </c>
      <c r="B3146" s="20" t="s">
        <v>1738</v>
      </c>
      <c r="C3146" s="20" t="s">
        <v>6164</v>
      </c>
      <c r="I3146" s="25" t="s">
        <v>4570</v>
      </c>
      <c r="J3146" s="25" t="s">
        <v>5853</v>
      </c>
      <c r="K3146" s="25" t="s">
        <v>71</v>
      </c>
      <c r="L3146" s="25" t="s">
        <v>5950</v>
      </c>
      <c r="M3146" s="20" t="s">
        <v>4571</v>
      </c>
      <c r="N3146" s="20" t="s">
        <v>4572</v>
      </c>
      <c r="O3146" s="20" t="s">
        <v>63</v>
      </c>
      <c r="P3146" s="20" t="s">
        <v>52</v>
      </c>
      <c r="Q3146" s="22"/>
      <c r="R3146" s="22"/>
      <c r="S3146" s="22"/>
      <c r="T3146" s="26"/>
      <c r="U3146" s="26"/>
      <c r="V3146" s="26"/>
      <c r="W3146" s="20"/>
      <c r="X3146" s="20"/>
      <c r="Y3146" s="20"/>
      <c r="Z3146" s="20"/>
      <c r="AA3146" s="20"/>
      <c r="AB3146" s="20"/>
      <c r="AC3146" s="20"/>
      <c r="AD3146" s="20"/>
      <c r="AE3146" s="20"/>
    </row>
    <row r="3147">
      <c r="A3147" s="21">
        <v>69.0</v>
      </c>
      <c r="B3147" s="20" t="s">
        <v>1738</v>
      </c>
      <c r="C3147" s="20" t="s">
        <v>6164</v>
      </c>
      <c r="I3147" s="25" t="s">
        <v>2505</v>
      </c>
      <c r="J3147" s="25" t="s">
        <v>5813</v>
      </c>
      <c r="K3147" s="25" t="s">
        <v>71</v>
      </c>
      <c r="L3147" s="25" t="s">
        <v>6225</v>
      </c>
      <c r="M3147" s="20" t="s">
        <v>2506</v>
      </c>
      <c r="N3147" s="20" t="s">
        <v>5836</v>
      </c>
      <c r="O3147" s="20" t="s">
        <v>63</v>
      </c>
      <c r="P3147" s="20" t="s">
        <v>52</v>
      </c>
      <c r="Q3147" s="22"/>
      <c r="R3147" s="22"/>
      <c r="S3147" s="22"/>
      <c r="T3147" s="26"/>
      <c r="U3147" s="26"/>
      <c r="V3147" s="26"/>
      <c r="W3147" s="20"/>
      <c r="X3147" s="20"/>
      <c r="Y3147" s="20"/>
      <c r="Z3147" s="20"/>
      <c r="AA3147" s="20"/>
      <c r="AB3147" s="20"/>
      <c r="AC3147" s="20"/>
      <c r="AD3147" s="20"/>
      <c r="AE3147" s="20"/>
    </row>
    <row r="3148">
      <c r="A3148" s="21">
        <v>69.0</v>
      </c>
      <c r="B3148" s="20" t="s">
        <v>1738</v>
      </c>
      <c r="C3148" s="20" t="s">
        <v>6164</v>
      </c>
      <c r="I3148" s="25" t="s">
        <v>2019</v>
      </c>
      <c r="J3148" s="25" t="s">
        <v>5816</v>
      </c>
      <c r="K3148" s="25" t="s">
        <v>71</v>
      </c>
      <c r="L3148" s="25" t="s">
        <v>5967</v>
      </c>
      <c r="M3148" s="20" t="s">
        <v>2020</v>
      </c>
      <c r="N3148" s="20" t="s">
        <v>5851</v>
      </c>
      <c r="O3148" s="20" t="s">
        <v>63</v>
      </c>
      <c r="P3148" s="20" t="s">
        <v>52</v>
      </c>
      <c r="Q3148" s="22"/>
      <c r="R3148" s="22"/>
      <c r="S3148" s="22"/>
      <c r="T3148" s="26"/>
      <c r="U3148" s="26"/>
      <c r="V3148" s="26"/>
      <c r="W3148" s="20"/>
      <c r="X3148" s="20"/>
      <c r="Y3148" s="20"/>
      <c r="Z3148" s="20"/>
      <c r="AA3148" s="20"/>
      <c r="AB3148" s="20"/>
      <c r="AC3148" s="20"/>
      <c r="AD3148" s="20"/>
      <c r="AE3148" s="20"/>
    </row>
    <row r="3149">
      <c r="A3149" s="21">
        <v>69.0</v>
      </c>
      <c r="B3149" s="20" t="s">
        <v>1738</v>
      </c>
      <c r="C3149" s="20" t="s">
        <v>6164</v>
      </c>
      <c r="I3149" s="25" t="s">
        <v>4084</v>
      </c>
      <c r="J3149" s="25" t="s">
        <v>5815</v>
      </c>
      <c r="K3149" s="25" t="s">
        <v>71</v>
      </c>
      <c r="L3149" s="25" t="s">
        <v>6177</v>
      </c>
      <c r="M3149" s="20" t="s">
        <v>4085</v>
      </c>
      <c r="N3149" s="20" t="s">
        <v>5371</v>
      </c>
      <c r="O3149" s="20" t="s">
        <v>63</v>
      </c>
      <c r="P3149" s="20" t="s">
        <v>52</v>
      </c>
      <c r="Q3149" s="22"/>
      <c r="R3149" s="22"/>
      <c r="S3149" s="22"/>
      <c r="T3149" s="26"/>
      <c r="U3149" s="26"/>
      <c r="V3149" s="26"/>
      <c r="W3149" s="20"/>
      <c r="X3149" s="20"/>
      <c r="Y3149" s="20"/>
      <c r="Z3149" s="20"/>
      <c r="AA3149" s="20"/>
      <c r="AB3149" s="20"/>
      <c r="AC3149" s="20"/>
      <c r="AD3149" s="20"/>
      <c r="AE3149" s="20"/>
    </row>
    <row r="3150">
      <c r="A3150" s="21">
        <v>69.0</v>
      </c>
      <c r="B3150" s="20" t="s">
        <v>1738</v>
      </c>
      <c r="C3150" s="20" t="s">
        <v>6164</v>
      </c>
      <c r="I3150" s="25" t="s">
        <v>2447</v>
      </c>
      <c r="J3150" s="25" t="s">
        <v>5813</v>
      </c>
      <c r="K3150" s="25" t="s">
        <v>71</v>
      </c>
      <c r="L3150" s="25" t="s">
        <v>6226</v>
      </c>
      <c r="M3150" s="20" t="s">
        <v>2448</v>
      </c>
      <c r="N3150" s="20" t="s">
        <v>4759</v>
      </c>
      <c r="O3150" s="20" t="s">
        <v>63</v>
      </c>
      <c r="P3150" s="20" t="s">
        <v>52</v>
      </c>
      <c r="Q3150" s="22"/>
      <c r="R3150" s="22"/>
      <c r="S3150" s="22"/>
      <c r="T3150" s="26"/>
      <c r="U3150" s="26"/>
      <c r="V3150" s="26"/>
      <c r="W3150" s="20"/>
      <c r="X3150" s="20"/>
      <c r="Y3150" s="20"/>
      <c r="Z3150" s="20"/>
      <c r="AA3150" s="20"/>
      <c r="AB3150" s="20"/>
      <c r="AC3150" s="20"/>
      <c r="AD3150" s="20"/>
      <c r="AE3150" s="20"/>
    </row>
    <row r="3151">
      <c r="A3151" s="21">
        <v>69.0</v>
      </c>
      <c r="B3151" s="20" t="s">
        <v>1738</v>
      </c>
      <c r="C3151" s="20" t="s">
        <v>6164</v>
      </c>
      <c r="I3151" s="25" t="s">
        <v>2502</v>
      </c>
      <c r="J3151" s="25" t="s">
        <v>5816</v>
      </c>
      <c r="K3151" s="25" t="s">
        <v>71</v>
      </c>
      <c r="L3151" s="25" t="s">
        <v>6184</v>
      </c>
      <c r="M3151" s="20" t="s">
        <v>61</v>
      </c>
      <c r="N3151" s="20" t="s">
        <v>3064</v>
      </c>
      <c r="O3151" s="20" t="s">
        <v>63</v>
      </c>
      <c r="P3151" s="20" t="s">
        <v>52</v>
      </c>
      <c r="Q3151" s="22"/>
      <c r="R3151" s="22"/>
      <c r="S3151" s="22"/>
      <c r="T3151" s="26"/>
      <c r="U3151" s="26"/>
      <c r="V3151" s="26"/>
      <c r="W3151" s="20"/>
      <c r="X3151" s="20"/>
      <c r="Y3151" s="20"/>
      <c r="Z3151" s="20"/>
      <c r="AA3151" s="20"/>
      <c r="AB3151" s="20"/>
      <c r="AC3151" s="20"/>
      <c r="AD3151" s="20"/>
      <c r="AE3151" s="20"/>
    </row>
    <row r="3152">
      <c r="A3152" s="21">
        <v>69.0</v>
      </c>
      <c r="B3152" s="20" t="s">
        <v>1738</v>
      </c>
      <c r="C3152" s="20" t="s">
        <v>6164</v>
      </c>
      <c r="I3152" s="25" t="s">
        <v>2488</v>
      </c>
      <c r="J3152" s="25" t="s">
        <v>5813</v>
      </c>
      <c r="K3152" s="25" t="s">
        <v>71</v>
      </c>
      <c r="L3152" s="25" t="s">
        <v>5971</v>
      </c>
      <c r="M3152" s="20" t="s">
        <v>5393</v>
      </c>
      <c r="N3152" s="20" t="s">
        <v>5394</v>
      </c>
      <c r="O3152" s="20" t="s">
        <v>63</v>
      </c>
      <c r="P3152" s="20" t="s">
        <v>52</v>
      </c>
      <c r="Q3152" s="22"/>
      <c r="R3152" s="22"/>
      <c r="S3152" s="22"/>
      <c r="T3152" s="26"/>
      <c r="U3152" s="26"/>
      <c r="V3152" s="26"/>
      <c r="W3152" s="20"/>
      <c r="X3152" s="20"/>
      <c r="Y3152" s="20"/>
      <c r="Z3152" s="20"/>
      <c r="AA3152" s="20"/>
      <c r="AB3152" s="20"/>
      <c r="AC3152" s="20"/>
      <c r="AD3152" s="20"/>
      <c r="AE3152" s="20"/>
    </row>
    <row r="3153">
      <c r="A3153" s="21">
        <v>69.0</v>
      </c>
      <c r="B3153" s="20" t="s">
        <v>1738</v>
      </c>
      <c r="C3153" s="20" t="s">
        <v>6164</v>
      </c>
      <c r="I3153" s="25" t="s">
        <v>413</v>
      </c>
      <c r="J3153" s="25" t="s">
        <v>5815</v>
      </c>
      <c r="K3153" s="25" t="s">
        <v>71</v>
      </c>
      <c r="L3153" s="25" t="s">
        <v>5954</v>
      </c>
      <c r="M3153" s="20" t="s">
        <v>5865</v>
      </c>
      <c r="N3153" s="20" t="s">
        <v>5866</v>
      </c>
      <c r="O3153" s="20" t="s">
        <v>63</v>
      </c>
      <c r="P3153" s="20" t="s">
        <v>52</v>
      </c>
      <c r="Q3153" s="22"/>
      <c r="R3153" s="22"/>
      <c r="S3153" s="22"/>
      <c r="T3153" s="26"/>
      <c r="U3153" s="26"/>
      <c r="V3153" s="26"/>
      <c r="W3153" s="20"/>
      <c r="X3153" s="20"/>
      <c r="Y3153" s="20"/>
      <c r="Z3153" s="20"/>
      <c r="AA3153" s="20"/>
      <c r="AB3153" s="20"/>
      <c r="AC3153" s="20"/>
      <c r="AD3153" s="20"/>
      <c r="AE3153" s="20"/>
    </row>
    <row r="3154">
      <c r="A3154" s="21">
        <v>69.0</v>
      </c>
      <c r="B3154" s="20" t="s">
        <v>1738</v>
      </c>
      <c r="C3154" s="20" t="s">
        <v>6164</v>
      </c>
      <c r="I3154" s="25" t="s">
        <v>2542</v>
      </c>
      <c r="J3154" s="25" t="s">
        <v>5816</v>
      </c>
      <c r="K3154" s="25" t="s">
        <v>71</v>
      </c>
      <c r="L3154" s="25" t="s">
        <v>6188</v>
      </c>
      <c r="M3154" s="20" t="s">
        <v>4510</v>
      </c>
      <c r="N3154" s="20" t="s">
        <v>4511</v>
      </c>
      <c r="O3154" s="20" t="s">
        <v>63</v>
      </c>
      <c r="P3154" s="20" t="s">
        <v>52</v>
      </c>
      <c r="Q3154" s="22"/>
      <c r="R3154" s="22"/>
      <c r="S3154" s="22"/>
      <c r="T3154" s="26"/>
      <c r="U3154" s="26"/>
      <c r="V3154" s="26"/>
      <c r="W3154" s="20"/>
      <c r="X3154" s="20"/>
      <c r="Y3154" s="20"/>
      <c r="Z3154" s="20"/>
      <c r="AA3154" s="20"/>
      <c r="AB3154" s="20"/>
      <c r="AC3154" s="20"/>
      <c r="AD3154" s="20"/>
      <c r="AE3154" s="20"/>
    </row>
    <row r="3155">
      <c r="A3155" s="21">
        <v>69.0</v>
      </c>
      <c r="B3155" s="20" t="s">
        <v>1738</v>
      </c>
      <c r="C3155" s="20" t="s">
        <v>6164</v>
      </c>
      <c r="I3155" s="25" t="s">
        <v>4068</v>
      </c>
      <c r="J3155" s="25" t="s">
        <v>5813</v>
      </c>
      <c r="K3155" s="25" t="s">
        <v>71</v>
      </c>
      <c r="L3155" s="25" t="s">
        <v>6182</v>
      </c>
      <c r="M3155" s="20" t="s">
        <v>4069</v>
      </c>
      <c r="N3155" s="20" t="s">
        <v>5383</v>
      </c>
      <c r="O3155" s="20" t="s">
        <v>63</v>
      </c>
      <c r="P3155" s="20" t="s">
        <v>52</v>
      </c>
      <c r="Q3155" s="22"/>
      <c r="R3155" s="22"/>
      <c r="S3155" s="22"/>
      <c r="T3155" s="26"/>
      <c r="U3155" s="26"/>
      <c r="V3155" s="26"/>
      <c r="W3155" s="20"/>
      <c r="X3155" s="20"/>
      <c r="Y3155" s="20"/>
      <c r="Z3155" s="20"/>
      <c r="AA3155" s="20"/>
      <c r="AB3155" s="20"/>
      <c r="AC3155" s="20"/>
      <c r="AD3155" s="20"/>
      <c r="AE3155" s="20"/>
    </row>
    <row r="3156">
      <c r="A3156" s="21">
        <v>69.0</v>
      </c>
      <c r="B3156" s="20" t="s">
        <v>1738</v>
      </c>
      <c r="C3156" s="20" t="s">
        <v>6164</v>
      </c>
      <c r="I3156" s="25" t="s">
        <v>2564</v>
      </c>
      <c r="J3156" s="25" t="s">
        <v>5816</v>
      </c>
      <c r="K3156" s="25" t="s">
        <v>71</v>
      </c>
      <c r="L3156" s="25" t="s">
        <v>5980</v>
      </c>
      <c r="M3156" s="20" t="s">
        <v>5401</v>
      </c>
      <c r="N3156" s="20" t="s">
        <v>5402</v>
      </c>
      <c r="O3156" s="20" t="s">
        <v>63</v>
      </c>
      <c r="P3156" s="20" t="s">
        <v>52</v>
      </c>
      <c r="Q3156" s="22"/>
      <c r="R3156" s="22"/>
      <c r="S3156" s="22"/>
      <c r="T3156" s="26"/>
      <c r="U3156" s="26"/>
      <c r="V3156" s="26"/>
      <c r="W3156" s="20"/>
      <c r="X3156" s="20"/>
      <c r="Y3156" s="20"/>
      <c r="Z3156" s="20"/>
      <c r="AA3156" s="20"/>
      <c r="AB3156" s="20"/>
      <c r="AC3156" s="20"/>
      <c r="AD3156" s="20"/>
      <c r="AE3156" s="20"/>
    </row>
    <row r="3157">
      <c r="A3157" s="21">
        <v>69.0</v>
      </c>
      <c r="B3157" s="20" t="s">
        <v>1738</v>
      </c>
      <c r="C3157" s="20" t="s">
        <v>6164</v>
      </c>
      <c r="I3157" s="25" t="s">
        <v>2804</v>
      </c>
      <c r="J3157" s="25" t="s">
        <v>5815</v>
      </c>
      <c r="K3157" s="25" t="s">
        <v>71</v>
      </c>
      <c r="L3157" s="25" t="s">
        <v>6194</v>
      </c>
      <c r="M3157" s="20" t="s">
        <v>4064</v>
      </c>
      <c r="N3157" s="20" t="s">
        <v>5867</v>
      </c>
      <c r="O3157" s="20" t="s">
        <v>63</v>
      </c>
      <c r="P3157" s="20" t="s">
        <v>52</v>
      </c>
      <c r="Q3157" s="22"/>
      <c r="R3157" s="22"/>
      <c r="S3157" s="22"/>
      <c r="T3157" s="26"/>
      <c r="U3157" s="26"/>
      <c r="V3157" s="26"/>
      <c r="W3157" s="20"/>
      <c r="X3157" s="20"/>
      <c r="Y3157" s="20"/>
      <c r="Z3157" s="20"/>
      <c r="AA3157" s="20"/>
      <c r="AB3157" s="20"/>
      <c r="AC3157" s="20"/>
      <c r="AD3157" s="20"/>
      <c r="AE3157" s="20"/>
    </row>
    <row r="3158">
      <c r="A3158" s="21">
        <v>69.0</v>
      </c>
      <c r="B3158" s="20" t="s">
        <v>1738</v>
      </c>
      <c r="C3158" s="20" t="s">
        <v>6164</v>
      </c>
      <c r="I3158" s="25" t="s">
        <v>2535</v>
      </c>
      <c r="J3158" s="25" t="s">
        <v>5815</v>
      </c>
      <c r="K3158" s="25" t="s">
        <v>71</v>
      </c>
      <c r="L3158" s="25" t="s">
        <v>5982</v>
      </c>
      <c r="M3158" s="20" t="s">
        <v>2536</v>
      </c>
      <c r="N3158" s="20" t="s">
        <v>5868</v>
      </c>
      <c r="O3158" s="20" t="s">
        <v>63</v>
      </c>
      <c r="P3158" s="20" t="s">
        <v>52</v>
      </c>
      <c r="Q3158" s="22"/>
      <c r="R3158" s="22"/>
      <c r="S3158" s="22"/>
      <c r="T3158" s="26"/>
      <c r="U3158" s="26"/>
      <c r="V3158" s="26"/>
      <c r="W3158" s="20"/>
      <c r="X3158" s="20"/>
      <c r="Y3158" s="20"/>
      <c r="Z3158" s="20"/>
      <c r="AA3158" s="20"/>
      <c r="AB3158" s="20"/>
      <c r="AC3158" s="20"/>
      <c r="AD3158" s="20"/>
      <c r="AE3158" s="20"/>
    </row>
    <row r="3159">
      <c r="A3159" s="21">
        <v>69.0</v>
      </c>
      <c r="B3159" s="20" t="s">
        <v>1738</v>
      </c>
      <c r="C3159" s="20" t="s">
        <v>6164</v>
      </c>
      <c r="I3159" s="25" t="s">
        <v>4236</v>
      </c>
      <c r="J3159" s="25" t="s">
        <v>5813</v>
      </c>
      <c r="K3159" s="25" t="s">
        <v>71</v>
      </c>
      <c r="L3159" s="25" t="s">
        <v>5950</v>
      </c>
      <c r="M3159" s="20" t="s">
        <v>4632</v>
      </c>
      <c r="N3159" s="20" t="s">
        <v>4809</v>
      </c>
      <c r="O3159" s="20" t="s">
        <v>63</v>
      </c>
      <c r="P3159" s="20" t="s">
        <v>52</v>
      </c>
      <c r="Q3159" s="22"/>
      <c r="R3159" s="22"/>
      <c r="S3159" s="22"/>
      <c r="T3159" s="26"/>
      <c r="U3159" s="26"/>
      <c r="V3159" s="26"/>
      <c r="W3159" s="20"/>
      <c r="X3159" s="20"/>
      <c r="Y3159" s="20"/>
      <c r="Z3159" s="20"/>
      <c r="AA3159" s="20"/>
      <c r="AB3159" s="20"/>
      <c r="AC3159" s="20"/>
      <c r="AD3159" s="20"/>
      <c r="AE3159" s="20"/>
    </row>
    <row r="3160">
      <c r="A3160" s="21">
        <v>69.0</v>
      </c>
      <c r="B3160" s="20" t="s">
        <v>1738</v>
      </c>
      <c r="C3160" s="20" t="s">
        <v>6164</v>
      </c>
      <c r="I3160" s="25" t="s">
        <v>4515</v>
      </c>
      <c r="J3160" s="25" t="s">
        <v>5853</v>
      </c>
      <c r="K3160" s="25" t="s">
        <v>71</v>
      </c>
      <c r="L3160" s="25" t="s">
        <v>6185</v>
      </c>
      <c r="M3160" s="20" t="s">
        <v>4516</v>
      </c>
      <c r="N3160" s="20" t="s">
        <v>4517</v>
      </c>
      <c r="O3160" s="20" t="s">
        <v>63</v>
      </c>
      <c r="P3160" s="20" t="s">
        <v>52</v>
      </c>
      <c r="Q3160" s="22"/>
      <c r="R3160" s="22"/>
      <c r="S3160" s="22"/>
      <c r="T3160" s="26"/>
      <c r="U3160" s="26"/>
      <c r="V3160" s="26"/>
      <c r="W3160" s="20"/>
      <c r="X3160" s="20"/>
      <c r="Y3160" s="20"/>
      <c r="Z3160" s="20"/>
      <c r="AA3160" s="20"/>
      <c r="AB3160" s="20"/>
      <c r="AC3160" s="20"/>
      <c r="AD3160" s="20"/>
      <c r="AE3160" s="20"/>
    </row>
    <row r="3161">
      <c r="A3161" s="21">
        <v>69.0</v>
      </c>
      <c r="B3161" s="20" t="s">
        <v>1738</v>
      </c>
      <c r="C3161" s="20" t="s">
        <v>6164</v>
      </c>
      <c r="I3161" s="25" t="s">
        <v>4829</v>
      </c>
      <c r="J3161" s="25" t="s">
        <v>5816</v>
      </c>
      <c r="K3161" s="25" t="s">
        <v>71</v>
      </c>
      <c r="L3161" s="25" t="s">
        <v>5995</v>
      </c>
      <c r="M3161" s="20" t="s">
        <v>4830</v>
      </c>
      <c r="N3161" s="20" t="s">
        <v>4831</v>
      </c>
      <c r="O3161" s="20" t="s">
        <v>63</v>
      </c>
      <c r="P3161" s="20" t="s">
        <v>52</v>
      </c>
      <c r="Q3161" s="22"/>
      <c r="R3161" s="22"/>
      <c r="S3161" s="22"/>
      <c r="T3161" s="26"/>
      <c r="U3161" s="26"/>
      <c r="V3161" s="26"/>
      <c r="W3161" s="20"/>
      <c r="X3161" s="20"/>
      <c r="Y3161" s="20"/>
      <c r="Z3161" s="20"/>
      <c r="AA3161" s="20"/>
      <c r="AB3161" s="20"/>
      <c r="AC3161" s="20"/>
      <c r="AD3161" s="20"/>
      <c r="AE3161" s="20"/>
    </row>
    <row r="3162">
      <c r="A3162" s="21">
        <v>69.0</v>
      </c>
      <c r="B3162" s="20" t="s">
        <v>1738</v>
      </c>
      <c r="C3162" s="20" t="s">
        <v>6164</v>
      </c>
      <c r="I3162" s="25" t="s">
        <v>5194</v>
      </c>
      <c r="J3162" s="25" t="s">
        <v>5813</v>
      </c>
      <c r="K3162" s="25" t="s">
        <v>71</v>
      </c>
      <c r="L3162" s="25" t="s">
        <v>5986</v>
      </c>
      <c r="M3162" s="20" t="s">
        <v>5403</v>
      </c>
      <c r="N3162" s="20" t="s">
        <v>5404</v>
      </c>
      <c r="O3162" s="20" t="s">
        <v>63</v>
      </c>
      <c r="P3162" s="20" t="s">
        <v>52</v>
      </c>
      <c r="Q3162" s="22"/>
      <c r="R3162" s="22"/>
      <c r="S3162" s="22"/>
      <c r="T3162" s="26"/>
      <c r="U3162" s="26"/>
      <c r="V3162" s="26"/>
      <c r="W3162" s="20"/>
      <c r="X3162" s="20"/>
      <c r="Y3162" s="20"/>
      <c r="Z3162" s="20"/>
      <c r="AA3162" s="20"/>
      <c r="AB3162" s="20"/>
      <c r="AC3162" s="20"/>
      <c r="AD3162" s="20"/>
      <c r="AE3162" s="20"/>
    </row>
    <row r="3163">
      <c r="A3163" s="21">
        <v>69.0</v>
      </c>
      <c r="B3163" s="20" t="s">
        <v>1738</v>
      </c>
      <c r="C3163" s="20" t="s">
        <v>6164</v>
      </c>
      <c r="I3163" s="25" t="s">
        <v>2539</v>
      </c>
      <c r="J3163" s="25" t="s">
        <v>5816</v>
      </c>
      <c r="K3163" s="25" t="s">
        <v>71</v>
      </c>
      <c r="L3163" s="25" t="s">
        <v>5988</v>
      </c>
      <c r="M3163" s="20" t="s">
        <v>61</v>
      </c>
      <c r="N3163" s="20" t="s">
        <v>5405</v>
      </c>
      <c r="O3163" s="20" t="s">
        <v>63</v>
      </c>
      <c r="P3163" s="20" t="s">
        <v>52</v>
      </c>
      <c r="Q3163" s="22"/>
      <c r="R3163" s="22"/>
      <c r="S3163" s="22"/>
      <c r="T3163" s="26"/>
      <c r="U3163" s="26"/>
      <c r="V3163" s="26"/>
      <c r="W3163" s="20"/>
      <c r="X3163" s="20"/>
      <c r="Y3163" s="20"/>
      <c r="Z3163" s="20"/>
      <c r="AA3163" s="20"/>
      <c r="AB3163" s="20"/>
      <c r="AC3163" s="20"/>
      <c r="AD3163" s="20"/>
      <c r="AE3163" s="20"/>
    </row>
    <row r="3164">
      <c r="A3164" s="21">
        <v>69.0</v>
      </c>
      <c r="B3164" s="20" t="s">
        <v>1738</v>
      </c>
      <c r="C3164" s="20" t="s">
        <v>6164</v>
      </c>
      <c r="I3164" s="25" t="s">
        <v>2517</v>
      </c>
      <c r="J3164" s="25" t="s">
        <v>5813</v>
      </c>
      <c r="K3164" s="25" t="s">
        <v>71</v>
      </c>
      <c r="L3164" s="25" t="s">
        <v>5991</v>
      </c>
      <c r="M3164" s="20" t="s">
        <v>4556</v>
      </c>
      <c r="N3164" s="20" t="s">
        <v>4557</v>
      </c>
      <c r="O3164" s="20" t="s">
        <v>63</v>
      </c>
      <c r="P3164" s="20" t="s">
        <v>52</v>
      </c>
      <c r="Q3164" s="22"/>
      <c r="R3164" s="22"/>
      <c r="S3164" s="22"/>
      <c r="T3164" s="26"/>
      <c r="U3164" s="26"/>
      <c r="V3164" s="26"/>
      <c r="W3164" s="20"/>
      <c r="X3164" s="20"/>
      <c r="Y3164" s="20"/>
      <c r="Z3164" s="20"/>
      <c r="AA3164" s="20"/>
      <c r="AB3164" s="20"/>
      <c r="AC3164" s="20"/>
      <c r="AD3164" s="20"/>
      <c r="AE3164" s="20"/>
    </row>
    <row r="3165">
      <c r="A3165" s="21">
        <v>69.0</v>
      </c>
      <c r="B3165" s="20" t="s">
        <v>1738</v>
      </c>
      <c r="C3165" s="20" t="s">
        <v>6164</v>
      </c>
      <c r="I3165" s="25" t="s">
        <v>231</v>
      </c>
      <c r="J3165" s="25" t="s">
        <v>5816</v>
      </c>
      <c r="K3165" s="25" t="s">
        <v>71</v>
      </c>
      <c r="L3165" s="25" t="s">
        <v>5988</v>
      </c>
      <c r="M3165" s="20" t="s">
        <v>4720</v>
      </c>
      <c r="N3165" s="20" t="s">
        <v>4721</v>
      </c>
      <c r="O3165" s="20" t="s">
        <v>63</v>
      </c>
      <c r="P3165" s="20" t="s">
        <v>52</v>
      </c>
      <c r="Q3165" s="22"/>
      <c r="R3165" s="22"/>
      <c r="S3165" s="22"/>
      <c r="T3165" s="26"/>
      <c r="U3165" s="26"/>
      <c r="V3165" s="26"/>
      <c r="W3165" s="20"/>
      <c r="X3165" s="20"/>
      <c r="Y3165" s="20"/>
      <c r="Z3165" s="20"/>
      <c r="AA3165" s="20"/>
      <c r="AB3165" s="20"/>
      <c r="AC3165" s="20"/>
      <c r="AD3165" s="20"/>
      <c r="AE3165" s="20"/>
    </row>
    <row r="3166">
      <c r="A3166" s="21">
        <v>69.0</v>
      </c>
      <c r="B3166" s="20" t="s">
        <v>1738</v>
      </c>
      <c r="C3166" s="20" t="s">
        <v>6164</v>
      </c>
      <c r="I3166" s="25" t="s">
        <v>3359</v>
      </c>
      <c r="J3166" s="25" t="s">
        <v>5815</v>
      </c>
      <c r="K3166" s="25" t="s">
        <v>71</v>
      </c>
      <c r="L3166" s="25" t="s">
        <v>6196</v>
      </c>
      <c r="M3166" s="20" t="s">
        <v>61</v>
      </c>
      <c r="N3166" s="20" t="s">
        <v>5637</v>
      </c>
      <c r="O3166" s="20" t="s">
        <v>63</v>
      </c>
      <c r="P3166" s="20" t="s">
        <v>52</v>
      </c>
      <c r="Q3166" s="22"/>
      <c r="R3166" s="22"/>
      <c r="S3166" s="22"/>
      <c r="T3166" s="26"/>
      <c r="U3166" s="26"/>
      <c r="V3166" s="26"/>
      <c r="W3166" s="20"/>
      <c r="X3166" s="20"/>
      <c r="Y3166" s="20"/>
      <c r="Z3166" s="20"/>
      <c r="AA3166" s="20"/>
      <c r="AB3166" s="20"/>
      <c r="AC3166" s="20"/>
      <c r="AD3166" s="20"/>
      <c r="AE3166" s="20"/>
    </row>
    <row r="3167">
      <c r="A3167" s="21">
        <v>69.0</v>
      </c>
      <c r="B3167" s="20" t="s">
        <v>1738</v>
      </c>
      <c r="C3167" s="20" t="s">
        <v>6164</v>
      </c>
      <c r="I3167" s="25" t="s">
        <v>4055</v>
      </c>
      <c r="J3167" s="25" t="s">
        <v>5813</v>
      </c>
      <c r="K3167" s="25" t="s">
        <v>71</v>
      </c>
      <c r="L3167" s="25" t="s">
        <v>5998</v>
      </c>
      <c r="M3167" s="20" t="s">
        <v>4745</v>
      </c>
      <c r="N3167" s="20" t="s">
        <v>4746</v>
      </c>
      <c r="O3167" s="20" t="s">
        <v>63</v>
      </c>
      <c r="P3167" s="20" t="s">
        <v>52</v>
      </c>
      <c r="Q3167" s="22"/>
      <c r="R3167" s="22"/>
      <c r="S3167" s="22"/>
      <c r="T3167" s="26"/>
      <c r="U3167" s="26"/>
      <c r="V3167" s="26"/>
      <c r="W3167" s="20"/>
      <c r="X3167" s="20"/>
      <c r="Y3167" s="20"/>
      <c r="Z3167" s="20"/>
      <c r="AA3167" s="20"/>
      <c r="AB3167" s="20"/>
      <c r="AC3167" s="20"/>
      <c r="AD3167" s="20"/>
      <c r="AE3167" s="20"/>
    </row>
    <row r="3168">
      <c r="A3168" s="21">
        <v>69.0</v>
      </c>
      <c r="B3168" s="20" t="s">
        <v>1738</v>
      </c>
      <c r="C3168" s="20" t="s">
        <v>6164</v>
      </c>
      <c r="I3168" s="25" t="s">
        <v>4626</v>
      </c>
      <c r="J3168" s="25" t="s">
        <v>5816</v>
      </c>
      <c r="K3168" s="25" t="s">
        <v>71</v>
      </c>
      <c r="L3168" s="25" t="s">
        <v>5988</v>
      </c>
      <c r="M3168" s="20" t="s">
        <v>5353</v>
      </c>
      <c r="N3168" s="20" t="s">
        <v>5354</v>
      </c>
      <c r="O3168" s="20" t="s">
        <v>63</v>
      </c>
      <c r="P3168" s="20" t="s">
        <v>52</v>
      </c>
      <c r="Q3168" s="22"/>
      <c r="R3168" s="22"/>
      <c r="S3168" s="22"/>
      <c r="T3168" s="26"/>
      <c r="U3168" s="26"/>
      <c r="V3168" s="26"/>
      <c r="W3168" s="20"/>
      <c r="X3168" s="20"/>
      <c r="Y3168" s="20"/>
      <c r="Z3168" s="20"/>
      <c r="AA3168" s="20"/>
      <c r="AB3168" s="20"/>
      <c r="AC3168" s="20"/>
      <c r="AD3168" s="20"/>
      <c r="AE3168" s="20"/>
    </row>
    <row r="3169">
      <c r="A3169" s="21">
        <v>69.0</v>
      </c>
      <c r="B3169" s="20" t="s">
        <v>1738</v>
      </c>
      <c r="C3169" s="20" t="s">
        <v>6164</v>
      </c>
      <c r="I3169" s="25" t="s">
        <v>5406</v>
      </c>
      <c r="J3169" s="25" t="s">
        <v>5813</v>
      </c>
      <c r="K3169" s="25" t="s">
        <v>71</v>
      </c>
      <c r="L3169" s="25" t="s">
        <v>5998</v>
      </c>
      <c r="M3169" s="20" t="s">
        <v>61</v>
      </c>
      <c r="N3169" s="20" t="s">
        <v>5407</v>
      </c>
      <c r="O3169" s="20" t="s">
        <v>63</v>
      </c>
      <c r="P3169" s="20" t="s">
        <v>52</v>
      </c>
      <c r="Q3169" s="22"/>
      <c r="R3169" s="22"/>
      <c r="S3169" s="22"/>
      <c r="T3169" s="26"/>
      <c r="U3169" s="26"/>
      <c r="V3169" s="26"/>
      <c r="W3169" s="20"/>
      <c r="X3169" s="20"/>
      <c r="Y3169" s="20"/>
      <c r="Z3169" s="20"/>
      <c r="AA3169" s="20"/>
      <c r="AB3169" s="20"/>
      <c r="AC3169" s="20"/>
      <c r="AD3169" s="20"/>
      <c r="AE3169" s="20"/>
    </row>
    <row r="3170">
      <c r="A3170" s="21">
        <v>69.0</v>
      </c>
      <c r="B3170" s="20" t="s">
        <v>1738</v>
      </c>
      <c r="C3170" s="20" t="s">
        <v>6164</v>
      </c>
      <c r="I3170" s="25" t="s">
        <v>5408</v>
      </c>
      <c r="J3170" s="25" t="s">
        <v>5853</v>
      </c>
      <c r="K3170" s="25" t="s">
        <v>71</v>
      </c>
      <c r="L3170" s="25" t="s">
        <v>5986</v>
      </c>
      <c r="M3170" s="20" t="s">
        <v>5855</v>
      </c>
      <c r="N3170" s="20" t="s">
        <v>5856</v>
      </c>
      <c r="O3170" s="20" t="s">
        <v>63</v>
      </c>
      <c r="P3170" s="20" t="s">
        <v>52</v>
      </c>
      <c r="Q3170" s="22"/>
      <c r="R3170" s="22"/>
      <c r="S3170" s="22"/>
      <c r="T3170" s="26"/>
      <c r="U3170" s="26"/>
      <c r="V3170" s="26"/>
      <c r="W3170" s="20"/>
      <c r="X3170" s="20"/>
      <c r="Y3170" s="20"/>
      <c r="Z3170" s="20"/>
      <c r="AA3170" s="20"/>
      <c r="AB3170" s="20"/>
      <c r="AC3170" s="20"/>
      <c r="AD3170" s="20"/>
      <c r="AE3170" s="20"/>
    </row>
    <row r="3171">
      <c r="A3171" s="21">
        <v>69.0</v>
      </c>
      <c r="B3171" s="20" t="s">
        <v>1738</v>
      </c>
      <c r="C3171" s="20" t="s">
        <v>6164</v>
      </c>
      <c r="I3171" s="25" t="s">
        <v>2756</v>
      </c>
      <c r="J3171" s="25" t="s">
        <v>5816</v>
      </c>
      <c r="K3171" s="25" t="s">
        <v>71</v>
      </c>
      <c r="L3171" s="25" t="s">
        <v>6196</v>
      </c>
      <c r="M3171" s="20" t="s">
        <v>4538</v>
      </c>
      <c r="N3171" s="20" t="s">
        <v>4539</v>
      </c>
      <c r="O3171" s="20" t="s">
        <v>63</v>
      </c>
      <c r="P3171" s="20" t="s">
        <v>52</v>
      </c>
      <c r="Q3171" s="22"/>
      <c r="R3171" s="22"/>
      <c r="S3171" s="22"/>
      <c r="T3171" s="26"/>
      <c r="U3171" s="26"/>
      <c r="V3171" s="26"/>
      <c r="W3171" s="20"/>
      <c r="X3171" s="20"/>
      <c r="Y3171" s="20"/>
      <c r="Z3171" s="20"/>
      <c r="AA3171" s="20"/>
      <c r="AB3171" s="20"/>
      <c r="AC3171" s="20"/>
      <c r="AD3171" s="20"/>
      <c r="AE3171" s="20"/>
    </row>
    <row r="3172">
      <c r="A3172" s="21">
        <v>69.0</v>
      </c>
      <c r="B3172" s="20" t="s">
        <v>1738</v>
      </c>
      <c r="C3172" s="20" t="s">
        <v>6164</v>
      </c>
      <c r="I3172" s="25" t="s">
        <v>4455</v>
      </c>
      <c r="J3172" s="25" t="s">
        <v>5813</v>
      </c>
      <c r="K3172" s="25" t="s">
        <v>71</v>
      </c>
      <c r="L3172" s="25" t="s">
        <v>5991</v>
      </c>
      <c r="M3172" s="20" t="s">
        <v>61</v>
      </c>
      <c r="N3172" s="20" t="s">
        <v>5839</v>
      </c>
      <c r="O3172" s="20" t="s">
        <v>63</v>
      </c>
      <c r="P3172" s="20" t="s">
        <v>52</v>
      </c>
      <c r="Q3172" s="22"/>
      <c r="R3172" s="22"/>
      <c r="S3172" s="22"/>
      <c r="T3172" s="26"/>
      <c r="U3172" s="26"/>
      <c r="V3172" s="26"/>
      <c r="W3172" s="20"/>
      <c r="X3172" s="20"/>
      <c r="Y3172" s="20"/>
      <c r="Z3172" s="20"/>
      <c r="AA3172" s="20"/>
      <c r="AB3172" s="20"/>
      <c r="AC3172" s="20"/>
      <c r="AD3172" s="20"/>
      <c r="AE3172" s="20"/>
    </row>
    <row r="3173">
      <c r="A3173" s="21">
        <v>69.0</v>
      </c>
      <c r="B3173" s="20" t="s">
        <v>1738</v>
      </c>
      <c r="C3173" s="20" t="s">
        <v>6164</v>
      </c>
      <c r="I3173" s="25" t="s">
        <v>2787</v>
      </c>
      <c r="J3173" s="25" t="s">
        <v>5816</v>
      </c>
      <c r="K3173" s="25" t="s">
        <v>71</v>
      </c>
      <c r="L3173" s="25" t="s">
        <v>5991</v>
      </c>
      <c r="M3173" s="20" t="s">
        <v>4564</v>
      </c>
      <c r="N3173" s="20" t="s">
        <v>4565</v>
      </c>
      <c r="O3173" s="20" t="s">
        <v>63</v>
      </c>
      <c r="P3173" s="20" t="s">
        <v>52</v>
      </c>
      <c r="Q3173" s="22"/>
      <c r="R3173" s="22"/>
      <c r="S3173" s="22"/>
      <c r="T3173" s="26"/>
      <c r="U3173" s="26"/>
      <c r="V3173" s="26"/>
      <c r="W3173" s="20"/>
      <c r="X3173" s="20"/>
      <c r="Y3173" s="20"/>
      <c r="Z3173" s="20"/>
      <c r="AA3173" s="20"/>
      <c r="AB3173" s="20"/>
      <c r="AC3173" s="20"/>
      <c r="AD3173" s="20"/>
      <c r="AE3173" s="20"/>
    </row>
    <row r="3174">
      <c r="A3174" s="21">
        <v>69.0</v>
      </c>
      <c r="B3174" s="20" t="s">
        <v>1738</v>
      </c>
      <c r="C3174" s="20" t="s">
        <v>6164</v>
      </c>
      <c r="I3174" s="25" t="s">
        <v>4592</v>
      </c>
      <c r="J3174" s="25" t="s">
        <v>5815</v>
      </c>
      <c r="K3174" s="25" t="s">
        <v>71</v>
      </c>
      <c r="L3174" s="25" t="s">
        <v>5991</v>
      </c>
      <c r="M3174" s="20" t="s">
        <v>5869</v>
      </c>
      <c r="N3174" s="20" t="s">
        <v>5870</v>
      </c>
      <c r="O3174" s="20" t="s">
        <v>63</v>
      </c>
      <c r="P3174" s="20" t="s">
        <v>52</v>
      </c>
      <c r="Q3174" s="22"/>
      <c r="R3174" s="22"/>
      <c r="S3174" s="22"/>
      <c r="T3174" s="26"/>
      <c r="U3174" s="26"/>
      <c r="V3174" s="26"/>
      <c r="W3174" s="20"/>
      <c r="X3174" s="20"/>
      <c r="Y3174" s="20"/>
      <c r="Z3174" s="20"/>
      <c r="AA3174" s="20"/>
      <c r="AB3174" s="20"/>
      <c r="AC3174" s="20"/>
      <c r="AD3174" s="20"/>
      <c r="AE3174" s="20"/>
    </row>
    <row r="3175">
      <c r="A3175" s="21">
        <v>69.0</v>
      </c>
      <c r="B3175" s="20" t="s">
        <v>1738</v>
      </c>
      <c r="C3175" s="20" t="s">
        <v>6164</v>
      </c>
      <c r="I3175" s="25" t="s">
        <v>2773</v>
      </c>
      <c r="J3175" s="25" t="s">
        <v>5813</v>
      </c>
      <c r="K3175" s="25" t="s">
        <v>71</v>
      </c>
      <c r="L3175" s="25" t="s">
        <v>6196</v>
      </c>
      <c r="M3175" s="20" t="s">
        <v>4826</v>
      </c>
      <c r="N3175" s="20" t="s">
        <v>4827</v>
      </c>
      <c r="O3175" s="20" t="s">
        <v>63</v>
      </c>
      <c r="P3175" s="20" t="s">
        <v>52</v>
      </c>
      <c r="Q3175" s="22"/>
      <c r="R3175" s="22"/>
      <c r="S3175" s="22"/>
      <c r="T3175" s="26"/>
      <c r="U3175" s="26"/>
      <c r="V3175" s="26"/>
      <c r="W3175" s="20"/>
      <c r="X3175" s="20"/>
      <c r="Y3175" s="20"/>
      <c r="Z3175" s="20"/>
      <c r="AA3175" s="20"/>
      <c r="AB3175" s="20"/>
      <c r="AC3175" s="20"/>
      <c r="AD3175" s="20"/>
      <c r="AE3175" s="20"/>
    </row>
    <row r="3176">
      <c r="A3176" s="21">
        <v>69.0</v>
      </c>
      <c r="B3176" s="20" t="s">
        <v>1738</v>
      </c>
      <c r="C3176" s="20" t="s">
        <v>6164</v>
      </c>
      <c r="I3176" s="25" t="s">
        <v>4112</v>
      </c>
      <c r="J3176" s="25" t="s">
        <v>5816</v>
      </c>
      <c r="K3176" s="25" t="s">
        <v>71</v>
      </c>
      <c r="L3176" s="25" t="s">
        <v>5991</v>
      </c>
      <c r="M3176" s="20" t="s">
        <v>4113</v>
      </c>
      <c r="N3176" s="20" t="s">
        <v>5355</v>
      </c>
      <c r="O3176" s="20" t="s">
        <v>63</v>
      </c>
      <c r="P3176" s="20" t="s">
        <v>52</v>
      </c>
      <c r="Q3176" s="22"/>
      <c r="R3176" s="22"/>
      <c r="S3176" s="22"/>
      <c r="T3176" s="26"/>
      <c r="U3176" s="26"/>
      <c r="V3176" s="26"/>
      <c r="W3176" s="20"/>
      <c r="X3176" s="20"/>
      <c r="Y3176" s="20"/>
      <c r="Z3176" s="20"/>
      <c r="AA3176" s="20"/>
      <c r="AB3176" s="20"/>
      <c r="AC3176" s="20"/>
      <c r="AD3176" s="20"/>
      <c r="AE3176" s="20"/>
    </row>
    <row r="3177">
      <c r="A3177" s="21">
        <v>69.0</v>
      </c>
      <c r="B3177" s="20" t="s">
        <v>1738</v>
      </c>
      <c r="C3177" s="20" t="s">
        <v>6164</v>
      </c>
      <c r="I3177" s="25" t="s">
        <v>4091</v>
      </c>
      <c r="J3177" s="25" t="s">
        <v>5813</v>
      </c>
      <c r="K3177" s="25" t="s">
        <v>71</v>
      </c>
      <c r="L3177" s="25" t="s">
        <v>6197</v>
      </c>
      <c r="M3177" s="20" t="s">
        <v>4487</v>
      </c>
      <c r="N3177" s="20" t="s">
        <v>4488</v>
      </c>
      <c r="O3177" s="20" t="s">
        <v>63</v>
      </c>
      <c r="P3177" s="20" t="s">
        <v>52</v>
      </c>
      <c r="Q3177" s="22"/>
      <c r="R3177" s="22"/>
      <c r="S3177" s="22"/>
      <c r="T3177" s="26"/>
      <c r="U3177" s="26"/>
      <c r="V3177" s="26"/>
      <c r="W3177" s="20"/>
      <c r="X3177" s="20"/>
      <c r="Y3177" s="20"/>
      <c r="Z3177" s="20"/>
      <c r="AA3177" s="20"/>
      <c r="AB3177" s="20"/>
      <c r="AC3177" s="20"/>
      <c r="AD3177" s="20"/>
      <c r="AE3177" s="20"/>
    </row>
    <row r="3178">
      <c r="A3178" s="21">
        <v>69.0</v>
      </c>
      <c r="B3178" s="20" t="s">
        <v>1738</v>
      </c>
      <c r="C3178" s="20" t="s">
        <v>6164</v>
      </c>
      <c r="I3178" s="25" t="s">
        <v>3054</v>
      </c>
      <c r="J3178" s="25" t="s">
        <v>5816</v>
      </c>
      <c r="K3178" s="25" t="s">
        <v>71</v>
      </c>
      <c r="L3178" s="25" t="s">
        <v>6197</v>
      </c>
      <c r="M3178" s="20" t="s">
        <v>5325</v>
      </c>
      <c r="N3178" s="20" t="s">
        <v>5326</v>
      </c>
      <c r="O3178" s="20" t="s">
        <v>63</v>
      </c>
      <c r="P3178" s="20" t="s">
        <v>52</v>
      </c>
      <c r="Q3178" s="22"/>
      <c r="R3178" s="22"/>
      <c r="S3178" s="22"/>
      <c r="T3178" s="26"/>
      <c r="U3178" s="26"/>
      <c r="V3178" s="26"/>
      <c r="W3178" s="20"/>
      <c r="X3178" s="20"/>
      <c r="Y3178" s="20"/>
      <c r="Z3178" s="20"/>
      <c r="AA3178" s="20"/>
      <c r="AB3178" s="20"/>
      <c r="AC3178" s="20"/>
      <c r="AD3178" s="20"/>
      <c r="AE3178" s="20"/>
    </row>
    <row r="3179">
      <c r="A3179" s="21">
        <v>69.0</v>
      </c>
      <c r="B3179" s="20" t="s">
        <v>1738</v>
      </c>
      <c r="C3179" s="20" t="s">
        <v>6164</v>
      </c>
      <c r="I3179" s="25" t="s">
        <v>4512</v>
      </c>
      <c r="J3179" s="25" t="s">
        <v>5853</v>
      </c>
      <c r="K3179" s="25" t="s">
        <v>71</v>
      </c>
      <c r="L3179" s="25" t="s">
        <v>6197</v>
      </c>
      <c r="M3179" s="20" t="s">
        <v>4513</v>
      </c>
      <c r="N3179" s="20" t="s">
        <v>4514</v>
      </c>
      <c r="O3179" s="20" t="s">
        <v>63</v>
      </c>
      <c r="P3179" s="20" t="s">
        <v>52</v>
      </c>
      <c r="Q3179" s="22"/>
      <c r="R3179" s="22"/>
      <c r="S3179" s="22"/>
      <c r="T3179" s="26"/>
      <c r="U3179" s="26"/>
      <c r="V3179" s="26"/>
      <c r="W3179" s="20"/>
      <c r="X3179" s="20"/>
      <c r="Y3179" s="20"/>
      <c r="Z3179" s="20"/>
      <c r="AA3179" s="20"/>
      <c r="AB3179" s="20"/>
      <c r="AC3179" s="20"/>
      <c r="AD3179" s="20"/>
      <c r="AE3179" s="20"/>
    </row>
    <row r="3180">
      <c r="A3180" s="21">
        <v>69.0</v>
      </c>
      <c r="B3180" s="20" t="s">
        <v>1738</v>
      </c>
      <c r="C3180" s="20" t="s">
        <v>6164</v>
      </c>
      <c r="I3180" s="25" t="s">
        <v>4553</v>
      </c>
      <c r="J3180" s="25" t="s">
        <v>5815</v>
      </c>
      <c r="K3180" s="25" t="s">
        <v>71</v>
      </c>
      <c r="L3180" s="25" t="s">
        <v>5991</v>
      </c>
      <c r="M3180" s="20" t="s">
        <v>5871</v>
      </c>
      <c r="N3180" s="20" t="s">
        <v>5872</v>
      </c>
      <c r="O3180" s="20" t="s">
        <v>63</v>
      </c>
      <c r="P3180" s="20" t="s">
        <v>52</v>
      </c>
      <c r="Q3180" s="22"/>
      <c r="R3180" s="22"/>
      <c r="S3180" s="22"/>
      <c r="T3180" s="26"/>
      <c r="U3180" s="26"/>
      <c r="V3180" s="26"/>
      <c r="W3180" s="20"/>
      <c r="X3180" s="20"/>
      <c r="Y3180" s="20"/>
      <c r="Z3180" s="20"/>
      <c r="AA3180" s="20"/>
      <c r="AB3180" s="20"/>
      <c r="AC3180" s="20"/>
      <c r="AD3180" s="20"/>
      <c r="AE3180" s="20"/>
    </row>
    <row r="3181">
      <c r="A3181" s="21">
        <v>69.0</v>
      </c>
      <c r="B3181" s="20" t="s">
        <v>1738</v>
      </c>
      <c r="C3181" s="20" t="s">
        <v>6164</v>
      </c>
      <c r="I3181" s="25" t="s">
        <v>1687</v>
      </c>
      <c r="J3181" s="25" t="s">
        <v>5813</v>
      </c>
      <c r="K3181" s="25" t="s">
        <v>71</v>
      </c>
      <c r="L3181" s="25" t="s">
        <v>5991</v>
      </c>
      <c r="M3181" s="20" t="s">
        <v>5356</v>
      </c>
      <c r="N3181" s="20" t="s">
        <v>5357</v>
      </c>
      <c r="O3181" s="20" t="s">
        <v>63</v>
      </c>
      <c r="P3181" s="20" t="s">
        <v>52</v>
      </c>
      <c r="Q3181" s="22"/>
      <c r="R3181" s="22"/>
      <c r="S3181" s="22"/>
      <c r="T3181" s="26"/>
      <c r="U3181" s="26"/>
      <c r="V3181" s="26"/>
      <c r="W3181" s="20"/>
      <c r="X3181" s="20"/>
      <c r="Y3181" s="20"/>
      <c r="Z3181" s="20"/>
      <c r="AA3181" s="20"/>
      <c r="AB3181" s="20"/>
      <c r="AC3181" s="20"/>
      <c r="AD3181" s="20"/>
      <c r="AE3181" s="20"/>
    </row>
    <row r="3182">
      <c r="A3182" s="21">
        <v>69.0</v>
      </c>
      <c r="B3182" s="20" t="s">
        <v>1738</v>
      </c>
      <c r="C3182" s="20" t="s">
        <v>6164</v>
      </c>
      <c r="I3182" s="25" t="s">
        <v>5372</v>
      </c>
      <c r="J3182" s="25" t="s">
        <v>5816</v>
      </c>
      <c r="K3182" s="25" t="s">
        <v>71</v>
      </c>
      <c r="L3182" s="25" t="s">
        <v>6196</v>
      </c>
      <c r="M3182" s="20" t="s">
        <v>61</v>
      </c>
      <c r="N3182" s="20" t="s">
        <v>5852</v>
      </c>
      <c r="O3182" s="20" t="s">
        <v>63</v>
      </c>
      <c r="P3182" s="20" t="s">
        <v>52</v>
      </c>
      <c r="Q3182" s="22"/>
      <c r="R3182" s="22"/>
      <c r="S3182" s="22"/>
      <c r="T3182" s="26"/>
      <c r="U3182" s="26"/>
      <c r="V3182" s="26"/>
      <c r="W3182" s="20"/>
      <c r="X3182" s="20"/>
      <c r="Y3182" s="20"/>
      <c r="Z3182" s="20"/>
      <c r="AA3182" s="20"/>
      <c r="AB3182" s="20"/>
      <c r="AC3182" s="20"/>
      <c r="AD3182" s="20"/>
      <c r="AE3182" s="20"/>
    </row>
    <row r="3183">
      <c r="A3183" s="21">
        <v>69.0</v>
      </c>
      <c r="B3183" s="20" t="s">
        <v>1738</v>
      </c>
      <c r="C3183" s="20" t="s">
        <v>6164</v>
      </c>
      <c r="I3183" s="25" t="s">
        <v>5386</v>
      </c>
      <c r="J3183" s="25" t="s">
        <v>5813</v>
      </c>
      <c r="K3183" s="25" t="s">
        <v>71</v>
      </c>
      <c r="L3183" s="25" t="s">
        <v>5986</v>
      </c>
      <c r="M3183" s="20" t="s">
        <v>5387</v>
      </c>
      <c r="N3183" s="20" t="s">
        <v>5388</v>
      </c>
      <c r="O3183" s="20" t="s">
        <v>63</v>
      </c>
      <c r="P3183" s="20" t="s">
        <v>52</v>
      </c>
      <c r="Q3183" s="22"/>
      <c r="R3183" s="22"/>
      <c r="S3183" s="22"/>
      <c r="T3183" s="26"/>
      <c r="U3183" s="26"/>
      <c r="V3183" s="26"/>
      <c r="W3183" s="20"/>
      <c r="X3183" s="20"/>
      <c r="Y3183" s="20"/>
      <c r="Z3183" s="20"/>
      <c r="AA3183" s="20"/>
      <c r="AB3183" s="20"/>
      <c r="AC3183" s="20"/>
      <c r="AD3183" s="20"/>
      <c r="AE3183" s="20"/>
    </row>
    <row r="3184">
      <c r="A3184" s="21">
        <v>69.0</v>
      </c>
      <c r="B3184" s="20" t="s">
        <v>1738</v>
      </c>
      <c r="C3184" s="20" t="s">
        <v>6164</v>
      </c>
      <c r="I3184" s="25" t="s">
        <v>3321</v>
      </c>
      <c r="J3184" s="25" t="s">
        <v>5816</v>
      </c>
      <c r="K3184" s="25" t="s">
        <v>71</v>
      </c>
      <c r="L3184" s="25" t="s">
        <v>5988</v>
      </c>
      <c r="M3184" s="20" t="s">
        <v>5358</v>
      </c>
      <c r="N3184" s="20" t="s">
        <v>5359</v>
      </c>
      <c r="O3184" s="20" t="s">
        <v>63</v>
      </c>
      <c r="P3184" s="20" t="s">
        <v>52</v>
      </c>
      <c r="Q3184" s="22"/>
      <c r="R3184" s="22"/>
      <c r="S3184" s="22"/>
      <c r="T3184" s="26"/>
      <c r="U3184" s="26"/>
      <c r="V3184" s="26"/>
      <c r="W3184" s="20"/>
      <c r="X3184" s="20"/>
      <c r="Y3184" s="20"/>
      <c r="Z3184" s="20"/>
      <c r="AA3184" s="20"/>
      <c r="AB3184" s="20"/>
      <c r="AC3184" s="20"/>
      <c r="AD3184" s="20"/>
      <c r="AE3184" s="20"/>
    </row>
    <row r="3185">
      <c r="A3185" s="21">
        <v>70.0</v>
      </c>
      <c r="B3185" s="20" t="s">
        <v>5194</v>
      </c>
      <c r="C3185" s="20" t="s">
        <v>6164</v>
      </c>
      <c r="D3185" s="35">
        <v>50.0</v>
      </c>
      <c r="E3185" s="35">
        <v>1.0</v>
      </c>
      <c r="F3185" s="35">
        <v>11.0</v>
      </c>
      <c r="G3185" s="35">
        <v>38.0</v>
      </c>
      <c r="H3185" s="36" t="s">
        <v>6227</v>
      </c>
      <c r="I3185" s="25" t="s">
        <v>457</v>
      </c>
      <c r="J3185" s="25" t="s">
        <v>5873</v>
      </c>
      <c r="K3185" s="25" t="s">
        <v>67</v>
      </c>
      <c r="L3185" s="25" t="s">
        <v>1133</v>
      </c>
      <c r="M3185" s="20" t="s">
        <v>4474</v>
      </c>
      <c r="N3185" s="20" t="s">
        <v>5874</v>
      </c>
      <c r="O3185" s="20" t="s">
        <v>56</v>
      </c>
      <c r="P3185" s="20" t="s">
        <v>52</v>
      </c>
      <c r="Q3185" s="22"/>
      <c r="R3185" s="22"/>
      <c r="S3185" s="22"/>
      <c r="T3185" s="22"/>
      <c r="U3185" s="26"/>
      <c r="V3185" s="26"/>
      <c r="W3185" s="20"/>
      <c r="X3185" s="20"/>
      <c r="Y3185" s="20"/>
      <c r="Z3185" s="20"/>
      <c r="AA3185" s="20"/>
      <c r="AB3185" s="20"/>
      <c r="AC3185" s="20"/>
      <c r="AD3185" s="20"/>
      <c r="AE3185" s="20"/>
    </row>
    <row r="3186">
      <c r="A3186" s="21">
        <v>70.0</v>
      </c>
      <c r="B3186" s="20" t="s">
        <v>5194</v>
      </c>
      <c r="C3186" s="20" t="s">
        <v>6164</v>
      </c>
      <c r="I3186" s="25" t="s">
        <v>4072</v>
      </c>
      <c r="J3186" s="25" t="s">
        <v>5873</v>
      </c>
      <c r="K3186" s="25" t="s">
        <v>67</v>
      </c>
      <c r="L3186" s="25" t="s">
        <v>1133</v>
      </c>
      <c r="M3186" s="20" t="s">
        <v>61</v>
      </c>
      <c r="N3186" s="20" t="s">
        <v>5875</v>
      </c>
      <c r="O3186" s="20" t="s">
        <v>56</v>
      </c>
      <c r="P3186" s="20" t="s">
        <v>52</v>
      </c>
      <c r="Q3186" s="22"/>
      <c r="R3186" s="22"/>
      <c r="S3186" s="22"/>
      <c r="T3186" s="22"/>
      <c r="U3186" s="26"/>
      <c r="V3186" s="26"/>
      <c r="W3186" s="20"/>
      <c r="X3186" s="20"/>
      <c r="Y3186" s="20"/>
      <c r="Z3186" s="20"/>
      <c r="AA3186" s="20"/>
      <c r="AB3186" s="20"/>
      <c r="AC3186" s="20"/>
      <c r="AD3186" s="20"/>
      <c r="AE3186" s="20"/>
    </row>
    <row r="3187">
      <c r="A3187" s="21">
        <v>70.0</v>
      </c>
      <c r="B3187" s="20" t="s">
        <v>5194</v>
      </c>
      <c r="C3187" s="20" t="s">
        <v>6164</v>
      </c>
      <c r="I3187" s="25" t="s">
        <v>3054</v>
      </c>
      <c r="J3187" s="25" t="s">
        <v>5873</v>
      </c>
      <c r="K3187" s="25" t="s">
        <v>67</v>
      </c>
      <c r="L3187" s="25" t="s">
        <v>1133</v>
      </c>
      <c r="M3187" s="20" t="s">
        <v>5876</v>
      </c>
      <c r="N3187" s="20" t="s">
        <v>5877</v>
      </c>
      <c r="O3187" s="20" t="s">
        <v>56</v>
      </c>
      <c r="P3187" s="20" t="s">
        <v>52</v>
      </c>
      <c r="Q3187" s="22"/>
      <c r="R3187" s="22"/>
      <c r="S3187" s="22"/>
      <c r="T3187" s="22"/>
      <c r="U3187" s="26"/>
      <c r="V3187" s="26"/>
      <c r="W3187" s="20"/>
      <c r="X3187" s="20"/>
      <c r="Y3187" s="20"/>
      <c r="Z3187" s="20"/>
      <c r="AA3187" s="20"/>
      <c r="AB3187" s="20"/>
      <c r="AC3187" s="20"/>
      <c r="AD3187" s="20"/>
      <c r="AE3187" s="20"/>
    </row>
    <row r="3188">
      <c r="A3188" s="21">
        <v>70.0</v>
      </c>
      <c r="B3188" s="20" t="s">
        <v>5194</v>
      </c>
      <c r="C3188" s="20" t="s">
        <v>6164</v>
      </c>
      <c r="I3188" s="25" t="s">
        <v>5386</v>
      </c>
      <c r="J3188" s="25" t="s">
        <v>5873</v>
      </c>
      <c r="K3188" s="25" t="s">
        <v>57</v>
      </c>
      <c r="L3188" s="25" t="s">
        <v>6228</v>
      </c>
      <c r="M3188" s="20" t="s">
        <v>61</v>
      </c>
      <c r="N3188" s="20" t="s">
        <v>5644</v>
      </c>
      <c r="O3188" s="20" t="s">
        <v>56</v>
      </c>
      <c r="P3188" s="20"/>
      <c r="Q3188" s="22"/>
      <c r="R3188" s="22"/>
      <c r="S3188" s="22"/>
      <c r="T3188" s="26"/>
      <c r="U3188" s="26"/>
      <c r="V3188" s="26"/>
      <c r="W3188" s="20"/>
      <c r="X3188" s="20"/>
      <c r="Y3188" s="20"/>
      <c r="Z3188" s="20"/>
      <c r="AA3188" s="20"/>
      <c r="AB3188" s="20"/>
      <c r="AC3188" s="20"/>
      <c r="AD3188" s="20"/>
      <c r="AE3188" s="20"/>
    </row>
    <row r="3189">
      <c r="A3189" s="21">
        <v>70.0</v>
      </c>
      <c r="B3189" s="20" t="s">
        <v>5194</v>
      </c>
      <c r="C3189" s="20" t="s">
        <v>6164</v>
      </c>
      <c r="I3189" s="25" t="s">
        <v>2551</v>
      </c>
      <c r="J3189" s="25" t="s">
        <v>5873</v>
      </c>
      <c r="K3189" s="25" t="s">
        <v>67</v>
      </c>
      <c r="L3189" s="25" t="s">
        <v>6229</v>
      </c>
      <c r="M3189" s="20" t="s">
        <v>5380</v>
      </c>
      <c r="N3189" s="20" t="s">
        <v>5878</v>
      </c>
      <c r="O3189" s="20" t="s">
        <v>56</v>
      </c>
      <c r="P3189" s="20"/>
      <c r="Q3189" s="22"/>
      <c r="R3189" s="22"/>
      <c r="S3189" s="22"/>
      <c r="T3189" s="26"/>
      <c r="U3189" s="26"/>
      <c r="V3189" s="26"/>
      <c r="W3189" s="20"/>
      <c r="X3189" s="20"/>
      <c r="Y3189" s="20"/>
      <c r="Z3189" s="20"/>
      <c r="AA3189" s="20"/>
      <c r="AB3189" s="20"/>
      <c r="AC3189" s="20"/>
      <c r="AD3189" s="20"/>
      <c r="AE3189" s="20"/>
    </row>
    <row r="3190">
      <c r="A3190" s="21">
        <v>70.0</v>
      </c>
      <c r="B3190" s="20" t="s">
        <v>5194</v>
      </c>
      <c r="C3190" s="20" t="s">
        <v>6164</v>
      </c>
      <c r="I3190" s="25" t="s">
        <v>98</v>
      </c>
      <c r="J3190" s="25" t="s">
        <v>5873</v>
      </c>
      <c r="K3190" s="25" t="s">
        <v>71</v>
      </c>
      <c r="L3190" s="25" t="s">
        <v>6230</v>
      </c>
      <c r="M3190" s="20" t="s">
        <v>61</v>
      </c>
      <c r="N3190" s="20" t="s">
        <v>5886</v>
      </c>
      <c r="O3190" s="20" t="s">
        <v>56</v>
      </c>
      <c r="P3190" s="20"/>
      <c r="Q3190" s="22"/>
      <c r="R3190" s="22"/>
      <c r="S3190" s="22"/>
      <c r="T3190" s="26"/>
      <c r="U3190" s="26"/>
      <c r="V3190" s="26"/>
      <c r="W3190" s="20"/>
      <c r="X3190" s="20"/>
      <c r="Y3190" s="20"/>
      <c r="Z3190" s="20"/>
      <c r="AA3190" s="20"/>
      <c r="AB3190" s="20"/>
      <c r="AC3190" s="20"/>
      <c r="AD3190" s="20"/>
      <c r="AE3190" s="20"/>
    </row>
    <row r="3191">
      <c r="A3191" s="21">
        <v>70.0</v>
      </c>
      <c r="B3191" s="20" t="s">
        <v>5194</v>
      </c>
      <c r="C3191" s="20" t="s">
        <v>6164</v>
      </c>
      <c r="I3191" s="25" t="s">
        <v>4581</v>
      </c>
      <c r="J3191" s="25" t="s">
        <v>5873</v>
      </c>
      <c r="K3191" s="25" t="s">
        <v>71</v>
      </c>
      <c r="L3191" s="25" t="s">
        <v>6230</v>
      </c>
      <c r="M3191" s="20" t="s">
        <v>5862</v>
      </c>
      <c r="N3191" s="20" t="s">
        <v>5887</v>
      </c>
      <c r="O3191" s="20" t="s">
        <v>56</v>
      </c>
      <c r="P3191" s="20"/>
      <c r="Q3191" s="22"/>
      <c r="R3191" s="22"/>
      <c r="S3191" s="22"/>
      <c r="T3191" s="26"/>
      <c r="U3191" s="26"/>
      <c r="V3191" s="26"/>
      <c r="W3191" s="20"/>
      <c r="X3191" s="20"/>
      <c r="Y3191" s="20"/>
      <c r="Z3191" s="20"/>
      <c r="AA3191" s="20"/>
      <c r="AB3191" s="20"/>
      <c r="AC3191" s="20"/>
      <c r="AD3191" s="20"/>
      <c r="AE3191" s="20"/>
    </row>
    <row r="3192">
      <c r="A3192" s="21">
        <v>70.0</v>
      </c>
      <c r="B3192" s="20" t="s">
        <v>5194</v>
      </c>
      <c r="C3192" s="20" t="s">
        <v>6164</v>
      </c>
      <c r="I3192" s="25" t="s">
        <v>2024</v>
      </c>
      <c r="J3192" s="25" t="s">
        <v>5873</v>
      </c>
      <c r="K3192" s="25" t="s">
        <v>67</v>
      </c>
      <c r="L3192" s="25" t="s">
        <v>1133</v>
      </c>
      <c r="M3192" s="20" t="s">
        <v>5423</v>
      </c>
      <c r="N3192" s="20" t="s">
        <v>5879</v>
      </c>
      <c r="O3192" s="20" t="s">
        <v>56</v>
      </c>
      <c r="P3192" s="20" t="s">
        <v>52</v>
      </c>
      <c r="Q3192" s="22"/>
      <c r="R3192" s="22"/>
      <c r="S3192" s="22"/>
      <c r="T3192" s="22"/>
      <c r="U3192" s="26"/>
      <c r="V3192" s="26"/>
      <c r="W3192" s="20"/>
      <c r="X3192" s="20"/>
      <c r="Y3192" s="20"/>
      <c r="Z3192" s="20"/>
      <c r="AA3192" s="20"/>
      <c r="AB3192" s="20"/>
      <c r="AC3192" s="20"/>
      <c r="AD3192" s="20"/>
      <c r="AE3192" s="20"/>
    </row>
    <row r="3193">
      <c r="A3193" s="21">
        <v>70.0</v>
      </c>
      <c r="B3193" s="20" t="s">
        <v>5194</v>
      </c>
      <c r="C3193" s="20" t="s">
        <v>6164</v>
      </c>
      <c r="I3193" s="25" t="s">
        <v>4952</v>
      </c>
      <c r="J3193" s="25" t="s">
        <v>5873</v>
      </c>
      <c r="K3193" s="25" t="s">
        <v>67</v>
      </c>
      <c r="L3193" s="25" t="s">
        <v>1133</v>
      </c>
      <c r="M3193" s="20" t="s">
        <v>5664</v>
      </c>
      <c r="N3193" s="20" t="s">
        <v>5665</v>
      </c>
      <c r="O3193" s="20" t="s">
        <v>56</v>
      </c>
      <c r="P3193" s="20" t="s">
        <v>52</v>
      </c>
      <c r="Q3193" s="22"/>
      <c r="R3193" s="22"/>
      <c r="S3193" s="22"/>
      <c r="T3193" s="22"/>
      <c r="U3193" s="26"/>
      <c r="V3193" s="26"/>
      <c r="W3193" s="20"/>
      <c r="X3193" s="20"/>
      <c r="Y3193" s="20"/>
      <c r="Z3193" s="20"/>
      <c r="AA3193" s="20"/>
      <c r="AB3193" s="20"/>
      <c r="AC3193" s="20"/>
      <c r="AD3193" s="20"/>
      <c r="AE3193" s="20"/>
    </row>
    <row r="3194">
      <c r="A3194" s="21">
        <v>70.0</v>
      </c>
      <c r="B3194" s="20" t="s">
        <v>5194</v>
      </c>
      <c r="C3194" s="20" t="s">
        <v>6164</v>
      </c>
      <c r="I3194" s="25" t="s">
        <v>53</v>
      </c>
      <c r="J3194" s="25" t="s">
        <v>5907</v>
      </c>
      <c r="K3194" s="25" t="s">
        <v>71</v>
      </c>
      <c r="L3194" s="25" t="s">
        <v>6231</v>
      </c>
      <c r="M3194" s="20" t="s">
        <v>5908</v>
      </c>
      <c r="N3194" s="20" t="s">
        <v>5909</v>
      </c>
      <c r="O3194" s="20" t="s">
        <v>63</v>
      </c>
      <c r="P3194" s="20" t="s">
        <v>52</v>
      </c>
      <c r="Q3194" s="22"/>
      <c r="R3194" s="22"/>
      <c r="S3194" s="22"/>
      <c r="T3194" s="26"/>
      <c r="U3194" s="26"/>
      <c r="V3194" s="26"/>
      <c r="W3194" s="20"/>
      <c r="X3194" s="20"/>
      <c r="Y3194" s="20"/>
      <c r="Z3194" s="20"/>
      <c r="AA3194" s="20"/>
      <c r="AB3194" s="20"/>
      <c r="AC3194" s="20"/>
      <c r="AD3194" s="20"/>
      <c r="AE3194" s="20"/>
    </row>
    <row r="3195">
      <c r="A3195" s="21">
        <v>70.0</v>
      </c>
      <c r="B3195" s="20" t="s">
        <v>5194</v>
      </c>
      <c r="C3195" s="20" t="s">
        <v>6164</v>
      </c>
      <c r="I3195" s="25" t="s">
        <v>91</v>
      </c>
      <c r="J3195" s="25" t="s">
        <v>5873</v>
      </c>
      <c r="K3195" s="25" t="s">
        <v>71</v>
      </c>
      <c r="L3195" s="25" t="s">
        <v>6232</v>
      </c>
      <c r="M3195" s="20" t="s">
        <v>5888</v>
      </c>
      <c r="N3195" s="20" t="s">
        <v>5889</v>
      </c>
      <c r="O3195" s="20" t="s">
        <v>56</v>
      </c>
      <c r="P3195" s="20" t="s">
        <v>52</v>
      </c>
      <c r="Q3195" s="22"/>
      <c r="R3195" s="22"/>
      <c r="S3195" s="22"/>
      <c r="T3195" s="26"/>
      <c r="U3195" s="26"/>
      <c r="V3195" s="26"/>
      <c r="W3195" s="20"/>
      <c r="X3195" s="20"/>
      <c r="Y3195" s="20"/>
      <c r="Z3195" s="20"/>
      <c r="AA3195" s="20"/>
      <c r="AB3195" s="20"/>
      <c r="AC3195" s="20"/>
      <c r="AD3195" s="20"/>
      <c r="AE3195" s="20"/>
    </row>
    <row r="3196">
      <c r="A3196" s="21">
        <v>70.0</v>
      </c>
      <c r="B3196" s="20" t="s">
        <v>5194</v>
      </c>
      <c r="C3196" s="20" t="s">
        <v>6164</v>
      </c>
      <c r="I3196" s="25" t="s">
        <v>140</v>
      </c>
      <c r="J3196" s="25" t="s">
        <v>5924</v>
      </c>
      <c r="K3196" s="25" t="s">
        <v>71</v>
      </c>
      <c r="L3196" s="25" t="s">
        <v>6233</v>
      </c>
      <c r="M3196" s="20" t="s">
        <v>61</v>
      </c>
      <c r="N3196" s="20" t="s">
        <v>5925</v>
      </c>
      <c r="O3196" s="20" t="s">
        <v>63</v>
      </c>
      <c r="P3196" s="20" t="s">
        <v>52</v>
      </c>
      <c r="Q3196" s="22"/>
      <c r="R3196" s="22"/>
      <c r="S3196" s="22"/>
      <c r="T3196" s="26"/>
      <c r="U3196" s="26"/>
      <c r="V3196" s="26"/>
      <c r="W3196" s="20"/>
      <c r="X3196" s="20"/>
      <c r="Y3196" s="20"/>
      <c r="Z3196" s="20"/>
      <c r="AA3196" s="20"/>
      <c r="AB3196" s="20"/>
      <c r="AC3196" s="20"/>
      <c r="AD3196" s="20"/>
      <c r="AE3196" s="20"/>
    </row>
    <row r="3197">
      <c r="A3197" s="21">
        <v>70.0</v>
      </c>
      <c r="B3197" s="20" t="s">
        <v>5194</v>
      </c>
      <c r="C3197" s="20" t="s">
        <v>6164</v>
      </c>
      <c r="I3197" s="25" t="s">
        <v>2497</v>
      </c>
      <c r="J3197" s="25" t="s">
        <v>5873</v>
      </c>
      <c r="K3197" s="25" t="s">
        <v>67</v>
      </c>
      <c r="L3197" s="25" t="s">
        <v>1025</v>
      </c>
      <c r="M3197" s="20" t="s">
        <v>5880</v>
      </c>
      <c r="N3197" s="20" t="s">
        <v>5881</v>
      </c>
      <c r="O3197" s="20" t="s">
        <v>56</v>
      </c>
      <c r="P3197" s="20" t="s">
        <v>52</v>
      </c>
      <c r="Q3197" s="22"/>
      <c r="R3197" s="22"/>
      <c r="S3197" s="22"/>
      <c r="T3197" s="22"/>
      <c r="U3197" s="26"/>
      <c r="V3197" s="26"/>
      <c r="W3197" s="20"/>
      <c r="X3197" s="20"/>
      <c r="Y3197" s="20"/>
      <c r="Z3197" s="20"/>
      <c r="AA3197" s="20"/>
      <c r="AB3197" s="20"/>
      <c r="AC3197" s="20"/>
      <c r="AD3197" s="20"/>
      <c r="AE3197" s="20"/>
    </row>
    <row r="3198">
      <c r="A3198" s="21">
        <v>70.0</v>
      </c>
      <c r="B3198" s="20" t="s">
        <v>5194</v>
      </c>
      <c r="C3198" s="20" t="s">
        <v>6164</v>
      </c>
      <c r="I3198" s="25" t="s">
        <v>68</v>
      </c>
      <c r="J3198" s="25" t="s">
        <v>5873</v>
      </c>
      <c r="K3198" s="25" t="s">
        <v>71</v>
      </c>
      <c r="L3198" s="25" t="s">
        <v>6231</v>
      </c>
      <c r="M3198" s="20" t="s">
        <v>61</v>
      </c>
      <c r="N3198" s="20" t="s">
        <v>5890</v>
      </c>
      <c r="O3198" s="20" t="s">
        <v>56</v>
      </c>
      <c r="P3198" s="20" t="s">
        <v>52</v>
      </c>
      <c r="Q3198" s="22"/>
      <c r="R3198" s="22"/>
      <c r="S3198" s="22"/>
      <c r="T3198" s="26"/>
      <c r="U3198" s="26"/>
      <c r="V3198" s="26"/>
      <c r="W3198" s="20"/>
      <c r="X3198" s="20"/>
      <c r="Y3198" s="20"/>
      <c r="Z3198" s="20"/>
      <c r="AA3198" s="20"/>
      <c r="AB3198" s="20"/>
      <c r="AC3198" s="20"/>
      <c r="AD3198" s="20"/>
      <c r="AE3198" s="20"/>
    </row>
    <row r="3199">
      <c r="A3199" s="21">
        <v>70.0</v>
      </c>
      <c r="B3199" s="20" t="s">
        <v>5194</v>
      </c>
      <c r="C3199" s="20" t="s">
        <v>6164</v>
      </c>
      <c r="I3199" s="25" t="s">
        <v>78</v>
      </c>
      <c r="J3199" s="25" t="s">
        <v>5907</v>
      </c>
      <c r="K3199" s="25" t="s">
        <v>71</v>
      </c>
      <c r="L3199" s="25" t="s">
        <v>6231</v>
      </c>
      <c r="M3199" s="20" t="s">
        <v>79</v>
      </c>
      <c r="N3199" s="20" t="s">
        <v>5910</v>
      </c>
      <c r="O3199" s="20" t="s">
        <v>63</v>
      </c>
      <c r="P3199" s="20" t="s">
        <v>52</v>
      </c>
      <c r="Q3199" s="22"/>
      <c r="R3199" s="22"/>
      <c r="S3199" s="22"/>
      <c r="T3199" s="26"/>
      <c r="U3199" s="26"/>
      <c r="V3199" s="26"/>
      <c r="W3199" s="20"/>
      <c r="X3199" s="20"/>
      <c r="Y3199" s="20"/>
      <c r="Z3199" s="20"/>
      <c r="AA3199" s="20"/>
      <c r="AB3199" s="20"/>
      <c r="AC3199" s="20"/>
      <c r="AD3199" s="20"/>
      <c r="AE3199" s="20"/>
    </row>
    <row r="3200">
      <c r="A3200" s="21">
        <v>70.0</v>
      </c>
      <c r="B3200" s="20" t="s">
        <v>5194</v>
      </c>
      <c r="C3200" s="20" t="s">
        <v>6164</v>
      </c>
      <c r="I3200" s="25" t="s">
        <v>104</v>
      </c>
      <c r="J3200" s="25" t="s">
        <v>5924</v>
      </c>
      <c r="K3200" s="25" t="s">
        <v>71</v>
      </c>
      <c r="L3200" s="25" t="s">
        <v>6231</v>
      </c>
      <c r="M3200" s="20" t="s">
        <v>5926</v>
      </c>
      <c r="N3200" s="20" t="s">
        <v>5927</v>
      </c>
      <c r="O3200" s="20" t="s">
        <v>63</v>
      </c>
      <c r="P3200" s="20" t="s">
        <v>52</v>
      </c>
      <c r="Q3200" s="22"/>
      <c r="R3200" s="22"/>
      <c r="S3200" s="22"/>
      <c r="T3200" s="26"/>
      <c r="U3200" s="26"/>
      <c r="V3200" s="26"/>
      <c r="W3200" s="20"/>
      <c r="X3200" s="20"/>
      <c r="Y3200" s="20"/>
      <c r="Z3200" s="20"/>
      <c r="AA3200" s="20"/>
      <c r="AB3200" s="20"/>
      <c r="AC3200" s="20"/>
      <c r="AD3200" s="20"/>
      <c r="AE3200" s="20"/>
    </row>
    <row r="3201">
      <c r="A3201" s="21">
        <v>70.0</v>
      </c>
      <c r="B3201" s="20" t="s">
        <v>5194</v>
      </c>
      <c r="C3201" s="20" t="s">
        <v>6164</v>
      </c>
      <c r="I3201" s="25" t="s">
        <v>3446</v>
      </c>
      <c r="J3201" s="25" t="s">
        <v>5898</v>
      </c>
      <c r="K3201" s="25" t="s">
        <v>71</v>
      </c>
      <c r="L3201" s="25" t="s">
        <v>6231</v>
      </c>
      <c r="M3201" s="20" t="s">
        <v>4579</v>
      </c>
      <c r="N3201" s="20" t="s">
        <v>5899</v>
      </c>
      <c r="O3201" s="20" t="s">
        <v>63</v>
      </c>
      <c r="P3201" s="20" t="s">
        <v>52</v>
      </c>
      <c r="Q3201" s="22"/>
      <c r="R3201" s="22"/>
      <c r="S3201" s="22"/>
      <c r="T3201" s="26"/>
      <c r="U3201" s="26"/>
      <c r="V3201" s="26"/>
      <c r="W3201" s="20"/>
      <c r="X3201" s="20"/>
      <c r="Y3201" s="20"/>
      <c r="Z3201" s="20"/>
      <c r="AA3201" s="20"/>
      <c r="AB3201" s="20"/>
      <c r="AC3201" s="20"/>
      <c r="AD3201" s="20"/>
      <c r="AE3201" s="20"/>
    </row>
    <row r="3202">
      <c r="A3202" s="21">
        <v>70.0</v>
      </c>
      <c r="B3202" s="20" t="s">
        <v>5194</v>
      </c>
      <c r="C3202" s="20" t="s">
        <v>6164</v>
      </c>
      <c r="I3202" s="25" t="s">
        <v>1156</v>
      </c>
      <c r="J3202" s="25" t="s">
        <v>5873</v>
      </c>
      <c r="K3202" s="25" t="s">
        <v>71</v>
      </c>
      <c r="L3202" s="25" t="s">
        <v>6232</v>
      </c>
      <c r="M3202" s="20" t="s">
        <v>5753</v>
      </c>
      <c r="N3202" s="20" t="s">
        <v>5891</v>
      </c>
      <c r="O3202" s="20" t="s">
        <v>56</v>
      </c>
      <c r="P3202" s="20" t="s">
        <v>52</v>
      </c>
      <c r="Q3202" s="22"/>
      <c r="R3202" s="22"/>
      <c r="S3202" s="22"/>
      <c r="T3202" s="26"/>
      <c r="U3202" s="26"/>
      <c r="V3202" s="26"/>
      <c r="W3202" s="20"/>
      <c r="X3202" s="20"/>
      <c r="Y3202" s="20"/>
      <c r="Z3202" s="20"/>
      <c r="AA3202" s="20"/>
      <c r="AB3202" s="20"/>
      <c r="AC3202" s="20"/>
      <c r="AD3202" s="20"/>
      <c r="AE3202" s="20"/>
    </row>
    <row r="3203">
      <c r="A3203" s="21">
        <v>70.0</v>
      </c>
      <c r="B3203" s="20" t="s">
        <v>5194</v>
      </c>
      <c r="C3203" s="20" t="s">
        <v>6164</v>
      </c>
      <c r="I3203" s="25" t="s">
        <v>2328</v>
      </c>
      <c r="J3203" s="25" t="s">
        <v>5873</v>
      </c>
      <c r="K3203" s="25" t="s">
        <v>67</v>
      </c>
      <c r="L3203" s="25" t="s">
        <v>1025</v>
      </c>
      <c r="M3203" s="20" t="s">
        <v>2329</v>
      </c>
      <c r="N3203" s="20" t="s">
        <v>5882</v>
      </c>
      <c r="O3203" s="20" t="s">
        <v>56</v>
      </c>
      <c r="P3203" s="20" t="s">
        <v>52</v>
      </c>
      <c r="Q3203" s="22"/>
      <c r="R3203" s="22"/>
      <c r="S3203" s="22"/>
      <c r="T3203" s="22"/>
      <c r="U3203" s="26"/>
      <c r="V3203" s="26"/>
      <c r="W3203" s="20"/>
      <c r="X3203" s="20"/>
      <c r="Y3203" s="20"/>
      <c r="Z3203" s="20"/>
      <c r="AA3203" s="20"/>
      <c r="AB3203" s="20"/>
      <c r="AC3203" s="20"/>
      <c r="AD3203" s="20"/>
      <c r="AE3203" s="20"/>
    </row>
    <row r="3204">
      <c r="A3204" s="21">
        <v>70.0</v>
      </c>
      <c r="B3204" s="20" t="s">
        <v>5194</v>
      </c>
      <c r="C3204" s="20" t="s">
        <v>6164</v>
      </c>
      <c r="I3204" s="25" t="s">
        <v>2735</v>
      </c>
      <c r="J3204" s="25" t="s">
        <v>5907</v>
      </c>
      <c r="K3204" s="25" t="s">
        <v>71</v>
      </c>
      <c r="L3204" s="25" t="s">
        <v>6234</v>
      </c>
      <c r="M3204" s="20" t="s">
        <v>61</v>
      </c>
      <c r="N3204" s="20" t="s">
        <v>5911</v>
      </c>
      <c r="O3204" s="20" t="s">
        <v>63</v>
      </c>
      <c r="P3204" s="20" t="s">
        <v>52</v>
      </c>
      <c r="Q3204" s="22"/>
      <c r="R3204" s="22"/>
      <c r="S3204" s="22"/>
      <c r="T3204" s="26"/>
      <c r="U3204" s="26"/>
      <c r="V3204" s="26"/>
      <c r="W3204" s="20"/>
      <c r="X3204" s="20"/>
      <c r="Y3204" s="20"/>
      <c r="Z3204" s="20"/>
      <c r="AA3204" s="20"/>
      <c r="AB3204" s="20"/>
      <c r="AC3204" s="20"/>
      <c r="AD3204" s="20"/>
      <c r="AE3204" s="20"/>
    </row>
    <row r="3205">
      <c r="A3205" s="21">
        <v>70.0</v>
      </c>
      <c r="B3205" s="20" t="s">
        <v>5194</v>
      </c>
      <c r="C3205" s="20" t="s">
        <v>6164</v>
      </c>
      <c r="I3205" s="25" t="s">
        <v>711</v>
      </c>
      <c r="J3205" s="25" t="s">
        <v>5924</v>
      </c>
      <c r="K3205" s="25" t="s">
        <v>71</v>
      </c>
      <c r="L3205" s="25" t="s">
        <v>6234</v>
      </c>
      <c r="M3205" s="20" t="s">
        <v>61</v>
      </c>
      <c r="N3205" s="20" t="s">
        <v>5928</v>
      </c>
      <c r="O3205" s="20" t="s">
        <v>63</v>
      </c>
      <c r="P3205" s="20" t="s">
        <v>52</v>
      </c>
      <c r="Q3205" s="22"/>
      <c r="R3205" s="22"/>
      <c r="S3205" s="22"/>
      <c r="T3205" s="26"/>
      <c r="U3205" s="26"/>
      <c r="V3205" s="26"/>
      <c r="W3205" s="20"/>
      <c r="X3205" s="20"/>
      <c r="Y3205" s="20"/>
      <c r="Z3205" s="20"/>
      <c r="AA3205" s="20"/>
      <c r="AB3205" s="20"/>
      <c r="AC3205" s="20"/>
      <c r="AD3205" s="20"/>
      <c r="AE3205" s="20"/>
    </row>
    <row r="3206">
      <c r="A3206" s="21">
        <v>70.0</v>
      </c>
      <c r="B3206" s="20" t="s">
        <v>5194</v>
      </c>
      <c r="C3206" s="20" t="s">
        <v>6164</v>
      </c>
      <c r="I3206" s="25" t="s">
        <v>413</v>
      </c>
      <c r="J3206" s="25" t="s">
        <v>5907</v>
      </c>
      <c r="K3206" s="25" t="s">
        <v>71</v>
      </c>
      <c r="L3206" s="25" t="s">
        <v>6231</v>
      </c>
      <c r="M3206" s="20" t="s">
        <v>5395</v>
      </c>
      <c r="N3206" s="20" t="s">
        <v>5912</v>
      </c>
      <c r="O3206" s="20" t="s">
        <v>63</v>
      </c>
      <c r="P3206" s="20" t="s">
        <v>52</v>
      </c>
      <c r="Q3206" s="22"/>
      <c r="R3206" s="22"/>
      <c r="S3206" s="22"/>
      <c r="T3206" s="26"/>
      <c r="U3206" s="26"/>
      <c r="V3206" s="26"/>
      <c r="W3206" s="20"/>
      <c r="X3206" s="20"/>
      <c r="Y3206" s="20"/>
      <c r="Z3206" s="20"/>
      <c r="AA3206" s="20"/>
      <c r="AB3206" s="20"/>
      <c r="AC3206" s="20"/>
      <c r="AD3206" s="20"/>
      <c r="AE3206" s="20"/>
    </row>
    <row r="3207">
      <c r="A3207" s="21">
        <v>70.0</v>
      </c>
      <c r="B3207" s="20" t="s">
        <v>5194</v>
      </c>
      <c r="C3207" s="20" t="s">
        <v>6164</v>
      </c>
      <c r="I3207" s="25" t="s">
        <v>5435</v>
      </c>
      <c r="J3207" s="25" t="s">
        <v>5873</v>
      </c>
      <c r="K3207" s="25" t="s">
        <v>67</v>
      </c>
      <c r="L3207" s="25" t="s">
        <v>1025</v>
      </c>
      <c r="M3207" s="20" t="s">
        <v>61</v>
      </c>
      <c r="N3207" s="20" t="s">
        <v>5883</v>
      </c>
      <c r="O3207" s="20" t="s">
        <v>56</v>
      </c>
      <c r="P3207" s="20" t="s">
        <v>52</v>
      </c>
      <c r="Q3207" s="22"/>
      <c r="R3207" s="22"/>
      <c r="S3207" s="22"/>
      <c r="T3207" s="22"/>
      <c r="U3207" s="26"/>
      <c r="V3207" s="26"/>
      <c r="W3207" s="20"/>
      <c r="X3207" s="20"/>
      <c r="Y3207" s="20"/>
      <c r="Z3207" s="20"/>
      <c r="AA3207" s="20"/>
      <c r="AB3207" s="20"/>
      <c r="AC3207" s="20"/>
      <c r="AD3207" s="20"/>
      <c r="AE3207" s="20"/>
    </row>
    <row r="3208">
      <c r="A3208" s="21">
        <v>70.0</v>
      </c>
      <c r="B3208" s="20" t="s">
        <v>5194</v>
      </c>
      <c r="C3208" s="20" t="s">
        <v>6164</v>
      </c>
      <c r="I3208" s="25" t="s">
        <v>96</v>
      </c>
      <c r="J3208" s="25" t="s">
        <v>5924</v>
      </c>
      <c r="K3208" s="25" t="s">
        <v>71</v>
      </c>
      <c r="L3208" s="25" t="s">
        <v>6179</v>
      </c>
      <c r="M3208" s="20" t="s">
        <v>61</v>
      </c>
      <c r="N3208" s="20" t="s">
        <v>5603</v>
      </c>
      <c r="O3208" s="20" t="s">
        <v>63</v>
      </c>
      <c r="P3208" s="20" t="s">
        <v>52</v>
      </c>
      <c r="Q3208" s="22"/>
      <c r="R3208" s="22"/>
      <c r="S3208" s="22"/>
      <c r="T3208" s="26"/>
      <c r="U3208" s="26"/>
      <c r="V3208" s="26"/>
      <c r="W3208" s="20"/>
      <c r="X3208" s="20"/>
      <c r="Y3208" s="20"/>
      <c r="Z3208" s="20"/>
      <c r="AA3208" s="20"/>
      <c r="AB3208" s="20"/>
      <c r="AC3208" s="20"/>
      <c r="AD3208" s="20"/>
      <c r="AE3208" s="20"/>
    </row>
    <row r="3209">
      <c r="A3209" s="21">
        <v>70.0</v>
      </c>
      <c r="B3209" s="20" t="s">
        <v>5194</v>
      </c>
      <c r="C3209" s="20" t="s">
        <v>6164</v>
      </c>
      <c r="I3209" s="25" t="s">
        <v>101</v>
      </c>
      <c r="J3209" s="25" t="s">
        <v>5873</v>
      </c>
      <c r="K3209" s="25" t="s">
        <v>71</v>
      </c>
      <c r="L3209" s="25" t="s">
        <v>5950</v>
      </c>
      <c r="M3209" s="20" t="s">
        <v>102</v>
      </c>
      <c r="N3209" s="20" t="s">
        <v>5892</v>
      </c>
      <c r="O3209" s="20" t="s">
        <v>56</v>
      </c>
      <c r="P3209" s="20" t="s">
        <v>52</v>
      </c>
      <c r="Q3209" s="22"/>
      <c r="R3209" s="22"/>
      <c r="S3209" s="22"/>
      <c r="T3209" s="26"/>
      <c r="U3209" s="26"/>
      <c r="V3209" s="26"/>
      <c r="W3209" s="20"/>
      <c r="X3209" s="20"/>
      <c r="Y3209" s="20"/>
      <c r="Z3209" s="20"/>
      <c r="AA3209" s="20"/>
      <c r="AB3209" s="20"/>
      <c r="AC3209" s="20"/>
      <c r="AD3209" s="20"/>
      <c r="AE3209" s="20"/>
    </row>
    <row r="3210">
      <c r="A3210" s="21">
        <v>70.0</v>
      </c>
      <c r="B3210" s="20" t="s">
        <v>5194</v>
      </c>
      <c r="C3210" s="20" t="s">
        <v>6164</v>
      </c>
      <c r="I3210" s="25" t="s">
        <v>75</v>
      </c>
      <c r="J3210" s="25" t="s">
        <v>5907</v>
      </c>
      <c r="K3210" s="25" t="s">
        <v>71</v>
      </c>
      <c r="L3210" s="25" t="s">
        <v>6181</v>
      </c>
      <c r="M3210" s="20" t="s">
        <v>61</v>
      </c>
      <c r="N3210" s="20" t="s">
        <v>5913</v>
      </c>
      <c r="O3210" s="20" t="s">
        <v>63</v>
      </c>
      <c r="P3210" s="20" t="s">
        <v>52</v>
      </c>
      <c r="Q3210" s="22"/>
      <c r="R3210" s="22"/>
      <c r="S3210" s="22"/>
      <c r="T3210" s="26"/>
      <c r="U3210" s="26"/>
      <c r="V3210" s="26"/>
      <c r="W3210" s="20"/>
      <c r="X3210" s="20"/>
      <c r="Y3210" s="20"/>
      <c r="Z3210" s="20"/>
      <c r="AA3210" s="20"/>
      <c r="AB3210" s="20"/>
      <c r="AC3210" s="20"/>
      <c r="AD3210" s="20"/>
      <c r="AE3210" s="20"/>
    </row>
    <row r="3211">
      <c r="A3211" s="21">
        <v>70.0</v>
      </c>
      <c r="B3211" s="20" t="s">
        <v>5194</v>
      </c>
      <c r="C3211" s="20" t="s">
        <v>6164</v>
      </c>
      <c r="I3211" s="25" t="s">
        <v>174</v>
      </c>
      <c r="J3211" s="25" t="s">
        <v>5924</v>
      </c>
      <c r="K3211" s="25" t="s">
        <v>71</v>
      </c>
      <c r="L3211" s="25" t="s">
        <v>6181</v>
      </c>
      <c r="M3211" s="20" t="s">
        <v>61</v>
      </c>
      <c r="N3211" s="20" t="s">
        <v>5929</v>
      </c>
      <c r="O3211" s="20" t="s">
        <v>63</v>
      </c>
      <c r="P3211" s="20" t="s">
        <v>52</v>
      </c>
      <c r="Q3211" s="22"/>
      <c r="R3211" s="22"/>
      <c r="S3211" s="22"/>
      <c r="T3211" s="26"/>
      <c r="U3211" s="26"/>
      <c r="V3211" s="26"/>
      <c r="W3211" s="20"/>
      <c r="X3211" s="20"/>
      <c r="Y3211" s="20"/>
      <c r="Z3211" s="20"/>
      <c r="AA3211" s="20"/>
      <c r="AB3211" s="20"/>
      <c r="AC3211" s="20"/>
      <c r="AD3211" s="20"/>
      <c r="AE3211" s="20"/>
    </row>
    <row r="3212">
      <c r="A3212" s="21">
        <v>70.0</v>
      </c>
      <c r="B3212" s="20" t="s">
        <v>5194</v>
      </c>
      <c r="C3212" s="20" t="s">
        <v>6164</v>
      </c>
      <c r="I3212" s="25" t="s">
        <v>81</v>
      </c>
      <c r="J3212" s="25" t="s">
        <v>5898</v>
      </c>
      <c r="K3212" s="25" t="s">
        <v>71</v>
      </c>
      <c r="L3212" s="25" t="s">
        <v>5950</v>
      </c>
      <c r="M3212" s="20" t="s">
        <v>82</v>
      </c>
      <c r="N3212" s="20" t="s">
        <v>83</v>
      </c>
      <c r="O3212" s="20" t="s">
        <v>63</v>
      </c>
      <c r="P3212" s="20" t="s">
        <v>52</v>
      </c>
      <c r="Q3212" s="22"/>
      <c r="R3212" s="22"/>
      <c r="S3212" s="22"/>
      <c r="T3212" s="26"/>
      <c r="U3212" s="26"/>
      <c r="V3212" s="26"/>
      <c r="W3212" s="20"/>
      <c r="X3212" s="20"/>
      <c r="Y3212" s="20"/>
      <c r="Z3212" s="20"/>
      <c r="AA3212" s="20"/>
      <c r="AB3212" s="20"/>
      <c r="AC3212" s="20"/>
      <c r="AD3212" s="20"/>
      <c r="AE3212" s="20"/>
    </row>
    <row r="3213">
      <c r="A3213" s="21">
        <v>70.0</v>
      </c>
      <c r="B3213" s="20" t="s">
        <v>5194</v>
      </c>
      <c r="C3213" s="20" t="s">
        <v>6164</v>
      </c>
      <c r="I3213" s="25" t="s">
        <v>201</v>
      </c>
      <c r="J3213" s="25" t="s">
        <v>5898</v>
      </c>
      <c r="K3213" s="25" t="s">
        <v>71</v>
      </c>
      <c r="L3213" s="25" t="s">
        <v>6183</v>
      </c>
      <c r="M3213" s="20" t="s">
        <v>5053</v>
      </c>
      <c r="N3213" s="20" t="s">
        <v>5900</v>
      </c>
      <c r="O3213" s="20" t="s">
        <v>63</v>
      </c>
      <c r="P3213" s="20" t="s">
        <v>52</v>
      </c>
      <c r="Q3213" s="22"/>
      <c r="R3213" s="22"/>
      <c r="S3213" s="22"/>
      <c r="T3213" s="26"/>
      <c r="U3213" s="26"/>
      <c r="V3213" s="26"/>
      <c r="W3213" s="20"/>
      <c r="X3213" s="20"/>
      <c r="Y3213" s="20"/>
      <c r="Z3213" s="20"/>
      <c r="AA3213" s="20"/>
      <c r="AB3213" s="20"/>
      <c r="AC3213" s="20"/>
      <c r="AD3213" s="20"/>
      <c r="AE3213" s="20"/>
    </row>
    <row r="3214">
      <c r="A3214" s="21">
        <v>70.0</v>
      </c>
      <c r="B3214" s="20" t="s">
        <v>5194</v>
      </c>
      <c r="C3214" s="20" t="s">
        <v>6164</v>
      </c>
      <c r="I3214" s="25" t="s">
        <v>206</v>
      </c>
      <c r="J3214" s="25" t="s">
        <v>5907</v>
      </c>
      <c r="K3214" s="25" t="s">
        <v>71</v>
      </c>
      <c r="L3214" s="25" t="s">
        <v>6182</v>
      </c>
      <c r="M3214" s="20" t="s">
        <v>61</v>
      </c>
      <c r="N3214" s="20" t="s">
        <v>5914</v>
      </c>
      <c r="O3214" s="20" t="s">
        <v>63</v>
      </c>
      <c r="P3214" s="20" t="s">
        <v>52</v>
      </c>
      <c r="Q3214" s="22"/>
      <c r="R3214" s="22"/>
      <c r="S3214" s="22"/>
      <c r="T3214" s="26"/>
      <c r="U3214" s="26"/>
      <c r="V3214" s="26"/>
      <c r="W3214" s="20"/>
      <c r="X3214" s="20"/>
      <c r="Y3214" s="20"/>
      <c r="Z3214" s="20"/>
      <c r="AA3214" s="20"/>
      <c r="AB3214" s="20"/>
      <c r="AC3214" s="20"/>
      <c r="AD3214" s="20"/>
      <c r="AE3214" s="20"/>
    </row>
    <row r="3215">
      <c r="A3215" s="21">
        <v>70.0</v>
      </c>
      <c r="B3215" s="20" t="s">
        <v>5194</v>
      </c>
      <c r="C3215" s="20" t="s">
        <v>6164</v>
      </c>
      <c r="I3215" s="25" t="s">
        <v>2461</v>
      </c>
      <c r="J3215" s="25" t="s">
        <v>5873</v>
      </c>
      <c r="K3215" s="25" t="s">
        <v>67</v>
      </c>
      <c r="L3215" s="25" t="s">
        <v>1025</v>
      </c>
      <c r="M3215" s="20" t="s">
        <v>1784</v>
      </c>
      <c r="N3215" s="20" t="s">
        <v>5884</v>
      </c>
      <c r="O3215" s="20" t="s">
        <v>56</v>
      </c>
      <c r="P3215" s="20" t="s">
        <v>52</v>
      </c>
      <c r="Q3215" s="22"/>
      <c r="R3215" s="22"/>
      <c r="S3215" s="22"/>
      <c r="T3215" s="22"/>
      <c r="U3215" s="26"/>
      <c r="V3215" s="26"/>
      <c r="W3215" s="20"/>
      <c r="X3215" s="20"/>
      <c r="Y3215" s="20"/>
      <c r="Z3215" s="20"/>
      <c r="AA3215" s="20"/>
      <c r="AB3215" s="20"/>
      <c r="AC3215" s="20"/>
      <c r="AD3215" s="20"/>
      <c r="AE3215" s="20"/>
    </row>
    <row r="3216">
      <c r="A3216" s="21">
        <v>70.0</v>
      </c>
      <c r="B3216" s="20" t="s">
        <v>5194</v>
      </c>
      <c r="C3216" s="20" t="s">
        <v>6164</v>
      </c>
      <c r="I3216" s="25" t="s">
        <v>186</v>
      </c>
      <c r="J3216" s="25" t="s">
        <v>5924</v>
      </c>
      <c r="K3216" s="25" t="s">
        <v>71</v>
      </c>
      <c r="L3216" s="25" t="s">
        <v>6183</v>
      </c>
      <c r="M3216" s="20" t="s">
        <v>61</v>
      </c>
      <c r="N3216" s="20" t="s">
        <v>5930</v>
      </c>
      <c r="O3216" s="20" t="s">
        <v>63</v>
      </c>
      <c r="P3216" s="20" t="s">
        <v>52</v>
      </c>
      <c r="Q3216" s="22"/>
      <c r="R3216" s="22"/>
      <c r="S3216" s="22"/>
      <c r="T3216" s="26"/>
      <c r="U3216" s="26"/>
      <c r="V3216" s="26"/>
      <c r="W3216" s="20"/>
      <c r="X3216" s="20"/>
      <c r="Y3216" s="20"/>
      <c r="Z3216" s="20"/>
      <c r="AA3216" s="20"/>
      <c r="AB3216" s="20"/>
      <c r="AC3216" s="20"/>
      <c r="AD3216" s="20"/>
      <c r="AE3216" s="20"/>
    </row>
    <row r="3217">
      <c r="A3217" s="21">
        <v>70.0</v>
      </c>
      <c r="B3217" s="20" t="s">
        <v>5194</v>
      </c>
      <c r="C3217" s="20" t="s">
        <v>6164</v>
      </c>
      <c r="I3217" s="25" t="s">
        <v>160</v>
      </c>
      <c r="J3217" s="25" t="s">
        <v>5873</v>
      </c>
      <c r="K3217" s="25" t="s">
        <v>71</v>
      </c>
      <c r="L3217" s="25" t="s">
        <v>5947</v>
      </c>
      <c r="M3217" s="20" t="s">
        <v>61</v>
      </c>
      <c r="N3217" s="20" t="s">
        <v>5893</v>
      </c>
      <c r="O3217" s="20" t="s">
        <v>56</v>
      </c>
      <c r="P3217" s="20" t="s">
        <v>52</v>
      </c>
      <c r="Q3217" s="22"/>
      <c r="R3217" s="22"/>
      <c r="S3217" s="22"/>
      <c r="T3217" s="26"/>
      <c r="U3217" s="26"/>
      <c r="V3217" s="26"/>
      <c r="W3217" s="20"/>
      <c r="X3217" s="20"/>
      <c r="Y3217" s="20"/>
      <c r="Z3217" s="20"/>
      <c r="AA3217" s="20"/>
      <c r="AB3217" s="20"/>
      <c r="AC3217" s="20"/>
      <c r="AD3217" s="20"/>
      <c r="AE3217" s="20"/>
    </row>
    <row r="3218">
      <c r="A3218" s="21">
        <v>70.0</v>
      </c>
      <c r="B3218" s="20" t="s">
        <v>5194</v>
      </c>
      <c r="C3218" s="20" t="s">
        <v>6164</v>
      </c>
      <c r="I3218" s="25" t="s">
        <v>2508</v>
      </c>
      <c r="J3218" s="25" t="s">
        <v>5898</v>
      </c>
      <c r="K3218" s="25" t="s">
        <v>71</v>
      </c>
      <c r="L3218" s="25" t="s">
        <v>6184</v>
      </c>
      <c r="M3218" s="20" t="s">
        <v>5367</v>
      </c>
      <c r="N3218" s="20" t="s">
        <v>5901</v>
      </c>
      <c r="O3218" s="20" t="s">
        <v>63</v>
      </c>
      <c r="P3218" s="20" t="s">
        <v>52</v>
      </c>
      <c r="Q3218" s="22"/>
      <c r="R3218" s="22"/>
      <c r="S3218" s="22"/>
      <c r="T3218" s="26"/>
      <c r="U3218" s="26"/>
      <c r="V3218" s="26"/>
      <c r="W3218" s="20"/>
      <c r="X3218" s="20"/>
      <c r="Y3218" s="20"/>
      <c r="Z3218" s="20"/>
      <c r="AA3218" s="20"/>
      <c r="AB3218" s="20"/>
      <c r="AC3218" s="20"/>
      <c r="AD3218" s="20"/>
      <c r="AE3218" s="20"/>
    </row>
    <row r="3219">
      <c r="A3219" s="21">
        <v>70.0</v>
      </c>
      <c r="B3219" s="20" t="s">
        <v>5194</v>
      </c>
      <c r="C3219" s="20" t="s">
        <v>6164</v>
      </c>
      <c r="I3219" s="25" t="s">
        <v>2262</v>
      </c>
      <c r="J3219" s="25" t="s">
        <v>5873</v>
      </c>
      <c r="K3219" s="25" t="s">
        <v>67</v>
      </c>
      <c r="L3219" s="25" t="s">
        <v>1025</v>
      </c>
      <c r="M3219" s="20" t="s">
        <v>4614</v>
      </c>
      <c r="N3219" s="20" t="s">
        <v>5885</v>
      </c>
      <c r="O3219" s="20" t="s">
        <v>56</v>
      </c>
      <c r="P3219" s="20" t="s">
        <v>52</v>
      </c>
      <c r="Q3219" s="22"/>
      <c r="R3219" s="22"/>
      <c r="S3219" s="22"/>
      <c r="T3219" s="22"/>
      <c r="U3219" s="26"/>
      <c r="V3219" s="26"/>
      <c r="W3219" s="20"/>
      <c r="X3219" s="20"/>
      <c r="Y3219" s="20"/>
      <c r="Z3219" s="20"/>
      <c r="AA3219" s="20"/>
      <c r="AB3219" s="20"/>
      <c r="AC3219" s="20"/>
      <c r="AD3219" s="20"/>
      <c r="AE3219" s="20"/>
    </row>
    <row r="3220">
      <c r="A3220" s="21">
        <v>70.0</v>
      </c>
      <c r="B3220" s="20" t="s">
        <v>5194</v>
      </c>
      <c r="C3220" s="20" t="s">
        <v>6164</v>
      </c>
      <c r="I3220" s="25" t="s">
        <v>60</v>
      </c>
      <c r="J3220" s="25" t="s">
        <v>5907</v>
      </c>
      <c r="K3220" s="25" t="s">
        <v>71</v>
      </c>
      <c r="L3220" s="25" t="s">
        <v>6186</v>
      </c>
      <c r="M3220" s="20" t="s">
        <v>5915</v>
      </c>
      <c r="N3220" s="20" t="s">
        <v>5916</v>
      </c>
      <c r="O3220" s="20" t="s">
        <v>63</v>
      </c>
      <c r="P3220" s="20" t="s">
        <v>52</v>
      </c>
      <c r="Q3220" s="22"/>
      <c r="R3220" s="22"/>
      <c r="S3220" s="22"/>
      <c r="T3220" s="26"/>
      <c r="U3220" s="26"/>
      <c r="V3220" s="26"/>
      <c r="W3220" s="20"/>
      <c r="X3220" s="20"/>
      <c r="Y3220" s="20"/>
      <c r="Z3220" s="20"/>
      <c r="AA3220" s="20"/>
      <c r="AB3220" s="20"/>
      <c r="AC3220" s="20"/>
      <c r="AD3220" s="20"/>
      <c r="AE3220" s="20"/>
    </row>
    <row r="3221">
      <c r="A3221" s="21">
        <v>70.0</v>
      </c>
      <c r="B3221" s="20" t="s">
        <v>5194</v>
      </c>
      <c r="C3221" s="20" t="s">
        <v>6164</v>
      </c>
      <c r="I3221" s="25" t="s">
        <v>107</v>
      </c>
      <c r="J3221" s="25" t="s">
        <v>5924</v>
      </c>
      <c r="K3221" s="25" t="s">
        <v>71</v>
      </c>
      <c r="L3221" s="25" t="s">
        <v>6176</v>
      </c>
      <c r="M3221" s="20" t="s">
        <v>61</v>
      </c>
      <c r="N3221" s="20" t="s">
        <v>108</v>
      </c>
      <c r="O3221" s="20" t="s">
        <v>63</v>
      </c>
      <c r="P3221" s="20" t="s">
        <v>52</v>
      </c>
      <c r="Q3221" s="22"/>
      <c r="R3221" s="22"/>
      <c r="S3221" s="22"/>
      <c r="T3221" s="26"/>
      <c r="U3221" s="26"/>
      <c r="V3221" s="26"/>
      <c r="W3221" s="20"/>
      <c r="X3221" s="20"/>
      <c r="Y3221" s="20"/>
      <c r="Z3221" s="20"/>
      <c r="AA3221" s="20"/>
      <c r="AB3221" s="20"/>
      <c r="AC3221" s="20"/>
      <c r="AD3221" s="20"/>
      <c r="AE3221" s="20"/>
    </row>
    <row r="3222">
      <c r="A3222" s="21">
        <v>70.0</v>
      </c>
      <c r="B3222" s="20" t="s">
        <v>5194</v>
      </c>
      <c r="C3222" s="20" t="s">
        <v>6164</v>
      </c>
      <c r="I3222" s="25" t="s">
        <v>1690</v>
      </c>
      <c r="J3222" s="25" t="s">
        <v>5907</v>
      </c>
      <c r="K3222" s="25" t="s">
        <v>71</v>
      </c>
      <c r="L3222" s="25" t="s">
        <v>6186</v>
      </c>
      <c r="M3222" s="20" t="s">
        <v>61</v>
      </c>
      <c r="N3222" s="20" t="s">
        <v>5918</v>
      </c>
      <c r="O3222" s="20" t="s">
        <v>63</v>
      </c>
      <c r="P3222" s="20" t="s">
        <v>52</v>
      </c>
      <c r="Q3222" s="22"/>
      <c r="R3222" s="22"/>
      <c r="S3222" s="22"/>
      <c r="T3222" s="26"/>
      <c r="U3222" s="26"/>
      <c r="V3222" s="26"/>
      <c r="W3222" s="20"/>
      <c r="X3222" s="20"/>
      <c r="Y3222" s="20"/>
      <c r="Z3222" s="20"/>
      <c r="AA3222" s="20"/>
      <c r="AB3222" s="20"/>
      <c r="AC3222" s="20"/>
      <c r="AD3222" s="20"/>
      <c r="AE3222" s="20"/>
    </row>
    <row r="3223">
      <c r="A3223" s="21">
        <v>70.0</v>
      </c>
      <c r="B3223" s="20" t="s">
        <v>5194</v>
      </c>
      <c r="C3223" s="20" t="s">
        <v>6164</v>
      </c>
      <c r="I3223" s="25" t="s">
        <v>193</v>
      </c>
      <c r="J3223" s="25" t="s">
        <v>5924</v>
      </c>
      <c r="K3223" s="25" t="s">
        <v>71</v>
      </c>
      <c r="L3223" s="25" t="s">
        <v>6183</v>
      </c>
      <c r="M3223" s="20" t="s">
        <v>61</v>
      </c>
      <c r="N3223" s="20" t="s">
        <v>4491</v>
      </c>
      <c r="O3223" s="20" t="s">
        <v>63</v>
      </c>
      <c r="P3223" s="20" t="s">
        <v>52</v>
      </c>
      <c r="Q3223" s="22"/>
      <c r="R3223" s="22"/>
      <c r="S3223" s="22"/>
      <c r="T3223" s="26"/>
      <c r="U3223" s="26"/>
      <c r="V3223" s="26"/>
      <c r="W3223" s="20"/>
      <c r="X3223" s="20"/>
      <c r="Y3223" s="20"/>
      <c r="Z3223" s="20"/>
      <c r="AA3223" s="20"/>
      <c r="AB3223" s="20"/>
      <c r="AC3223" s="20"/>
      <c r="AD3223" s="20"/>
      <c r="AE3223" s="20"/>
    </row>
    <row r="3224">
      <c r="A3224" s="21">
        <v>70.0</v>
      </c>
      <c r="B3224" s="20" t="s">
        <v>5194</v>
      </c>
      <c r="C3224" s="20" t="s">
        <v>6164</v>
      </c>
      <c r="I3224" s="25" t="s">
        <v>3809</v>
      </c>
      <c r="J3224" s="25" t="s">
        <v>5873</v>
      </c>
      <c r="K3224" s="25" t="s">
        <v>71</v>
      </c>
      <c r="L3224" s="25" t="s">
        <v>6185</v>
      </c>
      <c r="M3224" s="20" t="s">
        <v>4644</v>
      </c>
      <c r="N3224" s="20" t="s">
        <v>5894</v>
      </c>
      <c r="O3224" s="20" t="s">
        <v>56</v>
      </c>
      <c r="P3224" s="20" t="s">
        <v>52</v>
      </c>
      <c r="Q3224" s="22"/>
      <c r="R3224" s="22"/>
      <c r="S3224" s="22"/>
      <c r="T3224" s="26"/>
      <c r="U3224" s="26"/>
      <c r="V3224" s="26"/>
      <c r="W3224" s="20"/>
      <c r="X3224" s="20"/>
      <c r="Y3224" s="20"/>
      <c r="Z3224" s="20"/>
      <c r="AA3224" s="20"/>
      <c r="AB3224" s="20"/>
      <c r="AC3224" s="20"/>
      <c r="AD3224" s="20"/>
      <c r="AE3224" s="20"/>
    </row>
    <row r="3225">
      <c r="A3225" s="21">
        <v>70.0</v>
      </c>
      <c r="B3225" s="20" t="s">
        <v>5194</v>
      </c>
      <c r="C3225" s="20" t="s">
        <v>6164</v>
      </c>
      <c r="I3225" s="25" t="s">
        <v>4587</v>
      </c>
      <c r="J3225" s="25" t="s">
        <v>5907</v>
      </c>
      <c r="K3225" s="25" t="s">
        <v>71</v>
      </c>
      <c r="L3225" s="25" t="s">
        <v>5956</v>
      </c>
      <c r="M3225" s="20" t="s">
        <v>5919</v>
      </c>
      <c r="N3225" s="20" t="s">
        <v>5920</v>
      </c>
      <c r="O3225" s="20" t="s">
        <v>63</v>
      </c>
      <c r="P3225" s="20" t="s">
        <v>52</v>
      </c>
      <c r="Q3225" s="22"/>
      <c r="R3225" s="22"/>
      <c r="S3225" s="22"/>
      <c r="T3225" s="26"/>
      <c r="U3225" s="26"/>
      <c r="V3225" s="26"/>
      <c r="W3225" s="20"/>
      <c r="X3225" s="20"/>
      <c r="Y3225" s="20"/>
      <c r="Z3225" s="20"/>
      <c r="AA3225" s="20"/>
      <c r="AB3225" s="20"/>
      <c r="AC3225" s="20"/>
      <c r="AD3225" s="20"/>
      <c r="AE3225" s="20"/>
    </row>
    <row r="3226">
      <c r="A3226" s="21">
        <v>70.0</v>
      </c>
      <c r="B3226" s="20" t="s">
        <v>5194</v>
      </c>
      <c r="C3226" s="20" t="s">
        <v>6164</v>
      </c>
      <c r="I3226" s="25" t="s">
        <v>1331</v>
      </c>
      <c r="J3226" s="25" t="s">
        <v>5924</v>
      </c>
      <c r="K3226" s="25" t="s">
        <v>71</v>
      </c>
      <c r="L3226" s="25" t="s">
        <v>6225</v>
      </c>
      <c r="M3226" s="20" t="s">
        <v>61</v>
      </c>
      <c r="N3226" s="20" t="s">
        <v>5931</v>
      </c>
      <c r="O3226" s="20" t="s">
        <v>63</v>
      </c>
      <c r="P3226" s="20" t="s">
        <v>52</v>
      </c>
      <c r="Q3226" s="22"/>
      <c r="R3226" s="22"/>
      <c r="S3226" s="22"/>
      <c r="T3226" s="26"/>
      <c r="U3226" s="26"/>
      <c r="V3226" s="26"/>
      <c r="W3226" s="20"/>
      <c r="X3226" s="20"/>
      <c r="Y3226" s="20"/>
      <c r="Z3226" s="20"/>
      <c r="AA3226" s="20"/>
      <c r="AB3226" s="20"/>
      <c r="AC3226" s="20"/>
      <c r="AD3226" s="20"/>
      <c r="AE3226" s="20"/>
    </row>
    <row r="3227">
      <c r="A3227" s="21">
        <v>70.0</v>
      </c>
      <c r="B3227" s="20" t="s">
        <v>5194</v>
      </c>
      <c r="C3227" s="20" t="s">
        <v>6164</v>
      </c>
      <c r="I3227" s="25" t="s">
        <v>4505</v>
      </c>
      <c r="J3227" s="25" t="s">
        <v>5873</v>
      </c>
      <c r="K3227" s="25" t="s">
        <v>71</v>
      </c>
      <c r="L3227" s="25" t="s">
        <v>6188</v>
      </c>
      <c r="M3227" s="20" t="s">
        <v>4506</v>
      </c>
      <c r="N3227" s="20" t="s">
        <v>5895</v>
      </c>
      <c r="O3227" s="20" t="s">
        <v>56</v>
      </c>
      <c r="P3227" s="20" t="s">
        <v>52</v>
      </c>
      <c r="Q3227" s="22"/>
      <c r="R3227" s="22"/>
      <c r="S3227" s="22"/>
      <c r="T3227" s="26"/>
      <c r="U3227" s="26"/>
      <c r="V3227" s="26"/>
      <c r="W3227" s="20"/>
      <c r="X3227" s="20"/>
      <c r="Y3227" s="20"/>
      <c r="Z3227" s="20"/>
      <c r="AA3227" s="20"/>
      <c r="AB3227" s="20"/>
      <c r="AC3227" s="20"/>
      <c r="AD3227" s="20"/>
      <c r="AE3227" s="20"/>
    </row>
    <row r="3228">
      <c r="A3228" s="21">
        <v>70.0</v>
      </c>
      <c r="B3228" s="20" t="s">
        <v>5194</v>
      </c>
      <c r="C3228" s="20" t="s">
        <v>6164</v>
      </c>
      <c r="I3228" s="25" t="s">
        <v>4570</v>
      </c>
      <c r="J3228" s="25" t="s">
        <v>5898</v>
      </c>
      <c r="K3228" s="25" t="s">
        <v>71</v>
      </c>
      <c r="L3228" s="25" t="s">
        <v>5950</v>
      </c>
      <c r="M3228" s="20" t="s">
        <v>5902</v>
      </c>
      <c r="N3228" s="20" t="s">
        <v>5903</v>
      </c>
      <c r="O3228" s="20" t="s">
        <v>63</v>
      </c>
      <c r="P3228" s="20" t="s">
        <v>52</v>
      </c>
      <c r="Q3228" s="22"/>
      <c r="R3228" s="22"/>
      <c r="S3228" s="22"/>
      <c r="T3228" s="26"/>
      <c r="U3228" s="26"/>
      <c r="V3228" s="26"/>
      <c r="W3228" s="20"/>
      <c r="X3228" s="20"/>
      <c r="Y3228" s="20"/>
      <c r="Z3228" s="20"/>
      <c r="AA3228" s="20"/>
      <c r="AB3228" s="20"/>
      <c r="AC3228" s="20"/>
      <c r="AD3228" s="20"/>
      <c r="AE3228" s="20"/>
    </row>
    <row r="3229">
      <c r="A3229" s="21">
        <v>70.0</v>
      </c>
      <c r="B3229" s="20" t="s">
        <v>5194</v>
      </c>
      <c r="C3229" s="20" t="s">
        <v>6164</v>
      </c>
      <c r="I3229" s="25" t="s">
        <v>2505</v>
      </c>
      <c r="J3229" s="25" t="s">
        <v>5907</v>
      </c>
      <c r="K3229" s="25" t="s">
        <v>71</v>
      </c>
      <c r="L3229" s="25" t="s">
        <v>6225</v>
      </c>
      <c r="M3229" s="20" t="s">
        <v>5921</v>
      </c>
      <c r="N3229" s="20" t="s">
        <v>5922</v>
      </c>
      <c r="O3229" s="20" t="s">
        <v>63</v>
      </c>
      <c r="P3229" s="20" t="s">
        <v>52</v>
      </c>
      <c r="Q3229" s="22"/>
      <c r="R3229" s="22"/>
      <c r="S3229" s="22"/>
      <c r="T3229" s="26"/>
      <c r="U3229" s="26"/>
      <c r="V3229" s="26"/>
      <c r="W3229" s="20"/>
      <c r="X3229" s="20"/>
      <c r="Y3229" s="20"/>
      <c r="Z3229" s="20"/>
      <c r="AA3229" s="20"/>
      <c r="AB3229" s="20"/>
      <c r="AC3229" s="20"/>
      <c r="AD3229" s="20"/>
      <c r="AE3229" s="20"/>
    </row>
    <row r="3230">
      <c r="A3230" s="21">
        <v>70.0</v>
      </c>
      <c r="B3230" s="20" t="s">
        <v>5194</v>
      </c>
      <c r="C3230" s="20" t="s">
        <v>6164</v>
      </c>
      <c r="I3230" s="25" t="s">
        <v>4084</v>
      </c>
      <c r="J3230" s="25" t="s">
        <v>5924</v>
      </c>
      <c r="K3230" s="25" t="s">
        <v>71</v>
      </c>
      <c r="L3230" s="25" t="s">
        <v>6177</v>
      </c>
      <c r="M3230" s="20" t="s">
        <v>5932</v>
      </c>
      <c r="N3230" s="20" t="s">
        <v>5933</v>
      </c>
      <c r="O3230" s="20" t="s">
        <v>63</v>
      </c>
      <c r="P3230" s="20" t="s">
        <v>52</v>
      </c>
      <c r="Q3230" s="22"/>
      <c r="R3230" s="22"/>
      <c r="S3230" s="22"/>
      <c r="T3230" s="26"/>
      <c r="U3230" s="26"/>
      <c r="V3230" s="26"/>
      <c r="W3230" s="20"/>
      <c r="X3230" s="20"/>
      <c r="Y3230" s="20"/>
      <c r="Z3230" s="20"/>
      <c r="AA3230" s="20"/>
      <c r="AB3230" s="20"/>
      <c r="AC3230" s="20"/>
      <c r="AD3230" s="20"/>
      <c r="AE3230" s="20"/>
    </row>
    <row r="3231">
      <c r="A3231" s="21">
        <v>70.0</v>
      </c>
      <c r="B3231" s="20" t="s">
        <v>5194</v>
      </c>
      <c r="C3231" s="20" t="s">
        <v>6164</v>
      </c>
      <c r="I3231" s="25" t="s">
        <v>4604</v>
      </c>
      <c r="J3231" s="25" t="s">
        <v>5907</v>
      </c>
      <c r="K3231" s="25" t="s">
        <v>71</v>
      </c>
      <c r="L3231" s="25" t="s">
        <v>5974</v>
      </c>
      <c r="M3231" s="20" t="s">
        <v>4605</v>
      </c>
      <c r="N3231" s="20" t="s">
        <v>5923</v>
      </c>
      <c r="O3231" s="20" t="s">
        <v>63</v>
      </c>
      <c r="P3231" s="20" t="s">
        <v>52</v>
      </c>
      <c r="Q3231" s="22"/>
      <c r="R3231" s="22"/>
      <c r="S3231" s="22"/>
      <c r="T3231" s="26"/>
      <c r="U3231" s="26"/>
      <c r="V3231" s="26"/>
      <c r="W3231" s="20"/>
      <c r="X3231" s="20"/>
      <c r="Y3231" s="20"/>
      <c r="Z3231" s="20"/>
      <c r="AA3231" s="20"/>
      <c r="AB3231" s="20"/>
      <c r="AC3231" s="20"/>
      <c r="AD3231" s="20"/>
      <c r="AE3231" s="20"/>
    </row>
    <row r="3232">
      <c r="A3232" s="21">
        <v>70.0</v>
      </c>
      <c r="B3232" s="20" t="s">
        <v>5194</v>
      </c>
      <c r="C3232" s="20" t="s">
        <v>6164</v>
      </c>
      <c r="I3232" s="25" t="s">
        <v>2502</v>
      </c>
      <c r="J3232" s="25" t="s">
        <v>5898</v>
      </c>
      <c r="K3232" s="25" t="s">
        <v>71</v>
      </c>
      <c r="L3232" s="25" t="s">
        <v>6184</v>
      </c>
      <c r="M3232" s="20" t="s">
        <v>5904</v>
      </c>
      <c r="N3232" s="20" t="s">
        <v>5901</v>
      </c>
      <c r="O3232" s="20" t="s">
        <v>63</v>
      </c>
      <c r="P3232" s="20" t="s">
        <v>52</v>
      </c>
      <c r="Q3232" s="22"/>
      <c r="R3232" s="22"/>
      <c r="S3232" s="22"/>
      <c r="T3232" s="20"/>
      <c r="U3232" s="26"/>
      <c r="V3232" s="26"/>
      <c r="W3232" s="20"/>
      <c r="X3232" s="20"/>
      <c r="Y3232" s="20"/>
      <c r="Z3232" s="20"/>
      <c r="AA3232" s="20"/>
      <c r="AB3232" s="20"/>
      <c r="AC3232" s="20"/>
      <c r="AD3232" s="20"/>
      <c r="AE3232" s="20"/>
    </row>
    <row r="3233">
      <c r="A3233" s="21">
        <v>70.0</v>
      </c>
      <c r="B3233" s="20" t="s">
        <v>5194</v>
      </c>
      <c r="C3233" s="20" t="s">
        <v>6164</v>
      </c>
      <c r="I3233" s="25" t="s">
        <v>2750</v>
      </c>
      <c r="J3233" s="25" t="s">
        <v>5873</v>
      </c>
      <c r="K3233" s="25" t="s">
        <v>71</v>
      </c>
      <c r="L3233" s="25" t="s">
        <v>6189</v>
      </c>
      <c r="M3233" s="20" t="s">
        <v>5896</v>
      </c>
      <c r="N3233" s="20" t="s">
        <v>5897</v>
      </c>
      <c r="O3233" s="20" t="s">
        <v>56</v>
      </c>
      <c r="P3233" s="20" t="s">
        <v>52</v>
      </c>
      <c r="Q3233" s="22"/>
      <c r="R3233" s="22"/>
      <c r="S3233" s="22"/>
      <c r="T3233" s="20"/>
      <c r="U3233" s="26"/>
      <c r="V3233" s="26"/>
      <c r="W3233" s="20"/>
      <c r="X3233" s="20"/>
      <c r="Y3233" s="20"/>
      <c r="Z3233" s="20"/>
      <c r="AA3233" s="20"/>
      <c r="AB3233" s="20"/>
      <c r="AC3233" s="20"/>
      <c r="AD3233" s="20"/>
      <c r="AE3233" s="20"/>
    </row>
    <row r="3234">
      <c r="A3234" s="21">
        <v>70.0</v>
      </c>
      <c r="B3234" s="20" t="s">
        <v>5194</v>
      </c>
      <c r="C3234" s="20" t="s">
        <v>6164</v>
      </c>
      <c r="I3234" s="25" t="s">
        <v>4279</v>
      </c>
      <c r="J3234" s="25" t="s">
        <v>5898</v>
      </c>
      <c r="K3234" s="25" t="s">
        <v>71</v>
      </c>
      <c r="L3234" s="25" t="s">
        <v>5963</v>
      </c>
      <c r="M3234" s="20" t="s">
        <v>5905</v>
      </c>
      <c r="N3234" s="20" t="s">
        <v>5906</v>
      </c>
      <c r="O3234" s="20" t="s">
        <v>63</v>
      </c>
      <c r="P3234" s="20" t="s">
        <v>52</v>
      </c>
      <c r="Q3234" s="22"/>
      <c r="R3234" s="22"/>
      <c r="S3234" s="22"/>
      <c r="T3234" s="20"/>
      <c r="U3234" s="26"/>
      <c r="V3234" s="26"/>
      <c r="W3234" s="20"/>
      <c r="X3234" s="20"/>
      <c r="Y3234" s="20"/>
      <c r="Z3234" s="20"/>
      <c r="AA3234" s="20"/>
      <c r="AB3234" s="20"/>
      <c r="AC3234" s="20"/>
      <c r="AD3234" s="20"/>
      <c r="AE3234" s="20"/>
    </row>
    <row r="3235">
      <c r="A3235" s="21">
        <v>71.0</v>
      </c>
      <c r="B3235" s="20" t="s">
        <v>2508</v>
      </c>
      <c r="C3235" s="20" t="s">
        <v>6164</v>
      </c>
      <c r="D3235" s="35">
        <v>30.0</v>
      </c>
      <c r="E3235" s="35">
        <v>2.0</v>
      </c>
      <c r="F3235" s="35">
        <v>1.0</v>
      </c>
      <c r="G3235" s="35">
        <v>27.0</v>
      </c>
      <c r="H3235" s="36" t="s">
        <v>6235</v>
      </c>
      <c r="I3235" s="25" t="s">
        <v>2548</v>
      </c>
      <c r="J3235" s="25" t="s">
        <v>5934</v>
      </c>
      <c r="K3235" s="25" t="s">
        <v>71</v>
      </c>
      <c r="L3235" s="25" t="s">
        <v>292</v>
      </c>
      <c r="M3235" s="20" t="s">
        <v>2549</v>
      </c>
      <c r="N3235" s="20" t="s">
        <v>2550</v>
      </c>
      <c r="O3235" s="20" t="s">
        <v>63</v>
      </c>
      <c r="P3235" s="20" t="s">
        <v>52</v>
      </c>
      <c r="Q3235" s="22"/>
      <c r="R3235" s="22"/>
      <c r="S3235" s="22"/>
      <c r="T3235" s="22"/>
      <c r="U3235" s="26"/>
      <c r="V3235" s="26"/>
      <c r="W3235" s="20"/>
      <c r="X3235" s="20"/>
      <c r="Y3235" s="20"/>
      <c r="Z3235" s="20"/>
      <c r="AA3235" s="20"/>
      <c r="AB3235" s="20"/>
      <c r="AC3235" s="20"/>
      <c r="AD3235" s="20"/>
      <c r="AE3235" s="20"/>
    </row>
    <row r="3236">
      <c r="A3236" s="21">
        <v>71.0</v>
      </c>
      <c r="B3236" s="20" t="s">
        <v>2508</v>
      </c>
      <c r="C3236" s="20" t="s">
        <v>6164</v>
      </c>
      <c r="I3236" s="25" t="s">
        <v>1162</v>
      </c>
      <c r="J3236" s="25" t="s">
        <v>5934</v>
      </c>
      <c r="K3236" s="25" t="s">
        <v>57</v>
      </c>
      <c r="L3236" s="25" t="s">
        <v>6236</v>
      </c>
      <c r="M3236" s="20" t="s">
        <v>2562</v>
      </c>
      <c r="N3236" s="20" t="s">
        <v>5935</v>
      </c>
      <c r="O3236" s="20" t="s">
        <v>56</v>
      </c>
      <c r="P3236" s="20"/>
      <c r="Q3236" s="22"/>
      <c r="R3236" s="22"/>
      <c r="S3236" s="22"/>
      <c r="T3236" s="20"/>
      <c r="U3236" s="26"/>
      <c r="V3236" s="26"/>
      <c r="W3236" s="20"/>
      <c r="X3236" s="20"/>
      <c r="Y3236" s="20"/>
      <c r="Z3236" s="20"/>
      <c r="AA3236" s="20"/>
      <c r="AB3236" s="20"/>
      <c r="AC3236" s="20"/>
      <c r="AD3236" s="20"/>
      <c r="AE3236" s="20"/>
    </row>
    <row r="3237">
      <c r="A3237" s="21">
        <v>71.0</v>
      </c>
      <c r="B3237" s="20" t="s">
        <v>2508</v>
      </c>
      <c r="C3237" s="20" t="s">
        <v>6164</v>
      </c>
      <c r="I3237" s="25" t="s">
        <v>2564</v>
      </c>
      <c r="J3237" s="25" t="s">
        <v>5936</v>
      </c>
      <c r="K3237" s="25" t="s">
        <v>57</v>
      </c>
      <c r="L3237" s="25" t="s">
        <v>6237</v>
      </c>
      <c r="M3237" s="20" t="s">
        <v>2565</v>
      </c>
      <c r="N3237" s="20" t="s">
        <v>5937</v>
      </c>
      <c r="O3237" s="20" t="s">
        <v>56</v>
      </c>
      <c r="P3237" s="20"/>
      <c r="Q3237" s="22"/>
      <c r="R3237" s="22"/>
      <c r="S3237" s="22"/>
      <c r="T3237" s="20"/>
      <c r="U3237" s="26"/>
      <c r="V3237" s="26"/>
      <c r="W3237" s="20"/>
      <c r="X3237" s="20"/>
      <c r="Y3237" s="20"/>
      <c r="Z3237" s="20"/>
      <c r="AA3237" s="20"/>
      <c r="AB3237" s="20"/>
      <c r="AC3237" s="20"/>
      <c r="AD3237" s="20"/>
      <c r="AE3237" s="20"/>
    </row>
    <row r="3238">
      <c r="A3238" s="21">
        <v>71.0</v>
      </c>
      <c r="B3238" s="20" t="s">
        <v>2508</v>
      </c>
      <c r="C3238" s="20" t="s">
        <v>6164</v>
      </c>
      <c r="I3238" s="25" t="s">
        <v>2595</v>
      </c>
      <c r="J3238" s="25" t="s">
        <v>5934</v>
      </c>
      <c r="K3238" s="25" t="s">
        <v>71</v>
      </c>
      <c r="L3238" s="25" t="s">
        <v>292</v>
      </c>
      <c r="M3238" s="20" t="s">
        <v>5945</v>
      </c>
      <c r="N3238" s="20" t="s">
        <v>5946</v>
      </c>
      <c r="O3238" s="20" t="s">
        <v>63</v>
      </c>
      <c r="P3238" s="20" t="s">
        <v>52</v>
      </c>
      <c r="Q3238" s="22"/>
      <c r="R3238" s="22"/>
      <c r="S3238" s="22"/>
      <c r="T3238" s="22"/>
      <c r="U3238" s="26"/>
      <c r="V3238" s="26"/>
      <c r="W3238" s="20"/>
      <c r="X3238" s="20"/>
      <c r="Y3238" s="20"/>
      <c r="Z3238" s="20"/>
      <c r="AA3238" s="20"/>
      <c r="AB3238" s="20"/>
      <c r="AC3238" s="20"/>
      <c r="AD3238" s="20"/>
      <c r="AE3238" s="20"/>
    </row>
    <row r="3239">
      <c r="A3239" s="21">
        <v>71.0</v>
      </c>
      <c r="B3239" s="20" t="s">
        <v>2508</v>
      </c>
      <c r="C3239" s="20" t="s">
        <v>6164</v>
      </c>
      <c r="I3239" s="25" t="s">
        <v>2502</v>
      </c>
      <c r="J3239" s="25" t="s">
        <v>5936</v>
      </c>
      <c r="K3239" s="25" t="s">
        <v>67</v>
      </c>
      <c r="L3239" s="25" t="s">
        <v>6238</v>
      </c>
      <c r="M3239" s="20" t="s">
        <v>2503</v>
      </c>
      <c r="N3239" s="20" t="s">
        <v>2504</v>
      </c>
      <c r="O3239" s="20" t="s">
        <v>63</v>
      </c>
      <c r="P3239" s="20"/>
      <c r="Q3239" s="22"/>
      <c r="R3239" s="22"/>
      <c r="S3239" s="22"/>
      <c r="T3239" s="20"/>
      <c r="U3239" s="26"/>
      <c r="V3239" s="26"/>
      <c r="W3239" s="20"/>
      <c r="X3239" s="20"/>
      <c r="Y3239" s="20"/>
      <c r="Z3239" s="20"/>
      <c r="AA3239" s="20"/>
      <c r="AB3239" s="20"/>
      <c r="AC3239" s="20"/>
      <c r="AD3239" s="20"/>
      <c r="AE3239" s="20"/>
    </row>
    <row r="3240">
      <c r="A3240" s="21">
        <v>71.0</v>
      </c>
      <c r="B3240" s="20" t="s">
        <v>2508</v>
      </c>
      <c r="C3240" s="20" t="s">
        <v>6164</v>
      </c>
      <c r="I3240" s="25" t="s">
        <v>2497</v>
      </c>
      <c r="J3240" s="25" t="s">
        <v>5934</v>
      </c>
      <c r="K3240" s="25" t="s">
        <v>71</v>
      </c>
      <c r="L3240" s="25" t="s">
        <v>6239</v>
      </c>
      <c r="M3240" s="20" t="s">
        <v>5880</v>
      </c>
      <c r="N3240" s="20" t="s">
        <v>5948</v>
      </c>
      <c r="O3240" s="20" t="s">
        <v>63</v>
      </c>
      <c r="P3240" s="20"/>
      <c r="Q3240" s="22"/>
      <c r="R3240" s="22"/>
      <c r="S3240" s="22"/>
      <c r="T3240" s="20"/>
      <c r="U3240" s="26"/>
      <c r="V3240" s="26"/>
      <c r="W3240" s="20"/>
      <c r="X3240" s="20"/>
      <c r="Y3240" s="20"/>
      <c r="Z3240" s="20"/>
      <c r="AA3240" s="20"/>
      <c r="AB3240" s="20"/>
      <c r="AC3240" s="20"/>
      <c r="AD3240" s="20"/>
      <c r="AE3240" s="20"/>
    </row>
    <row r="3241">
      <c r="A3241" s="21">
        <v>71.0</v>
      </c>
      <c r="B3241" s="20" t="s">
        <v>2508</v>
      </c>
      <c r="C3241" s="20" t="s">
        <v>6164</v>
      </c>
      <c r="I3241" s="25" t="s">
        <v>391</v>
      </c>
      <c r="J3241" s="25" t="s">
        <v>5936</v>
      </c>
      <c r="K3241" s="25" t="s">
        <v>71</v>
      </c>
      <c r="L3241" s="25" t="s">
        <v>292</v>
      </c>
      <c r="M3241" s="20" t="s">
        <v>61</v>
      </c>
      <c r="N3241" s="20" t="s">
        <v>5964</v>
      </c>
      <c r="O3241" s="20" t="s">
        <v>63</v>
      </c>
      <c r="P3241" s="20" t="s">
        <v>52</v>
      </c>
      <c r="Q3241" s="22"/>
      <c r="R3241" s="22"/>
      <c r="S3241" s="22"/>
      <c r="T3241" s="22"/>
      <c r="U3241" s="26"/>
      <c r="V3241" s="26"/>
      <c r="W3241" s="20"/>
      <c r="X3241" s="20"/>
      <c r="Y3241" s="20"/>
      <c r="Z3241" s="20"/>
      <c r="AA3241" s="20"/>
      <c r="AB3241" s="20"/>
      <c r="AC3241" s="20"/>
      <c r="AD3241" s="20"/>
      <c r="AE3241" s="20"/>
    </row>
    <row r="3242">
      <c r="A3242" s="21">
        <v>71.0</v>
      </c>
      <c r="B3242" s="20" t="s">
        <v>2508</v>
      </c>
      <c r="C3242" s="20" t="s">
        <v>6164</v>
      </c>
      <c r="I3242" s="25" t="s">
        <v>2511</v>
      </c>
      <c r="J3242" s="25" t="s">
        <v>5934</v>
      </c>
      <c r="K3242" s="25" t="s">
        <v>71</v>
      </c>
      <c r="L3242" s="25" t="s">
        <v>3112</v>
      </c>
      <c r="M3242" s="20" t="s">
        <v>5939</v>
      </c>
      <c r="N3242" s="20" t="s">
        <v>5940</v>
      </c>
      <c r="O3242" s="20" t="s">
        <v>56</v>
      </c>
      <c r="P3242" s="20"/>
      <c r="Q3242" s="22"/>
      <c r="R3242" s="22"/>
      <c r="S3242" s="22"/>
      <c r="T3242" s="20"/>
      <c r="U3242" s="26"/>
      <c r="V3242" s="26"/>
      <c r="W3242" s="20"/>
      <c r="X3242" s="20"/>
      <c r="Y3242" s="20"/>
      <c r="Z3242" s="20"/>
      <c r="AA3242" s="20"/>
      <c r="AB3242" s="20"/>
      <c r="AC3242" s="20"/>
      <c r="AD3242" s="20"/>
      <c r="AE3242" s="20"/>
    </row>
    <row r="3243">
      <c r="A3243" s="21">
        <v>71.0</v>
      </c>
      <c r="B3243" s="20" t="s">
        <v>2508</v>
      </c>
      <c r="C3243" s="20" t="s">
        <v>6164</v>
      </c>
      <c r="I3243" s="25" t="s">
        <v>2513</v>
      </c>
      <c r="J3243" s="25" t="s">
        <v>5934</v>
      </c>
      <c r="K3243" s="25" t="s">
        <v>71</v>
      </c>
      <c r="L3243" s="25" t="s">
        <v>3112</v>
      </c>
      <c r="M3243" s="20" t="s">
        <v>5941</v>
      </c>
      <c r="N3243" s="20" t="s">
        <v>5940</v>
      </c>
      <c r="O3243" s="20" t="s">
        <v>56</v>
      </c>
      <c r="P3243" s="20"/>
      <c r="Q3243" s="22"/>
      <c r="R3243" s="22"/>
      <c r="S3243" s="22"/>
      <c r="T3243" s="20"/>
      <c r="U3243" s="26"/>
      <c r="V3243" s="26"/>
      <c r="W3243" s="20"/>
      <c r="X3243" s="20"/>
      <c r="Y3243" s="20"/>
      <c r="Z3243" s="20"/>
      <c r="AA3243" s="20"/>
      <c r="AB3243" s="20"/>
      <c r="AC3243" s="20"/>
      <c r="AD3243" s="20"/>
      <c r="AE3243" s="20"/>
    </row>
    <row r="3244">
      <c r="A3244" s="21">
        <v>71.0</v>
      </c>
      <c r="B3244" s="20" t="s">
        <v>2508</v>
      </c>
      <c r="C3244" s="20" t="s">
        <v>6164</v>
      </c>
      <c r="I3244" s="25" t="s">
        <v>2878</v>
      </c>
      <c r="J3244" s="25" t="s">
        <v>5934</v>
      </c>
      <c r="K3244" s="25" t="s">
        <v>71</v>
      </c>
      <c r="L3244" s="25" t="s">
        <v>3112</v>
      </c>
      <c r="M3244" s="20" t="s">
        <v>61</v>
      </c>
      <c r="N3244" s="20" t="s">
        <v>3298</v>
      </c>
      <c r="O3244" s="20" t="s">
        <v>63</v>
      </c>
      <c r="P3244" s="20"/>
      <c r="Q3244" s="22"/>
      <c r="R3244" s="22"/>
      <c r="S3244" s="22"/>
      <c r="T3244" s="20"/>
      <c r="U3244" s="26"/>
      <c r="V3244" s="26"/>
      <c r="W3244" s="20"/>
      <c r="X3244" s="20"/>
      <c r="Y3244" s="20"/>
      <c r="Z3244" s="20"/>
      <c r="AA3244" s="20"/>
      <c r="AB3244" s="20"/>
      <c r="AC3244" s="20"/>
      <c r="AD3244" s="20"/>
      <c r="AE3244" s="20"/>
    </row>
    <row r="3245">
      <c r="A3245" s="21">
        <v>71.0</v>
      </c>
      <c r="B3245" s="20" t="s">
        <v>2508</v>
      </c>
      <c r="C3245" s="20" t="s">
        <v>6164</v>
      </c>
      <c r="I3245" s="25" t="s">
        <v>2663</v>
      </c>
      <c r="J3245" s="25" t="s">
        <v>5934</v>
      </c>
      <c r="K3245" s="25" t="s">
        <v>71</v>
      </c>
      <c r="L3245" s="25" t="s">
        <v>292</v>
      </c>
      <c r="M3245" s="20" t="s">
        <v>2664</v>
      </c>
      <c r="N3245" s="20" t="s">
        <v>2665</v>
      </c>
      <c r="O3245" s="20" t="s">
        <v>63</v>
      </c>
      <c r="P3245" s="20" t="s">
        <v>52</v>
      </c>
      <c r="Q3245" s="22"/>
      <c r="R3245" s="22"/>
      <c r="S3245" s="22"/>
      <c r="T3245" s="22"/>
      <c r="U3245" s="26"/>
      <c r="V3245" s="26"/>
      <c r="W3245" s="20"/>
      <c r="X3245" s="20"/>
      <c r="Y3245" s="20"/>
      <c r="Z3245" s="20"/>
      <c r="AA3245" s="20"/>
      <c r="AB3245" s="20"/>
      <c r="AC3245" s="20"/>
      <c r="AD3245" s="20"/>
      <c r="AE3245" s="20"/>
    </row>
    <row r="3246">
      <c r="A3246" s="21">
        <v>71.0</v>
      </c>
      <c r="B3246" s="20" t="s">
        <v>2508</v>
      </c>
      <c r="C3246" s="20" t="s">
        <v>6164</v>
      </c>
      <c r="I3246" s="25" t="s">
        <v>2488</v>
      </c>
      <c r="J3246" s="25" t="s">
        <v>5936</v>
      </c>
      <c r="K3246" s="25" t="s">
        <v>71</v>
      </c>
      <c r="L3246" s="25" t="s">
        <v>6242</v>
      </c>
      <c r="M3246" s="20" t="s">
        <v>2489</v>
      </c>
      <c r="N3246" s="20" t="s">
        <v>5966</v>
      </c>
      <c r="O3246" s="20" t="s">
        <v>63</v>
      </c>
      <c r="P3246" s="20"/>
      <c r="Q3246" s="22"/>
      <c r="R3246" s="22"/>
      <c r="S3246" s="22"/>
      <c r="T3246" s="20"/>
      <c r="U3246" s="26"/>
      <c r="V3246" s="26"/>
      <c r="W3246" s="20"/>
      <c r="X3246" s="20"/>
      <c r="Y3246" s="20"/>
      <c r="Z3246" s="20"/>
      <c r="AA3246" s="20"/>
      <c r="AB3246" s="20"/>
      <c r="AC3246" s="20"/>
      <c r="AD3246" s="20"/>
      <c r="AE3246" s="20"/>
    </row>
    <row r="3247">
      <c r="A3247" s="21">
        <v>71.0</v>
      </c>
      <c r="B3247" s="20" t="s">
        <v>2508</v>
      </c>
      <c r="C3247" s="20" t="s">
        <v>6164</v>
      </c>
      <c r="I3247" s="25" t="s">
        <v>2091</v>
      </c>
      <c r="J3247" s="25" t="s">
        <v>5936</v>
      </c>
      <c r="K3247" s="25" t="s">
        <v>71</v>
      </c>
      <c r="L3247" s="25" t="s">
        <v>3121</v>
      </c>
      <c r="M3247" s="20" t="s">
        <v>61</v>
      </c>
      <c r="N3247" s="20" t="s">
        <v>5943</v>
      </c>
      <c r="O3247" s="20" t="s">
        <v>56</v>
      </c>
      <c r="P3247" s="20"/>
      <c r="Q3247" s="22"/>
      <c r="R3247" s="22"/>
      <c r="S3247" s="22"/>
      <c r="T3247" s="20"/>
      <c r="U3247" s="26"/>
      <c r="V3247" s="26"/>
      <c r="W3247" s="20"/>
      <c r="X3247" s="20"/>
      <c r="Y3247" s="20"/>
      <c r="Z3247" s="20"/>
      <c r="AA3247" s="20"/>
      <c r="AB3247" s="20"/>
      <c r="AC3247" s="20"/>
      <c r="AD3247" s="20"/>
      <c r="AE3247" s="20"/>
    </row>
    <row r="3248">
      <c r="A3248" s="21">
        <v>71.0</v>
      </c>
      <c r="B3248" s="20" t="s">
        <v>2508</v>
      </c>
      <c r="C3248" s="20" t="s">
        <v>6164</v>
      </c>
      <c r="I3248" s="25" t="s">
        <v>3068</v>
      </c>
      <c r="J3248" s="25" t="s">
        <v>5934</v>
      </c>
      <c r="K3248" s="25" t="s">
        <v>71</v>
      </c>
      <c r="L3248" s="25" t="s">
        <v>292</v>
      </c>
      <c r="M3248" s="20" t="s">
        <v>61</v>
      </c>
      <c r="N3248" s="20" t="s">
        <v>5951</v>
      </c>
      <c r="O3248" s="20" t="s">
        <v>63</v>
      </c>
      <c r="P3248" s="20" t="s">
        <v>52</v>
      </c>
      <c r="Q3248" s="22"/>
      <c r="R3248" s="22"/>
      <c r="S3248" s="22"/>
      <c r="T3248" s="22"/>
      <c r="U3248" s="26"/>
      <c r="V3248" s="26"/>
      <c r="W3248" s="20"/>
      <c r="X3248" s="20"/>
      <c r="Y3248" s="20"/>
      <c r="Z3248" s="20"/>
      <c r="AA3248" s="20"/>
      <c r="AB3248" s="20"/>
      <c r="AC3248" s="20"/>
      <c r="AD3248" s="20"/>
      <c r="AE3248" s="20"/>
    </row>
    <row r="3249">
      <c r="A3249" s="21">
        <v>71.0</v>
      </c>
      <c r="B3249" s="20" t="s">
        <v>2508</v>
      </c>
      <c r="C3249" s="20" t="s">
        <v>6164</v>
      </c>
      <c r="I3249" s="25" t="s">
        <v>1174</v>
      </c>
      <c r="J3249" s="25" t="s">
        <v>5934</v>
      </c>
      <c r="K3249" s="25" t="s">
        <v>71</v>
      </c>
      <c r="L3249" s="25" t="s">
        <v>292</v>
      </c>
      <c r="M3249" s="20" t="s">
        <v>2704</v>
      </c>
      <c r="N3249" s="20" t="s">
        <v>2705</v>
      </c>
      <c r="O3249" s="20" t="s">
        <v>63</v>
      </c>
      <c r="P3249" s="20" t="s">
        <v>52</v>
      </c>
      <c r="Q3249" s="22"/>
      <c r="R3249" s="22"/>
      <c r="S3249" s="22"/>
      <c r="T3249" s="22"/>
      <c r="U3249" s="26"/>
      <c r="V3249" s="26"/>
      <c r="W3249" s="20"/>
      <c r="X3249" s="20"/>
      <c r="Y3249" s="20"/>
      <c r="Z3249" s="20"/>
      <c r="AA3249" s="20"/>
      <c r="AB3249" s="20"/>
      <c r="AC3249" s="20"/>
      <c r="AD3249" s="20"/>
      <c r="AE3249" s="20"/>
    </row>
    <row r="3250">
      <c r="A3250" s="21">
        <v>71.0</v>
      </c>
      <c r="B3250" s="20" t="s">
        <v>2508</v>
      </c>
      <c r="C3250" s="20" t="s">
        <v>6164</v>
      </c>
      <c r="I3250" s="25" t="s">
        <v>1997</v>
      </c>
      <c r="J3250" s="25" t="s">
        <v>5934</v>
      </c>
      <c r="K3250" s="25" t="s">
        <v>71</v>
      </c>
      <c r="L3250" s="25" t="s">
        <v>292</v>
      </c>
      <c r="M3250" s="20" t="s">
        <v>5952</v>
      </c>
      <c r="N3250" s="20" t="s">
        <v>5953</v>
      </c>
      <c r="O3250" s="20" t="s">
        <v>63</v>
      </c>
      <c r="P3250" s="20" t="s">
        <v>52</v>
      </c>
      <c r="Q3250" s="22"/>
      <c r="R3250" s="22"/>
      <c r="S3250" s="22"/>
      <c r="T3250" s="22"/>
      <c r="U3250" s="26"/>
      <c r="V3250" s="26"/>
      <c r="W3250" s="20"/>
      <c r="X3250" s="20"/>
      <c r="Y3250" s="20"/>
      <c r="Z3250" s="20"/>
      <c r="AA3250" s="20"/>
      <c r="AB3250" s="20"/>
      <c r="AC3250" s="20"/>
      <c r="AD3250" s="20"/>
      <c r="AE3250" s="20"/>
    </row>
    <row r="3251">
      <c r="A3251" s="21">
        <v>71.0</v>
      </c>
      <c r="B3251" s="20" t="s">
        <v>2508</v>
      </c>
      <c r="C3251" s="20" t="s">
        <v>6164</v>
      </c>
      <c r="I3251" s="25" t="s">
        <v>2083</v>
      </c>
      <c r="J3251" s="25" t="s">
        <v>5936</v>
      </c>
      <c r="K3251" s="25" t="s">
        <v>71</v>
      </c>
      <c r="L3251" s="25" t="s">
        <v>292</v>
      </c>
      <c r="M3251" s="20" t="s">
        <v>2084</v>
      </c>
      <c r="N3251" s="20" t="s">
        <v>2085</v>
      </c>
      <c r="O3251" s="20" t="s">
        <v>63</v>
      </c>
      <c r="P3251" s="20" t="s">
        <v>52</v>
      </c>
      <c r="Q3251" s="22"/>
      <c r="R3251" s="22"/>
      <c r="S3251" s="22"/>
      <c r="T3251" s="22"/>
      <c r="U3251" s="26"/>
      <c r="V3251" s="26"/>
      <c r="W3251" s="20"/>
      <c r="X3251" s="20"/>
      <c r="Y3251" s="20"/>
      <c r="Z3251" s="20"/>
      <c r="AA3251" s="20"/>
      <c r="AB3251" s="20"/>
      <c r="AC3251" s="20"/>
      <c r="AD3251" s="20"/>
      <c r="AE3251" s="20"/>
    </row>
    <row r="3252">
      <c r="A3252" s="21">
        <v>71.0</v>
      </c>
      <c r="B3252" s="20" t="s">
        <v>2508</v>
      </c>
      <c r="C3252" s="20" t="s">
        <v>6164</v>
      </c>
      <c r="I3252" s="25" t="s">
        <v>1843</v>
      </c>
      <c r="J3252" s="25" t="s">
        <v>5934</v>
      </c>
      <c r="K3252" s="25" t="s">
        <v>71</v>
      </c>
      <c r="L3252" s="25" t="s">
        <v>292</v>
      </c>
      <c r="M3252" s="20" t="s">
        <v>2696</v>
      </c>
      <c r="N3252" s="20" t="s">
        <v>5955</v>
      </c>
      <c r="O3252" s="20" t="s">
        <v>63</v>
      </c>
      <c r="P3252" s="20" t="s">
        <v>52</v>
      </c>
      <c r="Q3252" s="22"/>
      <c r="R3252" s="22"/>
      <c r="S3252" s="22"/>
      <c r="T3252" s="22"/>
      <c r="U3252" s="26"/>
      <c r="V3252" s="26"/>
      <c r="W3252" s="20"/>
      <c r="X3252" s="20"/>
      <c r="Y3252" s="20"/>
      <c r="Z3252" s="20"/>
      <c r="AA3252" s="20"/>
      <c r="AB3252" s="20"/>
      <c r="AC3252" s="20"/>
      <c r="AD3252" s="20"/>
      <c r="AE3252" s="20"/>
    </row>
    <row r="3253">
      <c r="A3253" s="21">
        <v>71.0</v>
      </c>
      <c r="B3253" s="20" t="s">
        <v>2508</v>
      </c>
      <c r="C3253" s="20" t="s">
        <v>6164</v>
      </c>
      <c r="I3253" s="25" t="s">
        <v>2542</v>
      </c>
      <c r="J3253" s="25" t="s">
        <v>5934</v>
      </c>
      <c r="K3253" s="25" t="s">
        <v>71</v>
      </c>
      <c r="L3253" s="25" t="s">
        <v>6243</v>
      </c>
      <c r="M3253" s="20" t="s">
        <v>2543</v>
      </c>
      <c r="N3253" s="20" t="s">
        <v>5957</v>
      </c>
      <c r="O3253" s="20" t="s">
        <v>63</v>
      </c>
      <c r="P3253" s="20" t="s">
        <v>52</v>
      </c>
      <c r="Q3253" s="22"/>
      <c r="R3253" s="22"/>
      <c r="S3253" s="22"/>
      <c r="T3253" s="20"/>
      <c r="U3253" s="26"/>
      <c r="V3253" s="26"/>
      <c r="W3253" s="20"/>
      <c r="X3253" s="20"/>
      <c r="Y3253" s="20"/>
      <c r="Z3253" s="20"/>
      <c r="AA3253" s="20"/>
      <c r="AB3253" s="20"/>
      <c r="AC3253" s="20"/>
      <c r="AD3253" s="20"/>
      <c r="AE3253" s="20"/>
    </row>
    <row r="3254">
      <c r="A3254" s="21">
        <v>71.0</v>
      </c>
      <c r="B3254" s="20" t="s">
        <v>2508</v>
      </c>
      <c r="C3254" s="20" t="s">
        <v>6164</v>
      </c>
      <c r="I3254" s="25" t="s">
        <v>265</v>
      </c>
      <c r="J3254" s="25" t="s">
        <v>5936</v>
      </c>
      <c r="K3254" s="25" t="s">
        <v>71</v>
      </c>
      <c r="L3254" s="25" t="s">
        <v>292</v>
      </c>
      <c r="M3254" s="20" t="s">
        <v>266</v>
      </c>
      <c r="N3254" s="20" t="s">
        <v>1030</v>
      </c>
      <c r="O3254" s="20" t="s">
        <v>63</v>
      </c>
      <c r="P3254" s="20" t="s">
        <v>52</v>
      </c>
      <c r="Q3254" s="22"/>
      <c r="R3254" s="22"/>
      <c r="S3254" s="22"/>
      <c r="T3254" s="22"/>
      <c r="U3254" s="26"/>
      <c r="V3254" s="26"/>
      <c r="W3254" s="20"/>
      <c r="X3254" s="20"/>
      <c r="Y3254" s="20"/>
      <c r="Z3254" s="20"/>
      <c r="AA3254" s="20"/>
      <c r="AB3254" s="20"/>
      <c r="AC3254" s="20"/>
      <c r="AD3254" s="20"/>
      <c r="AE3254" s="20"/>
    </row>
    <row r="3255">
      <c r="A3255" s="21">
        <v>71.0</v>
      </c>
      <c r="B3255" s="20" t="s">
        <v>2508</v>
      </c>
      <c r="C3255" s="20" t="s">
        <v>6164</v>
      </c>
      <c r="I3255" s="25" t="s">
        <v>2895</v>
      </c>
      <c r="J3255" s="25" t="s">
        <v>5936</v>
      </c>
      <c r="K3255" s="25" t="s">
        <v>71</v>
      </c>
      <c r="L3255" s="25" t="s">
        <v>292</v>
      </c>
      <c r="M3255" s="20" t="s">
        <v>2896</v>
      </c>
      <c r="N3255" s="20" t="s">
        <v>5968</v>
      </c>
      <c r="O3255" s="20" t="s">
        <v>63</v>
      </c>
      <c r="P3255" s="20" t="s">
        <v>52</v>
      </c>
      <c r="Q3255" s="22"/>
      <c r="R3255" s="22"/>
      <c r="S3255" s="22"/>
      <c r="T3255" s="22"/>
      <c r="U3255" s="26"/>
      <c r="V3255" s="26"/>
      <c r="W3255" s="20"/>
      <c r="X3255" s="20"/>
      <c r="Y3255" s="20"/>
      <c r="Z3255" s="20"/>
      <c r="AA3255" s="20"/>
      <c r="AB3255" s="20"/>
      <c r="AC3255" s="20"/>
      <c r="AD3255" s="20"/>
      <c r="AE3255" s="20"/>
    </row>
    <row r="3256">
      <c r="A3256" s="21">
        <v>71.0</v>
      </c>
      <c r="B3256" s="20" t="s">
        <v>2508</v>
      </c>
      <c r="C3256" s="20" t="s">
        <v>6164</v>
      </c>
      <c r="I3256" s="25" t="s">
        <v>705</v>
      </c>
      <c r="J3256" s="25" t="s">
        <v>5936</v>
      </c>
      <c r="K3256" s="25" t="s">
        <v>71</v>
      </c>
      <c r="L3256" s="25" t="s">
        <v>292</v>
      </c>
      <c r="M3256" s="20" t="s">
        <v>778</v>
      </c>
      <c r="N3256" s="20" t="s">
        <v>1030</v>
      </c>
      <c r="O3256" s="20" t="s">
        <v>63</v>
      </c>
      <c r="P3256" s="20" t="s">
        <v>52</v>
      </c>
      <c r="Q3256" s="22"/>
      <c r="R3256" s="22"/>
      <c r="S3256" s="22"/>
      <c r="T3256" s="22"/>
      <c r="U3256" s="26"/>
      <c r="V3256" s="26"/>
      <c r="W3256" s="20"/>
      <c r="X3256" s="20"/>
      <c r="Y3256" s="20"/>
      <c r="Z3256" s="20"/>
      <c r="AA3256" s="20"/>
      <c r="AB3256" s="20"/>
      <c r="AC3256" s="20"/>
      <c r="AD3256" s="20"/>
      <c r="AE3256" s="20"/>
    </row>
    <row r="3257">
      <c r="A3257" s="21">
        <v>71.0</v>
      </c>
      <c r="B3257" s="20" t="s">
        <v>2508</v>
      </c>
      <c r="C3257" s="20" t="s">
        <v>6164</v>
      </c>
      <c r="I3257" s="25" t="s">
        <v>738</v>
      </c>
      <c r="J3257" s="25" t="s">
        <v>5936</v>
      </c>
      <c r="K3257" s="25" t="s">
        <v>71</v>
      </c>
      <c r="L3257" s="25" t="s">
        <v>292</v>
      </c>
      <c r="M3257" s="20" t="s">
        <v>2180</v>
      </c>
      <c r="N3257" s="20" t="s">
        <v>1030</v>
      </c>
      <c r="O3257" s="20" t="s">
        <v>63</v>
      </c>
      <c r="P3257" s="20" t="s">
        <v>52</v>
      </c>
      <c r="Q3257" s="22"/>
      <c r="R3257" s="22"/>
      <c r="S3257" s="22"/>
      <c r="T3257" s="22"/>
      <c r="U3257" s="26"/>
      <c r="V3257" s="26"/>
      <c r="W3257" s="20"/>
      <c r="X3257" s="20"/>
      <c r="Y3257" s="20"/>
      <c r="Z3257" s="20"/>
      <c r="AA3257" s="20"/>
      <c r="AB3257" s="20"/>
      <c r="AC3257" s="20"/>
      <c r="AD3257" s="20"/>
      <c r="AE3257" s="20"/>
    </row>
    <row r="3258">
      <c r="A3258" s="21">
        <v>71.0</v>
      </c>
      <c r="B3258" s="20" t="s">
        <v>2508</v>
      </c>
      <c r="C3258" s="20" t="s">
        <v>6164</v>
      </c>
      <c r="I3258" s="25" t="s">
        <v>658</v>
      </c>
      <c r="J3258" s="25" t="s">
        <v>5936</v>
      </c>
      <c r="K3258" s="25" t="s">
        <v>71</v>
      </c>
      <c r="L3258" s="25" t="s">
        <v>292</v>
      </c>
      <c r="M3258" s="20" t="s">
        <v>2193</v>
      </c>
      <c r="N3258" s="20" t="s">
        <v>1030</v>
      </c>
      <c r="O3258" s="20" t="s">
        <v>63</v>
      </c>
      <c r="P3258" s="20" t="s">
        <v>52</v>
      </c>
      <c r="Q3258" s="22"/>
      <c r="R3258" s="22"/>
      <c r="S3258" s="22"/>
      <c r="T3258" s="22"/>
      <c r="U3258" s="26"/>
      <c r="V3258" s="26"/>
      <c r="W3258" s="20"/>
      <c r="X3258" s="20"/>
      <c r="Y3258" s="20"/>
      <c r="Z3258" s="20"/>
      <c r="AA3258" s="20"/>
      <c r="AB3258" s="20"/>
      <c r="AC3258" s="20"/>
      <c r="AD3258" s="20"/>
      <c r="AE3258" s="20"/>
    </row>
    <row r="3259">
      <c r="A3259" s="21">
        <v>71.0</v>
      </c>
      <c r="B3259" s="20" t="s">
        <v>2508</v>
      </c>
      <c r="C3259" s="20" t="s">
        <v>6164</v>
      </c>
      <c r="I3259" s="25" t="s">
        <v>283</v>
      </c>
      <c r="J3259" s="25" t="s">
        <v>5936</v>
      </c>
      <c r="K3259" s="25" t="s">
        <v>71</v>
      </c>
      <c r="L3259" s="25" t="s">
        <v>292</v>
      </c>
      <c r="M3259" s="20" t="s">
        <v>284</v>
      </c>
      <c r="N3259" s="20" t="s">
        <v>1030</v>
      </c>
      <c r="O3259" s="20" t="s">
        <v>63</v>
      </c>
      <c r="P3259" s="20" t="s">
        <v>52</v>
      </c>
      <c r="Q3259" s="22"/>
      <c r="R3259" s="22"/>
      <c r="S3259" s="22"/>
      <c r="T3259" s="22"/>
      <c r="U3259" s="26"/>
      <c r="V3259" s="26"/>
      <c r="W3259" s="20"/>
      <c r="X3259" s="20"/>
      <c r="Y3259" s="20"/>
      <c r="Z3259" s="20"/>
      <c r="AA3259" s="20"/>
      <c r="AB3259" s="20"/>
      <c r="AC3259" s="20"/>
      <c r="AD3259" s="20"/>
      <c r="AE3259" s="20"/>
    </row>
    <row r="3260">
      <c r="A3260" s="21">
        <v>71.0</v>
      </c>
      <c r="B3260" s="20" t="s">
        <v>2508</v>
      </c>
      <c r="C3260" s="20" t="s">
        <v>6164</v>
      </c>
      <c r="I3260" s="25" t="s">
        <v>2447</v>
      </c>
      <c r="J3260" s="25" t="s">
        <v>5934</v>
      </c>
      <c r="K3260" s="25" t="s">
        <v>71</v>
      </c>
      <c r="L3260" s="25" t="s">
        <v>292</v>
      </c>
      <c r="M3260" s="20" t="s">
        <v>5958</v>
      </c>
      <c r="N3260" s="20" t="s">
        <v>5959</v>
      </c>
      <c r="O3260" s="20" t="s">
        <v>63</v>
      </c>
      <c r="P3260" s="20" t="s">
        <v>52</v>
      </c>
      <c r="Q3260" s="22"/>
      <c r="R3260" s="22"/>
      <c r="S3260" s="22"/>
      <c r="T3260" s="22"/>
      <c r="U3260" s="26"/>
      <c r="V3260" s="26"/>
      <c r="W3260" s="20"/>
      <c r="X3260" s="20"/>
      <c r="Y3260" s="20"/>
      <c r="Z3260" s="20"/>
      <c r="AA3260" s="20"/>
      <c r="AB3260" s="20"/>
      <c r="AC3260" s="20"/>
      <c r="AD3260" s="20"/>
      <c r="AE3260" s="20"/>
    </row>
    <row r="3261">
      <c r="A3261" s="21">
        <v>71.0</v>
      </c>
      <c r="B3261" s="20" t="s">
        <v>2508</v>
      </c>
      <c r="C3261" s="20" t="s">
        <v>6164</v>
      </c>
      <c r="I3261" s="25" t="s">
        <v>5960</v>
      </c>
      <c r="J3261" s="25" t="s">
        <v>5934</v>
      </c>
      <c r="K3261" s="25" t="s">
        <v>71</v>
      </c>
      <c r="L3261" s="25" t="s">
        <v>292</v>
      </c>
      <c r="M3261" s="20" t="s">
        <v>5961</v>
      </c>
      <c r="N3261" s="20" t="s">
        <v>5962</v>
      </c>
      <c r="O3261" s="20" t="s">
        <v>63</v>
      </c>
      <c r="P3261" s="20" t="s">
        <v>52</v>
      </c>
      <c r="Q3261" s="22"/>
      <c r="R3261" s="22"/>
      <c r="S3261" s="22"/>
      <c r="T3261" s="22"/>
      <c r="U3261" s="26"/>
      <c r="V3261" s="26"/>
      <c r="W3261" s="20"/>
      <c r="X3261" s="20"/>
      <c r="Y3261" s="20"/>
      <c r="Z3261" s="20"/>
      <c r="AA3261" s="20"/>
      <c r="AB3261" s="20"/>
      <c r="AC3261" s="20"/>
      <c r="AD3261" s="20"/>
      <c r="AE3261" s="20"/>
    </row>
    <row r="3262">
      <c r="A3262" s="21">
        <v>71.0</v>
      </c>
      <c r="B3262" s="20" t="s">
        <v>2508</v>
      </c>
      <c r="C3262" s="20" t="s">
        <v>6164</v>
      </c>
      <c r="I3262" s="25" t="s">
        <v>475</v>
      </c>
      <c r="J3262" s="25" t="s">
        <v>5936</v>
      </c>
      <c r="K3262" s="25" t="s">
        <v>71</v>
      </c>
      <c r="L3262" s="25" t="s">
        <v>292</v>
      </c>
      <c r="M3262" s="20" t="s">
        <v>61</v>
      </c>
      <c r="N3262" s="20" t="s">
        <v>1037</v>
      </c>
      <c r="O3262" s="20" t="s">
        <v>63</v>
      </c>
      <c r="P3262" s="20" t="s">
        <v>52</v>
      </c>
      <c r="Q3262" s="22"/>
      <c r="R3262" s="22"/>
      <c r="S3262" s="22"/>
      <c r="T3262" s="22"/>
      <c r="U3262" s="26"/>
      <c r="V3262" s="26"/>
      <c r="W3262" s="20"/>
      <c r="X3262" s="20"/>
      <c r="Y3262" s="20"/>
      <c r="Z3262" s="20"/>
      <c r="AA3262" s="20"/>
      <c r="AB3262" s="20"/>
      <c r="AC3262" s="20"/>
      <c r="AD3262" s="20"/>
      <c r="AE3262" s="20"/>
    </row>
    <row r="3263">
      <c r="A3263" s="21">
        <v>71.0</v>
      </c>
      <c r="B3263" s="20" t="s">
        <v>2508</v>
      </c>
      <c r="C3263" s="20" t="s">
        <v>6164</v>
      </c>
      <c r="I3263" s="25" t="s">
        <v>544</v>
      </c>
      <c r="J3263" s="25" t="s">
        <v>5934</v>
      </c>
      <c r="K3263" s="25" t="s">
        <v>71</v>
      </c>
      <c r="L3263" s="25" t="s">
        <v>292</v>
      </c>
      <c r="M3263" s="20" t="s">
        <v>61</v>
      </c>
      <c r="N3263" s="20" t="s">
        <v>1006</v>
      </c>
      <c r="O3263" s="20" t="s">
        <v>63</v>
      </c>
      <c r="P3263" s="20" t="s">
        <v>52</v>
      </c>
      <c r="Q3263" s="22"/>
      <c r="R3263" s="22"/>
      <c r="S3263" s="22"/>
      <c r="T3263" s="22"/>
      <c r="U3263" s="26"/>
      <c r="V3263" s="26"/>
      <c r="W3263" s="20"/>
      <c r="X3263" s="20"/>
      <c r="Y3263" s="20"/>
      <c r="Z3263" s="20"/>
      <c r="AA3263" s="20"/>
      <c r="AB3263" s="20"/>
      <c r="AC3263" s="20"/>
      <c r="AD3263" s="20"/>
      <c r="AE3263" s="20"/>
    </row>
    <row r="3264">
      <c r="A3264" s="21">
        <v>71.0</v>
      </c>
      <c r="B3264" s="20" t="s">
        <v>2508</v>
      </c>
      <c r="C3264" s="20" t="s">
        <v>6164</v>
      </c>
      <c r="I3264" s="25" t="s">
        <v>2300</v>
      </c>
      <c r="J3264" s="25" t="s">
        <v>5936</v>
      </c>
      <c r="K3264" s="25" t="s">
        <v>71</v>
      </c>
      <c r="L3264" s="25" t="s">
        <v>292</v>
      </c>
      <c r="M3264" s="20" t="s">
        <v>5972</v>
      </c>
      <c r="N3264" s="20" t="s">
        <v>5973</v>
      </c>
      <c r="O3264" s="20" t="s">
        <v>63</v>
      </c>
      <c r="P3264" s="20" t="s">
        <v>52</v>
      </c>
      <c r="Q3264" s="22"/>
      <c r="R3264" s="22"/>
      <c r="S3264" s="22"/>
      <c r="T3264" s="22"/>
      <c r="U3264" s="26"/>
      <c r="V3264" s="26"/>
      <c r="W3264" s="20"/>
      <c r="X3264" s="20"/>
      <c r="Y3264" s="20"/>
      <c r="Z3264" s="20"/>
      <c r="AA3264" s="20"/>
      <c r="AB3264" s="20"/>
      <c r="AC3264" s="20"/>
      <c r="AD3264" s="20"/>
      <c r="AE3264" s="20"/>
    </row>
    <row r="3265">
      <c r="A3265" s="21">
        <v>72.0</v>
      </c>
      <c r="B3265" s="20" t="s">
        <v>160</v>
      </c>
      <c r="C3265" s="20" t="s">
        <v>6164</v>
      </c>
      <c r="D3265" s="35">
        <v>25.0</v>
      </c>
      <c r="E3265" s="35">
        <v>2.0</v>
      </c>
      <c r="F3265" s="35">
        <v>0.0</v>
      </c>
      <c r="G3265" s="35">
        <v>23.0</v>
      </c>
      <c r="H3265" s="36" t="s">
        <v>6244</v>
      </c>
      <c r="I3265" s="25" t="s">
        <v>78</v>
      </c>
      <c r="J3265" s="25" t="s">
        <v>5975</v>
      </c>
      <c r="K3265" s="25" t="s">
        <v>71</v>
      </c>
      <c r="L3265" s="25" t="s">
        <v>226</v>
      </c>
      <c r="M3265" s="20" t="s">
        <v>79</v>
      </c>
      <c r="N3265" s="20" t="s">
        <v>5979</v>
      </c>
      <c r="O3265" s="20" t="s">
        <v>63</v>
      </c>
      <c r="P3265" s="20" t="s">
        <v>52</v>
      </c>
      <c r="Q3265" s="22"/>
      <c r="R3265" s="22"/>
      <c r="S3265" s="22"/>
      <c r="T3265" s="22"/>
      <c r="U3265" s="26"/>
      <c r="V3265" s="26"/>
      <c r="W3265" s="20"/>
      <c r="X3265" s="20"/>
      <c r="Y3265" s="20"/>
      <c r="Z3265" s="20"/>
      <c r="AA3265" s="20"/>
      <c r="AB3265" s="20"/>
      <c r="AC3265" s="20"/>
      <c r="AD3265" s="20"/>
      <c r="AE3265" s="20"/>
    </row>
    <row r="3266">
      <c r="A3266" s="21">
        <v>72.0</v>
      </c>
      <c r="B3266" s="20" t="s">
        <v>160</v>
      </c>
      <c r="C3266" s="20" t="s">
        <v>6164</v>
      </c>
      <c r="I3266" s="25" t="s">
        <v>2793</v>
      </c>
      <c r="J3266" s="25" t="s">
        <v>5975</v>
      </c>
      <c r="K3266" s="25" t="s">
        <v>71</v>
      </c>
      <c r="L3266" s="25" t="s">
        <v>226</v>
      </c>
      <c r="M3266" s="20" t="s">
        <v>2794</v>
      </c>
      <c r="N3266" s="20" t="s">
        <v>5981</v>
      </c>
      <c r="O3266" s="20" t="s">
        <v>63</v>
      </c>
      <c r="P3266" s="20" t="s">
        <v>52</v>
      </c>
      <c r="Q3266" s="22"/>
      <c r="R3266" s="22"/>
      <c r="S3266" s="22"/>
      <c r="T3266" s="22"/>
      <c r="U3266" s="26"/>
      <c r="V3266" s="26"/>
      <c r="W3266" s="20"/>
      <c r="X3266" s="20"/>
      <c r="Y3266" s="20"/>
      <c r="Z3266" s="20"/>
      <c r="AA3266" s="20"/>
      <c r="AB3266" s="20"/>
      <c r="AC3266" s="20"/>
      <c r="AD3266" s="20"/>
      <c r="AE3266" s="20"/>
    </row>
    <row r="3267">
      <c r="A3267" s="21">
        <v>72.0</v>
      </c>
      <c r="B3267" s="20" t="s">
        <v>160</v>
      </c>
      <c r="C3267" s="20" t="s">
        <v>6164</v>
      </c>
      <c r="I3267" s="25" t="s">
        <v>1156</v>
      </c>
      <c r="J3267" s="25" t="s">
        <v>5975</v>
      </c>
      <c r="K3267" s="25" t="s">
        <v>57</v>
      </c>
      <c r="L3267" s="25" t="s">
        <v>6245</v>
      </c>
      <c r="M3267" s="20" t="s">
        <v>1157</v>
      </c>
      <c r="N3267" s="20" t="s">
        <v>5976</v>
      </c>
      <c r="O3267" s="20" t="s">
        <v>63</v>
      </c>
      <c r="P3267" s="20"/>
      <c r="Q3267" s="22"/>
      <c r="R3267" s="22"/>
      <c r="S3267" s="22"/>
      <c r="T3267" s="20"/>
      <c r="U3267" s="26"/>
      <c r="V3267" s="26"/>
      <c r="W3267" s="20"/>
      <c r="X3267" s="20"/>
      <c r="Y3267" s="20"/>
      <c r="Z3267" s="20"/>
      <c r="AA3267" s="20"/>
      <c r="AB3267" s="20"/>
      <c r="AC3267" s="20"/>
      <c r="AD3267" s="20"/>
      <c r="AE3267" s="20"/>
    </row>
    <row r="3268">
      <c r="A3268" s="21">
        <v>72.0</v>
      </c>
      <c r="B3268" s="20" t="s">
        <v>160</v>
      </c>
      <c r="C3268" s="20" t="s">
        <v>6164</v>
      </c>
      <c r="I3268" s="25" t="s">
        <v>413</v>
      </c>
      <c r="J3268" s="25" t="s">
        <v>5975</v>
      </c>
      <c r="K3268" s="25" t="s">
        <v>71</v>
      </c>
      <c r="L3268" s="25" t="s">
        <v>226</v>
      </c>
      <c r="M3268" s="20" t="s">
        <v>2881</v>
      </c>
      <c r="N3268" s="20" t="s">
        <v>2882</v>
      </c>
      <c r="O3268" s="20" t="s">
        <v>63</v>
      </c>
      <c r="P3268" s="20" t="s">
        <v>52</v>
      </c>
      <c r="Q3268" s="22"/>
      <c r="R3268" s="22"/>
      <c r="S3268" s="22"/>
      <c r="T3268" s="22"/>
      <c r="U3268" s="26"/>
      <c r="V3268" s="26"/>
      <c r="W3268" s="20"/>
      <c r="X3268" s="20"/>
      <c r="Y3268" s="20"/>
      <c r="Z3268" s="20"/>
      <c r="AA3268" s="20"/>
      <c r="AB3268" s="20"/>
      <c r="AC3268" s="20"/>
      <c r="AD3268" s="20"/>
      <c r="AE3268" s="20"/>
    </row>
    <row r="3269">
      <c r="A3269" s="21">
        <v>72.0</v>
      </c>
      <c r="B3269" s="20" t="s">
        <v>160</v>
      </c>
      <c r="C3269" s="20" t="s">
        <v>6164</v>
      </c>
      <c r="I3269" s="25" t="s">
        <v>96</v>
      </c>
      <c r="J3269" s="25" t="s">
        <v>5975</v>
      </c>
      <c r="K3269" s="25" t="s">
        <v>57</v>
      </c>
      <c r="L3269" s="25" t="s">
        <v>6246</v>
      </c>
      <c r="M3269" s="20" t="s">
        <v>5977</v>
      </c>
      <c r="N3269" s="20" t="s">
        <v>5978</v>
      </c>
      <c r="O3269" s="20" t="s">
        <v>63</v>
      </c>
      <c r="P3269" s="20"/>
      <c r="Q3269" s="22"/>
      <c r="R3269" s="22"/>
      <c r="S3269" s="22"/>
      <c r="T3269" s="20"/>
      <c r="U3269" s="26"/>
      <c r="V3269" s="26"/>
      <c r="W3269" s="20"/>
      <c r="X3269" s="20"/>
      <c r="Y3269" s="20"/>
      <c r="Z3269" s="20"/>
      <c r="AA3269" s="20"/>
      <c r="AB3269" s="20"/>
      <c r="AC3269" s="20"/>
      <c r="AD3269" s="20"/>
      <c r="AE3269" s="20"/>
    </row>
    <row r="3270">
      <c r="A3270" s="21">
        <v>72.0</v>
      </c>
      <c r="B3270" s="20" t="s">
        <v>160</v>
      </c>
      <c r="C3270" s="20" t="s">
        <v>6164</v>
      </c>
      <c r="I3270" s="25" t="s">
        <v>3321</v>
      </c>
      <c r="J3270" s="25" t="s">
        <v>5975</v>
      </c>
      <c r="K3270" s="25" t="s">
        <v>71</v>
      </c>
      <c r="L3270" s="25" t="s">
        <v>6247</v>
      </c>
      <c r="M3270" s="20" t="s">
        <v>5983</v>
      </c>
      <c r="N3270" s="20" t="s">
        <v>5984</v>
      </c>
      <c r="O3270" s="20" t="s">
        <v>63</v>
      </c>
      <c r="P3270" s="20"/>
      <c r="Q3270" s="22"/>
      <c r="R3270" s="22"/>
      <c r="S3270" s="22"/>
      <c r="T3270" s="20"/>
      <c r="U3270" s="26"/>
      <c r="V3270" s="26"/>
      <c r="W3270" s="20"/>
      <c r="X3270" s="20"/>
      <c r="Y3270" s="20"/>
      <c r="Z3270" s="20"/>
      <c r="AA3270" s="20"/>
      <c r="AB3270" s="20"/>
      <c r="AC3270" s="20"/>
      <c r="AD3270" s="20"/>
      <c r="AE3270" s="20"/>
    </row>
    <row r="3271">
      <c r="A3271" s="21">
        <v>72.0</v>
      </c>
      <c r="B3271" s="20" t="s">
        <v>160</v>
      </c>
      <c r="C3271" s="20" t="s">
        <v>6164</v>
      </c>
      <c r="I3271" s="25" t="s">
        <v>2870</v>
      </c>
      <c r="J3271" s="25" t="s">
        <v>5975</v>
      </c>
      <c r="K3271" s="25" t="s">
        <v>71</v>
      </c>
      <c r="L3271" s="25" t="s">
        <v>292</v>
      </c>
      <c r="M3271" s="20" t="s">
        <v>2871</v>
      </c>
      <c r="N3271" s="20" t="s">
        <v>5985</v>
      </c>
      <c r="O3271" s="20" t="s">
        <v>63</v>
      </c>
      <c r="P3271" s="20" t="s">
        <v>52</v>
      </c>
      <c r="Q3271" s="22"/>
      <c r="R3271" s="22"/>
      <c r="S3271" s="22"/>
      <c r="T3271" s="22"/>
      <c r="U3271" s="26"/>
      <c r="V3271" s="26"/>
      <c r="W3271" s="20"/>
      <c r="X3271" s="20"/>
      <c r="Y3271" s="20"/>
      <c r="Z3271" s="20"/>
      <c r="AA3271" s="20"/>
      <c r="AB3271" s="20"/>
      <c r="AC3271" s="20"/>
      <c r="AD3271" s="20"/>
      <c r="AE3271" s="20"/>
    </row>
    <row r="3272">
      <c r="A3272" s="21">
        <v>72.0</v>
      </c>
      <c r="B3272" s="20" t="s">
        <v>160</v>
      </c>
      <c r="C3272" s="20" t="s">
        <v>6164</v>
      </c>
      <c r="I3272" s="25" t="s">
        <v>1356</v>
      </c>
      <c r="J3272" s="25" t="s">
        <v>5975</v>
      </c>
      <c r="K3272" s="25" t="s">
        <v>71</v>
      </c>
      <c r="L3272" s="25" t="s">
        <v>292</v>
      </c>
      <c r="M3272" s="20" t="s">
        <v>3345</v>
      </c>
      <c r="N3272" s="20" t="s">
        <v>5987</v>
      </c>
      <c r="O3272" s="20" t="s">
        <v>63</v>
      </c>
      <c r="P3272" s="20" t="s">
        <v>52</v>
      </c>
      <c r="Q3272" s="22"/>
      <c r="R3272" s="22"/>
      <c r="S3272" s="22"/>
      <c r="T3272" s="22"/>
      <c r="U3272" s="26"/>
      <c r="V3272" s="26"/>
      <c r="W3272" s="20"/>
      <c r="X3272" s="20"/>
      <c r="Y3272" s="20"/>
      <c r="Z3272" s="20"/>
      <c r="AA3272" s="20"/>
      <c r="AB3272" s="20"/>
      <c r="AC3272" s="20"/>
      <c r="AD3272" s="20"/>
      <c r="AE3272" s="20"/>
    </row>
    <row r="3273">
      <c r="A3273" s="21">
        <v>72.0</v>
      </c>
      <c r="B3273" s="20" t="s">
        <v>160</v>
      </c>
      <c r="C3273" s="20" t="s">
        <v>6164</v>
      </c>
      <c r="I3273" s="25" t="s">
        <v>5989</v>
      </c>
      <c r="J3273" s="25" t="s">
        <v>5975</v>
      </c>
      <c r="K3273" s="25" t="s">
        <v>71</v>
      </c>
      <c r="L3273" s="25" t="s">
        <v>292</v>
      </c>
      <c r="M3273" s="20" t="s">
        <v>61</v>
      </c>
      <c r="N3273" s="20" t="s">
        <v>5990</v>
      </c>
      <c r="O3273" s="20" t="s">
        <v>63</v>
      </c>
      <c r="P3273" s="20" t="s">
        <v>52</v>
      </c>
      <c r="Q3273" s="22"/>
      <c r="R3273" s="22"/>
      <c r="S3273" s="22"/>
      <c r="T3273" s="22"/>
      <c r="U3273" s="26"/>
      <c r="V3273" s="26"/>
      <c r="W3273" s="20"/>
      <c r="X3273" s="20"/>
      <c r="Y3273" s="20"/>
      <c r="Z3273" s="20"/>
      <c r="AA3273" s="20"/>
      <c r="AB3273" s="20"/>
      <c r="AC3273" s="20"/>
      <c r="AD3273" s="20"/>
      <c r="AE3273" s="20"/>
    </row>
    <row r="3274">
      <c r="A3274" s="21">
        <v>72.0</v>
      </c>
      <c r="B3274" s="20" t="s">
        <v>160</v>
      </c>
      <c r="C3274" s="20" t="s">
        <v>6164</v>
      </c>
      <c r="I3274" s="25" t="s">
        <v>1860</v>
      </c>
      <c r="J3274" s="25" t="s">
        <v>5975</v>
      </c>
      <c r="K3274" s="25" t="s">
        <v>71</v>
      </c>
      <c r="L3274" s="25" t="s">
        <v>292</v>
      </c>
      <c r="M3274" s="20" t="s">
        <v>5992</v>
      </c>
      <c r="N3274" s="20" t="s">
        <v>5993</v>
      </c>
      <c r="O3274" s="20" t="s">
        <v>63</v>
      </c>
      <c r="P3274" s="20" t="s">
        <v>52</v>
      </c>
      <c r="Q3274" s="22"/>
      <c r="R3274" s="22"/>
      <c r="S3274" s="22"/>
      <c r="T3274" s="22"/>
      <c r="U3274" s="26"/>
      <c r="V3274" s="26"/>
      <c r="W3274" s="20"/>
      <c r="X3274" s="20"/>
      <c r="Y3274" s="20"/>
      <c r="Z3274" s="20"/>
      <c r="AA3274" s="20"/>
      <c r="AB3274" s="20"/>
      <c r="AC3274" s="20"/>
      <c r="AD3274" s="20"/>
      <c r="AE3274" s="20"/>
    </row>
    <row r="3275">
      <c r="A3275" s="21">
        <v>72.0</v>
      </c>
      <c r="B3275" s="20" t="s">
        <v>160</v>
      </c>
      <c r="C3275" s="20" t="s">
        <v>6164</v>
      </c>
      <c r="I3275" s="25" t="s">
        <v>91</v>
      </c>
      <c r="J3275" s="25" t="s">
        <v>5975</v>
      </c>
      <c r="K3275" s="25" t="s">
        <v>71</v>
      </c>
      <c r="L3275" s="25" t="s">
        <v>6247</v>
      </c>
      <c r="M3275" s="20" t="s">
        <v>1672</v>
      </c>
      <c r="N3275" s="20" t="s">
        <v>5994</v>
      </c>
      <c r="O3275" s="20" t="s">
        <v>63</v>
      </c>
      <c r="P3275" s="20"/>
      <c r="Q3275" s="22"/>
      <c r="R3275" s="22"/>
      <c r="S3275" s="22"/>
      <c r="T3275" s="20"/>
      <c r="U3275" s="26"/>
      <c r="V3275" s="26"/>
      <c r="W3275" s="20"/>
      <c r="X3275" s="20"/>
      <c r="Y3275" s="20"/>
      <c r="Z3275" s="20"/>
      <c r="AA3275" s="20"/>
      <c r="AB3275" s="20"/>
      <c r="AC3275" s="20"/>
      <c r="AD3275" s="20"/>
      <c r="AE3275" s="20"/>
    </row>
    <row r="3276">
      <c r="A3276" s="21">
        <v>72.0</v>
      </c>
      <c r="B3276" s="20" t="s">
        <v>160</v>
      </c>
      <c r="C3276" s="20" t="s">
        <v>6164</v>
      </c>
      <c r="I3276" s="25" t="s">
        <v>2517</v>
      </c>
      <c r="J3276" s="25" t="s">
        <v>5975</v>
      </c>
      <c r="K3276" s="25" t="s">
        <v>71</v>
      </c>
      <c r="L3276" s="25" t="s">
        <v>292</v>
      </c>
      <c r="M3276" s="20" t="s">
        <v>4608</v>
      </c>
      <c r="N3276" s="20" t="s">
        <v>5996</v>
      </c>
      <c r="O3276" s="20" t="s">
        <v>63</v>
      </c>
      <c r="P3276" s="20" t="s">
        <v>52</v>
      </c>
      <c r="Q3276" s="22"/>
      <c r="R3276" s="22"/>
      <c r="S3276" s="22"/>
      <c r="T3276" s="22"/>
      <c r="U3276" s="26"/>
      <c r="V3276" s="26"/>
      <c r="W3276" s="20"/>
      <c r="X3276" s="20"/>
      <c r="Y3276" s="20"/>
      <c r="Z3276" s="20"/>
      <c r="AA3276" s="20"/>
      <c r="AB3276" s="20"/>
      <c r="AC3276" s="20"/>
      <c r="AD3276" s="20"/>
      <c r="AE3276" s="20"/>
    </row>
    <row r="3277">
      <c r="A3277" s="21">
        <v>72.0</v>
      </c>
      <c r="B3277" s="20" t="s">
        <v>160</v>
      </c>
      <c r="C3277" s="20" t="s">
        <v>6164</v>
      </c>
      <c r="I3277" s="25" t="s">
        <v>2024</v>
      </c>
      <c r="J3277" s="25" t="s">
        <v>5975</v>
      </c>
      <c r="K3277" s="25" t="s">
        <v>71</v>
      </c>
      <c r="L3277" s="25" t="s">
        <v>6172</v>
      </c>
      <c r="M3277" s="20" t="s">
        <v>5423</v>
      </c>
      <c r="N3277" s="20" t="s">
        <v>5997</v>
      </c>
      <c r="O3277" s="20" t="s">
        <v>63</v>
      </c>
      <c r="P3277" s="20"/>
      <c r="Q3277" s="22"/>
      <c r="R3277" s="22"/>
      <c r="S3277" s="22"/>
      <c r="T3277" s="20"/>
      <c r="U3277" s="26"/>
      <c r="V3277" s="26"/>
      <c r="W3277" s="20"/>
      <c r="X3277" s="20"/>
      <c r="Y3277" s="20"/>
      <c r="Z3277" s="20"/>
      <c r="AA3277" s="20"/>
      <c r="AB3277" s="20"/>
      <c r="AC3277" s="20"/>
      <c r="AD3277" s="20"/>
      <c r="AE3277" s="20"/>
    </row>
    <row r="3278">
      <c r="A3278" s="21">
        <v>72.0</v>
      </c>
      <c r="B3278" s="20" t="s">
        <v>160</v>
      </c>
      <c r="C3278" s="20" t="s">
        <v>6164</v>
      </c>
      <c r="I3278" s="25" t="s">
        <v>5372</v>
      </c>
      <c r="J3278" s="25" t="s">
        <v>5975</v>
      </c>
      <c r="K3278" s="25" t="s">
        <v>71</v>
      </c>
      <c r="L3278" s="25" t="s">
        <v>6172</v>
      </c>
      <c r="M3278" s="20" t="s">
        <v>5999</v>
      </c>
      <c r="N3278" s="20" t="s">
        <v>6000</v>
      </c>
      <c r="O3278" s="20" t="s">
        <v>63</v>
      </c>
      <c r="P3278" s="20"/>
      <c r="Q3278" s="22"/>
      <c r="R3278" s="22"/>
      <c r="S3278" s="22"/>
      <c r="T3278" s="20"/>
      <c r="U3278" s="26"/>
      <c r="V3278" s="26"/>
      <c r="W3278" s="20"/>
      <c r="X3278" s="20"/>
      <c r="Y3278" s="20"/>
      <c r="Z3278" s="20"/>
      <c r="AA3278" s="20"/>
      <c r="AB3278" s="20"/>
      <c r="AC3278" s="20"/>
      <c r="AD3278" s="20"/>
      <c r="AE3278" s="20"/>
    </row>
    <row r="3279">
      <c r="A3279" s="21">
        <v>72.0</v>
      </c>
      <c r="B3279" s="20" t="s">
        <v>160</v>
      </c>
      <c r="C3279" s="20" t="s">
        <v>6164</v>
      </c>
      <c r="I3279" s="25" t="s">
        <v>1710</v>
      </c>
      <c r="J3279" s="25" t="s">
        <v>5975</v>
      </c>
      <c r="K3279" s="25" t="s">
        <v>71</v>
      </c>
      <c r="L3279" s="25" t="s">
        <v>292</v>
      </c>
      <c r="M3279" s="20" t="s">
        <v>1711</v>
      </c>
      <c r="N3279" s="20" t="s">
        <v>6001</v>
      </c>
      <c r="O3279" s="20" t="s">
        <v>63</v>
      </c>
      <c r="P3279" s="20" t="s">
        <v>52</v>
      </c>
      <c r="Q3279" s="22"/>
      <c r="R3279" s="22"/>
      <c r="S3279" s="22"/>
      <c r="T3279" s="22"/>
      <c r="U3279" s="26"/>
      <c r="V3279" s="26"/>
      <c r="W3279" s="20"/>
      <c r="X3279" s="20"/>
      <c r="Y3279" s="20"/>
      <c r="Z3279" s="20"/>
      <c r="AA3279" s="20"/>
      <c r="AB3279" s="20"/>
      <c r="AC3279" s="20"/>
      <c r="AD3279" s="20"/>
      <c r="AE3279" s="20"/>
    </row>
    <row r="3280">
      <c r="A3280" s="21">
        <v>72.0</v>
      </c>
      <c r="B3280" s="20" t="s">
        <v>160</v>
      </c>
      <c r="C3280" s="20" t="s">
        <v>6164</v>
      </c>
      <c r="I3280" s="25" t="s">
        <v>4112</v>
      </c>
      <c r="J3280" s="25" t="s">
        <v>5975</v>
      </c>
      <c r="K3280" s="25" t="s">
        <v>71</v>
      </c>
      <c r="L3280" s="25" t="s">
        <v>292</v>
      </c>
      <c r="M3280" s="20" t="s">
        <v>4113</v>
      </c>
      <c r="N3280" s="20" t="s">
        <v>6002</v>
      </c>
      <c r="O3280" s="20" t="s">
        <v>63</v>
      </c>
      <c r="P3280" s="20" t="s">
        <v>52</v>
      </c>
      <c r="Q3280" s="22"/>
      <c r="R3280" s="22"/>
      <c r="S3280" s="22"/>
      <c r="T3280" s="22"/>
      <c r="U3280" s="26"/>
      <c r="V3280" s="26"/>
      <c r="W3280" s="20"/>
      <c r="X3280" s="20"/>
      <c r="Y3280" s="20"/>
      <c r="Z3280" s="20"/>
      <c r="AA3280" s="20"/>
      <c r="AB3280" s="20"/>
      <c r="AC3280" s="20"/>
      <c r="AD3280" s="20"/>
      <c r="AE3280" s="20"/>
    </row>
    <row r="3281">
      <c r="A3281" s="21">
        <v>72.0</v>
      </c>
      <c r="B3281" s="20" t="s">
        <v>160</v>
      </c>
      <c r="C3281" s="20" t="s">
        <v>6164</v>
      </c>
      <c r="I3281" s="25" t="s">
        <v>1729</v>
      </c>
      <c r="J3281" s="25" t="s">
        <v>5975</v>
      </c>
      <c r="K3281" s="25" t="s">
        <v>71</v>
      </c>
      <c r="L3281" s="25" t="s">
        <v>292</v>
      </c>
      <c r="M3281" s="20" t="s">
        <v>6003</v>
      </c>
      <c r="N3281" s="20" t="s">
        <v>6004</v>
      </c>
      <c r="O3281" s="20" t="s">
        <v>63</v>
      </c>
      <c r="P3281" s="20" t="s">
        <v>52</v>
      </c>
      <c r="Q3281" s="22"/>
      <c r="R3281" s="22"/>
      <c r="S3281" s="22"/>
      <c r="T3281" s="22"/>
      <c r="U3281" s="26"/>
      <c r="V3281" s="26"/>
      <c r="W3281" s="20"/>
      <c r="X3281" s="20"/>
      <c r="Y3281" s="20"/>
      <c r="Z3281" s="20"/>
      <c r="AA3281" s="20"/>
      <c r="AB3281" s="20"/>
      <c r="AC3281" s="20"/>
      <c r="AD3281" s="20"/>
      <c r="AE3281" s="20"/>
    </row>
    <row r="3282">
      <c r="A3282" s="21">
        <v>72.0</v>
      </c>
      <c r="B3282" s="20" t="s">
        <v>160</v>
      </c>
      <c r="C3282" s="20" t="s">
        <v>6164</v>
      </c>
      <c r="I3282" s="25" t="s">
        <v>2883</v>
      </c>
      <c r="J3282" s="25" t="s">
        <v>5975</v>
      </c>
      <c r="K3282" s="25" t="s">
        <v>71</v>
      </c>
      <c r="L3282" s="25" t="s">
        <v>292</v>
      </c>
      <c r="M3282" s="20" t="s">
        <v>61</v>
      </c>
      <c r="N3282" s="20" t="s">
        <v>6005</v>
      </c>
      <c r="O3282" s="20" t="s">
        <v>63</v>
      </c>
      <c r="P3282" s="20" t="s">
        <v>52</v>
      </c>
      <c r="Q3282" s="22"/>
      <c r="R3282" s="22"/>
      <c r="S3282" s="22"/>
      <c r="T3282" s="22"/>
      <c r="U3282" s="26"/>
      <c r="V3282" s="26"/>
      <c r="W3282" s="20"/>
      <c r="X3282" s="20"/>
      <c r="Y3282" s="20"/>
      <c r="Z3282" s="20"/>
      <c r="AA3282" s="20"/>
      <c r="AB3282" s="20"/>
      <c r="AC3282" s="20"/>
      <c r="AD3282" s="20"/>
      <c r="AE3282" s="20"/>
    </row>
    <row r="3283">
      <c r="A3283" s="21">
        <v>72.0</v>
      </c>
      <c r="B3283" s="20" t="s">
        <v>160</v>
      </c>
      <c r="C3283" s="20" t="s">
        <v>6164</v>
      </c>
      <c r="I3283" s="25" t="s">
        <v>711</v>
      </c>
      <c r="J3283" s="25" t="s">
        <v>5975</v>
      </c>
      <c r="K3283" s="25" t="s">
        <v>71</v>
      </c>
      <c r="L3283" s="25" t="s">
        <v>292</v>
      </c>
      <c r="M3283" s="20" t="s">
        <v>61</v>
      </c>
      <c r="N3283" s="20" t="s">
        <v>6006</v>
      </c>
      <c r="O3283" s="20" t="s">
        <v>63</v>
      </c>
      <c r="P3283" s="20" t="s">
        <v>52</v>
      </c>
      <c r="Q3283" s="22"/>
      <c r="R3283" s="22"/>
      <c r="S3283" s="22"/>
      <c r="T3283" s="22"/>
      <c r="U3283" s="26"/>
      <c r="V3283" s="26"/>
      <c r="W3283" s="20"/>
      <c r="X3283" s="20"/>
      <c r="Y3283" s="20"/>
      <c r="Z3283" s="20"/>
      <c r="AA3283" s="20"/>
      <c r="AB3283" s="20"/>
      <c r="AC3283" s="20"/>
      <c r="AD3283" s="20"/>
      <c r="AE3283" s="20"/>
    </row>
    <row r="3284">
      <c r="A3284" s="21">
        <v>72.0</v>
      </c>
      <c r="B3284" s="20" t="s">
        <v>160</v>
      </c>
      <c r="C3284" s="20" t="s">
        <v>6164</v>
      </c>
      <c r="I3284" s="25" t="s">
        <v>4592</v>
      </c>
      <c r="J3284" s="25" t="s">
        <v>5975</v>
      </c>
      <c r="K3284" s="25" t="s">
        <v>71</v>
      </c>
      <c r="L3284" s="25" t="s">
        <v>292</v>
      </c>
      <c r="M3284" s="20" t="s">
        <v>6007</v>
      </c>
      <c r="N3284" s="20" t="s">
        <v>6008</v>
      </c>
      <c r="O3284" s="20" t="s">
        <v>63</v>
      </c>
      <c r="P3284" s="20" t="s">
        <v>52</v>
      </c>
      <c r="Q3284" s="22"/>
      <c r="R3284" s="22"/>
      <c r="S3284" s="22"/>
      <c r="T3284" s="22"/>
      <c r="U3284" s="26"/>
      <c r="V3284" s="26"/>
      <c r="W3284" s="20"/>
      <c r="X3284" s="20"/>
      <c r="Y3284" s="20"/>
      <c r="Z3284" s="20"/>
      <c r="AA3284" s="20"/>
      <c r="AB3284" s="20"/>
      <c r="AC3284" s="20"/>
      <c r="AD3284" s="20"/>
      <c r="AE3284" s="20"/>
    </row>
    <row r="3285">
      <c r="A3285" s="21">
        <v>72.0</v>
      </c>
      <c r="B3285" s="20" t="s">
        <v>160</v>
      </c>
      <c r="C3285" s="20" t="s">
        <v>6164</v>
      </c>
      <c r="I3285" s="25" t="s">
        <v>1309</v>
      </c>
      <c r="J3285" s="25" t="s">
        <v>5975</v>
      </c>
      <c r="K3285" s="25" t="s">
        <v>71</v>
      </c>
      <c r="L3285" s="25" t="s">
        <v>292</v>
      </c>
      <c r="M3285" s="20" t="s">
        <v>1310</v>
      </c>
      <c r="N3285" s="20" t="s">
        <v>6009</v>
      </c>
      <c r="O3285" s="20" t="s">
        <v>63</v>
      </c>
      <c r="P3285" s="20" t="s">
        <v>52</v>
      </c>
      <c r="Q3285" s="22"/>
      <c r="R3285" s="22"/>
      <c r="S3285" s="22"/>
      <c r="T3285" s="22"/>
      <c r="U3285" s="26"/>
      <c r="V3285" s="26"/>
      <c r="W3285" s="20"/>
      <c r="X3285" s="20"/>
      <c r="Y3285" s="20"/>
      <c r="Z3285" s="20"/>
      <c r="AA3285" s="20"/>
      <c r="AB3285" s="20"/>
      <c r="AC3285" s="20"/>
      <c r="AD3285" s="20"/>
      <c r="AE3285" s="20"/>
    </row>
    <row r="3286">
      <c r="A3286" s="21">
        <v>72.0</v>
      </c>
      <c r="B3286" s="20" t="s">
        <v>160</v>
      </c>
      <c r="C3286" s="20" t="s">
        <v>6164</v>
      </c>
      <c r="I3286" s="25" t="s">
        <v>1032</v>
      </c>
      <c r="J3286" s="25" t="s">
        <v>5975</v>
      </c>
      <c r="K3286" s="25" t="s">
        <v>71</v>
      </c>
      <c r="L3286" s="25" t="s">
        <v>292</v>
      </c>
      <c r="M3286" s="20" t="s">
        <v>3877</v>
      </c>
      <c r="N3286" s="20" t="s">
        <v>6010</v>
      </c>
      <c r="O3286" s="20" t="s">
        <v>63</v>
      </c>
      <c r="P3286" s="20" t="s">
        <v>52</v>
      </c>
      <c r="Q3286" s="22"/>
      <c r="R3286" s="22"/>
      <c r="S3286" s="22"/>
      <c r="T3286" s="22"/>
      <c r="U3286" s="26"/>
      <c r="V3286" s="26"/>
      <c r="W3286" s="20"/>
      <c r="X3286" s="20"/>
      <c r="Y3286" s="20"/>
      <c r="Z3286" s="20"/>
      <c r="AA3286" s="20"/>
      <c r="AB3286" s="20"/>
      <c r="AC3286" s="20"/>
      <c r="AD3286" s="20"/>
      <c r="AE3286" s="20"/>
    </row>
    <row r="3287">
      <c r="A3287" s="21">
        <v>72.0</v>
      </c>
      <c r="B3287" s="20" t="s">
        <v>160</v>
      </c>
      <c r="C3287" s="20" t="s">
        <v>6164</v>
      </c>
      <c r="I3287" s="25" t="s">
        <v>4570</v>
      </c>
      <c r="J3287" s="25" t="s">
        <v>5975</v>
      </c>
      <c r="K3287" s="25" t="s">
        <v>418</v>
      </c>
      <c r="L3287" s="25" t="s">
        <v>537</v>
      </c>
      <c r="M3287" s="20" t="s">
        <v>415</v>
      </c>
      <c r="N3287" s="20" t="s">
        <v>415</v>
      </c>
      <c r="O3287" s="20" t="s">
        <v>416</v>
      </c>
      <c r="P3287" s="20"/>
      <c r="Q3287" s="22"/>
      <c r="R3287" s="22"/>
      <c r="S3287" s="22"/>
      <c r="T3287" s="20"/>
      <c r="U3287" s="26"/>
      <c r="V3287" s="26"/>
      <c r="W3287" s="20"/>
      <c r="X3287" s="20"/>
      <c r="Y3287" s="20"/>
      <c r="Z3287" s="20"/>
      <c r="AA3287" s="20"/>
      <c r="AB3287" s="20"/>
      <c r="AC3287" s="20"/>
      <c r="AD3287" s="20"/>
      <c r="AE3287" s="20"/>
    </row>
    <row r="3288">
      <c r="A3288" s="21">
        <v>72.0</v>
      </c>
      <c r="B3288" s="20" t="s">
        <v>160</v>
      </c>
      <c r="C3288" s="20" t="s">
        <v>6164</v>
      </c>
      <c r="I3288" s="25" t="s">
        <v>3054</v>
      </c>
      <c r="J3288" s="25" t="s">
        <v>5975</v>
      </c>
      <c r="K3288" s="25" t="s">
        <v>71</v>
      </c>
      <c r="L3288" s="25" t="s">
        <v>6172</v>
      </c>
      <c r="M3288" s="20" t="s">
        <v>5876</v>
      </c>
      <c r="N3288" s="20" t="s">
        <v>6012</v>
      </c>
      <c r="O3288" s="20" t="s">
        <v>63</v>
      </c>
      <c r="P3288" s="20"/>
      <c r="Q3288" s="22"/>
      <c r="R3288" s="22"/>
      <c r="S3288" s="22"/>
      <c r="T3288" s="20"/>
      <c r="U3288" s="26"/>
      <c r="V3288" s="26"/>
      <c r="W3288" s="20"/>
      <c r="X3288" s="20"/>
      <c r="Y3288" s="20"/>
      <c r="Z3288" s="20"/>
      <c r="AA3288" s="20"/>
      <c r="AB3288" s="20"/>
      <c r="AC3288" s="20"/>
      <c r="AD3288" s="20"/>
      <c r="AE3288" s="20"/>
    </row>
    <row r="3289">
      <c r="A3289" s="21">
        <v>72.0</v>
      </c>
      <c r="B3289" s="20" t="s">
        <v>160</v>
      </c>
      <c r="C3289" s="20" t="s">
        <v>6164</v>
      </c>
      <c r="I3289" s="25" t="s">
        <v>1293</v>
      </c>
      <c r="J3289" s="25" t="s">
        <v>5975</v>
      </c>
      <c r="K3289" s="25" t="s">
        <v>418</v>
      </c>
      <c r="L3289" s="25" t="s">
        <v>537</v>
      </c>
      <c r="M3289" s="20" t="s">
        <v>415</v>
      </c>
      <c r="N3289" s="20" t="s">
        <v>415</v>
      </c>
      <c r="O3289" s="20" t="s">
        <v>416</v>
      </c>
      <c r="P3289" s="20"/>
      <c r="Q3289" s="22"/>
      <c r="R3289" s="22"/>
      <c r="S3289" s="22"/>
      <c r="T3289" s="20"/>
      <c r="U3289" s="26"/>
      <c r="V3289" s="26"/>
      <c r="W3289" s="20"/>
      <c r="X3289" s="20"/>
      <c r="Y3289" s="20"/>
      <c r="Z3289" s="20"/>
      <c r="AA3289" s="20"/>
      <c r="AB3289" s="20"/>
      <c r="AC3289" s="20"/>
      <c r="AD3289" s="20"/>
      <c r="AE3289" s="20"/>
    </row>
    <row r="3290">
      <c r="A3290" s="21">
        <v>72.0</v>
      </c>
      <c r="B3290" s="20" t="s">
        <v>160</v>
      </c>
      <c r="C3290" s="20" t="s">
        <v>6164</v>
      </c>
      <c r="I3290" s="25" t="s">
        <v>81</v>
      </c>
      <c r="J3290" s="25" t="s">
        <v>5975</v>
      </c>
      <c r="K3290" s="25" t="s">
        <v>418</v>
      </c>
      <c r="L3290" s="25" t="s">
        <v>537</v>
      </c>
      <c r="M3290" s="20" t="s">
        <v>415</v>
      </c>
      <c r="N3290" s="20" t="s">
        <v>415</v>
      </c>
      <c r="O3290" s="20" t="s">
        <v>416</v>
      </c>
      <c r="P3290" s="20"/>
      <c r="Q3290" s="22"/>
      <c r="R3290" s="22"/>
      <c r="S3290" s="22"/>
      <c r="T3290" s="20"/>
      <c r="U3290" s="26"/>
      <c r="V3290" s="26"/>
      <c r="W3290" s="20"/>
      <c r="X3290" s="20"/>
      <c r="Y3290" s="20"/>
      <c r="Z3290" s="20"/>
      <c r="AA3290" s="20"/>
      <c r="AB3290" s="20"/>
      <c r="AC3290" s="20"/>
      <c r="AD3290" s="20"/>
      <c r="AE3290" s="20"/>
    </row>
    <row r="3291">
      <c r="A3291" s="21">
        <v>72.0</v>
      </c>
      <c r="B3291" s="20" t="s">
        <v>160</v>
      </c>
      <c r="C3291" s="20" t="s">
        <v>6164</v>
      </c>
      <c r="I3291" s="25" t="s">
        <v>2773</v>
      </c>
      <c r="J3291" s="25" t="s">
        <v>5975</v>
      </c>
      <c r="K3291" s="25" t="s">
        <v>71</v>
      </c>
      <c r="L3291" s="25" t="s">
        <v>6258</v>
      </c>
      <c r="M3291" s="20" t="s">
        <v>6014</v>
      </c>
      <c r="N3291" s="20" t="s">
        <v>6015</v>
      </c>
      <c r="O3291" s="20" t="s">
        <v>63</v>
      </c>
      <c r="P3291" s="20"/>
      <c r="Q3291" s="22"/>
      <c r="R3291" s="22"/>
      <c r="S3291" s="22"/>
      <c r="T3291" s="20"/>
      <c r="U3291" s="26"/>
      <c r="V3291" s="26"/>
      <c r="W3291" s="20"/>
      <c r="X3291" s="20"/>
      <c r="Y3291" s="20"/>
      <c r="Z3291" s="20"/>
      <c r="AA3291" s="20"/>
      <c r="AB3291" s="20"/>
      <c r="AC3291" s="20"/>
      <c r="AD3291" s="20"/>
      <c r="AE3291" s="20"/>
    </row>
    <row r="3292">
      <c r="A3292" s="21">
        <v>72.0</v>
      </c>
      <c r="B3292" s="20" t="s">
        <v>160</v>
      </c>
      <c r="C3292" s="20" t="s">
        <v>6164</v>
      </c>
      <c r="I3292" s="25" t="s">
        <v>4068</v>
      </c>
      <c r="J3292" s="25" t="s">
        <v>5975</v>
      </c>
      <c r="K3292" s="25" t="s">
        <v>418</v>
      </c>
      <c r="L3292" s="25" t="s">
        <v>537</v>
      </c>
      <c r="M3292" s="20" t="s">
        <v>415</v>
      </c>
      <c r="N3292" s="20" t="s">
        <v>415</v>
      </c>
      <c r="O3292" s="20" t="s">
        <v>416</v>
      </c>
      <c r="P3292" s="20"/>
      <c r="Q3292" s="22"/>
      <c r="R3292" s="22"/>
      <c r="S3292" s="22"/>
      <c r="T3292" s="20"/>
      <c r="U3292" s="26"/>
      <c r="V3292" s="26"/>
      <c r="W3292" s="20"/>
      <c r="X3292" s="20"/>
      <c r="Y3292" s="20"/>
      <c r="Z3292" s="20"/>
      <c r="AA3292" s="20"/>
      <c r="AB3292" s="20"/>
      <c r="AC3292" s="20"/>
      <c r="AD3292" s="20"/>
      <c r="AE3292" s="20"/>
    </row>
    <row r="3293">
      <c r="A3293" s="21">
        <v>72.0</v>
      </c>
      <c r="B3293" s="20" t="s">
        <v>160</v>
      </c>
      <c r="C3293" s="20" t="s">
        <v>6164</v>
      </c>
      <c r="I3293" s="25" t="s">
        <v>2505</v>
      </c>
      <c r="J3293" s="25" t="s">
        <v>5975</v>
      </c>
      <c r="K3293" s="25" t="s">
        <v>418</v>
      </c>
      <c r="L3293" s="25" t="s">
        <v>537</v>
      </c>
      <c r="M3293" s="20" t="s">
        <v>415</v>
      </c>
      <c r="N3293" s="20" t="s">
        <v>415</v>
      </c>
      <c r="O3293" s="20" t="s">
        <v>416</v>
      </c>
      <c r="P3293" s="20"/>
      <c r="Q3293" s="22"/>
      <c r="R3293" s="22"/>
      <c r="S3293" s="22"/>
      <c r="T3293" s="20"/>
      <c r="U3293" s="26"/>
      <c r="V3293" s="26"/>
      <c r="W3293" s="20"/>
      <c r="X3293" s="20"/>
      <c r="Y3293" s="20"/>
      <c r="Z3293" s="20"/>
      <c r="AA3293" s="20"/>
      <c r="AB3293" s="20"/>
      <c r="AC3293" s="20"/>
      <c r="AD3293" s="20"/>
      <c r="AE3293" s="20"/>
    </row>
    <row r="3294">
      <c r="A3294" s="21">
        <v>72.0</v>
      </c>
      <c r="B3294" s="20" t="s">
        <v>160</v>
      </c>
      <c r="C3294" s="20" t="s">
        <v>6164</v>
      </c>
      <c r="I3294" s="25" t="s">
        <v>2539</v>
      </c>
      <c r="J3294" s="25" t="s">
        <v>5975</v>
      </c>
      <c r="K3294" s="25" t="s">
        <v>71</v>
      </c>
      <c r="L3294" s="25" t="s">
        <v>6247</v>
      </c>
      <c r="M3294" s="20" t="s">
        <v>61</v>
      </c>
      <c r="N3294" s="20" t="s">
        <v>5405</v>
      </c>
      <c r="O3294" s="20" t="s">
        <v>63</v>
      </c>
      <c r="P3294" s="20"/>
      <c r="Q3294" s="22"/>
      <c r="R3294" s="22"/>
      <c r="S3294" s="22"/>
      <c r="T3294" s="20"/>
      <c r="U3294" s="26"/>
      <c r="V3294" s="26"/>
      <c r="W3294" s="20"/>
      <c r="X3294" s="20"/>
      <c r="Y3294" s="20"/>
      <c r="Z3294" s="20"/>
      <c r="AA3294" s="20"/>
      <c r="AB3294" s="20"/>
      <c r="AC3294" s="20"/>
      <c r="AD3294" s="20"/>
      <c r="AE3294" s="20"/>
    </row>
    <row r="3295">
      <c r="A3295" s="21">
        <v>73.0</v>
      </c>
      <c r="B3295" s="20" t="s">
        <v>2513</v>
      </c>
      <c r="C3295" s="20" t="s">
        <v>6164</v>
      </c>
      <c r="D3295" s="35">
        <v>30.0</v>
      </c>
      <c r="E3295" s="35">
        <v>1.0</v>
      </c>
      <c r="F3295" s="35">
        <v>15.0</v>
      </c>
      <c r="G3295" s="35">
        <v>14.0</v>
      </c>
      <c r="H3295" s="36" t="s">
        <v>6260</v>
      </c>
      <c r="I3295" s="25" t="s">
        <v>1843</v>
      </c>
      <c r="J3295" s="25" t="s">
        <v>6016</v>
      </c>
      <c r="K3295" s="25" t="s">
        <v>67</v>
      </c>
      <c r="L3295" s="25" t="s">
        <v>1133</v>
      </c>
      <c r="M3295" s="20" t="s">
        <v>4805</v>
      </c>
      <c r="N3295" s="20" t="s">
        <v>6018</v>
      </c>
      <c r="O3295" s="20" t="s">
        <v>56</v>
      </c>
      <c r="P3295" s="20" t="s">
        <v>52</v>
      </c>
      <c r="Q3295" s="22"/>
      <c r="R3295" s="22"/>
      <c r="S3295" s="22"/>
      <c r="T3295" s="22"/>
      <c r="U3295" s="26"/>
      <c r="V3295" s="26"/>
      <c r="W3295" s="20"/>
      <c r="X3295" s="20"/>
      <c r="Y3295" s="20"/>
      <c r="Z3295" s="20"/>
      <c r="AA3295" s="20"/>
      <c r="AB3295" s="20"/>
      <c r="AC3295" s="20"/>
      <c r="AD3295" s="20"/>
      <c r="AE3295" s="20"/>
    </row>
    <row r="3296">
      <c r="A3296" s="21">
        <v>73.0</v>
      </c>
      <c r="B3296" s="20" t="s">
        <v>2513</v>
      </c>
      <c r="C3296" s="20" t="s">
        <v>6164</v>
      </c>
      <c r="I3296" s="25" t="s">
        <v>2488</v>
      </c>
      <c r="J3296" s="25" t="s">
        <v>6016</v>
      </c>
      <c r="K3296" s="25" t="s">
        <v>57</v>
      </c>
      <c r="L3296" s="25" t="s">
        <v>6261</v>
      </c>
      <c r="M3296" s="20" t="s">
        <v>61</v>
      </c>
      <c r="N3296" s="20" t="s">
        <v>6017</v>
      </c>
      <c r="O3296" s="20" t="s">
        <v>56</v>
      </c>
      <c r="P3296" s="20"/>
      <c r="Q3296" s="22"/>
      <c r="R3296" s="22"/>
      <c r="S3296" s="22"/>
      <c r="T3296" s="20"/>
      <c r="U3296" s="26"/>
      <c r="V3296" s="26"/>
      <c r="W3296" s="20"/>
      <c r="X3296" s="20"/>
      <c r="Y3296" s="20"/>
      <c r="Z3296" s="20"/>
      <c r="AA3296" s="20"/>
      <c r="AB3296" s="20"/>
      <c r="AC3296" s="20"/>
      <c r="AD3296" s="20"/>
      <c r="AE3296" s="20"/>
    </row>
    <row r="3297">
      <c r="A3297" s="21">
        <v>73.0</v>
      </c>
      <c r="B3297" s="20" t="s">
        <v>2513</v>
      </c>
      <c r="C3297" s="20" t="s">
        <v>6164</v>
      </c>
      <c r="I3297" s="25" t="s">
        <v>2542</v>
      </c>
      <c r="J3297" s="25" t="s">
        <v>6016</v>
      </c>
      <c r="K3297" s="25" t="s">
        <v>67</v>
      </c>
      <c r="L3297" s="25" t="s">
        <v>6262</v>
      </c>
      <c r="M3297" s="20" t="s">
        <v>2543</v>
      </c>
      <c r="N3297" s="20" t="s">
        <v>3319</v>
      </c>
      <c r="O3297" s="20" t="s">
        <v>56</v>
      </c>
      <c r="P3297" s="20"/>
      <c r="Q3297" s="22"/>
      <c r="R3297" s="22"/>
      <c r="S3297" s="22"/>
      <c r="T3297" s="20"/>
      <c r="U3297" s="26"/>
      <c r="V3297" s="26"/>
      <c r="W3297" s="20"/>
      <c r="X3297" s="20"/>
      <c r="Y3297" s="20"/>
      <c r="Z3297" s="20"/>
      <c r="AA3297" s="20"/>
      <c r="AB3297" s="20"/>
      <c r="AC3297" s="20"/>
      <c r="AD3297" s="20"/>
      <c r="AE3297" s="20"/>
    </row>
    <row r="3298">
      <c r="A3298" s="21">
        <v>73.0</v>
      </c>
      <c r="B3298" s="20" t="s">
        <v>2513</v>
      </c>
      <c r="C3298" s="20" t="s">
        <v>6164</v>
      </c>
      <c r="I3298" s="25" t="s">
        <v>2529</v>
      </c>
      <c r="J3298" s="25" t="s">
        <v>6016</v>
      </c>
      <c r="K3298" s="25" t="s">
        <v>67</v>
      </c>
      <c r="L3298" s="25" t="s">
        <v>6264</v>
      </c>
      <c r="M3298" s="20" t="s">
        <v>61</v>
      </c>
      <c r="N3298" s="20" t="s">
        <v>6020</v>
      </c>
      <c r="O3298" s="20" t="s">
        <v>56</v>
      </c>
      <c r="P3298" s="20"/>
      <c r="Q3298" s="22"/>
      <c r="R3298" s="22"/>
      <c r="S3298" s="22"/>
      <c r="T3298" s="20"/>
      <c r="U3298" s="26"/>
      <c r="V3298" s="26"/>
      <c r="W3298" s="20"/>
      <c r="X3298" s="20"/>
      <c r="Y3298" s="20"/>
      <c r="Z3298" s="20"/>
      <c r="AA3298" s="20"/>
      <c r="AB3298" s="20"/>
      <c r="AC3298" s="20"/>
      <c r="AD3298" s="20"/>
      <c r="AE3298" s="20"/>
    </row>
    <row r="3299">
      <c r="A3299" s="21">
        <v>73.0</v>
      </c>
      <c r="B3299" s="20" t="s">
        <v>2513</v>
      </c>
      <c r="C3299" s="20" t="s">
        <v>6164</v>
      </c>
      <c r="I3299" s="25" t="s">
        <v>2511</v>
      </c>
      <c r="J3299" s="25" t="s">
        <v>6016</v>
      </c>
      <c r="K3299" s="25" t="s">
        <v>67</v>
      </c>
      <c r="L3299" s="25" t="s">
        <v>6265</v>
      </c>
      <c r="M3299" s="20" t="s">
        <v>61</v>
      </c>
      <c r="N3299" s="20" t="s">
        <v>5693</v>
      </c>
      <c r="O3299" s="20" t="s">
        <v>56</v>
      </c>
      <c r="P3299" s="20"/>
      <c r="Q3299" s="22"/>
      <c r="R3299" s="22"/>
      <c r="S3299" s="22"/>
      <c r="T3299" s="20"/>
      <c r="U3299" s="26"/>
      <c r="V3299" s="26"/>
      <c r="W3299" s="20"/>
      <c r="X3299" s="20"/>
      <c r="Y3299" s="20"/>
      <c r="Z3299" s="20"/>
      <c r="AA3299" s="20"/>
      <c r="AB3299" s="20"/>
      <c r="AC3299" s="20"/>
      <c r="AD3299" s="20"/>
      <c r="AE3299" s="20"/>
    </row>
    <row r="3300">
      <c r="A3300" s="21">
        <v>73.0</v>
      </c>
      <c r="B3300" s="20" t="s">
        <v>2513</v>
      </c>
      <c r="C3300" s="20" t="s">
        <v>6164</v>
      </c>
      <c r="I3300" s="25" t="s">
        <v>2545</v>
      </c>
      <c r="J3300" s="25" t="s">
        <v>6016</v>
      </c>
      <c r="K3300" s="25" t="s">
        <v>71</v>
      </c>
      <c r="L3300" s="25" t="s">
        <v>6266</v>
      </c>
      <c r="M3300" s="20" t="s">
        <v>6039</v>
      </c>
      <c r="N3300" s="20" t="s">
        <v>6040</v>
      </c>
      <c r="O3300" s="20" t="s">
        <v>56</v>
      </c>
      <c r="P3300" s="20"/>
      <c r="Q3300" s="22"/>
      <c r="R3300" s="22"/>
      <c r="S3300" s="22"/>
      <c r="T3300" s="20"/>
      <c r="U3300" s="26"/>
      <c r="V3300" s="26"/>
      <c r="W3300" s="20"/>
      <c r="X3300" s="20"/>
      <c r="Y3300" s="20"/>
      <c r="Z3300" s="20"/>
      <c r="AA3300" s="20"/>
      <c r="AB3300" s="20"/>
      <c r="AC3300" s="20"/>
      <c r="AD3300" s="20"/>
      <c r="AE3300" s="20"/>
    </row>
    <row r="3301">
      <c r="A3301" s="21">
        <v>73.0</v>
      </c>
      <c r="B3301" s="20" t="s">
        <v>2513</v>
      </c>
      <c r="C3301" s="20" t="s">
        <v>6164</v>
      </c>
      <c r="I3301" s="25" t="s">
        <v>2508</v>
      </c>
      <c r="J3301" s="25" t="s">
        <v>6016</v>
      </c>
      <c r="K3301" s="25" t="s">
        <v>71</v>
      </c>
      <c r="L3301" s="25" t="s">
        <v>3112</v>
      </c>
      <c r="M3301" s="20" t="s">
        <v>61</v>
      </c>
      <c r="N3301" s="20" t="s">
        <v>6041</v>
      </c>
      <c r="O3301" s="20" t="s">
        <v>56</v>
      </c>
      <c r="P3301" s="20"/>
      <c r="Q3301" s="22"/>
      <c r="R3301" s="22"/>
      <c r="S3301" s="22"/>
      <c r="T3301" s="20"/>
      <c r="U3301" s="26"/>
      <c r="V3301" s="26"/>
      <c r="W3301" s="20"/>
      <c r="X3301" s="20"/>
      <c r="Y3301" s="20"/>
      <c r="Z3301" s="20"/>
      <c r="AA3301" s="20"/>
      <c r="AB3301" s="20"/>
      <c r="AC3301" s="20"/>
      <c r="AD3301" s="20"/>
      <c r="AE3301" s="20"/>
    </row>
    <row r="3302">
      <c r="A3302" s="21">
        <v>73.0</v>
      </c>
      <c r="B3302" s="20" t="s">
        <v>2513</v>
      </c>
      <c r="C3302" s="20" t="s">
        <v>6164</v>
      </c>
      <c r="I3302" s="25" t="s">
        <v>2520</v>
      </c>
      <c r="J3302" s="25" t="s">
        <v>6016</v>
      </c>
      <c r="K3302" s="25" t="s">
        <v>71</v>
      </c>
      <c r="L3302" s="25" t="s">
        <v>6266</v>
      </c>
      <c r="M3302" s="20" t="s">
        <v>6042</v>
      </c>
      <c r="N3302" s="20" t="s">
        <v>6043</v>
      </c>
      <c r="O3302" s="20" t="s">
        <v>56</v>
      </c>
      <c r="P3302" s="20"/>
      <c r="Q3302" s="22"/>
      <c r="R3302" s="22"/>
      <c r="S3302" s="22"/>
      <c r="T3302" s="20"/>
      <c r="U3302" s="26"/>
      <c r="V3302" s="26"/>
      <c r="W3302" s="20"/>
      <c r="X3302" s="20"/>
      <c r="Y3302" s="20"/>
      <c r="Z3302" s="20"/>
      <c r="AA3302" s="20"/>
      <c r="AB3302" s="20"/>
      <c r="AC3302" s="20"/>
      <c r="AD3302" s="20"/>
      <c r="AE3302" s="20"/>
    </row>
    <row r="3303">
      <c r="A3303" s="21">
        <v>73.0</v>
      </c>
      <c r="B3303" s="20" t="s">
        <v>2513</v>
      </c>
      <c r="C3303" s="20" t="s">
        <v>6164</v>
      </c>
      <c r="I3303" s="25" t="s">
        <v>2523</v>
      </c>
      <c r="J3303" s="25" t="s">
        <v>6016</v>
      </c>
      <c r="K3303" s="25" t="s">
        <v>71</v>
      </c>
      <c r="L3303" s="25" t="s">
        <v>3112</v>
      </c>
      <c r="M3303" s="20" t="s">
        <v>61</v>
      </c>
      <c r="N3303" s="20" t="s">
        <v>6044</v>
      </c>
      <c r="O3303" s="20" t="s">
        <v>56</v>
      </c>
      <c r="P3303" s="20"/>
      <c r="Q3303" s="22"/>
      <c r="R3303" s="22"/>
      <c r="S3303" s="22"/>
      <c r="T3303" s="20"/>
      <c r="U3303" s="26"/>
      <c r="V3303" s="26"/>
      <c r="W3303" s="20"/>
      <c r="X3303" s="20"/>
      <c r="Y3303" s="20"/>
      <c r="Z3303" s="20"/>
      <c r="AA3303" s="20"/>
      <c r="AB3303" s="20"/>
      <c r="AC3303" s="20"/>
      <c r="AD3303" s="20"/>
      <c r="AE3303" s="20"/>
    </row>
    <row r="3304">
      <c r="A3304" s="21">
        <v>73.0</v>
      </c>
      <c r="B3304" s="20" t="s">
        <v>2513</v>
      </c>
      <c r="C3304" s="20" t="s">
        <v>6164</v>
      </c>
      <c r="I3304" s="25" t="s">
        <v>2878</v>
      </c>
      <c r="J3304" s="25" t="s">
        <v>6016</v>
      </c>
      <c r="K3304" s="25" t="s">
        <v>71</v>
      </c>
      <c r="L3304" s="25" t="s">
        <v>3112</v>
      </c>
      <c r="M3304" s="20" t="s">
        <v>61</v>
      </c>
      <c r="N3304" s="20" t="s">
        <v>6045</v>
      </c>
      <c r="O3304" s="20" t="s">
        <v>56</v>
      </c>
      <c r="P3304" s="20"/>
      <c r="Q3304" s="22"/>
      <c r="R3304" s="22"/>
      <c r="S3304" s="22"/>
      <c r="T3304" s="20"/>
      <c r="U3304" s="26"/>
      <c r="V3304" s="26"/>
      <c r="W3304" s="20"/>
      <c r="X3304" s="20"/>
      <c r="Y3304" s="20"/>
      <c r="Z3304" s="20"/>
      <c r="AA3304" s="20"/>
      <c r="AB3304" s="20"/>
      <c r="AC3304" s="20"/>
      <c r="AD3304" s="20"/>
      <c r="AE3304" s="20"/>
    </row>
    <row r="3305">
      <c r="A3305" s="21">
        <v>73.0</v>
      </c>
      <c r="B3305" s="20" t="s">
        <v>2513</v>
      </c>
      <c r="C3305" s="20" t="s">
        <v>6164</v>
      </c>
      <c r="I3305" s="25" t="s">
        <v>3262</v>
      </c>
      <c r="J3305" s="25" t="s">
        <v>6016</v>
      </c>
      <c r="K3305" s="25" t="s">
        <v>71</v>
      </c>
      <c r="L3305" s="25" t="s">
        <v>3112</v>
      </c>
      <c r="M3305" s="20" t="s">
        <v>61</v>
      </c>
      <c r="N3305" s="20" t="s">
        <v>6046</v>
      </c>
      <c r="O3305" s="20" t="s">
        <v>56</v>
      </c>
      <c r="P3305" s="20"/>
      <c r="Q3305" s="22"/>
      <c r="R3305" s="22"/>
      <c r="S3305" s="22"/>
      <c r="T3305" s="20"/>
      <c r="U3305" s="26"/>
      <c r="V3305" s="26"/>
      <c r="W3305" s="20"/>
      <c r="X3305" s="20"/>
      <c r="Y3305" s="20"/>
      <c r="Z3305" s="20"/>
      <c r="AA3305" s="20"/>
      <c r="AB3305" s="20"/>
      <c r="AC3305" s="20"/>
      <c r="AD3305" s="20"/>
      <c r="AE3305" s="20"/>
    </row>
    <row r="3306">
      <c r="A3306" s="21">
        <v>73.0</v>
      </c>
      <c r="B3306" s="20" t="s">
        <v>2513</v>
      </c>
      <c r="C3306" s="20" t="s">
        <v>6164</v>
      </c>
      <c r="I3306" s="25" t="s">
        <v>1162</v>
      </c>
      <c r="J3306" s="25" t="s">
        <v>6016</v>
      </c>
      <c r="K3306" s="25" t="s">
        <v>71</v>
      </c>
      <c r="L3306" s="25" t="s">
        <v>3112</v>
      </c>
      <c r="M3306" s="20" t="s">
        <v>61</v>
      </c>
      <c r="N3306" s="20" t="s">
        <v>6047</v>
      </c>
      <c r="O3306" s="20" t="s">
        <v>56</v>
      </c>
      <c r="P3306" s="20"/>
      <c r="Q3306" s="22"/>
      <c r="R3306" s="22"/>
      <c r="S3306" s="22"/>
      <c r="T3306" s="20"/>
      <c r="U3306" s="26"/>
      <c r="V3306" s="26"/>
      <c r="W3306" s="20"/>
      <c r="X3306" s="20"/>
      <c r="Y3306" s="20"/>
      <c r="Z3306" s="20"/>
      <c r="AA3306" s="20"/>
      <c r="AB3306" s="20"/>
      <c r="AC3306" s="20"/>
      <c r="AD3306" s="20"/>
      <c r="AE3306" s="20"/>
    </row>
    <row r="3307">
      <c r="A3307" s="21">
        <v>73.0</v>
      </c>
      <c r="B3307" s="20" t="s">
        <v>2513</v>
      </c>
      <c r="C3307" s="20" t="s">
        <v>6164</v>
      </c>
      <c r="I3307" s="25" t="s">
        <v>2535</v>
      </c>
      <c r="J3307" s="25" t="s">
        <v>6016</v>
      </c>
      <c r="K3307" s="25" t="s">
        <v>71</v>
      </c>
      <c r="L3307" s="25" t="s">
        <v>3112</v>
      </c>
      <c r="M3307" s="20" t="s">
        <v>61</v>
      </c>
      <c r="N3307" s="20" t="s">
        <v>6048</v>
      </c>
      <c r="O3307" s="20" t="s">
        <v>56</v>
      </c>
      <c r="P3307" s="20"/>
      <c r="Q3307" s="22"/>
      <c r="R3307" s="22"/>
      <c r="S3307" s="22"/>
      <c r="T3307" s="20"/>
      <c r="U3307" s="26"/>
      <c r="V3307" s="26"/>
      <c r="W3307" s="20"/>
      <c r="X3307" s="20"/>
      <c r="Y3307" s="20"/>
      <c r="Z3307" s="20"/>
      <c r="AA3307" s="20"/>
      <c r="AB3307" s="20"/>
      <c r="AC3307" s="20"/>
      <c r="AD3307" s="20"/>
      <c r="AE3307" s="20"/>
    </row>
    <row r="3308">
      <c r="A3308" s="21">
        <v>73.0</v>
      </c>
      <c r="B3308" s="20" t="s">
        <v>2513</v>
      </c>
      <c r="C3308" s="20" t="s">
        <v>6164</v>
      </c>
      <c r="I3308" s="25" t="s">
        <v>2564</v>
      </c>
      <c r="J3308" s="25" t="s">
        <v>6016</v>
      </c>
      <c r="K3308" s="25" t="s">
        <v>71</v>
      </c>
      <c r="L3308" s="25" t="s">
        <v>3112</v>
      </c>
      <c r="M3308" s="20" t="s">
        <v>61</v>
      </c>
      <c r="N3308" s="20" t="s">
        <v>6049</v>
      </c>
      <c r="O3308" s="20" t="s">
        <v>56</v>
      </c>
      <c r="P3308" s="20"/>
      <c r="Q3308" s="22"/>
      <c r="R3308" s="22"/>
      <c r="S3308" s="22"/>
      <c r="T3308" s="20"/>
      <c r="U3308" s="26"/>
      <c r="V3308" s="26"/>
      <c r="W3308" s="20"/>
      <c r="X3308" s="20"/>
      <c r="Y3308" s="20"/>
      <c r="Z3308" s="20"/>
      <c r="AA3308" s="20"/>
      <c r="AB3308" s="20"/>
      <c r="AC3308" s="20"/>
      <c r="AD3308" s="20"/>
      <c r="AE3308" s="20"/>
    </row>
    <row r="3309">
      <c r="A3309" s="21">
        <v>73.0</v>
      </c>
      <c r="B3309" s="20" t="s">
        <v>2513</v>
      </c>
      <c r="C3309" s="20" t="s">
        <v>6164</v>
      </c>
      <c r="I3309" s="25" t="s">
        <v>4771</v>
      </c>
      <c r="J3309" s="25" t="s">
        <v>6016</v>
      </c>
      <c r="K3309" s="25" t="s">
        <v>71</v>
      </c>
      <c r="L3309" s="25" t="s">
        <v>6266</v>
      </c>
      <c r="M3309" s="20" t="s">
        <v>5707</v>
      </c>
      <c r="N3309" s="20" t="s">
        <v>6050</v>
      </c>
      <c r="O3309" s="20" t="s">
        <v>56</v>
      </c>
      <c r="P3309" s="20"/>
      <c r="Q3309" s="22"/>
      <c r="R3309" s="22"/>
      <c r="S3309" s="22"/>
      <c r="T3309" s="20"/>
      <c r="U3309" s="26"/>
      <c r="V3309" s="26"/>
      <c r="W3309" s="20"/>
      <c r="X3309" s="20"/>
      <c r="Y3309" s="20"/>
      <c r="Z3309" s="20"/>
      <c r="AA3309" s="20"/>
      <c r="AB3309" s="20"/>
      <c r="AC3309" s="20"/>
      <c r="AD3309" s="20"/>
      <c r="AE3309" s="20"/>
    </row>
    <row r="3310">
      <c r="A3310" s="21">
        <v>73.0</v>
      </c>
      <c r="B3310" s="20" t="s">
        <v>2513</v>
      </c>
      <c r="C3310" s="20" t="s">
        <v>6164</v>
      </c>
      <c r="I3310" s="25" t="s">
        <v>1860</v>
      </c>
      <c r="J3310" s="25" t="s">
        <v>6016</v>
      </c>
      <c r="K3310" s="25" t="s">
        <v>67</v>
      </c>
      <c r="L3310" s="25" t="s">
        <v>1133</v>
      </c>
      <c r="M3310" s="20" t="s">
        <v>6021</v>
      </c>
      <c r="N3310" s="20" t="s">
        <v>6022</v>
      </c>
      <c r="O3310" s="20" t="s">
        <v>56</v>
      </c>
      <c r="P3310" s="20" t="s">
        <v>52</v>
      </c>
      <c r="Q3310" s="22"/>
      <c r="R3310" s="22"/>
      <c r="S3310" s="22"/>
      <c r="T3310" s="22"/>
      <c r="U3310" s="26"/>
      <c r="V3310" s="26"/>
      <c r="W3310" s="20"/>
      <c r="X3310" s="20"/>
      <c r="Y3310" s="20"/>
      <c r="Z3310" s="20"/>
      <c r="AA3310" s="20"/>
      <c r="AB3310" s="20"/>
      <c r="AC3310" s="20"/>
      <c r="AD3310" s="20"/>
      <c r="AE3310" s="20"/>
    </row>
    <row r="3311">
      <c r="A3311" s="21">
        <v>73.0</v>
      </c>
      <c r="B3311" s="20" t="s">
        <v>2513</v>
      </c>
      <c r="C3311" s="20" t="s">
        <v>6164</v>
      </c>
      <c r="I3311" s="25" t="s">
        <v>4273</v>
      </c>
      <c r="J3311" s="25" t="s">
        <v>6016</v>
      </c>
      <c r="K3311" s="25" t="s">
        <v>67</v>
      </c>
      <c r="L3311" s="25" t="s">
        <v>1025</v>
      </c>
      <c r="M3311" s="20" t="s">
        <v>6024</v>
      </c>
      <c r="N3311" s="20" t="s">
        <v>6025</v>
      </c>
      <c r="O3311" s="20" t="s">
        <v>56</v>
      </c>
      <c r="P3311" s="20" t="s">
        <v>52</v>
      </c>
      <c r="Q3311" s="22"/>
      <c r="R3311" s="22"/>
      <c r="S3311" s="22"/>
      <c r="T3311" s="22"/>
      <c r="U3311" s="26"/>
      <c r="V3311" s="26"/>
      <c r="W3311" s="20"/>
      <c r="X3311" s="20"/>
      <c r="Y3311" s="20"/>
      <c r="Z3311" s="20"/>
      <c r="AA3311" s="20"/>
      <c r="AB3311" s="20"/>
      <c r="AC3311" s="20"/>
      <c r="AD3311" s="20"/>
      <c r="AE3311" s="20"/>
    </row>
    <row r="3312">
      <c r="A3312" s="21">
        <v>73.0</v>
      </c>
      <c r="B3312" s="20" t="s">
        <v>2513</v>
      </c>
      <c r="C3312" s="20" t="s">
        <v>6164</v>
      </c>
      <c r="I3312" s="25" t="s">
        <v>2091</v>
      </c>
      <c r="J3312" s="25" t="s">
        <v>6016</v>
      </c>
      <c r="K3312" s="25" t="s">
        <v>71</v>
      </c>
      <c r="L3312" s="25" t="s">
        <v>6271</v>
      </c>
      <c r="M3312" s="20" t="s">
        <v>61</v>
      </c>
      <c r="N3312" s="20" t="s">
        <v>6051</v>
      </c>
      <c r="O3312" s="20" t="s">
        <v>56</v>
      </c>
      <c r="P3312" s="20" t="s">
        <v>52</v>
      </c>
      <c r="Q3312" s="22"/>
      <c r="R3312" s="22"/>
      <c r="S3312" s="22"/>
      <c r="T3312" s="20"/>
      <c r="U3312" s="26"/>
      <c r="V3312" s="26"/>
      <c r="W3312" s="20"/>
      <c r="X3312" s="20"/>
      <c r="Y3312" s="20"/>
      <c r="Z3312" s="20"/>
      <c r="AA3312" s="20"/>
      <c r="AB3312" s="20"/>
      <c r="AC3312" s="20"/>
      <c r="AD3312" s="20"/>
      <c r="AE3312" s="20"/>
    </row>
    <row r="3313">
      <c r="A3313" s="21">
        <v>73.0</v>
      </c>
      <c r="B3313" s="20" t="s">
        <v>2513</v>
      </c>
      <c r="C3313" s="20" t="s">
        <v>6164</v>
      </c>
      <c r="I3313" s="25" t="s">
        <v>6026</v>
      </c>
      <c r="J3313" s="25" t="s">
        <v>6016</v>
      </c>
      <c r="K3313" s="25" t="s">
        <v>67</v>
      </c>
      <c r="L3313" s="25" t="s">
        <v>1133</v>
      </c>
      <c r="M3313" s="20" t="s">
        <v>6027</v>
      </c>
      <c r="N3313" s="20" t="s">
        <v>6028</v>
      </c>
      <c r="O3313" s="20" t="s">
        <v>56</v>
      </c>
      <c r="P3313" s="20" t="s">
        <v>52</v>
      </c>
      <c r="Q3313" s="22"/>
      <c r="R3313" s="22"/>
      <c r="S3313" s="22"/>
      <c r="T3313" s="22"/>
      <c r="U3313" s="26"/>
      <c r="V3313" s="26"/>
      <c r="W3313" s="20"/>
      <c r="X3313" s="20"/>
      <c r="Y3313" s="20"/>
      <c r="Z3313" s="20"/>
      <c r="AA3313" s="20"/>
      <c r="AB3313" s="20"/>
      <c r="AC3313" s="20"/>
      <c r="AD3313" s="20"/>
      <c r="AE3313" s="20"/>
    </row>
    <row r="3314">
      <c r="A3314" s="21">
        <v>73.0</v>
      </c>
      <c r="B3314" s="20" t="s">
        <v>2513</v>
      </c>
      <c r="C3314" s="20" t="s">
        <v>6164</v>
      </c>
      <c r="I3314" s="25" t="s">
        <v>3068</v>
      </c>
      <c r="J3314" s="25" t="s">
        <v>6016</v>
      </c>
      <c r="K3314" s="25" t="s">
        <v>67</v>
      </c>
      <c r="L3314" s="25" t="s">
        <v>1025</v>
      </c>
      <c r="M3314" s="20" t="s">
        <v>61</v>
      </c>
      <c r="N3314" s="20" t="s">
        <v>5951</v>
      </c>
      <c r="O3314" s="20" t="s">
        <v>56</v>
      </c>
      <c r="P3314" s="20" t="s">
        <v>52</v>
      </c>
      <c r="Q3314" s="22"/>
      <c r="R3314" s="22"/>
      <c r="S3314" s="22"/>
      <c r="T3314" s="22"/>
      <c r="U3314" s="26"/>
      <c r="V3314" s="26"/>
      <c r="W3314" s="20"/>
      <c r="X3314" s="20"/>
      <c r="Y3314" s="20"/>
      <c r="Z3314" s="20"/>
      <c r="AA3314" s="20"/>
      <c r="AB3314" s="20"/>
      <c r="AC3314" s="20"/>
      <c r="AD3314" s="20"/>
      <c r="AE3314" s="20"/>
    </row>
    <row r="3315">
      <c r="A3315" s="21">
        <v>73.0</v>
      </c>
      <c r="B3315" s="20" t="s">
        <v>2513</v>
      </c>
      <c r="C3315" s="20" t="s">
        <v>6164</v>
      </c>
      <c r="I3315" s="25" t="s">
        <v>4505</v>
      </c>
      <c r="J3315" s="25" t="s">
        <v>6016</v>
      </c>
      <c r="K3315" s="25" t="s">
        <v>71</v>
      </c>
      <c r="L3315" s="25" t="s">
        <v>6243</v>
      </c>
      <c r="M3315" s="20" t="s">
        <v>6052</v>
      </c>
      <c r="N3315" s="20" t="s">
        <v>6033</v>
      </c>
      <c r="O3315" s="20" t="s">
        <v>56</v>
      </c>
      <c r="P3315" s="20" t="s">
        <v>52</v>
      </c>
      <c r="Q3315" s="22"/>
      <c r="R3315" s="22"/>
      <c r="S3315" s="22"/>
      <c r="T3315" s="20"/>
      <c r="U3315" s="26"/>
      <c r="V3315" s="26"/>
      <c r="W3315" s="20"/>
      <c r="X3315" s="20"/>
      <c r="Y3315" s="20"/>
      <c r="Z3315" s="20"/>
      <c r="AA3315" s="20"/>
      <c r="AB3315" s="20"/>
      <c r="AC3315" s="20"/>
      <c r="AD3315" s="20"/>
      <c r="AE3315" s="20"/>
    </row>
    <row r="3316">
      <c r="A3316" s="21">
        <v>73.0</v>
      </c>
      <c r="B3316" s="20" t="s">
        <v>2513</v>
      </c>
      <c r="C3316" s="20" t="s">
        <v>6164</v>
      </c>
      <c r="I3316" s="25" t="s">
        <v>4604</v>
      </c>
      <c r="J3316" s="25" t="s">
        <v>6016</v>
      </c>
      <c r="K3316" s="25" t="s">
        <v>67</v>
      </c>
      <c r="L3316" s="25" t="s">
        <v>1025</v>
      </c>
      <c r="M3316" s="20" t="s">
        <v>6029</v>
      </c>
      <c r="N3316" s="20" t="s">
        <v>6030</v>
      </c>
      <c r="O3316" s="20" t="s">
        <v>56</v>
      </c>
      <c r="P3316" s="20" t="s">
        <v>52</v>
      </c>
      <c r="Q3316" s="22"/>
      <c r="R3316" s="22"/>
      <c r="S3316" s="22"/>
      <c r="T3316" s="22"/>
      <c r="U3316" s="26"/>
      <c r="V3316" s="26"/>
      <c r="W3316" s="20"/>
      <c r="X3316" s="20"/>
      <c r="Y3316" s="20"/>
      <c r="Z3316" s="20"/>
      <c r="AA3316" s="20"/>
      <c r="AB3316" s="20"/>
      <c r="AC3316" s="20"/>
      <c r="AD3316" s="20"/>
      <c r="AE3316" s="20"/>
    </row>
    <row r="3317">
      <c r="A3317" s="21">
        <v>73.0</v>
      </c>
      <c r="B3317" s="20" t="s">
        <v>2513</v>
      </c>
      <c r="C3317" s="20" t="s">
        <v>6164</v>
      </c>
      <c r="I3317" s="25" t="s">
        <v>96</v>
      </c>
      <c r="J3317" s="25" t="s">
        <v>6016</v>
      </c>
      <c r="K3317" s="25" t="s">
        <v>67</v>
      </c>
      <c r="L3317" s="25" t="s">
        <v>1025</v>
      </c>
      <c r="M3317" s="20" t="s">
        <v>5977</v>
      </c>
      <c r="N3317" s="20" t="s">
        <v>6031</v>
      </c>
      <c r="O3317" s="20" t="s">
        <v>56</v>
      </c>
      <c r="P3317" s="20" t="s">
        <v>52</v>
      </c>
      <c r="Q3317" s="22"/>
      <c r="R3317" s="22"/>
      <c r="S3317" s="22"/>
      <c r="T3317" s="22"/>
      <c r="U3317" s="26"/>
      <c r="V3317" s="26"/>
      <c r="W3317" s="20"/>
      <c r="X3317" s="20"/>
      <c r="Y3317" s="20"/>
      <c r="Z3317" s="20"/>
      <c r="AA3317" s="20"/>
      <c r="AB3317" s="20"/>
      <c r="AC3317" s="20"/>
      <c r="AD3317" s="20"/>
      <c r="AE3317" s="20"/>
    </row>
    <row r="3318">
      <c r="A3318" s="21">
        <v>73.0</v>
      </c>
      <c r="B3318" s="20" t="s">
        <v>2513</v>
      </c>
      <c r="C3318" s="20" t="s">
        <v>6164</v>
      </c>
      <c r="I3318" s="25" t="s">
        <v>1103</v>
      </c>
      <c r="J3318" s="25" t="s">
        <v>6016</v>
      </c>
      <c r="K3318" s="25" t="s">
        <v>67</v>
      </c>
      <c r="L3318" s="25" t="s">
        <v>1025</v>
      </c>
      <c r="M3318" s="20" t="s">
        <v>6032</v>
      </c>
      <c r="N3318" s="20" t="s">
        <v>6033</v>
      </c>
      <c r="O3318" s="20" t="s">
        <v>56</v>
      </c>
      <c r="P3318" s="20" t="s">
        <v>52</v>
      </c>
      <c r="Q3318" s="22"/>
      <c r="R3318" s="22"/>
      <c r="S3318" s="22"/>
      <c r="T3318" s="22"/>
      <c r="U3318" s="26"/>
      <c r="V3318" s="26"/>
      <c r="W3318" s="20"/>
      <c r="X3318" s="20"/>
      <c r="Y3318" s="20"/>
      <c r="Z3318" s="20"/>
      <c r="AA3318" s="20"/>
      <c r="AB3318" s="20"/>
      <c r="AC3318" s="20"/>
      <c r="AD3318" s="20"/>
      <c r="AE3318" s="20"/>
    </row>
    <row r="3319">
      <c r="A3319" s="21">
        <v>73.0</v>
      </c>
      <c r="B3319" s="20" t="s">
        <v>2513</v>
      </c>
      <c r="C3319" s="20" t="s">
        <v>6164</v>
      </c>
      <c r="I3319" s="25" t="s">
        <v>2031</v>
      </c>
      <c r="J3319" s="25" t="s">
        <v>6016</v>
      </c>
      <c r="K3319" s="25" t="s">
        <v>67</v>
      </c>
      <c r="L3319" s="25" t="s">
        <v>1025</v>
      </c>
      <c r="M3319" s="20" t="s">
        <v>6034</v>
      </c>
      <c r="N3319" s="20" t="s">
        <v>6035</v>
      </c>
      <c r="O3319" s="20" t="s">
        <v>56</v>
      </c>
      <c r="P3319" s="20" t="s">
        <v>52</v>
      </c>
      <c r="Q3319" s="22"/>
      <c r="R3319" s="22"/>
      <c r="S3319" s="22"/>
      <c r="T3319" s="22"/>
      <c r="U3319" s="26"/>
      <c r="V3319" s="26"/>
      <c r="W3319" s="20"/>
      <c r="X3319" s="20"/>
      <c r="Y3319" s="20"/>
      <c r="Z3319" s="20"/>
      <c r="AA3319" s="20"/>
      <c r="AB3319" s="20"/>
      <c r="AC3319" s="20"/>
      <c r="AD3319" s="20"/>
      <c r="AE3319" s="20"/>
    </row>
    <row r="3320">
      <c r="A3320" s="21">
        <v>73.0</v>
      </c>
      <c r="B3320" s="20" t="s">
        <v>2513</v>
      </c>
      <c r="C3320" s="20" t="s">
        <v>6164</v>
      </c>
      <c r="I3320" s="25" t="s">
        <v>4561</v>
      </c>
      <c r="J3320" s="25" t="s">
        <v>6016</v>
      </c>
      <c r="K3320" s="25" t="s">
        <v>71</v>
      </c>
      <c r="L3320" s="25" t="s">
        <v>6276</v>
      </c>
      <c r="M3320" s="20" t="s">
        <v>6053</v>
      </c>
      <c r="N3320" s="20" t="s">
        <v>6054</v>
      </c>
      <c r="O3320" s="20" t="s">
        <v>56</v>
      </c>
      <c r="P3320" s="20" t="s">
        <v>52</v>
      </c>
      <c r="Q3320" s="22"/>
      <c r="R3320" s="22"/>
      <c r="S3320" s="22"/>
      <c r="T3320" s="20"/>
      <c r="U3320" s="26"/>
      <c r="V3320" s="26"/>
      <c r="W3320" s="20"/>
      <c r="X3320" s="20"/>
      <c r="Y3320" s="20"/>
      <c r="Z3320" s="20"/>
      <c r="AA3320" s="20"/>
      <c r="AB3320" s="20"/>
      <c r="AC3320" s="20"/>
      <c r="AD3320" s="20"/>
      <c r="AE3320" s="20"/>
    </row>
    <row r="3321">
      <c r="A3321" s="21">
        <v>73.0</v>
      </c>
      <c r="B3321" s="20" t="s">
        <v>2513</v>
      </c>
      <c r="C3321" s="20" t="s">
        <v>6164</v>
      </c>
      <c r="I3321" s="25" t="s">
        <v>5194</v>
      </c>
      <c r="J3321" s="25" t="s">
        <v>6016</v>
      </c>
      <c r="K3321" s="25" t="s">
        <v>67</v>
      </c>
      <c r="L3321" s="25" t="s">
        <v>1025</v>
      </c>
      <c r="M3321" s="20" t="s">
        <v>6036</v>
      </c>
      <c r="N3321" s="20" t="s">
        <v>6033</v>
      </c>
      <c r="O3321" s="20" t="s">
        <v>56</v>
      </c>
      <c r="P3321" s="20" t="s">
        <v>52</v>
      </c>
      <c r="Q3321" s="22"/>
      <c r="R3321" s="22"/>
      <c r="S3321" s="22"/>
      <c r="T3321" s="22"/>
      <c r="U3321" s="26"/>
      <c r="V3321" s="26"/>
      <c r="W3321" s="20"/>
      <c r="X3321" s="20"/>
      <c r="Y3321" s="20"/>
      <c r="Z3321" s="20"/>
      <c r="AA3321" s="20"/>
      <c r="AB3321" s="20"/>
      <c r="AC3321" s="20"/>
      <c r="AD3321" s="20"/>
      <c r="AE3321" s="20"/>
    </row>
    <row r="3322">
      <c r="A3322" s="21">
        <v>73.0</v>
      </c>
      <c r="B3322" s="20" t="s">
        <v>2513</v>
      </c>
      <c r="C3322" s="20" t="s">
        <v>6164</v>
      </c>
      <c r="I3322" s="25" t="s">
        <v>4626</v>
      </c>
      <c r="J3322" s="25" t="s">
        <v>6016</v>
      </c>
      <c r="K3322" s="25" t="s">
        <v>67</v>
      </c>
      <c r="L3322" s="25" t="s">
        <v>1025</v>
      </c>
      <c r="M3322" s="20" t="s">
        <v>61</v>
      </c>
      <c r="N3322" s="20" t="s">
        <v>6037</v>
      </c>
      <c r="O3322" s="20" t="s">
        <v>56</v>
      </c>
      <c r="P3322" s="20" t="s">
        <v>52</v>
      </c>
      <c r="Q3322" s="22"/>
      <c r="R3322" s="22"/>
      <c r="S3322" s="22"/>
      <c r="T3322" s="22"/>
      <c r="U3322" s="26"/>
      <c r="V3322" s="26"/>
      <c r="W3322" s="20"/>
      <c r="X3322" s="20"/>
      <c r="Y3322" s="20"/>
      <c r="Z3322" s="20"/>
      <c r="AA3322" s="20"/>
      <c r="AB3322" s="20"/>
      <c r="AC3322" s="20"/>
      <c r="AD3322" s="20"/>
      <c r="AE3322" s="20"/>
    </row>
    <row r="3323">
      <c r="A3323" s="21">
        <v>73.0</v>
      </c>
      <c r="B3323" s="20" t="s">
        <v>2513</v>
      </c>
      <c r="C3323" s="20" t="s">
        <v>6164</v>
      </c>
      <c r="I3323" s="25" t="s">
        <v>2417</v>
      </c>
      <c r="J3323" s="25" t="s">
        <v>6016</v>
      </c>
      <c r="K3323" s="25" t="s">
        <v>67</v>
      </c>
      <c r="L3323" s="25" t="s">
        <v>1025</v>
      </c>
      <c r="M3323" s="20" t="s">
        <v>3696</v>
      </c>
      <c r="N3323" s="20" t="s">
        <v>6038</v>
      </c>
      <c r="O3323" s="20" t="s">
        <v>56</v>
      </c>
      <c r="P3323" s="20" t="s">
        <v>52</v>
      </c>
      <c r="Q3323" s="22"/>
      <c r="R3323" s="22"/>
      <c r="S3323" s="22"/>
      <c r="T3323" s="22"/>
      <c r="U3323" s="26"/>
      <c r="V3323" s="26"/>
      <c r="W3323" s="20"/>
      <c r="X3323" s="20"/>
      <c r="Y3323" s="20"/>
      <c r="Z3323" s="20"/>
      <c r="AA3323" s="20"/>
      <c r="AB3323" s="20"/>
      <c r="AC3323" s="20"/>
      <c r="AD3323" s="20"/>
      <c r="AE3323" s="20"/>
    </row>
    <row r="3324">
      <c r="A3324" s="21">
        <v>73.0</v>
      </c>
      <c r="B3324" s="20" t="s">
        <v>2513</v>
      </c>
      <c r="C3324" s="20" t="s">
        <v>6164</v>
      </c>
      <c r="I3324" s="25" t="s">
        <v>3351</v>
      </c>
      <c r="J3324" s="25" t="s">
        <v>6055</v>
      </c>
      <c r="K3324" s="25" t="s">
        <v>71</v>
      </c>
      <c r="L3324" s="25" t="s">
        <v>6276</v>
      </c>
      <c r="M3324" s="20" t="s">
        <v>3352</v>
      </c>
      <c r="N3324" s="20" t="s">
        <v>6056</v>
      </c>
      <c r="O3324" s="20" t="s">
        <v>63</v>
      </c>
      <c r="P3324" s="20" t="s">
        <v>52</v>
      </c>
      <c r="Q3324" s="22"/>
      <c r="R3324" s="22"/>
      <c r="S3324" s="22"/>
      <c r="T3324" s="20"/>
      <c r="U3324" s="26"/>
      <c r="V3324" s="26"/>
      <c r="W3324" s="20"/>
      <c r="X3324" s="20"/>
      <c r="Y3324" s="20"/>
      <c r="Z3324" s="20"/>
      <c r="AA3324" s="20"/>
      <c r="AB3324" s="20"/>
      <c r="AC3324" s="20"/>
      <c r="AD3324" s="20"/>
      <c r="AE3324" s="20"/>
    </row>
    <row r="3325">
      <c r="A3325" s="21">
        <v>74.0</v>
      </c>
      <c r="B3325" s="20" t="s">
        <v>2539</v>
      </c>
      <c r="C3325" s="20" t="s">
        <v>6164</v>
      </c>
      <c r="D3325" s="35">
        <v>30.0</v>
      </c>
      <c r="E3325" s="35">
        <v>2.0</v>
      </c>
      <c r="F3325" s="35">
        <v>2.0</v>
      </c>
      <c r="G3325" s="35">
        <v>26.0</v>
      </c>
      <c r="H3325" s="36" t="s">
        <v>6280</v>
      </c>
      <c r="I3325" s="25" t="s">
        <v>3351</v>
      </c>
      <c r="J3325" s="25" t="s">
        <v>6057</v>
      </c>
      <c r="K3325" s="25" t="s">
        <v>57</v>
      </c>
      <c r="L3325" s="25" t="s">
        <v>6281</v>
      </c>
      <c r="M3325" s="20" t="s">
        <v>3352</v>
      </c>
      <c r="N3325" s="20" t="s">
        <v>3353</v>
      </c>
      <c r="O3325" s="20" t="s">
        <v>63</v>
      </c>
      <c r="P3325" s="20"/>
      <c r="Q3325" s="22"/>
      <c r="R3325" s="22"/>
      <c r="S3325" s="22"/>
      <c r="T3325" s="20"/>
      <c r="U3325" s="26"/>
      <c r="V3325" s="26"/>
      <c r="W3325" s="20"/>
      <c r="X3325" s="20"/>
      <c r="Y3325" s="20"/>
      <c r="Z3325" s="20"/>
      <c r="AA3325" s="20"/>
      <c r="AB3325" s="20"/>
      <c r="AC3325" s="20"/>
      <c r="AD3325" s="20"/>
      <c r="AE3325" s="20"/>
    </row>
    <row r="3326">
      <c r="A3326" s="21">
        <v>74.0</v>
      </c>
      <c r="B3326" s="20" t="s">
        <v>2539</v>
      </c>
      <c r="C3326" s="20" t="s">
        <v>6164</v>
      </c>
      <c r="I3326" s="25" t="s">
        <v>4771</v>
      </c>
      <c r="J3326" s="25" t="s">
        <v>6057</v>
      </c>
      <c r="K3326" s="25" t="s">
        <v>57</v>
      </c>
      <c r="L3326" s="25" t="s">
        <v>6282</v>
      </c>
      <c r="M3326" s="20" t="s">
        <v>6058</v>
      </c>
      <c r="N3326" s="20" t="s">
        <v>6059</v>
      </c>
      <c r="O3326" s="20" t="s">
        <v>63</v>
      </c>
      <c r="P3326" s="20"/>
      <c r="Q3326" s="22"/>
      <c r="R3326" s="22"/>
      <c r="S3326" s="22"/>
      <c r="T3326" s="20"/>
      <c r="U3326" s="26"/>
      <c r="V3326" s="26"/>
      <c r="W3326" s="20"/>
      <c r="X3326" s="20"/>
      <c r="Y3326" s="20"/>
      <c r="Z3326" s="20"/>
      <c r="AA3326" s="20"/>
      <c r="AB3326" s="20"/>
      <c r="AC3326" s="20"/>
      <c r="AD3326" s="20"/>
      <c r="AE3326" s="20"/>
    </row>
    <row r="3327">
      <c r="A3327" s="21">
        <v>74.0</v>
      </c>
      <c r="B3327" s="20" t="s">
        <v>2539</v>
      </c>
      <c r="C3327" s="20" t="s">
        <v>6164</v>
      </c>
      <c r="I3327" s="25" t="s">
        <v>2529</v>
      </c>
      <c r="J3327" s="25" t="s">
        <v>6057</v>
      </c>
      <c r="K3327" s="25" t="s">
        <v>67</v>
      </c>
      <c r="L3327" s="25" t="s">
        <v>6283</v>
      </c>
      <c r="M3327" s="20" t="s">
        <v>2530</v>
      </c>
      <c r="N3327" s="20" t="s">
        <v>6060</v>
      </c>
      <c r="O3327" s="20" t="s">
        <v>63</v>
      </c>
      <c r="P3327" s="20"/>
      <c r="Q3327" s="22"/>
      <c r="R3327" s="22"/>
      <c r="S3327" s="22"/>
      <c r="T3327" s="20"/>
      <c r="U3327" s="26"/>
      <c r="V3327" s="26"/>
      <c r="W3327" s="20"/>
      <c r="X3327" s="20"/>
      <c r="Y3327" s="20"/>
      <c r="Z3327" s="20"/>
      <c r="AA3327" s="20"/>
      <c r="AB3327" s="20"/>
      <c r="AC3327" s="20"/>
      <c r="AD3327" s="20"/>
      <c r="AE3327" s="20"/>
    </row>
    <row r="3328">
      <c r="A3328" s="21">
        <v>74.0</v>
      </c>
      <c r="B3328" s="20" t="s">
        <v>2539</v>
      </c>
      <c r="C3328" s="20" t="s">
        <v>6164</v>
      </c>
      <c r="I3328" s="25" t="s">
        <v>1103</v>
      </c>
      <c r="J3328" s="25" t="s">
        <v>6057</v>
      </c>
      <c r="K3328" s="25" t="s">
        <v>67</v>
      </c>
      <c r="L3328" s="25" t="s">
        <v>6285</v>
      </c>
      <c r="M3328" s="20" t="s">
        <v>6061</v>
      </c>
      <c r="N3328" s="20" t="s">
        <v>6062</v>
      </c>
      <c r="O3328" s="20" t="s">
        <v>63</v>
      </c>
      <c r="P3328" s="20"/>
      <c r="Q3328" s="22"/>
      <c r="R3328" s="22"/>
      <c r="S3328" s="22"/>
      <c r="T3328" s="20"/>
      <c r="U3328" s="26"/>
      <c r="V3328" s="26"/>
      <c r="W3328" s="20"/>
      <c r="X3328" s="20"/>
      <c r="Y3328" s="20"/>
      <c r="Z3328" s="20"/>
      <c r="AA3328" s="20"/>
      <c r="AB3328" s="20"/>
      <c r="AC3328" s="20"/>
      <c r="AD3328" s="20"/>
      <c r="AE3328" s="20"/>
    </row>
    <row r="3329">
      <c r="A3329" s="21">
        <v>74.0</v>
      </c>
      <c r="B3329" s="20" t="s">
        <v>2539</v>
      </c>
      <c r="C3329" s="20" t="s">
        <v>6164</v>
      </c>
      <c r="I3329" s="25" t="s">
        <v>124</v>
      </c>
      <c r="J3329" s="25" t="s">
        <v>6057</v>
      </c>
      <c r="K3329" s="25" t="s">
        <v>71</v>
      </c>
      <c r="L3329" s="25" t="s">
        <v>292</v>
      </c>
      <c r="M3329" s="20" t="s">
        <v>6063</v>
      </c>
      <c r="N3329" s="20" t="s">
        <v>6064</v>
      </c>
      <c r="O3329" s="20" t="s">
        <v>63</v>
      </c>
      <c r="P3329" s="20" t="s">
        <v>52</v>
      </c>
      <c r="Q3329" s="22"/>
      <c r="R3329" s="22"/>
      <c r="S3329" s="22"/>
      <c r="T3329" s="22"/>
      <c r="U3329" s="26"/>
      <c r="V3329" s="26"/>
      <c r="W3329" s="20"/>
      <c r="X3329" s="20"/>
      <c r="Y3329" s="20"/>
      <c r="Z3329" s="20"/>
      <c r="AA3329" s="20"/>
      <c r="AB3329" s="20"/>
      <c r="AC3329" s="20"/>
      <c r="AD3329" s="20"/>
      <c r="AE3329" s="20"/>
    </row>
    <row r="3330">
      <c r="A3330" s="21">
        <v>74.0</v>
      </c>
      <c r="B3330" s="20" t="s">
        <v>2539</v>
      </c>
      <c r="C3330" s="20" t="s">
        <v>6164</v>
      </c>
      <c r="I3330" s="25" t="s">
        <v>2545</v>
      </c>
      <c r="J3330" s="25" t="s">
        <v>6057</v>
      </c>
      <c r="K3330" s="25" t="s">
        <v>71</v>
      </c>
      <c r="L3330" s="25" t="s">
        <v>6266</v>
      </c>
      <c r="M3330" s="20" t="s">
        <v>5806</v>
      </c>
      <c r="N3330" s="20" t="s">
        <v>6066</v>
      </c>
      <c r="O3330" s="20" t="s">
        <v>63</v>
      </c>
      <c r="P3330" s="20"/>
      <c r="Q3330" s="22"/>
      <c r="R3330" s="22"/>
      <c r="S3330" s="22"/>
      <c r="T3330" s="20"/>
      <c r="U3330" s="26"/>
      <c r="V3330" s="26"/>
      <c r="W3330" s="20"/>
      <c r="X3330" s="20"/>
      <c r="Y3330" s="20"/>
      <c r="Z3330" s="20"/>
      <c r="AA3330" s="20"/>
      <c r="AB3330" s="20"/>
      <c r="AC3330" s="20"/>
      <c r="AD3330" s="20"/>
      <c r="AE3330" s="20"/>
    </row>
    <row r="3331">
      <c r="A3331" s="21">
        <v>74.0</v>
      </c>
      <c r="B3331" s="20" t="s">
        <v>2539</v>
      </c>
      <c r="C3331" s="20" t="s">
        <v>6164</v>
      </c>
      <c r="I3331" s="25" t="s">
        <v>3321</v>
      </c>
      <c r="J3331" s="25" t="s">
        <v>6057</v>
      </c>
      <c r="K3331" s="25" t="s">
        <v>71</v>
      </c>
      <c r="L3331" s="25" t="s">
        <v>6247</v>
      </c>
      <c r="M3331" s="20" t="s">
        <v>5358</v>
      </c>
      <c r="N3331" s="20" t="s">
        <v>6068</v>
      </c>
      <c r="O3331" s="20" t="s">
        <v>63</v>
      </c>
      <c r="P3331" s="20"/>
      <c r="Q3331" s="22"/>
      <c r="R3331" s="22"/>
      <c r="S3331" s="22"/>
      <c r="T3331" s="20"/>
      <c r="U3331" s="26"/>
      <c r="V3331" s="26"/>
      <c r="W3331" s="20"/>
      <c r="X3331" s="20"/>
      <c r="Y3331" s="20"/>
      <c r="Z3331" s="20"/>
      <c r="AA3331" s="20"/>
      <c r="AB3331" s="20"/>
      <c r="AC3331" s="20"/>
      <c r="AD3331" s="20"/>
      <c r="AE3331" s="20"/>
    </row>
    <row r="3332">
      <c r="A3332" s="21">
        <v>74.0</v>
      </c>
      <c r="B3332" s="20" t="s">
        <v>2539</v>
      </c>
      <c r="C3332" s="20" t="s">
        <v>6164</v>
      </c>
      <c r="I3332" s="25" t="s">
        <v>231</v>
      </c>
      <c r="J3332" s="25" t="s">
        <v>6057</v>
      </c>
      <c r="K3332" s="25" t="s">
        <v>71</v>
      </c>
      <c r="L3332" s="25" t="s">
        <v>6247</v>
      </c>
      <c r="M3332" s="20" t="s">
        <v>233</v>
      </c>
      <c r="N3332" s="20" t="s">
        <v>6069</v>
      </c>
      <c r="O3332" s="20" t="s">
        <v>63</v>
      </c>
      <c r="P3332" s="20"/>
      <c r="Q3332" s="22"/>
      <c r="R3332" s="22"/>
      <c r="S3332" s="22"/>
      <c r="T3332" s="20"/>
      <c r="U3332" s="26"/>
      <c r="V3332" s="26"/>
      <c r="W3332" s="20"/>
      <c r="X3332" s="20"/>
      <c r="Y3332" s="20"/>
      <c r="Z3332" s="20"/>
      <c r="AA3332" s="20"/>
      <c r="AB3332" s="20"/>
      <c r="AC3332" s="20"/>
      <c r="AD3332" s="20"/>
      <c r="AE3332" s="20"/>
    </row>
    <row r="3333">
      <c r="A3333" s="21">
        <v>74.0</v>
      </c>
      <c r="B3333" s="20" t="s">
        <v>2539</v>
      </c>
      <c r="C3333" s="20" t="s">
        <v>6164</v>
      </c>
      <c r="I3333" s="25" t="s">
        <v>4236</v>
      </c>
      <c r="J3333" s="25" t="s">
        <v>6057</v>
      </c>
      <c r="K3333" s="25" t="s">
        <v>71</v>
      </c>
      <c r="L3333" s="25" t="s">
        <v>6247</v>
      </c>
      <c r="M3333" s="20" t="s">
        <v>4566</v>
      </c>
      <c r="N3333" s="20" t="s">
        <v>6071</v>
      </c>
      <c r="O3333" s="20" t="s">
        <v>63</v>
      </c>
      <c r="P3333" s="20"/>
      <c r="Q3333" s="22"/>
      <c r="R3333" s="22"/>
      <c r="S3333" s="22"/>
      <c r="T3333" s="20"/>
      <c r="U3333" s="26"/>
      <c r="V3333" s="26"/>
      <c r="W3333" s="20"/>
      <c r="X3333" s="20"/>
      <c r="Y3333" s="20"/>
      <c r="Z3333" s="20"/>
      <c r="AA3333" s="20"/>
      <c r="AB3333" s="20"/>
      <c r="AC3333" s="20"/>
      <c r="AD3333" s="20"/>
      <c r="AE3333" s="20"/>
    </row>
    <row r="3334">
      <c r="A3334" s="21">
        <v>74.0</v>
      </c>
      <c r="B3334" s="20" t="s">
        <v>2539</v>
      </c>
      <c r="C3334" s="20" t="s">
        <v>6164</v>
      </c>
      <c r="I3334" s="25" t="s">
        <v>98</v>
      </c>
      <c r="J3334" s="25" t="s">
        <v>6057</v>
      </c>
      <c r="K3334" s="25" t="s">
        <v>71</v>
      </c>
      <c r="L3334" s="25" t="s">
        <v>6247</v>
      </c>
      <c r="M3334" s="20" t="s">
        <v>61</v>
      </c>
      <c r="N3334" s="20" t="s">
        <v>6072</v>
      </c>
      <c r="O3334" s="20" t="s">
        <v>63</v>
      </c>
      <c r="P3334" s="20"/>
      <c r="Q3334" s="22"/>
      <c r="R3334" s="22"/>
      <c r="S3334" s="22"/>
      <c r="T3334" s="20"/>
      <c r="U3334" s="26"/>
      <c r="V3334" s="26"/>
      <c r="W3334" s="20"/>
      <c r="X3334" s="20"/>
      <c r="Y3334" s="20"/>
      <c r="Z3334" s="20"/>
      <c r="AA3334" s="20"/>
      <c r="AB3334" s="20"/>
      <c r="AC3334" s="20"/>
      <c r="AD3334" s="20"/>
      <c r="AE3334" s="20"/>
    </row>
    <row r="3335">
      <c r="A3335" s="21">
        <v>74.0</v>
      </c>
      <c r="B3335" s="20" t="s">
        <v>2539</v>
      </c>
      <c r="C3335" s="20" t="s">
        <v>6164</v>
      </c>
      <c r="I3335" s="25" t="s">
        <v>4581</v>
      </c>
      <c r="J3335" s="25" t="s">
        <v>6057</v>
      </c>
      <c r="K3335" s="25" t="s">
        <v>71</v>
      </c>
      <c r="L3335" s="25" t="s">
        <v>6247</v>
      </c>
      <c r="M3335" s="20" t="s">
        <v>5862</v>
      </c>
      <c r="N3335" s="20" t="s">
        <v>5887</v>
      </c>
      <c r="O3335" s="20" t="s">
        <v>63</v>
      </c>
      <c r="P3335" s="20"/>
      <c r="Q3335" s="22"/>
      <c r="R3335" s="22"/>
      <c r="S3335" s="22"/>
      <c r="T3335" s="20"/>
      <c r="U3335" s="26"/>
      <c r="V3335" s="26"/>
      <c r="W3335" s="20"/>
      <c r="X3335" s="20"/>
      <c r="Y3335" s="20"/>
      <c r="Z3335" s="20"/>
      <c r="AA3335" s="20"/>
      <c r="AB3335" s="20"/>
      <c r="AC3335" s="20"/>
      <c r="AD3335" s="20"/>
      <c r="AE3335" s="20"/>
    </row>
    <row r="3336">
      <c r="A3336" s="21">
        <v>74.0</v>
      </c>
      <c r="B3336" s="20" t="s">
        <v>2539</v>
      </c>
      <c r="C3336" s="20" t="s">
        <v>6164</v>
      </c>
      <c r="I3336" s="25" t="s">
        <v>91</v>
      </c>
      <c r="J3336" s="25" t="s">
        <v>6057</v>
      </c>
      <c r="K3336" s="25" t="s">
        <v>71</v>
      </c>
      <c r="L3336" s="25" t="s">
        <v>6247</v>
      </c>
      <c r="M3336" s="20" t="s">
        <v>61</v>
      </c>
      <c r="N3336" s="20" t="s">
        <v>5597</v>
      </c>
      <c r="O3336" s="20" t="s">
        <v>63</v>
      </c>
      <c r="P3336" s="20"/>
      <c r="Q3336" s="22"/>
      <c r="R3336" s="22"/>
      <c r="S3336" s="22"/>
      <c r="T3336" s="20"/>
      <c r="U3336" s="26"/>
      <c r="V3336" s="26"/>
      <c r="W3336" s="20"/>
      <c r="X3336" s="20"/>
      <c r="Y3336" s="20"/>
      <c r="Z3336" s="20"/>
      <c r="AA3336" s="20"/>
      <c r="AB3336" s="20"/>
      <c r="AC3336" s="20"/>
      <c r="AD3336" s="20"/>
      <c r="AE3336" s="20"/>
    </row>
    <row r="3337">
      <c r="A3337" s="21">
        <v>74.0</v>
      </c>
      <c r="B3337" s="20" t="s">
        <v>2539</v>
      </c>
      <c r="C3337" s="20" t="s">
        <v>6164</v>
      </c>
      <c r="I3337" s="25" t="s">
        <v>160</v>
      </c>
      <c r="J3337" s="25" t="s">
        <v>6057</v>
      </c>
      <c r="K3337" s="25" t="s">
        <v>71</v>
      </c>
      <c r="L3337" s="25" t="s">
        <v>6247</v>
      </c>
      <c r="M3337" s="20" t="s">
        <v>161</v>
      </c>
      <c r="N3337" s="20" t="s">
        <v>164</v>
      </c>
      <c r="O3337" s="20" t="s">
        <v>63</v>
      </c>
      <c r="P3337" s="20"/>
      <c r="Q3337" s="22"/>
      <c r="R3337" s="22"/>
      <c r="S3337" s="22"/>
      <c r="T3337" s="20"/>
      <c r="U3337" s="26"/>
      <c r="V3337" s="26"/>
      <c r="W3337" s="20"/>
      <c r="X3337" s="20"/>
      <c r="Y3337" s="20"/>
      <c r="Z3337" s="20"/>
      <c r="AA3337" s="20"/>
      <c r="AB3337" s="20"/>
      <c r="AC3337" s="20"/>
      <c r="AD3337" s="20"/>
      <c r="AE3337" s="20"/>
    </row>
    <row r="3338">
      <c r="A3338" s="21">
        <v>74.0</v>
      </c>
      <c r="B3338" s="20" t="s">
        <v>2539</v>
      </c>
      <c r="C3338" s="20" t="s">
        <v>6164</v>
      </c>
      <c r="I3338" s="25" t="s">
        <v>2497</v>
      </c>
      <c r="J3338" s="25" t="s">
        <v>6057</v>
      </c>
      <c r="K3338" s="25" t="s">
        <v>71</v>
      </c>
      <c r="L3338" s="25" t="s">
        <v>3112</v>
      </c>
      <c r="M3338" s="20" t="s">
        <v>5880</v>
      </c>
      <c r="N3338" s="20" t="s">
        <v>5680</v>
      </c>
      <c r="O3338" s="20" t="s">
        <v>63</v>
      </c>
      <c r="P3338" s="20"/>
      <c r="Q3338" s="22"/>
      <c r="R3338" s="22"/>
      <c r="S3338" s="22"/>
      <c r="T3338" s="20"/>
      <c r="U3338" s="26"/>
      <c r="V3338" s="26"/>
      <c r="W3338" s="20"/>
      <c r="X3338" s="20"/>
      <c r="Y3338" s="20"/>
      <c r="Z3338" s="20"/>
      <c r="AA3338" s="20"/>
      <c r="AB3338" s="20"/>
      <c r="AC3338" s="20"/>
      <c r="AD3338" s="20"/>
      <c r="AE3338" s="20"/>
    </row>
    <row r="3339">
      <c r="A3339" s="21">
        <v>74.0</v>
      </c>
      <c r="B3339" s="20" t="s">
        <v>2539</v>
      </c>
      <c r="C3339" s="20" t="s">
        <v>6164</v>
      </c>
      <c r="I3339" s="25" t="s">
        <v>2508</v>
      </c>
      <c r="J3339" s="25" t="s">
        <v>6057</v>
      </c>
      <c r="K3339" s="25" t="s">
        <v>71</v>
      </c>
      <c r="L3339" s="25" t="s">
        <v>3112</v>
      </c>
      <c r="M3339" s="20" t="s">
        <v>5367</v>
      </c>
      <c r="N3339" s="20" t="s">
        <v>5680</v>
      </c>
      <c r="O3339" s="20" t="s">
        <v>63</v>
      </c>
      <c r="P3339" s="20"/>
      <c r="Q3339" s="22"/>
      <c r="R3339" s="22"/>
      <c r="S3339" s="22"/>
      <c r="T3339" s="20"/>
      <c r="U3339" s="26"/>
      <c r="V3339" s="26"/>
      <c r="W3339" s="20"/>
      <c r="X3339" s="20"/>
      <c r="Y3339" s="20"/>
      <c r="Z3339" s="20"/>
      <c r="AA3339" s="20"/>
      <c r="AB3339" s="20"/>
      <c r="AC3339" s="20"/>
      <c r="AD3339" s="20"/>
      <c r="AE3339" s="20"/>
    </row>
    <row r="3340">
      <c r="A3340" s="21">
        <v>74.0</v>
      </c>
      <c r="B3340" s="20" t="s">
        <v>2539</v>
      </c>
      <c r="C3340" s="20" t="s">
        <v>6164</v>
      </c>
      <c r="I3340" s="25" t="s">
        <v>2511</v>
      </c>
      <c r="J3340" s="25" t="s">
        <v>6057</v>
      </c>
      <c r="K3340" s="25" t="s">
        <v>71</v>
      </c>
      <c r="L3340" s="25" t="s">
        <v>3112</v>
      </c>
      <c r="M3340" s="20" t="s">
        <v>6077</v>
      </c>
      <c r="N3340" s="20" t="s">
        <v>5680</v>
      </c>
      <c r="O3340" s="20" t="s">
        <v>63</v>
      </c>
      <c r="P3340" s="20"/>
      <c r="Q3340" s="22"/>
      <c r="R3340" s="22"/>
      <c r="S3340" s="22"/>
      <c r="T3340" s="20"/>
      <c r="U3340" s="26"/>
      <c r="V3340" s="26"/>
      <c r="W3340" s="20"/>
      <c r="X3340" s="20"/>
      <c r="Y3340" s="20"/>
      <c r="Z3340" s="20"/>
      <c r="AA3340" s="20"/>
      <c r="AB3340" s="20"/>
      <c r="AC3340" s="20"/>
      <c r="AD3340" s="20"/>
      <c r="AE3340" s="20"/>
    </row>
    <row r="3341">
      <c r="A3341" s="21">
        <v>74.0</v>
      </c>
      <c r="B3341" s="20" t="s">
        <v>2539</v>
      </c>
      <c r="C3341" s="20" t="s">
        <v>6164</v>
      </c>
      <c r="I3341" s="25" t="s">
        <v>101</v>
      </c>
      <c r="J3341" s="25" t="s">
        <v>6057</v>
      </c>
      <c r="K3341" s="25" t="s">
        <v>71</v>
      </c>
      <c r="L3341" s="25" t="s">
        <v>6247</v>
      </c>
      <c r="M3341" s="20" t="s">
        <v>3197</v>
      </c>
      <c r="N3341" s="20" t="s">
        <v>6078</v>
      </c>
      <c r="O3341" s="20" t="s">
        <v>63</v>
      </c>
      <c r="P3341" s="20"/>
      <c r="Q3341" s="22"/>
      <c r="R3341" s="22"/>
      <c r="S3341" s="22"/>
      <c r="T3341" s="20"/>
      <c r="U3341" s="26"/>
      <c r="V3341" s="26"/>
      <c r="W3341" s="20"/>
      <c r="X3341" s="20"/>
      <c r="Y3341" s="20"/>
      <c r="Z3341" s="20"/>
      <c r="AA3341" s="20"/>
      <c r="AB3341" s="20"/>
      <c r="AC3341" s="20"/>
      <c r="AD3341" s="20"/>
      <c r="AE3341" s="20"/>
    </row>
    <row r="3342">
      <c r="A3342" s="21">
        <v>74.0</v>
      </c>
      <c r="B3342" s="20" t="s">
        <v>2539</v>
      </c>
      <c r="C3342" s="20" t="s">
        <v>6164</v>
      </c>
      <c r="I3342" s="25" t="s">
        <v>2513</v>
      </c>
      <c r="J3342" s="25" t="s">
        <v>6057</v>
      </c>
      <c r="K3342" s="25" t="s">
        <v>71</v>
      </c>
      <c r="L3342" s="25" t="s">
        <v>3112</v>
      </c>
      <c r="M3342" s="20" t="s">
        <v>6079</v>
      </c>
      <c r="N3342" s="20" t="s">
        <v>6080</v>
      </c>
      <c r="O3342" s="20" t="s">
        <v>63</v>
      </c>
      <c r="P3342" s="20"/>
      <c r="Q3342" s="22"/>
      <c r="R3342" s="22"/>
      <c r="S3342" s="22"/>
      <c r="T3342" s="20"/>
      <c r="U3342" s="26"/>
      <c r="V3342" s="26"/>
      <c r="W3342" s="20"/>
      <c r="X3342" s="20"/>
      <c r="Y3342" s="20"/>
      <c r="Z3342" s="20"/>
      <c r="AA3342" s="20"/>
      <c r="AB3342" s="20"/>
      <c r="AC3342" s="20"/>
      <c r="AD3342" s="20"/>
      <c r="AE3342" s="20"/>
    </row>
    <row r="3343">
      <c r="A3343" s="21">
        <v>74.0</v>
      </c>
      <c r="B3343" s="20" t="s">
        <v>2539</v>
      </c>
      <c r="C3343" s="20" t="s">
        <v>6164</v>
      </c>
      <c r="I3343" s="25" t="s">
        <v>2520</v>
      </c>
      <c r="J3343" s="25" t="s">
        <v>6057</v>
      </c>
      <c r="K3343" s="25" t="s">
        <v>71</v>
      </c>
      <c r="L3343" s="25" t="s">
        <v>6266</v>
      </c>
      <c r="M3343" s="20" t="s">
        <v>6042</v>
      </c>
      <c r="N3343" s="20" t="s">
        <v>6081</v>
      </c>
      <c r="O3343" s="20" t="s">
        <v>63</v>
      </c>
      <c r="P3343" s="20"/>
      <c r="Q3343" s="22"/>
      <c r="R3343" s="22"/>
      <c r="S3343" s="22"/>
      <c r="T3343" s="20"/>
      <c r="U3343" s="26"/>
      <c r="V3343" s="26"/>
      <c r="W3343" s="20"/>
      <c r="X3343" s="20"/>
      <c r="Y3343" s="20"/>
      <c r="Z3343" s="20"/>
      <c r="AA3343" s="20"/>
      <c r="AB3343" s="20"/>
      <c r="AC3343" s="20"/>
      <c r="AD3343" s="20"/>
      <c r="AE3343" s="20"/>
    </row>
    <row r="3344">
      <c r="A3344" s="21">
        <v>74.0</v>
      </c>
      <c r="B3344" s="20" t="s">
        <v>2539</v>
      </c>
      <c r="C3344" s="20" t="s">
        <v>6164</v>
      </c>
      <c r="I3344" s="25" t="s">
        <v>2523</v>
      </c>
      <c r="J3344" s="25" t="s">
        <v>6057</v>
      </c>
      <c r="K3344" s="25" t="s">
        <v>71</v>
      </c>
      <c r="L3344" s="25" t="s">
        <v>3112</v>
      </c>
      <c r="M3344" s="20" t="s">
        <v>2524</v>
      </c>
      <c r="N3344" s="20" t="s">
        <v>6083</v>
      </c>
      <c r="O3344" s="20" t="s">
        <v>63</v>
      </c>
      <c r="P3344" s="20"/>
      <c r="Q3344" s="22"/>
      <c r="R3344" s="22"/>
      <c r="S3344" s="22"/>
      <c r="T3344" s="20"/>
      <c r="U3344" s="26"/>
      <c r="V3344" s="26"/>
      <c r="W3344" s="20"/>
      <c r="X3344" s="20"/>
      <c r="Y3344" s="20"/>
      <c r="Z3344" s="20"/>
      <c r="AA3344" s="20"/>
      <c r="AB3344" s="20"/>
      <c r="AC3344" s="20"/>
      <c r="AD3344" s="20"/>
      <c r="AE3344" s="20"/>
    </row>
    <row r="3345">
      <c r="A3345" s="21">
        <v>74.0</v>
      </c>
      <c r="B3345" s="20" t="s">
        <v>2539</v>
      </c>
      <c r="C3345" s="20" t="s">
        <v>6164</v>
      </c>
      <c r="I3345" s="25" t="s">
        <v>4626</v>
      </c>
      <c r="J3345" s="25" t="s">
        <v>6057</v>
      </c>
      <c r="K3345" s="25" t="s">
        <v>71</v>
      </c>
      <c r="L3345" s="25" t="s">
        <v>6247</v>
      </c>
      <c r="M3345" s="20" t="s">
        <v>5792</v>
      </c>
      <c r="N3345" s="20" t="s">
        <v>6084</v>
      </c>
      <c r="O3345" s="20" t="s">
        <v>63</v>
      </c>
      <c r="P3345" s="20"/>
      <c r="Q3345" s="22"/>
      <c r="R3345" s="22"/>
      <c r="S3345" s="22"/>
      <c r="T3345" s="20"/>
      <c r="U3345" s="26"/>
      <c r="V3345" s="26"/>
      <c r="W3345" s="20"/>
      <c r="X3345" s="20"/>
      <c r="Y3345" s="20"/>
      <c r="Z3345" s="20"/>
      <c r="AA3345" s="20"/>
      <c r="AB3345" s="20"/>
      <c r="AC3345" s="20"/>
      <c r="AD3345" s="20"/>
      <c r="AE3345" s="20"/>
    </row>
    <row r="3346">
      <c r="A3346" s="21">
        <v>74.0</v>
      </c>
      <c r="B3346" s="20" t="s">
        <v>2539</v>
      </c>
      <c r="C3346" s="20" t="s">
        <v>6164</v>
      </c>
      <c r="I3346" s="25" t="s">
        <v>2878</v>
      </c>
      <c r="J3346" s="25" t="s">
        <v>6057</v>
      </c>
      <c r="K3346" s="25" t="s">
        <v>71</v>
      </c>
      <c r="L3346" s="25" t="s">
        <v>3112</v>
      </c>
      <c r="M3346" s="20" t="s">
        <v>4818</v>
      </c>
      <c r="N3346" s="20" t="s">
        <v>5719</v>
      </c>
      <c r="O3346" s="20" t="s">
        <v>63</v>
      </c>
      <c r="P3346" s="20"/>
      <c r="Q3346" s="22"/>
      <c r="R3346" s="22"/>
      <c r="S3346" s="22"/>
      <c r="T3346" s="20"/>
      <c r="U3346" s="26"/>
      <c r="V3346" s="26"/>
      <c r="W3346" s="20"/>
      <c r="X3346" s="20"/>
      <c r="Y3346" s="20"/>
      <c r="Z3346" s="20"/>
      <c r="AA3346" s="20"/>
      <c r="AB3346" s="20"/>
      <c r="AC3346" s="20"/>
      <c r="AD3346" s="20"/>
      <c r="AE3346" s="20"/>
    </row>
    <row r="3347">
      <c r="A3347" s="21">
        <v>74.0</v>
      </c>
      <c r="B3347" s="20" t="s">
        <v>2539</v>
      </c>
      <c r="C3347" s="20" t="s">
        <v>6164</v>
      </c>
      <c r="I3347" s="25" t="s">
        <v>2488</v>
      </c>
      <c r="J3347" s="25" t="s">
        <v>6057</v>
      </c>
      <c r="K3347" s="25" t="s">
        <v>71</v>
      </c>
      <c r="L3347" s="25" t="s">
        <v>3112</v>
      </c>
      <c r="M3347" s="20" t="s">
        <v>6086</v>
      </c>
      <c r="N3347" s="20" t="s">
        <v>6087</v>
      </c>
      <c r="O3347" s="20" t="s">
        <v>63</v>
      </c>
      <c r="P3347" s="20"/>
      <c r="Q3347" s="22"/>
      <c r="R3347" s="22"/>
      <c r="S3347" s="22"/>
      <c r="T3347" s="20"/>
      <c r="U3347" s="26"/>
      <c r="V3347" s="26"/>
      <c r="W3347" s="20"/>
      <c r="X3347" s="20"/>
      <c r="Y3347" s="20"/>
      <c r="Z3347" s="20"/>
      <c r="AA3347" s="20"/>
      <c r="AB3347" s="20"/>
      <c r="AC3347" s="20"/>
      <c r="AD3347" s="20"/>
      <c r="AE3347" s="20"/>
    </row>
    <row r="3348">
      <c r="A3348" s="21">
        <v>74.0</v>
      </c>
      <c r="B3348" s="20" t="s">
        <v>2539</v>
      </c>
      <c r="C3348" s="20" t="s">
        <v>6164</v>
      </c>
      <c r="I3348" s="25" t="s">
        <v>1156</v>
      </c>
      <c r="J3348" s="25" t="s">
        <v>6057</v>
      </c>
      <c r="K3348" s="25" t="s">
        <v>71</v>
      </c>
      <c r="L3348" s="25" t="s">
        <v>6247</v>
      </c>
      <c r="M3348" s="20" t="s">
        <v>5753</v>
      </c>
      <c r="N3348" s="20" t="s">
        <v>6089</v>
      </c>
      <c r="O3348" s="20" t="s">
        <v>63</v>
      </c>
      <c r="P3348" s="20"/>
      <c r="Q3348" s="22"/>
      <c r="R3348" s="22"/>
      <c r="S3348" s="22"/>
      <c r="T3348" s="20"/>
      <c r="U3348" s="26"/>
      <c r="V3348" s="26"/>
      <c r="W3348" s="20"/>
      <c r="X3348" s="20"/>
      <c r="Y3348" s="20"/>
      <c r="Z3348" s="20"/>
      <c r="AA3348" s="20"/>
      <c r="AB3348" s="20"/>
      <c r="AC3348" s="20"/>
      <c r="AD3348" s="20"/>
      <c r="AE3348" s="20"/>
    </row>
    <row r="3349">
      <c r="A3349" s="21">
        <v>74.0</v>
      </c>
      <c r="B3349" s="20" t="s">
        <v>2539</v>
      </c>
      <c r="C3349" s="20" t="s">
        <v>6164</v>
      </c>
      <c r="I3349" s="25" t="s">
        <v>206</v>
      </c>
      <c r="J3349" s="25" t="s">
        <v>6057</v>
      </c>
      <c r="K3349" s="25" t="s">
        <v>71</v>
      </c>
      <c r="L3349" s="25" t="s">
        <v>6247</v>
      </c>
      <c r="M3349" s="20" t="s">
        <v>61</v>
      </c>
      <c r="N3349" s="20" t="s">
        <v>207</v>
      </c>
      <c r="O3349" s="20" t="s">
        <v>63</v>
      </c>
      <c r="P3349" s="20"/>
      <c r="Q3349" s="22"/>
      <c r="R3349" s="22"/>
      <c r="S3349" s="22"/>
      <c r="T3349" s="20"/>
      <c r="U3349" s="26"/>
      <c r="V3349" s="26"/>
      <c r="W3349" s="20"/>
      <c r="X3349" s="20"/>
      <c r="Y3349" s="20"/>
      <c r="Z3349" s="20"/>
      <c r="AA3349" s="20"/>
      <c r="AB3349" s="20"/>
      <c r="AC3349" s="20"/>
      <c r="AD3349" s="20"/>
      <c r="AE3349" s="20"/>
    </row>
    <row r="3350">
      <c r="A3350" s="21">
        <v>74.0</v>
      </c>
      <c r="B3350" s="20" t="s">
        <v>2539</v>
      </c>
      <c r="C3350" s="20" t="s">
        <v>6164</v>
      </c>
      <c r="I3350" s="25" t="s">
        <v>4068</v>
      </c>
      <c r="J3350" s="25" t="s">
        <v>6057</v>
      </c>
      <c r="K3350" s="25" t="s">
        <v>71</v>
      </c>
      <c r="L3350" s="25" t="s">
        <v>226</v>
      </c>
      <c r="M3350" s="20" t="s">
        <v>5086</v>
      </c>
      <c r="N3350" s="20" t="s">
        <v>5542</v>
      </c>
      <c r="O3350" s="20" t="s">
        <v>63</v>
      </c>
      <c r="P3350" s="20" t="s">
        <v>52</v>
      </c>
      <c r="Q3350" s="22"/>
      <c r="R3350" s="22"/>
      <c r="S3350" s="22"/>
      <c r="T3350" s="22"/>
      <c r="U3350" s="26"/>
      <c r="V3350" s="26"/>
      <c r="W3350" s="20"/>
      <c r="X3350" s="20"/>
      <c r="Y3350" s="20"/>
      <c r="Z3350" s="20"/>
      <c r="AA3350" s="20"/>
      <c r="AB3350" s="20"/>
      <c r="AC3350" s="20"/>
      <c r="AD3350" s="20"/>
      <c r="AE3350" s="20"/>
    </row>
    <row r="3351">
      <c r="A3351" s="21">
        <v>74.0</v>
      </c>
      <c r="B3351" s="20" t="s">
        <v>2539</v>
      </c>
      <c r="C3351" s="20" t="s">
        <v>6164</v>
      </c>
      <c r="I3351" s="25" t="s">
        <v>1162</v>
      </c>
      <c r="J3351" s="25" t="s">
        <v>6057</v>
      </c>
      <c r="K3351" s="25" t="s">
        <v>71</v>
      </c>
      <c r="L3351" s="25" t="s">
        <v>3112</v>
      </c>
      <c r="M3351" s="20" t="s">
        <v>1163</v>
      </c>
      <c r="N3351" s="20" t="s">
        <v>4705</v>
      </c>
      <c r="O3351" s="20" t="s">
        <v>63</v>
      </c>
      <c r="P3351" s="20"/>
      <c r="Q3351" s="22"/>
      <c r="R3351" s="22"/>
      <c r="S3351" s="22"/>
      <c r="T3351" s="20"/>
      <c r="U3351" s="26"/>
      <c r="V3351" s="26"/>
      <c r="W3351" s="20"/>
      <c r="X3351" s="20"/>
      <c r="Y3351" s="20"/>
      <c r="Z3351" s="20"/>
      <c r="AA3351" s="20"/>
      <c r="AB3351" s="20"/>
      <c r="AC3351" s="20"/>
      <c r="AD3351" s="20"/>
      <c r="AE3351" s="20"/>
    </row>
    <row r="3352">
      <c r="A3352" s="21">
        <v>74.0</v>
      </c>
      <c r="B3352" s="20" t="s">
        <v>2539</v>
      </c>
      <c r="C3352" s="20" t="s">
        <v>6164</v>
      </c>
      <c r="I3352" s="25" t="s">
        <v>2535</v>
      </c>
      <c r="J3352" s="25" t="s">
        <v>6057</v>
      </c>
      <c r="K3352" s="25" t="s">
        <v>71</v>
      </c>
      <c r="L3352" s="25" t="s">
        <v>3112</v>
      </c>
      <c r="M3352" s="20" t="s">
        <v>2536</v>
      </c>
      <c r="N3352" s="20" t="s">
        <v>6094</v>
      </c>
      <c r="O3352" s="20" t="s">
        <v>63</v>
      </c>
      <c r="P3352" s="20"/>
      <c r="Q3352" s="22"/>
      <c r="R3352" s="22"/>
      <c r="S3352" s="22"/>
      <c r="T3352" s="20"/>
      <c r="U3352" s="26"/>
      <c r="V3352" s="26"/>
      <c r="W3352" s="20"/>
      <c r="X3352" s="20"/>
      <c r="Y3352" s="20"/>
      <c r="Z3352" s="20"/>
      <c r="AA3352" s="20"/>
      <c r="AB3352" s="20"/>
      <c r="AC3352" s="20"/>
      <c r="AD3352" s="20"/>
      <c r="AE3352" s="20"/>
    </row>
    <row r="3353">
      <c r="A3353" s="21">
        <v>74.0</v>
      </c>
      <c r="B3353" s="20" t="s">
        <v>2539</v>
      </c>
      <c r="C3353" s="20" t="s">
        <v>6164</v>
      </c>
      <c r="I3353" s="25" t="s">
        <v>2564</v>
      </c>
      <c r="J3353" s="25" t="s">
        <v>6057</v>
      </c>
      <c r="K3353" s="25" t="s">
        <v>71</v>
      </c>
      <c r="L3353" s="25" t="s">
        <v>6294</v>
      </c>
      <c r="M3353" s="20" t="s">
        <v>61</v>
      </c>
      <c r="N3353" s="20" t="s">
        <v>6095</v>
      </c>
      <c r="O3353" s="20" t="s">
        <v>63</v>
      </c>
      <c r="P3353" s="20"/>
      <c r="Q3353" s="22"/>
      <c r="R3353" s="22"/>
      <c r="S3353" s="22"/>
      <c r="T3353" s="20"/>
      <c r="U3353" s="26"/>
      <c r="V3353" s="26"/>
      <c r="W3353" s="20"/>
      <c r="X3353" s="20"/>
      <c r="Y3353" s="20"/>
      <c r="Z3353" s="20"/>
      <c r="AA3353" s="20"/>
      <c r="AB3353" s="20"/>
      <c r="AC3353" s="20"/>
      <c r="AD3353" s="20"/>
      <c r="AE3353" s="20"/>
    </row>
    <row r="3354">
      <c r="A3354" s="21">
        <v>74.0</v>
      </c>
      <c r="B3354" s="20" t="s">
        <v>2539</v>
      </c>
      <c r="C3354" s="20" t="s">
        <v>6164</v>
      </c>
      <c r="I3354" s="25" t="s">
        <v>4570</v>
      </c>
      <c r="J3354" s="25" t="s">
        <v>6057</v>
      </c>
      <c r="K3354" s="25" t="s">
        <v>71</v>
      </c>
      <c r="L3354" s="25" t="s">
        <v>6247</v>
      </c>
      <c r="M3354" s="20" t="s">
        <v>5902</v>
      </c>
      <c r="N3354" s="20" t="s">
        <v>5903</v>
      </c>
      <c r="O3354" s="20" t="s">
        <v>63</v>
      </c>
      <c r="P3354" s="20"/>
      <c r="Q3354" s="22"/>
      <c r="R3354" s="22"/>
      <c r="S3354" s="22"/>
      <c r="T3354" s="20"/>
      <c r="U3354" s="26"/>
      <c r="V3354" s="26"/>
      <c r="W3354" s="20"/>
      <c r="X3354" s="20"/>
      <c r="Y3354" s="20"/>
      <c r="Z3354" s="20"/>
      <c r="AA3354" s="20"/>
      <c r="AB3354" s="20"/>
      <c r="AC3354" s="20"/>
      <c r="AD3354" s="20"/>
      <c r="AE3354" s="20"/>
    </row>
    <row r="3355">
      <c r="A3355" s="21">
        <v>75.0</v>
      </c>
      <c r="B3355" s="20" t="s">
        <v>5315</v>
      </c>
      <c r="C3355" s="20" t="s">
        <v>6296</v>
      </c>
      <c r="D3355" s="35">
        <v>30.0</v>
      </c>
      <c r="E3355" s="35">
        <v>4.0</v>
      </c>
      <c r="F3355" s="35">
        <v>0.0</v>
      </c>
      <c r="G3355" s="35">
        <v>26.0</v>
      </c>
      <c r="H3355" s="36" t="s">
        <v>6298</v>
      </c>
      <c r="I3355" s="25" t="s">
        <v>5500</v>
      </c>
      <c r="J3355" s="25" t="s">
        <v>6096</v>
      </c>
      <c r="K3355" s="25" t="s">
        <v>57</v>
      </c>
      <c r="L3355" s="25" t="s">
        <v>6299</v>
      </c>
      <c r="M3355" s="20" t="s">
        <v>61</v>
      </c>
      <c r="N3355" s="20" t="s">
        <v>6097</v>
      </c>
      <c r="O3355" s="20" t="s">
        <v>63</v>
      </c>
      <c r="P3355" s="20"/>
      <c r="Q3355" s="22"/>
      <c r="R3355" s="22"/>
      <c r="S3355" s="22"/>
      <c r="T3355" s="20"/>
      <c r="U3355" s="26"/>
      <c r="V3355" s="26"/>
      <c r="W3355" s="20"/>
      <c r="X3355" s="20"/>
      <c r="Y3355" s="20"/>
      <c r="Z3355" s="20"/>
      <c r="AA3355" s="20"/>
      <c r="AB3355" s="20"/>
      <c r="AC3355" s="20"/>
      <c r="AD3355" s="20"/>
      <c r="AE3355" s="20"/>
    </row>
    <row r="3356">
      <c r="A3356" s="21">
        <v>75.0</v>
      </c>
      <c r="B3356" s="20" t="s">
        <v>5315</v>
      </c>
      <c r="C3356" s="20" t="s">
        <v>6296</v>
      </c>
      <c r="I3356" s="25" t="s">
        <v>5989</v>
      </c>
      <c r="J3356" s="25" t="s">
        <v>6096</v>
      </c>
      <c r="K3356" s="25" t="s">
        <v>57</v>
      </c>
      <c r="L3356" s="25" t="s">
        <v>6300</v>
      </c>
      <c r="M3356" s="20" t="s">
        <v>6098</v>
      </c>
      <c r="N3356" s="20" t="s">
        <v>6099</v>
      </c>
      <c r="O3356" s="20" t="s">
        <v>63</v>
      </c>
      <c r="P3356" s="20"/>
      <c r="Q3356" s="22"/>
      <c r="R3356" s="22"/>
      <c r="S3356" s="22"/>
      <c r="T3356" s="20"/>
      <c r="U3356" s="26"/>
      <c r="V3356" s="26"/>
      <c r="W3356" s="20"/>
      <c r="X3356" s="20"/>
      <c r="Y3356" s="20"/>
      <c r="Z3356" s="20"/>
      <c r="AA3356" s="20"/>
      <c r="AB3356" s="20"/>
      <c r="AC3356" s="20"/>
      <c r="AD3356" s="20"/>
      <c r="AE3356" s="20"/>
    </row>
    <row r="3357">
      <c r="A3357" s="21">
        <v>75.0</v>
      </c>
      <c r="B3357" s="20" t="s">
        <v>5315</v>
      </c>
      <c r="C3357" s="20" t="s">
        <v>6296</v>
      </c>
      <c r="I3357" s="25" t="s">
        <v>6126</v>
      </c>
      <c r="J3357" s="25" t="s">
        <v>6102</v>
      </c>
      <c r="K3357" s="25" t="s">
        <v>71</v>
      </c>
      <c r="L3357" s="25" t="s">
        <v>226</v>
      </c>
      <c r="M3357" s="20" t="s">
        <v>6127</v>
      </c>
      <c r="N3357" s="20" t="s">
        <v>6128</v>
      </c>
      <c r="O3357" s="20" t="s">
        <v>63</v>
      </c>
      <c r="P3357" s="20" t="s">
        <v>52</v>
      </c>
      <c r="Q3357" s="22"/>
      <c r="R3357" s="22"/>
      <c r="S3357" s="22"/>
      <c r="T3357" s="22"/>
      <c r="U3357" s="26"/>
      <c r="V3357" s="26"/>
      <c r="W3357" s="20"/>
      <c r="X3357" s="20"/>
      <c r="Y3357" s="20"/>
      <c r="Z3357" s="20"/>
      <c r="AA3357" s="20"/>
      <c r="AB3357" s="20"/>
      <c r="AC3357" s="20"/>
      <c r="AD3357" s="20"/>
      <c r="AE3357" s="20"/>
    </row>
    <row r="3358">
      <c r="A3358" s="21">
        <v>75.0</v>
      </c>
      <c r="B3358" s="20" t="s">
        <v>5315</v>
      </c>
      <c r="C3358" s="20" t="s">
        <v>6296</v>
      </c>
      <c r="I3358" s="25" t="s">
        <v>1122</v>
      </c>
      <c r="J3358" s="25" t="s">
        <v>6096</v>
      </c>
      <c r="K3358" s="25" t="s">
        <v>57</v>
      </c>
      <c r="L3358" s="25" t="s">
        <v>6302</v>
      </c>
      <c r="M3358" s="20" t="s">
        <v>61</v>
      </c>
      <c r="N3358" s="20" t="s">
        <v>6100</v>
      </c>
      <c r="O3358" s="20" t="s">
        <v>63</v>
      </c>
      <c r="P3358" s="20"/>
      <c r="Q3358" s="22"/>
      <c r="R3358" s="22"/>
      <c r="S3358" s="22"/>
      <c r="T3358" s="20"/>
      <c r="U3358" s="26"/>
      <c r="V3358" s="26"/>
      <c r="W3358" s="20"/>
      <c r="X3358" s="20"/>
      <c r="Y3358" s="20"/>
      <c r="Z3358" s="20"/>
      <c r="AA3358" s="20"/>
      <c r="AB3358" s="20"/>
      <c r="AC3358" s="20"/>
      <c r="AD3358" s="20"/>
      <c r="AE3358" s="20"/>
    </row>
    <row r="3359">
      <c r="A3359" s="21">
        <v>75.0</v>
      </c>
      <c r="B3359" s="20" t="s">
        <v>5315</v>
      </c>
      <c r="C3359" s="20" t="s">
        <v>6296</v>
      </c>
      <c r="I3359" s="25" t="s">
        <v>6103</v>
      </c>
      <c r="J3359" s="25" t="s">
        <v>6102</v>
      </c>
      <c r="K3359" s="25" t="s">
        <v>57</v>
      </c>
      <c r="L3359" s="25" t="s">
        <v>6303</v>
      </c>
      <c r="M3359" s="20" t="s">
        <v>6104</v>
      </c>
      <c r="N3359" s="20" t="s">
        <v>6105</v>
      </c>
      <c r="O3359" s="20" t="s">
        <v>63</v>
      </c>
      <c r="P3359" s="20"/>
      <c r="Q3359" s="22"/>
      <c r="R3359" s="22"/>
      <c r="S3359" s="22"/>
      <c r="T3359" s="20"/>
      <c r="U3359" s="26"/>
      <c r="V3359" s="26"/>
      <c r="W3359" s="20"/>
      <c r="X3359" s="20"/>
      <c r="Y3359" s="20"/>
      <c r="Z3359" s="20"/>
      <c r="AA3359" s="20"/>
      <c r="AB3359" s="20"/>
      <c r="AC3359" s="20"/>
      <c r="AD3359" s="20"/>
      <c r="AE3359" s="20"/>
    </row>
    <row r="3360">
      <c r="A3360" s="21">
        <v>75.0</v>
      </c>
      <c r="B3360" s="20" t="s">
        <v>5315</v>
      </c>
      <c r="C3360" s="20" t="s">
        <v>6296</v>
      </c>
      <c r="I3360" s="25" t="s">
        <v>6129</v>
      </c>
      <c r="J3360" s="25" t="s">
        <v>6102</v>
      </c>
      <c r="K3360" s="25" t="s">
        <v>71</v>
      </c>
      <c r="L3360" s="25" t="s">
        <v>292</v>
      </c>
      <c r="M3360" s="20" t="s">
        <v>6130</v>
      </c>
      <c r="N3360" s="20" t="s">
        <v>6131</v>
      </c>
      <c r="O3360" s="20" t="s">
        <v>63</v>
      </c>
      <c r="P3360" s="20" t="s">
        <v>52</v>
      </c>
      <c r="Q3360" s="22"/>
      <c r="R3360" s="22"/>
      <c r="S3360" s="22"/>
      <c r="T3360" s="22"/>
      <c r="U3360" s="26"/>
      <c r="V3360" s="26"/>
      <c r="W3360" s="20"/>
      <c r="X3360" s="20"/>
      <c r="Y3360" s="20"/>
      <c r="Z3360" s="20"/>
      <c r="AA3360" s="20"/>
      <c r="AB3360" s="20"/>
      <c r="AC3360" s="20"/>
      <c r="AD3360" s="20"/>
      <c r="AE3360" s="20"/>
    </row>
    <row r="3361">
      <c r="A3361" s="21">
        <v>75.0</v>
      </c>
      <c r="B3361" s="20" t="s">
        <v>5315</v>
      </c>
      <c r="C3361" s="20" t="s">
        <v>6296</v>
      </c>
      <c r="I3361" s="25" t="s">
        <v>3328</v>
      </c>
      <c r="J3361" s="25" t="s">
        <v>6096</v>
      </c>
      <c r="K3361" s="25" t="s">
        <v>71</v>
      </c>
      <c r="L3361" s="25" t="s">
        <v>6305</v>
      </c>
      <c r="M3361" s="20" t="s">
        <v>3329</v>
      </c>
      <c r="N3361" s="20" t="s">
        <v>6106</v>
      </c>
      <c r="O3361" s="20" t="s">
        <v>63</v>
      </c>
      <c r="P3361" s="20"/>
      <c r="Q3361" s="22"/>
      <c r="R3361" s="22"/>
      <c r="S3361" s="22"/>
      <c r="T3361" s="26"/>
      <c r="U3361" s="26"/>
      <c r="V3361" s="26"/>
      <c r="W3361" s="20"/>
      <c r="X3361" s="20"/>
      <c r="Y3361" s="20"/>
      <c r="Z3361" s="20"/>
      <c r="AA3361" s="20"/>
      <c r="AB3361" s="20"/>
      <c r="AC3361" s="20"/>
      <c r="AD3361" s="20"/>
      <c r="AE3361" s="20"/>
    </row>
    <row r="3362">
      <c r="A3362" s="21">
        <v>75.0</v>
      </c>
      <c r="B3362" s="20" t="s">
        <v>5315</v>
      </c>
      <c r="C3362" s="20" t="s">
        <v>6296</v>
      </c>
      <c r="I3362" s="25" t="s">
        <v>3464</v>
      </c>
      <c r="J3362" s="25" t="s">
        <v>6096</v>
      </c>
      <c r="K3362" s="25" t="s">
        <v>71</v>
      </c>
      <c r="L3362" s="25" t="s">
        <v>292</v>
      </c>
      <c r="M3362" s="20" t="s">
        <v>3465</v>
      </c>
      <c r="N3362" s="20" t="s">
        <v>6107</v>
      </c>
      <c r="O3362" s="20" t="s">
        <v>63</v>
      </c>
      <c r="P3362" s="20" t="s">
        <v>52</v>
      </c>
      <c r="Q3362" s="22"/>
      <c r="R3362" s="22"/>
      <c r="S3362" s="22"/>
      <c r="T3362" s="22"/>
      <c r="U3362" s="26"/>
      <c r="V3362" s="26"/>
      <c r="W3362" s="20"/>
      <c r="X3362" s="20"/>
      <c r="Y3362" s="20"/>
      <c r="Z3362" s="20"/>
      <c r="AA3362" s="20"/>
      <c r="AB3362" s="20"/>
      <c r="AC3362" s="20"/>
      <c r="AD3362" s="20"/>
      <c r="AE3362" s="20"/>
    </row>
    <row r="3363">
      <c r="A3363" s="21">
        <v>75.0</v>
      </c>
      <c r="B3363" s="20" t="s">
        <v>5315</v>
      </c>
      <c r="C3363" s="20" t="s">
        <v>6296</v>
      </c>
      <c r="I3363" s="25" t="s">
        <v>6108</v>
      </c>
      <c r="J3363" s="25" t="s">
        <v>6096</v>
      </c>
      <c r="K3363" s="25" t="s">
        <v>71</v>
      </c>
      <c r="L3363" s="25" t="s">
        <v>292</v>
      </c>
      <c r="M3363" s="20" t="s">
        <v>61</v>
      </c>
      <c r="N3363" s="20" t="s">
        <v>6109</v>
      </c>
      <c r="O3363" s="20" t="s">
        <v>63</v>
      </c>
      <c r="P3363" s="20" t="s">
        <v>52</v>
      </c>
      <c r="Q3363" s="22"/>
      <c r="R3363" s="22"/>
      <c r="S3363" s="22"/>
      <c r="T3363" s="22"/>
      <c r="U3363" s="26"/>
      <c r="V3363" s="26"/>
      <c r="W3363" s="20"/>
      <c r="X3363" s="20"/>
      <c r="Y3363" s="20"/>
      <c r="Z3363" s="20"/>
      <c r="AA3363" s="20"/>
      <c r="AB3363" s="20"/>
      <c r="AC3363" s="20"/>
      <c r="AD3363" s="20"/>
      <c r="AE3363" s="20"/>
    </row>
    <row r="3364">
      <c r="A3364" s="21">
        <v>75.0</v>
      </c>
      <c r="B3364" s="20" t="s">
        <v>5315</v>
      </c>
      <c r="C3364" s="20" t="s">
        <v>6296</v>
      </c>
      <c r="I3364" s="25" t="s">
        <v>512</v>
      </c>
      <c r="J3364" s="25" t="s">
        <v>6096</v>
      </c>
      <c r="K3364" s="25" t="s">
        <v>71</v>
      </c>
      <c r="L3364" s="25" t="s">
        <v>292</v>
      </c>
      <c r="M3364" s="20" t="s">
        <v>6110</v>
      </c>
      <c r="N3364" s="20" t="s">
        <v>6111</v>
      </c>
      <c r="O3364" s="20" t="s">
        <v>63</v>
      </c>
      <c r="P3364" s="20" t="s">
        <v>52</v>
      </c>
      <c r="Q3364" s="22"/>
      <c r="R3364" s="22"/>
      <c r="S3364" s="22"/>
      <c r="T3364" s="22"/>
      <c r="U3364" s="26"/>
      <c r="V3364" s="26"/>
      <c r="W3364" s="20"/>
      <c r="X3364" s="20"/>
      <c r="Y3364" s="20"/>
      <c r="Z3364" s="20"/>
      <c r="AA3364" s="20"/>
      <c r="AB3364" s="20"/>
      <c r="AC3364" s="20"/>
      <c r="AD3364" s="20"/>
      <c r="AE3364" s="20"/>
    </row>
    <row r="3365">
      <c r="A3365" s="21">
        <v>75.0</v>
      </c>
      <c r="B3365" s="20" t="s">
        <v>5315</v>
      </c>
      <c r="C3365" s="20" t="s">
        <v>6296</v>
      </c>
      <c r="I3365" s="25" t="s">
        <v>1384</v>
      </c>
      <c r="J3365" s="25" t="s">
        <v>6102</v>
      </c>
      <c r="K3365" s="25" t="s">
        <v>71</v>
      </c>
      <c r="L3365" s="25" t="s">
        <v>292</v>
      </c>
      <c r="M3365" s="20" t="s">
        <v>6132</v>
      </c>
      <c r="N3365" s="20" t="s">
        <v>6131</v>
      </c>
      <c r="O3365" s="20" t="s">
        <v>63</v>
      </c>
      <c r="P3365" s="20" t="s">
        <v>52</v>
      </c>
      <c r="Q3365" s="22"/>
      <c r="R3365" s="22"/>
      <c r="S3365" s="22"/>
      <c r="T3365" s="22"/>
      <c r="U3365" s="26"/>
      <c r="V3365" s="26"/>
      <c r="W3365" s="20"/>
      <c r="X3365" s="20"/>
      <c r="Y3365" s="20"/>
      <c r="Z3365" s="20"/>
      <c r="AA3365" s="20"/>
      <c r="AB3365" s="20"/>
      <c r="AC3365" s="20"/>
      <c r="AD3365" s="20"/>
      <c r="AE3365" s="20"/>
    </row>
    <row r="3366">
      <c r="A3366" s="21">
        <v>75.0</v>
      </c>
      <c r="B3366" s="20" t="s">
        <v>5315</v>
      </c>
      <c r="C3366" s="20" t="s">
        <v>6296</v>
      </c>
      <c r="I3366" s="25" t="s">
        <v>6133</v>
      </c>
      <c r="J3366" s="25" t="s">
        <v>6102</v>
      </c>
      <c r="K3366" s="25" t="s">
        <v>71</v>
      </c>
      <c r="L3366" s="25" t="s">
        <v>292</v>
      </c>
      <c r="M3366" s="20" t="s">
        <v>3023</v>
      </c>
      <c r="N3366" s="20" t="s">
        <v>6134</v>
      </c>
      <c r="O3366" s="20" t="s">
        <v>63</v>
      </c>
      <c r="P3366" s="20" t="s">
        <v>52</v>
      </c>
      <c r="Q3366" s="22"/>
      <c r="R3366" s="22"/>
      <c r="S3366" s="22"/>
      <c r="T3366" s="22"/>
      <c r="U3366" s="26"/>
      <c r="V3366" s="26"/>
      <c r="W3366" s="20"/>
      <c r="X3366" s="20"/>
      <c r="Y3366" s="20"/>
      <c r="Z3366" s="20"/>
      <c r="AA3366" s="20"/>
      <c r="AB3366" s="20"/>
      <c r="AC3366" s="20"/>
      <c r="AD3366" s="20"/>
      <c r="AE3366" s="20"/>
    </row>
    <row r="3367">
      <c r="A3367" s="21">
        <v>75.0</v>
      </c>
      <c r="B3367" s="20" t="s">
        <v>5315</v>
      </c>
      <c r="C3367" s="20" t="s">
        <v>6296</v>
      </c>
      <c r="I3367" s="25" t="s">
        <v>1857</v>
      </c>
      <c r="J3367" s="25" t="s">
        <v>6140</v>
      </c>
      <c r="K3367" s="25" t="s">
        <v>71</v>
      </c>
      <c r="L3367" s="25" t="s">
        <v>292</v>
      </c>
      <c r="M3367" s="20" t="s">
        <v>6141</v>
      </c>
      <c r="N3367" s="20" t="s">
        <v>6142</v>
      </c>
      <c r="O3367" s="20" t="s">
        <v>63</v>
      </c>
      <c r="P3367" s="20" t="s">
        <v>52</v>
      </c>
      <c r="Q3367" s="22"/>
      <c r="R3367" s="22"/>
      <c r="S3367" s="22"/>
      <c r="T3367" s="22"/>
      <c r="U3367" s="26"/>
      <c r="V3367" s="26"/>
      <c r="W3367" s="20"/>
      <c r="X3367" s="20"/>
      <c r="Y3367" s="20"/>
      <c r="Z3367" s="20"/>
      <c r="AA3367" s="20"/>
      <c r="AB3367" s="20"/>
      <c r="AC3367" s="20"/>
      <c r="AD3367" s="20"/>
      <c r="AE3367" s="20"/>
    </row>
    <row r="3368">
      <c r="A3368" s="21">
        <v>75.0</v>
      </c>
      <c r="B3368" s="20" t="s">
        <v>5315</v>
      </c>
      <c r="C3368" s="20" t="s">
        <v>6296</v>
      </c>
      <c r="I3368" s="25" t="s">
        <v>2680</v>
      </c>
      <c r="J3368" s="25" t="s">
        <v>6140</v>
      </c>
      <c r="K3368" s="25" t="s">
        <v>71</v>
      </c>
      <c r="L3368" s="25" t="s">
        <v>292</v>
      </c>
      <c r="M3368" s="20" t="s">
        <v>6143</v>
      </c>
      <c r="N3368" s="20" t="s">
        <v>6144</v>
      </c>
      <c r="O3368" s="20" t="s">
        <v>63</v>
      </c>
      <c r="P3368" s="20" t="s">
        <v>52</v>
      </c>
      <c r="Q3368" s="22"/>
      <c r="R3368" s="22"/>
      <c r="S3368" s="22"/>
      <c r="T3368" s="22"/>
      <c r="U3368" s="26"/>
      <c r="V3368" s="26"/>
      <c r="W3368" s="20"/>
      <c r="X3368" s="20"/>
      <c r="Y3368" s="20"/>
      <c r="Z3368" s="20"/>
      <c r="AA3368" s="20"/>
      <c r="AB3368" s="20"/>
      <c r="AC3368" s="20"/>
      <c r="AD3368" s="20"/>
      <c r="AE3368" s="20"/>
    </row>
    <row r="3369">
      <c r="A3369" s="21">
        <v>75.0</v>
      </c>
      <c r="B3369" s="20" t="s">
        <v>5315</v>
      </c>
      <c r="C3369" s="20" t="s">
        <v>6296</v>
      </c>
      <c r="I3369" s="25" t="s">
        <v>1805</v>
      </c>
      <c r="J3369" s="25" t="s">
        <v>6140</v>
      </c>
      <c r="K3369" s="25" t="s">
        <v>71</v>
      </c>
      <c r="L3369" s="25" t="s">
        <v>292</v>
      </c>
      <c r="M3369" s="20" t="s">
        <v>6145</v>
      </c>
      <c r="N3369" s="20" t="s">
        <v>6146</v>
      </c>
      <c r="O3369" s="20" t="s">
        <v>63</v>
      </c>
      <c r="P3369" s="20" t="s">
        <v>52</v>
      </c>
      <c r="Q3369" s="22"/>
      <c r="R3369" s="22"/>
      <c r="S3369" s="22"/>
      <c r="T3369" s="22"/>
      <c r="U3369" s="26"/>
      <c r="V3369" s="26"/>
      <c r="W3369" s="20"/>
      <c r="X3369" s="20"/>
      <c r="Y3369" s="20"/>
      <c r="Z3369" s="20"/>
      <c r="AA3369" s="20"/>
      <c r="AB3369" s="20"/>
      <c r="AC3369" s="20"/>
      <c r="AD3369" s="20"/>
      <c r="AE3369" s="20"/>
    </row>
    <row r="3370">
      <c r="A3370" s="21">
        <v>75.0</v>
      </c>
      <c r="B3370" s="20" t="s">
        <v>5315</v>
      </c>
      <c r="C3370" s="20" t="s">
        <v>6296</v>
      </c>
      <c r="I3370" s="25" t="s">
        <v>1738</v>
      </c>
      <c r="J3370" s="25" t="s">
        <v>6102</v>
      </c>
      <c r="K3370" s="25" t="s">
        <v>71</v>
      </c>
      <c r="L3370" s="25" t="s">
        <v>292</v>
      </c>
      <c r="M3370" s="20" t="s">
        <v>6135</v>
      </c>
      <c r="N3370" s="20" t="s">
        <v>6136</v>
      </c>
      <c r="O3370" s="20" t="s">
        <v>63</v>
      </c>
      <c r="P3370" s="20" t="s">
        <v>52</v>
      </c>
      <c r="Q3370" s="22"/>
      <c r="R3370" s="22"/>
      <c r="S3370" s="22"/>
      <c r="T3370" s="22"/>
      <c r="U3370" s="26"/>
      <c r="V3370" s="26"/>
      <c r="W3370" s="20"/>
      <c r="X3370" s="20"/>
      <c r="Y3370" s="20"/>
      <c r="Z3370" s="20"/>
      <c r="AA3370" s="20"/>
      <c r="AB3370" s="20"/>
      <c r="AC3370" s="20"/>
      <c r="AD3370" s="20"/>
      <c r="AE3370" s="20"/>
    </row>
    <row r="3371">
      <c r="A3371" s="21">
        <v>75.0</v>
      </c>
      <c r="B3371" s="20" t="s">
        <v>5315</v>
      </c>
      <c r="C3371" s="20" t="s">
        <v>6296</v>
      </c>
      <c r="I3371" s="25" t="s">
        <v>4800</v>
      </c>
      <c r="J3371" s="25" t="s">
        <v>6140</v>
      </c>
      <c r="K3371" s="25" t="s">
        <v>71</v>
      </c>
      <c r="L3371" s="25" t="s">
        <v>292</v>
      </c>
      <c r="M3371" s="20" t="s">
        <v>6147</v>
      </c>
      <c r="N3371" s="20" t="s">
        <v>6148</v>
      </c>
      <c r="O3371" s="20" t="s">
        <v>63</v>
      </c>
      <c r="P3371" s="20" t="s">
        <v>52</v>
      </c>
      <c r="Q3371" s="22"/>
      <c r="R3371" s="22"/>
      <c r="S3371" s="22"/>
      <c r="T3371" s="22"/>
      <c r="U3371" s="26"/>
      <c r="V3371" s="26"/>
      <c r="W3371" s="20"/>
      <c r="X3371" s="20"/>
      <c r="Y3371" s="20"/>
      <c r="Z3371" s="20"/>
      <c r="AA3371" s="20"/>
      <c r="AB3371" s="20"/>
      <c r="AC3371" s="20"/>
      <c r="AD3371" s="20"/>
      <c r="AE3371" s="20"/>
    </row>
    <row r="3372">
      <c r="A3372" s="21">
        <v>75.0</v>
      </c>
      <c r="B3372" s="20" t="s">
        <v>5315</v>
      </c>
      <c r="C3372" s="20" t="s">
        <v>6296</v>
      </c>
      <c r="I3372" s="25" t="s">
        <v>6149</v>
      </c>
      <c r="J3372" s="25" t="s">
        <v>6140</v>
      </c>
      <c r="K3372" s="25" t="s">
        <v>71</v>
      </c>
      <c r="L3372" s="25" t="s">
        <v>6305</v>
      </c>
      <c r="M3372" s="20" t="s">
        <v>6150</v>
      </c>
      <c r="N3372" s="20" t="s">
        <v>6151</v>
      </c>
      <c r="O3372" s="20" t="s">
        <v>63</v>
      </c>
      <c r="P3372" s="20"/>
      <c r="Q3372" s="22"/>
      <c r="R3372" s="22"/>
      <c r="S3372" s="22"/>
      <c r="T3372" s="20"/>
      <c r="U3372" s="26"/>
      <c r="V3372" s="26"/>
      <c r="W3372" s="20"/>
      <c r="X3372" s="20"/>
      <c r="Y3372" s="20"/>
      <c r="Z3372" s="20"/>
      <c r="AA3372" s="20"/>
      <c r="AB3372" s="20"/>
      <c r="AC3372" s="20"/>
      <c r="AD3372" s="20"/>
      <c r="AE3372" s="20"/>
    </row>
    <row r="3373">
      <c r="A3373" s="21">
        <v>75.0</v>
      </c>
      <c r="B3373" s="20" t="s">
        <v>5315</v>
      </c>
      <c r="C3373" s="20" t="s">
        <v>6296</v>
      </c>
      <c r="I3373" s="25" t="s">
        <v>4959</v>
      </c>
      <c r="J3373" s="25" t="s">
        <v>6140</v>
      </c>
      <c r="K3373" s="25" t="s">
        <v>71</v>
      </c>
      <c r="L3373" s="25" t="s">
        <v>292</v>
      </c>
      <c r="M3373" s="20" t="s">
        <v>5091</v>
      </c>
      <c r="N3373" s="20" t="s">
        <v>6152</v>
      </c>
      <c r="O3373" s="20" t="s">
        <v>63</v>
      </c>
      <c r="P3373" s="20" t="s">
        <v>52</v>
      </c>
      <c r="Q3373" s="22"/>
      <c r="R3373" s="22"/>
      <c r="S3373" s="22"/>
      <c r="T3373" s="22"/>
      <c r="U3373" s="26"/>
      <c r="V3373" s="26"/>
      <c r="W3373" s="20"/>
      <c r="X3373" s="20"/>
      <c r="Y3373" s="20"/>
      <c r="Z3373" s="20"/>
      <c r="AA3373" s="20"/>
      <c r="AB3373" s="20"/>
      <c r="AC3373" s="20"/>
      <c r="AD3373" s="20"/>
      <c r="AE3373" s="20"/>
    </row>
    <row r="3374">
      <c r="A3374" s="21">
        <v>75.0</v>
      </c>
      <c r="B3374" s="20" t="s">
        <v>5315</v>
      </c>
      <c r="C3374" s="20" t="s">
        <v>6296</v>
      </c>
      <c r="I3374" s="25" t="s">
        <v>6112</v>
      </c>
      <c r="J3374" s="25" t="s">
        <v>6096</v>
      </c>
      <c r="K3374" s="25" t="s">
        <v>71</v>
      </c>
      <c r="L3374" s="25" t="s">
        <v>6313</v>
      </c>
      <c r="M3374" s="20" t="s">
        <v>6113</v>
      </c>
      <c r="N3374" s="20" t="s">
        <v>6114</v>
      </c>
      <c r="O3374" s="20" t="s">
        <v>63</v>
      </c>
      <c r="P3374" s="20"/>
      <c r="Q3374" s="22"/>
      <c r="R3374" s="22"/>
      <c r="S3374" s="22"/>
      <c r="T3374" s="20"/>
      <c r="U3374" s="26"/>
      <c r="V3374" s="26"/>
      <c r="W3374" s="20"/>
      <c r="X3374" s="20"/>
      <c r="Y3374" s="20"/>
      <c r="Z3374" s="20"/>
      <c r="AA3374" s="20"/>
      <c r="AB3374" s="20"/>
      <c r="AC3374" s="20"/>
      <c r="AD3374" s="20"/>
      <c r="AE3374" s="20"/>
    </row>
    <row r="3375">
      <c r="A3375" s="21">
        <v>75.0</v>
      </c>
      <c r="B3375" s="20" t="s">
        <v>5315</v>
      </c>
      <c r="C3375" s="20" t="s">
        <v>6296</v>
      </c>
      <c r="I3375" s="25" t="s">
        <v>3439</v>
      </c>
      <c r="J3375" s="25" t="s">
        <v>6140</v>
      </c>
      <c r="K3375" s="25" t="s">
        <v>71</v>
      </c>
      <c r="L3375" s="25" t="s">
        <v>292</v>
      </c>
      <c r="M3375" s="20" t="s">
        <v>61</v>
      </c>
      <c r="N3375" s="20" t="s">
        <v>6153</v>
      </c>
      <c r="O3375" s="20" t="s">
        <v>63</v>
      </c>
      <c r="P3375" s="20" t="s">
        <v>52</v>
      </c>
      <c r="Q3375" s="22"/>
      <c r="R3375" s="22"/>
      <c r="S3375" s="22"/>
      <c r="T3375" s="22"/>
      <c r="U3375" s="26"/>
      <c r="V3375" s="26"/>
      <c r="W3375" s="20"/>
      <c r="X3375" s="20"/>
      <c r="Y3375" s="20"/>
      <c r="Z3375" s="20"/>
      <c r="AA3375" s="20"/>
      <c r="AB3375" s="20"/>
      <c r="AC3375" s="20"/>
      <c r="AD3375" s="20"/>
      <c r="AE3375" s="20"/>
    </row>
    <row r="3376">
      <c r="A3376" s="21">
        <v>75.0</v>
      </c>
      <c r="B3376" s="20" t="s">
        <v>5315</v>
      </c>
      <c r="C3376" s="20" t="s">
        <v>6296</v>
      </c>
      <c r="I3376" s="25" t="s">
        <v>1807</v>
      </c>
      <c r="J3376" s="25" t="s">
        <v>6140</v>
      </c>
      <c r="K3376" s="25" t="s">
        <v>71</v>
      </c>
      <c r="L3376" s="25" t="s">
        <v>292</v>
      </c>
      <c r="M3376" s="20" t="s">
        <v>1808</v>
      </c>
      <c r="N3376" s="20" t="s">
        <v>6154</v>
      </c>
      <c r="O3376" s="20" t="s">
        <v>63</v>
      </c>
      <c r="P3376" s="20" t="s">
        <v>52</v>
      </c>
      <c r="Q3376" s="22"/>
      <c r="R3376" s="22"/>
      <c r="S3376" s="22"/>
      <c r="T3376" s="22"/>
      <c r="U3376" s="26"/>
      <c r="V3376" s="26"/>
      <c r="W3376" s="20"/>
      <c r="X3376" s="20"/>
      <c r="Y3376" s="20"/>
      <c r="Z3376" s="20"/>
      <c r="AA3376" s="20"/>
      <c r="AB3376" s="20"/>
      <c r="AC3376" s="20"/>
      <c r="AD3376" s="20"/>
      <c r="AE3376" s="20"/>
    </row>
    <row r="3377">
      <c r="A3377" s="21">
        <v>75.0</v>
      </c>
      <c r="B3377" s="20" t="s">
        <v>5315</v>
      </c>
      <c r="C3377" s="20" t="s">
        <v>6296</v>
      </c>
      <c r="I3377" s="25" t="s">
        <v>891</v>
      </c>
      <c r="J3377" s="25" t="s">
        <v>6096</v>
      </c>
      <c r="K3377" s="25" t="s">
        <v>71</v>
      </c>
      <c r="L3377" s="25" t="s">
        <v>6315</v>
      </c>
      <c r="M3377" s="20" t="s">
        <v>6115</v>
      </c>
      <c r="N3377" s="20" t="s">
        <v>6116</v>
      </c>
      <c r="O3377" s="20" t="s">
        <v>63</v>
      </c>
      <c r="P3377" s="20"/>
      <c r="Q3377" s="22"/>
      <c r="R3377" s="22"/>
      <c r="S3377" s="22"/>
      <c r="T3377" s="26"/>
      <c r="U3377" s="26"/>
      <c r="V3377" s="26"/>
      <c r="W3377" s="20"/>
      <c r="X3377" s="20"/>
      <c r="Y3377" s="20"/>
      <c r="Z3377" s="20"/>
      <c r="AA3377" s="20"/>
      <c r="AB3377" s="20"/>
      <c r="AC3377" s="20"/>
      <c r="AD3377" s="20"/>
      <c r="AE3377" s="20"/>
    </row>
    <row r="3378">
      <c r="A3378" s="21">
        <v>75.0</v>
      </c>
      <c r="B3378" s="20" t="s">
        <v>5315</v>
      </c>
      <c r="C3378" s="20" t="s">
        <v>6296</v>
      </c>
      <c r="I3378" s="25" t="s">
        <v>6117</v>
      </c>
      <c r="J3378" s="25" t="s">
        <v>6096</v>
      </c>
      <c r="K3378" s="25" t="s">
        <v>71</v>
      </c>
      <c r="L3378" s="25" t="s">
        <v>6305</v>
      </c>
      <c r="M3378" s="20" t="s">
        <v>6118</v>
      </c>
      <c r="N3378" s="20" t="s">
        <v>6119</v>
      </c>
      <c r="O3378" s="20" t="s">
        <v>63</v>
      </c>
      <c r="P3378" s="20"/>
      <c r="Q3378" s="22"/>
      <c r="R3378" s="22"/>
      <c r="S3378" s="22"/>
      <c r="T3378" s="20"/>
      <c r="U3378" s="26"/>
      <c r="V3378" s="26"/>
      <c r="W3378" s="20"/>
      <c r="X3378" s="20"/>
      <c r="Y3378" s="20"/>
      <c r="Z3378" s="20"/>
      <c r="AA3378" s="20"/>
      <c r="AB3378" s="20"/>
      <c r="AC3378" s="20"/>
      <c r="AD3378" s="20"/>
      <c r="AE3378" s="20"/>
    </row>
    <row r="3379">
      <c r="A3379" s="21">
        <v>75.0</v>
      </c>
      <c r="B3379" s="20" t="s">
        <v>5315</v>
      </c>
      <c r="C3379" s="20" t="s">
        <v>6296</v>
      </c>
      <c r="I3379" s="25" t="s">
        <v>6137</v>
      </c>
      <c r="J3379" s="25" t="s">
        <v>6102</v>
      </c>
      <c r="K3379" s="25" t="s">
        <v>71</v>
      </c>
      <c r="L3379" s="25" t="s">
        <v>6315</v>
      </c>
      <c r="M3379" s="20" t="s">
        <v>6138</v>
      </c>
      <c r="N3379" s="20" t="s">
        <v>6139</v>
      </c>
      <c r="O3379" s="20" t="s">
        <v>63</v>
      </c>
      <c r="P3379" s="20"/>
      <c r="Q3379" s="22"/>
      <c r="R3379" s="22"/>
      <c r="S3379" s="22"/>
      <c r="T3379" s="20"/>
      <c r="U3379" s="26"/>
      <c r="V3379" s="26"/>
      <c r="W3379" s="20"/>
      <c r="X3379" s="20"/>
      <c r="Y3379" s="20"/>
      <c r="Z3379" s="20"/>
      <c r="AA3379" s="20"/>
      <c r="AB3379" s="20"/>
      <c r="AC3379" s="20"/>
      <c r="AD3379" s="20"/>
      <c r="AE3379" s="20"/>
    </row>
    <row r="3380">
      <c r="A3380" s="21">
        <v>75.0</v>
      </c>
      <c r="B3380" s="20" t="s">
        <v>5315</v>
      </c>
      <c r="C3380" s="20" t="s">
        <v>6296</v>
      </c>
      <c r="I3380" s="25" t="s">
        <v>894</v>
      </c>
      <c r="J3380" s="25" t="s">
        <v>6096</v>
      </c>
      <c r="K3380" s="25" t="s">
        <v>71</v>
      </c>
      <c r="L3380" s="25" t="s">
        <v>6315</v>
      </c>
      <c r="M3380" s="20" t="s">
        <v>895</v>
      </c>
      <c r="N3380" s="20" t="s">
        <v>6120</v>
      </c>
      <c r="O3380" s="20" t="s">
        <v>63</v>
      </c>
      <c r="P3380" s="20"/>
      <c r="Q3380" s="22"/>
      <c r="R3380" s="22"/>
      <c r="S3380" s="22"/>
      <c r="T3380" s="20"/>
      <c r="U3380" s="26"/>
      <c r="V3380" s="26"/>
      <c r="W3380" s="20"/>
      <c r="X3380" s="20"/>
      <c r="Y3380" s="20"/>
      <c r="Z3380" s="20"/>
      <c r="AA3380" s="20"/>
      <c r="AB3380" s="20"/>
      <c r="AC3380" s="20"/>
      <c r="AD3380" s="20"/>
      <c r="AE3380" s="20"/>
    </row>
    <row r="3381">
      <c r="A3381" s="21">
        <v>75.0</v>
      </c>
      <c r="B3381" s="20" t="s">
        <v>5315</v>
      </c>
      <c r="C3381" s="20" t="s">
        <v>6296</v>
      </c>
      <c r="I3381" s="25" t="s">
        <v>2095</v>
      </c>
      <c r="J3381" s="25" t="s">
        <v>6096</v>
      </c>
      <c r="K3381" s="25" t="s">
        <v>71</v>
      </c>
      <c r="L3381" s="25" t="s">
        <v>292</v>
      </c>
      <c r="M3381" s="20" t="s">
        <v>3434</v>
      </c>
      <c r="N3381" s="20" t="s">
        <v>6121</v>
      </c>
      <c r="O3381" s="20" t="s">
        <v>63</v>
      </c>
      <c r="P3381" s="20" t="s">
        <v>52</v>
      </c>
      <c r="Q3381" s="22"/>
      <c r="R3381" s="22"/>
      <c r="S3381" s="22"/>
      <c r="T3381" s="22"/>
      <c r="U3381" s="26"/>
      <c r="V3381" s="26"/>
      <c r="W3381" s="20"/>
      <c r="X3381" s="20"/>
      <c r="Y3381" s="20"/>
      <c r="Z3381" s="20"/>
      <c r="AA3381" s="20"/>
      <c r="AB3381" s="20"/>
      <c r="AC3381" s="20"/>
      <c r="AD3381" s="20"/>
      <c r="AE3381" s="20"/>
    </row>
    <row r="3382">
      <c r="A3382" s="21">
        <v>75.0</v>
      </c>
      <c r="B3382" s="20" t="s">
        <v>5315</v>
      </c>
      <c r="C3382" s="20" t="s">
        <v>6296</v>
      </c>
      <c r="I3382" s="25" t="s">
        <v>3412</v>
      </c>
      <c r="J3382" s="25" t="s">
        <v>6140</v>
      </c>
      <c r="K3382" s="25" t="s">
        <v>71</v>
      </c>
      <c r="L3382" s="25" t="s">
        <v>6305</v>
      </c>
      <c r="M3382" s="20" t="s">
        <v>61</v>
      </c>
      <c r="N3382" s="20" t="s">
        <v>6155</v>
      </c>
      <c r="O3382" s="20" t="s">
        <v>63</v>
      </c>
      <c r="P3382" s="20"/>
      <c r="Q3382" s="22"/>
      <c r="R3382" s="22"/>
      <c r="S3382" s="22"/>
      <c r="T3382" s="20"/>
      <c r="U3382" s="26"/>
      <c r="V3382" s="26"/>
      <c r="W3382" s="20"/>
      <c r="X3382" s="20"/>
      <c r="Y3382" s="20"/>
      <c r="Z3382" s="20"/>
      <c r="AA3382" s="20"/>
      <c r="AB3382" s="20"/>
      <c r="AC3382" s="20"/>
      <c r="AD3382" s="20"/>
      <c r="AE3382" s="20"/>
    </row>
    <row r="3383">
      <c r="A3383" s="21">
        <v>75.0</v>
      </c>
      <c r="B3383" s="20" t="s">
        <v>5315</v>
      </c>
      <c r="C3383" s="20" t="s">
        <v>6296</v>
      </c>
      <c r="I3383" s="25" t="s">
        <v>6122</v>
      </c>
      <c r="J3383" s="25" t="s">
        <v>6096</v>
      </c>
      <c r="K3383" s="25" t="s">
        <v>71</v>
      </c>
      <c r="L3383" s="25" t="s">
        <v>292</v>
      </c>
      <c r="M3383" s="20" t="s">
        <v>6123</v>
      </c>
      <c r="N3383" s="20" t="s">
        <v>6124</v>
      </c>
      <c r="O3383" s="20" t="s">
        <v>63</v>
      </c>
      <c r="P3383" s="20" t="s">
        <v>52</v>
      </c>
      <c r="Q3383" s="22"/>
      <c r="R3383" s="22"/>
      <c r="S3383" s="22"/>
      <c r="T3383" s="22"/>
      <c r="U3383" s="26"/>
      <c r="V3383" s="26"/>
      <c r="W3383" s="20"/>
      <c r="X3383" s="20"/>
      <c r="Y3383" s="20"/>
      <c r="Z3383" s="20"/>
      <c r="AA3383" s="20"/>
      <c r="AB3383" s="20"/>
      <c r="AC3383" s="20"/>
      <c r="AD3383" s="20"/>
      <c r="AE3383" s="20"/>
    </row>
    <row r="3384">
      <c r="A3384" s="21">
        <v>75.0</v>
      </c>
      <c r="B3384" s="20" t="s">
        <v>5315</v>
      </c>
      <c r="C3384" s="20" t="s">
        <v>6296</v>
      </c>
      <c r="I3384" s="25" t="s">
        <v>2053</v>
      </c>
      <c r="J3384" s="25" t="s">
        <v>6096</v>
      </c>
      <c r="K3384" s="25" t="s">
        <v>71</v>
      </c>
      <c r="L3384" s="25" t="s">
        <v>6305</v>
      </c>
      <c r="M3384" s="20" t="s">
        <v>1406</v>
      </c>
      <c r="N3384" s="20" t="s">
        <v>6125</v>
      </c>
      <c r="O3384" s="20" t="s">
        <v>63</v>
      </c>
      <c r="P3384" s="20"/>
      <c r="Q3384" s="22"/>
      <c r="R3384" s="22"/>
      <c r="S3384" s="22"/>
      <c r="T3384" s="20"/>
      <c r="U3384" s="26"/>
      <c r="V3384" s="26"/>
      <c r="W3384" s="20"/>
      <c r="X3384" s="20"/>
      <c r="Y3384" s="20"/>
      <c r="Z3384" s="20"/>
      <c r="AA3384" s="20"/>
      <c r="AB3384" s="20"/>
      <c r="AC3384" s="20"/>
      <c r="AD3384" s="20"/>
      <c r="AE3384" s="20"/>
    </row>
    <row r="3385">
      <c r="A3385" s="28"/>
      <c r="B3385" s="44"/>
      <c r="C3385" s="44"/>
      <c r="D3385" s="44"/>
      <c r="E3385" s="44"/>
      <c r="F3385" s="44"/>
      <c r="G3385" s="44"/>
      <c r="H3385" s="44"/>
      <c r="I3385" s="44"/>
      <c r="J3385" s="20"/>
      <c r="K3385" s="20"/>
      <c r="L3385" s="20"/>
      <c r="M3385" s="20"/>
      <c r="N3385" s="20"/>
      <c r="O3385" s="20"/>
      <c r="P3385" s="20"/>
      <c r="Q3385" s="20"/>
      <c r="R3385" s="20"/>
      <c r="S3385" s="20"/>
      <c r="T3385" s="20"/>
      <c r="U3385" s="20"/>
      <c r="V3385" s="20"/>
      <c r="W3385" s="20"/>
      <c r="X3385" s="20"/>
      <c r="Y3385" s="20"/>
      <c r="Z3385" s="20"/>
      <c r="AA3385" s="20"/>
      <c r="AB3385" s="20"/>
      <c r="AC3385" s="20"/>
      <c r="AD3385" s="20"/>
      <c r="AE3385" s="20"/>
    </row>
    <row r="3386">
      <c r="A3386" s="28"/>
      <c r="B3386" s="44"/>
      <c r="C3386" s="44"/>
      <c r="D3386" s="44"/>
      <c r="E3386" s="44"/>
      <c r="F3386" s="44"/>
      <c r="G3386" s="44"/>
      <c r="H3386" s="44"/>
      <c r="I3386" s="44"/>
      <c r="J3386" s="20"/>
      <c r="K3386" s="20"/>
      <c r="L3386" s="20"/>
      <c r="M3386" s="20"/>
      <c r="N3386" s="20"/>
      <c r="O3386" s="20"/>
      <c r="P3386" s="20"/>
      <c r="Q3386" s="20"/>
      <c r="R3386" s="20"/>
      <c r="S3386" s="20"/>
      <c r="T3386" s="20"/>
      <c r="U3386" s="20"/>
      <c r="V3386" s="20"/>
      <c r="W3386" s="20"/>
      <c r="X3386" s="20"/>
      <c r="Y3386" s="20"/>
      <c r="Z3386" s="20"/>
      <c r="AA3386" s="20"/>
      <c r="AB3386" s="20"/>
      <c r="AC3386" s="20"/>
      <c r="AD3386" s="20"/>
      <c r="AE3386" s="20"/>
    </row>
    <row r="3387">
      <c r="A3387" s="28"/>
      <c r="B3387" s="44"/>
      <c r="C3387" s="44"/>
      <c r="D3387" s="44"/>
      <c r="E3387" s="44"/>
      <c r="F3387" s="44"/>
      <c r="G3387" s="44"/>
      <c r="H3387" s="44"/>
      <c r="I3387" s="44"/>
      <c r="J3387" s="20"/>
      <c r="K3387" s="20"/>
      <c r="L3387" s="20"/>
      <c r="M3387" s="20"/>
      <c r="N3387" s="20"/>
      <c r="O3387" s="20"/>
      <c r="P3387" s="20"/>
      <c r="Q3387" s="20"/>
      <c r="R3387" s="20"/>
      <c r="S3387" s="20"/>
      <c r="T3387" s="20"/>
      <c r="U3387" s="20"/>
      <c r="V3387" s="20"/>
      <c r="W3387" s="20"/>
      <c r="X3387" s="20"/>
      <c r="Y3387" s="20"/>
      <c r="Z3387" s="20"/>
      <c r="AA3387" s="20"/>
      <c r="AB3387" s="20"/>
      <c r="AC3387" s="20"/>
      <c r="AD3387" s="20"/>
      <c r="AE3387" s="20"/>
    </row>
    <row r="3388">
      <c r="A3388" s="28"/>
      <c r="B3388" s="44"/>
      <c r="C3388" s="44"/>
      <c r="D3388" s="44"/>
      <c r="E3388" s="44"/>
      <c r="F3388" s="44"/>
      <c r="G3388" s="44"/>
      <c r="H3388" s="44"/>
      <c r="I3388" s="44"/>
      <c r="J3388" s="20"/>
      <c r="K3388" s="20"/>
      <c r="L3388" s="20"/>
      <c r="M3388" s="20"/>
      <c r="N3388" s="20"/>
      <c r="O3388" s="20"/>
      <c r="P3388" s="20"/>
      <c r="Q3388" s="20"/>
      <c r="R3388" s="20"/>
      <c r="S3388" s="20"/>
      <c r="T3388" s="20"/>
      <c r="U3388" s="20"/>
      <c r="V3388" s="20"/>
      <c r="W3388" s="20"/>
      <c r="X3388" s="20"/>
      <c r="Y3388" s="20"/>
      <c r="Z3388" s="20"/>
      <c r="AA3388" s="20"/>
      <c r="AB3388" s="20"/>
      <c r="AC3388" s="20"/>
      <c r="AD3388" s="20"/>
      <c r="AE3388" s="20"/>
    </row>
    <row r="3389">
      <c r="A3389" s="28"/>
      <c r="B3389" s="44"/>
      <c r="C3389" s="44"/>
      <c r="D3389" s="44"/>
      <c r="E3389" s="44"/>
      <c r="F3389" s="44"/>
      <c r="G3389" s="44"/>
      <c r="H3389" s="44"/>
      <c r="I3389" s="44"/>
      <c r="J3389" s="20"/>
      <c r="K3389" s="20"/>
      <c r="L3389" s="20"/>
      <c r="M3389" s="20"/>
      <c r="N3389" s="20"/>
      <c r="O3389" s="20"/>
      <c r="P3389" s="20"/>
      <c r="Q3389" s="20"/>
      <c r="R3389" s="20"/>
      <c r="S3389" s="20"/>
      <c r="T3389" s="20"/>
      <c r="U3389" s="20"/>
      <c r="V3389" s="20"/>
      <c r="W3389" s="20"/>
      <c r="X3389" s="20"/>
      <c r="Y3389" s="20"/>
      <c r="Z3389" s="20"/>
      <c r="AA3389" s="20"/>
      <c r="AB3389" s="20"/>
      <c r="AC3389" s="20"/>
      <c r="AD3389" s="20"/>
      <c r="AE3389" s="20"/>
    </row>
    <row r="3390">
      <c r="A3390" s="28"/>
      <c r="B3390" s="44"/>
      <c r="C3390" s="44"/>
      <c r="D3390" s="44"/>
      <c r="E3390" s="44"/>
      <c r="F3390" s="44"/>
      <c r="G3390" s="44"/>
      <c r="H3390" s="44"/>
      <c r="I3390" s="44"/>
      <c r="J3390" s="20"/>
      <c r="K3390" s="20"/>
      <c r="L3390" s="20"/>
      <c r="M3390" s="20"/>
      <c r="N3390" s="20"/>
      <c r="O3390" s="20"/>
      <c r="P3390" s="20"/>
      <c r="Q3390" s="20"/>
      <c r="R3390" s="20"/>
      <c r="S3390" s="20"/>
      <c r="T3390" s="20"/>
      <c r="U3390" s="20"/>
      <c r="V3390" s="20"/>
      <c r="W3390" s="20"/>
      <c r="X3390" s="20"/>
      <c r="Y3390" s="20"/>
      <c r="Z3390" s="20"/>
      <c r="AA3390" s="20"/>
      <c r="AB3390" s="20"/>
      <c r="AC3390" s="20"/>
      <c r="AD3390" s="20"/>
      <c r="AE3390" s="20"/>
    </row>
    <row r="3391">
      <c r="A3391" s="28"/>
      <c r="B3391" s="44"/>
      <c r="C3391" s="44"/>
      <c r="D3391" s="44"/>
      <c r="E3391" s="44"/>
      <c r="F3391" s="44"/>
      <c r="G3391" s="44"/>
      <c r="H3391" s="44"/>
      <c r="I3391" s="44"/>
      <c r="J3391" s="20"/>
      <c r="K3391" s="20"/>
      <c r="L3391" s="20"/>
      <c r="M3391" s="20"/>
      <c r="N3391" s="20"/>
      <c r="O3391" s="20"/>
      <c r="P3391" s="20"/>
      <c r="Q3391" s="20"/>
      <c r="R3391" s="20"/>
      <c r="S3391" s="20"/>
      <c r="T3391" s="20"/>
      <c r="U3391" s="20"/>
      <c r="V3391" s="20"/>
      <c r="W3391" s="20"/>
      <c r="X3391" s="20"/>
      <c r="Y3391" s="20"/>
      <c r="Z3391" s="20"/>
      <c r="AA3391" s="20"/>
      <c r="AB3391" s="20"/>
      <c r="AC3391" s="20"/>
      <c r="AD3391" s="20"/>
      <c r="AE3391" s="20"/>
    </row>
    <row r="3392">
      <c r="A3392" s="28"/>
      <c r="B3392" s="44"/>
      <c r="C3392" s="44"/>
      <c r="D3392" s="44"/>
      <c r="E3392" s="44"/>
      <c r="F3392" s="44"/>
      <c r="G3392" s="44"/>
      <c r="H3392" s="44"/>
      <c r="I3392" s="44"/>
      <c r="J3392" s="20"/>
      <c r="K3392" s="20"/>
      <c r="L3392" s="20"/>
      <c r="M3392" s="20"/>
      <c r="N3392" s="20"/>
      <c r="O3392" s="20"/>
      <c r="P3392" s="20"/>
      <c r="Q3392" s="20"/>
      <c r="R3392" s="20"/>
      <c r="S3392" s="20"/>
      <c r="T3392" s="20"/>
      <c r="U3392" s="20"/>
      <c r="V3392" s="20"/>
      <c r="W3392" s="20"/>
      <c r="X3392" s="20"/>
      <c r="Y3392" s="20"/>
      <c r="Z3392" s="20"/>
      <c r="AA3392" s="20"/>
      <c r="AB3392" s="20"/>
      <c r="AC3392" s="20"/>
      <c r="AD3392" s="20"/>
      <c r="AE3392" s="20"/>
    </row>
    <row r="3393">
      <c r="A3393" s="28"/>
      <c r="B3393" s="44"/>
      <c r="C3393" s="44"/>
      <c r="D3393" s="44"/>
      <c r="E3393" s="44"/>
      <c r="F3393" s="44"/>
      <c r="G3393" s="44"/>
      <c r="H3393" s="44"/>
      <c r="I3393" s="44"/>
      <c r="J3393" s="20"/>
      <c r="K3393" s="20"/>
      <c r="L3393" s="20"/>
      <c r="M3393" s="20"/>
      <c r="N3393" s="20"/>
      <c r="O3393" s="20"/>
      <c r="P3393" s="20"/>
      <c r="Q3393" s="20"/>
      <c r="R3393" s="20"/>
      <c r="S3393" s="20"/>
      <c r="T3393" s="20"/>
      <c r="U3393" s="20"/>
      <c r="V3393" s="20"/>
      <c r="W3393" s="20"/>
      <c r="X3393" s="20"/>
      <c r="Y3393" s="20"/>
      <c r="Z3393" s="20"/>
      <c r="AA3393" s="20"/>
      <c r="AB3393" s="20"/>
      <c r="AC3393" s="20"/>
      <c r="AD3393" s="20"/>
      <c r="AE3393" s="20"/>
    </row>
    <row r="3394">
      <c r="A3394" s="28"/>
      <c r="B3394" s="44"/>
      <c r="C3394" s="44"/>
      <c r="D3394" s="44"/>
      <c r="E3394" s="44"/>
      <c r="F3394" s="44"/>
      <c r="G3394" s="44"/>
      <c r="H3394" s="44"/>
      <c r="I3394" s="44"/>
      <c r="J3394" s="20"/>
      <c r="K3394" s="20"/>
      <c r="L3394" s="20"/>
      <c r="M3394" s="20"/>
      <c r="N3394" s="20"/>
      <c r="O3394" s="20"/>
      <c r="P3394" s="20"/>
      <c r="Q3394" s="20"/>
      <c r="R3394" s="20"/>
      <c r="S3394" s="20"/>
      <c r="T3394" s="20"/>
      <c r="U3394" s="20"/>
      <c r="V3394" s="20"/>
      <c r="W3394" s="20"/>
      <c r="X3394" s="20"/>
      <c r="Y3394" s="20"/>
      <c r="Z3394" s="20"/>
      <c r="AA3394" s="20"/>
      <c r="AB3394" s="20"/>
      <c r="AC3394" s="20"/>
      <c r="AD3394" s="20"/>
      <c r="AE3394" s="20"/>
    </row>
    <row r="3395">
      <c r="A3395" s="28"/>
      <c r="B3395" s="44"/>
      <c r="C3395" s="44"/>
      <c r="D3395" s="44"/>
      <c r="E3395" s="44"/>
      <c r="F3395" s="44"/>
      <c r="G3395" s="44"/>
      <c r="H3395" s="44"/>
      <c r="I3395" s="44"/>
      <c r="J3395" s="20"/>
      <c r="K3395" s="20"/>
      <c r="L3395" s="20"/>
      <c r="M3395" s="20"/>
      <c r="N3395" s="20"/>
      <c r="O3395" s="20"/>
      <c r="P3395" s="20"/>
      <c r="Q3395" s="20"/>
      <c r="R3395" s="20"/>
      <c r="S3395" s="20"/>
      <c r="T3395" s="20"/>
      <c r="U3395" s="20"/>
      <c r="V3395" s="20"/>
      <c r="W3395" s="20"/>
      <c r="X3395" s="20"/>
      <c r="Y3395" s="20"/>
      <c r="Z3395" s="20"/>
      <c r="AA3395" s="20"/>
      <c r="AB3395" s="20"/>
      <c r="AC3395" s="20"/>
      <c r="AD3395" s="20"/>
      <c r="AE3395" s="20"/>
    </row>
    <row r="3396">
      <c r="A3396" s="28"/>
      <c r="B3396" s="44"/>
      <c r="C3396" s="44"/>
      <c r="D3396" s="44"/>
      <c r="E3396" s="44"/>
      <c r="F3396" s="44"/>
      <c r="G3396" s="44"/>
      <c r="H3396" s="44"/>
      <c r="I3396" s="44"/>
      <c r="J3396" s="20"/>
      <c r="K3396" s="20"/>
      <c r="L3396" s="20"/>
      <c r="M3396" s="20"/>
      <c r="N3396" s="20"/>
      <c r="O3396" s="20"/>
      <c r="P3396" s="20"/>
      <c r="Q3396" s="20"/>
      <c r="R3396" s="20"/>
      <c r="S3396" s="20"/>
      <c r="T3396" s="20"/>
      <c r="U3396" s="20"/>
      <c r="V3396" s="20"/>
      <c r="W3396" s="20"/>
      <c r="X3396" s="20"/>
      <c r="Y3396" s="20"/>
      <c r="Z3396" s="20"/>
      <c r="AA3396" s="20"/>
      <c r="AB3396" s="20"/>
      <c r="AC3396" s="20"/>
      <c r="AD3396" s="20"/>
      <c r="AE3396" s="20"/>
    </row>
    <row r="3397">
      <c r="A3397" s="28"/>
      <c r="B3397" s="44"/>
      <c r="C3397" s="44"/>
      <c r="D3397" s="44"/>
      <c r="E3397" s="44"/>
      <c r="F3397" s="44"/>
      <c r="G3397" s="44"/>
      <c r="H3397" s="44"/>
      <c r="I3397" s="44"/>
      <c r="J3397" s="20"/>
      <c r="K3397" s="20"/>
      <c r="L3397" s="20"/>
      <c r="M3397" s="20"/>
      <c r="N3397" s="20"/>
      <c r="O3397" s="20"/>
      <c r="P3397" s="20"/>
      <c r="Q3397" s="20"/>
      <c r="R3397" s="20"/>
      <c r="S3397" s="20"/>
      <c r="T3397" s="20"/>
      <c r="U3397" s="20"/>
      <c r="V3397" s="20"/>
      <c r="W3397" s="20"/>
      <c r="X3397" s="20"/>
      <c r="Y3397" s="20"/>
      <c r="Z3397" s="20"/>
      <c r="AA3397" s="20"/>
      <c r="AB3397" s="20"/>
      <c r="AC3397" s="20"/>
      <c r="AD3397" s="20"/>
      <c r="AE3397" s="20"/>
    </row>
    <row r="3398">
      <c r="A3398" s="28"/>
      <c r="B3398" s="44"/>
      <c r="C3398" s="44"/>
      <c r="D3398" s="44"/>
      <c r="E3398" s="44"/>
      <c r="F3398" s="44"/>
      <c r="G3398" s="44"/>
      <c r="H3398" s="44"/>
      <c r="I3398" s="44"/>
      <c r="J3398" s="20"/>
      <c r="K3398" s="20"/>
      <c r="L3398" s="20"/>
      <c r="M3398" s="20"/>
      <c r="N3398" s="20"/>
      <c r="O3398" s="20"/>
      <c r="P3398" s="20"/>
      <c r="Q3398" s="20"/>
      <c r="R3398" s="20"/>
      <c r="S3398" s="20"/>
      <c r="T3398" s="20"/>
      <c r="U3398" s="20"/>
      <c r="V3398" s="20"/>
      <c r="W3398" s="20"/>
      <c r="X3398" s="20"/>
      <c r="Y3398" s="20"/>
      <c r="Z3398" s="20"/>
      <c r="AA3398" s="20"/>
      <c r="AB3398" s="20"/>
      <c r="AC3398" s="20"/>
      <c r="AD3398" s="20"/>
      <c r="AE3398" s="20"/>
    </row>
    <row r="3399">
      <c r="A3399" s="28"/>
      <c r="B3399" s="44"/>
      <c r="C3399" s="44"/>
      <c r="D3399" s="44"/>
      <c r="E3399" s="44"/>
      <c r="F3399" s="44"/>
      <c r="G3399" s="44"/>
      <c r="H3399" s="44"/>
      <c r="I3399" s="44"/>
      <c r="J3399" s="20"/>
      <c r="K3399" s="20"/>
      <c r="L3399" s="20"/>
      <c r="M3399" s="20"/>
      <c r="N3399" s="20"/>
      <c r="O3399" s="20"/>
      <c r="P3399" s="20"/>
      <c r="Q3399" s="20"/>
      <c r="R3399" s="20"/>
      <c r="S3399" s="20"/>
      <c r="T3399" s="20"/>
      <c r="U3399" s="20"/>
      <c r="V3399" s="20"/>
      <c r="W3399" s="20"/>
      <c r="X3399" s="20"/>
      <c r="Y3399" s="20"/>
      <c r="Z3399" s="20"/>
      <c r="AA3399" s="20"/>
      <c r="AB3399" s="20"/>
      <c r="AC3399" s="20"/>
      <c r="AD3399" s="20"/>
      <c r="AE3399" s="20"/>
    </row>
    <row r="3400">
      <c r="A3400" s="28"/>
      <c r="B3400" s="44"/>
      <c r="C3400" s="44"/>
      <c r="D3400" s="44"/>
      <c r="E3400" s="44"/>
      <c r="F3400" s="44"/>
      <c r="G3400" s="44"/>
      <c r="H3400" s="44"/>
      <c r="I3400" s="44"/>
      <c r="J3400" s="20"/>
      <c r="K3400" s="20"/>
      <c r="L3400" s="20"/>
      <c r="M3400" s="20"/>
      <c r="N3400" s="20"/>
      <c r="O3400" s="20"/>
      <c r="P3400" s="20"/>
      <c r="Q3400" s="20"/>
      <c r="R3400" s="20"/>
      <c r="S3400" s="20"/>
      <c r="T3400" s="20"/>
      <c r="U3400" s="20"/>
      <c r="V3400" s="20"/>
      <c r="W3400" s="20"/>
      <c r="X3400" s="20"/>
      <c r="Y3400" s="20"/>
      <c r="Z3400" s="20"/>
      <c r="AA3400" s="20"/>
      <c r="AB3400" s="20"/>
      <c r="AC3400" s="20"/>
      <c r="AD3400" s="20"/>
      <c r="AE3400" s="20"/>
    </row>
    <row r="3401">
      <c r="A3401" s="28"/>
      <c r="B3401" s="44"/>
      <c r="C3401" s="44"/>
      <c r="D3401" s="44"/>
      <c r="E3401" s="44"/>
      <c r="F3401" s="44"/>
      <c r="G3401" s="44"/>
      <c r="H3401" s="44"/>
      <c r="I3401" s="44"/>
      <c r="J3401" s="20"/>
      <c r="K3401" s="20"/>
      <c r="L3401" s="20"/>
      <c r="M3401" s="20"/>
      <c r="N3401" s="20"/>
      <c r="O3401" s="20"/>
      <c r="P3401" s="20"/>
      <c r="Q3401" s="20"/>
      <c r="R3401" s="20"/>
      <c r="S3401" s="20"/>
      <c r="T3401" s="20"/>
      <c r="U3401" s="20"/>
      <c r="V3401" s="20"/>
      <c r="W3401" s="20"/>
      <c r="X3401" s="20"/>
      <c r="Y3401" s="20"/>
      <c r="Z3401" s="20"/>
      <c r="AA3401" s="20"/>
      <c r="AB3401" s="20"/>
      <c r="AC3401" s="20"/>
      <c r="AD3401" s="20"/>
      <c r="AE3401" s="20"/>
    </row>
    <row r="3402">
      <c r="A3402" s="28"/>
      <c r="B3402" s="44"/>
      <c r="C3402" s="44"/>
      <c r="D3402" s="44"/>
      <c r="E3402" s="44"/>
      <c r="F3402" s="44"/>
      <c r="G3402" s="44"/>
      <c r="H3402" s="44"/>
      <c r="I3402" s="44"/>
      <c r="J3402" s="20"/>
      <c r="K3402" s="20"/>
      <c r="L3402" s="20"/>
      <c r="M3402" s="20"/>
      <c r="N3402" s="20"/>
      <c r="O3402" s="20"/>
      <c r="P3402" s="20"/>
      <c r="Q3402" s="20"/>
      <c r="R3402" s="20"/>
      <c r="S3402" s="20"/>
      <c r="T3402" s="20"/>
      <c r="U3402" s="20"/>
      <c r="V3402" s="20"/>
      <c r="W3402" s="20"/>
      <c r="X3402" s="20"/>
      <c r="Y3402" s="20"/>
      <c r="Z3402" s="20"/>
      <c r="AA3402" s="20"/>
      <c r="AB3402" s="20"/>
      <c r="AC3402" s="20"/>
      <c r="AD3402" s="20"/>
      <c r="AE3402" s="20"/>
    </row>
    <row r="3403">
      <c r="A3403" s="28"/>
      <c r="B3403" s="44"/>
      <c r="C3403" s="44"/>
      <c r="D3403" s="44"/>
      <c r="E3403" s="44"/>
      <c r="F3403" s="44"/>
      <c r="G3403" s="44"/>
      <c r="H3403" s="44"/>
      <c r="I3403" s="44"/>
      <c r="J3403" s="20"/>
      <c r="K3403" s="20"/>
      <c r="L3403" s="20"/>
      <c r="M3403" s="20"/>
      <c r="N3403" s="20"/>
      <c r="O3403" s="20"/>
      <c r="P3403" s="20"/>
      <c r="Q3403" s="20"/>
      <c r="R3403" s="20"/>
      <c r="S3403" s="20"/>
      <c r="T3403" s="20"/>
      <c r="U3403" s="20"/>
      <c r="V3403" s="20"/>
      <c r="W3403" s="20"/>
      <c r="X3403" s="20"/>
      <c r="Y3403" s="20"/>
      <c r="Z3403" s="20"/>
      <c r="AA3403" s="20"/>
      <c r="AB3403" s="20"/>
      <c r="AC3403" s="20"/>
      <c r="AD3403" s="20"/>
      <c r="AE3403" s="20"/>
    </row>
    <row r="3404">
      <c r="A3404" s="28"/>
      <c r="B3404" s="44"/>
      <c r="C3404" s="44"/>
      <c r="D3404" s="44"/>
      <c r="E3404" s="44"/>
      <c r="F3404" s="44"/>
      <c r="G3404" s="44"/>
      <c r="H3404" s="44"/>
      <c r="I3404" s="44"/>
      <c r="J3404" s="20"/>
      <c r="K3404" s="20"/>
      <c r="L3404" s="20"/>
      <c r="M3404" s="20"/>
      <c r="N3404" s="20"/>
      <c r="O3404" s="20"/>
      <c r="P3404" s="20"/>
      <c r="Q3404" s="20"/>
      <c r="R3404" s="20"/>
      <c r="S3404" s="20"/>
      <c r="T3404" s="20"/>
      <c r="U3404" s="20"/>
      <c r="V3404" s="20"/>
      <c r="W3404" s="20"/>
      <c r="X3404" s="20"/>
      <c r="Y3404" s="20"/>
      <c r="Z3404" s="20"/>
      <c r="AA3404" s="20"/>
      <c r="AB3404" s="20"/>
      <c r="AC3404" s="20"/>
      <c r="AD3404" s="20"/>
      <c r="AE3404" s="20"/>
    </row>
    <row r="3405">
      <c r="A3405" s="28"/>
      <c r="B3405" s="44"/>
      <c r="C3405" s="44"/>
      <c r="D3405" s="44"/>
      <c r="E3405" s="44"/>
      <c r="F3405" s="44"/>
      <c r="G3405" s="44"/>
      <c r="H3405" s="44"/>
      <c r="I3405" s="44"/>
      <c r="J3405" s="20"/>
      <c r="K3405" s="20"/>
      <c r="L3405" s="20"/>
      <c r="M3405" s="20"/>
      <c r="N3405" s="20"/>
      <c r="O3405" s="20"/>
      <c r="P3405" s="20"/>
      <c r="Q3405" s="20"/>
      <c r="R3405" s="20"/>
      <c r="S3405" s="20"/>
      <c r="T3405" s="20"/>
      <c r="U3405" s="20"/>
      <c r="V3405" s="20"/>
      <c r="W3405" s="20"/>
      <c r="X3405" s="20"/>
      <c r="Y3405" s="20"/>
      <c r="Z3405" s="20"/>
      <c r="AA3405" s="20"/>
      <c r="AB3405" s="20"/>
      <c r="AC3405" s="20"/>
      <c r="AD3405" s="20"/>
      <c r="AE3405" s="20"/>
    </row>
    <row r="3406">
      <c r="A3406" s="28"/>
      <c r="B3406" s="44"/>
      <c r="C3406" s="44"/>
      <c r="D3406" s="44"/>
      <c r="E3406" s="44"/>
      <c r="F3406" s="44"/>
      <c r="G3406" s="44"/>
      <c r="H3406" s="44"/>
      <c r="I3406" s="44"/>
      <c r="J3406" s="20"/>
      <c r="K3406" s="20"/>
      <c r="L3406" s="20"/>
      <c r="M3406" s="20"/>
      <c r="N3406" s="20"/>
      <c r="O3406" s="20"/>
      <c r="P3406" s="20"/>
      <c r="Q3406" s="20"/>
      <c r="R3406" s="20"/>
      <c r="S3406" s="20"/>
      <c r="T3406" s="20"/>
      <c r="U3406" s="20"/>
      <c r="V3406" s="20"/>
      <c r="W3406" s="20"/>
      <c r="X3406" s="20"/>
      <c r="Y3406" s="20"/>
      <c r="Z3406" s="20"/>
      <c r="AA3406" s="20"/>
      <c r="AB3406" s="20"/>
      <c r="AC3406" s="20"/>
      <c r="AD3406" s="20"/>
      <c r="AE3406" s="20"/>
    </row>
    <row r="3407">
      <c r="A3407" s="28"/>
      <c r="B3407" s="44"/>
      <c r="C3407" s="44"/>
      <c r="D3407" s="44"/>
      <c r="E3407" s="44"/>
      <c r="F3407" s="44"/>
      <c r="G3407" s="44"/>
      <c r="H3407" s="44"/>
      <c r="I3407" s="44"/>
      <c r="J3407" s="20"/>
      <c r="K3407" s="20"/>
      <c r="L3407" s="20"/>
      <c r="M3407" s="20"/>
      <c r="N3407" s="20"/>
      <c r="O3407" s="20"/>
      <c r="P3407" s="20"/>
      <c r="Q3407" s="20"/>
      <c r="R3407" s="20"/>
      <c r="S3407" s="20"/>
      <c r="T3407" s="20"/>
      <c r="U3407" s="20"/>
      <c r="V3407" s="20"/>
      <c r="W3407" s="20"/>
      <c r="X3407" s="20"/>
      <c r="Y3407" s="20"/>
      <c r="Z3407" s="20"/>
      <c r="AA3407" s="20"/>
      <c r="AB3407" s="20"/>
      <c r="AC3407" s="20"/>
      <c r="AD3407" s="20"/>
      <c r="AE3407" s="20"/>
    </row>
    <row r="3408">
      <c r="A3408" s="28"/>
      <c r="B3408" s="44"/>
      <c r="C3408" s="44"/>
      <c r="D3408" s="44"/>
      <c r="E3408" s="44"/>
      <c r="F3408" s="44"/>
      <c r="G3408" s="44"/>
      <c r="H3408" s="44"/>
      <c r="I3408" s="44"/>
      <c r="J3408" s="20"/>
      <c r="K3408" s="20"/>
      <c r="L3408" s="20"/>
      <c r="M3408" s="20"/>
      <c r="N3408" s="20"/>
      <c r="O3408" s="20"/>
      <c r="P3408" s="20"/>
      <c r="Q3408" s="20"/>
      <c r="R3408" s="20"/>
      <c r="S3408" s="20"/>
      <c r="T3408" s="20"/>
      <c r="U3408" s="20"/>
      <c r="V3408" s="20"/>
      <c r="W3408" s="20"/>
      <c r="X3408" s="20"/>
      <c r="Y3408" s="20"/>
      <c r="Z3408" s="20"/>
      <c r="AA3408" s="20"/>
      <c r="AB3408" s="20"/>
      <c r="AC3408" s="20"/>
      <c r="AD3408" s="20"/>
      <c r="AE3408" s="20"/>
    </row>
    <row r="3409">
      <c r="A3409" s="28"/>
      <c r="B3409" s="44"/>
      <c r="C3409" s="44"/>
      <c r="D3409" s="44"/>
      <c r="E3409" s="44"/>
      <c r="F3409" s="44"/>
      <c r="G3409" s="44"/>
      <c r="H3409" s="44"/>
      <c r="I3409" s="44"/>
      <c r="J3409" s="20"/>
      <c r="K3409" s="20"/>
      <c r="L3409" s="20"/>
      <c r="M3409" s="20"/>
      <c r="N3409" s="20"/>
      <c r="O3409" s="20"/>
      <c r="P3409" s="20"/>
      <c r="Q3409" s="20"/>
      <c r="R3409" s="20"/>
      <c r="S3409" s="20"/>
      <c r="T3409" s="20"/>
      <c r="U3409" s="20"/>
      <c r="V3409" s="20"/>
      <c r="W3409" s="20"/>
      <c r="X3409" s="20"/>
      <c r="Y3409" s="20"/>
      <c r="Z3409" s="20"/>
      <c r="AA3409" s="20"/>
      <c r="AB3409" s="20"/>
      <c r="AC3409" s="20"/>
      <c r="AD3409" s="20"/>
      <c r="AE3409" s="20"/>
    </row>
    <row r="3410">
      <c r="A3410" s="28"/>
      <c r="B3410" s="44"/>
      <c r="C3410" s="44"/>
      <c r="D3410" s="44"/>
      <c r="E3410" s="44"/>
      <c r="F3410" s="44"/>
      <c r="G3410" s="44"/>
      <c r="H3410" s="44"/>
      <c r="I3410" s="44"/>
      <c r="J3410" s="20"/>
      <c r="K3410" s="20"/>
      <c r="L3410" s="20"/>
      <c r="M3410" s="20"/>
      <c r="N3410" s="20"/>
      <c r="O3410" s="20"/>
      <c r="P3410" s="20"/>
      <c r="Q3410" s="20"/>
      <c r="R3410" s="20"/>
      <c r="S3410" s="20"/>
      <c r="T3410" s="20"/>
      <c r="U3410" s="20"/>
      <c r="V3410" s="20"/>
      <c r="W3410" s="20"/>
      <c r="X3410" s="20"/>
      <c r="Y3410" s="20"/>
      <c r="Z3410" s="20"/>
      <c r="AA3410" s="20"/>
      <c r="AB3410" s="20"/>
      <c r="AC3410" s="20"/>
      <c r="AD3410" s="20"/>
      <c r="AE3410" s="20"/>
    </row>
    <row r="3411">
      <c r="A3411" s="28"/>
      <c r="B3411" s="44"/>
      <c r="C3411" s="44"/>
      <c r="D3411" s="44"/>
      <c r="E3411" s="44"/>
      <c r="F3411" s="44"/>
      <c r="G3411" s="44"/>
      <c r="H3411" s="44"/>
      <c r="I3411" s="44"/>
      <c r="J3411" s="20"/>
      <c r="K3411" s="20"/>
      <c r="L3411" s="20"/>
      <c r="M3411" s="20"/>
      <c r="N3411" s="20"/>
      <c r="O3411" s="20"/>
      <c r="P3411" s="20"/>
      <c r="Q3411" s="20"/>
      <c r="R3411" s="20"/>
      <c r="S3411" s="20"/>
      <c r="T3411" s="20"/>
      <c r="U3411" s="20"/>
      <c r="V3411" s="20"/>
      <c r="W3411" s="20"/>
      <c r="X3411" s="20"/>
      <c r="Y3411" s="20"/>
      <c r="Z3411" s="20"/>
      <c r="AA3411" s="20"/>
      <c r="AB3411" s="20"/>
      <c r="AC3411" s="20"/>
      <c r="AD3411" s="20"/>
      <c r="AE3411" s="20"/>
    </row>
    <row r="3412">
      <c r="A3412" s="28"/>
      <c r="B3412" s="44"/>
      <c r="C3412" s="44"/>
      <c r="D3412" s="44"/>
      <c r="E3412" s="44"/>
      <c r="F3412" s="44"/>
      <c r="G3412" s="44"/>
      <c r="H3412" s="44"/>
      <c r="I3412" s="44"/>
      <c r="J3412" s="20"/>
      <c r="K3412" s="20"/>
      <c r="L3412" s="20"/>
      <c r="M3412" s="20"/>
      <c r="N3412" s="20"/>
      <c r="O3412" s="20"/>
      <c r="P3412" s="20"/>
      <c r="Q3412" s="20"/>
      <c r="R3412" s="20"/>
      <c r="S3412" s="20"/>
      <c r="T3412" s="20"/>
      <c r="U3412" s="20"/>
      <c r="V3412" s="20"/>
      <c r="W3412" s="20"/>
      <c r="X3412" s="20"/>
      <c r="Y3412" s="20"/>
      <c r="Z3412" s="20"/>
      <c r="AA3412" s="20"/>
      <c r="AB3412" s="20"/>
      <c r="AC3412" s="20"/>
      <c r="AD3412" s="20"/>
      <c r="AE3412" s="20"/>
    </row>
    <row r="3413">
      <c r="A3413" s="28"/>
      <c r="B3413" s="44"/>
      <c r="C3413" s="44"/>
      <c r="D3413" s="44"/>
      <c r="E3413" s="44"/>
      <c r="F3413" s="44"/>
      <c r="G3413" s="44"/>
      <c r="H3413" s="44"/>
      <c r="I3413" s="44"/>
      <c r="J3413" s="20"/>
      <c r="K3413" s="20"/>
      <c r="L3413" s="20"/>
      <c r="M3413" s="20"/>
      <c r="N3413" s="20"/>
      <c r="O3413" s="20"/>
      <c r="P3413" s="20"/>
      <c r="Q3413" s="20"/>
      <c r="R3413" s="20"/>
      <c r="S3413" s="20"/>
      <c r="T3413" s="20"/>
      <c r="U3413" s="20"/>
      <c r="V3413" s="20"/>
      <c r="W3413" s="20"/>
      <c r="X3413" s="20"/>
      <c r="Y3413" s="20"/>
      <c r="Z3413" s="20"/>
      <c r="AA3413" s="20"/>
      <c r="AB3413" s="20"/>
      <c r="AC3413" s="20"/>
      <c r="AD3413" s="20"/>
      <c r="AE3413" s="20"/>
    </row>
    <row r="3414">
      <c r="A3414" s="28"/>
      <c r="B3414" s="44"/>
      <c r="C3414" s="44"/>
      <c r="D3414" s="44"/>
      <c r="E3414" s="44"/>
      <c r="F3414" s="44"/>
      <c r="G3414" s="44"/>
      <c r="H3414" s="44"/>
      <c r="I3414" s="44"/>
      <c r="J3414" s="20"/>
      <c r="K3414" s="20"/>
      <c r="L3414" s="20"/>
      <c r="M3414" s="20"/>
      <c r="N3414" s="20"/>
      <c r="O3414" s="20"/>
      <c r="P3414" s="20"/>
      <c r="Q3414" s="20"/>
      <c r="R3414" s="20"/>
      <c r="S3414" s="20"/>
      <c r="T3414" s="20"/>
      <c r="U3414" s="20"/>
      <c r="V3414" s="20"/>
      <c r="W3414" s="20"/>
      <c r="X3414" s="20"/>
      <c r="Y3414" s="20"/>
      <c r="Z3414" s="20"/>
      <c r="AA3414" s="20"/>
      <c r="AB3414" s="20"/>
      <c r="AC3414" s="20"/>
      <c r="AD3414" s="20"/>
      <c r="AE3414" s="20"/>
    </row>
    <row r="3415">
      <c r="A3415" s="28"/>
      <c r="B3415" s="44"/>
      <c r="C3415" s="44"/>
      <c r="D3415" s="44"/>
      <c r="E3415" s="44"/>
      <c r="F3415" s="44"/>
      <c r="G3415" s="44"/>
      <c r="H3415" s="44"/>
      <c r="I3415" s="44"/>
      <c r="J3415" s="20"/>
      <c r="K3415" s="20"/>
      <c r="L3415" s="20"/>
      <c r="M3415" s="20"/>
      <c r="N3415" s="20"/>
      <c r="O3415" s="20"/>
      <c r="P3415" s="20"/>
      <c r="Q3415" s="20"/>
      <c r="R3415" s="20"/>
      <c r="S3415" s="20"/>
      <c r="T3415" s="20"/>
      <c r="U3415" s="20"/>
      <c r="V3415" s="20"/>
      <c r="W3415" s="20"/>
      <c r="X3415" s="20"/>
      <c r="Y3415" s="20"/>
      <c r="Z3415" s="20"/>
      <c r="AA3415" s="20"/>
      <c r="AB3415" s="20"/>
      <c r="AC3415" s="20"/>
      <c r="AD3415" s="20"/>
      <c r="AE3415" s="20"/>
    </row>
    <row r="3416">
      <c r="A3416" s="28"/>
      <c r="B3416" s="44"/>
      <c r="C3416" s="44"/>
      <c r="D3416" s="44"/>
      <c r="E3416" s="44"/>
      <c r="F3416" s="44"/>
      <c r="G3416" s="44"/>
      <c r="H3416" s="44"/>
      <c r="I3416" s="44"/>
      <c r="J3416" s="20"/>
      <c r="K3416" s="20"/>
      <c r="L3416" s="20"/>
      <c r="M3416" s="20"/>
      <c r="N3416" s="20"/>
      <c r="O3416" s="20"/>
      <c r="P3416" s="20"/>
      <c r="Q3416" s="20"/>
      <c r="R3416" s="20"/>
      <c r="S3416" s="20"/>
      <c r="T3416" s="20"/>
      <c r="U3416" s="20"/>
      <c r="V3416" s="20"/>
      <c r="W3416" s="20"/>
      <c r="X3416" s="20"/>
      <c r="Y3416" s="20"/>
      <c r="Z3416" s="20"/>
      <c r="AA3416" s="20"/>
      <c r="AB3416" s="20"/>
      <c r="AC3416" s="20"/>
      <c r="AD3416" s="20"/>
      <c r="AE3416" s="20"/>
    </row>
    <row r="3417">
      <c r="A3417" s="28"/>
      <c r="B3417" s="44"/>
      <c r="C3417" s="44"/>
      <c r="D3417" s="44"/>
      <c r="E3417" s="44"/>
      <c r="F3417" s="44"/>
      <c r="G3417" s="44"/>
      <c r="H3417" s="44"/>
      <c r="I3417" s="44"/>
      <c r="J3417" s="20"/>
      <c r="K3417" s="20"/>
      <c r="L3417" s="20"/>
      <c r="M3417" s="20"/>
      <c r="N3417" s="20"/>
      <c r="O3417" s="20"/>
      <c r="P3417" s="20"/>
      <c r="Q3417" s="20"/>
      <c r="R3417" s="20"/>
      <c r="S3417" s="20"/>
      <c r="T3417" s="20"/>
      <c r="U3417" s="20"/>
      <c r="V3417" s="20"/>
      <c r="W3417" s="20"/>
      <c r="X3417" s="20"/>
      <c r="Y3417" s="20"/>
      <c r="Z3417" s="20"/>
      <c r="AA3417" s="20"/>
      <c r="AB3417" s="20"/>
      <c r="AC3417" s="20"/>
      <c r="AD3417" s="20"/>
      <c r="AE3417" s="20"/>
    </row>
    <row r="3418">
      <c r="A3418" s="28"/>
      <c r="B3418" s="44"/>
      <c r="C3418" s="44"/>
      <c r="D3418" s="44"/>
      <c r="E3418" s="44"/>
      <c r="F3418" s="44"/>
      <c r="G3418" s="44"/>
      <c r="H3418" s="44"/>
      <c r="I3418" s="44"/>
      <c r="J3418" s="20"/>
      <c r="K3418" s="20"/>
      <c r="L3418" s="20"/>
      <c r="M3418" s="20"/>
      <c r="N3418" s="20"/>
      <c r="O3418" s="20"/>
      <c r="P3418" s="20"/>
      <c r="Q3418" s="20"/>
      <c r="R3418" s="20"/>
      <c r="S3418" s="20"/>
      <c r="T3418" s="20"/>
      <c r="U3418" s="20"/>
      <c r="V3418" s="20"/>
      <c r="W3418" s="20"/>
      <c r="X3418" s="20"/>
      <c r="Y3418" s="20"/>
      <c r="Z3418" s="20"/>
      <c r="AA3418" s="20"/>
      <c r="AB3418" s="20"/>
      <c r="AC3418" s="20"/>
      <c r="AD3418" s="20"/>
      <c r="AE3418" s="20"/>
    </row>
    <row r="3419">
      <c r="A3419" s="28"/>
      <c r="B3419" s="44"/>
      <c r="C3419" s="44"/>
      <c r="D3419" s="44"/>
      <c r="E3419" s="44"/>
      <c r="F3419" s="44"/>
      <c r="G3419" s="44"/>
      <c r="H3419" s="44"/>
      <c r="I3419" s="44"/>
      <c r="J3419" s="20"/>
      <c r="K3419" s="20"/>
      <c r="L3419" s="20"/>
      <c r="M3419" s="20"/>
      <c r="N3419" s="20"/>
      <c r="O3419" s="20"/>
      <c r="P3419" s="20"/>
      <c r="Q3419" s="20"/>
      <c r="R3419" s="20"/>
      <c r="S3419" s="20"/>
      <c r="T3419" s="20"/>
      <c r="U3419" s="20"/>
      <c r="V3419" s="20"/>
      <c r="W3419" s="20"/>
      <c r="X3419" s="20"/>
      <c r="Y3419" s="20"/>
      <c r="Z3419" s="20"/>
      <c r="AA3419" s="20"/>
      <c r="AB3419" s="20"/>
      <c r="AC3419" s="20"/>
      <c r="AD3419" s="20"/>
      <c r="AE3419" s="20"/>
    </row>
    <row r="3420">
      <c r="A3420" s="28"/>
      <c r="B3420" s="44"/>
      <c r="C3420" s="44"/>
      <c r="D3420" s="44"/>
      <c r="E3420" s="44"/>
      <c r="F3420" s="44"/>
      <c r="G3420" s="44"/>
      <c r="H3420" s="44"/>
      <c r="I3420" s="44"/>
      <c r="J3420" s="20"/>
      <c r="K3420" s="20"/>
      <c r="L3420" s="20"/>
      <c r="M3420" s="20"/>
      <c r="N3420" s="20"/>
      <c r="O3420" s="20"/>
      <c r="P3420" s="20"/>
      <c r="Q3420" s="20"/>
      <c r="R3420" s="20"/>
      <c r="S3420" s="20"/>
      <c r="T3420" s="20"/>
      <c r="U3420" s="20"/>
      <c r="V3420" s="20"/>
      <c r="W3420" s="20"/>
      <c r="X3420" s="20"/>
      <c r="Y3420" s="20"/>
      <c r="Z3420" s="20"/>
      <c r="AA3420" s="20"/>
      <c r="AB3420" s="20"/>
      <c r="AC3420" s="20"/>
      <c r="AD3420" s="20"/>
      <c r="AE3420" s="20"/>
    </row>
    <row r="3421">
      <c r="A3421" s="28"/>
      <c r="B3421" s="44"/>
      <c r="C3421" s="44"/>
      <c r="D3421" s="44"/>
      <c r="E3421" s="44"/>
      <c r="F3421" s="44"/>
      <c r="G3421" s="44"/>
      <c r="H3421" s="44"/>
      <c r="I3421" s="44"/>
      <c r="J3421" s="20"/>
      <c r="K3421" s="20"/>
      <c r="L3421" s="20"/>
      <c r="M3421" s="20"/>
      <c r="N3421" s="20"/>
      <c r="O3421" s="20"/>
      <c r="P3421" s="20"/>
      <c r="Q3421" s="20"/>
      <c r="R3421" s="20"/>
      <c r="S3421" s="20"/>
      <c r="T3421" s="20"/>
      <c r="U3421" s="20"/>
      <c r="V3421" s="20"/>
      <c r="W3421" s="20"/>
      <c r="X3421" s="20"/>
      <c r="Y3421" s="20"/>
      <c r="Z3421" s="20"/>
      <c r="AA3421" s="20"/>
      <c r="AB3421" s="20"/>
      <c r="AC3421" s="20"/>
      <c r="AD3421" s="20"/>
      <c r="AE3421" s="20"/>
    </row>
    <row r="3422">
      <c r="A3422" s="28"/>
      <c r="B3422" s="44"/>
      <c r="C3422" s="44"/>
      <c r="D3422" s="44"/>
      <c r="E3422" s="44"/>
      <c r="F3422" s="44"/>
      <c r="G3422" s="44"/>
      <c r="H3422" s="44"/>
      <c r="I3422" s="44"/>
      <c r="J3422" s="20"/>
      <c r="K3422" s="20"/>
      <c r="L3422" s="20"/>
      <c r="M3422" s="20"/>
      <c r="N3422" s="20"/>
      <c r="O3422" s="20"/>
      <c r="P3422" s="20"/>
      <c r="Q3422" s="20"/>
      <c r="R3422" s="20"/>
      <c r="S3422" s="20"/>
      <c r="T3422" s="20"/>
      <c r="U3422" s="20"/>
      <c r="V3422" s="20"/>
      <c r="W3422" s="20"/>
      <c r="X3422" s="20"/>
      <c r="Y3422" s="20"/>
      <c r="Z3422" s="20"/>
      <c r="AA3422" s="20"/>
      <c r="AB3422" s="20"/>
      <c r="AC3422" s="20"/>
      <c r="AD3422" s="20"/>
      <c r="AE3422" s="20"/>
    </row>
    <row r="3423">
      <c r="A3423" s="28"/>
      <c r="B3423" s="44"/>
      <c r="C3423" s="44"/>
      <c r="D3423" s="44"/>
      <c r="E3423" s="44"/>
      <c r="F3423" s="44"/>
      <c r="G3423" s="44"/>
      <c r="H3423" s="44"/>
      <c r="I3423" s="44"/>
      <c r="J3423" s="20"/>
      <c r="K3423" s="20"/>
      <c r="L3423" s="20"/>
      <c r="M3423" s="20"/>
      <c r="N3423" s="20"/>
      <c r="O3423" s="20"/>
      <c r="P3423" s="20"/>
      <c r="Q3423" s="20"/>
      <c r="R3423" s="20"/>
      <c r="S3423" s="20"/>
      <c r="T3423" s="20"/>
      <c r="U3423" s="20"/>
      <c r="V3423" s="20"/>
      <c r="W3423" s="20"/>
      <c r="X3423" s="20"/>
      <c r="Y3423" s="20"/>
      <c r="Z3423" s="20"/>
      <c r="AA3423" s="20"/>
      <c r="AB3423" s="20"/>
      <c r="AC3423" s="20"/>
      <c r="AD3423" s="20"/>
      <c r="AE3423" s="20"/>
    </row>
    <row r="3424">
      <c r="A3424" s="28"/>
      <c r="B3424" s="44"/>
      <c r="C3424" s="44"/>
      <c r="D3424" s="44"/>
      <c r="E3424" s="44"/>
      <c r="F3424" s="44"/>
      <c r="G3424" s="44"/>
      <c r="H3424" s="44"/>
      <c r="I3424" s="44"/>
      <c r="J3424" s="20"/>
      <c r="K3424" s="20"/>
      <c r="L3424" s="20"/>
      <c r="M3424" s="20"/>
      <c r="N3424" s="20"/>
      <c r="O3424" s="20"/>
      <c r="P3424" s="20"/>
      <c r="Q3424" s="20"/>
      <c r="R3424" s="20"/>
      <c r="S3424" s="20"/>
      <c r="T3424" s="20"/>
      <c r="U3424" s="20"/>
      <c r="V3424" s="20"/>
      <c r="W3424" s="20"/>
      <c r="X3424" s="20"/>
      <c r="Y3424" s="20"/>
      <c r="Z3424" s="20"/>
      <c r="AA3424" s="20"/>
      <c r="AB3424" s="20"/>
      <c r="AC3424" s="20"/>
      <c r="AD3424" s="20"/>
      <c r="AE3424" s="20"/>
    </row>
    <row r="3425">
      <c r="A3425" s="28"/>
      <c r="B3425" s="44"/>
      <c r="C3425" s="44"/>
      <c r="D3425" s="44"/>
      <c r="E3425" s="44"/>
      <c r="F3425" s="44"/>
      <c r="G3425" s="44"/>
      <c r="H3425" s="44"/>
      <c r="I3425" s="44"/>
      <c r="J3425" s="20"/>
      <c r="K3425" s="20"/>
      <c r="L3425" s="20"/>
      <c r="M3425" s="20"/>
      <c r="N3425" s="20"/>
      <c r="O3425" s="20"/>
      <c r="P3425" s="20"/>
      <c r="Q3425" s="20"/>
      <c r="R3425" s="20"/>
      <c r="S3425" s="20"/>
      <c r="T3425" s="20"/>
      <c r="U3425" s="20"/>
      <c r="V3425" s="20"/>
      <c r="W3425" s="20"/>
      <c r="X3425" s="20"/>
      <c r="Y3425" s="20"/>
      <c r="Z3425" s="20"/>
      <c r="AA3425" s="20"/>
      <c r="AB3425" s="20"/>
      <c r="AC3425" s="20"/>
      <c r="AD3425" s="20"/>
      <c r="AE3425" s="20"/>
    </row>
    <row r="3426">
      <c r="A3426" s="28"/>
      <c r="B3426" s="44"/>
      <c r="C3426" s="44"/>
      <c r="D3426" s="44"/>
      <c r="E3426" s="44"/>
      <c r="F3426" s="44"/>
      <c r="G3426" s="44"/>
      <c r="H3426" s="44"/>
      <c r="I3426" s="44"/>
      <c r="J3426" s="20"/>
      <c r="K3426" s="20"/>
      <c r="L3426" s="20"/>
      <c r="M3426" s="20"/>
      <c r="N3426" s="20"/>
      <c r="O3426" s="20"/>
      <c r="P3426" s="20"/>
      <c r="Q3426" s="20"/>
      <c r="R3426" s="20"/>
      <c r="S3426" s="20"/>
      <c r="T3426" s="20"/>
      <c r="U3426" s="20"/>
      <c r="V3426" s="20"/>
      <c r="W3426" s="20"/>
      <c r="X3426" s="20"/>
      <c r="Y3426" s="20"/>
      <c r="Z3426" s="20"/>
      <c r="AA3426" s="20"/>
      <c r="AB3426" s="20"/>
      <c r="AC3426" s="20"/>
      <c r="AD3426" s="20"/>
      <c r="AE3426" s="20"/>
    </row>
    <row r="3427">
      <c r="A3427" s="28"/>
      <c r="B3427" s="44"/>
      <c r="C3427" s="44"/>
      <c r="D3427" s="44"/>
      <c r="E3427" s="44"/>
      <c r="F3427" s="44"/>
      <c r="G3427" s="44"/>
      <c r="H3427" s="44"/>
      <c r="I3427" s="44"/>
      <c r="J3427" s="20"/>
      <c r="K3427" s="20"/>
      <c r="L3427" s="20"/>
      <c r="M3427" s="20"/>
      <c r="N3427" s="20"/>
      <c r="O3427" s="20"/>
      <c r="P3427" s="20"/>
      <c r="Q3427" s="20"/>
      <c r="R3427" s="20"/>
      <c r="S3427" s="20"/>
      <c r="T3427" s="20"/>
      <c r="U3427" s="20"/>
      <c r="V3427" s="20"/>
      <c r="W3427" s="20"/>
      <c r="X3427" s="20"/>
      <c r="Y3427" s="20"/>
      <c r="Z3427" s="20"/>
      <c r="AA3427" s="20"/>
      <c r="AB3427" s="20"/>
      <c r="AC3427" s="20"/>
      <c r="AD3427" s="20"/>
      <c r="AE3427" s="20"/>
    </row>
    <row r="3428">
      <c r="A3428" s="28"/>
      <c r="B3428" s="44"/>
      <c r="C3428" s="44"/>
      <c r="D3428" s="44"/>
      <c r="E3428" s="44"/>
      <c r="F3428" s="44"/>
      <c r="G3428" s="44"/>
      <c r="H3428" s="44"/>
      <c r="I3428" s="44"/>
      <c r="J3428" s="20"/>
      <c r="K3428" s="20"/>
      <c r="L3428" s="20"/>
      <c r="M3428" s="20"/>
      <c r="N3428" s="20"/>
      <c r="O3428" s="20"/>
      <c r="P3428" s="20"/>
      <c r="Q3428" s="20"/>
      <c r="R3428" s="20"/>
      <c r="S3428" s="20"/>
      <c r="T3428" s="20"/>
      <c r="U3428" s="20"/>
      <c r="V3428" s="20"/>
      <c r="W3428" s="20"/>
      <c r="X3428" s="20"/>
      <c r="Y3428" s="20"/>
      <c r="Z3428" s="20"/>
      <c r="AA3428" s="20"/>
      <c r="AB3428" s="20"/>
      <c r="AC3428" s="20"/>
      <c r="AD3428" s="20"/>
      <c r="AE3428" s="20"/>
    </row>
    <row r="3429">
      <c r="A3429" s="28"/>
      <c r="B3429" s="44"/>
      <c r="C3429" s="44"/>
      <c r="D3429" s="44"/>
      <c r="E3429" s="44"/>
      <c r="F3429" s="44"/>
      <c r="G3429" s="44"/>
      <c r="H3429" s="44"/>
      <c r="I3429" s="44"/>
      <c r="J3429" s="20"/>
      <c r="K3429" s="20"/>
      <c r="L3429" s="20"/>
      <c r="M3429" s="20"/>
      <c r="N3429" s="20"/>
      <c r="O3429" s="20"/>
      <c r="P3429" s="20"/>
      <c r="Q3429" s="20"/>
      <c r="R3429" s="20"/>
      <c r="S3429" s="20"/>
      <c r="T3429" s="20"/>
      <c r="U3429" s="20"/>
      <c r="V3429" s="20"/>
      <c r="W3429" s="20"/>
      <c r="X3429" s="20"/>
      <c r="Y3429" s="20"/>
      <c r="Z3429" s="20"/>
      <c r="AA3429" s="20"/>
      <c r="AB3429" s="20"/>
      <c r="AC3429" s="20"/>
      <c r="AD3429" s="20"/>
      <c r="AE3429" s="20"/>
    </row>
    <row r="3430">
      <c r="A3430" s="28"/>
      <c r="B3430" s="44"/>
      <c r="C3430" s="44"/>
      <c r="D3430" s="44"/>
      <c r="E3430" s="44"/>
      <c r="F3430" s="44"/>
      <c r="G3430" s="44"/>
      <c r="H3430" s="44"/>
      <c r="I3430" s="44"/>
      <c r="J3430" s="20"/>
      <c r="K3430" s="20"/>
      <c r="L3430" s="20"/>
      <c r="M3430" s="20"/>
      <c r="N3430" s="20"/>
      <c r="O3430" s="20"/>
      <c r="P3430" s="20"/>
      <c r="Q3430" s="20"/>
      <c r="R3430" s="20"/>
      <c r="S3430" s="20"/>
      <c r="T3430" s="20"/>
      <c r="U3430" s="20"/>
      <c r="V3430" s="20"/>
      <c r="W3430" s="20"/>
      <c r="X3430" s="20"/>
      <c r="Y3430" s="20"/>
      <c r="Z3430" s="20"/>
      <c r="AA3430" s="20"/>
      <c r="AB3430" s="20"/>
      <c r="AC3430" s="20"/>
      <c r="AD3430" s="20"/>
      <c r="AE3430" s="20"/>
    </row>
    <row r="3431">
      <c r="A3431" s="28"/>
      <c r="B3431" s="44"/>
      <c r="C3431" s="44"/>
      <c r="D3431" s="44"/>
      <c r="E3431" s="44"/>
      <c r="F3431" s="44"/>
      <c r="G3431" s="44"/>
      <c r="H3431" s="44"/>
      <c r="I3431" s="44"/>
      <c r="J3431" s="20"/>
      <c r="K3431" s="20"/>
      <c r="L3431" s="20"/>
      <c r="M3431" s="20"/>
      <c r="N3431" s="20"/>
      <c r="O3431" s="20"/>
      <c r="P3431" s="20"/>
      <c r="Q3431" s="20"/>
      <c r="R3431" s="20"/>
      <c r="S3431" s="20"/>
      <c r="T3431" s="20"/>
      <c r="U3431" s="20"/>
      <c r="V3431" s="20"/>
      <c r="W3431" s="20"/>
      <c r="X3431" s="20"/>
      <c r="Y3431" s="20"/>
      <c r="Z3431" s="20"/>
      <c r="AA3431" s="20"/>
      <c r="AB3431" s="20"/>
      <c r="AC3431" s="20"/>
      <c r="AD3431" s="20"/>
      <c r="AE3431" s="20"/>
    </row>
    <row r="3432">
      <c r="A3432" s="28"/>
      <c r="B3432" s="44"/>
      <c r="C3432" s="44"/>
      <c r="D3432" s="44"/>
      <c r="E3432" s="44"/>
      <c r="F3432" s="44"/>
      <c r="G3432" s="44"/>
      <c r="H3432" s="44"/>
      <c r="I3432" s="44"/>
      <c r="J3432" s="20"/>
      <c r="K3432" s="20"/>
      <c r="L3432" s="20"/>
      <c r="M3432" s="20"/>
      <c r="N3432" s="20"/>
      <c r="O3432" s="20"/>
      <c r="P3432" s="20"/>
      <c r="Q3432" s="20"/>
      <c r="R3432" s="20"/>
      <c r="S3432" s="20"/>
      <c r="T3432" s="20"/>
      <c r="U3432" s="20"/>
      <c r="V3432" s="20"/>
      <c r="W3432" s="20"/>
      <c r="X3432" s="20"/>
      <c r="Y3432" s="20"/>
      <c r="Z3432" s="20"/>
      <c r="AA3432" s="20"/>
      <c r="AB3432" s="20"/>
      <c r="AC3432" s="20"/>
      <c r="AD3432" s="20"/>
      <c r="AE3432" s="20"/>
    </row>
    <row r="3433">
      <c r="A3433" s="28"/>
      <c r="B3433" s="44"/>
      <c r="C3433" s="44"/>
      <c r="D3433" s="44"/>
      <c r="E3433" s="44"/>
      <c r="F3433" s="44"/>
      <c r="G3433" s="44"/>
      <c r="H3433" s="44"/>
      <c r="I3433" s="44"/>
      <c r="J3433" s="20"/>
      <c r="K3433" s="20"/>
      <c r="L3433" s="20"/>
      <c r="M3433" s="20"/>
      <c r="N3433" s="20"/>
      <c r="O3433" s="20"/>
      <c r="P3433" s="20"/>
      <c r="Q3433" s="20"/>
      <c r="R3433" s="20"/>
      <c r="S3433" s="20"/>
      <c r="T3433" s="20"/>
      <c r="U3433" s="20"/>
      <c r="V3433" s="20"/>
      <c r="W3433" s="20"/>
      <c r="X3433" s="20"/>
      <c r="Y3433" s="20"/>
      <c r="Z3433" s="20"/>
      <c r="AA3433" s="20"/>
      <c r="AB3433" s="20"/>
      <c r="AC3433" s="20"/>
      <c r="AD3433" s="20"/>
      <c r="AE3433" s="20"/>
    </row>
    <row r="3434">
      <c r="A3434" s="28"/>
      <c r="B3434" s="44"/>
      <c r="C3434" s="44"/>
      <c r="D3434" s="44"/>
      <c r="E3434" s="44"/>
      <c r="F3434" s="44"/>
      <c r="G3434" s="44"/>
      <c r="H3434" s="44"/>
      <c r="I3434" s="44"/>
      <c r="J3434" s="20"/>
      <c r="K3434" s="20"/>
      <c r="L3434" s="20"/>
      <c r="M3434" s="20"/>
      <c r="N3434" s="20"/>
      <c r="O3434" s="20"/>
      <c r="P3434" s="20"/>
      <c r="Q3434" s="20"/>
      <c r="R3434" s="20"/>
      <c r="S3434" s="20"/>
      <c r="T3434" s="20"/>
      <c r="U3434" s="20"/>
      <c r="V3434" s="20"/>
      <c r="W3434" s="20"/>
      <c r="X3434" s="20"/>
      <c r="Y3434" s="20"/>
      <c r="Z3434" s="20"/>
      <c r="AA3434" s="20"/>
      <c r="AB3434" s="20"/>
      <c r="AC3434" s="20"/>
      <c r="AD3434" s="20"/>
      <c r="AE3434" s="20"/>
    </row>
    <row r="3435">
      <c r="A3435" s="28"/>
      <c r="B3435" s="44"/>
      <c r="C3435" s="44"/>
      <c r="D3435" s="44"/>
      <c r="E3435" s="44"/>
      <c r="F3435" s="44"/>
      <c r="G3435" s="44"/>
      <c r="H3435" s="44"/>
      <c r="I3435" s="44"/>
      <c r="J3435" s="20"/>
      <c r="K3435" s="20"/>
      <c r="L3435" s="20"/>
      <c r="M3435" s="20"/>
      <c r="N3435" s="20"/>
      <c r="O3435" s="20"/>
      <c r="P3435" s="20"/>
      <c r="Q3435" s="20"/>
      <c r="R3435" s="20"/>
      <c r="S3435" s="20"/>
      <c r="T3435" s="20"/>
      <c r="U3435" s="20"/>
      <c r="V3435" s="20"/>
      <c r="W3435" s="20"/>
      <c r="X3435" s="20"/>
      <c r="Y3435" s="20"/>
      <c r="Z3435" s="20"/>
      <c r="AA3435" s="20"/>
      <c r="AB3435" s="20"/>
      <c r="AC3435" s="20"/>
      <c r="AD3435" s="20"/>
      <c r="AE3435" s="20"/>
    </row>
    <row r="3436">
      <c r="A3436" s="28"/>
      <c r="B3436" s="44"/>
      <c r="C3436" s="44"/>
      <c r="D3436" s="44"/>
      <c r="E3436" s="44"/>
      <c r="F3436" s="44"/>
      <c r="G3436" s="44"/>
      <c r="H3436" s="44"/>
      <c r="I3436" s="44"/>
      <c r="J3436" s="20"/>
      <c r="K3436" s="20"/>
      <c r="L3436" s="20"/>
      <c r="M3436" s="20"/>
      <c r="N3436" s="20"/>
      <c r="O3436" s="20"/>
      <c r="P3436" s="20"/>
      <c r="Q3436" s="20"/>
      <c r="R3436" s="20"/>
      <c r="S3436" s="20"/>
      <c r="T3436" s="20"/>
      <c r="U3436" s="20"/>
      <c r="V3436" s="20"/>
      <c r="W3436" s="20"/>
      <c r="X3436" s="20"/>
      <c r="Y3436" s="20"/>
      <c r="Z3436" s="20"/>
      <c r="AA3436" s="20"/>
      <c r="AB3436" s="20"/>
      <c r="AC3436" s="20"/>
      <c r="AD3436" s="20"/>
      <c r="AE3436" s="20"/>
    </row>
    <row r="3437">
      <c r="A3437" s="28"/>
      <c r="B3437" s="44"/>
      <c r="C3437" s="44"/>
      <c r="D3437" s="44"/>
      <c r="E3437" s="44"/>
      <c r="F3437" s="44"/>
      <c r="G3437" s="44"/>
      <c r="H3437" s="44"/>
      <c r="I3437" s="44"/>
      <c r="J3437" s="20"/>
      <c r="K3437" s="20"/>
      <c r="L3437" s="20"/>
      <c r="M3437" s="20"/>
      <c r="N3437" s="20"/>
      <c r="O3437" s="20"/>
      <c r="P3437" s="20"/>
      <c r="Q3437" s="20"/>
      <c r="R3437" s="20"/>
      <c r="S3437" s="20"/>
      <c r="T3437" s="20"/>
      <c r="U3437" s="20"/>
      <c r="V3437" s="20"/>
      <c r="W3437" s="20"/>
      <c r="X3437" s="20"/>
      <c r="Y3437" s="20"/>
      <c r="Z3437" s="20"/>
      <c r="AA3437" s="20"/>
      <c r="AB3437" s="20"/>
      <c r="AC3437" s="20"/>
      <c r="AD3437" s="20"/>
      <c r="AE3437" s="20"/>
    </row>
    <row r="3438">
      <c r="A3438" s="28"/>
      <c r="B3438" s="44"/>
      <c r="C3438" s="44"/>
      <c r="D3438" s="44"/>
      <c r="E3438" s="44"/>
      <c r="F3438" s="44"/>
      <c r="G3438" s="44"/>
      <c r="H3438" s="44"/>
      <c r="I3438" s="44"/>
      <c r="J3438" s="20"/>
      <c r="K3438" s="20"/>
      <c r="L3438" s="20"/>
      <c r="M3438" s="20"/>
      <c r="N3438" s="20"/>
      <c r="O3438" s="20"/>
      <c r="P3438" s="20"/>
      <c r="Q3438" s="20"/>
      <c r="R3438" s="20"/>
      <c r="S3438" s="20"/>
      <c r="T3438" s="20"/>
      <c r="U3438" s="20"/>
      <c r="V3438" s="20"/>
      <c r="W3438" s="20"/>
      <c r="X3438" s="20"/>
      <c r="Y3438" s="20"/>
      <c r="Z3438" s="20"/>
      <c r="AA3438" s="20"/>
      <c r="AB3438" s="20"/>
      <c r="AC3438" s="20"/>
      <c r="AD3438" s="20"/>
      <c r="AE3438" s="20"/>
    </row>
    <row r="3439">
      <c r="A3439" s="28"/>
      <c r="B3439" s="44"/>
      <c r="C3439" s="44"/>
      <c r="D3439" s="44"/>
      <c r="E3439" s="44"/>
      <c r="F3439" s="44"/>
      <c r="G3439" s="44"/>
      <c r="H3439" s="44"/>
      <c r="I3439" s="44"/>
      <c r="J3439" s="20"/>
      <c r="K3439" s="20"/>
      <c r="L3439" s="20"/>
      <c r="M3439" s="20"/>
      <c r="N3439" s="20"/>
      <c r="O3439" s="20"/>
      <c r="P3439" s="20"/>
      <c r="Q3439" s="20"/>
      <c r="R3439" s="20"/>
      <c r="S3439" s="20"/>
      <c r="T3439" s="20"/>
      <c r="U3439" s="20"/>
      <c r="V3439" s="20"/>
      <c r="W3439" s="20"/>
      <c r="X3439" s="20"/>
      <c r="Y3439" s="20"/>
      <c r="Z3439" s="20"/>
      <c r="AA3439" s="20"/>
      <c r="AB3439" s="20"/>
      <c r="AC3439" s="20"/>
      <c r="AD3439" s="20"/>
      <c r="AE3439" s="20"/>
    </row>
    <row r="3440">
      <c r="A3440" s="28"/>
      <c r="B3440" s="44"/>
      <c r="C3440" s="44"/>
      <c r="D3440" s="44"/>
      <c r="E3440" s="44"/>
      <c r="F3440" s="44"/>
      <c r="G3440" s="44"/>
      <c r="H3440" s="44"/>
      <c r="I3440" s="44"/>
      <c r="J3440" s="20"/>
      <c r="K3440" s="20"/>
      <c r="L3440" s="20"/>
      <c r="M3440" s="20"/>
      <c r="N3440" s="20"/>
      <c r="O3440" s="20"/>
      <c r="P3440" s="20"/>
      <c r="Q3440" s="20"/>
      <c r="R3440" s="20"/>
      <c r="S3440" s="20"/>
      <c r="T3440" s="20"/>
      <c r="U3440" s="20"/>
      <c r="V3440" s="20"/>
      <c r="W3440" s="20"/>
      <c r="X3440" s="20"/>
      <c r="Y3440" s="20"/>
      <c r="Z3440" s="20"/>
      <c r="AA3440" s="20"/>
      <c r="AB3440" s="20"/>
      <c r="AC3440" s="20"/>
      <c r="AD3440" s="20"/>
      <c r="AE3440" s="20"/>
    </row>
    <row r="3441">
      <c r="A3441" s="28"/>
      <c r="B3441" s="44"/>
      <c r="C3441" s="44"/>
      <c r="D3441" s="44"/>
      <c r="E3441" s="44"/>
      <c r="F3441" s="44"/>
      <c r="G3441" s="44"/>
      <c r="H3441" s="44"/>
      <c r="I3441" s="44"/>
      <c r="J3441" s="20"/>
      <c r="K3441" s="20"/>
      <c r="L3441" s="20"/>
      <c r="M3441" s="20"/>
      <c r="N3441" s="20"/>
      <c r="O3441" s="20"/>
      <c r="P3441" s="20"/>
      <c r="Q3441" s="20"/>
      <c r="R3441" s="20"/>
      <c r="S3441" s="20"/>
      <c r="T3441" s="20"/>
      <c r="U3441" s="20"/>
      <c r="V3441" s="20"/>
      <c r="W3441" s="20"/>
      <c r="X3441" s="20"/>
      <c r="Y3441" s="20"/>
      <c r="Z3441" s="20"/>
      <c r="AA3441" s="20"/>
      <c r="AB3441" s="20"/>
      <c r="AC3441" s="20"/>
      <c r="AD3441" s="20"/>
      <c r="AE3441" s="20"/>
    </row>
    <row r="3442">
      <c r="A3442" s="28"/>
      <c r="B3442" s="44"/>
      <c r="C3442" s="44"/>
      <c r="D3442" s="44"/>
      <c r="E3442" s="44"/>
      <c r="F3442" s="44"/>
      <c r="G3442" s="44"/>
      <c r="H3442" s="44"/>
      <c r="I3442" s="44"/>
      <c r="J3442" s="20"/>
      <c r="K3442" s="20"/>
      <c r="L3442" s="20"/>
      <c r="M3442" s="20"/>
      <c r="N3442" s="20"/>
      <c r="O3442" s="20"/>
      <c r="P3442" s="20"/>
      <c r="Q3442" s="20"/>
      <c r="R3442" s="20"/>
      <c r="S3442" s="20"/>
      <c r="T3442" s="20"/>
      <c r="U3442" s="20"/>
      <c r="V3442" s="20"/>
      <c r="W3442" s="20"/>
      <c r="X3442" s="20"/>
      <c r="Y3442" s="20"/>
      <c r="Z3442" s="20"/>
      <c r="AA3442" s="20"/>
      <c r="AB3442" s="20"/>
      <c r="AC3442" s="20"/>
      <c r="AD3442" s="20"/>
      <c r="AE3442" s="20"/>
    </row>
    <row r="3443">
      <c r="A3443" s="28"/>
      <c r="B3443" s="44"/>
      <c r="C3443" s="44"/>
      <c r="D3443" s="44"/>
      <c r="E3443" s="44"/>
      <c r="F3443" s="44"/>
      <c r="G3443" s="44"/>
      <c r="H3443" s="44"/>
      <c r="I3443" s="44"/>
      <c r="J3443" s="20"/>
      <c r="K3443" s="20"/>
      <c r="L3443" s="20"/>
      <c r="M3443" s="20"/>
      <c r="N3443" s="20"/>
      <c r="O3443" s="20"/>
      <c r="P3443" s="20"/>
      <c r="Q3443" s="20"/>
      <c r="R3443" s="20"/>
      <c r="S3443" s="20"/>
      <c r="T3443" s="20"/>
      <c r="U3443" s="20"/>
      <c r="V3443" s="20"/>
      <c r="W3443" s="20"/>
      <c r="X3443" s="20"/>
      <c r="Y3443" s="20"/>
      <c r="Z3443" s="20"/>
      <c r="AA3443" s="20"/>
      <c r="AB3443" s="20"/>
      <c r="AC3443" s="20"/>
      <c r="AD3443" s="20"/>
      <c r="AE3443" s="20"/>
    </row>
    <row r="3444">
      <c r="A3444" s="28"/>
      <c r="B3444" s="44"/>
      <c r="C3444" s="44"/>
      <c r="D3444" s="44"/>
      <c r="E3444" s="44"/>
      <c r="F3444" s="44"/>
      <c r="G3444" s="44"/>
      <c r="H3444" s="44"/>
      <c r="I3444" s="44"/>
      <c r="J3444" s="20"/>
      <c r="K3444" s="20"/>
      <c r="L3444" s="20"/>
      <c r="M3444" s="20"/>
      <c r="N3444" s="20"/>
      <c r="O3444" s="20"/>
      <c r="P3444" s="20"/>
      <c r="Q3444" s="20"/>
      <c r="R3444" s="20"/>
      <c r="S3444" s="20"/>
      <c r="T3444" s="20"/>
      <c r="U3444" s="20"/>
      <c r="V3444" s="20"/>
      <c r="W3444" s="20"/>
      <c r="X3444" s="20"/>
      <c r="Y3444" s="20"/>
      <c r="Z3444" s="20"/>
      <c r="AA3444" s="20"/>
      <c r="AB3444" s="20"/>
      <c r="AC3444" s="20"/>
      <c r="AD3444" s="20"/>
      <c r="AE3444" s="20"/>
    </row>
    <row r="3445">
      <c r="A3445" s="28"/>
      <c r="B3445" s="44"/>
      <c r="C3445" s="44"/>
      <c r="D3445" s="44"/>
      <c r="E3445" s="44"/>
      <c r="F3445" s="44"/>
      <c r="G3445" s="44"/>
      <c r="H3445" s="44"/>
      <c r="I3445" s="44"/>
      <c r="J3445" s="20"/>
      <c r="K3445" s="20"/>
      <c r="L3445" s="20"/>
      <c r="M3445" s="20"/>
      <c r="N3445" s="20"/>
      <c r="O3445" s="20"/>
      <c r="P3445" s="20"/>
      <c r="Q3445" s="20"/>
      <c r="R3445" s="20"/>
      <c r="S3445" s="20"/>
      <c r="T3445" s="20"/>
      <c r="U3445" s="20"/>
      <c r="V3445" s="20"/>
      <c r="W3445" s="20"/>
      <c r="X3445" s="20"/>
      <c r="Y3445" s="20"/>
      <c r="Z3445" s="20"/>
      <c r="AA3445" s="20"/>
      <c r="AB3445" s="20"/>
      <c r="AC3445" s="20"/>
      <c r="AD3445" s="20"/>
      <c r="AE3445" s="20"/>
    </row>
    <row r="3446">
      <c r="A3446" s="28"/>
      <c r="B3446" s="44"/>
      <c r="C3446" s="44"/>
      <c r="D3446" s="44"/>
      <c r="E3446" s="44"/>
      <c r="F3446" s="44"/>
      <c r="G3446" s="44"/>
      <c r="H3446" s="44"/>
      <c r="I3446" s="44"/>
      <c r="J3446" s="20"/>
      <c r="K3446" s="20"/>
      <c r="L3446" s="20"/>
      <c r="M3446" s="20"/>
      <c r="N3446" s="20"/>
      <c r="O3446" s="20"/>
      <c r="P3446" s="20"/>
      <c r="Q3446" s="20"/>
      <c r="R3446" s="20"/>
      <c r="S3446" s="20"/>
      <c r="T3446" s="20"/>
      <c r="U3446" s="20"/>
      <c r="V3446" s="20"/>
      <c r="W3446" s="20"/>
      <c r="X3446" s="20"/>
      <c r="Y3446" s="20"/>
      <c r="Z3446" s="20"/>
      <c r="AA3446" s="20"/>
      <c r="AB3446" s="20"/>
      <c r="AC3446" s="20"/>
      <c r="AD3446" s="20"/>
      <c r="AE3446" s="20"/>
    </row>
    <row r="3447">
      <c r="A3447" s="28"/>
      <c r="B3447" s="44"/>
      <c r="C3447" s="44"/>
      <c r="D3447" s="44"/>
      <c r="E3447" s="44"/>
      <c r="F3447" s="44"/>
      <c r="G3447" s="44"/>
      <c r="H3447" s="44"/>
      <c r="I3447" s="44"/>
      <c r="J3447" s="20"/>
      <c r="K3447" s="20"/>
      <c r="L3447" s="20"/>
      <c r="M3447" s="20"/>
      <c r="N3447" s="20"/>
      <c r="O3447" s="20"/>
      <c r="P3447" s="20"/>
      <c r="Q3447" s="20"/>
      <c r="R3447" s="20"/>
      <c r="S3447" s="20"/>
      <c r="T3447" s="20"/>
      <c r="U3447" s="20"/>
      <c r="V3447" s="20"/>
      <c r="W3447" s="20"/>
      <c r="X3447" s="20"/>
      <c r="Y3447" s="20"/>
      <c r="Z3447" s="20"/>
      <c r="AA3447" s="20"/>
      <c r="AB3447" s="20"/>
      <c r="AC3447" s="20"/>
      <c r="AD3447" s="20"/>
      <c r="AE3447" s="20"/>
    </row>
    <row r="3448">
      <c r="A3448" s="28"/>
      <c r="B3448" s="44"/>
      <c r="C3448" s="44"/>
      <c r="D3448" s="44"/>
      <c r="E3448" s="44"/>
      <c r="F3448" s="44"/>
      <c r="G3448" s="44"/>
      <c r="H3448" s="44"/>
      <c r="I3448" s="44"/>
      <c r="J3448" s="20"/>
      <c r="K3448" s="20"/>
      <c r="L3448" s="20"/>
      <c r="M3448" s="20"/>
      <c r="N3448" s="20"/>
      <c r="O3448" s="20"/>
      <c r="P3448" s="20"/>
      <c r="Q3448" s="20"/>
      <c r="R3448" s="20"/>
      <c r="S3448" s="20"/>
      <c r="T3448" s="20"/>
      <c r="U3448" s="20"/>
      <c r="V3448" s="20"/>
      <c r="W3448" s="20"/>
      <c r="X3448" s="20"/>
      <c r="Y3448" s="20"/>
      <c r="Z3448" s="20"/>
      <c r="AA3448" s="20"/>
      <c r="AB3448" s="20"/>
      <c r="AC3448" s="20"/>
      <c r="AD3448" s="20"/>
      <c r="AE3448" s="20"/>
    </row>
    <row r="3449">
      <c r="A3449" s="28"/>
      <c r="B3449" s="44"/>
      <c r="C3449" s="44"/>
      <c r="D3449" s="44"/>
      <c r="E3449" s="44"/>
      <c r="F3449" s="44"/>
      <c r="G3449" s="44"/>
      <c r="H3449" s="44"/>
      <c r="I3449" s="44"/>
      <c r="J3449" s="20"/>
      <c r="K3449" s="20"/>
      <c r="L3449" s="20"/>
      <c r="M3449" s="20"/>
      <c r="N3449" s="20"/>
      <c r="O3449" s="20"/>
      <c r="P3449" s="20"/>
      <c r="Q3449" s="20"/>
      <c r="R3449" s="20"/>
      <c r="S3449" s="20"/>
      <c r="T3449" s="20"/>
      <c r="U3449" s="20"/>
      <c r="V3449" s="20"/>
      <c r="W3449" s="20"/>
      <c r="X3449" s="20"/>
      <c r="Y3449" s="20"/>
      <c r="Z3449" s="20"/>
      <c r="AA3449" s="20"/>
      <c r="AB3449" s="20"/>
      <c r="AC3449" s="20"/>
      <c r="AD3449" s="20"/>
      <c r="AE3449" s="20"/>
    </row>
    <row r="3450">
      <c r="A3450" s="28"/>
      <c r="B3450" s="44"/>
      <c r="C3450" s="44"/>
      <c r="D3450" s="44"/>
      <c r="E3450" s="44"/>
      <c r="F3450" s="44"/>
      <c r="G3450" s="44"/>
      <c r="H3450" s="44"/>
      <c r="I3450" s="44"/>
      <c r="J3450" s="20"/>
      <c r="K3450" s="20"/>
      <c r="L3450" s="20"/>
      <c r="M3450" s="20"/>
      <c r="N3450" s="20"/>
      <c r="O3450" s="20"/>
      <c r="P3450" s="20"/>
      <c r="Q3450" s="20"/>
      <c r="R3450" s="20"/>
      <c r="S3450" s="20"/>
      <c r="T3450" s="20"/>
      <c r="U3450" s="20"/>
      <c r="V3450" s="20"/>
      <c r="W3450" s="20"/>
      <c r="X3450" s="20"/>
      <c r="Y3450" s="20"/>
      <c r="Z3450" s="20"/>
      <c r="AA3450" s="20"/>
      <c r="AB3450" s="20"/>
      <c r="AC3450" s="20"/>
      <c r="AD3450" s="20"/>
      <c r="AE3450" s="20"/>
    </row>
    <row r="3451">
      <c r="A3451" s="28"/>
      <c r="B3451" s="44"/>
      <c r="C3451" s="44"/>
      <c r="D3451" s="44"/>
      <c r="E3451" s="44"/>
      <c r="F3451" s="44"/>
      <c r="G3451" s="44"/>
      <c r="H3451" s="44"/>
      <c r="I3451" s="44"/>
      <c r="J3451" s="20"/>
      <c r="K3451" s="20"/>
      <c r="L3451" s="20"/>
      <c r="M3451" s="20"/>
      <c r="N3451" s="20"/>
      <c r="O3451" s="20"/>
      <c r="P3451" s="20"/>
      <c r="Q3451" s="20"/>
      <c r="R3451" s="20"/>
      <c r="S3451" s="20"/>
      <c r="T3451" s="20"/>
      <c r="U3451" s="20"/>
      <c r="V3451" s="20"/>
      <c r="W3451" s="20"/>
      <c r="X3451" s="20"/>
      <c r="Y3451" s="20"/>
      <c r="Z3451" s="20"/>
      <c r="AA3451" s="20"/>
      <c r="AB3451" s="20"/>
      <c r="AC3451" s="20"/>
      <c r="AD3451" s="20"/>
      <c r="AE3451" s="20"/>
    </row>
    <row r="3452">
      <c r="A3452" s="28"/>
      <c r="B3452" s="44"/>
      <c r="C3452" s="44"/>
      <c r="D3452" s="44"/>
      <c r="E3452" s="44"/>
      <c r="F3452" s="44"/>
      <c r="G3452" s="44"/>
      <c r="H3452" s="44"/>
      <c r="I3452" s="44"/>
      <c r="J3452" s="20"/>
      <c r="K3452" s="20"/>
      <c r="L3452" s="20"/>
      <c r="M3452" s="20"/>
      <c r="N3452" s="20"/>
      <c r="O3452" s="20"/>
      <c r="P3452" s="20"/>
      <c r="Q3452" s="20"/>
      <c r="R3452" s="20"/>
      <c r="S3452" s="20"/>
      <c r="T3452" s="20"/>
      <c r="U3452" s="20"/>
      <c r="V3452" s="20"/>
      <c r="W3452" s="20"/>
      <c r="X3452" s="20"/>
      <c r="Y3452" s="20"/>
      <c r="Z3452" s="20"/>
      <c r="AA3452" s="20"/>
      <c r="AB3452" s="20"/>
      <c r="AC3452" s="20"/>
      <c r="AD3452" s="20"/>
      <c r="AE3452" s="20"/>
    </row>
    <row r="3453">
      <c r="A3453" s="28"/>
      <c r="B3453" s="44"/>
      <c r="C3453" s="44"/>
      <c r="D3453" s="44"/>
      <c r="E3453" s="44"/>
      <c r="F3453" s="44"/>
      <c r="G3453" s="44"/>
      <c r="H3453" s="44"/>
      <c r="I3453" s="44"/>
      <c r="J3453" s="20"/>
      <c r="K3453" s="20"/>
      <c r="L3453" s="20"/>
      <c r="M3453" s="20"/>
      <c r="N3453" s="20"/>
      <c r="O3453" s="20"/>
      <c r="P3453" s="20"/>
      <c r="Q3453" s="20"/>
      <c r="R3453" s="20"/>
      <c r="S3453" s="20"/>
      <c r="T3453" s="20"/>
      <c r="U3453" s="20"/>
      <c r="V3453" s="20"/>
      <c r="W3453" s="20"/>
      <c r="X3453" s="20"/>
      <c r="Y3453" s="20"/>
      <c r="Z3453" s="20"/>
      <c r="AA3453" s="20"/>
      <c r="AB3453" s="20"/>
      <c r="AC3453" s="20"/>
      <c r="AD3453" s="20"/>
      <c r="AE3453" s="20"/>
    </row>
    <row r="3454">
      <c r="A3454" s="28"/>
      <c r="B3454" s="44"/>
      <c r="C3454" s="44"/>
      <c r="D3454" s="44"/>
      <c r="E3454" s="44"/>
      <c r="F3454" s="44"/>
      <c r="G3454" s="44"/>
      <c r="H3454" s="44"/>
      <c r="I3454" s="44"/>
      <c r="J3454" s="20"/>
      <c r="K3454" s="20"/>
      <c r="L3454" s="20"/>
      <c r="M3454" s="20"/>
      <c r="N3454" s="20"/>
      <c r="O3454" s="20"/>
      <c r="P3454" s="20"/>
      <c r="Q3454" s="20"/>
      <c r="R3454" s="20"/>
      <c r="S3454" s="20"/>
      <c r="T3454" s="20"/>
      <c r="U3454" s="20"/>
      <c r="V3454" s="20"/>
      <c r="W3454" s="20"/>
      <c r="X3454" s="20"/>
      <c r="Y3454" s="20"/>
      <c r="Z3454" s="20"/>
      <c r="AA3454" s="20"/>
      <c r="AB3454" s="20"/>
      <c r="AC3454" s="20"/>
      <c r="AD3454" s="20"/>
      <c r="AE3454" s="20"/>
    </row>
    <row r="3455">
      <c r="A3455" s="28"/>
      <c r="B3455" s="44"/>
      <c r="C3455" s="44"/>
      <c r="D3455" s="44"/>
      <c r="E3455" s="44"/>
      <c r="F3455" s="44"/>
      <c r="G3455" s="44"/>
      <c r="H3455" s="44"/>
      <c r="I3455" s="44"/>
      <c r="J3455" s="20"/>
      <c r="K3455" s="20"/>
      <c r="L3455" s="20"/>
      <c r="M3455" s="20"/>
      <c r="N3455" s="20"/>
      <c r="O3455" s="20"/>
      <c r="P3455" s="20"/>
      <c r="Q3455" s="20"/>
      <c r="R3455" s="20"/>
      <c r="S3455" s="20"/>
      <c r="T3455" s="20"/>
      <c r="U3455" s="20"/>
      <c r="V3455" s="20"/>
      <c r="W3455" s="20"/>
      <c r="X3455" s="20"/>
      <c r="Y3455" s="20"/>
      <c r="Z3455" s="20"/>
      <c r="AA3455" s="20"/>
      <c r="AB3455" s="20"/>
      <c r="AC3455" s="20"/>
      <c r="AD3455" s="20"/>
      <c r="AE3455" s="20"/>
    </row>
    <row r="3456">
      <c r="A3456" s="28"/>
      <c r="B3456" s="44"/>
      <c r="C3456" s="44"/>
      <c r="D3456" s="44"/>
      <c r="E3456" s="44"/>
      <c r="F3456" s="44"/>
      <c r="G3456" s="44"/>
      <c r="H3456" s="44"/>
      <c r="I3456" s="44"/>
      <c r="J3456" s="20"/>
      <c r="K3456" s="20"/>
      <c r="L3456" s="20"/>
      <c r="M3456" s="20"/>
      <c r="N3456" s="20"/>
      <c r="O3456" s="20"/>
      <c r="P3456" s="20"/>
      <c r="Q3456" s="20"/>
      <c r="R3456" s="20"/>
      <c r="S3456" s="20"/>
      <c r="T3456" s="20"/>
      <c r="U3456" s="20"/>
      <c r="V3456" s="20"/>
      <c r="W3456" s="20"/>
      <c r="X3456" s="20"/>
      <c r="Y3456" s="20"/>
      <c r="Z3456" s="20"/>
      <c r="AA3456" s="20"/>
      <c r="AB3456" s="20"/>
      <c r="AC3456" s="20"/>
      <c r="AD3456" s="20"/>
      <c r="AE3456" s="20"/>
    </row>
    <row r="3457">
      <c r="A3457" s="28"/>
      <c r="B3457" s="44"/>
      <c r="C3457" s="44"/>
      <c r="D3457" s="44"/>
      <c r="E3457" s="44"/>
      <c r="F3457" s="44"/>
      <c r="G3457" s="44"/>
      <c r="H3457" s="44"/>
      <c r="I3457" s="44"/>
      <c r="J3457" s="20"/>
      <c r="K3457" s="20"/>
      <c r="L3457" s="20"/>
      <c r="M3457" s="20"/>
      <c r="N3457" s="20"/>
      <c r="O3457" s="20"/>
      <c r="P3457" s="20"/>
      <c r="Q3457" s="20"/>
      <c r="R3457" s="20"/>
      <c r="S3457" s="20"/>
      <c r="T3457" s="20"/>
      <c r="U3457" s="20"/>
      <c r="V3457" s="20"/>
      <c r="W3457" s="20"/>
      <c r="X3457" s="20"/>
      <c r="Y3457" s="20"/>
      <c r="Z3457" s="20"/>
      <c r="AA3457" s="20"/>
      <c r="AB3457" s="20"/>
      <c r="AC3457" s="20"/>
      <c r="AD3457" s="20"/>
      <c r="AE3457" s="20"/>
    </row>
    <row r="3458">
      <c r="A3458" s="28"/>
      <c r="B3458" s="44"/>
      <c r="C3458" s="44"/>
      <c r="D3458" s="44"/>
      <c r="E3458" s="44"/>
      <c r="F3458" s="44"/>
      <c r="G3458" s="44"/>
      <c r="H3458" s="44"/>
      <c r="I3458" s="44"/>
      <c r="J3458" s="20"/>
      <c r="K3458" s="20"/>
      <c r="L3458" s="20"/>
      <c r="M3458" s="20"/>
      <c r="N3458" s="20"/>
      <c r="O3458" s="20"/>
      <c r="P3458" s="20"/>
      <c r="Q3458" s="20"/>
      <c r="R3458" s="20"/>
      <c r="S3458" s="20"/>
      <c r="T3458" s="20"/>
      <c r="U3458" s="20"/>
      <c r="V3458" s="20"/>
      <c r="W3458" s="20"/>
      <c r="X3458" s="20"/>
      <c r="Y3458" s="20"/>
      <c r="Z3458" s="20"/>
      <c r="AA3458" s="20"/>
      <c r="AB3458" s="20"/>
      <c r="AC3458" s="20"/>
      <c r="AD3458" s="20"/>
      <c r="AE3458" s="20"/>
    </row>
    <row r="3459">
      <c r="A3459" s="28"/>
      <c r="B3459" s="44"/>
      <c r="C3459" s="44"/>
      <c r="D3459" s="44"/>
      <c r="E3459" s="44"/>
      <c r="F3459" s="44"/>
      <c r="G3459" s="44"/>
      <c r="H3459" s="44"/>
      <c r="I3459" s="44"/>
      <c r="J3459" s="20"/>
      <c r="K3459" s="20"/>
      <c r="L3459" s="20"/>
      <c r="M3459" s="20"/>
      <c r="N3459" s="20"/>
      <c r="O3459" s="20"/>
      <c r="P3459" s="20"/>
      <c r="Q3459" s="20"/>
      <c r="R3459" s="20"/>
      <c r="S3459" s="20"/>
      <c r="T3459" s="20"/>
      <c r="U3459" s="20"/>
      <c r="V3459" s="20"/>
      <c r="W3459" s="20"/>
      <c r="X3459" s="20"/>
      <c r="Y3459" s="20"/>
      <c r="Z3459" s="20"/>
      <c r="AA3459" s="20"/>
      <c r="AB3459" s="20"/>
      <c r="AC3459" s="20"/>
      <c r="AD3459" s="20"/>
      <c r="AE3459" s="20"/>
    </row>
    <row r="3460">
      <c r="A3460" s="28"/>
      <c r="B3460" s="44"/>
      <c r="C3460" s="44"/>
      <c r="D3460" s="44"/>
      <c r="E3460" s="44"/>
      <c r="F3460" s="44"/>
      <c r="G3460" s="44"/>
      <c r="H3460" s="44"/>
      <c r="I3460" s="44"/>
      <c r="J3460" s="20"/>
      <c r="K3460" s="20"/>
      <c r="L3460" s="20"/>
      <c r="M3460" s="20"/>
      <c r="N3460" s="20"/>
      <c r="O3460" s="20"/>
      <c r="P3460" s="20"/>
      <c r="Q3460" s="20"/>
      <c r="R3460" s="20"/>
      <c r="S3460" s="20"/>
      <c r="T3460" s="20"/>
      <c r="U3460" s="20"/>
      <c r="V3460" s="20"/>
      <c r="W3460" s="20"/>
      <c r="X3460" s="20"/>
      <c r="Y3460" s="20"/>
      <c r="Z3460" s="20"/>
      <c r="AA3460" s="20"/>
      <c r="AB3460" s="20"/>
      <c r="AC3460" s="20"/>
      <c r="AD3460" s="20"/>
      <c r="AE3460" s="20"/>
    </row>
    <row r="3461">
      <c r="A3461" s="28"/>
      <c r="B3461" s="44"/>
      <c r="C3461" s="44"/>
      <c r="D3461" s="44"/>
      <c r="E3461" s="44"/>
      <c r="F3461" s="44"/>
      <c r="G3461" s="44"/>
      <c r="H3461" s="44"/>
      <c r="I3461" s="44"/>
      <c r="J3461" s="20"/>
      <c r="K3461" s="20"/>
      <c r="L3461" s="20"/>
      <c r="M3461" s="20"/>
      <c r="N3461" s="20"/>
      <c r="O3461" s="20"/>
      <c r="P3461" s="20"/>
      <c r="Q3461" s="20"/>
      <c r="R3461" s="20"/>
      <c r="S3461" s="20"/>
      <c r="T3461" s="20"/>
      <c r="U3461" s="20"/>
      <c r="V3461" s="20"/>
      <c r="W3461" s="20"/>
      <c r="X3461" s="20"/>
      <c r="Y3461" s="20"/>
      <c r="Z3461" s="20"/>
      <c r="AA3461" s="20"/>
      <c r="AB3461" s="20"/>
      <c r="AC3461" s="20"/>
      <c r="AD3461" s="20"/>
      <c r="AE3461" s="20"/>
    </row>
    <row r="3462">
      <c r="A3462" s="28"/>
      <c r="B3462" s="44"/>
      <c r="C3462" s="44"/>
      <c r="D3462" s="44"/>
      <c r="E3462" s="44"/>
      <c r="F3462" s="44"/>
      <c r="G3462" s="44"/>
      <c r="H3462" s="44"/>
      <c r="I3462" s="44"/>
      <c r="J3462" s="20"/>
      <c r="K3462" s="20"/>
      <c r="L3462" s="20"/>
      <c r="M3462" s="20"/>
      <c r="N3462" s="20"/>
      <c r="O3462" s="20"/>
      <c r="P3462" s="20"/>
      <c r="Q3462" s="20"/>
      <c r="R3462" s="20"/>
      <c r="S3462" s="20"/>
      <c r="T3462" s="20"/>
      <c r="U3462" s="20"/>
      <c r="V3462" s="20"/>
      <c r="W3462" s="20"/>
      <c r="X3462" s="20"/>
      <c r="Y3462" s="20"/>
      <c r="Z3462" s="20"/>
      <c r="AA3462" s="20"/>
      <c r="AB3462" s="20"/>
      <c r="AC3462" s="20"/>
      <c r="AD3462" s="20"/>
      <c r="AE3462" s="20"/>
    </row>
    <row r="3463">
      <c r="A3463" s="28"/>
      <c r="B3463" s="44"/>
      <c r="C3463" s="44"/>
      <c r="D3463" s="44"/>
      <c r="E3463" s="44"/>
      <c r="F3463" s="44"/>
      <c r="G3463" s="44"/>
      <c r="H3463" s="44"/>
      <c r="I3463" s="44"/>
      <c r="J3463" s="20"/>
      <c r="K3463" s="20"/>
      <c r="L3463" s="20"/>
      <c r="M3463" s="20"/>
      <c r="N3463" s="20"/>
      <c r="O3463" s="20"/>
      <c r="P3463" s="20"/>
      <c r="Q3463" s="20"/>
      <c r="R3463" s="20"/>
      <c r="S3463" s="20"/>
      <c r="T3463" s="20"/>
      <c r="U3463" s="20"/>
      <c r="V3463" s="20"/>
      <c r="W3463" s="20"/>
      <c r="X3463" s="20"/>
      <c r="Y3463" s="20"/>
      <c r="Z3463" s="20"/>
      <c r="AA3463" s="20"/>
      <c r="AB3463" s="20"/>
      <c r="AC3463" s="20"/>
      <c r="AD3463" s="20"/>
      <c r="AE3463" s="20"/>
    </row>
    <row r="3464">
      <c r="A3464" s="28"/>
      <c r="B3464" s="44"/>
      <c r="C3464" s="44"/>
      <c r="D3464" s="44"/>
      <c r="E3464" s="44"/>
      <c r="F3464" s="44"/>
      <c r="G3464" s="44"/>
      <c r="H3464" s="44"/>
      <c r="I3464" s="44"/>
      <c r="J3464" s="20"/>
      <c r="K3464" s="20"/>
      <c r="L3464" s="20"/>
      <c r="M3464" s="20"/>
      <c r="N3464" s="20"/>
      <c r="O3464" s="20"/>
      <c r="P3464" s="20"/>
      <c r="Q3464" s="20"/>
      <c r="R3464" s="20"/>
      <c r="S3464" s="20"/>
      <c r="T3464" s="20"/>
      <c r="U3464" s="20"/>
      <c r="V3464" s="20"/>
      <c r="W3464" s="20"/>
      <c r="X3464" s="20"/>
      <c r="Y3464" s="20"/>
      <c r="Z3464" s="20"/>
      <c r="AA3464" s="20"/>
      <c r="AB3464" s="20"/>
      <c r="AC3464" s="20"/>
      <c r="AD3464" s="20"/>
      <c r="AE3464" s="20"/>
    </row>
    <row r="3465">
      <c r="A3465" s="28"/>
      <c r="B3465" s="44"/>
      <c r="C3465" s="44"/>
      <c r="D3465" s="44"/>
      <c r="E3465" s="44"/>
      <c r="F3465" s="44"/>
      <c r="G3465" s="44"/>
      <c r="H3465" s="44"/>
      <c r="I3465" s="44"/>
      <c r="J3465" s="20"/>
      <c r="K3465" s="20"/>
      <c r="L3465" s="20"/>
      <c r="M3465" s="20"/>
      <c r="N3465" s="20"/>
      <c r="O3465" s="20"/>
      <c r="P3465" s="20"/>
      <c r="Q3465" s="20"/>
      <c r="R3465" s="20"/>
      <c r="S3465" s="20"/>
      <c r="T3465" s="20"/>
      <c r="U3465" s="20"/>
      <c r="V3465" s="20"/>
      <c r="W3465" s="20"/>
      <c r="X3465" s="20"/>
      <c r="Y3465" s="20"/>
      <c r="Z3465" s="20"/>
      <c r="AA3465" s="20"/>
      <c r="AB3465" s="20"/>
      <c r="AC3465" s="20"/>
      <c r="AD3465" s="20"/>
      <c r="AE3465" s="20"/>
    </row>
    <row r="3466">
      <c r="A3466" s="28"/>
      <c r="B3466" s="44"/>
      <c r="C3466" s="44"/>
      <c r="D3466" s="44"/>
      <c r="E3466" s="44"/>
      <c r="F3466" s="44"/>
      <c r="G3466" s="44"/>
      <c r="H3466" s="44"/>
      <c r="I3466" s="44"/>
      <c r="J3466" s="20"/>
      <c r="K3466" s="20"/>
      <c r="L3466" s="20"/>
      <c r="M3466" s="20"/>
      <c r="N3466" s="20"/>
      <c r="O3466" s="20"/>
      <c r="P3466" s="20"/>
      <c r="Q3466" s="20"/>
      <c r="R3466" s="20"/>
      <c r="S3466" s="20"/>
      <c r="T3466" s="20"/>
      <c r="U3466" s="20"/>
      <c r="V3466" s="20"/>
      <c r="W3466" s="20"/>
      <c r="X3466" s="20"/>
      <c r="Y3466" s="20"/>
      <c r="Z3466" s="20"/>
      <c r="AA3466" s="20"/>
      <c r="AB3466" s="20"/>
      <c r="AC3466" s="20"/>
      <c r="AD3466" s="20"/>
      <c r="AE3466" s="20"/>
    </row>
    <row r="3467">
      <c r="A3467" s="28"/>
      <c r="B3467" s="44"/>
      <c r="C3467" s="44"/>
      <c r="D3467" s="44"/>
      <c r="E3467" s="44"/>
      <c r="F3467" s="44"/>
      <c r="G3467" s="44"/>
      <c r="H3467" s="44"/>
      <c r="I3467" s="44"/>
      <c r="J3467" s="20"/>
      <c r="K3467" s="20"/>
      <c r="L3467" s="20"/>
      <c r="M3467" s="20"/>
      <c r="N3467" s="20"/>
      <c r="O3467" s="20"/>
      <c r="P3467" s="20"/>
      <c r="Q3467" s="20"/>
      <c r="R3467" s="20"/>
      <c r="S3467" s="20"/>
      <c r="T3467" s="20"/>
      <c r="U3467" s="20"/>
      <c r="V3467" s="20"/>
      <c r="W3467" s="20"/>
      <c r="X3467" s="20"/>
      <c r="Y3467" s="20"/>
      <c r="Z3467" s="20"/>
      <c r="AA3467" s="20"/>
      <c r="AB3467" s="20"/>
      <c r="AC3467" s="20"/>
      <c r="AD3467" s="20"/>
      <c r="AE3467" s="20"/>
    </row>
    <row r="3468">
      <c r="A3468" s="28"/>
      <c r="B3468" s="44"/>
      <c r="C3468" s="44"/>
      <c r="D3468" s="44"/>
      <c r="E3468" s="44"/>
      <c r="F3468" s="44"/>
      <c r="G3468" s="44"/>
      <c r="H3468" s="44"/>
      <c r="I3468" s="44"/>
      <c r="J3468" s="20"/>
      <c r="K3468" s="20"/>
      <c r="L3468" s="20"/>
      <c r="M3468" s="20"/>
      <c r="N3468" s="20"/>
      <c r="O3468" s="20"/>
      <c r="P3468" s="20"/>
      <c r="Q3468" s="20"/>
      <c r="R3468" s="20"/>
      <c r="S3468" s="20"/>
      <c r="T3468" s="20"/>
      <c r="U3468" s="20"/>
      <c r="V3468" s="20"/>
      <c r="W3468" s="20"/>
      <c r="X3468" s="20"/>
      <c r="Y3468" s="20"/>
      <c r="Z3468" s="20"/>
      <c r="AA3468" s="20"/>
      <c r="AB3468" s="20"/>
      <c r="AC3468" s="20"/>
      <c r="AD3468" s="20"/>
      <c r="AE3468" s="20"/>
    </row>
    <row r="3469">
      <c r="A3469" s="28"/>
      <c r="B3469" s="44"/>
      <c r="C3469" s="44"/>
      <c r="D3469" s="44"/>
      <c r="E3469" s="44"/>
      <c r="F3469" s="44"/>
      <c r="G3469" s="44"/>
      <c r="H3469" s="44"/>
      <c r="I3469" s="44"/>
      <c r="J3469" s="20"/>
      <c r="K3469" s="20"/>
      <c r="L3469" s="20"/>
      <c r="M3469" s="20"/>
      <c r="N3469" s="20"/>
      <c r="O3469" s="20"/>
      <c r="P3469" s="20"/>
      <c r="Q3469" s="20"/>
      <c r="R3469" s="20"/>
      <c r="S3469" s="20"/>
      <c r="T3469" s="20"/>
      <c r="U3469" s="20"/>
      <c r="V3469" s="20"/>
      <c r="W3469" s="20"/>
      <c r="X3469" s="20"/>
      <c r="Y3469" s="20"/>
      <c r="Z3469" s="20"/>
      <c r="AA3469" s="20"/>
      <c r="AB3469" s="20"/>
      <c r="AC3469" s="20"/>
      <c r="AD3469" s="20"/>
      <c r="AE3469" s="20"/>
    </row>
    <row r="3470">
      <c r="A3470" s="28"/>
      <c r="B3470" s="44"/>
      <c r="C3470" s="44"/>
      <c r="D3470" s="44"/>
      <c r="E3470" s="44"/>
      <c r="F3470" s="44"/>
      <c r="G3470" s="44"/>
      <c r="H3470" s="44"/>
      <c r="I3470" s="44"/>
      <c r="J3470" s="20"/>
      <c r="K3470" s="20"/>
      <c r="L3470" s="20"/>
      <c r="M3470" s="20"/>
      <c r="N3470" s="20"/>
      <c r="O3470" s="20"/>
      <c r="P3470" s="20"/>
      <c r="Q3470" s="20"/>
      <c r="R3470" s="20"/>
      <c r="S3470" s="20"/>
      <c r="T3470" s="20"/>
      <c r="U3470" s="20"/>
      <c r="V3470" s="20"/>
      <c r="W3470" s="20"/>
      <c r="X3470" s="20"/>
      <c r="Y3470" s="20"/>
      <c r="Z3470" s="20"/>
      <c r="AA3470" s="20"/>
      <c r="AB3470" s="20"/>
      <c r="AC3470" s="20"/>
      <c r="AD3470" s="20"/>
      <c r="AE3470" s="20"/>
    </row>
    <row r="3471">
      <c r="A3471" s="28"/>
      <c r="B3471" s="44"/>
      <c r="C3471" s="44"/>
      <c r="D3471" s="44"/>
      <c r="E3471" s="44"/>
      <c r="F3471" s="44"/>
      <c r="G3471" s="44"/>
      <c r="H3471" s="44"/>
      <c r="I3471" s="44"/>
      <c r="J3471" s="20"/>
      <c r="K3471" s="20"/>
      <c r="L3471" s="20"/>
      <c r="M3471" s="20"/>
      <c r="N3471" s="20"/>
      <c r="O3471" s="20"/>
      <c r="P3471" s="20"/>
      <c r="Q3471" s="20"/>
      <c r="R3471" s="20"/>
      <c r="S3471" s="20"/>
      <c r="T3471" s="20"/>
      <c r="U3471" s="20"/>
      <c r="V3471" s="20"/>
      <c r="W3471" s="20"/>
      <c r="X3471" s="20"/>
      <c r="Y3471" s="20"/>
      <c r="Z3471" s="20"/>
      <c r="AA3471" s="20"/>
      <c r="AB3471" s="20"/>
      <c r="AC3471" s="20"/>
      <c r="AD3471" s="20"/>
      <c r="AE3471" s="20"/>
    </row>
    <row r="3472">
      <c r="A3472" s="28"/>
      <c r="B3472" s="44"/>
      <c r="C3472" s="44"/>
      <c r="D3472" s="44"/>
      <c r="E3472" s="44"/>
      <c r="F3472" s="44"/>
      <c r="G3472" s="44"/>
      <c r="H3472" s="44"/>
      <c r="I3472" s="44"/>
      <c r="J3472" s="20"/>
      <c r="K3472" s="20"/>
      <c r="L3472" s="20"/>
      <c r="M3472" s="20"/>
      <c r="N3472" s="20"/>
      <c r="O3472" s="20"/>
      <c r="P3472" s="20"/>
      <c r="Q3472" s="20"/>
      <c r="R3472" s="20"/>
      <c r="S3472" s="20"/>
      <c r="T3472" s="20"/>
      <c r="U3472" s="20"/>
      <c r="V3472" s="20"/>
      <c r="W3472" s="20"/>
      <c r="X3472" s="20"/>
      <c r="Y3472" s="20"/>
      <c r="Z3472" s="20"/>
      <c r="AA3472" s="20"/>
      <c r="AB3472" s="20"/>
      <c r="AC3472" s="20"/>
      <c r="AD3472" s="20"/>
      <c r="AE3472" s="20"/>
    </row>
    <row r="3473">
      <c r="A3473" s="28"/>
      <c r="B3473" s="44"/>
      <c r="C3473" s="44"/>
      <c r="D3473" s="44"/>
      <c r="E3473" s="44"/>
      <c r="F3473" s="44"/>
      <c r="G3473" s="44"/>
      <c r="H3473" s="44"/>
      <c r="I3473" s="44"/>
      <c r="J3473" s="20"/>
      <c r="K3473" s="20"/>
      <c r="L3473" s="20"/>
      <c r="M3473" s="20"/>
      <c r="N3473" s="20"/>
      <c r="O3473" s="20"/>
      <c r="P3473" s="20"/>
      <c r="Q3473" s="20"/>
      <c r="R3473" s="20"/>
      <c r="S3473" s="20"/>
      <c r="T3473" s="20"/>
      <c r="U3473" s="20"/>
      <c r="V3473" s="20"/>
      <c r="W3473" s="20"/>
      <c r="X3473" s="20"/>
      <c r="Y3473" s="20"/>
      <c r="Z3473" s="20"/>
      <c r="AA3473" s="20"/>
      <c r="AB3473" s="20"/>
      <c r="AC3473" s="20"/>
      <c r="AD3473" s="20"/>
      <c r="AE3473" s="20"/>
    </row>
    <row r="3474">
      <c r="A3474" s="28"/>
      <c r="B3474" s="44"/>
      <c r="C3474" s="44"/>
      <c r="D3474" s="44"/>
      <c r="E3474" s="44"/>
      <c r="F3474" s="44"/>
      <c r="G3474" s="44"/>
      <c r="H3474" s="44"/>
      <c r="I3474" s="44"/>
      <c r="J3474" s="20"/>
      <c r="K3474" s="20"/>
      <c r="L3474" s="20"/>
      <c r="M3474" s="20"/>
      <c r="N3474" s="20"/>
      <c r="O3474" s="20"/>
      <c r="P3474" s="20"/>
      <c r="Q3474" s="20"/>
      <c r="R3474" s="20"/>
      <c r="S3474" s="20"/>
      <c r="T3474" s="20"/>
      <c r="U3474" s="20"/>
      <c r="V3474" s="20"/>
      <c r="W3474" s="20"/>
      <c r="X3474" s="20"/>
      <c r="Y3474" s="20"/>
      <c r="Z3474" s="20"/>
      <c r="AA3474" s="20"/>
      <c r="AB3474" s="20"/>
      <c r="AC3474" s="20"/>
      <c r="AD3474" s="20"/>
      <c r="AE3474" s="20"/>
    </row>
    <row r="3475">
      <c r="A3475" s="28"/>
      <c r="B3475" s="44"/>
      <c r="C3475" s="44"/>
      <c r="D3475" s="44"/>
      <c r="E3475" s="44"/>
      <c r="F3475" s="44"/>
      <c r="G3475" s="44"/>
      <c r="H3475" s="44"/>
      <c r="I3475" s="44"/>
      <c r="J3475" s="20"/>
      <c r="K3475" s="20"/>
      <c r="L3475" s="20"/>
      <c r="M3475" s="20"/>
      <c r="N3475" s="20"/>
      <c r="O3475" s="20"/>
      <c r="P3475" s="20"/>
      <c r="Q3475" s="20"/>
      <c r="R3475" s="20"/>
      <c r="S3475" s="20"/>
      <c r="T3475" s="20"/>
      <c r="U3475" s="20"/>
      <c r="V3475" s="20"/>
      <c r="W3475" s="20"/>
      <c r="X3475" s="20"/>
      <c r="Y3475" s="20"/>
      <c r="Z3475" s="20"/>
      <c r="AA3475" s="20"/>
      <c r="AB3475" s="20"/>
      <c r="AC3475" s="20"/>
      <c r="AD3475" s="20"/>
      <c r="AE3475" s="20"/>
    </row>
    <row r="3476">
      <c r="A3476" s="28"/>
      <c r="B3476" s="44"/>
      <c r="C3476" s="44"/>
      <c r="D3476" s="44"/>
      <c r="E3476" s="44"/>
      <c r="F3476" s="44"/>
      <c r="G3476" s="44"/>
      <c r="H3476" s="44"/>
      <c r="I3476" s="44"/>
      <c r="J3476" s="20"/>
      <c r="K3476" s="20"/>
      <c r="L3476" s="20"/>
      <c r="M3476" s="20"/>
      <c r="N3476" s="20"/>
      <c r="O3476" s="20"/>
      <c r="P3476" s="20"/>
      <c r="Q3476" s="20"/>
      <c r="R3476" s="20"/>
      <c r="S3476" s="20"/>
      <c r="T3476" s="20"/>
      <c r="U3476" s="20"/>
      <c r="V3476" s="20"/>
      <c r="W3476" s="20"/>
      <c r="X3476" s="20"/>
      <c r="Y3476" s="20"/>
      <c r="Z3476" s="20"/>
      <c r="AA3476" s="20"/>
      <c r="AB3476" s="20"/>
      <c r="AC3476" s="20"/>
      <c r="AD3476" s="20"/>
      <c r="AE3476" s="20"/>
    </row>
    <row r="3477">
      <c r="A3477" s="28"/>
      <c r="B3477" s="44"/>
      <c r="C3477" s="44"/>
      <c r="D3477" s="44"/>
      <c r="E3477" s="44"/>
      <c r="F3477" s="44"/>
      <c r="G3477" s="44"/>
      <c r="H3477" s="44"/>
      <c r="I3477" s="44"/>
      <c r="J3477" s="20"/>
      <c r="K3477" s="20"/>
      <c r="L3477" s="20"/>
      <c r="M3477" s="20"/>
      <c r="N3477" s="20"/>
      <c r="O3477" s="20"/>
      <c r="P3477" s="20"/>
      <c r="Q3477" s="20"/>
      <c r="R3477" s="20"/>
      <c r="S3477" s="20"/>
      <c r="T3477" s="20"/>
      <c r="U3477" s="20"/>
      <c r="V3477" s="20"/>
      <c r="W3477" s="20"/>
      <c r="X3477" s="20"/>
      <c r="Y3477" s="20"/>
      <c r="Z3477" s="20"/>
      <c r="AA3477" s="20"/>
      <c r="AB3477" s="20"/>
      <c r="AC3477" s="20"/>
      <c r="AD3477" s="20"/>
      <c r="AE3477" s="20"/>
    </row>
    <row r="3478">
      <c r="A3478" s="28"/>
      <c r="B3478" s="44"/>
      <c r="C3478" s="44"/>
      <c r="D3478" s="44"/>
      <c r="E3478" s="44"/>
      <c r="F3478" s="44"/>
      <c r="G3478" s="44"/>
      <c r="H3478" s="44"/>
      <c r="I3478" s="44"/>
      <c r="J3478" s="20"/>
      <c r="K3478" s="20"/>
      <c r="L3478" s="20"/>
      <c r="M3478" s="20"/>
      <c r="N3478" s="20"/>
      <c r="O3478" s="20"/>
      <c r="P3478" s="20"/>
      <c r="Q3478" s="20"/>
      <c r="R3478" s="20"/>
      <c r="S3478" s="20"/>
      <c r="T3478" s="20"/>
      <c r="U3478" s="20"/>
      <c r="V3478" s="20"/>
      <c r="W3478" s="20"/>
      <c r="X3478" s="20"/>
      <c r="Y3478" s="20"/>
      <c r="Z3478" s="20"/>
      <c r="AA3478" s="20"/>
      <c r="AB3478" s="20"/>
      <c r="AC3478" s="20"/>
      <c r="AD3478" s="20"/>
      <c r="AE3478" s="20"/>
    </row>
    <row r="3479">
      <c r="A3479" s="28"/>
      <c r="B3479" s="44"/>
      <c r="C3479" s="44"/>
      <c r="D3479" s="44"/>
      <c r="E3479" s="44"/>
      <c r="F3479" s="44"/>
      <c r="G3479" s="44"/>
      <c r="H3479" s="44"/>
      <c r="I3479" s="44"/>
      <c r="J3479" s="20"/>
      <c r="K3479" s="20"/>
      <c r="L3479" s="20"/>
      <c r="M3479" s="20"/>
      <c r="N3479" s="20"/>
      <c r="O3479" s="20"/>
      <c r="P3479" s="20"/>
      <c r="Q3479" s="20"/>
      <c r="R3479" s="20"/>
      <c r="S3479" s="20"/>
      <c r="T3479" s="20"/>
      <c r="U3479" s="20"/>
      <c r="V3479" s="20"/>
      <c r="W3479" s="20"/>
      <c r="X3479" s="20"/>
      <c r="Y3479" s="20"/>
      <c r="Z3479" s="20"/>
      <c r="AA3479" s="20"/>
      <c r="AB3479" s="20"/>
      <c r="AC3479" s="20"/>
      <c r="AD3479" s="20"/>
      <c r="AE3479" s="20"/>
    </row>
    <row r="3480">
      <c r="A3480" s="28"/>
      <c r="B3480" s="44"/>
      <c r="C3480" s="44"/>
      <c r="D3480" s="44"/>
      <c r="E3480" s="44"/>
      <c r="F3480" s="44"/>
      <c r="G3480" s="44"/>
      <c r="H3480" s="44"/>
      <c r="I3480" s="44"/>
      <c r="J3480" s="20"/>
      <c r="K3480" s="20"/>
      <c r="L3480" s="20"/>
      <c r="M3480" s="20"/>
      <c r="N3480" s="20"/>
      <c r="O3480" s="20"/>
      <c r="P3480" s="20"/>
      <c r="Q3480" s="20"/>
      <c r="R3480" s="20"/>
      <c r="S3480" s="20"/>
      <c r="T3480" s="20"/>
      <c r="U3480" s="20"/>
      <c r="V3480" s="20"/>
      <c r="W3480" s="20"/>
      <c r="X3480" s="20"/>
      <c r="Y3480" s="20"/>
      <c r="Z3480" s="20"/>
      <c r="AA3480" s="20"/>
      <c r="AB3480" s="20"/>
      <c r="AC3480" s="20"/>
      <c r="AD3480" s="20"/>
      <c r="AE3480" s="20"/>
    </row>
    <row r="3481">
      <c r="A3481" s="28"/>
      <c r="B3481" s="44"/>
      <c r="C3481" s="44"/>
      <c r="D3481" s="44"/>
      <c r="E3481" s="44"/>
      <c r="F3481" s="44"/>
      <c r="G3481" s="44"/>
      <c r="H3481" s="44"/>
      <c r="I3481" s="44"/>
      <c r="J3481" s="20"/>
      <c r="K3481" s="20"/>
      <c r="L3481" s="20"/>
      <c r="M3481" s="20"/>
      <c r="N3481" s="20"/>
      <c r="O3481" s="20"/>
      <c r="P3481" s="20"/>
      <c r="Q3481" s="20"/>
      <c r="R3481" s="20"/>
      <c r="S3481" s="20"/>
      <c r="T3481" s="20"/>
      <c r="U3481" s="20"/>
      <c r="V3481" s="20"/>
      <c r="W3481" s="20"/>
      <c r="X3481" s="20"/>
      <c r="Y3481" s="20"/>
      <c r="Z3481" s="20"/>
      <c r="AA3481" s="20"/>
      <c r="AB3481" s="20"/>
      <c r="AC3481" s="20"/>
      <c r="AD3481" s="20"/>
      <c r="AE3481" s="20"/>
    </row>
    <row r="3482">
      <c r="A3482" s="28"/>
      <c r="B3482" s="44"/>
      <c r="C3482" s="44"/>
      <c r="D3482" s="44"/>
      <c r="E3482" s="44"/>
      <c r="F3482" s="44"/>
      <c r="G3482" s="44"/>
      <c r="H3482" s="44"/>
      <c r="I3482" s="44"/>
      <c r="J3482" s="20"/>
      <c r="K3482" s="20"/>
      <c r="L3482" s="20"/>
      <c r="M3482" s="20"/>
      <c r="N3482" s="20"/>
      <c r="O3482" s="20"/>
      <c r="P3482" s="20"/>
      <c r="Q3482" s="20"/>
      <c r="R3482" s="20"/>
      <c r="S3482" s="20"/>
      <c r="T3482" s="20"/>
      <c r="U3482" s="20"/>
      <c r="V3482" s="20"/>
      <c r="W3482" s="20"/>
      <c r="X3482" s="20"/>
      <c r="Y3482" s="20"/>
      <c r="Z3482" s="20"/>
      <c r="AA3482" s="20"/>
      <c r="AB3482" s="20"/>
      <c r="AC3482" s="20"/>
      <c r="AD3482" s="20"/>
      <c r="AE3482" s="20"/>
    </row>
    <row r="3483">
      <c r="A3483" s="28"/>
      <c r="B3483" s="44"/>
      <c r="C3483" s="44"/>
      <c r="D3483" s="44"/>
      <c r="E3483" s="44"/>
      <c r="F3483" s="44"/>
      <c r="G3483" s="44"/>
      <c r="H3483" s="44"/>
      <c r="I3483" s="44"/>
      <c r="J3483" s="20"/>
      <c r="K3483" s="20"/>
      <c r="L3483" s="20"/>
      <c r="M3483" s="20"/>
      <c r="N3483" s="20"/>
      <c r="O3483" s="20"/>
      <c r="P3483" s="20"/>
      <c r="Q3483" s="20"/>
      <c r="R3483" s="20"/>
      <c r="S3483" s="20"/>
      <c r="T3483" s="20"/>
      <c r="U3483" s="20"/>
      <c r="V3483" s="20"/>
      <c r="W3483" s="20"/>
      <c r="X3483" s="20"/>
      <c r="Y3483" s="20"/>
      <c r="Z3483" s="20"/>
      <c r="AA3483" s="20"/>
      <c r="AB3483" s="20"/>
      <c r="AC3483" s="20"/>
      <c r="AD3483" s="20"/>
      <c r="AE3483" s="20"/>
    </row>
    <row r="3484">
      <c r="A3484" s="28"/>
      <c r="B3484" s="44"/>
      <c r="C3484" s="44"/>
      <c r="D3484" s="44"/>
      <c r="E3484" s="44"/>
      <c r="F3484" s="44"/>
      <c r="G3484" s="44"/>
      <c r="H3484" s="44"/>
      <c r="I3484" s="44"/>
      <c r="J3484" s="20"/>
      <c r="K3484" s="20"/>
      <c r="L3484" s="20"/>
      <c r="M3484" s="20"/>
      <c r="N3484" s="20"/>
      <c r="O3484" s="20"/>
      <c r="P3484" s="20"/>
      <c r="Q3484" s="20"/>
      <c r="R3484" s="20"/>
      <c r="S3484" s="20"/>
      <c r="T3484" s="20"/>
      <c r="U3484" s="20"/>
      <c r="V3484" s="20"/>
      <c r="W3484" s="20"/>
      <c r="X3484" s="20"/>
      <c r="Y3484" s="20"/>
      <c r="Z3484" s="20"/>
      <c r="AA3484" s="20"/>
      <c r="AB3484" s="20"/>
      <c r="AC3484" s="20"/>
      <c r="AD3484" s="20"/>
      <c r="AE3484" s="20"/>
    </row>
    <row r="3485">
      <c r="A3485" s="28"/>
      <c r="B3485" s="44"/>
      <c r="C3485" s="44"/>
      <c r="D3485" s="44"/>
      <c r="E3485" s="44"/>
      <c r="F3485" s="44"/>
      <c r="G3485" s="44"/>
      <c r="H3485" s="44"/>
      <c r="I3485" s="44"/>
      <c r="J3485" s="20"/>
      <c r="K3485" s="20"/>
      <c r="L3485" s="20"/>
      <c r="M3485" s="20"/>
      <c r="N3485" s="20"/>
      <c r="O3485" s="20"/>
      <c r="P3485" s="20"/>
      <c r="Q3485" s="20"/>
      <c r="R3485" s="20"/>
      <c r="S3485" s="20"/>
      <c r="T3485" s="20"/>
      <c r="U3485" s="20"/>
      <c r="V3485" s="20"/>
      <c r="W3485" s="20"/>
      <c r="X3485" s="20"/>
      <c r="Y3485" s="20"/>
      <c r="Z3485" s="20"/>
      <c r="AA3485" s="20"/>
      <c r="AB3485" s="20"/>
      <c r="AC3485" s="20"/>
      <c r="AD3485" s="20"/>
      <c r="AE3485" s="20"/>
    </row>
    <row r="3486">
      <c r="A3486" s="28"/>
      <c r="B3486" s="44"/>
      <c r="C3486" s="44"/>
      <c r="D3486" s="44"/>
      <c r="E3486" s="44"/>
      <c r="F3486" s="44"/>
      <c r="G3486" s="44"/>
      <c r="H3486" s="44"/>
      <c r="I3486" s="44"/>
      <c r="J3486" s="20"/>
      <c r="K3486" s="20"/>
      <c r="L3486" s="20"/>
      <c r="M3486" s="20"/>
      <c r="N3486" s="20"/>
      <c r="O3486" s="20"/>
      <c r="P3486" s="20"/>
      <c r="Q3486" s="20"/>
      <c r="R3486" s="20"/>
      <c r="S3486" s="20"/>
      <c r="T3486" s="20"/>
      <c r="U3486" s="20"/>
      <c r="V3486" s="20"/>
      <c r="W3486" s="20"/>
      <c r="X3486" s="20"/>
      <c r="Y3486" s="20"/>
      <c r="Z3486" s="20"/>
      <c r="AA3486" s="20"/>
      <c r="AB3486" s="20"/>
      <c r="AC3486" s="20"/>
      <c r="AD3486" s="20"/>
      <c r="AE3486" s="20"/>
    </row>
    <row r="3487">
      <c r="A3487" s="28"/>
      <c r="B3487" s="44"/>
      <c r="C3487" s="44"/>
      <c r="D3487" s="44"/>
      <c r="E3487" s="44"/>
      <c r="F3487" s="44"/>
      <c r="G3487" s="44"/>
      <c r="H3487" s="44"/>
      <c r="I3487" s="44"/>
      <c r="J3487" s="20"/>
      <c r="K3487" s="20"/>
      <c r="L3487" s="20"/>
      <c r="M3487" s="20"/>
      <c r="N3487" s="20"/>
      <c r="O3487" s="20"/>
      <c r="P3487" s="20"/>
      <c r="Q3487" s="20"/>
      <c r="R3487" s="20"/>
      <c r="S3487" s="20"/>
      <c r="T3487" s="20"/>
      <c r="U3487" s="20"/>
      <c r="V3487" s="20"/>
      <c r="W3487" s="20"/>
      <c r="X3487" s="20"/>
      <c r="Y3487" s="20"/>
      <c r="Z3487" s="20"/>
      <c r="AA3487" s="20"/>
      <c r="AB3487" s="20"/>
      <c r="AC3487" s="20"/>
      <c r="AD3487" s="20"/>
      <c r="AE3487" s="20"/>
    </row>
    <row r="3488">
      <c r="A3488" s="28"/>
      <c r="B3488" s="44"/>
      <c r="C3488" s="44"/>
      <c r="D3488" s="44"/>
      <c r="E3488" s="44"/>
      <c r="F3488" s="44"/>
      <c r="G3488" s="44"/>
      <c r="H3488" s="44"/>
      <c r="I3488" s="44"/>
      <c r="J3488" s="20"/>
      <c r="K3488" s="20"/>
      <c r="L3488" s="20"/>
      <c r="M3488" s="20"/>
      <c r="N3488" s="20"/>
      <c r="O3488" s="20"/>
      <c r="P3488" s="20"/>
      <c r="Q3488" s="20"/>
      <c r="R3488" s="20"/>
      <c r="S3488" s="20"/>
      <c r="T3488" s="20"/>
      <c r="U3488" s="20"/>
      <c r="V3488" s="20"/>
      <c r="W3488" s="20"/>
      <c r="X3488" s="20"/>
      <c r="Y3488" s="20"/>
      <c r="Z3488" s="20"/>
      <c r="AA3488" s="20"/>
      <c r="AB3488" s="20"/>
      <c r="AC3488" s="20"/>
      <c r="AD3488" s="20"/>
      <c r="AE3488" s="20"/>
    </row>
    <row r="3489">
      <c r="A3489" s="28"/>
      <c r="B3489" s="44"/>
      <c r="C3489" s="44"/>
      <c r="D3489" s="44"/>
      <c r="E3489" s="44"/>
      <c r="F3489" s="44"/>
      <c r="G3489" s="44"/>
      <c r="H3489" s="44"/>
      <c r="I3489" s="44"/>
      <c r="J3489" s="20"/>
      <c r="K3489" s="20"/>
      <c r="L3489" s="20"/>
      <c r="M3489" s="20"/>
      <c r="N3489" s="20"/>
      <c r="O3489" s="20"/>
      <c r="P3489" s="20"/>
      <c r="Q3489" s="20"/>
      <c r="R3489" s="20"/>
      <c r="S3489" s="20"/>
      <c r="T3489" s="20"/>
      <c r="U3489" s="20"/>
      <c r="V3489" s="20"/>
      <c r="W3489" s="20"/>
      <c r="X3489" s="20"/>
      <c r="Y3489" s="20"/>
      <c r="Z3489" s="20"/>
      <c r="AA3489" s="20"/>
      <c r="AB3489" s="20"/>
      <c r="AC3489" s="20"/>
      <c r="AD3489" s="20"/>
      <c r="AE3489" s="20"/>
    </row>
    <row r="3490">
      <c r="A3490" s="28"/>
      <c r="B3490" s="44"/>
      <c r="C3490" s="44"/>
      <c r="D3490" s="44"/>
      <c r="E3490" s="44"/>
      <c r="F3490" s="44"/>
      <c r="G3490" s="44"/>
      <c r="H3490" s="44"/>
      <c r="I3490" s="44"/>
      <c r="J3490" s="20"/>
      <c r="K3490" s="20"/>
      <c r="L3490" s="20"/>
      <c r="M3490" s="20"/>
      <c r="N3490" s="20"/>
      <c r="O3490" s="20"/>
      <c r="P3490" s="20"/>
      <c r="Q3490" s="20"/>
      <c r="R3490" s="20"/>
      <c r="S3490" s="20"/>
      <c r="T3490" s="20"/>
      <c r="U3490" s="20"/>
      <c r="V3490" s="20"/>
      <c r="W3490" s="20"/>
      <c r="X3490" s="20"/>
      <c r="Y3490" s="20"/>
      <c r="Z3490" s="20"/>
      <c r="AA3490" s="20"/>
      <c r="AB3490" s="20"/>
      <c r="AC3490" s="20"/>
      <c r="AD3490" s="20"/>
      <c r="AE3490" s="20"/>
    </row>
    <row r="3491">
      <c r="A3491" s="28"/>
      <c r="B3491" s="44"/>
      <c r="C3491" s="44"/>
      <c r="D3491" s="44"/>
      <c r="E3491" s="44"/>
      <c r="F3491" s="44"/>
      <c r="G3491" s="44"/>
      <c r="H3491" s="44"/>
      <c r="I3491" s="44"/>
      <c r="J3491" s="20"/>
      <c r="K3491" s="20"/>
      <c r="L3491" s="20"/>
      <c r="M3491" s="20"/>
      <c r="N3491" s="20"/>
      <c r="O3491" s="20"/>
      <c r="P3491" s="20"/>
      <c r="Q3491" s="20"/>
      <c r="R3491" s="20"/>
      <c r="S3491" s="20"/>
      <c r="T3491" s="20"/>
      <c r="U3491" s="20"/>
      <c r="V3491" s="20"/>
      <c r="W3491" s="20"/>
      <c r="X3491" s="20"/>
      <c r="Y3491" s="20"/>
      <c r="Z3491" s="20"/>
      <c r="AA3491" s="20"/>
      <c r="AB3491" s="20"/>
      <c r="AC3491" s="20"/>
      <c r="AD3491" s="20"/>
      <c r="AE3491" s="20"/>
    </row>
    <row r="3492">
      <c r="A3492" s="28"/>
      <c r="B3492" s="44"/>
      <c r="C3492" s="44"/>
      <c r="D3492" s="44"/>
      <c r="E3492" s="44"/>
      <c r="F3492" s="44"/>
      <c r="G3492" s="44"/>
      <c r="H3492" s="44"/>
      <c r="I3492" s="44"/>
      <c r="J3492" s="20"/>
      <c r="K3492" s="20"/>
      <c r="L3492" s="20"/>
      <c r="M3492" s="20"/>
      <c r="N3492" s="20"/>
      <c r="O3492" s="20"/>
      <c r="P3492" s="20"/>
      <c r="Q3492" s="20"/>
      <c r="R3492" s="20"/>
      <c r="S3492" s="20"/>
      <c r="T3492" s="20"/>
      <c r="U3492" s="20"/>
      <c r="V3492" s="20"/>
      <c r="W3492" s="20"/>
      <c r="X3492" s="20"/>
      <c r="Y3492" s="20"/>
      <c r="Z3492" s="20"/>
      <c r="AA3492" s="20"/>
      <c r="AB3492" s="20"/>
      <c r="AC3492" s="20"/>
      <c r="AD3492" s="20"/>
      <c r="AE3492" s="20"/>
    </row>
    <row r="3493">
      <c r="A3493" s="28"/>
      <c r="B3493" s="44"/>
      <c r="C3493" s="44"/>
      <c r="D3493" s="44"/>
      <c r="E3493" s="44"/>
      <c r="F3493" s="44"/>
      <c r="G3493" s="44"/>
      <c r="H3493" s="44"/>
      <c r="I3493" s="44"/>
      <c r="J3493" s="20"/>
      <c r="K3493" s="20"/>
      <c r="L3493" s="20"/>
      <c r="M3493" s="20"/>
      <c r="N3493" s="20"/>
      <c r="O3493" s="20"/>
      <c r="P3493" s="20"/>
      <c r="Q3493" s="20"/>
      <c r="R3493" s="20"/>
      <c r="S3493" s="20"/>
      <c r="T3493" s="20"/>
      <c r="U3493" s="20"/>
      <c r="V3493" s="20"/>
      <c r="W3493" s="20"/>
      <c r="X3493" s="20"/>
      <c r="Y3493" s="20"/>
      <c r="Z3493" s="20"/>
      <c r="AA3493" s="20"/>
      <c r="AB3493" s="20"/>
      <c r="AC3493" s="20"/>
      <c r="AD3493" s="20"/>
      <c r="AE3493" s="20"/>
    </row>
    <row r="3494">
      <c r="A3494" s="28"/>
      <c r="B3494" s="44"/>
      <c r="C3494" s="44"/>
      <c r="D3494" s="44"/>
      <c r="E3494" s="44"/>
      <c r="F3494" s="44"/>
      <c r="G3494" s="44"/>
      <c r="H3494" s="44"/>
      <c r="I3494" s="44"/>
      <c r="J3494" s="20"/>
      <c r="K3494" s="20"/>
      <c r="L3494" s="20"/>
      <c r="M3494" s="20"/>
      <c r="N3494" s="20"/>
      <c r="O3494" s="20"/>
      <c r="P3494" s="20"/>
      <c r="Q3494" s="20"/>
      <c r="R3494" s="20"/>
      <c r="S3494" s="20"/>
      <c r="T3494" s="20"/>
      <c r="U3494" s="20"/>
      <c r="V3494" s="20"/>
      <c r="W3494" s="20"/>
      <c r="X3494" s="20"/>
      <c r="Y3494" s="20"/>
      <c r="Z3494" s="20"/>
      <c r="AA3494" s="20"/>
      <c r="AB3494" s="20"/>
      <c r="AC3494" s="20"/>
      <c r="AD3494" s="20"/>
      <c r="AE3494" s="20"/>
    </row>
    <row r="3495">
      <c r="A3495" s="28"/>
      <c r="B3495" s="44"/>
      <c r="C3495" s="44"/>
      <c r="D3495" s="44"/>
      <c r="E3495" s="44"/>
      <c r="F3495" s="44"/>
      <c r="G3495" s="44"/>
      <c r="H3495" s="44"/>
      <c r="I3495" s="44"/>
      <c r="J3495" s="20"/>
      <c r="K3495" s="20"/>
      <c r="L3495" s="20"/>
      <c r="M3495" s="20"/>
      <c r="N3495" s="20"/>
      <c r="O3495" s="20"/>
      <c r="P3495" s="20"/>
      <c r="Q3495" s="20"/>
      <c r="R3495" s="20"/>
      <c r="S3495" s="20"/>
      <c r="T3495" s="20"/>
      <c r="U3495" s="20"/>
      <c r="V3495" s="20"/>
      <c r="W3495" s="20"/>
      <c r="X3495" s="20"/>
      <c r="Y3495" s="20"/>
      <c r="Z3495" s="20"/>
      <c r="AA3495" s="20"/>
      <c r="AB3495" s="20"/>
      <c r="AC3495" s="20"/>
      <c r="AD3495" s="20"/>
      <c r="AE3495" s="20"/>
    </row>
    <row r="3496">
      <c r="A3496" s="28"/>
      <c r="B3496" s="44"/>
      <c r="C3496" s="44"/>
      <c r="D3496" s="44"/>
      <c r="E3496" s="44"/>
      <c r="F3496" s="44"/>
      <c r="G3496" s="44"/>
      <c r="H3496" s="44"/>
      <c r="I3496" s="44"/>
      <c r="J3496" s="20"/>
      <c r="K3496" s="20"/>
      <c r="L3496" s="20"/>
      <c r="M3496" s="20"/>
      <c r="N3496" s="20"/>
      <c r="O3496" s="20"/>
      <c r="P3496" s="20"/>
      <c r="Q3496" s="20"/>
      <c r="R3496" s="20"/>
      <c r="S3496" s="20"/>
      <c r="T3496" s="20"/>
      <c r="U3496" s="20"/>
      <c r="V3496" s="20"/>
      <c r="W3496" s="20"/>
      <c r="X3496" s="20"/>
      <c r="Y3496" s="20"/>
      <c r="Z3496" s="20"/>
      <c r="AA3496" s="20"/>
      <c r="AB3496" s="20"/>
      <c r="AC3496" s="20"/>
      <c r="AD3496" s="20"/>
      <c r="AE3496" s="20"/>
    </row>
    <row r="3497">
      <c r="A3497" s="28"/>
      <c r="B3497" s="44"/>
      <c r="C3497" s="44"/>
      <c r="D3497" s="44"/>
      <c r="E3497" s="44"/>
      <c r="F3497" s="44"/>
      <c r="G3497" s="44"/>
      <c r="H3497" s="44"/>
      <c r="I3497" s="44"/>
      <c r="J3497" s="20"/>
      <c r="K3497" s="20"/>
      <c r="L3497" s="20"/>
      <c r="M3497" s="20"/>
      <c r="N3497" s="20"/>
      <c r="O3497" s="20"/>
      <c r="P3497" s="20"/>
      <c r="Q3497" s="20"/>
      <c r="R3497" s="20"/>
      <c r="S3497" s="20"/>
      <c r="T3497" s="20"/>
      <c r="U3497" s="20"/>
      <c r="V3497" s="20"/>
      <c r="W3497" s="20"/>
      <c r="X3497" s="20"/>
      <c r="Y3497" s="20"/>
      <c r="Z3497" s="20"/>
      <c r="AA3497" s="20"/>
      <c r="AB3497" s="20"/>
      <c r="AC3497" s="20"/>
      <c r="AD3497" s="20"/>
      <c r="AE3497" s="20"/>
    </row>
    <row r="3498">
      <c r="A3498" s="28"/>
      <c r="B3498" s="44"/>
      <c r="C3498" s="44"/>
      <c r="D3498" s="44"/>
      <c r="E3498" s="44"/>
      <c r="F3498" s="44"/>
      <c r="G3498" s="44"/>
      <c r="H3498" s="44"/>
      <c r="I3498" s="44"/>
      <c r="J3498" s="20"/>
      <c r="K3498" s="20"/>
      <c r="L3498" s="20"/>
      <c r="M3498" s="20"/>
      <c r="N3498" s="20"/>
      <c r="O3498" s="20"/>
      <c r="P3498" s="20"/>
      <c r="Q3498" s="20"/>
      <c r="R3498" s="20"/>
      <c r="S3498" s="20"/>
      <c r="T3498" s="20"/>
      <c r="U3498" s="20"/>
      <c r="V3498" s="20"/>
      <c r="W3498" s="20"/>
      <c r="X3498" s="20"/>
      <c r="Y3498" s="20"/>
      <c r="Z3498" s="20"/>
      <c r="AA3498" s="20"/>
      <c r="AB3498" s="20"/>
      <c r="AC3498" s="20"/>
      <c r="AD3498" s="20"/>
      <c r="AE3498" s="20"/>
    </row>
    <row r="3499">
      <c r="A3499" s="28"/>
      <c r="B3499" s="44"/>
      <c r="C3499" s="44"/>
      <c r="D3499" s="44"/>
      <c r="E3499" s="44"/>
      <c r="F3499" s="44"/>
      <c r="G3499" s="44"/>
      <c r="H3499" s="44"/>
      <c r="I3499" s="44"/>
      <c r="J3499" s="20"/>
      <c r="K3499" s="20"/>
      <c r="L3499" s="20"/>
      <c r="M3499" s="20"/>
      <c r="N3499" s="20"/>
      <c r="O3499" s="20"/>
      <c r="P3499" s="20"/>
      <c r="Q3499" s="20"/>
      <c r="R3499" s="20"/>
      <c r="S3499" s="20"/>
      <c r="T3499" s="20"/>
      <c r="U3499" s="20"/>
      <c r="V3499" s="20"/>
      <c r="W3499" s="20"/>
      <c r="X3499" s="20"/>
      <c r="Y3499" s="20"/>
      <c r="Z3499" s="20"/>
      <c r="AA3499" s="20"/>
      <c r="AB3499" s="20"/>
      <c r="AC3499" s="20"/>
      <c r="AD3499" s="20"/>
      <c r="AE3499" s="20"/>
    </row>
    <row r="3500">
      <c r="A3500" s="28"/>
      <c r="B3500" s="44"/>
      <c r="C3500" s="44"/>
      <c r="D3500" s="44"/>
      <c r="E3500" s="44"/>
      <c r="F3500" s="44"/>
      <c r="G3500" s="44"/>
      <c r="H3500" s="44"/>
      <c r="I3500" s="44"/>
      <c r="J3500" s="20"/>
      <c r="K3500" s="20"/>
      <c r="L3500" s="20"/>
      <c r="M3500" s="20"/>
      <c r="N3500" s="20"/>
      <c r="O3500" s="20"/>
      <c r="P3500" s="20"/>
      <c r="Q3500" s="20"/>
      <c r="R3500" s="20"/>
      <c r="S3500" s="20"/>
      <c r="T3500" s="20"/>
      <c r="U3500" s="20"/>
      <c r="V3500" s="20"/>
      <c r="W3500" s="20"/>
      <c r="X3500" s="20"/>
      <c r="Y3500" s="20"/>
      <c r="Z3500" s="20"/>
      <c r="AA3500" s="20"/>
      <c r="AB3500" s="20"/>
      <c r="AC3500" s="20"/>
      <c r="AD3500" s="20"/>
      <c r="AE3500" s="20"/>
    </row>
    <row r="3501">
      <c r="A3501" s="28"/>
      <c r="B3501" s="44"/>
      <c r="C3501" s="44"/>
      <c r="D3501" s="44"/>
      <c r="E3501" s="44"/>
      <c r="F3501" s="44"/>
      <c r="G3501" s="44"/>
      <c r="H3501" s="44"/>
      <c r="I3501" s="44"/>
      <c r="J3501" s="20"/>
      <c r="K3501" s="20"/>
      <c r="L3501" s="20"/>
      <c r="M3501" s="20"/>
      <c r="N3501" s="20"/>
      <c r="O3501" s="20"/>
      <c r="P3501" s="20"/>
      <c r="Q3501" s="20"/>
      <c r="R3501" s="20"/>
      <c r="S3501" s="20"/>
      <c r="T3501" s="20"/>
      <c r="U3501" s="20"/>
      <c r="V3501" s="20"/>
      <c r="W3501" s="20"/>
      <c r="X3501" s="20"/>
      <c r="Y3501" s="20"/>
      <c r="Z3501" s="20"/>
      <c r="AA3501" s="20"/>
      <c r="AB3501" s="20"/>
      <c r="AC3501" s="20"/>
      <c r="AD3501" s="20"/>
      <c r="AE3501" s="20"/>
    </row>
    <row r="3502">
      <c r="A3502" s="28"/>
      <c r="B3502" s="44"/>
      <c r="C3502" s="44"/>
      <c r="D3502" s="44"/>
      <c r="E3502" s="44"/>
      <c r="F3502" s="44"/>
      <c r="G3502" s="44"/>
      <c r="H3502" s="44"/>
      <c r="I3502" s="44"/>
      <c r="J3502" s="20"/>
      <c r="K3502" s="20"/>
      <c r="L3502" s="20"/>
      <c r="M3502" s="20"/>
      <c r="N3502" s="20"/>
      <c r="O3502" s="20"/>
      <c r="P3502" s="20"/>
      <c r="Q3502" s="20"/>
      <c r="R3502" s="20"/>
      <c r="S3502" s="20"/>
      <c r="T3502" s="20"/>
      <c r="U3502" s="20"/>
      <c r="V3502" s="20"/>
      <c r="W3502" s="20"/>
      <c r="X3502" s="20"/>
      <c r="Y3502" s="20"/>
      <c r="Z3502" s="20"/>
      <c r="AA3502" s="20"/>
      <c r="AB3502" s="20"/>
      <c r="AC3502" s="20"/>
      <c r="AD3502" s="20"/>
      <c r="AE3502" s="20"/>
    </row>
    <row r="3503">
      <c r="A3503" s="28"/>
      <c r="B3503" s="44"/>
      <c r="C3503" s="44"/>
      <c r="D3503" s="44"/>
      <c r="E3503" s="44"/>
      <c r="F3503" s="44"/>
      <c r="G3503" s="44"/>
      <c r="H3503" s="44"/>
      <c r="I3503" s="44"/>
      <c r="J3503" s="20"/>
      <c r="K3503" s="20"/>
      <c r="L3503" s="20"/>
      <c r="M3503" s="20"/>
      <c r="N3503" s="20"/>
      <c r="O3503" s="20"/>
      <c r="P3503" s="20"/>
      <c r="Q3503" s="20"/>
      <c r="R3503" s="20"/>
      <c r="S3503" s="20"/>
      <c r="T3503" s="20"/>
      <c r="U3503" s="20"/>
      <c r="V3503" s="20"/>
      <c r="W3503" s="20"/>
      <c r="X3503" s="20"/>
      <c r="Y3503" s="20"/>
      <c r="Z3503" s="20"/>
      <c r="AA3503" s="20"/>
      <c r="AB3503" s="20"/>
      <c r="AC3503" s="20"/>
      <c r="AD3503" s="20"/>
      <c r="AE3503" s="20"/>
    </row>
    <row r="3504">
      <c r="A3504" s="28"/>
      <c r="B3504" s="44"/>
      <c r="C3504" s="44"/>
      <c r="D3504" s="44"/>
      <c r="E3504" s="44"/>
      <c r="F3504" s="44"/>
      <c r="G3504" s="44"/>
      <c r="H3504" s="44"/>
      <c r="I3504" s="44"/>
      <c r="J3504" s="20"/>
      <c r="K3504" s="20"/>
      <c r="L3504" s="20"/>
      <c r="M3504" s="20"/>
      <c r="N3504" s="20"/>
      <c r="O3504" s="20"/>
      <c r="P3504" s="20"/>
      <c r="Q3504" s="20"/>
      <c r="R3504" s="20"/>
      <c r="S3504" s="20"/>
      <c r="T3504" s="20"/>
      <c r="U3504" s="20"/>
      <c r="V3504" s="20"/>
      <c r="W3504" s="20"/>
      <c r="X3504" s="20"/>
      <c r="Y3504" s="20"/>
      <c r="Z3504" s="20"/>
      <c r="AA3504" s="20"/>
      <c r="AB3504" s="20"/>
      <c r="AC3504" s="20"/>
      <c r="AD3504" s="20"/>
      <c r="AE3504" s="20"/>
    </row>
    <row r="3505">
      <c r="A3505" s="28"/>
      <c r="B3505" s="44"/>
      <c r="C3505" s="44"/>
      <c r="D3505" s="44"/>
      <c r="E3505" s="44"/>
      <c r="F3505" s="44"/>
      <c r="G3505" s="44"/>
      <c r="H3505" s="44"/>
      <c r="I3505" s="44"/>
      <c r="J3505" s="20"/>
      <c r="K3505" s="20"/>
      <c r="L3505" s="20"/>
      <c r="M3505" s="20"/>
      <c r="N3505" s="20"/>
      <c r="O3505" s="20"/>
      <c r="P3505" s="20"/>
      <c r="Q3505" s="20"/>
      <c r="R3505" s="20"/>
      <c r="S3505" s="20"/>
      <c r="T3505" s="20"/>
      <c r="U3505" s="20"/>
      <c r="V3505" s="20"/>
      <c r="W3505" s="20"/>
      <c r="X3505" s="20"/>
      <c r="Y3505" s="20"/>
      <c r="Z3505" s="20"/>
      <c r="AA3505" s="20"/>
      <c r="AB3505" s="20"/>
      <c r="AC3505" s="20"/>
      <c r="AD3505" s="20"/>
      <c r="AE3505" s="20"/>
    </row>
    <row r="3506">
      <c r="A3506" s="28"/>
      <c r="B3506" s="44"/>
      <c r="C3506" s="44"/>
      <c r="D3506" s="44"/>
      <c r="E3506" s="44"/>
      <c r="F3506" s="44"/>
      <c r="G3506" s="44"/>
      <c r="H3506" s="44"/>
      <c r="I3506" s="44"/>
      <c r="J3506" s="20"/>
      <c r="K3506" s="20"/>
      <c r="L3506" s="20"/>
      <c r="M3506" s="20"/>
      <c r="N3506" s="20"/>
      <c r="O3506" s="20"/>
      <c r="P3506" s="20"/>
      <c r="Q3506" s="20"/>
      <c r="R3506" s="20"/>
      <c r="S3506" s="20"/>
      <c r="T3506" s="20"/>
      <c r="U3506" s="20"/>
      <c r="V3506" s="20"/>
      <c r="W3506" s="20"/>
      <c r="X3506" s="20"/>
      <c r="Y3506" s="20"/>
      <c r="Z3506" s="20"/>
      <c r="AA3506" s="20"/>
      <c r="AB3506" s="20"/>
      <c r="AC3506" s="20"/>
      <c r="AD3506" s="20"/>
      <c r="AE3506" s="20"/>
    </row>
    <row r="3507">
      <c r="A3507" s="28"/>
      <c r="B3507" s="44"/>
      <c r="C3507" s="44"/>
      <c r="D3507" s="44"/>
      <c r="E3507" s="44"/>
      <c r="F3507" s="44"/>
      <c r="G3507" s="44"/>
      <c r="H3507" s="44"/>
      <c r="I3507" s="44"/>
      <c r="J3507" s="20"/>
      <c r="K3507" s="20"/>
      <c r="L3507" s="20"/>
      <c r="M3507" s="20"/>
      <c r="N3507" s="20"/>
      <c r="O3507" s="20"/>
      <c r="P3507" s="20"/>
      <c r="Q3507" s="20"/>
      <c r="R3507" s="20"/>
      <c r="S3507" s="20"/>
      <c r="T3507" s="20"/>
      <c r="U3507" s="20"/>
      <c r="V3507" s="20"/>
      <c r="W3507" s="20"/>
      <c r="X3507" s="20"/>
      <c r="Y3507" s="20"/>
      <c r="Z3507" s="20"/>
      <c r="AA3507" s="20"/>
      <c r="AB3507" s="20"/>
      <c r="AC3507" s="20"/>
      <c r="AD3507" s="20"/>
      <c r="AE3507" s="20"/>
    </row>
    <row r="3508">
      <c r="A3508" s="28"/>
      <c r="B3508" s="44"/>
      <c r="C3508" s="44"/>
      <c r="D3508" s="44"/>
      <c r="E3508" s="44"/>
      <c r="F3508" s="44"/>
      <c r="G3508" s="44"/>
      <c r="H3508" s="44"/>
      <c r="I3508" s="44"/>
      <c r="J3508" s="20"/>
      <c r="K3508" s="20"/>
      <c r="L3508" s="20"/>
      <c r="M3508" s="20"/>
      <c r="N3508" s="20"/>
      <c r="O3508" s="20"/>
      <c r="P3508" s="20"/>
      <c r="Q3508" s="20"/>
      <c r="R3508" s="20"/>
      <c r="S3508" s="20"/>
      <c r="T3508" s="20"/>
      <c r="U3508" s="20"/>
      <c r="V3508" s="20"/>
      <c r="W3508" s="20"/>
      <c r="X3508" s="20"/>
      <c r="Y3508" s="20"/>
      <c r="Z3508" s="20"/>
      <c r="AA3508" s="20"/>
      <c r="AB3508" s="20"/>
      <c r="AC3508" s="20"/>
      <c r="AD3508" s="20"/>
      <c r="AE3508" s="20"/>
    </row>
    <row r="3509">
      <c r="A3509" s="28"/>
      <c r="B3509" s="44"/>
      <c r="C3509" s="44"/>
      <c r="D3509" s="44"/>
      <c r="E3509" s="44"/>
      <c r="F3509" s="44"/>
      <c r="G3509" s="44"/>
      <c r="H3509" s="44"/>
      <c r="I3509" s="44"/>
      <c r="J3509" s="20"/>
      <c r="K3509" s="20"/>
      <c r="L3509" s="20"/>
      <c r="M3509" s="20"/>
      <c r="N3509" s="20"/>
      <c r="O3509" s="20"/>
      <c r="P3509" s="20"/>
      <c r="Q3509" s="20"/>
      <c r="R3509" s="20"/>
      <c r="S3509" s="20"/>
      <c r="T3509" s="20"/>
      <c r="U3509" s="20"/>
      <c r="V3509" s="20"/>
      <c r="W3509" s="20"/>
      <c r="X3509" s="20"/>
      <c r="Y3509" s="20"/>
      <c r="Z3509" s="20"/>
      <c r="AA3509" s="20"/>
      <c r="AB3509" s="20"/>
      <c r="AC3509" s="20"/>
      <c r="AD3509" s="20"/>
      <c r="AE3509" s="20"/>
    </row>
    <row r="3510">
      <c r="A3510" s="28"/>
      <c r="B3510" s="44"/>
      <c r="C3510" s="44"/>
      <c r="D3510" s="44"/>
      <c r="E3510" s="44"/>
      <c r="F3510" s="44"/>
      <c r="G3510" s="44"/>
      <c r="H3510" s="44"/>
      <c r="I3510" s="44"/>
      <c r="J3510" s="20"/>
      <c r="K3510" s="20"/>
      <c r="L3510" s="20"/>
      <c r="M3510" s="20"/>
      <c r="N3510" s="20"/>
      <c r="O3510" s="20"/>
      <c r="P3510" s="20"/>
      <c r="Q3510" s="20"/>
      <c r="R3510" s="20"/>
      <c r="S3510" s="20"/>
      <c r="T3510" s="20"/>
      <c r="U3510" s="20"/>
      <c r="V3510" s="20"/>
      <c r="W3510" s="20"/>
      <c r="X3510" s="20"/>
      <c r="Y3510" s="20"/>
      <c r="Z3510" s="20"/>
      <c r="AA3510" s="20"/>
      <c r="AB3510" s="20"/>
      <c r="AC3510" s="20"/>
      <c r="AD3510" s="20"/>
      <c r="AE3510" s="20"/>
    </row>
    <row r="3511">
      <c r="A3511" s="28"/>
      <c r="B3511" s="44"/>
      <c r="C3511" s="44"/>
      <c r="D3511" s="44"/>
      <c r="E3511" s="44"/>
      <c r="F3511" s="44"/>
      <c r="G3511" s="44"/>
      <c r="H3511" s="44"/>
      <c r="I3511" s="44"/>
      <c r="J3511" s="20"/>
      <c r="K3511" s="20"/>
      <c r="L3511" s="20"/>
      <c r="M3511" s="20"/>
      <c r="N3511" s="20"/>
      <c r="O3511" s="20"/>
      <c r="P3511" s="20"/>
      <c r="Q3511" s="20"/>
      <c r="R3511" s="20"/>
      <c r="S3511" s="20"/>
      <c r="T3511" s="20"/>
      <c r="U3511" s="20"/>
      <c r="V3511" s="20"/>
      <c r="W3511" s="20"/>
      <c r="X3511" s="20"/>
      <c r="Y3511" s="20"/>
      <c r="Z3511" s="20"/>
      <c r="AA3511" s="20"/>
      <c r="AB3511" s="20"/>
      <c r="AC3511" s="20"/>
      <c r="AD3511" s="20"/>
      <c r="AE3511" s="20"/>
    </row>
    <row r="3512">
      <c r="A3512" s="28"/>
      <c r="B3512" s="44"/>
      <c r="C3512" s="44"/>
      <c r="D3512" s="44"/>
      <c r="E3512" s="44"/>
      <c r="F3512" s="44"/>
      <c r="G3512" s="44"/>
      <c r="H3512" s="44"/>
      <c r="I3512" s="44"/>
      <c r="J3512" s="20"/>
      <c r="K3512" s="20"/>
      <c r="L3512" s="20"/>
      <c r="M3512" s="20"/>
      <c r="N3512" s="20"/>
      <c r="O3512" s="20"/>
      <c r="P3512" s="20"/>
      <c r="Q3512" s="20"/>
      <c r="R3512" s="20"/>
      <c r="S3512" s="20"/>
      <c r="T3512" s="20"/>
      <c r="U3512" s="20"/>
      <c r="V3512" s="20"/>
      <c r="W3512" s="20"/>
      <c r="X3512" s="20"/>
      <c r="Y3512" s="20"/>
      <c r="Z3512" s="20"/>
      <c r="AA3512" s="20"/>
      <c r="AB3512" s="20"/>
      <c r="AC3512" s="20"/>
      <c r="AD3512" s="20"/>
      <c r="AE3512" s="20"/>
    </row>
    <row r="3513">
      <c r="A3513" s="28"/>
      <c r="B3513" s="44"/>
      <c r="C3513" s="44"/>
      <c r="D3513" s="44"/>
      <c r="E3513" s="44"/>
      <c r="F3513" s="44"/>
      <c r="G3513" s="44"/>
      <c r="H3513" s="44"/>
      <c r="I3513" s="44"/>
      <c r="J3513" s="20"/>
      <c r="K3513" s="20"/>
      <c r="L3513" s="20"/>
      <c r="M3513" s="20"/>
      <c r="N3513" s="20"/>
      <c r="O3513" s="20"/>
      <c r="P3513" s="20"/>
      <c r="Q3513" s="20"/>
      <c r="R3513" s="20"/>
      <c r="S3513" s="20"/>
      <c r="T3513" s="20"/>
      <c r="U3513" s="20"/>
      <c r="V3513" s="20"/>
      <c r="W3513" s="20"/>
      <c r="X3513" s="20"/>
      <c r="Y3513" s="20"/>
      <c r="Z3513" s="20"/>
      <c r="AA3513" s="20"/>
      <c r="AB3513" s="20"/>
      <c r="AC3513" s="20"/>
      <c r="AD3513" s="20"/>
      <c r="AE3513" s="20"/>
    </row>
    <row r="3514">
      <c r="A3514" s="28"/>
      <c r="B3514" s="44"/>
      <c r="C3514" s="44"/>
      <c r="D3514" s="44"/>
      <c r="E3514" s="44"/>
      <c r="F3514" s="44"/>
      <c r="G3514" s="44"/>
      <c r="H3514" s="44"/>
      <c r="I3514" s="44"/>
      <c r="J3514" s="20"/>
      <c r="K3514" s="20"/>
      <c r="L3514" s="20"/>
      <c r="M3514" s="20"/>
      <c r="N3514" s="20"/>
      <c r="O3514" s="20"/>
      <c r="P3514" s="20"/>
      <c r="Q3514" s="20"/>
      <c r="R3514" s="20"/>
      <c r="S3514" s="20"/>
      <c r="T3514" s="20"/>
      <c r="U3514" s="20"/>
      <c r="V3514" s="20"/>
      <c r="W3514" s="20"/>
      <c r="X3514" s="20"/>
      <c r="Y3514" s="20"/>
      <c r="Z3514" s="20"/>
      <c r="AA3514" s="20"/>
      <c r="AB3514" s="20"/>
      <c r="AC3514" s="20"/>
      <c r="AD3514" s="20"/>
      <c r="AE3514" s="20"/>
    </row>
    <row r="3515">
      <c r="A3515" s="28"/>
      <c r="B3515" s="44"/>
      <c r="C3515" s="44"/>
      <c r="D3515" s="44"/>
      <c r="E3515" s="44"/>
      <c r="F3515" s="44"/>
      <c r="G3515" s="44"/>
      <c r="H3515" s="44"/>
      <c r="I3515" s="44"/>
      <c r="J3515" s="20"/>
      <c r="K3515" s="20"/>
      <c r="L3515" s="20"/>
      <c r="M3515" s="20"/>
      <c r="N3515" s="20"/>
      <c r="O3515" s="20"/>
      <c r="P3515" s="20"/>
      <c r="Q3515" s="20"/>
      <c r="R3515" s="20"/>
      <c r="S3515" s="20"/>
      <c r="T3515" s="20"/>
      <c r="U3515" s="20"/>
      <c r="V3515" s="20"/>
      <c r="W3515" s="20"/>
      <c r="X3515" s="20"/>
      <c r="Y3515" s="20"/>
      <c r="Z3515" s="20"/>
      <c r="AA3515" s="20"/>
      <c r="AB3515" s="20"/>
      <c r="AC3515" s="20"/>
      <c r="AD3515" s="20"/>
      <c r="AE3515" s="20"/>
    </row>
    <row r="3516">
      <c r="A3516" s="28"/>
      <c r="B3516" s="44"/>
      <c r="C3516" s="44"/>
      <c r="D3516" s="44"/>
      <c r="E3516" s="44"/>
      <c r="F3516" s="44"/>
      <c r="G3516" s="44"/>
      <c r="H3516" s="44"/>
      <c r="I3516" s="44"/>
      <c r="J3516" s="20"/>
      <c r="K3516" s="20"/>
      <c r="L3516" s="20"/>
      <c r="M3516" s="20"/>
      <c r="N3516" s="20"/>
      <c r="O3516" s="20"/>
      <c r="P3516" s="20"/>
      <c r="Q3516" s="20"/>
      <c r="R3516" s="20"/>
      <c r="S3516" s="20"/>
      <c r="T3516" s="20"/>
      <c r="U3516" s="20"/>
      <c r="V3516" s="20"/>
      <c r="W3516" s="20"/>
      <c r="X3516" s="20"/>
      <c r="Y3516" s="20"/>
      <c r="Z3516" s="20"/>
      <c r="AA3516" s="20"/>
      <c r="AB3516" s="20"/>
      <c r="AC3516" s="20"/>
      <c r="AD3516" s="20"/>
      <c r="AE3516" s="20"/>
    </row>
    <row r="3517">
      <c r="A3517" s="28"/>
      <c r="B3517" s="44"/>
      <c r="C3517" s="44"/>
      <c r="D3517" s="44"/>
      <c r="E3517" s="44"/>
      <c r="F3517" s="44"/>
      <c r="G3517" s="44"/>
      <c r="H3517" s="44"/>
      <c r="I3517" s="44"/>
      <c r="J3517" s="20"/>
      <c r="K3517" s="20"/>
      <c r="L3517" s="20"/>
      <c r="M3517" s="20"/>
      <c r="N3517" s="20"/>
      <c r="O3517" s="20"/>
      <c r="P3517" s="20"/>
      <c r="Q3517" s="20"/>
      <c r="R3517" s="20"/>
      <c r="S3517" s="20"/>
      <c r="T3517" s="20"/>
      <c r="U3517" s="20"/>
      <c r="V3517" s="20"/>
      <c r="W3517" s="20"/>
      <c r="X3517" s="20"/>
      <c r="Y3517" s="20"/>
      <c r="Z3517" s="20"/>
      <c r="AA3517" s="20"/>
      <c r="AB3517" s="20"/>
      <c r="AC3517" s="20"/>
      <c r="AD3517" s="20"/>
      <c r="AE3517" s="20"/>
    </row>
    <row r="3518">
      <c r="A3518" s="28"/>
      <c r="B3518" s="44"/>
      <c r="C3518" s="44"/>
      <c r="D3518" s="44"/>
      <c r="E3518" s="44"/>
      <c r="F3518" s="44"/>
      <c r="G3518" s="44"/>
      <c r="H3518" s="44"/>
      <c r="I3518" s="44"/>
      <c r="J3518" s="20"/>
      <c r="K3518" s="20"/>
      <c r="L3518" s="20"/>
      <c r="M3518" s="20"/>
      <c r="N3518" s="20"/>
      <c r="O3518" s="20"/>
      <c r="P3518" s="20"/>
      <c r="Q3518" s="20"/>
      <c r="R3518" s="20"/>
      <c r="S3518" s="20"/>
      <c r="T3518" s="20"/>
      <c r="U3518" s="20"/>
      <c r="V3518" s="20"/>
      <c r="W3518" s="20"/>
      <c r="X3518" s="20"/>
      <c r="Y3518" s="20"/>
      <c r="Z3518" s="20"/>
      <c r="AA3518" s="20"/>
      <c r="AB3518" s="20"/>
      <c r="AC3518" s="20"/>
      <c r="AD3518" s="20"/>
      <c r="AE3518" s="20"/>
    </row>
    <row r="3519">
      <c r="A3519" s="28"/>
      <c r="B3519" s="44"/>
      <c r="C3519" s="44"/>
      <c r="D3519" s="44"/>
      <c r="E3519" s="44"/>
      <c r="F3519" s="44"/>
      <c r="G3519" s="44"/>
      <c r="H3519" s="44"/>
      <c r="I3519" s="44"/>
      <c r="J3519" s="20"/>
      <c r="K3519" s="20"/>
      <c r="L3519" s="20"/>
      <c r="M3519" s="20"/>
      <c r="N3519" s="20"/>
      <c r="O3519" s="20"/>
      <c r="P3519" s="20"/>
      <c r="Q3519" s="20"/>
      <c r="R3519" s="20"/>
      <c r="S3519" s="20"/>
      <c r="T3519" s="20"/>
      <c r="U3519" s="20"/>
      <c r="V3519" s="20"/>
      <c r="W3519" s="20"/>
      <c r="X3519" s="20"/>
      <c r="Y3519" s="20"/>
      <c r="Z3519" s="20"/>
      <c r="AA3519" s="20"/>
      <c r="AB3519" s="20"/>
      <c r="AC3519" s="20"/>
      <c r="AD3519" s="20"/>
      <c r="AE3519" s="20"/>
    </row>
    <row r="3520">
      <c r="A3520" s="28"/>
      <c r="B3520" s="44"/>
      <c r="C3520" s="44"/>
      <c r="D3520" s="44"/>
      <c r="E3520" s="44"/>
      <c r="F3520" s="44"/>
      <c r="G3520" s="44"/>
      <c r="H3520" s="44"/>
      <c r="I3520" s="44"/>
      <c r="J3520" s="20"/>
      <c r="K3520" s="20"/>
      <c r="L3520" s="20"/>
      <c r="M3520" s="20"/>
      <c r="N3520" s="20"/>
      <c r="O3520" s="20"/>
      <c r="P3520" s="20"/>
      <c r="Q3520" s="20"/>
      <c r="R3520" s="20"/>
      <c r="S3520" s="20"/>
      <c r="T3520" s="20"/>
      <c r="U3520" s="20"/>
      <c r="V3520" s="20"/>
      <c r="W3520" s="20"/>
      <c r="X3520" s="20"/>
      <c r="Y3520" s="20"/>
      <c r="Z3520" s="20"/>
      <c r="AA3520" s="20"/>
      <c r="AB3520" s="20"/>
      <c r="AC3520" s="20"/>
      <c r="AD3520" s="20"/>
      <c r="AE3520" s="20"/>
    </row>
    <row r="3521">
      <c r="A3521" s="28"/>
      <c r="B3521" s="44"/>
      <c r="C3521" s="44"/>
      <c r="D3521" s="44"/>
      <c r="E3521" s="44"/>
      <c r="F3521" s="44"/>
      <c r="G3521" s="44"/>
      <c r="H3521" s="44"/>
      <c r="I3521" s="44"/>
      <c r="J3521" s="20"/>
      <c r="K3521" s="20"/>
      <c r="L3521" s="20"/>
      <c r="M3521" s="20"/>
      <c r="N3521" s="20"/>
      <c r="O3521" s="20"/>
      <c r="P3521" s="20"/>
      <c r="Q3521" s="20"/>
      <c r="R3521" s="20"/>
      <c r="S3521" s="20"/>
      <c r="T3521" s="20"/>
      <c r="U3521" s="20"/>
      <c r="V3521" s="20"/>
      <c r="W3521" s="20"/>
      <c r="X3521" s="20"/>
      <c r="Y3521" s="20"/>
      <c r="Z3521" s="20"/>
      <c r="AA3521" s="20"/>
      <c r="AB3521" s="20"/>
      <c r="AC3521" s="20"/>
      <c r="AD3521" s="20"/>
      <c r="AE3521" s="20"/>
    </row>
    <row r="3522">
      <c r="A3522" s="28"/>
      <c r="B3522" s="44"/>
      <c r="C3522" s="44"/>
      <c r="D3522" s="44"/>
      <c r="E3522" s="44"/>
      <c r="F3522" s="44"/>
      <c r="G3522" s="44"/>
      <c r="H3522" s="44"/>
      <c r="I3522" s="44"/>
      <c r="J3522" s="20"/>
      <c r="K3522" s="20"/>
      <c r="L3522" s="20"/>
      <c r="M3522" s="20"/>
      <c r="N3522" s="20"/>
      <c r="O3522" s="20"/>
      <c r="P3522" s="20"/>
      <c r="Q3522" s="20"/>
      <c r="R3522" s="20"/>
      <c r="S3522" s="20"/>
      <c r="T3522" s="20"/>
      <c r="U3522" s="20"/>
      <c r="V3522" s="20"/>
      <c r="W3522" s="20"/>
      <c r="X3522" s="20"/>
      <c r="Y3522" s="20"/>
      <c r="Z3522" s="20"/>
      <c r="AA3522" s="20"/>
      <c r="AB3522" s="20"/>
      <c r="AC3522" s="20"/>
      <c r="AD3522" s="20"/>
      <c r="AE3522" s="20"/>
    </row>
    <row r="3523">
      <c r="A3523" s="28"/>
      <c r="B3523" s="44"/>
      <c r="C3523" s="44"/>
      <c r="D3523" s="44"/>
      <c r="E3523" s="44"/>
      <c r="F3523" s="44"/>
      <c r="G3523" s="44"/>
      <c r="H3523" s="44"/>
      <c r="I3523" s="44"/>
      <c r="J3523" s="20"/>
      <c r="K3523" s="20"/>
      <c r="L3523" s="20"/>
      <c r="M3523" s="20"/>
      <c r="N3523" s="20"/>
      <c r="O3523" s="20"/>
      <c r="P3523" s="20"/>
      <c r="Q3523" s="20"/>
      <c r="R3523" s="20"/>
      <c r="S3523" s="20"/>
      <c r="T3523" s="20"/>
      <c r="U3523" s="20"/>
      <c r="V3523" s="20"/>
      <c r="W3523" s="20"/>
      <c r="X3523" s="20"/>
      <c r="Y3523" s="20"/>
      <c r="Z3523" s="20"/>
      <c r="AA3523" s="20"/>
      <c r="AB3523" s="20"/>
      <c r="AC3523" s="20"/>
      <c r="AD3523" s="20"/>
      <c r="AE3523" s="20"/>
    </row>
    <row r="3524">
      <c r="A3524" s="28"/>
      <c r="B3524" s="44"/>
      <c r="C3524" s="44"/>
      <c r="D3524" s="44"/>
      <c r="E3524" s="44"/>
      <c r="F3524" s="44"/>
      <c r="G3524" s="44"/>
      <c r="H3524" s="44"/>
      <c r="I3524" s="44"/>
      <c r="J3524" s="20"/>
      <c r="K3524" s="20"/>
      <c r="L3524" s="20"/>
      <c r="M3524" s="20"/>
      <c r="N3524" s="20"/>
      <c r="O3524" s="20"/>
      <c r="P3524" s="20"/>
      <c r="Q3524" s="20"/>
      <c r="R3524" s="20"/>
      <c r="S3524" s="20"/>
      <c r="T3524" s="20"/>
      <c r="U3524" s="20"/>
      <c r="V3524" s="20"/>
      <c r="W3524" s="20"/>
      <c r="X3524" s="20"/>
      <c r="Y3524" s="20"/>
      <c r="Z3524" s="20"/>
      <c r="AA3524" s="20"/>
      <c r="AB3524" s="20"/>
      <c r="AC3524" s="20"/>
      <c r="AD3524" s="20"/>
      <c r="AE3524" s="20"/>
    </row>
    <row r="3525">
      <c r="A3525" s="28"/>
      <c r="B3525" s="44"/>
      <c r="C3525" s="44"/>
      <c r="D3525" s="44"/>
      <c r="E3525" s="44"/>
      <c r="F3525" s="44"/>
      <c r="G3525" s="44"/>
      <c r="H3525" s="44"/>
      <c r="I3525" s="44"/>
      <c r="J3525" s="20"/>
      <c r="K3525" s="20"/>
      <c r="L3525" s="20"/>
      <c r="M3525" s="20"/>
      <c r="N3525" s="20"/>
      <c r="O3525" s="20"/>
      <c r="P3525" s="20"/>
      <c r="Q3525" s="20"/>
      <c r="R3525" s="20"/>
      <c r="S3525" s="20"/>
      <c r="T3525" s="20"/>
      <c r="U3525" s="20"/>
      <c r="V3525" s="20"/>
      <c r="W3525" s="20"/>
      <c r="X3525" s="20"/>
      <c r="Y3525" s="20"/>
      <c r="Z3525" s="20"/>
      <c r="AA3525" s="20"/>
      <c r="AB3525" s="20"/>
      <c r="AC3525" s="20"/>
      <c r="AD3525" s="20"/>
      <c r="AE3525" s="20"/>
    </row>
    <row r="3526">
      <c r="A3526" s="28"/>
      <c r="B3526" s="44"/>
      <c r="C3526" s="44"/>
      <c r="D3526" s="44"/>
      <c r="E3526" s="44"/>
      <c r="F3526" s="44"/>
      <c r="G3526" s="44"/>
      <c r="H3526" s="44"/>
      <c r="I3526" s="44"/>
      <c r="J3526" s="20"/>
      <c r="K3526" s="20"/>
      <c r="L3526" s="20"/>
      <c r="M3526" s="20"/>
      <c r="N3526" s="20"/>
      <c r="O3526" s="20"/>
      <c r="P3526" s="20"/>
      <c r="Q3526" s="20"/>
      <c r="R3526" s="20"/>
      <c r="S3526" s="20"/>
      <c r="T3526" s="20"/>
      <c r="U3526" s="20"/>
      <c r="V3526" s="20"/>
      <c r="W3526" s="20"/>
      <c r="X3526" s="20"/>
      <c r="Y3526" s="20"/>
      <c r="Z3526" s="20"/>
      <c r="AA3526" s="20"/>
      <c r="AB3526" s="20"/>
      <c r="AC3526" s="20"/>
      <c r="AD3526" s="20"/>
      <c r="AE3526" s="20"/>
    </row>
    <row r="3527">
      <c r="A3527" s="28"/>
      <c r="B3527" s="44"/>
      <c r="C3527" s="44"/>
      <c r="D3527" s="44"/>
      <c r="E3527" s="44"/>
      <c r="F3527" s="44"/>
      <c r="G3527" s="44"/>
      <c r="H3527" s="44"/>
      <c r="I3527" s="44"/>
      <c r="J3527" s="20"/>
      <c r="K3527" s="20"/>
      <c r="L3527" s="20"/>
      <c r="M3527" s="20"/>
      <c r="N3527" s="20"/>
      <c r="O3527" s="20"/>
      <c r="P3527" s="20"/>
      <c r="Q3527" s="20"/>
      <c r="R3527" s="20"/>
      <c r="S3527" s="20"/>
      <c r="T3527" s="20"/>
      <c r="U3527" s="20"/>
      <c r="V3527" s="20"/>
      <c r="W3527" s="20"/>
      <c r="X3527" s="20"/>
      <c r="Y3527" s="20"/>
      <c r="Z3527" s="20"/>
      <c r="AA3527" s="20"/>
      <c r="AB3527" s="20"/>
      <c r="AC3527" s="20"/>
      <c r="AD3527" s="20"/>
      <c r="AE3527" s="20"/>
    </row>
    <row r="3528">
      <c r="A3528" s="28"/>
      <c r="B3528" s="44"/>
      <c r="C3528" s="44"/>
      <c r="D3528" s="44"/>
      <c r="E3528" s="44"/>
      <c r="F3528" s="44"/>
      <c r="G3528" s="44"/>
      <c r="H3528" s="44"/>
      <c r="I3528" s="44"/>
      <c r="J3528" s="20"/>
      <c r="K3528" s="20"/>
      <c r="L3528" s="20"/>
      <c r="M3528" s="20"/>
      <c r="N3528" s="20"/>
      <c r="O3528" s="20"/>
      <c r="P3528" s="20"/>
      <c r="Q3528" s="20"/>
      <c r="R3528" s="20"/>
      <c r="S3528" s="20"/>
      <c r="T3528" s="20"/>
      <c r="U3528" s="20"/>
      <c r="V3528" s="20"/>
      <c r="W3528" s="20"/>
      <c r="X3528" s="20"/>
      <c r="Y3528" s="20"/>
      <c r="Z3528" s="20"/>
      <c r="AA3528" s="20"/>
      <c r="AB3528" s="20"/>
      <c r="AC3528" s="20"/>
      <c r="AD3528" s="20"/>
      <c r="AE3528" s="20"/>
    </row>
    <row r="3529">
      <c r="A3529" s="28"/>
      <c r="B3529" s="44"/>
      <c r="C3529" s="44"/>
      <c r="D3529" s="44"/>
      <c r="E3529" s="44"/>
      <c r="F3529" s="44"/>
      <c r="G3529" s="44"/>
      <c r="H3529" s="44"/>
      <c r="I3529" s="44"/>
      <c r="J3529" s="20"/>
      <c r="K3529" s="20"/>
      <c r="L3529" s="20"/>
      <c r="M3529" s="20"/>
      <c r="N3529" s="20"/>
      <c r="O3529" s="20"/>
      <c r="P3529" s="20"/>
      <c r="Q3529" s="20"/>
      <c r="R3529" s="20"/>
      <c r="S3529" s="20"/>
      <c r="T3529" s="20"/>
      <c r="U3529" s="20"/>
      <c r="V3529" s="20"/>
      <c r="W3529" s="20"/>
      <c r="X3529" s="20"/>
      <c r="Y3529" s="20"/>
      <c r="Z3529" s="20"/>
      <c r="AA3529" s="20"/>
      <c r="AB3529" s="20"/>
      <c r="AC3529" s="20"/>
      <c r="AD3529" s="20"/>
      <c r="AE3529" s="20"/>
    </row>
    <row r="3530">
      <c r="A3530" s="28"/>
      <c r="B3530" s="44"/>
      <c r="C3530" s="44"/>
      <c r="D3530" s="44"/>
      <c r="E3530" s="44"/>
      <c r="F3530" s="44"/>
      <c r="G3530" s="44"/>
      <c r="H3530" s="44"/>
      <c r="I3530" s="44"/>
      <c r="J3530" s="20"/>
      <c r="K3530" s="20"/>
      <c r="L3530" s="20"/>
      <c r="M3530" s="20"/>
      <c r="N3530" s="20"/>
      <c r="O3530" s="20"/>
      <c r="P3530" s="20"/>
      <c r="Q3530" s="20"/>
      <c r="R3530" s="20"/>
      <c r="S3530" s="20"/>
      <c r="T3530" s="20"/>
      <c r="U3530" s="20"/>
      <c r="V3530" s="20"/>
      <c r="W3530" s="20"/>
      <c r="X3530" s="20"/>
      <c r="Y3530" s="20"/>
      <c r="Z3530" s="20"/>
      <c r="AA3530" s="20"/>
      <c r="AB3530" s="20"/>
      <c r="AC3530" s="20"/>
      <c r="AD3530" s="20"/>
      <c r="AE3530" s="20"/>
    </row>
    <row r="3531">
      <c r="A3531" s="28"/>
      <c r="B3531" s="44"/>
      <c r="C3531" s="44"/>
      <c r="D3531" s="44"/>
      <c r="E3531" s="44"/>
      <c r="F3531" s="44"/>
      <c r="G3531" s="44"/>
      <c r="H3531" s="44"/>
      <c r="I3531" s="44"/>
      <c r="J3531" s="20"/>
      <c r="K3531" s="20"/>
      <c r="L3531" s="20"/>
      <c r="M3531" s="20"/>
      <c r="N3531" s="20"/>
      <c r="O3531" s="20"/>
      <c r="P3531" s="20"/>
      <c r="Q3531" s="20"/>
      <c r="R3531" s="20"/>
      <c r="S3531" s="20"/>
      <c r="T3531" s="20"/>
      <c r="U3531" s="20"/>
      <c r="V3531" s="20"/>
      <c r="W3531" s="20"/>
      <c r="X3531" s="20"/>
      <c r="Y3531" s="20"/>
      <c r="Z3531" s="20"/>
      <c r="AA3531" s="20"/>
      <c r="AB3531" s="20"/>
      <c r="AC3531" s="20"/>
      <c r="AD3531" s="20"/>
      <c r="AE3531" s="20"/>
    </row>
    <row r="3532">
      <c r="A3532" s="28"/>
      <c r="B3532" s="44"/>
      <c r="C3532" s="44"/>
      <c r="D3532" s="44"/>
      <c r="E3532" s="44"/>
      <c r="F3532" s="44"/>
      <c r="G3532" s="44"/>
      <c r="H3532" s="44"/>
      <c r="I3532" s="44"/>
      <c r="J3532" s="20"/>
      <c r="K3532" s="20"/>
      <c r="L3532" s="20"/>
      <c r="M3532" s="20"/>
      <c r="N3532" s="20"/>
      <c r="O3532" s="20"/>
      <c r="P3532" s="20"/>
      <c r="Q3532" s="20"/>
      <c r="R3532" s="20"/>
      <c r="S3532" s="20"/>
      <c r="T3532" s="20"/>
      <c r="U3532" s="20"/>
      <c r="V3532" s="20"/>
      <c r="W3532" s="20"/>
      <c r="X3532" s="20"/>
      <c r="Y3532" s="20"/>
      <c r="Z3532" s="20"/>
      <c r="AA3532" s="20"/>
      <c r="AB3532" s="20"/>
      <c r="AC3532" s="20"/>
      <c r="AD3532" s="20"/>
      <c r="AE3532" s="20"/>
    </row>
    <row r="3533">
      <c r="A3533" s="28"/>
      <c r="B3533" s="44"/>
      <c r="C3533" s="44"/>
      <c r="D3533" s="44"/>
      <c r="E3533" s="44"/>
      <c r="F3533" s="44"/>
      <c r="G3533" s="44"/>
      <c r="H3533" s="44"/>
      <c r="I3533" s="44"/>
      <c r="J3533" s="20"/>
      <c r="K3533" s="20"/>
      <c r="L3533" s="20"/>
      <c r="M3533" s="20"/>
      <c r="N3533" s="20"/>
      <c r="O3533" s="20"/>
      <c r="P3533" s="20"/>
      <c r="Q3533" s="20"/>
      <c r="R3533" s="20"/>
      <c r="S3533" s="20"/>
      <c r="T3533" s="20"/>
      <c r="U3533" s="20"/>
      <c r="V3533" s="20"/>
      <c r="W3533" s="20"/>
      <c r="X3533" s="20"/>
      <c r="Y3533" s="20"/>
      <c r="Z3533" s="20"/>
      <c r="AA3533" s="20"/>
      <c r="AB3533" s="20"/>
      <c r="AC3533" s="20"/>
      <c r="AD3533" s="20"/>
      <c r="AE3533" s="20"/>
    </row>
    <row r="3534">
      <c r="A3534" s="28"/>
      <c r="B3534" s="44"/>
      <c r="C3534" s="44"/>
      <c r="D3534" s="44"/>
      <c r="E3534" s="44"/>
      <c r="F3534" s="44"/>
      <c r="G3534" s="44"/>
      <c r="H3534" s="44"/>
      <c r="I3534" s="44"/>
      <c r="J3534" s="20"/>
      <c r="K3534" s="20"/>
      <c r="L3534" s="20"/>
      <c r="M3534" s="20"/>
      <c r="N3534" s="20"/>
      <c r="O3534" s="20"/>
      <c r="P3534" s="20"/>
      <c r="Q3534" s="20"/>
      <c r="R3534" s="20"/>
      <c r="S3534" s="20"/>
      <c r="T3534" s="20"/>
      <c r="U3534" s="20"/>
      <c r="V3534" s="20"/>
      <c r="W3534" s="20"/>
      <c r="X3534" s="20"/>
      <c r="Y3534" s="20"/>
      <c r="Z3534" s="20"/>
      <c r="AA3534" s="20"/>
      <c r="AB3534" s="20"/>
      <c r="AC3534" s="20"/>
      <c r="AD3534" s="20"/>
      <c r="AE3534" s="20"/>
    </row>
  </sheetData>
  <mergeCells count="375">
    <mergeCell ref="D1212:D1241"/>
    <mergeCell ref="D1242:D1271"/>
    <mergeCell ref="E1242:E1271"/>
    <mergeCell ref="F1242:F1271"/>
    <mergeCell ref="G1242:G1271"/>
    <mergeCell ref="H1242:H1271"/>
    <mergeCell ref="D1272:D1301"/>
    <mergeCell ref="E1272:E1301"/>
    <mergeCell ref="F1272:F1301"/>
    <mergeCell ref="D1302:D1351"/>
    <mergeCell ref="E1302:E1351"/>
    <mergeCell ref="F1302:F1351"/>
    <mergeCell ref="G1302:G1351"/>
    <mergeCell ref="H1302:H1351"/>
    <mergeCell ref="D902:D931"/>
    <mergeCell ref="D932:D961"/>
    <mergeCell ref="E932:E961"/>
    <mergeCell ref="F932:F961"/>
    <mergeCell ref="G932:G961"/>
    <mergeCell ref="H932:H961"/>
    <mergeCell ref="D872:D901"/>
    <mergeCell ref="E872:E901"/>
    <mergeCell ref="F872:F901"/>
    <mergeCell ref="G872:G901"/>
    <mergeCell ref="H872:H901"/>
    <mergeCell ref="E902:E931"/>
    <mergeCell ref="H902:H931"/>
    <mergeCell ref="F902:F931"/>
    <mergeCell ref="G902:G931"/>
    <mergeCell ref="D962:D1161"/>
    <mergeCell ref="E962:E1161"/>
    <mergeCell ref="F962:F1161"/>
    <mergeCell ref="G962:G1161"/>
    <mergeCell ref="H962:H1161"/>
    <mergeCell ref="F1212:F1241"/>
    <mergeCell ref="G1212:G1241"/>
    <mergeCell ref="D1162:D1211"/>
    <mergeCell ref="E1162:E1211"/>
    <mergeCell ref="F1162:F1211"/>
    <mergeCell ref="G1162:G1211"/>
    <mergeCell ref="H1162:H1211"/>
    <mergeCell ref="E1212:E1241"/>
    <mergeCell ref="H1212:H1241"/>
    <mergeCell ref="G1272:G1301"/>
    <mergeCell ref="H1272:H1301"/>
    <mergeCell ref="E1442:E1471"/>
    <mergeCell ref="F1442:F1471"/>
    <mergeCell ref="G1942:G1971"/>
    <mergeCell ref="H1942:H1971"/>
    <mergeCell ref="D1862:D1891"/>
    <mergeCell ref="D1892:D1941"/>
    <mergeCell ref="E1892:E1941"/>
    <mergeCell ref="F1892:F1941"/>
    <mergeCell ref="G1892:G1941"/>
    <mergeCell ref="H1892:H1941"/>
    <mergeCell ref="D1942:D1971"/>
    <mergeCell ref="G1682:G1711"/>
    <mergeCell ref="H1682:H1711"/>
    <mergeCell ref="G1712:G1741"/>
    <mergeCell ref="H1712:H1741"/>
    <mergeCell ref="G1742:G1771"/>
    <mergeCell ref="H1742:H1771"/>
    <mergeCell ref="D1622:D1651"/>
    <mergeCell ref="D1652:D1681"/>
    <mergeCell ref="E1652:E1681"/>
    <mergeCell ref="F1652:F1681"/>
    <mergeCell ref="G1652:G1681"/>
    <mergeCell ref="H1652:H1681"/>
    <mergeCell ref="D1682:D1711"/>
    <mergeCell ref="E1682:E1711"/>
    <mergeCell ref="F1682:F1711"/>
    <mergeCell ref="D1712:D1741"/>
    <mergeCell ref="E1712:E1741"/>
    <mergeCell ref="F1712:F1741"/>
    <mergeCell ref="E1742:E1771"/>
    <mergeCell ref="F1742:F1771"/>
    <mergeCell ref="G1802:G1831"/>
    <mergeCell ref="H1802:H1831"/>
    <mergeCell ref="G1832:G1861"/>
    <mergeCell ref="H1832:H1861"/>
    <mergeCell ref="G1862:G1891"/>
    <mergeCell ref="H1862:H1891"/>
    <mergeCell ref="D1742:D1771"/>
    <mergeCell ref="D1772:D1801"/>
    <mergeCell ref="E1772:E1801"/>
    <mergeCell ref="F1772:F1801"/>
    <mergeCell ref="G1772:G1801"/>
    <mergeCell ref="H1772:H1801"/>
    <mergeCell ref="D1802:D1831"/>
    <mergeCell ref="E1802:E1831"/>
    <mergeCell ref="F1802:F1831"/>
    <mergeCell ref="D1832:D1861"/>
    <mergeCell ref="E1832:E1861"/>
    <mergeCell ref="F1832:F1861"/>
    <mergeCell ref="E1862:E1891"/>
    <mergeCell ref="F1862:F1891"/>
    <mergeCell ref="E1942:E1971"/>
    <mergeCell ref="F1942:F1971"/>
    <mergeCell ref="D1972:D2001"/>
    <mergeCell ref="E1972:E2001"/>
    <mergeCell ref="F1972:F2001"/>
    <mergeCell ref="G1972:G2001"/>
    <mergeCell ref="H1972:H2001"/>
    <mergeCell ref="F2522:F2551"/>
    <mergeCell ref="G2522:G2551"/>
    <mergeCell ref="D2372:D2521"/>
    <mergeCell ref="E2372:E2521"/>
    <mergeCell ref="F2372:F2521"/>
    <mergeCell ref="G2372:G2521"/>
    <mergeCell ref="H2372:H2521"/>
    <mergeCell ref="E2522:E2551"/>
    <mergeCell ref="H2522:H2551"/>
    <mergeCell ref="G2582:G2611"/>
    <mergeCell ref="H2582:H2611"/>
    <mergeCell ref="D2522:D2551"/>
    <mergeCell ref="D2552:D2581"/>
    <mergeCell ref="E2552:E2581"/>
    <mergeCell ref="F2552:F2581"/>
    <mergeCell ref="G2552:G2581"/>
    <mergeCell ref="H2552:H2581"/>
    <mergeCell ref="D2582:D2611"/>
    <mergeCell ref="F2032:F2061"/>
    <mergeCell ref="G2032:G2061"/>
    <mergeCell ref="D2002:D2031"/>
    <mergeCell ref="E2002:E2031"/>
    <mergeCell ref="F2002:F2031"/>
    <mergeCell ref="G2002:G2031"/>
    <mergeCell ref="H2002:H2031"/>
    <mergeCell ref="E2032:E2061"/>
    <mergeCell ref="H2032:H2061"/>
    <mergeCell ref="G2112:G2141"/>
    <mergeCell ref="H2112:H2141"/>
    <mergeCell ref="G2142:G2171"/>
    <mergeCell ref="H2142:H2171"/>
    <mergeCell ref="D2032:D2061"/>
    <mergeCell ref="D2062:D2111"/>
    <mergeCell ref="E2062:E2111"/>
    <mergeCell ref="F2062:F2111"/>
    <mergeCell ref="G2062:G2111"/>
    <mergeCell ref="H2062:H2111"/>
    <mergeCell ref="D2112:D2141"/>
    <mergeCell ref="F2172:F2371"/>
    <mergeCell ref="G2172:G2371"/>
    <mergeCell ref="H2172:H2371"/>
    <mergeCell ref="E2112:E2141"/>
    <mergeCell ref="F2112:F2141"/>
    <mergeCell ref="D2142:D2171"/>
    <mergeCell ref="E2142:E2171"/>
    <mergeCell ref="F2142:F2171"/>
    <mergeCell ref="D2172:D2371"/>
    <mergeCell ref="E2172:E2371"/>
    <mergeCell ref="E2582:E2611"/>
    <mergeCell ref="F2582:F2611"/>
    <mergeCell ref="D2612:D2641"/>
    <mergeCell ref="E2612:E2641"/>
    <mergeCell ref="F2612:F2641"/>
    <mergeCell ref="G2612:G2641"/>
    <mergeCell ref="H2612:H2641"/>
    <mergeCell ref="D3185:D3234"/>
    <mergeCell ref="E3185:E3234"/>
    <mergeCell ref="F3185:F3234"/>
    <mergeCell ref="G3185:G3234"/>
    <mergeCell ref="H3185:H3234"/>
    <mergeCell ref="E3235:E3264"/>
    <mergeCell ref="H3235:H3264"/>
    <mergeCell ref="G3295:G3324"/>
    <mergeCell ref="H3295:H3324"/>
    <mergeCell ref="D3235:D3264"/>
    <mergeCell ref="D3265:D3294"/>
    <mergeCell ref="E3265:E3294"/>
    <mergeCell ref="F3265:F3294"/>
    <mergeCell ref="G3265:G3294"/>
    <mergeCell ref="H3265:H3294"/>
    <mergeCell ref="D3295:D3324"/>
    <mergeCell ref="F2792:F2891"/>
    <mergeCell ref="G2792:G2891"/>
    <mergeCell ref="D2642:D2791"/>
    <mergeCell ref="E2642:E2791"/>
    <mergeCell ref="F2642:F2791"/>
    <mergeCell ref="G2642:G2791"/>
    <mergeCell ref="H2642:H2791"/>
    <mergeCell ref="E2792:E2891"/>
    <mergeCell ref="H2792:H2891"/>
    <mergeCell ref="E3085:E3184"/>
    <mergeCell ref="F3085:F3184"/>
    <mergeCell ref="G3085:G3184"/>
    <mergeCell ref="H3085:H3184"/>
    <mergeCell ref="D2792:D2891"/>
    <mergeCell ref="D2892:D3084"/>
    <mergeCell ref="E2892:E3084"/>
    <mergeCell ref="F2892:F3084"/>
    <mergeCell ref="G2892:G3084"/>
    <mergeCell ref="H2892:H3084"/>
    <mergeCell ref="D3085:D3184"/>
    <mergeCell ref="F3235:F3264"/>
    <mergeCell ref="G3235:G3264"/>
    <mergeCell ref="D3355:D3384"/>
    <mergeCell ref="E3355:E3384"/>
    <mergeCell ref="F3355:F3384"/>
    <mergeCell ref="G3355:G3384"/>
    <mergeCell ref="H3355:H3384"/>
    <mergeCell ref="E3295:E3324"/>
    <mergeCell ref="F3295:F3324"/>
    <mergeCell ref="D3325:D3354"/>
    <mergeCell ref="E3325:E3354"/>
    <mergeCell ref="F3325:F3354"/>
    <mergeCell ref="G3325:G3354"/>
    <mergeCell ref="H3325:H3354"/>
    <mergeCell ref="D292:D321"/>
    <mergeCell ref="E292:E321"/>
    <mergeCell ref="F292:F321"/>
    <mergeCell ref="G292:G321"/>
    <mergeCell ref="H292:H321"/>
    <mergeCell ref="E322:E351"/>
    <mergeCell ref="H322:H351"/>
    <mergeCell ref="G382:G411"/>
    <mergeCell ref="H382:H411"/>
    <mergeCell ref="D322:D351"/>
    <mergeCell ref="D352:D381"/>
    <mergeCell ref="E352:E381"/>
    <mergeCell ref="F352:F381"/>
    <mergeCell ref="G352:G381"/>
    <mergeCell ref="H352:H381"/>
    <mergeCell ref="D382:D411"/>
    <mergeCell ref="D2:D31"/>
    <mergeCell ref="E2:E31"/>
    <mergeCell ref="F2:F31"/>
    <mergeCell ref="G2:G31"/>
    <mergeCell ref="H2:H31"/>
    <mergeCell ref="E32:E131"/>
    <mergeCell ref="H32:H131"/>
    <mergeCell ref="F182:F231"/>
    <mergeCell ref="F232:F261"/>
    <mergeCell ref="G232:G261"/>
    <mergeCell ref="H232:H261"/>
    <mergeCell ref="F32:F131"/>
    <mergeCell ref="G32:G131"/>
    <mergeCell ref="F132:F181"/>
    <mergeCell ref="G132:G181"/>
    <mergeCell ref="H132:H181"/>
    <mergeCell ref="G182:G231"/>
    <mergeCell ref="H182:H231"/>
    <mergeCell ref="D262:D291"/>
    <mergeCell ref="E262:E291"/>
    <mergeCell ref="F262:F291"/>
    <mergeCell ref="G262:G291"/>
    <mergeCell ref="H262:H291"/>
    <mergeCell ref="D32:D131"/>
    <mergeCell ref="D132:D181"/>
    <mergeCell ref="E132:E181"/>
    <mergeCell ref="D182:D231"/>
    <mergeCell ref="E182:E231"/>
    <mergeCell ref="D232:D261"/>
    <mergeCell ref="E232:E261"/>
    <mergeCell ref="F322:F351"/>
    <mergeCell ref="G322:G351"/>
    <mergeCell ref="E382:E411"/>
    <mergeCell ref="F382:F411"/>
    <mergeCell ref="D412:D461"/>
    <mergeCell ref="E412:E461"/>
    <mergeCell ref="F412:F461"/>
    <mergeCell ref="G412:G461"/>
    <mergeCell ref="H412:H461"/>
    <mergeCell ref="G692:G721"/>
    <mergeCell ref="H692:H721"/>
    <mergeCell ref="G722:G751"/>
    <mergeCell ref="H722:H751"/>
    <mergeCell ref="G752:G781"/>
    <mergeCell ref="H752:H781"/>
    <mergeCell ref="E692:E721"/>
    <mergeCell ref="F692:F721"/>
    <mergeCell ref="D722:D751"/>
    <mergeCell ref="E722:E751"/>
    <mergeCell ref="F722:F751"/>
    <mergeCell ref="E752:E781"/>
    <mergeCell ref="F752:F781"/>
    <mergeCell ref="G812:G841"/>
    <mergeCell ref="H812:H841"/>
    <mergeCell ref="D752:D781"/>
    <mergeCell ref="D782:D811"/>
    <mergeCell ref="E782:E811"/>
    <mergeCell ref="F782:F811"/>
    <mergeCell ref="G782:G811"/>
    <mergeCell ref="H782:H811"/>
    <mergeCell ref="D812:D841"/>
    <mergeCell ref="F512:F541"/>
    <mergeCell ref="G512:G541"/>
    <mergeCell ref="D462:D511"/>
    <mergeCell ref="E462:E511"/>
    <mergeCell ref="F462:F511"/>
    <mergeCell ref="G462:G511"/>
    <mergeCell ref="H462:H511"/>
    <mergeCell ref="E512:E541"/>
    <mergeCell ref="H512:H541"/>
    <mergeCell ref="G572:G601"/>
    <mergeCell ref="H572:H601"/>
    <mergeCell ref="G602:G631"/>
    <mergeCell ref="H602:H631"/>
    <mergeCell ref="G632:G661"/>
    <mergeCell ref="H632:H661"/>
    <mergeCell ref="D512:D541"/>
    <mergeCell ref="D542:D571"/>
    <mergeCell ref="E542:E571"/>
    <mergeCell ref="F542:F571"/>
    <mergeCell ref="G542:G571"/>
    <mergeCell ref="H542:H571"/>
    <mergeCell ref="D572:D601"/>
    <mergeCell ref="E572:E601"/>
    <mergeCell ref="F572:F601"/>
    <mergeCell ref="D602:D631"/>
    <mergeCell ref="E602:E631"/>
    <mergeCell ref="F602:F631"/>
    <mergeCell ref="E632:E661"/>
    <mergeCell ref="F632:F661"/>
    <mergeCell ref="D632:D661"/>
    <mergeCell ref="D662:D691"/>
    <mergeCell ref="E662:E691"/>
    <mergeCell ref="F662:F691"/>
    <mergeCell ref="G662:G691"/>
    <mergeCell ref="H662:H691"/>
    <mergeCell ref="D692:D721"/>
    <mergeCell ref="E812:E841"/>
    <mergeCell ref="F812:F841"/>
    <mergeCell ref="D842:D871"/>
    <mergeCell ref="E842:E871"/>
    <mergeCell ref="F842:F871"/>
    <mergeCell ref="G842:G871"/>
    <mergeCell ref="H842:H871"/>
    <mergeCell ref="F1382:F1411"/>
    <mergeCell ref="G1382:G1411"/>
    <mergeCell ref="D1352:D1381"/>
    <mergeCell ref="E1352:E1381"/>
    <mergeCell ref="F1352:F1381"/>
    <mergeCell ref="G1352:G1381"/>
    <mergeCell ref="H1352:H1381"/>
    <mergeCell ref="E1382:E1411"/>
    <mergeCell ref="H1382:H1411"/>
    <mergeCell ref="G1442:G1471"/>
    <mergeCell ref="H1442:H1471"/>
    <mergeCell ref="D1382:D1411"/>
    <mergeCell ref="D1412:D1441"/>
    <mergeCell ref="E1412:E1441"/>
    <mergeCell ref="F1412:F1441"/>
    <mergeCell ref="G1412:G1441"/>
    <mergeCell ref="H1412:H1441"/>
    <mergeCell ref="D1442:D1471"/>
    <mergeCell ref="F1502:F1531"/>
    <mergeCell ref="G1502:G1531"/>
    <mergeCell ref="D1472:D1501"/>
    <mergeCell ref="E1472:E1501"/>
    <mergeCell ref="F1472:F1501"/>
    <mergeCell ref="G1472:G1501"/>
    <mergeCell ref="H1472:H1501"/>
    <mergeCell ref="E1502:E1531"/>
    <mergeCell ref="H1502:H1531"/>
    <mergeCell ref="G1562:G1591"/>
    <mergeCell ref="H1562:H1591"/>
    <mergeCell ref="G1592:G1621"/>
    <mergeCell ref="H1592:H1621"/>
    <mergeCell ref="G1622:G1651"/>
    <mergeCell ref="H1622:H1651"/>
    <mergeCell ref="D1502:D1531"/>
    <mergeCell ref="D1532:D1561"/>
    <mergeCell ref="E1532:E1561"/>
    <mergeCell ref="F1532:F1561"/>
    <mergeCell ref="G1532:G1561"/>
    <mergeCell ref="H1532:H1561"/>
    <mergeCell ref="D1562:D1591"/>
    <mergeCell ref="E1562:E1591"/>
    <mergeCell ref="F1562:F1591"/>
    <mergeCell ref="D1592:D1621"/>
    <mergeCell ref="E1592:E1621"/>
    <mergeCell ref="F1592:F1621"/>
    <mergeCell ref="E1622:E1651"/>
    <mergeCell ref="F1622:F1651"/>
  </mergeCells>
  <conditionalFormatting sqref="J2:J3400">
    <cfRule type="expression" dxfId="6" priority="1" stopIfTrue="1">
      <formula>COUNTIFS(INDIRECT("'Trang tính3'!A:A"),$B2,INDIRECT("'Trang tính3'!B:B"),$J2)&gt;0</formula>
    </cfRule>
  </conditionalFormatting>
  <conditionalFormatting sqref="K2:K3400">
    <cfRule type="cellIs" dxfId="7" priority="2" stopIfTrue="1" operator="equal">
      <formula>"CẦN SOÁT"</formula>
    </cfRule>
  </conditionalFormatting>
  <conditionalFormatting sqref="K2:K3400">
    <cfRule type="cellIs" dxfId="8" priority="3" stopIfTrue="1" operator="equal">
      <formula>"CÓ THỂ ĐI"</formula>
    </cfRule>
  </conditionalFormatting>
  <conditionalFormatting sqref="K2:K3400">
    <cfRule type="cellIs" dxfId="9" priority="4" stopIfTrue="1" operator="equal">
      <formula>"PHÙ HỢP CAO"</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2.63"/>
    <col customWidth="1" min="2" max="2" width="17.63"/>
    <col customWidth="1" min="3" max="3" width="52.63"/>
  </cols>
  <sheetData>
    <row r="1">
      <c r="A1" s="3" t="s">
        <v>347</v>
      </c>
      <c r="B1" s="3" t="s">
        <v>353</v>
      </c>
      <c r="C1" s="26" t="s">
        <v>357</v>
      </c>
      <c r="D1" s="20"/>
      <c r="E1" s="20"/>
      <c r="F1" s="20"/>
      <c r="G1" s="20"/>
      <c r="H1" s="20"/>
      <c r="I1" s="20"/>
      <c r="J1" s="20"/>
      <c r="K1" s="20"/>
      <c r="L1" s="20"/>
      <c r="M1" s="20"/>
      <c r="N1" s="20"/>
      <c r="O1" s="20"/>
      <c r="P1" s="20"/>
      <c r="Q1" s="20"/>
      <c r="R1" s="20"/>
      <c r="S1" s="20"/>
      <c r="T1" s="20"/>
      <c r="U1" s="20"/>
      <c r="V1" s="20"/>
      <c r="W1" s="20"/>
      <c r="X1" s="20"/>
    </row>
    <row r="2">
      <c r="A2" s="27" t="str">
        <f>IFERROR(__xludf.DUMMYFUNCTION("QUERY('Tổng hợp 75 trang đích'!I2:I3400,""select I, count(I) where I &lt;&gt; '' group by I order by count(I) desc label count(I) ''"",0)"),"https://techcombank.com/thong-tin/blog/chuyen-doi-ho-kinh-doanh-len-doanh-nghiep")</f>
        <v>https://techcombank.com/thong-tin/blog/chuyen-doi-ho-kinh-doanh-len-doanh-nghiep</v>
      </c>
      <c r="B2" s="28">
        <f>IFERROR(__xludf.DUMMYFUNCTION("""COMPUTED_VALUE"""),13.0)</f>
        <v>13</v>
      </c>
      <c r="C2" s="20" t="str">
        <f>IFERROR(__xludf.DUMMYFUNCTION("IF(A2="""","""",TEXTJOIN(CHAR(10),TRUE,FILTER('Tổng hợp 75 trang đích'!$B$2:$B$3400,'Tổng hợp 75 trang đích'!$I$2:$I$3400=A2)))"),"https://techcombank.com/thong-tin/blog/nop-thue-dat-qua-ngan-hang
https://techcombank.com/thong-tin/blog/cach-nop-thue-dien-tu
https://techcombank.com/thong-tin/blog/thue-thu-nhap-doanh-nghiep
https://techcombank.com/thong-tin/blog/thue-vat-la-gi
https://"&amp;"techcombank.com/thong-tin/blog/thue-doanh-nghiep
https://techcombank.com/thong-tin/blog/cong-ty-su-dung-tai-khoan-ca-nhan
https://techcombank.com/thong-tin/blog/cach-tinh-thue-thu-nhap-ca-nhan-2025
https://techcombank.com/thong-tin/blog/kiem-tra-thue-thu-"&amp;"nhap-ca-nhan
https://techcombank.com/thong-tin/blog/thue-thu-nhap-ca-nhan
https://techcombank.com/thong-tin/blog/ho-kinh-doanh-dong-thue-nhu-nao
https://techcombank.com/thong-tin/blog/mo-hinh-kinh-doanh-la-gi
https://techcombank.com/thong-tin/blog/mo-tai-"&amp;"khoan-ho-kinh-doanh
https://techcombank.com/thong-tin/blog/cach-tinh-thue-ho-kinh-doanh-nho-le")</f>
        <v>https://techcombank.com/thong-tin/blog/nop-thue-dat-qua-ngan-hang
https://techcombank.com/thong-tin/blog/cach-nop-thue-dien-tu
https://techcombank.com/thong-tin/blog/thue-thu-nhap-doanh-nghiep
https://techcombank.com/thong-tin/blog/thue-vat-la-gi
https://techcombank.com/thong-tin/blog/thue-doanh-nghiep
https://techcombank.com/thong-tin/blog/cong-ty-su-dung-tai-khoan-ca-nhan
https://techcombank.com/thong-tin/blog/cach-tinh-thue-thu-nhap-ca-nhan-2025
https://techcombank.com/thong-tin/blog/kiem-tra-thue-thu-nhap-ca-nhan
https://techcombank.com/thong-tin/blog/thue-thu-nhap-ca-nhan
https://techcombank.com/thong-tin/blog/ho-kinh-doanh-dong-thue-nhu-nao
https://techcombank.com/thong-tin/blog/mo-hinh-kinh-doanh-la-gi
https://techcombank.com/thong-tin/blog/mo-tai-khoan-ho-kinh-doanh
https://techcombank.com/thong-tin/blog/cach-tinh-thue-ho-kinh-doanh-nho-le</v>
      </c>
      <c r="D2" s="20"/>
      <c r="E2" s="20"/>
      <c r="F2" s="20"/>
      <c r="G2" s="20"/>
      <c r="H2" s="20"/>
      <c r="I2" s="20"/>
      <c r="J2" s="20"/>
      <c r="K2" s="20"/>
      <c r="L2" s="20"/>
      <c r="M2" s="20"/>
      <c r="N2" s="20"/>
      <c r="O2" s="20"/>
      <c r="P2" s="20"/>
      <c r="Q2" s="20"/>
      <c r="R2" s="20"/>
      <c r="S2" s="20"/>
      <c r="T2" s="20"/>
      <c r="U2" s="20"/>
      <c r="V2" s="20"/>
      <c r="W2" s="20"/>
      <c r="X2" s="20"/>
    </row>
    <row r="3">
      <c r="A3" s="27" t="str">
        <f>IFERROR(__xludf.DUMMYFUNCTION("""COMPUTED_VALUE"""),"https://techcombank.com/thong-tin/blog/no-xau-mo-the-tin-dung-duoc-khong")</f>
        <v>https://techcombank.com/thong-tin/blog/no-xau-mo-the-tin-dung-duoc-khong</v>
      </c>
      <c r="B3" s="28">
        <f>IFERROR(__xludf.DUMMYFUNCTION("""COMPUTED_VALUE"""),13.0)</f>
        <v>13</v>
      </c>
      <c r="C3" s="20" t="str">
        <f>IFERROR(__xludf.DUMMYFUNCTION("IF(A3="""","""",TEXTJOIN(CHAR(10),TRUE,FILTER('Tổng hợp 75 trang đích'!$B$2:$B$3400,'Tổng hợp 75 trang đích'!$I$2:$I$3400=A3)))"),"https://techcombank.com/thong-tin/blog/cong-ty-su-dung-tai-khoan-ca-nhan
https://techcombank.com/thong-tin/blog/cach-nap-the-viettel
https://techcombank.com/thong-tin/blog/cic-la-gi
https://techcombank.com/thong-tin/blog/rut-tien-mat-tu-the-tin-dung
https"&amp;"://techcombank.com/thong-tin/blog/lam-the-tin-dung
https://techcombank.com/thong-tin/blog/xep-hang-tin-dung
https://techcombank.com/thong-tin/blog/lai-suat-tiet-kiem
https://techcombank.com/thong-tin/blog/rut-tien-tiet-kiem-truoc-thoi-han
https://techcomb"&amp;"ank.com/cong-cu-tien-ich/cong-cu-tinh-toan/bang-tinh-lai-suat-vay
https://techcombank.com/thong-tin/blog/app-vay-tien-nhanh
https://techcombank.com/thong-tin/blog/kiem-tra-no-xau
https://techcombank.com/thong-tin/blog/no-xau-la-gi
https://techcombank.com/"&amp;"thong-tin/blog/vay-tin-chap-khong-tra-duoc-co-sao-khong")</f>
        <v>https://techcombank.com/thong-tin/blog/cong-ty-su-dung-tai-khoan-ca-nhan
https://techcombank.com/thong-tin/blog/cach-nap-the-viettel
https://techcombank.com/thong-tin/blog/cic-la-gi
https://techcombank.com/thong-tin/blog/rut-tien-mat-tu-the-tin-dung
https://techcombank.com/thong-tin/blog/lam-the-tin-dung
https://techcombank.com/thong-tin/blog/xep-hang-tin-dung
https://techcombank.com/thong-tin/blog/lai-suat-tiet-kiem
https://techcombank.com/thong-tin/blog/rut-tien-tiet-kiem-truoc-thoi-han
https://techcombank.com/cong-cu-tien-ich/cong-cu-tinh-toan/bang-tinh-lai-suat-vay
https://techcombank.com/thong-tin/blog/app-vay-tien-nhanh
https://techcombank.com/thong-tin/blog/kiem-tra-no-xau
https://techcombank.com/thong-tin/blog/no-xau-la-gi
https://techcombank.com/thong-tin/blog/vay-tin-chap-khong-tra-duoc-co-sao-khong</v>
      </c>
      <c r="D3" s="20"/>
      <c r="E3" s="20"/>
      <c r="F3" s="20"/>
      <c r="G3" s="20"/>
      <c r="H3" s="20"/>
      <c r="I3" s="20"/>
      <c r="J3" s="20"/>
      <c r="K3" s="20"/>
      <c r="L3" s="20"/>
      <c r="M3" s="20"/>
      <c r="N3" s="20"/>
      <c r="O3" s="20"/>
      <c r="P3" s="20"/>
      <c r="Q3" s="20"/>
      <c r="R3" s="20"/>
      <c r="S3" s="20"/>
      <c r="T3" s="20"/>
      <c r="U3" s="20"/>
      <c r="V3" s="20"/>
      <c r="W3" s="20"/>
      <c r="X3" s="20"/>
    </row>
    <row r="4">
      <c r="A4" s="27" t="str">
        <f>IFERROR(__xludf.DUMMYFUNCTION("""COMPUTED_VALUE"""),"https://techcombank.com/thong-tin/blog/qua-han-thanh-toan-the-tin-dung-1-ngay")</f>
        <v>https://techcombank.com/thong-tin/blog/qua-han-thanh-toan-the-tin-dung-1-ngay</v>
      </c>
      <c r="B4" s="28">
        <f>IFERROR(__xludf.DUMMYFUNCTION("""COMPUTED_VALUE"""),13.0)</f>
        <v>13</v>
      </c>
      <c r="C4" s="20" t="str">
        <f>IFERROR(__xludf.DUMMYFUNCTION("IF(A4="""","""",TEXTJOIN(CHAR(10),TRUE,FILTER('Tổng hợp 75 trang đích'!$B$2:$B$3400,'Tổng hợp 75 trang đích'!$I$2:$I$3400=A4)))"),"https://techcombank.com/thong-tin/blog/cic-la-gi
https://techcombank.com/thong-tin/blog/rut-tien-mat-tu-the-tin-dung
https://techcombank.com/khach-hang-ca-nhan/chi-tieu/the/the-tin-dung/techcombank-everyday
https://techcombank.com/thong-tin/blog/the-tin-d"&amp;"ung-hoan-tien
https://techcombank.com/thong-tin/blog/cach-huy-the-tin-dung
https://techcombank.com/thong-tin/blog/xep-hang-tin-dung
https://techcombank.com/thong-tin/blog/1000-won-bang-bao-nhieu-tien-viet
https://techcombank.com/thong-tin/blog/vay-ngan-ha"&amp;"ng-1-ty-moi-thang-tra-bao-nhieu
https://techcombank.com/thong-tin/blog/cach-tinh-lai-suat-tien-gui-tiet-kiem
https://techcombank.com/thong-tin/blog/cach-tiet-kiem-tien
https://techcombank.com/cong-cu-tien-ich/cong-cu-tinh-toan/bang-tinh-lai-suat-vay
https"&amp;"://techcombank.com/thong-tin/blog/no-xau-la-gi
https://techcombank.com/thong-tin/blog/vay-tin-chap-khong-tra-duoc-co-sao-khong")</f>
        <v>https://techcombank.com/thong-tin/blog/cic-la-gi
https://techcombank.com/thong-tin/blog/rut-tien-mat-tu-the-tin-dung
https://techcombank.com/khach-hang-ca-nhan/chi-tieu/the/the-tin-dung/techcombank-everyday
https://techcombank.com/thong-tin/blog/the-tin-dung-hoan-tien
https://techcombank.com/thong-tin/blog/cach-huy-the-tin-dung
https://techcombank.com/thong-tin/blog/xep-hang-tin-dung
https://techcombank.com/thong-tin/blog/1000-won-bang-bao-nhieu-tien-viet
https://techcombank.com/thong-tin/blog/vay-ngan-hang-1-ty-moi-thang-tra-bao-nhieu
https://techcombank.com/thong-tin/blog/cach-tinh-lai-suat-tien-gui-tiet-kiem
https://techcombank.com/thong-tin/blog/cach-tiet-kiem-tien
https://techcombank.com/cong-cu-tien-ich/cong-cu-tinh-toan/bang-tinh-lai-suat-vay
https://techcombank.com/thong-tin/blog/no-xau-la-gi
https://techcombank.com/thong-tin/blog/vay-tin-chap-khong-tra-duoc-co-sao-khong</v>
      </c>
      <c r="D4" s="20"/>
      <c r="E4" s="20"/>
      <c r="F4" s="20"/>
      <c r="G4" s="20"/>
      <c r="H4" s="20"/>
      <c r="I4" s="20"/>
      <c r="J4" s="20"/>
      <c r="K4" s="20"/>
      <c r="L4" s="20"/>
      <c r="M4" s="20"/>
      <c r="N4" s="20"/>
      <c r="O4" s="20"/>
      <c r="P4" s="20"/>
      <c r="Q4" s="20"/>
      <c r="R4" s="20"/>
      <c r="S4" s="20"/>
      <c r="T4" s="20"/>
      <c r="U4" s="20"/>
      <c r="V4" s="20"/>
      <c r="W4" s="20"/>
      <c r="X4" s="20"/>
    </row>
    <row r="5">
      <c r="A5" s="27" t="str">
        <f>IFERROR(__xludf.DUMMYFUNCTION("""COMPUTED_VALUE"""),"https://techcombank.com/thong-tin/blog/uu-dai-the-tin-dung-techcombank-signature")</f>
        <v>https://techcombank.com/thong-tin/blog/uu-dai-the-tin-dung-techcombank-signature</v>
      </c>
      <c r="B5" s="28">
        <f>IFERROR(__xludf.DUMMYFUNCTION("""COMPUTED_VALUE"""),13.0)</f>
        <v>13</v>
      </c>
      <c r="C5" s="20" t="str">
        <f>IFERROR(__xludf.DUMMYFUNCTION("IF(A5="""","""",TEXTJOIN(CHAR(10),TRUE,FILTER('Tổng hợp 75 trang đích'!$B$2:$B$3400,'Tổng hợp 75 trang đích'!$I$2:$I$3400=A5)))"),"https://techcombank.com/thong-tin/blog/cach-tinh-tien-dien-sinh-hoat
https://techcombank.com/thong-tin/blog/lam-the-tin-dung
https://techcombank.com/khach-hang-ca-nhan/chi-tieu/the/the-tin-dung/techcombank-everyday
https://techcombank.com/thong-tin/blog/t"&amp;"he-tin-dung-hoan-tien
https://techcombank.com/thong-tin/blog/cach-huy-the-tin-dung
https://techcombank.com/thong-tin/blog/xep-hang-tin-dung
https://techcombank.com/thong-tin/blog/cach-thanh-toan-the-tin-dung
https://techcombank.com/thong-tin/blog/cach-tin"&amp;"h-lai-vay-ngan-hang
https://techcombank.com/thong-tin/blog/lai-suat-tiet-kiem
https://techcombank.com/thong-tin/blog/cach-tinh-lai-suat-tien-gui-tiet-kiem
https://techcombank.com/thong-tin/blog/cach-tiet-kiem-tien
https://techcombank.com/thong-tin/blog/ap"&amp;"p-vay-tien-nhanh
https://techcombank.com/thong-tin/blog/nen-vay-tin-chap-o-dau")</f>
        <v>https://techcombank.com/thong-tin/blog/cach-tinh-tien-dien-sinh-hoat
https://techcombank.com/thong-tin/blog/lam-the-tin-dung
https://techcombank.com/khach-hang-ca-nhan/chi-tieu/the/the-tin-dung/techcombank-everyday
https://techcombank.com/thong-tin/blog/the-tin-dung-hoan-tien
https://techcombank.com/thong-tin/blog/cach-huy-the-tin-dung
https://techcombank.com/thong-tin/blog/xep-hang-tin-dung
https://techcombank.com/thong-tin/blog/cach-thanh-toan-the-tin-dung
https://techcombank.com/thong-tin/blog/cach-tinh-lai-vay-ngan-hang
https://techcombank.com/thong-tin/blog/lai-suat-tiet-kiem
https://techcombank.com/thong-tin/blog/cach-tinh-lai-suat-tien-gui-tiet-kiem
https://techcombank.com/thong-tin/blog/cach-tiet-kiem-tien
https://techcombank.com/thong-tin/blog/app-vay-tien-nhanh
https://techcombank.com/thong-tin/blog/nen-vay-tin-chap-o-dau</v>
      </c>
      <c r="D5" s="20"/>
      <c r="E5" s="20"/>
      <c r="F5" s="20"/>
      <c r="G5" s="20"/>
      <c r="H5" s="20"/>
      <c r="I5" s="20"/>
      <c r="J5" s="20"/>
      <c r="K5" s="20"/>
      <c r="L5" s="20"/>
      <c r="M5" s="20"/>
      <c r="N5" s="20"/>
      <c r="O5" s="20"/>
      <c r="P5" s="20"/>
      <c r="Q5" s="20"/>
      <c r="R5" s="20"/>
      <c r="S5" s="20"/>
      <c r="T5" s="20"/>
      <c r="U5" s="20"/>
      <c r="V5" s="20"/>
      <c r="W5" s="20"/>
      <c r="X5" s="20"/>
    </row>
    <row r="6">
      <c r="A6" s="27" t="str">
        <f>IFERROR(__xludf.DUMMYFUNCTION("""COMPUTED_VALUE"""),"https://techcombank.com/thong-tin/blog/dao-han-la-gi")</f>
        <v>https://techcombank.com/thong-tin/blog/dao-han-la-gi</v>
      </c>
      <c r="B6" s="28">
        <f>IFERROR(__xludf.DUMMYFUNCTION("""COMPUTED_VALUE"""),12.0)</f>
        <v>12</v>
      </c>
      <c r="C6" s="20" t="str">
        <f>IFERROR(__xludf.DUMMYFUNCTION("IF(A6="""","""",TEXTJOIN(CHAR(10),TRUE,FILTER('Tổng hợp 75 trang đích'!$B$2:$B$3400,'Tổng hợp 75 trang đích'!$I$2:$I$3400=A6)))"),"https://techcombank.com/thong-tin/blog/cic-la-gi
https://techcombank.com/thong-tin/blog/xep-hang-tin-dung
https://techcombank.com/thong-tin/blog/cach-thanh-toan-the-tin-dung
https://techcombank.com/thong-tin/blog/cach-tinh-lai-vay-ngan-hang
https://techco"&amp;"mbank.com/thong-tin/blog/lai-suat-tiet-kiem
https://techcombank.com/thong-tin/blog/cach-tinh-lai-suat-tien-gui-tiet-kiem
https://techcombank.com/thong-tin/blog/rut-tien-tiet-kiem-truoc-thoi-han
https://techcombank.com/thong-tin/blog/so-tiet-kiem-ngan-hang"&amp;"
https://techcombank.com/cong-cu-tien-ich/cong-cu-tinh-toan/bang-tinh-lai-suat-vay
https://techcombank.com/cong-cu-tien-ich/cong-cu-tinh-toan/bang-tinh-lai-suat-tiet-kiem
https://techcombank.com/thong-tin/blog/app-vay-tien-nhanh
https://techcombank.com/th"&amp;"ong-tin/blog/nen-vay-tin-chap-o-dau")</f>
        <v>https://techcombank.com/thong-tin/blog/cic-la-gi
https://techcombank.com/thong-tin/blog/xep-hang-tin-dung
https://techcombank.com/thong-tin/blog/cach-thanh-toan-the-tin-dung
https://techcombank.com/thong-tin/blog/cach-tinh-lai-vay-ngan-hang
https://techcombank.com/thong-tin/blog/lai-suat-tiet-kiem
https://techcombank.com/thong-tin/blog/cach-tinh-lai-suat-tien-gui-tiet-kiem
https://techcombank.com/thong-tin/blog/rut-tien-tiet-kiem-truoc-thoi-han
https://techcombank.com/thong-tin/blog/so-tiet-kiem-ngan-hang
https://techcombank.com/cong-cu-tien-ich/cong-cu-tinh-toan/bang-tinh-lai-suat-vay
https://techcombank.com/cong-cu-tien-ich/cong-cu-tinh-toan/bang-tinh-lai-suat-tiet-kiem
https://techcombank.com/thong-tin/blog/app-vay-tien-nhanh
https://techcombank.com/thong-tin/blog/nen-vay-tin-chap-o-dau</v>
      </c>
      <c r="D6" s="20"/>
      <c r="E6" s="20"/>
      <c r="F6" s="20"/>
      <c r="G6" s="20"/>
      <c r="H6" s="20"/>
      <c r="I6" s="20"/>
      <c r="J6" s="20"/>
      <c r="K6" s="20"/>
      <c r="L6" s="20"/>
      <c r="M6" s="20"/>
      <c r="N6" s="20"/>
      <c r="O6" s="20"/>
      <c r="P6" s="20"/>
      <c r="Q6" s="20"/>
      <c r="R6" s="20"/>
      <c r="S6" s="20"/>
      <c r="T6" s="20"/>
      <c r="U6" s="20"/>
      <c r="V6" s="20"/>
      <c r="W6" s="20"/>
      <c r="X6" s="20"/>
    </row>
    <row r="7">
      <c r="A7" s="27" t="str">
        <f>IFERROR(__xludf.DUMMYFUNCTION("""COMPUTED_VALUE"""),"https://techcombank.com/thong-tin/blog/kinh-nghiem-chuyen-doi-tu-ho-kinh-doanh-len-doanh-nghiep")</f>
        <v>https://techcombank.com/thong-tin/blog/kinh-nghiem-chuyen-doi-tu-ho-kinh-doanh-len-doanh-nghiep</v>
      </c>
      <c r="B7" s="28">
        <f>IFERROR(__xludf.DUMMYFUNCTION("""COMPUTED_VALUE"""),12.0)</f>
        <v>12</v>
      </c>
      <c r="C7" s="20" t="str">
        <f>IFERROR(__xludf.DUMMYFUNCTION("IF(A7="""","""",TEXTJOIN(CHAR(10),TRUE,FILTER('Tổng hợp 75 trang đích'!$B$2:$B$3400,'Tổng hợp 75 trang đích'!$I$2:$I$3400=A7)))"),"https://techcombank.com/thong-tin/blog/nop-thue-dat-qua-ngan-hang
https://techcombank.com/thong-tin/blog/cach-nop-thue-dien-tu
https://techcombank.com/thong-tin/blog/thue-thu-nhap-doanh-nghiep
https://techcombank.com/thong-tin/blog/thue-vat-la-gi
https://"&amp;"techcombank.com/thong-tin/blog/thue-doanh-nghiep
https://techcombank.com/thong-tin/blog/cong-ty-su-dung-tai-khoan-ca-nhan
https://techcombank.com/thong-tin/blog/cach-tinh-thue-thu-nhap-doanh-nghiep
https://techcombank.com/thong-tin/blog/cach-tinh-thue-thu"&amp;"-nhap-ca-nhan-2025
https://techcombank.com/thong-tin/blog/thue-thu-nhap-ca-nhan
https://techcombank.com/thong-tin/blog/ho-kinh-doanh-dong-thue-nhu-nao
https://techcombank.com/thong-tin/blog/mo-hinh-kinh-doanh-la-gi
https://techcombank.com/thong-tin/blog/a"&amp;"pp-vay-tien-nhanh")</f>
        <v>https://techcombank.com/thong-tin/blog/nop-thue-dat-qua-ngan-hang
https://techcombank.com/thong-tin/blog/cach-nop-thue-dien-tu
https://techcombank.com/thong-tin/blog/thue-thu-nhap-doanh-nghiep
https://techcombank.com/thong-tin/blog/thue-vat-la-gi
https://techcombank.com/thong-tin/blog/thue-doanh-nghiep
https://techcombank.com/thong-tin/blog/cong-ty-su-dung-tai-khoan-ca-nhan
https://techcombank.com/thong-tin/blog/cach-tinh-thue-thu-nhap-doanh-nghiep
https://techcombank.com/thong-tin/blog/cach-tinh-thue-thu-nhap-ca-nhan-2025
https://techcombank.com/thong-tin/blog/thue-thu-nhap-ca-nhan
https://techcombank.com/thong-tin/blog/ho-kinh-doanh-dong-thue-nhu-nao
https://techcombank.com/thong-tin/blog/mo-hinh-kinh-doanh-la-gi
https://techcombank.com/thong-tin/blog/app-vay-tien-nhanh</v>
      </c>
      <c r="D7" s="20"/>
      <c r="E7" s="20"/>
      <c r="F7" s="20"/>
      <c r="G7" s="20"/>
      <c r="H7" s="20"/>
      <c r="I7" s="20"/>
      <c r="J7" s="20"/>
      <c r="K7" s="20"/>
      <c r="L7" s="20"/>
      <c r="M7" s="20"/>
      <c r="N7" s="20"/>
      <c r="O7" s="20"/>
      <c r="P7" s="20"/>
      <c r="Q7" s="20"/>
      <c r="R7" s="20"/>
      <c r="S7" s="20"/>
      <c r="T7" s="20"/>
      <c r="U7" s="20"/>
      <c r="V7" s="20"/>
      <c r="W7" s="20"/>
      <c r="X7" s="20"/>
    </row>
    <row r="8">
      <c r="A8" s="27" t="str">
        <f>IFERROR(__xludf.DUMMYFUNCTION("""COMPUTED_VALUE"""),"https://techcombank.com/thong-tin/blog/mo-tai-khoan-ho-kinh-doanh")</f>
        <v>https://techcombank.com/thong-tin/blog/mo-tai-khoan-ho-kinh-doanh</v>
      </c>
      <c r="B8" s="28">
        <f>IFERROR(__xludf.DUMMYFUNCTION("""COMPUTED_VALUE"""),12.0)</f>
        <v>12</v>
      </c>
      <c r="C8" s="20" t="str">
        <f>IFERROR(__xludf.DUMMYFUNCTION("IF(A8="""","""",TEXTJOIN(CHAR(10),TRUE,FILTER('Tổng hợp 75 trang đích'!$B$2:$B$3400,'Tổng hợp 75 trang đích'!$I$2:$I$3400=A8)))"),"https://techcombank.com/thong-tin/blog/cach-mo-tai-khoan
https://techcombank.com/thong-tin/blog/bao-nhieu-tuoi-duoc-mo-tai-khoan-ngan-hang
https://techcombank.com/thong-tin/blog/mo-tai-khoan-ngan-hang-duoi-18-tuoi
https://techcombank.com/thong-tin/blog/da"&amp;"y-so-phat-tai-phat-loc
https://techcombank.com/thong-tin/blog/cic-la-gi
https://techcombank.com/thong-tin/blog/vay-ngan-hang-1-ty-moi-thang-tra-bao-nhieu
https://techcombank.com/thong-tin/blog/ho-kinh-doanh-dong-thue-nhu-nao
https://techcombank.com/thong-"&amp;"tin/blog/mo-hinh-kinh-doanh-la-gi
https://techcombank.com/thong-tin/blog/gui-ma-qr-ngan-hang
https://techcombank.com/thong-tin/blog/cach-tinh-thue-ho-kinh-doanh-nho-le
https://techcombank.com/thong-tin/blog/ho-so-thu-tuc-xoa-the-chap
https://techcombank.c"&amp;"om/cong-cu-tien-ich/cong-cu-tinh-toan/bang-tinh-lai-suat-tiet-kiem")</f>
        <v>https://techcombank.com/thong-tin/blog/cach-mo-tai-khoan
https://techcombank.com/thong-tin/blog/bao-nhieu-tuoi-duoc-mo-tai-khoan-ngan-hang
https://techcombank.com/thong-tin/blog/mo-tai-khoan-ngan-hang-duoi-18-tuoi
https://techcombank.com/thong-tin/blog/day-so-phat-tai-phat-loc
https://techcombank.com/thong-tin/blog/cic-la-gi
https://techcombank.com/thong-tin/blog/vay-ngan-hang-1-ty-moi-thang-tra-bao-nhieu
https://techcombank.com/thong-tin/blog/ho-kinh-doanh-dong-thue-nhu-nao
https://techcombank.com/thong-tin/blog/mo-hinh-kinh-doanh-la-gi
https://techcombank.com/thong-tin/blog/gui-ma-qr-ngan-hang
https://techcombank.com/thong-tin/blog/cach-tinh-thue-ho-kinh-doanh-nho-le
https://techcombank.com/thong-tin/blog/ho-so-thu-tuc-xoa-the-chap
https://techcombank.com/cong-cu-tien-ich/cong-cu-tinh-toan/bang-tinh-lai-suat-tiet-kiem</v>
      </c>
      <c r="D8" s="20"/>
      <c r="E8" s="20"/>
      <c r="F8" s="20"/>
      <c r="G8" s="20"/>
      <c r="H8" s="20"/>
      <c r="I8" s="20"/>
      <c r="J8" s="20"/>
      <c r="K8" s="20"/>
      <c r="L8" s="20"/>
      <c r="M8" s="20"/>
      <c r="N8" s="20"/>
      <c r="O8" s="20"/>
      <c r="P8" s="20"/>
      <c r="Q8" s="20"/>
      <c r="R8" s="20"/>
      <c r="S8" s="20"/>
      <c r="T8" s="20"/>
      <c r="U8" s="20"/>
      <c r="V8" s="20"/>
      <c r="W8" s="20"/>
      <c r="X8" s="20"/>
    </row>
    <row r="9">
      <c r="A9" s="27" t="str">
        <f>IFERROR(__xludf.DUMMYFUNCTION("""COMPUTED_VALUE"""),"https://techcombank.com/thong-tin/blog/nen-thanh-lap-ho-kinh-doanh-ke-khai-hay-doanh-nghiep")</f>
        <v>https://techcombank.com/thong-tin/blog/nen-thanh-lap-ho-kinh-doanh-ke-khai-hay-doanh-nghiep</v>
      </c>
      <c r="B9" s="28">
        <f>IFERROR(__xludf.DUMMYFUNCTION("""COMPUTED_VALUE"""),12.0)</f>
        <v>12</v>
      </c>
      <c r="C9" s="20" t="str">
        <f>IFERROR(__xludf.DUMMYFUNCTION("IF(A9="""","""",TEXTJOIN(CHAR(10),TRUE,FILTER('Tổng hợp 75 trang đích'!$B$2:$B$3400,'Tổng hợp 75 trang đích'!$I$2:$I$3400=A9)))"),"https://techcombank.com/thong-tin/blog/nop-thue-dat-qua-ngan-hang
https://techcombank.com/thong-tin/blog/cach-nop-thue-dien-tu
https://techcombank.com/thong-tin/blog/thue-thu-nhap-doanh-nghiep
https://techcombank.com/thong-tin/blog/thue-vat-la-gi
https://"&amp;"techcombank.com/thong-tin/blog/thue-doanh-nghiep
https://techcombank.com/thong-tin/blog/cach-tinh-thue-thu-nhap-doanh-nghiep
https://techcombank.com/thong-tin/blog/cach-tinh-thue-thu-nhap-ca-nhan-2025
https://techcombank.com/thong-tin/blog/thue-thu-nhap-c"&amp;"a-nhan
https://techcombank.com/thong-tin/blog/ho-kinh-doanh-dong-thue-nhu-nao
https://techcombank.com/thong-tin/blog/mo-hinh-kinh-doanh-la-gi
https://techcombank.com/thong-tin/blog/mo-tai-khoan-ho-kinh-doanh
https://techcombank.com/thong-tin/blog/cach-tin"&amp;"h-thue-ho-kinh-doanh-nho-le")</f>
        <v>https://techcombank.com/thong-tin/blog/nop-thue-dat-qua-ngan-hang
https://techcombank.com/thong-tin/blog/cach-nop-thue-dien-tu
https://techcombank.com/thong-tin/blog/thue-thu-nhap-doanh-nghiep
https://techcombank.com/thong-tin/blog/thue-vat-la-gi
https://techcombank.com/thong-tin/blog/thue-doanh-nghiep
https://techcombank.com/thong-tin/blog/cach-tinh-thue-thu-nhap-doanh-nghiep
https://techcombank.com/thong-tin/blog/cach-tinh-thue-thu-nhap-ca-nhan-2025
https://techcombank.com/thong-tin/blog/thue-thu-nhap-ca-nhan
https://techcombank.com/thong-tin/blog/ho-kinh-doanh-dong-thue-nhu-nao
https://techcombank.com/thong-tin/blog/mo-hinh-kinh-doanh-la-gi
https://techcombank.com/thong-tin/blog/mo-tai-khoan-ho-kinh-doanh
https://techcombank.com/thong-tin/blog/cach-tinh-thue-ho-kinh-doanh-nho-le</v>
      </c>
      <c r="D9" s="20"/>
      <c r="E9" s="20"/>
      <c r="F9" s="20"/>
      <c r="G9" s="20"/>
      <c r="H9" s="20"/>
      <c r="I9" s="20"/>
      <c r="J9" s="20"/>
      <c r="K9" s="20"/>
      <c r="L9" s="20"/>
      <c r="M9" s="20"/>
      <c r="N9" s="20"/>
      <c r="O9" s="20"/>
      <c r="P9" s="20"/>
      <c r="Q9" s="20"/>
      <c r="R9" s="20"/>
      <c r="S9" s="20"/>
      <c r="T9" s="20"/>
      <c r="U9" s="20"/>
      <c r="V9" s="20"/>
      <c r="W9" s="20"/>
      <c r="X9" s="20"/>
    </row>
    <row r="10">
      <c r="A10" s="27" t="str">
        <f>IFERROR(__xludf.DUMMYFUNCTION("""COMPUTED_VALUE"""),"https://techcombank.com/thong-tin/blog/tien-singapore")</f>
        <v>https://techcombank.com/thong-tin/blog/tien-singapore</v>
      </c>
      <c r="B10" s="28">
        <f>IFERROR(__xludf.DUMMYFUNCTION("""COMPUTED_VALUE"""),12.0)</f>
        <v>12</v>
      </c>
      <c r="C10" s="20" t="str">
        <f>IFERROR(__xludf.DUMMYFUNCTION("IF(A10="""","""",TEXTJOIN(CHAR(10),TRUE,FILTER('Tổng hợp 75 trang đích'!$B$2:$B$3400,'Tổng hợp 75 trang đích'!$I$2:$I$3400=A10)))"),"https://techcombank.com/thong-tin/blog/cic-la-gi
https://techcombank.com/thong-tin/blog/1-te-bang-bao-nhieu-tien-viet-nam
https://techcombank.com/thong-tin/blog/1-dong-do-la-my-bang-bao-nhieu-tien-viet-nam
https://techcombank.com/thong-tin/blog/tien-nhat
"&amp;"https://techcombank.com/thong-tin/blog/1-yen-bang-bao-nhieu-tien-viet-nam
https://techcombank.com/thong-tin/blog/1-won-bang-bao-nhieu-tien-viet
https://techcombank.com/thong-tin/blog/tien-dai-loan
https://techcombank.com/thong-tin/blog/1-man-bang-bao-nhie"&amp;"u-tien-viet
https://techcombank.com/thong-tin/blog/1000-won-bang-bao-nhieu-tien-viet
https://techcombank.com/thong-tin/blog/cach-nhan-tien-tu-nuoc-ngoai-ve-viet-nam
https://techcombank.com/thong-tin/blog/doi-tien-do-o-dau
https://techcombank.com/thong-tin"&amp;"/blog/lai-suat-tiet-kiem")</f>
        <v>https://techcombank.com/thong-tin/blog/cic-la-gi
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https://techcombank.com/thong-tin/blog/1000-won-bang-bao-nhieu-tien-viet
https://techcombank.com/thong-tin/blog/cach-nhan-tien-tu-nuoc-ngoai-ve-viet-nam
https://techcombank.com/thong-tin/blog/doi-tien-do-o-dau
https://techcombank.com/thong-tin/blog/lai-suat-tiet-kiem</v>
      </c>
      <c r="D10" s="20"/>
      <c r="E10" s="20"/>
      <c r="F10" s="20"/>
      <c r="G10" s="20"/>
      <c r="H10" s="20"/>
      <c r="I10" s="20"/>
      <c r="J10" s="20"/>
      <c r="K10" s="20"/>
      <c r="L10" s="20"/>
      <c r="M10" s="20"/>
      <c r="N10" s="20"/>
      <c r="O10" s="20"/>
      <c r="P10" s="20"/>
      <c r="Q10" s="20"/>
      <c r="R10" s="20"/>
      <c r="S10" s="20"/>
      <c r="T10" s="20"/>
      <c r="U10" s="20"/>
      <c r="V10" s="20"/>
      <c r="W10" s="20"/>
      <c r="X10" s="20"/>
    </row>
    <row r="11">
      <c r="A11" s="27" t="str">
        <f>IFERROR(__xludf.DUMMYFUNCTION("""COMPUTED_VALUE"""),"https://techcombank.com/thong-tin/blog/tin-chap-doanh-nghiep")</f>
        <v>https://techcombank.com/thong-tin/blog/tin-chap-doanh-nghiep</v>
      </c>
      <c r="B11" s="28">
        <f>IFERROR(__xludf.DUMMYFUNCTION("""COMPUTED_VALUE"""),12.0)</f>
        <v>12</v>
      </c>
      <c r="C11" s="20" t="str">
        <f>IFERROR(__xludf.DUMMYFUNCTION("IF(A11="""","""",TEXTJOIN(CHAR(10),TRUE,FILTER('Tổng hợp 75 trang đích'!$B$2:$B$3400,'Tổng hợp 75 trang đích'!$I$2:$I$3400=A11)))"),"https://techcombank.com/thong-tin/blog/lai-suat-vay-mua-o-to
https://techcombank.com/thong-tin/blog/ngan-hang-uy-tin
https://techcombank.com/thong-tin/blog/nap-tien-vao-tai-khoan-ngan-hang
https://techcombank.com/thong-tin/blog/cic-la-gi
https://techcomba"&amp;"nk.com/thong-tin/blog/lai-suat-tiet-kiem
https://techcombank.com/thong-tin/blog/cach-tinh-lai-suat-tien-gui-tiet-kiem
https://techcombank.com/cong-cu-tien-ich/cong-cu-tinh-toan/bang-tinh-lai-suat-vay
https://techcombank.com/thong-tin/blog/app-vay-tien-nha"&amp;"nh
https://techcombank.com/thong-tin/blog/lai-suat-vay-ngan-hang
https://techcombank.com/thong-tin/blog/vay-thau-chi-la-gi
https://techcombank.com/thong-tin/blog/nen-vay-tin-chap-o-dau
https://techcombank.com/thong-tin/blog/vay-tin-chap-khong-tra-duoc-co-"&amp;"sao-khong")</f>
        <v>https://techcombank.com/thong-tin/blog/lai-suat-vay-mua-o-to
https://techcombank.com/thong-tin/blog/ngan-hang-uy-tin
https://techcombank.com/thong-tin/blog/nap-tien-vao-tai-khoan-ngan-hang
https://techcombank.com/thong-tin/blog/cic-la-gi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
https://techcombank.com/thong-tin/blog/nen-vay-tin-chap-o-dau
https://techcombank.com/thong-tin/blog/vay-tin-chap-khong-tra-duoc-co-sao-khong</v>
      </c>
      <c r="D11" s="20"/>
      <c r="E11" s="20"/>
      <c r="F11" s="20"/>
      <c r="G11" s="20"/>
      <c r="H11" s="20"/>
      <c r="I11" s="20"/>
      <c r="J11" s="20"/>
      <c r="K11" s="20"/>
      <c r="L11" s="20"/>
      <c r="M11" s="20"/>
      <c r="N11" s="20"/>
      <c r="O11" s="20"/>
      <c r="P11" s="20"/>
      <c r="Q11" s="20"/>
      <c r="R11" s="20"/>
      <c r="S11" s="20"/>
      <c r="T11" s="20"/>
      <c r="U11" s="20"/>
      <c r="V11" s="20"/>
      <c r="W11" s="20"/>
      <c r="X11" s="20"/>
    </row>
    <row r="12">
      <c r="A12" s="27" t="str">
        <f>IFERROR(__xludf.DUMMYFUNCTION("""COMPUTED_VALUE"""),"https://techcombank.com/thong-tin/blog/1-do-uc-bang-bao-nhieu-tien-viet")</f>
        <v>https://techcombank.com/thong-tin/blog/1-do-uc-bang-bao-nhieu-tien-viet</v>
      </c>
      <c r="B12" s="28">
        <f>IFERROR(__xludf.DUMMYFUNCTION("""COMPUTED_VALUE"""),11.0)</f>
        <v>11</v>
      </c>
      <c r="C12" s="20" t="str">
        <f>IFERROR(__xludf.DUMMYFUNCTION("IF(A12="""","""",TEXTJOIN(CHAR(10),TRUE,FILTER('Tổng hợp 75 trang đích'!$B$2:$B$3400,'Tổng hợp 75 trang đích'!$I$2:$I$3400=A12)))"),"https://techcombank.com/thong-tin/blog/1-te-bang-bao-nhieu-tien-viet-nam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https://techcombank.com/thong-tin/blog/1-man-bang-bao-nhieu-tien-viet
https://techcombank.com/thong-tin/blo"&amp;"g/1-trieu-do-bang-bao-nhieu-tien-viet
https://techcombank.com/thong-tin/blog/1000-won-bang-bao-nhieu-tien-viet
https://techcombank.com/thong-tin/blog/cach-nhan-tien-tu-nuoc-ngoai-ve-viet-nam
https://techcombank.com/thong-tin/blog/doi-tien-do-o-dau")</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
https://techcombank.com/thong-tin/blog/cach-nhan-tien-tu-nuoc-ngoai-ve-viet-nam
https://techcombank.com/thong-tin/blog/doi-tien-do-o-dau</v>
      </c>
      <c r="D12" s="20"/>
      <c r="E12" s="20"/>
      <c r="F12" s="20"/>
      <c r="G12" s="20"/>
      <c r="H12" s="20"/>
      <c r="I12" s="20"/>
      <c r="J12" s="20"/>
      <c r="K12" s="20"/>
      <c r="L12" s="20"/>
      <c r="M12" s="20"/>
      <c r="N12" s="20"/>
      <c r="O12" s="20"/>
      <c r="P12" s="20"/>
      <c r="Q12" s="20"/>
      <c r="R12" s="20"/>
      <c r="S12" s="20"/>
      <c r="T12" s="20"/>
      <c r="U12" s="20"/>
      <c r="V12" s="20"/>
      <c r="W12" s="20"/>
      <c r="X12" s="20"/>
    </row>
    <row r="13">
      <c r="A13" s="27" t="str">
        <f>IFERROR(__xludf.DUMMYFUNCTION("""COMPUTED_VALUE"""),"https://techcombank.com/thong-tin/blog/1000-te-bang-bao-nhieu-tien-viet")</f>
        <v>https://techcombank.com/thong-tin/blog/1000-te-bang-bao-nhieu-tien-viet</v>
      </c>
      <c r="B13" s="28">
        <f>IFERROR(__xludf.DUMMYFUNCTION("""COMPUTED_VALUE"""),11.0)</f>
        <v>11</v>
      </c>
      <c r="C13" s="20" t="str">
        <f>IFERROR(__xludf.DUMMYFUNCTION("IF(A13="""","""",TEXTJOIN(CHAR(10),TRUE,FILTER('Tổng hợp 75 trang đích'!$B$2:$B$3400,'Tổng hợp 75 trang đích'!$I$2:$I$3400=A13)))"),"https://techcombank.com/thong-tin/blog/cic-la-gi
https://techcombank.com/thong-tin/blog/1-te-bang-bao-nhieu-tien-viet-nam
https://techcombank.com/thong-tin/blog/1-dong-do-la-my-bang-bao-nhieu-tien-viet-nam
https://techcombank.com/thong-tin/blog/tien-nhat
"&amp;"https://techcombank.com/thong-tin/blog/1-yen-bang-bao-nhieu-tien-viet-nam
https://techcombank.com/thong-tin/blog/1-won-bang-bao-nhieu-tien-viet
https://techcombank.com/thong-tin/blog/tien-dai-loan
https://techcombank.com/thong-tin/blog/1-man-bang-bao-nhie"&amp;"u-tien-viet
https://techcombank.com/thong-tin/blog/1-trieu-do-bang-bao-nhieu-tien-viet
https://techcombank.com/thong-tin/blog/1000-won-bang-bao-nhieu-tien-viet
https://techcombank.com/thong-tin/blog/cach-nhan-tien-tu-nuoc-ngoai-ve-viet-nam")</f>
        <v>https://techcombank.com/thong-tin/blog/cic-la-gi
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
https://techcombank.com/thong-tin/blog/cach-nhan-tien-tu-nuoc-ngoai-ve-viet-nam</v>
      </c>
      <c r="D13" s="20"/>
      <c r="E13" s="20"/>
      <c r="F13" s="20"/>
      <c r="G13" s="20"/>
      <c r="H13" s="20"/>
      <c r="I13" s="20"/>
      <c r="J13" s="20"/>
      <c r="K13" s="20"/>
      <c r="L13" s="20"/>
      <c r="M13" s="20"/>
      <c r="N13" s="20"/>
      <c r="O13" s="20"/>
      <c r="P13" s="20"/>
      <c r="Q13" s="20"/>
      <c r="R13" s="20"/>
      <c r="S13" s="20"/>
      <c r="T13" s="20"/>
      <c r="U13" s="20"/>
      <c r="V13" s="20"/>
      <c r="W13" s="20"/>
      <c r="X13" s="20"/>
    </row>
    <row r="14">
      <c r="A14" s="27" t="str">
        <f>IFERROR(__xludf.DUMMYFUNCTION("""COMPUTED_VALUE"""),"https://techcombank.com/thong-tin/blog/cach-thanh-toan-the-tin-dung")</f>
        <v>https://techcombank.com/thong-tin/blog/cach-thanh-toan-the-tin-dung</v>
      </c>
      <c r="B14" s="28">
        <f>IFERROR(__xludf.DUMMYFUNCTION("""COMPUTED_VALUE"""),11.0)</f>
        <v>11</v>
      </c>
      <c r="C14" s="20" t="str">
        <f>IFERROR(__xludf.DUMMYFUNCTION("IF(A14="""","""",TEXTJOIN(CHAR(10),TRUE,FILTER('Tổng hợp 75 trang đích'!$B$2:$B$3400,'Tổng hợp 75 trang đích'!$I$2:$I$3400=A14)))"),"https://techcombank.com/thong-tin/blog/nap-tien-vao-tai-khoan-ngan-hang
https://techcombank.com/thong-tin/blog/ten-dang-nhap-tai-khoan-ngan-hang-la-gi
https://techcombank.com/thong-tin/blog/cic-la-gi
https://techcombank.com/khach-hang-ca-nhan/chi-tieu/the"&amp;"/the-tin-dung/techcombank-everyday
https://techcombank.com/thong-tin/blog/the-tin-dung-hoan-tien
https://techcombank.com/thong-tin/blog/cach-huy-the-tin-dung
https://techcombank.com/thong-tin/blog/cach-tinh-lai-vay-ngan-hang
https://techcombank.com/thong-"&amp;"tin/blog/lai-suat-tiet-kiem
https://techcombank.com/thong-tin/blog/cach-tinh-lai-suat-tien-gui-tiet-kiem
https://techcombank.com/cong-cu-tien-ich/cong-cu-tinh-toan/bang-tinh-lai-suat-vay
https://techcombank.com/thong-tin/blog/kiem-tra-no-xau")</f>
        <v>https://techcombank.com/thong-tin/blog/nap-tien-vao-tai-khoan-ngan-hang
https://techcombank.com/thong-tin/blog/ten-dang-nhap-tai-khoan-ngan-hang-la-gi
https://techcombank.com/thong-tin/blog/cic-la-gi
https://techcombank.com/khach-hang-ca-nhan/chi-tieu/the/the-tin-dung/techcombank-everyday
https://techcombank.com/thong-tin/blog/the-tin-dung-hoan-tien
https://techcombank.com/thong-tin/blog/cach-huy-the-tin-dung
https://techcombank.com/thong-tin/blog/cach-tinh-lai-vay-ngan-hang
https://techcombank.com/thong-tin/blog/lai-suat-tiet-kiem
https://techcombank.com/thong-tin/blog/cach-tinh-lai-suat-tien-gui-tiet-kiem
https://techcombank.com/cong-cu-tien-ich/cong-cu-tinh-toan/bang-tinh-lai-suat-vay
https://techcombank.com/thong-tin/blog/kiem-tra-no-xau</v>
      </c>
      <c r="D14" s="20"/>
      <c r="E14" s="20"/>
      <c r="F14" s="20"/>
      <c r="G14" s="20"/>
      <c r="H14" s="20"/>
      <c r="I14" s="20"/>
      <c r="J14" s="20"/>
      <c r="K14" s="20"/>
      <c r="L14" s="20"/>
      <c r="M14" s="20"/>
      <c r="N14" s="20"/>
      <c r="O14" s="20"/>
      <c r="P14" s="20"/>
      <c r="Q14" s="20"/>
      <c r="R14" s="20"/>
      <c r="S14" s="20"/>
      <c r="T14" s="20"/>
      <c r="U14" s="20"/>
      <c r="V14" s="20"/>
      <c r="W14" s="20"/>
      <c r="X14" s="20"/>
    </row>
    <row r="15">
      <c r="A15" s="27" t="str">
        <f>IFERROR(__xludf.DUMMYFUNCTION("""COMPUTED_VALUE"""),"https://techcombank.com/thong-tin/blog/co-nen-dung-the-tin-dung-khong")</f>
        <v>https://techcombank.com/thong-tin/blog/co-nen-dung-the-tin-dung-khong</v>
      </c>
      <c r="B15" s="28">
        <f>IFERROR(__xludf.DUMMYFUNCTION("""COMPUTED_VALUE"""),11.0)</f>
        <v>11</v>
      </c>
      <c r="C15" s="20" t="str">
        <f>IFERROR(__xludf.DUMMYFUNCTION("IF(A15="""","""",TEXTJOIN(CHAR(10),TRUE,FILTER('Tổng hợp 75 trang đích'!$B$2:$B$3400,'Tổng hợp 75 trang đích'!$I$2:$I$3400=A15)))"),"https://techcombank.com/thong-tin/blog/bao-nhieu-tuoi-duoc-mo-tai-khoan-ngan-hang
https://techcombank.com/thong-tin/blog/cic-la-gi
https://techcombank.com/thong-tin/blog/lam-the-tin-dung
https://techcombank.com/khach-hang-ca-nhan/chi-tieu/the/the-tin-dung"&amp;"/techcombank-everyday
https://techcombank.com/thong-tin/blog/the-tin-dung-hoan-tien
https://techcombank.com/thong-tin/blog/cach-huy-the-tin-dung
https://techcombank.com/thong-tin/blog/cach-thanh-toan-the-tin-dung
https://techcombank.com/thong-tin/blog/lai"&amp;"-suat-tiet-kiem
https://techcombank.com/thong-tin/blog/app-vay-tien-nhanh
https://techcombank.com/thong-tin/blog/kiem-tra-no-xau
https://techcombank.com/thong-tin/blog/no-xau-la-gi")</f>
        <v>https://techcombank.com/thong-tin/blog/bao-nhieu-tuoi-duoc-mo-tai-khoan-ngan-hang
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https://techcombank.com/thong-tin/blog/lai-suat-tiet-kiem
https://techcombank.com/thong-tin/blog/app-vay-tien-nhanh
https://techcombank.com/thong-tin/blog/kiem-tra-no-xau
https://techcombank.com/thong-tin/blog/no-xau-la-gi</v>
      </c>
      <c r="D15" s="20"/>
      <c r="E15" s="20"/>
      <c r="F15" s="20"/>
      <c r="G15" s="20"/>
      <c r="H15" s="20"/>
      <c r="I15" s="20"/>
      <c r="J15" s="20"/>
      <c r="K15" s="20"/>
      <c r="L15" s="20"/>
      <c r="M15" s="20"/>
      <c r="N15" s="20"/>
      <c r="O15" s="20"/>
      <c r="P15" s="20"/>
      <c r="Q15" s="20"/>
      <c r="R15" s="20"/>
      <c r="S15" s="20"/>
      <c r="T15" s="20"/>
      <c r="U15" s="20"/>
      <c r="V15" s="20"/>
      <c r="W15" s="20"/>
      <c r="X15" s="20"/>
    </row>
    <row r="16">
      <c r="A16" s="27" t="str">
        <f>IFERROR(__xludf.DUMMYFUNCTION("""COMPUTED_VALUE"""),"https://techcombank.com/thong-tin/blog/giai-dap-ve-thue-doanh-nghiep")</f>
        <v>https://techcombank.com/thong-tin/blog/giai-dap-ve-thue-doanh-nghiep</v>
      </c>
      <c r="B16" s="28">
        <f>IFERROR(__xludf.DUMMYFUNCTION("""COMPUTED_VALUE"""),11.0)</f>
        <v>11</v>
      </c>
      <c r="C16" s="20" t="str">
        <f>IFERROR(__xludf.DUMMYFUNCTION("IF(A16="""","""",TEXTJOIN(CHAR(10),TRUE,FILTER('Tổng hợp 75 trang đích'!$B$2:$B$3400,'Tổng hợp 75 trang đích'!$I$2:$I$3400=A16)))"),"https://techcombank.com/thong-tin/blog/nop-thue-dat-qua-ngan-hang
https://techcombank.com/thong-tin/blog/cach-nop-thue-dien-tu
https://techcombank.com/thong-tin/blog/thue-thu-nhap-doanh-nghiep
https://techcombank.com/thong-tin/blog/thue-vat-la-gi
https://"&amp;"techcombank.com/thong-tin/blog/tra-cuu-no-thue-doanh-nghiep
https://techcombank.com/thong-tin/blog/thue-doanh-nghiep
https://techcombank.com/thong-tin/blog/cach-tinh-tien-dien-sinh-hoat
https://techcombank.com/thong-tin/blog/cach-tinh-thue-thu-nhap-ca-nha"&amp;"n-2025
https://techcombank.com/thong-tin/blog/kiem-tra-thue-thu-nhap-ca-nhan
https://techcombank.com/thong-tin/blog/thue-thu-nhap-ca-nhan
https://techcombank.com/thong-tin/blog/ho-kinh-doanh-dong-thue-nhu-nao")</f>
        <v>https://techcombank.com/thong-tin/blog/nop-thue-dat-qua-ngan-hang
https://techcombank.com/thong-tin/blog/cach-nop-thue-dien-tu
https://techcombank.com/thong-tin/blog/thue-thu-nhap-doanh-nghiep
https://techcombank.com/thong-tin/blog/thue-vat-la-gi
https://techcombank.com/thong-tin/blog/tra-cuu-no-thue-doanh-nghiep
https://techcombank.com/thong-tin/blog/thue-doanh-nghiep
https://techcombank.com/thong-tin/blog/cach-tinh-tien-dien-sinh-hoat
https://techcombank.com/thong-tin/blog/cach-tinh-thue-thu-nhap-ca-nhan-2025
https://techcombank.com/thong-tin/blog/kiem-tra-thue-thu-nhap-ca-nhan
https://techcombank.com/thong-tin/blog/thue-thu-nhap-ca-nhan
https://techcombank.com/thong-tin/blog/ho-kinh-doanh-dong-thue-nhu-nao</v>
      </c>
      <c r="D16" s="20"/>
      <c r="E16" s="20"/>
      <c r="F16" s="20"/>
      <c r="G16" s="20"/>
      <c r="H16" s="20"/>
      <c r="I16" s="20"/>
      <c r="J16" s="20"/>
      <c r="K16" s="20"/>
      <c r="L16" s="20"/>
      <c r="M16" s="20"/>
      <c r="N16" s="20"/>
      <c r="O16" s="20"/>
      <c r="P16" s="20"/>
      <c r="Q16" s="20"/>
      <c r="R16" s="20"/>
      <c r="S16" s="20"/>
      <c r="T16" s="20"/>
      <c r="U16" s="20"/>
      <c r="V16" s="20"/>
      <c r="W16" s="20"/>
      <c r="X16" s="20"/>
    </row>
    <row r="17">
      <c r="A17" s="27" t="str">
        <f>IFERROR(__xludf.DUMMYFUNCTION("""COMPUTED_VALUE"""),"https://techcombank.com/thong-tin/blog/khai-bao-tai-khoan-ngan-hang-voi-co-quan-thue")</f>
        <v>https://techcombank.com/thong-tin/blog/khai-bao-tai-khoan-ngan-hang-voi-co-quan-thue</v>
      </c>
      <c r="B17" s="28">
        <f>IFERROR(__xludf.DUMMYFUNCTION("""COMPUTED_VALUE"""),11.0)</f>
        <v>11</v>
      </c>
      <c r="C17" s="20" t="str">
        <f>IFERROR(__xludf.DUMMYFUNCTION("IF(A17="""","""",TEXTJOIN(CHAR(10),TRUE,FILTER('Tổng hợp 75 trang đích'!$B$2:$B$3400,'Tổng hợp 75 trang đích'!$I$2:$I$3400=A17)))"),"https://techcombank.com/thong-tin/blog/nop-thue-dat-qua-ngan-hang
https://techcombank.com/thong-tin/blog/cach-nop-thue-dien-tu
https://techcombank.com/thong-tin/blog/cach-tinh-tien-dien-sinh-hoat
https://techcombank.com/thong-tin/blog/cach-mo-tai-khoan
ht"&amp;"tps://techcombank.com/thong-tin/blog/cic-la-gi
https://techcombank.com/thong-tin/blog/vay-ngan-hang-1-ty-moi-thang-tra-bao-nhieu
https://techcombank.com/thong-tin/blog/ho-kinh-doanh-dong-thue-nhu-nao
https://techcombank.com/thong-tin/blog/mo-tai-khoan-ho-"&amp;"kinh-doanh
https://techcombank.com/thong-tin/blog/ho-so-thu-tuc-xoa-the-chap
https://techcombank.com/cong-cu-tien-ich/cong-cu-tinh-toan/bang-tinh-lai-suat-tiet-kiem
https://techcombank.com/thong-tin/blog/app-vay-tien-nhanh")</f>
        <v>https://techcombank.com/thong-tin/blog/nop-thue-dat-qua-ngan-hang
https://techcombank.com/thong-tin/blog/cach-nop-thue-dien-tu
https://techcombank.com/thong-tin/blog/cach-tinh-tien-dien-sinh-hoat
https://techcombank.com/thong-tin/blog/cach-mo-tai-khoan
https://techcombank.com/thong-tin/blog/cic-la-gi
https://techcombank.com/thong-tin/blog/vay-ngan-hang-1-ty-moi-thang-tra-bao-nhieu
https://techcombank.com/thong-tin/blog/ho-kinh-doanh-dong-thue-nhu-nao
https://techcombank.com/thong-tin/blog/mo-tai-khoan-ho-kinh-doanh
https://techcombank.com/thong-tin/blog/ho-so-thu-tuc-xoa-the-chap
https://techcombank.com/cong-cu-tien-ich/cong-cu-tinh-toan/bang-tinh-lai-suat-tiet-kiem
https://techcombank.com/thong-tin/blog/app-vay-tien-nhanh</v>
      </c>
      <c r="D17" s="20"/>
      <c r="E17" s="20"/>
      <c r="F17" s="20"/>
      <c r="G17" s="20"/>
      <c r="H17" s="20"/>
      <c r="I17" s="20"/>
      <c r="J17" s="20"/>
      <c r="K17" s="20"/>
      <c r="L17" s="20"/>
      <c r="M17" s="20"/>
      <c r="N17" s="20"/>
      <c r="O17" s="20"/>
      <c r="P17" s="20"/>
      <c r="Q17" s="20"/>
      <c r="R17" s="20"/>
      <c r="S17" s="20"/>
      <c r="T17" s="20"/>
      <c r="U17" s="20"/>
      <c r="V17" s="20"/>
      <c r="W17" s="20"/>
      <c r="X17" s="20"/>
    </row>
    <row r="18">
      <c r="A18" s="27" t="str">
        <f>IFERROR(__xludf.DUMMYFUNCTION("""COMPUTED_VALUE"""),"https://techcombank.com/thong-tin/blog/lai-suat-vay-kinh-doanh")</f>
        <v>https://techcombank.com/thong-tin/blog/lai-suat-vay-kinh-doanh</v>
      </c>
      <c r="B18" s="28">
        <f>IFERROR(__xludf.DUMMYFUNCTION("""COMPUTED_VALUE"""),11.0)</f>
        <v>11</v>
      </c>
      <c r="C18" s="20" t="str">
        <f>IFERROR(__xludf.DUMMYFUNCTION("IF(A18="""","""",TEXTJOIN(CHAR(10),TRUE,FILTER('Tổng hợp 75 trang đích'!$B$2:$B$3400,'Tổng hợp 75 trang đích'!$I$2:$I$3400=A18)))"),"https://techcombank.com/thong-tin/blog/nop-thue-dat-qua-ngan-hang
https://techcombank.com/thong-tin/blog/ho-kinh-doanh-dong-thue-nhu-nao
https://techcombank.com/thong-tin/blog/mo-tai-khoan-ho-kinh-doanh
https://techcombank.com/thong-tin/blog/cach-tinh-thu"&amp;"e-ho-kinh-doanh-nho-le
https://techcombank.com/thong-tin/blog/cach-tinh-lai-vay-ngan-hang
https://techcombank.com/thong-tin/blog/lai-suat-tiet-kiem
https://techcombank.com/thong-tin/blog/cach-tinh-lai-suat-tien-gui-tiet-kiem
https://techcombank.com/cong-c"&amp;"u-tien-ich/cong-cu-tinh-toan/bang-tinh-lai-suat-vay
https://techcombank.com/thong-tin/blog/app-vay-tien-nhanh
https://techcombank.com/thong-tin/blog/lai-suat-vay-ngan-hang
https://techcombank.com/thong-tin/blog/vay-thau-chi-la-gi")</f>
        <v>https://techcombank.com/thong-tin/blog/nop-thue-dat-qua-ngan-hang
https://techcombank.com/thong-tin/blog/ho-kinh-doanh-dong-thue-nhu-nao
https://techcombank.com/thong-tin/blog/mo-tai-khoan-ho-kinh-doanh
https://techcombank.com/thong-tin/blog/cach-tinh-thue-ho-kinh-doanh-nho-le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18" s="20"/>
      <c r="E18" s="20"/>
      <c r="F18" s="20"/>
      <c r="G18" s="20"/>
      <c r="H18" s="20"/>
      <c r="I18" s="20"/>
      <c r="J18" s="20"/>
      <c r="K18" s="20"/>
      <c r="L18" s="20"/>
      <c r="M18" s="20"/>
      <c r="N18" s="20"/>
      <c r="O18" s="20"/>
      <c r="P18" s="20"/>
      <c r="Q18" s="20"/>
      <c r="R18" s="20"/>
      <c r="S18" s="20"/>
      <c r="T18" s="20"/>
      <c r="U18" s="20"/>
      <c r="V18" s="20"/>
      <c r="W18" s="20"/>
      <c r="X18" s="20"/>
    </row>
    <row r="19">
      <c r="A19" s="27" t="str">
        <f>IFERROR(__xludf.DUMMYFUNCTION("""COMPUTED_VALUE"""),"https://techcombank.com/thong-tin/blog/lai-suat-vay-tin-chap")</f>
        <v>https://techcombank.com/thong-tin/blog/lai-suat-vay-tin-chap</v>
      </c>
      <c r="B19" s="28">
        <f>IFERROR(__xludf.DUMMYFUNCTION("""COMPUTED_VALUE"""),11.0)</f>
        <v>11</v>
      </c>
      <c r="C19" s="20" t="str">
        <f>IFERROR(__xludf.DUMMYFUNCTION("IF(A19="""","""",TEXTJOIN(CHAR(10),TRUE,FILTER('Tổng hợp 75 trang đích'!$B$2:$B$3400,'Tổng hợp 75 trang đích'!$I$2:$I$3400=A19)))"),"https://techcombank.com/thong-tin/blog/lai-suat-vay-mua-o-to
https://techcombank.com/thong-tin/blog/ngan-hang-uy-tin
https://techcombank.com/thong-tin/blog/cach-tinh-lai-vay-ngan-hang
https://techcombank.com/thong-tin/blog/lai-suat-tiet-kiem
https://techc"&amp;"ombank.com/thong-tin/blog/cach-tinh-lai-suat-tien-gui-tiet-kiem
https://techcombank.com/cong-cu-tien-ich/cong-cu-tinh-toan/bang-tinh-lai-suat-vay
https://techcombank.com/thong-tin/blog/app-vay-tien-nhanh
https://techcombank.com/thong-tin/blog/lai-suat-vay"&amp;"-ngan-hang
https://techcombank.com/thong-tin/blog/vay-thau-chi-la-gi
https://techcombank.com/thong-tin/blog/nen-vay-tin-chap-o-dau
https://techcombank.com/thong-tin/blog/no-xau-la-gi")</f>
        <v>https://techcombank.com/thong-tin/blog/lai-suat-vay-mua-o-to
https://techcombank.com/thong-tin/blog/ngan-hang-uy-tin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
https://techcombank.com/thong-tin/blog/nen-vay-tin-chap-o-dau
https://techcombank.com/thong-tin/blog/no-xau-la-gi</v>
      </c>
      <c r="D19" s="20"/>
      <c r="E19" s="20"/>
      <c r="F19" s="20"/>
      <c r="G19" s="20"/>
      <c r="H19" s="20"/>
      <c r="I19" s="20"/>
      <c r="J19" s="20"/>
      <c r="K19" s="20"/>
      <c r="L19" s="20"/>
      <c r="M19" s="20"/>
      <c r="N19" s="20"/>
      <c r="O19" s="20"/>
      <c r="P19" s="20"/>
      <c r="Q19" s="20"/>
      <c r="R19" s="20"/>
      <c r="S19" s="20"/>
      <c r="T19" s="20"/>
      <c r="U19" s="20"/>
      <c r="V19" s="20"/>
      <c r="W19" s="20"/>
      <c r="X19" s="20"/>
    </row>
    <row r="20">
      <c r="A20" s="27" t="str">
        <f>IFERROR(__xludf.DUMMYFUNCTION("""COMPUTED_VALUE"""),"https://techcombank.com/thong-tin/blog/nap-tien-vao-tai-khoan-ngan-hang")</f>
        <v>https://techcombank.com/thong-tin/blog/nap-tien-vao-tai-khoan-ngan-hang</v>
      </c>
      <c r="B20" s="28">
        <f>IFERROR(__xludf.DUMMYFUNCTION("""COMPUTED_VALUE"""),11.0)</f>
        <v>11</v>
      </c>
      <c r="C20" s="20" t="str">
        <f>IFERROR(__xludf.DUMMYFUNCTION("IF(A20="""","""",TEXTJOIN(CHAR(10),TRUE,FILTER('Tổng hợp 75 trang đích'!$B$2:$B$3400,'Tổng hợp 75 trang đích'!$I$2:$I$3400=A20)))"),"https://techcombank.com/thong-tin/blog/cach-nap-the-viettel
https://techcombank.com/thong-tin/blog/cach-tinh-tien-dien-sinh-hoat
https://techcombank.com/thong-tin/blog/cach-kiem-tra-tai-khoan-ngan-hang
https://techcombank.com/thong-tin/blog/cach-mo-tai-kh"&amp;"oan
https://techcombank.com/thong-tin/blog/mo-tai-khoan-ngan-hang-duoi-18-tuoi
https://techcombank.com/thong-tin/blog/rut-tien-bang-ma-qr-la-gi-cach-thuc-hien-nhu-the-nao
https://techcombank.com/thong-tin/blog/cach-quet-nfc-cccd-tren-iphone
https://techco"&amp;"mbank.com/thong-tin/blog/doi-tien-do-o-dau
https://techcombank.com/thong-tin/blog/lai-suat-tiet-kiem
https://techcombank.com/thong-tin/blog/cach-tinh-lai-suat-tien-gui-tiet-kiem
https://techcombank.com/cong-cu-tien-ich/cong-cu-tinh-toan/bang-tinh-lai-suat"&amp;"-vay")</f>
        <v>https://techcombank.com/thong-tin/blog/cach-nap-the-viettel
https://techcombank.com/thong-tin/blog/cach-tinh-tien-dien-sinh-hoat
https://techcombank.com/thong-tin/blog/cach-kiem-tra-tai-khoan-ngan-hang
https://techcombank.com/thong-tin/blog/cach-mo-tai-khoan
https://techcombank.com/thong-tin/blog/mo-tai-khoan-ngan-hang-duoi-18-tuoi
https://techcombank.com/thong-tin/blog/rut-tien-bang-ma-qr-la-gi-cach-thuc-hien-nhu-the-nao
https://techcombank.com/thong-tin/blog/cach-quet-nfc-cccd-tren-iphone
https://techcombank.com/thong-tin/blog/doi-tien-do-o-dau
https://techcombank.com/thong-tin/blog/lai-suat-tiet-kiem
https://techcombank.com/thong-tin/blog/cach-tinh-lai-suat-tien-gui-tiet-kiem
https://techcombank.com/cong-cu-tien-ich/cong-cu-tinh-toan/bang-tinh-lai-suat-vay</v>
      </c>
      <c r="D20" s="20"/>
      <c r="E20" s="20"/>
      <c r="F20" s="20"/>
      <c r="G20" s="20"/>
      <c r="H20" s="20"/>
      <c r="I20" s="20"/>
      <c r="J20" s="20"/>
      <c r="K20" s="20"/>
      <c r="L20" s="20"/>
      <c r="M20" s="20"/>
      <c r="N20" s="20"/>
      <c r="O20" s="20"/>
      <c r="P20" s="20"/>
      <c r="Q20" s="20"/>
      <c r="R20" s="20"/>
      <c r="S20" s="20"/>
      <c r="T20" s="20"/>
      <c r="U20" s="20"/>
      <c r="V20" s="20"/>
      <c r="W20" s="20"/>
      <c r="X20" s="20"/>
    </row>
    <row r="21">
      <c r="A21" s="27" t="str">
        <f>IFERROR(__xludf.DUMMYFUNCTION("""COMPUTED_VALUE"""),"https://techcombank.com/thong-tin/blog/nen-de-tien-trong-the-hay-gui-tiet-kiem")</f>
        <v>https://techcombank.com/thong-tin/blog/nen-de-tien-trong-the-hay-gui-tiet-kiem</v>
      </c>
      <c r="B21" s="28">
        <f>IFERROR(__xludf.DUMMYFUNCTION("""COMPUTED_VALUE"""),11.0)</f>
        <v>11</v>
      </c>
      <c r="C21" s="20" t="str">
        <f>IFERROR(__xludf.DUMMYFUNCTION("IF(A21="""","""",TEXTJOIN(CHAR(10),TRUE,FILTER('Tổng hợp 75 trang đích'!$B$2:$B$3400,'Tổng hợp 75 trang đích'!$I$2:$I$3400=A21)))"),"https://techcombank.com/thong-tin/blog/cong-ty-su-dung-tai-khoan-ca-nhan
https://techcombank.com/thong-tin/blog/cic-la-gi
https://techcombank.com/thong-tin/blog/tien-nhat
https://techcombank.com/thong-tin/blog/1-man-bang-bao-nhieu-tien-viet
https://techco"&amp;"mbank.com/thong-tin/blog/lai-suat-tiet-kiem
https://techcombank.com/thong-tin/blog/cach-tinh-lai-suat-tien-gui-tiet-kiem
https://techcombank.com/thong-tin/blog/so-tiet-kiem-ngan-hang
https://techcombank.com/thong-tin/blog/rui-ro-khi-gui-tiet-kiem-online
h"&amp;"ttps://techcombank.com/cong-cu-tien-ich/cong-cu-tinh-toan/bang-tinh-lai-suat-vay
https://techcombank.com/cong-cu-tien-ich/cong-cu-tinh-toan/bang-tinh-lai-suat-tiet-kiem
https://techcombank.com/thong-tin/blog/kiem-tra-no-xau")</f>
        <v>https://techcombank.com/thong-tin/blog/cong-ty-su-dung-tai-khoan-ca-nhan
https://techcombank.com/thong-tin/blog/cic-la-gi
https://techcombank.com/thong-tin/blog/tien-nhat
https://techcombank.com/thong-tin/blog/1-man-bang-bao-nhieu-tien-viet
https://techcombank.com/thong-tin/blog/lai-suat-tiet-kiem
https://techcombank.com/thong-tin/blog/cach-tinh-lai-suat-tien-gui-tiet-kiem
https://techcombank.com/thong-tin/blog/so-tiet-kiem-ngan-hang
https://techcombank.com/thong-tin/blog/rui-ro-khi-gui-tiet-kiem-online
https://techcombank.com/cong-cu-tien-ich/cong-cu-tinh-toan/bang-tinh-lai-suat-vay
https://techcombank.com/cong-cu-tien-ich/cong-cu-tinh-toan/bang-tinh-lai-suat-tiet-kiem
https://techcombank.com/thong-tin/blog/kiem-tra-no-xau</v>
      </c>
      <c r="D21" s="20"/>
      <c r="E21" s="20"/>
      <c r="F21" s="20"/>
      <c r="G21" s="20"/>
      <c r="H21" s="20"/>
      <c r="I21" s="20"/>
      <c r="J21" s="20"/>
      <c r="K21" s="20"/>
      <c r="L21" s="20"/>
      <c r="M21" s="20"/>
      <c r="N21" s="20"/>
      <c r="O21" s="20"/>
      <c r="P21" s="20"/>
      <c r="Q21" s="20"/>
      <c r="R21" s="20"/>
      <c r="S21" s="20"/>
      <c r="T21" s="20"/>
      <c r="U21" s="20"/>
      <c r="V21" s="20"/>
      <c r="W21" s="20"/>
      <c r="X21" s="20"/>
    </row>
    <row r="22">
      <c r="A22" s="27" t="str">
        <f>IFERROR(__xludf.DUMMYFUNCTION("""COMPUTED_VALUE"""),"https://techcombank.com/thong-tin/blog/nhung-ho-kinh-doanh-duoc-mien-thue")</f>
        <v>https://techcombank.com/thong-tin/blog/nhung-ho-kinh-doanh-duoc-mien-thue</v>
      </c>
      <c r="B22" s="28">
        <f>IFERROR(__xludf.DUMMYFUNCTION("""COMPUTED_VALUE"""),11.0)</f>
        <v>11</v>
      </c>
      <c r="C22" s="20" t="str">
        <f>IFERROR(__xludf.DUMMYFUNCTION("IF(A22="""","""",TEXTJOIN(CHAR(10),TRUE,FILTER('Tổng hợp 75 trang đích'!$B$2:$B$3400,'Tổng hợp 75 trang đích'!$I$2:$I$3400=A22)))"),"https://techcombank.com/thong-tin/blog/nop-thue-dat-qua-ngan-hang
https://techcombank.com/thong-tin/blog/cach-nop-thue-dien-tu
https://techcombank.com/thong-tin/blog/thue-thu-nhap-doanh-nghiep
https://techcombank.com/thong-tin/blog/thue-vat-la-gi
https://"&amp;"techcombank.com/thong-tin/blog/cach-tinh-thue-thu-nhap-ca-nhan-2025
https://techcombank.com/thong-tin/blog/kiem-tra-thue-thu-nhap-ca-nhan
https://techcombank.com/thong-tin/blog/thue-thu-nhap-ca-nhan
https://techcombank.com/thong-tin/blog/vay-ngan-hang-1-t"&amp;"y-moi-thang-tra-bao-nhieu
https://techcombank.com/thong-tin/blog/mo-tai-khoan-ho-kinh-doanh
https://techcombank.com/thong-tin/blog/cach-tinh-thue-ho-kinh-doanh-nho-le
https://techcombank.com/thong-tin/blog/kiem-tra-no-xau")</f>
        <v>https://techcombank.com/thong-tin/blog/nop-thue-dat-qua-ngan-hang
https://techcombank.com/thong-tin/blog/cach-nop-thue-dien-tu
https://techcombank.com/thong-tin/blog/thue-thu-nhap-doanh-nghiep
https://techcombank.com/thong-tin/blog/thue-vat-la-gi
https://techcombank.com/thong-tin/blog/cach-tinh-thue-thu-nhap-ca-nhan-2025
https://techcombank.com/thong-tin/blog/kiem-tra-thue-thu-nhap-ca-nhan
https://techcombank.com/thong-tin/blog/thue-thu-nhap-ca-nhan
https://techcombank.com/thong-tin/blog/vay-ngan-hang-1-ty-moi-thang-tra-bao-nhieu
https://techcombank.com/thong-tin/blog/mo-tai-khoan-ho-kinh-doanh
https://techcombank.com/thong-tin/blog/cach-tinh-thue-ho-kinh-doanh-nho-le
https://techcombank.com/thong-tin/blog/kiem-tra-no-xau</v>
      </c>
      <c r="D22" s="20"/>
      <c r="E22" s="20"/>
      <c r="F22" s="20"/>
      <c r="G22" s="20"/>
      <c r="H22" s="20"/>
      <c r="I22" s="20"/>
      <c r="J22" s="20"/>
      <c r="K22" s="20"/>
      <c r="L22" s="20"/>
      <c r="M22" s="20"/>
      <c r="N22" s="20"/>
      <c r="O22" s="20"/>
      <c r="P22" s="20"/>
      <c r="Q22" s="20"/>
      <c r="R22" s="20"/>
      <c r="S22" s="20"/>
      <c r="T22" s="20"/>
      <c r="U22" s="20"/>
      <c r="V22" s="20"/>
      <c r="W22" s="20"/>
      <c r="X22" s="20"/>
    </row>
    <row r="23">
      <c r="A23" s="27" t="str">
        <f>IFERROR(__xludf.DUMMYFUNCTION("""COMPUTED_VALUE"""),"https://techcombank.com/thong-tin/blog/tat-toan")</f>
        <v>https://techcombank.com/thong-tin/blog/tat-toan</v>
      </c>
      <c r="B23" s="28">
        <f>IFERROR(__xludf.DUMMYFUNCTION("""COMPUTED_VALUE"""),11.0)</f>
        <v>11</v>
      </c>
      <c r="C23" s="20" t="str">
        <f>IFERROR(__xludf.DUMMYFUNCTION("IF(A23="""","""",TEXTJOIN(CHAR(10),TRUE,FILTER('Tổng hợp 75 trang đích'!$B$2:$B$3400,'Tổng hợp 75 trang đích'!$I$2:$I$3400=A23)))"),"https://techcombank.com/thong-tin/blog/cic-la-gi
https://techcombank.com/thong-tin/blog/chung-chi-tien-gui-la-gi
https://techcombank.com/thong-tin/blog/vay-ngan-hang-1-ty-moi-thang-tra-bao-nhieu
https://techcombank.com/thong-tin/blog/cach-tinh-lai-vay-nga"&amp;"n-hang
https://techcombank.com/thong-tin/blog/ho-so-thu-tuc-xoa-the-chap
https://techcombank.com/thong-tin/blog/lai-suat-tiet-kiem
https://techcombank.com/thong-tin/blog/rut-tien-tiet-kiem-truoc-thoi-han
https://techcombank.com/thong-tin/blog/so-tiet-kiem"&amp;"-ngan-hang
https://techcombank.com/cong-cu-tien-ich/cong-cu-tinh-toan/bang-tinh-lai-suat-vay
https://techcombank.com/thong-tin/blog/app-vay-tien-nhanh
https://techcombank.com/thong-tin/blog/lai-suat-vay-ngan-hang")</f>
        <v>https://techcombank.com/thong-tin/blog/cic-la-gi
https://techcombank.com/thong-tin/blog/chung-chi-tien-gui-la-gi
https://techcombank.com/thong-tin/blog/vay-ngan-hang-1-ty-moi-thang-tra-bao-nhieu
https://techcombank.com/thong-tin/blog/cach-tinh-lai-vay-ngan-hang
https://techcombank.com/thong-tin/blog/ho-so-thu-tuc-xoa-the-chap
https://techcombank.com/thong-tin/blog/lai-suat-tiet-kiem
https://techcombank.com/thong-tin/blog/rut-tien-tiet-kiem-truoc-thoi-han
https://techcombank.com/thong-tin/blog/so-tiet-kiem-ngan-hang
https://techcombank.com/cong-cu-tien-ich/cong-cu-tinh-toan/bang-tinh-lai-suat-vay
https://techcombank.com/thong-tin/blog/app-vay-tien-nhanh
https://techcombank.com/thong-tin/blog/lai-suat-vay-ngan-hang</v>
      </c>
      <c r="D23" s="20"/>
      <c r="E23" s="20"/>
      <c r="F23" s="20"/>
      <c r="G23" s="20"/>
      <c r="H23" s="20"/>
      <c r="I23" s="20"/>
      <c r="J23" s="20"/>
      <c r="K23" s="20"/>
      <c r="L23" s="20"/>
      <c r="M23" s="20"/>
      <c r="N23" s="20"/>
      <c r="O23" s="20"/>
      <c r="P23" s="20"/>
      <c r="Q23" s="20"/>
      <c r="R23" s="20"/>
      <c r="S23" s="20"/>
      <c r="T23" s="20"/>
      <c r="U23" s="20"/>
      <c r="V23" s="20"/>
      <c r="W23" s="20"/>
      <c r="X23" s="20"/>
    </row>
    <row r="24">
      <c r="A24" s="27" t="str">
        <f>IFERROR(__xludf.DUMMYFUNCTION("""COMPUTED_VALUE"""),"https://techcombank.com/thong-tin/blog/thay-doi-dia-chi-ho-kinh-doanh")</f>
        <v>https://techcombank.com/thong-tin/blog/thay-doi-dia-chi-ho-kinh-doanh</v>
      </c>
      <c r="B24" s="28">
        <f>IFERROR(__xludf.DUMMYFUNCTION("""COMPUTED_VALUE"""),11.0)</f>
        <v>11</v>
      </c>
      <c r="C24" s="20" t="str">
        <f>IFERROR(__xludf.DUMMYFUNCTION("IF(A24="""","""",TEXTJOIN(CHAR(10),TRUE,FILTER('Tổng hợp 75 trang đích'!$B$2:$B$3400,'Tổng hợp 75 trang đích'!$I$2:$I$3400=A24)))"),"https://techcombank.com/thong-tin/blog/nop-thue-dat-qua-ngan-hang
https://techcombank.com/thong-tin/blog/cach-tinh-tien-dien-sinh-hoat
https://techcombank.com/thong-tin/blog/kiem-tra-thue-thu-nhap-ca-nhan
https://techcombank.com/thong-tin/blog/cic-la-gi
h"&amp;"ttps://techcombank.com/thong-tin/blog/vay-ngan-hang-1-ty-moi-thang-tra-bao-nhieu
https://techcombank.com/thong-tin/blog/ho-kinh-doanh-dong-thue-nhu-nao
https://techcombank.com/thong-tin/blog/mo-tai-khoan-ho-kinh-doanh
https://techcombank.com/thong-tin/blo"&amp;"g/cach-tinh-thue-ho-kinh-doanh-nho-le
https://techcombank.com/thong-tin/blog/ho-so-thu-tuc-xoa-the-chap
https://techcombank.com/cong-cu-tien-ich/cong-cu-tinh-toan/bang-tinh-lai-suat-tiet-kiem
https://techcombank.com/thong-tin/blog/app-vay-tien-nhanh")</f>
        <v>https://techcombank.com/thong-tin/blog/nop-thue-dat-qua-ngan-hang
https://techcombank.com/thong-tin/blog/cach-tinh-tien-dien-sinh-hoat
https://techcombank.com/thong-tin/blog/kiem-tra-thue-thu-nhap-ca-nhan
https://techcombank.com/thong-tin/blog/cic-la-gi
https://techcombank.com/thong-tin/blog/vay-ngan-hang-1-ty-moi-thang-tra-bao-nhieu
https://techcombank.com/thong-tin/blog/ho-kinh-doanh-dong-thue-nhu-nao
https://techcombank.com/thong-tin/blog/mo-tai-khoan-ho-kinh-doanh
https://techcombank.com/thong-tin/blog/cach-tinh-thue-ho-kinh-doanh-nho-le
https://techcombank.com/thong-tin/blog/ho-so-thu-tuc-xoa-the-chap
https://techcombank.com/cong-cu-tien-ich/cong-cu-tinh-toan/bang-tinh-lai-suat-tiet-kiem
https://techcombank.com/thong-tin/blog/app-vay-tien-nhanh</v>
      </c>
      <c r="D24" s="20"/>
      <c r="E24" s="20"/>
      <c r="F24" s="20"/>
      <c r="G24" s="20"/>
      <c r="H24" s="20"/>
      <c r="I24" s="20"/>
      <c r="J24" s="20"/>
      <c r="K24" s="20"/>
      <c r="L24" s="20"/>
      <c r="M24" s="20"/>
      <c r="N24" s="20"/>
      <c r="O24" s="20"/>
      <c r="P24" s="20"/>
      <c r="Q24" s="20"/>
      <c r="R24" s="20"/>
      <c r="S24" s="20"/>
      <c r="T24" s="20"/>
      <c r="U24" s="20"/>
      <c r="V24" s="20"/>
      <c r="W24" s="20"/>
      <c r="X24" s="20"/>
    </row>
    <row r="25">
      <c r="A25" s="27" t="str">
        <f>IFERROR(__xludf.DUMMYFUNCTION("""COMPUTED_VALUE"""),"https://techcombank.com/thong-tin/blog/tien-trung-quoc")</f>
        <v>https://techcombank.com/thong-tin/blog/tien-trung-quoc</v>
      </c>
      <c r="B25" s="28">
        <f>IFERROR(__xludf.DUMMYFUNCTION("""COMPUTED_VALUE"""),11.0)</f>
        <v>11</v>
      </c>
      <c r="C25" s="20" t="str">
        <f>IFERROR(__xludf.DUMMYFUNCTION("IF(A25="""","""",TEXTJOIN(CHAR(10),TRUE,FILTER('Tổng hợp 75 trang đích'!$B$2:$B$3400,'Tổng hợp 75 trang đích'!$I$2:$I$3400=A25)))"),"https://techcombank.com/thong-tin/blog/1-te-bang-bao-nhieu-tien-viet-nam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https://techcombank.com/thong-tin/blog/1-man-bang-bao-nhieu-tien-viet
https://techcombank.com/thong-tin/blo"&amp;"g/1-trieu-do-bang-bao-nhieu-tien-viet
https://techcombank.com/thong-tin/blog/1000-won-bang-bao-nhieu-tien-viet
https://techcombank.com/thong-tin/blog/cach-nhan-tien-tu-nuoc-ngoai-ve-viet-nam
https://techcombank.com/thong-tin/blog/doi-tien-do-o-dau")</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
https://techcombank.com/thong-tin/blog/cach-nhan-tien-tu-nuoc-ngoai-ve-viet-nam
https://techcombank.com/thong-tin/blog/doi-tien-do-o-dau</v>
      </c>
      <c r="D25" s="20"/>
      <c r="E25" s="20"/>
      <c r="F25" s="20"/>
      <c r="G25" s="20"/>
      <c r="H25" s="20"/>
      <c r="I25" s="20"/>
      <c r="J25" s="20"/>
      <c r="K25" s="20"/>
      <c r="L25" s="20"/>
      <c r="M25" s="20"/>
      <c r="N25" s="20"/>
      <c r="O25" s="20"/>
      <c r="P25" s="20"/>
      <c r="Q25" s="20"/>
      <c r="R25" s="20"/>
      <c r="S25" s="20"/>
      <c r="T25" s="20"/>
      <c r="U25" s="20"/>
      <c r="V25" s="20"/>
      <c r="W25" s="20"/>
      <c r="X25" s="20"/>
    </row>
    <row r="26">
      <c r="A26" s="27" t="str">
        <f>IFERROR(__xludf.DUMMYFUNCTION("""COMPUTED_VALUE"""),"https://techcombank.com/thong-tin/blog/vay-the-chap-kinh-doanh")</f>
        <v>https://techcombank.com/thong-tin/blog/vay-the-chap-kinh-doanh</v>
      </c>
      <c r="B26" s="28">
        <f>IFERROR(__xludf.DUMMYFUNCTION("""COMPUTED_VALUE"""),11.0)</f>
        <v>11</v>
      </c>
      <c r="C26" s="20" t="str">
        <f>IFERROR(__xludf.DUMMYFUNCTION("IF(A26="""","""",TEXTJOIN(CHAR(10),TRUE,FILTER('Tổng hợp 75 trang đích'!$B$2:$B$3400,'Tổng hợp 75 trang đích'!$I$2:$I$3400=A26)))"),"https://techcombank.com/thong-tin/blog/lai-suat-vay-mua-o-to
https://techcombank.com/thong-tin/blog/nop-thue-dat-qua-ngan-hang
https://techcombank.com/thong-tin/blog/ho-kinh-doanh-dong-thue-nhu-nao
https://techcombank.com/thong-tin/blog/lai-suat-vay-the-c"&amp;"hap-so-do
https://techcombank.com/thong-tin/blog/ho-so-thu-tuc-xoa-the-chap
https://techcombank.com/thong-tin/blog/lai-suat-tiet-kiem
https://techcombank.com/thong-tin/blog/cach-tinh-lai-suat-tien-gui-tiet-kiem
https://techcombank.com/cong-cu-tien-ich/con"&amp;"g-cu-tinh-toan/bang-tinh-lai-suat-vay
https://techcombank.com/thong-tin/blog/app-vay-tien-nhanh
https://techcombank.com/thong-tin/blog/lai-suat-vay-ngan-hang
https://techcombank.com/thong-tin/blog/vay-thau-chi-la-gi")</f>
        <v>https://techcombank.com/thong-tin/blog/lai-suat-vay-mua-o-to
https://techcombank.com/thong-tin/blog/nop-thue-dat-qua-ngan-hang
https://techcombank.com/thong-tin/blog/ho-kinh-doanh-dong-thue-nhu-nao
https://techcombank.com/thong-tin/blog/lai-suat-vay-the-chap-so-do
https://techcombank.com/thong-tin/blog/ho-so-thu-tuc-xoa-the-chap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26" s="20"/>
      <c r="E26" s="20"/>
      <c r="F26" s="20"/>
      <c r="G26" s="20"/>
      <c r="H26" s="20"/>
      <c r="I26" s="20"/>
      <c r="J26" s="20"/>
      <c r="K26" s="20"/>
      <c r="L26" s="20"/>
      <c r="M26" s="20"/>
      <c r="N26" s="20"/>
      <c r="O26" s="20"/>
      <c r="P26" s="20"/>
      <c r="Q26" s="20"/>
      <c r="R26" s="20"/>
      <c r="S26" s="20"/>
      <c r="T26" s="20"/>
      <c r="U26" s="20"/>
      <c r="V26" s="20"/>
      <c r="W26" s="20"/>
      <c r="X26" s="20"/>
    </row>
    <row r="27">
      <c r="A27" s="27" t="str">
        <f>IFERROR(__xludf.DUMMYFUNCTION("""COMPUTED_VALUE"""),"https://techcombank.com/thong-tin/blog/vay-tin-chap-va-vay-the-chap")</f>
        <v>https://techcombank.com/thong-tin/blog/vay-tin-chap-va-vay-the-chap</v>
      </c>
      <c r="B27" s="28">
        <f>IFERROR(__xludf.DUMMYFUNCTION("""COMPUTED_VALUE"""),11.0)</f>
        <v>11</v>
      </c>
      <c r="C27" s="20" t="str">
        <f>IFERROR(__xludf.DUMMYFUNCTION("IF(A27="""","""",TEXTJOIN(CHAR(10),TRUE,FILTER('Tổng hợp 75 trang đích'!$B$2:$B$3400,'Tổng hợp 75 trang đích'!$I$2:$I$3400=A27)))"),"https://techcombank.com/thong-tin/blog/lai-suat-vay-mua-o-to
https://techcombank.com/khach-hang-ca-nhan/chi-tieu/the/the-tin-dung/techcombank-everyday
https://techcombank.com/thong-tin/blog/cach-tinh-lai-vay-ngan-hang
https://techcombank.com/thong-tin/blo"&amp;"g/lai-suat-vay-the-chap-so-do
https://techcombank.com/thong-tin/blog/lai-suat-tiet-kiem
https://techcombank.com/thong-tin/blog/cach-tinh-lai-suat-tien-gui-tiet-kiem
https://techcombank.com/cong-cu-tien-ich/cong-cu-tinh-toan/bang-tinh-lai-suat-vay
https://"&amp;"techcombank.com/thong-tin/blog/app-vay-tien-nhanh
https://techcombank.com/thong-tin/blog/lai-suat-vay-ngan-hang
https://techcombank.com/thong-tin/blog/vay-thau-chi-la-gi
https://techcombank.com/thong-tin/blog/vay-tin-chap-khong-tra-duoc-co-sao-khong")</f>
        <v>https://techcombank.com/thong-tin/blog/lai-suat-vay-mua-o-to
https://techcombank.com/khach-hang-ca-nhan/chi-tieu/the/the-tin-dung/techcombank-everyday
https://techcombank.com/thong-tin/blog/cach-tinh-lai-vay-ngan-hang
https://techcombank.com/thong-tin/blog/lai-suat-vay-the-chap-so-do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
https://techcombank.com/thong-tin/blog/vay-tin-chap-khong-tra-duoc-co-sao-khong</v>
      </c>
      <c r="D27" s="20"/>
      <c r="E27" s="20"/>
      <c r="F27" s="20"/>
      <c r="G27" s="20"/>
      <c r="H27" s="20"/>
      <c r="I27" s="20"/>
      <c r="J27" s="20"/>
      <c r="K27" s="20"/>
      <c r="L27" s="20"/>
      <c r="M27" s="20"/>
      <c r="N27" s="20"/>
      <c r="O27" s="20"/>
      <c r="P27" s="20"/>
      <c r="Q27" s="20"/>
      <c r="R27" s="20"/>
      <c r="S27" s="20"/>
      <c r="T27" s="20"/>
      <c r="U27" s="20"/>
      <c r="V27" s="20"/>
      <c r="W27" s="20"/>
      <c r="X27" s="20"/>
    </row>
    <row r="28">
      <c r="A28" s="27" t="str">
        <f>IFERROR(__xludf.DUMMYFUNCTION("""COMPUTED_VALUE"""),"https://techcombank.com/thong-tin/blog/1-te-bang-bao-nhieu-tien-viet-nam")</f>
        <v>https://techcombank.com/thong-tin/blog/1-te-bang-bao-nhieu-tien-viet-nam</v>
      </c>
      <c r="B28" s="28">
        <f>IFERROR(__xludf.DUMMYFUNCTION("""COMPUTED_VALUE"""),10.0)</f>
        <v>10</v>
      </c>
      <c r="C28" s="20" t="str">
        <f>IFERROR(__xludf.DUMMYFUNCTION("IF(A28="""","""",TEXTJOIN(CHAR(10),TRUE,FILTER('Tổng hợp 75 trang đích'!$B$2:$B$3400,'Tổng hợp 75 trang đích'!$I$2:$I$3400=A28)))"),"https://techcombank.com/thong-tin/blog/cic-la-gi
https://techcombank.com/thong-tin/blog/1-dong-do-la-my-bang-bao-nhieu-tien-viet-nam
https://techcombank.com/thong-tin/blog/tien-nhat
https://techcombank.com/thong-tin/blog/1-yen-bang-bao-nhieu-tien-viet-nam"&amp;"
https://techcombank.com/thong-tin/blog/1-won-bang-bao-nhieu-tien-viet
https://techcombank.com/thong-tin/blog/tien-dai-loan
https://techcombank.com/thong-tin/blog/1-man-bang-bao-nhieu-tien-viet
https://techcombank.com/thong-tin/blog/1-trieu-do-bang-bao-nh"&amp;"ieu-tien-viet
https://techcombank.com/thong-tin/blog/1000-won-bang-bao-nhieu-tien-viet
https://techcombank.com/thong-tin/blog/lai-suat-tiet-kiem")</f>
        <v>https://techcombank.com/thong-tin/blog/cic-la-gi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
https://techcombank.com/thong-tin/blog/lai-suat-tiet-kiem</v>
      </c>
      <c r="D28" s="20"/>
      <c r="E28" s="20"/>
      <c r="F28" s="20"/>
      <c r="G28" s="20"/>
      <c r="H28" s="20"/>
      <c r="I28" s="20"/>
      <c r="J28" s="20"/>
      <c r="K28" s="20"/>
      <c r="L28" s="20"/>
      <c r="M28" s="20"/>
      <c r="N28" s="20"/>
      <c r="O28" s="20"/>
      <c r="P28" s="20"/>
      <c r="Q28" s="20"/>
      <c r="R28" s="20"/>
      <c r="S28" s="20"/>
      <c r="T28" s="20"/>
      <c r="U28" s="20"/>
      <c r="V28" s="20"/>
      <c r="W28" s="20"/>
      <c r="X28" s="20"/>
    </row>
    <row r="29">
      <c r="A29" s="27" t="str">
        <f>IFERROR(__xludf.DUMMYFUNCTION("""COMPUTED_VALUE"""),"https://techcombank.com/thong-tin/blog/1-van-te-bang-bao-nhieu-tien-viet")</f>
        <v>https://techcombank.com/thong-tin/blog/1-van-te-bang-bao-nhieu-tien-viet</v>
      </c>
      <c r="B29" s="28">
        <f>IFERROR(__xludf.DUMMYFUNCTION("""COMPUTED_VALUE"""),10.0)</f>
        <v>10</v>
      </c>
      <c r="C29" s="20" t="str">
        <f>IFERROR(__xludf.DUMMYFUNCTION("IF(A29="""","""",TEXTJOIN(CHAR(10),TRUE,FILTER('Tổng hợp 75 trang đích'!$B$2:$B$3400,'Tổng hợp 75 trang đích'!$I$2:$I$3400=A29)))"),"https://techcombank.com/thong-tin/blog/1-te-bang-bao-nhieu-tien-viet-nam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https://techcombank.com/thong-tin/blog/1-man-bang-bao-nhieu-tien-viet
https://techcombank.com/thong-tin/blo"&amp;"g/1-trieu-do-bang-bao-nhieu-tien-viet
https://techcombank.com/thong-tin/blog/1000-won-bang-bao-nhieu-tien-viet
https://techcombank.com/thong-tin/blog/cach-nhan-tien-tu-nuoc-ngoai-ve-viet-nam")</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
https://techcombank.com/thong-tin/blog/cach-nhan-tien-tu-nuoc-ngoai-ve-viet-nam</v>
      </c>
      <c r="D29" s="20"/>
      <c r="E29" s="20"/>
      <c r="F29" s="20"/>
      <c r="G29" s="20"/>
      <c r="H29" s="20"/>
      <c r="I29" s="20"/>
      <c r="J29" s="20"/>
      <c r="K29" s="20"/>
      <c r="L29" s="20"/>
      <c r="M29" s="20"/>
      <c r="N29" s="20"/>
      <c r="O29" s="20"/>
      <c r="P29" s="20"/>
      <c r="Q29" s="20"/>
      <c r="R29" s="20"/>
      <c r="S29" s="20"/>
      <c r="T29" s="20"/>
      <c r="U29" s="20"/>
      <c r="V29" s="20"/>
      <c r="W29" s="20"/>
      <c r="X29" s="20"/>
    </row>
    <row r="30">
      <c r="A30" s="27" t="str">
        <f>IFERROR(__xludf.DUMMYFUNCTION("""COMPUTED_VALUE"""),"https://techcombank.com/thong-tin/blog/1000-yen-bang-bao-nhieu-tien-viet")</f>
        <v>https://techcombank.com/thong-tin/blog/1000-yen-bang-bao-nhieu-tien-viet</v>
      </c>
      <c r="B30" s="28">
        <f>IFERROR(__xludf.DUMMYFUNCTION("""COMPUTED_VALUE"""),10.0)</f>
        <v>10</v>
      </c>
      <c r="C30" s="20" t="str">
        <f>IFERROR(__xludf.DUMMYFUNCTION("IF(A30="""","""",TEXTJOIN(CHAR(10),TRUE,FILTER('Tổng hợp 75 trang đích'!$B$2:$B$3400,'Tổng hợp 75 trang đích'!$I$2:$I$3400=A30)))"),"https://techcombank.com/thong-tin/blog/1-te-bang-bao-nhieu-tien-viet-nam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https://techcombank.com/thong-tin/blog/1-man-bang-bao-nhieu-tien-viet
https://techcombank.com/thong-tin/blo"&amp;"g/1-trieu-do-bang-bao-nhieu-tien-viet
https://techcombank.com/thong-tin/blog/1000-won-bang-bao-nhieu-tien-viet
https://techcombank.com/thong-tin/blog/lai-suat-tiet-kiem")</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
https://techcombank.com/thong-tin/blog/lai-suat-tiet-kiem</v>
      </c>
      <c r="D30" s="20"/>
      <c r="E30" s="20"/>
      <c r="F30" s="20"/>
      <c r="G30" s="20"/>
      <c r="H30" s="20"/>
      <c r="I30" s="20"/>
      <c r="J30" s="20"/>
      <c r="K30" s="20"/>
      <c r="L30" s="20"/>
      <c r="M30" s="20"/>
      <c r="N30" s="20"/>
      <c r="O30" s="20"/>
      <c r="P30" s="20"/>
      <c r="Q30" s="20"/>
      <c r="R30" s="20"/>
      <c r="S30" s="20"/>
      <c r="T30" s="20"/>
      <c r="U30" s="20"/>
      <c r="V30" s="20"/>
      <c r="W30" s="20"/>
      <c r="X30" s="20"/>
    </row>
    <row r="31">
      <c r="A31" s="27" t="str">
        <f>IFERROR(__xludf.DUMMYFUNCTION("""COMPUTED_VALUE"""),"https://techcombank.com/thong-tin/blog/cach-tinh-lai-suat-tien-gui-tiet-kiem")</f>
        <v>https://techcombank.com/thong-tin/blog/cach-tinh-lai-suat-tien-gui-tiet-kiem</v>
      </c>
      <c r="B31" s="28">
        <f>IFERROR(__xludf.DUMMYFUNCTION("""COMPUTED_VALUE"""),10.0)</f>
        <v>10</v>
      </c>
      <c r="C31" s="20" t="str">
        <f>IFERROR(__xludf.DUMMYFUNCTION("IF(A31="""","""",TEXTJOIN(CHAR(10),TRUE,FILTER('Tổng hợp 75 trang đích'!$B$2:$B$3400,'Tổng hợp 75 trang đích'!$I$2:$I$3400=A31)))"),"https://techcombank.com/thong-tin/blog/ngan-hang-uy-tin
https://techcombank.com/thong-tin/blog/lai-suat-chung-chi-tien-gui-cac-ngan-hang
https://techcombank.com/thong-tin/blog/tien-nhat
https://techcombank.com/thong-tin/blog/1-man-bang-bao-nhieu-tien-viet"&amp;"
https://techcombank.com/thong-tin/blog/1000-won-bang-bao-nhieu-tien-viet
https://techcombank.com/thong-tin/blog/so-tiet-kiem-ngan-hang
https://techcombank.com/thong-tin/blog/cach-tiet-kiem-tien
https://techcombank.com/cong-cu-tien-ich/cong-cu-tinh-toan/b"&amp;"ang-tinh-lai-suat-vay
https://techcombank.com/cong-cu-tien-ich/cong-cu-tinh-toan/bang-tinh-lai-suat-tiet-kiem
https://techcombank.com/thong-tin/blog/app-vay-tien-nhanh")</f>
        <v>https://techcombank.com/thong-tin/blog/ngan-hang-uy-tin
https://techcombank.com/thong-tin/blog/lai-suat-chung-chi-tien-gui-cac-ngan-hang
https://techcombank.com/thong-tin/blog/tien-nhat
https://techcombank.com/thong-tin/blog/1-man-bang-bao-nhieu-tien-viet
https://techcombank.com/thong-tin/blog/1000-won-bang-bao-nhieu-tien-viet
https://techcombank.com/thong-tin/blog/so-tiet-kiem-ngan-hang
https://techcombank.com/thong-tin/blog/cach-tiet-kiem-tien
https://techcombank.com/cong-cu-tien-ich/cong-cu-tinh-toan/bang-tinh-lai-suat-vay
https://techcombank.com/cong-cu-tien-ich/cong-cu-tinh-toan/bang-tinh-lai-suat-tiet-kiem
https://techcombank.com/thong-tin/blog/app-vay-tien-nhanh</v>
      </c>
      <c r="D31" s="20"/>
      <c r="E31" s="20"/>
      <c r="F31" s="20"/>
      <c r="G31" s="20"/>
      <c r="H31" s="20"/>
      <c r="I31" s="20"/>
      <c r="J31" s="20"/>
      <c r="K31" s="20"/>
      <c r="L31" s="20"/>
      <c r="M31" s="20"/>
      <c r="N31" s="20"/>
      <c r="O31" s="20"/>
      <c r="P31" s="20"/>
      <c r="Q31" s="20"/>
      <c r="R31" s="20"/>
      <c r="S31" s="20"/>
      <c r="T31" s="20"/>
      <c r="U31" s="20"/>
      <c r="V31" s="20"/>
      <c r="W31" s="20"/>
      <c r="X31" s="20"/>
    </row>
    <row r="32">
      <c r="A32" s="27" t="str">
        <f>IFERROR(__xludf.DUMMYFUNCTION("""COMPUTED_VALUE"""),"https://techcombank.com/thong-tin/blog/gui-tien-du-hoc")</f>
        <v>https://techcombank.com/thong-tin/blog/gui-tien-du-hoc</v>
      </c>
      <c r="B32" s="28">
        <f>IFERROR(__xludf.DUMMYFUNCTION("""COMPUTED_VALUE"""),10.0)</f>
        <v>10</v>
      </c>
      <c r="C32" s="20" t="str">
        <f>IFERROR(__xludf.DUMMYFUNCTION("IF(A32="""","""",TEXTJOIN(CHAR(10),TRUE,FILTER('Tổng hợp 75 trang đích'!$B$2:$B$3400,'Tổng hợp 75 trang đích'!$I$2:$I$3400=A32)))"),"https://techcombank.com/thong-tin/blog/cach-tinh-tien-dien-sinh-hoat
https://techcombank.com/thong-tin/blog/chuyen-khoan-thanh-cong-nhung-khong-nhan-duoc-tien
https://techcombank.com/thong-tin/blog/cic-la-gi
https://techcombank.com/thong-tin/blog/1-te-ban"&amp;"g-bao-nhieu-tien-viet-nam
https://techcombank.com/thong-tin/blog/1-dong-do-la-my-bang-bao-nhieu-tien-viet-nam
https://techcombank.com/thong-tin/blog/1-won-bang-bao-nhieu-tien-viet
https://techcombank.com/thong-tin/blog/tien-dai-loan
https://techcombank.co"&amp;"m/thong-tin/blog/tien-thai-lan
https://techcombank.com/thong-tin/blog/1-trieu-do-bang-bao-nhieu-tien-viet
https://techcombank.com/thong-tin/blog/cach-nhan-tien-tu-nuoc-ngoai-ve-viet-nam")</f>
        <v>https://techcombank.com/thong-tin/blog/cach-tinh-tien-dien-sinh-hoat
https://techcombank.com/thong-tin/blog/chuyen-khoan-thanh-cong-nhung-khong-nhan-duoc-tien
https://techcombank.com/thong-tin/blog/cic-la-gi
https://techcombank.com/thong-tin/blog/1-te-bang-bao-nhieu-tien-viet-nam
https://techcombank.com/thong-tin/blog/1-dong-do-la-my-bang-bao-nhieu-tien-viet-nam
https://techcombank.com/thong-tin/blog/1-won-bang-bao-nhieu-tien-viet
https://techcombank.com/thong-tin/blog/tien-dai-loan
https://techcombank.com/thong-tin/blog/tien-thai-lan
https://techcombank.com/thong-tin/blog/1-trieu-do-bang-bao-nhieu-tien-viet
https://techcombank.com/thong-tin/blog/cach-nhan-tien-tu-nuoc-ngoai-ve-viet-nam</v>
      </c>
      <c r="D32" s="20"/>
      <c r="E32" s="20"/>
      <c r="F32" s="20"/>
      <c r="G32" s="20"/>
      <c r="H32" s="20"/>
      <c r="I32" s="20"/>
      <c r="J32" s="20"/>
      <c r="K32" s="20"/>
      <c r="L32" s="20"/>
      <c r="M32" s="20"/>
      <c r="N32" s="20"/>
      <c r="O32" s="20"/>
      <c r="P32" s="20"/>
      <c r="Q32" s="20"/>
      <c r="R32" s="20"/>
      <c r="S32" s="20"/>
      <c r="T32" s="20"/>
      <c r="U32" s="20"/>
      <c r="V32" s="20"/>
      <c r="W32" s="20"/>
      <c r="X32" s="20"/>
    </row>
    <row r="33">
      <c r="A33" s="27" t="str">
        <f>IFERROR(__xludf.DUMMYFUNCTION("""COMPUTED_VALUE"""),"https://techcombank.com/thong-tin/blog/gui-tiet-kiem-hang-thang")</f>
        <v>https://techcombank.com/thong-tin/blog/gui-tiet-kiem-hang-thang</v>
      </c>
      <c r="B33" s="28">
        <f>IFERROR(__xludf.DUMMYFUNCTION("""COMPUTED_VALUE"""),10.0)</f>
        <v>10</v>
      </c>
      <c r="C33" s="20" t="str">
        <f>IFERROR(__xludf.DUMMYFUNCTION("IF(A33="""","""",TEXTJOIN(CHAR(10),TRUE,FILTER('Tổng hợp 75 trang đích'!$B$2:$B$3400,'Tổng hợp 75 trang đích'!$I$2:$I$3400=A33)))"),"https://techcombank.com/thong-tin/blog/chung-chi-tien-gui-la-gi
https://techcombank.com/thong-tin/blog/lai-suat-chung-chi-tien-gui-cac-ngan-hang
https://techcombank.com/thong-tin/blog/lai-suat-tiet-kiem
https://techcombank.com/thong-tin/blog/cach-tinh-lai"&amp;"-suat-tien-gui-tiet-kiem
https://techcombank.com/thong-tin/blog/rut-tien-tiet-kiem-truoc-thoi-han
https://techcombank.com/thong-tin/blog/so-tiet-kiem-ngan-hang
https://techcombank.com/thong-tin/blog/rui-ro-khi-gui-tiet-kiem-online
https://techcombank.com/"&amp;"cong-cu-tien-ich/cong-cu-tinh-toan/bang-tinh-lai-suat-vay
https://techcombank.com/cong-cu-tien-ich/cong-cu-tinh-toan/bang-tinh-lai-suat-tiet-kiem
https://techcombank.com/thong-tin/blog/app-vay-tien-nhanh")</f>
        <v>https://techcombank.com/thong-tin/blog/chung-chi-tien-gui-la-gi
https://techcombank.com/thong-tin/blog/lai-suat-chung-chi-tien-gui-cac-ngan-hang
https://techcombank.com/thong-tin/blog/lai-suat-tiet-kiem
https://techcombank.com/thong-tin/blog/cach-tinh-lai-suat-tien-gui-tiet-kiem
https://techcombank.com/thong-tin/blog/rut-tien-tiet-kiem-truoc-thoi-han
https://techcombank.com/thong-tin/blog/so-tiet-kiem-ngan-hang
https://techcombank.com/thong-tin/blog/rui-ro-khi-gui-tiet-kiem-online
https://techcombank.com/cong-cu-tien-ich/cong-cu-tinh-toan/bang-tinh-lai-suat-vay
https://techcombank.com/cong-cu-tien-ich/cong-cu-tinh-toan/bang-tinh-lai-suat-tiet-kiem
https://techcombank.com/thong-tin/blog/app-vay-tien-nhanh</v>
      </c>
      <c r="D33" s="20"/>
      <c r="E33" s="20"/>
      <c r="F33" s="20"/>
      <c r="G33" s="20"/>
      <c r="H33" s="20"/>
      <c r="I33" s="20"/>
      <c r="J33" s="20"/>
      <c r="K33" s="20"/>
      <c r="L33" s="20"/>
      <c r="M33" s="20"/>
      <c r="N33" s="20"/>
      <c r="O33" s="20"/>
      <c r="P33" s="20"/>
      <c r="Q33" s="20"/>
      <c r="R33" s="20"/>
      <c r="S33" s="20"/>
      <c r="T33" s="20"/>
      <c r="U33" s="20"/>
      <c r="V33" s="20"/>
      <c r="W33" s="20"/>
      <c r="X33" s="20"/>
    </row>
    <row r="34">
      <c r="A34" s="27" t="str">
        <f>IFERROR(__xludf.DUMMYFUNCTION("""COMPUTED_VALUE"""),"https://techcombank.com/thong-tin/blog/han-muc-mua-ngoai-te-khi-di-du-lich")</f>
        <v>https://techcombank.com/thong-tin/blog/han-muc-mua-ngoai-te-khi-di-du-lich</v>
      </c>
      <c r="B34" s="28">
        <f>IFERROR(__xludf.DUMMYFUNCTION("""COMPUTED_VALUE"""),10.0)</f>
        <v>10</v>
      </c>
      <c r="C34" s="20" t="str">
        <f>IFERROR(__xludf.DUMMYFUNCTION("IF(A34="""","""",TEXTJOIN(CHAR(10),TRUE,FILTER('Tổng hợp 75 trang đích'!$B$2:$B$3400,'Tổng hợp 75 trang đích'!$I$2:$I$3400=A34)))"),"https://techcombank.com/thong-tin/blog/1-te-bang-bao-nhieu-tien-viet-nam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https://techcombank.com/thong-tin/blog/1-man-bang-bao-nhieu-tien-viet
https://techcombank.com/thong-tin/blo"&amp;"g/1-trieu-do-bang-bao-nhieu-tien-viet
https://techcombank.com/thong-tin/blog/1000-won-bang-bao-nhieu-tien-viet
https://techcombank.com/thong-tin/blog/cach-nhan-tien-tu-nuoc-ngoai-ve-viet-nam")</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
https://techcombank.com/thong-tin/blog/cach-nhan-tien-tu-nuoc-ngoai-ve-viet-nam</v>
      </c>
      <c r="D34" s="20"/>
      <c r="E34" s="20"/>
      <c r="F34" s="20"/>
      <c r="G34" s="20"/>
      <c r="H34" s="20"/>
      <c r="I34" s="20"/>
      <c r="J34" s="20"/>
      <c r="K34" s="20"/>
      <c r="L34" s="20"/>
      <c r="M34" s="20"/>
      <c r="N34" s="20"/>
      <c r="O34" s="20"/>
      <c r="P34" s="20"/>
      <c r="Q34" s="20"/>
      <c r="R34" s="20"/>
      <c r="S34" s="20"/>
      <c r="T34" s="20"/>
      <c r="U34" s="20"/>
      <c r="V34" s="20"/>
      <c r="W34" s="20"/>
      <c r="X34" s="20"/>
    </row>
    <row r="35">
      <c r="A35" s="27" t="str">
        <f>IFERROR(__xludf.DUMMYFUNCTION("""COMPUTED_VALUE"""),"https://techcombank.com/thong-tin/blog/han-muc-vay-the-chap-so-do")</f>
        <v>https://techcombank.com/thong-tin/blog/han-muc-vay-the-chap-so-do</v>
      </c>
      <c r="B35" s="28">
        <f>IFERROR(__xludf.DUMMYFUNCTION("""COMPUTED_VALUE"""),10.0)</f>
        <v>10</v>
      </c>
      <c r="C35" s="20" t="str">
        <f>IFERROR(__xludf.DUMMYFUNCTION("IF(A35="""","""",TEXTJOIN(CHAR(10),TRUE,FILTER('Tổng hợp 75 trang đích'!$B$2:$B$3400,'Tổng hợp 75 trang đích'!$I$2:$I$3400=A35)))"),"https://techcombank.com/thong-tin/blog/nop-thue-dat-qua-ngan-hang
https://techcombank.com/thong-tin/blog/cic-la-gi
https://techcombank.com/thong-tin/blog/xep-hang-tin-dung
https://techcombank.com/thong-tin/blog/lai-suat-vay-the-chap-so-do
https://techcomb"&amp;"ank.com/thong-tin/blog/ho-so-thu-tuc-xoa-the-chap
https://techcombank.com/cong-cu-tien-ich/cong-cu-tinh-toan/bang-tinh-lai-suat-vay
https://techcombank.com/thong-tin/blog/app-vay-tien-nhanh
https://techcombank.com/thong-tin/blog/lai-suat-vay-ngan-hang
htt"&amp;"ps://techcombank.com/thong-tin/blog/vay-thau-chi-la-gi
https://techcombank.com/thong-tin/blog/nen-vay-tin-chap-o-dau")</f>
        <v>https://techcombank.com/thong-tin/blog/nop-thue-dat-qua-ngan-hang
https://techcombank.com/thong-tin/blog/cic-la-gi
https://techcombank.com/thong-tin/blog/xep-hang-tin-dung
https://techcombank.com/thong-tin/blog/lai-suat-vay-the-chap-so-do
https://techcombank.com/thong-tin/blog/ho-so-thu-tuc-xoa-the-chap
https://techcombank.com/cong-cu-tien-ich/cong-cu-tinh-toan/bang-tinh-lai-suat-vay
https://techcombank.com/thong-tin/blog/app-vay-tien-nhanh
https://techcombank.com/thong-tin/blog/lai-suat-vay-ngan-hang
https://techcombank.com/thong-tin/blog/vay-thau-chi-la-gi
https://techcombank.com/thong-tin/blog/nen-vay-tin-chap-o-dau</v>
      </c>
      <c r="D35" s="20"/>
      <c r="E35" s="20"/>
      <c r="F35" s="20"/>
      <c r="G35" s="20"/>
      <c r="H35" s="20"/>
      <c r="I35" s="20"/>
      <c r="J35" s="20"/>
      <c r="K35" s="20"/>
      <c r="L35" s="20"/>
      <c r="M35" s="20"/>
      <c r="N35" s="20"/>
      <c r="O35" s="20"/>
      <c r="P35" s="20"/>
      <c r="Q35" s="20"/>
      <c r="R35" s="20"/>
      <c r="S35" s="20"/>
      <c r="T35" s="20"/>
      <c r="U35" s="20"/>
      <c r="V35" s="20"/>
      <c r="W35" s="20"/>
      <c r="X35" s="20"/>
    </row>
    <row r="36">
      <c r="A36" s="27" t="str">
        <f>IFERROR(__xludf.DUMMYFUNCTION("""COMPUTED_VALUE"""),"https://techcombank.com/thong-tin/blog/hieu-hiet-ve-tuan-thu-thue-cho-cac-doanh-nghiep-khoi-nghiep")</f>
        <v>https://techcombank.com/thong-tin/blog/hieu-hiet-ve-tuan-thu-thue-cho-cac-doanh-nghiep-khoi-nghiep</v>
      </c>
      <c r="B36" s="28">
        <f>IFERROR(__xludf.DUMMYFUNCTION("""COMPUTED_VALUE"""),10.0)</f>
        <v>10</v>
      </c>
      <c r="C36" s="20" t="str">
        <f>IFERROR(__xludf.DUMMYFUNCTION("IF(A36="""","""",TEXTJOIN(CHAR(10),TRUE,FILTER('Tổng hợp 75 trang đích'!$B$2:$B$3400,'Tổng hợp 75 trang đích'!$I$2:$I$3400=A36)))"),"https://techcombank.com/thong-tin/blog/nop-thue-dat-qua-ngan-hang
https://techcombank.com/thong-tin/blog/thue-thu-nhap-doanh-nghiep
https://techcombank.com/thong-tin/blog/thue-vat-la-gi
https://techcombank.com/thong-tin/blog/thue-doanh-nghiep
https://tech"&amp;"combank.com/thong-tin/blog/cach-tinh-thue-thu-nhap-doanh-nghiep
https://techcombank.com/thong-tin/blog/cach-tinh-thue-thu-nhap-ca-nhan-2025
https://techcombank.com/thong-tin/blog/thue-thu-nhap-ca-nhan
https://techcombank.com/thong-tin/blog/cic-la-gi
https"&amp;"://techcombank.com/thong-tin/blog/ho-kinh-doanh-dong-thue-nhu-nao
https://techcombank.com/cong-cu-tien-ich/cong-cu-tinh-toan/bang-tinh-lai-suat-tiet-kiem")</f>
        <v>https://techcombank.com/thong-tin/blog/nop-thue-dat-qua-ngan-hang
https://techcombank.com/thong-tin/blog/thue-thu-nhap-doanh-nghiep
https://techcombank.com/thong-tin/blog/thue-vat-la-gi
https://techcombank.com/thong-tin/blog/thue-doanh-nghiep
https://techcombank.com/thong-tin/blog/cach-tinh-thue-thu-nhap-doanh-nghiep
https://techcombank.com/thong-tin/blog/cach-tinh-thue-thu-nhap-ca-nhan-2025
https://techcombank.com/thong-tin/blog/thue-thu-nhap-ca-nhan
https://techcombank.com/thong-tin/blog/cic-la-gi
https://techcombank.com/thong-tin/blog/ho-kinh-doanh-dong-thue-nhu-nao
https://techcombank.com/cong-cu-tien-ich/cong-cu-tinh-toan/bang-tinh-lai-suat-tiet-kiem</v>
      </c>
      <c r="D36" s="20"/>
      <c r="E36" s="20"/>
      <c r="F36" s="20"/>
      <c r="G36" s="20"/>
      <c r="H36" s="20"/>
      <c r="I36" s="20"/>
      <c r="J36" s="20"/>
      <c r="K36" s="20"/>
      <c r="L36" s="20"/>
      <c r="M36" s="20"/>
      <c r="N36" s="20"/>
      <c r="O36" s="20"/>
      <c r="P36" s="20"/>
      <c r="Q36" s="20"/>
      <c r="R36" s="20"/>
      <c r="S36" s="20"/>
      <c r="T36" s="20"/>
      <c r="U36" s="20"/>
      <c r="V36" s="20"/>
      <c r="W36" s="20"/>
      <c r="X36" s="20"/>
    </row>
    <row r="37">
      <c r="A37" s="27" t="str">
        <f>IFERROR(__xludf.DUMMYFUNCTION("""COMPUTED_VALUE"""),"https://techcombank.com/thong-tin/blog/ho-kinh-doanh-ca-the")</f>
        <v>https://techcombank.com/thong-tin/blog/ho-kinh-doanh-ca-the</v>
      </c>
      <c r="B37" s="28">
        <f>IFERROR(__xludf.DUMMYFUNCTION("""COMPUTED_VALUE"""),10.0)</f>
        <v>10</v>
      </c>
      <c r="C37" s="20" t="str">
        <f>IFERROR(__xludf.DUMMYFUNCTION("IF(A37="""","""",TEXTJOIN(CHAR(10),TRUE,FILTER('Tổng hợp 75 trang đích'!$B$2:$B$3400,'Tổng hợp 75 trang đích'!$I$2:$I$3400=A37)))"),"https://techcombank.com/thong-tin/blog/nop-thue-dat-qua-ngan-hang
https://techcombank.com/thong-tin/blog/cach-nop-thue-dien-tu
https://techcombank.com/thong-tin/blog/thue-thu-nhap-doanh-nghiep
https://techcombank.com/thong-tin/blog/thue-vat-la-gi
https://"&amp;"techcombank.com/thong-tin/blog/thue-doanh-nghiep
https://techcombank.com/thong-tin/blog/cach-tinh-thue-thu-nhap-ca-nhan-2025
https://techcombank.com/thong-tin/blog/mo-hinh-kinh-doanh-la-gi
https://techcombank.com/thong-tin/blog/mo-tai-khoan-ho-kinh-doanh
"&amp;"https://techcombank.com/thong-tin/blog/cach-tinh-thue-ho-kinh-doanh-nho-le
https://techcombank.com/thong-tin/blog/kiem-tra-no-xau")</f>
        <v>https://techcombank.com/thong-tin/blog/nop-thue-dat-qua-ngan-hang
https://techcombank.com/thong-tin/blog/cach-nop-thue-dien-tu
https://techcombank.com/thong-tin/blog/thue-thu-nhap-doanh-nghiep
https://techcombank.com/thong-tin/blog/thue-vat-la-gi
https://techcombank.com/thong-tin/blog/thue-doanh-nghiep
https://techcombank.com/thong-tin/blog/cach-tinh-thue-thu-nhap-ca-nhan-2025
https://techcombank.com/thong-tin/blog/mo-hinh-kinh-doanh-la-gi
https://techcombank.com/thong-tin/blog/mo-tai-khoan-ho-kinh-doanh
https://techcombank.com/thong-tin/blog/cach-tinh-thue-ho-kinh-doanh-nho-le
https://techcombank.com/thong-tin/blog/kiem-tra-no-xau</v>
      </c>
      <c r="D37" s="20"/>
      <c r="E37" s="20"/>
      <c r="F37" s="20"/>
      <c r="G37" s="20"/>
      <c r="H37" s="20"/>
      <c r="I37" s="20"/>
      <c r="J37" s="20"/>
      <c r="K37" s="20"/>
      <c r="L37" s="20"/>
      <c r="M37" s="20"/>
      <c r="N37" s="20"/>
      <c r="O37" s="20"/>
      <c r="P37" s="20"/>
      <c r="Q37" s="20"/>
      <c r="R37" s="20"/>
      <c r="S37" s="20"/>
      <c r="T37" s="20"/>
      <c r="U37" s="20"/>
      <c r="V37" s="20"/>
      <c r="W37" s="20"/>
      <c r="X37" s="20"/>
    </row>
    <row r="38">
      <c r="A38" s="27" t="str">
        <f>IFERROR(__xludf.DUMMYFUNCTION("""COMPUTED_VALUE"""),"https://techcombank.com/thong-tin/blog/kinh-nghiem-gui-tiet-kiem-online")</f>
        <v>https://techcombank.com/thong-tin/blog/kinh-nghiem-gui-tiet-kiem-online</v>
      </c>
      <c r="B38" s="28">
        <f>IFERROR(__xludf.DUMMYFUNCTION("""COMPUTED_VALUE"""),10.0)</f>
        <v>10</v>
      </c>
      <c r="C38" s="20" t="str">
        <f>IFERROR(__xludf.DUMMYFUNCTION("IF(A38="""","""",TEXTJOIN(CHAR(10),TRUE,FILTER('Tổng hợp 75 trang đích'!$B$2:$B$3400,'Tổng hợp 75 trang đích'!$I$2:$I$3400=A38)))"),"https://techcombank.com/thong-tin/blog/ngan-hang-uy-tin
https://techcombank.com/thong-tin/blog/bao-nhieu-tuoi-duoc-mo-tai-khoan-ngan-hang
https://techcombank.com/thong-tin/blog/chung-chi-tien-gui-la-gi
https://techcombank.com/thong-tin/blog/lai-suat-tiet-"&amp;"kiem
https://techcombank.com/thong-tin/blog/cach-tinh-lai-suat-tien-gui-tiet-kiem
https://techcombank.com/thong-tin/blog/rut-tien-tiet-kiem-truoc-thoi-han
https://techcombank.com/thong-tin/blog/cach-tiet-kiem-tien
https://techcombank.com/thong-tin/blog/ru"&amp;"i-ro-khi-gui-tiet-kiem-online
https://techcombank.com/cong-cu-tien-ich/cong-cu-tinh-toan/bang-tinh-lai-suat-vay
https://techcombank.com/cong-cu-tien-ich/cong-cu-tinh-toan/bang-tinh-lai-suat-tiet-kiem")</f>
        <v>https://techcombank.com/thong-tin/blog/ngan-hang-uy-tin
https://techcombank.com/thong-tin/blog/bao-nhieu-tuoi-duoc-mo-tai-khoan-ngan-hang
https://techcombank.com/thong-tin/blog/chung-chi-tien-gui-la-gi
https://techcombank.com/thong-tin/blog/lai-suat-tiet-kiem
https://techcombank.com/thong-tin/blog/cach-tinh-lai-suat-tien-gui-tiet-kiem
https://techcombank.com/thong-tin/blog/rut-tien-tiet-kiem-truoc-thoi-han
https://techcombank.com/thong-tin/blog/cach-tiet-kiem-tien
https://techcombank.com/thong-tin/blog/rui-ro-khi-gui-tiet-kiem-online
https://techcombank.com/cong-cu-tien-ich/cong-cu-tinh-toan/bang-tinh-lai-suat-vay
https://techcombank.com/cong-cu-tien-ich/cong-cu-tinh-toan/bang-tinh-lai-suat-tiet-kiem</v>
      </c>
      <c r="D38" s="20"/>
      <c r="E38" s="20"/>
      <c r="F38" s="20"/>
      <c r="G38" s="20"/>
      <c r="H38" s="20"/>
      <c r="I38" s="20"/>
      <c r="J38" s="20"/>
      <c r="K38" s="20"/>
      <c r="L38" s="20"/>
      <c r="M38" s="20"/>
      <c r="N38" s="20"/>
      <c r="O38" s="20"/>
      <c r="P38" s="20"/>
      <c r="Q38" s="20"/>
      <c r="R38" s="20"/>
      <c r="S38" s="20"/>
      <c r="T38" s="20"/>
      <c r="U38" s="20"/>
      <c r="V38" s="20"/>
      <c r="W38" s="20"/>
      <c r="X38" s="20"/>
    </row>
    <row r="39">
      <c r="A39" s="27" t="str">
        <f>IFERROR(__xludf.DUMMYFUNCTION("""COMPUTED_VALUE"""),"https://techcombank.com/thong-tin/blog/lai-suat-vay-the-chap")</f>
        <v>https://techcombank.com/thong-tin/blog/lai-suat-vay-the-chap</v>
      </c>
      <c r="B39" s="28">
        <f>IFERROR(__xludf.DUMMYFUNCTION("""COMPUTED_VALUE"""),10.0)</f>
        <v>10</v>
      </c>
      <c r="C39" s="20" t="str">
        <f>IFERROR(__xludf.DUMMYFUNCTION("IF(A39="""","""",TEXTJOIN(CHAR(10),TRUE,FILTER('Tổng hợp 75 trang đích'!$B$2:$B$3400,'Tổng hợp 75 trang đích'!$I$2:$I$3400=A39)))"),"https://techcombank.com/thong-tin/blog/lai-suat-vay-mua-o-to
https://techcombank.com/thong-tin/blog/vay-ngan-hang-1-ty-moi-thang-tra-bao-nhieu
https://techcombank.com/thong-tin/blog/cach-tinh-lai-vay-ngan-hang
https://techcombank.com/thong-tin/blog/lai-su"&amp;"at-vay-the-chap-so-do
https://techcombank.com/thong-tin/blog/lai-suat-tiet-kiem
https://techcombank.com/thong-tin/blog/cach-tinh-lai-suat-tien-gui-tiet-kiem
https://techcombank.com/cong-cu-tien-ich/cong-cu-tinh-toan/bang-tinh-lai-suat-tiet-kiem
https://te"&amp;"chcombank.com/thong-tin/blog/app-vay-tien-nhanh
https://techcombank.com/thong-tin/blog/lai-suat-vay-ngan-hang
https://techcombank.com/thong-tin/blog/vay-thau-chi-la-gi")</f>
        <v>https://techcombank.com/thong-tin/blog/lai-suat-vay-mua-o-to
https://techcombank.com/thong-tin/blog/vay-ngan-hang-1-ty-moi-thang-tra-bao-nhieu
https://techcombank.com/thong-tin/blog/cach-tinh-lai-vay-ngan-hang
https://techcombank.com/thong-tin/blog/lai-suat-vay-the-chap-so-do
https://techcombank.com/thong-tin/blog/lai-suat-tiet-kiem
https://techcombank.com/thong-tin/blog/cach-tinh-lai-suat-tien-gui-tiet-kiem
https://techcombank.com/cong-cu-tien-ich/cong-cu-tinh-toan/bang-tinh-lai-suat-tiet-kiem
https://techcombank.com/thong-tin/blog/app-vay-tien-nhanh
https://techcombank.com/thong-tin/blog/lai-suat-vay-ngan-hang
https://techcombank.com/thong-tin/blog/vay-thau-chi-la-gi</v>
      </c>
      <c r="D39" s="20"/>
      <c r="E39" s="20"/>
      <c r="F39" s="20"/>
      <c r="G39" s="20"/>
      <c r="H39" s="20"/>
      <c r="I39" s="20"/>
      <c r="J39" s="20"/>
      <c r="K39" s="20"/>
      <c r="L39" s="20"/>
      <c r="M39" s="20"/>
      <c r="N39" s="20"/>
      <c r="O39" s="20"/>
      <c r="P39" s="20"/>
      <c r="Q39" s="20"/>
      <c r="R39" s="20"/>
      <c r="S39" s="20"/>
      <c r="T39" s="20"/>
      <c r="U39" s="20"/>
      <c r="V39" s="20"/>
      <c r="W39" s="20"/>
      <c r="X39" s="20"/>
    </row>
    <row r="40">
      <c r="A40" s="27" t="str">
        <f>IFERROR(__xludf.DUMMYFUNCTION("""COMPUTED_VALUE"""),"https://techcombank.com/thong-tin/blog/lam-ho-so-tra-gop-dien-thoai")</f>
        <v>https://techcombank.com/thong-tin/blog/lam-ho-so-tra-gop-dien-thoai</v>
      </c>
      <c r="B40" s="28">
        <f>IFERROR(__xludf.DUMMYFUNCTION("""COMPUTED_VALUE"""),10.0)</f>
        <v>10</v>
      </c>
      <c r="C40" s="20" t="str">
        <f>IFERROR(__xludf.DUMMYFUNCTION("IF(A40="""","""",TEXTJOIN(CHAR(10),TRUE,FILTER('Tổng hợp 75 trang đích'!$B$2:$B$3400,'Tổng hợp 75 trang đích'!$I$2:$I$3400=A40)))"),"https://techcombank.com/thong-tin/blog/lai-suat-vay-mua-o-to
https://techcombank.com/thong-tin/blog/cic-la-gi
https://techcombank.com/thong-tin/blog/rut-tien-mat-tu-the-tin-dung
https://techcombank.com/khach-hang-ca-nhan/chi-tieu/the/the-tin-dung/techcomb"&amp;"ank-everyday
https://techcombank.com/thong-tin/blog/cach-huy-the-tin-dung
https://techcombank.com/thong-tin/blog/cach-tinh-lai-vay-ngan-hang
https://techcombank.com/thong-tin/blog/lai-suat-tiet-kiem
https://techcombank.com/thong-tin/blog/cach-tinh-lai-sua"&amp;"t-tien-gui-tiet-kiem
https://techcombank.com/thong-tin/blog/app-vay-tien-nhanh
https://techcombank.com/thong-tin/blog/vay-tin-chap-khong-tra-duoc-co-sao-khong")</f>
        <v>https://techcombank.com/thong-tin/blog/lai-suat-vay-mua-o-to
https://techcombank.com/thong-tin/blog/cic-la-gi
https://techcombank.com/thong-tin/blog/rut-tien-mat-tu-the-tin-dung
https://techcombank.com/khach-hang-ca-nhan/chi-tieu/the/the-tin-dung/techcombank-everyday
https://techcombank.com/thong-tin/blog/cach-huy-the-tin-dung
https://techcombank.com/thong-tin/blog/cach-tinh-lai-vay-ngan-hang
https://techcombank.com/thong-tin/blog/lai-suat-tiet-kiem
https://techcombank.com/thong-tin/blog/cach-tinh-lai-suat-tien-gui-tiet-kiem
https://techcombank.com/thong-tin/blog/app-vay-tien-nhanh
https://techcombank.com/thong-tin/blog/vay-tin-chap-khong-tra-duoc-co-sao-khong</v>
      </c>
      <c r="D40" s="20"/>
      <c r="E40" s="20"/>
      <c r="F40" s="20"/>
      <c r="G40" s="20"/>
      <c r="H40" s="20"/>
      <c r="I40" s="20"/>
      <c r="J40" s="20"/>
      <c r="K40" s="20"/>
      <c r="L40" s="20"/>
      <c r="M40" s="20"/>
      <c r="N40" s="20"/>
      <c r="O40" s="20"/>
      <c r="P40" s="20"/>
      <c r="Q40" s="20"/>
      <c r="R40" s="20"/>
      <c r="S40" s="20"/>
      <c r="T40" s="20"/>
      <c r="U40" s="20"/>
      <c r="V40" s="20"/>
      <c r="W40" s="20"/>
      <c r="X40" s="20"/>
    </row>
    <row r="41">
      <c r="A41" s="27" t="str">
        <f>IFERROR(__xludf.DUMMYFUNCTION("""COMPUTED_VALUE"""),"https://techcombank.com/thong-tin/blog/phi-rut-tien-mat-the-tin-dung")</f>
        <v>https://techcombank.com/thong-tin/blog/phi-rut-tien-mat-the-tin-dung</v>
      </c>
      <c r="B41" s="28">
        <f>IFERROR(__xludf.DUMMYFUNCTION("""COMPUTED_VALUE"""),10.0)</f>
        <v>10</v>
      </c>
      <c r="C41" s="20" t="str">
        <f>IFERROR(__xludf.DUMMYFUNCTION("IF(A41="""","""",TEXTJOIN(CHAR(10),TRUE,FILTER('Tổng hợp 75 trang đích'!$B$2:$B$3400,'Tổng hợp 75 trang đích'!$I$2:$I$3400=A41)))"),"https://techcombank.com/thong-tin/blog/eco-card
https://techcombank.com/thong-tin/blog/rut-tien-mat-tu-the-tin-dung
https://techcombank.com/khach-hang-ca-nhan/chi-tieu/the/the-tin-dung/techcombank-everyday
https://techcombank.com/thong-tin/blog/the-tin-du"&amp;"ng-hoan-tien
https://techcombank.com/thong-tin/blog/cach-huy-the-tin-dung
https://techcombank.com/thong-tin/blog/tien-nhat
https://techcombank.com/thong-tin/blog/gui-ma-qr-ngan-hang
https://techcombank.com/thong-tin/blog/lai-suat-tiet-kiem
https://techcom"&amp;"bank.com/thong-tin/blog/cach-tiet-kiem-tien
https://techcombank.com/thong-tin/blog/no-xau-la-gi")</f>
        <v>https://techcombank.com/thong-tin/blog/eco-card
https://techcombank.com/thong-tin/blog/rut-tien-mat-tu-the-tin-dung
https://techcombank.com/khach-hang-ca-nhan/chi-tieu/the/the-tin-dung/techcombank-everyday
https://techcombank.com/thong-tin/blog/the-tin-dung-hoan-tien
https://techcombank.com/thong-tin/blog/cach-huy-the-tin-dung
https://techcombank.com/thong-tin/blog/tien-nhat
https://techcombank.com/thong-tin/blog/gui-ma-qr-ngan-hang
https://techcombank.com/thong-tin/blog/lai-suat-tiet-kiem
https://techcombank.com/thong-tin/blog/cach-tiet-kiem-tien
https://techcombank.com/thong-tin/blog/no-xau-la-gi</v>
      </c>
      <c r="D41" s="20"/>
      <c r="E41" s="20"/>
      <c r="F41" s="20"/>
      <c r="G41" s="20"/>
      <c r="H41" s="20"/>
      <c r="I41" s="20"/>
      <c r="J41" s="20"/>
      <c r="K41" s="20"/>
      <c r="L41" s="20"/>
      <c r="M41" s="20"/>
      <c r="N41" s="20"/>
      <c r="O41" s="20"/>
      <c r="P41" s="20"/>
      <c r="Q41" s="20"/>
      <c r="R41" s="20"/>
      <c r="S41" s="20"/>
      <c r="T41" s="20"/>
      <c r="U41" s="20"/>
      <c r="V41" s="20"/>
      <c r="W41" s="20"/>
      <c r="X41" s="20"/>
    </row>
    <row r="42">
      <c r="A42" s="27" t="str">
        <f>IFERROR(__xludf.DUMMYFUNCTION("""COMPUTED_VALUE"""),"https://techcombank.com/thong-tin/blog/thue-ho-kinh-doanh-2025")</f>
        <v>https://techcombank.com/thong-tin/blog/thue-ho-kinh-doanh-2025</v>
      </c>
      <c r="B42" s="28">
        <f>IFERROR(__xludf.DUMMYFUNCTION("""COMPUTED_VALUE"""),10.0)</f>
        <v>10</v>
      </c>
      <c r="C42" s="20" t="str">
        <f>IFERROR(__xludf.DUMMYFUNCTION("IF(A42="""","""",TEXTJOIN(CHAR(10),TRUE,FILTER('Tổng hợp 75 trang đích'!$B$2:$B$3400,'Tổng hợp 75 trang đích'!$I$2:$I$3400=A42)))"),"https://techcombank.com/thong-tin/blog/nop-thue-dat-qua-ngan-hang
https://techcombank.com/thong-tin/blog/thue-vat-la-gi
https://techcombank.com/thong-tin/blog/cach-tinh-thue-thu-nhap-ca-nhan-2025
https://techcombank.com/thong-tin/blog/kiem-tra-thue-thu-nh"&amp;"ap-ca-nhan
https://techcombank.com/thong-tin/blog/thue-thu-nhap-ca-nhan
https://techcombank.com/thong-tin/blog/rut-tien-bang-ma-qr-la-gi-cach-thuc-hien-nhu-the-nao
https://techcombank.com/thong-tin/blog/vay-ngan-hang-1-ty-moi-thang-tra-bao-nhieu
https://t"&amp;"echcombank.com/thong-tin/blog/mo-tai-khoan-ho-kinh-doanh
https://techcombank.com/thong-tin/blog/cach-tinh-thue-ho-kinh-doanh-nho-le
https://techcombank.com/thong-tin/blog/kiem-tra-no-xau")</f>
        <v>https://techcombank.com/thong-tin/blog/nop-thue-dat-qua-ngan-hang
https://techcombank.com/thong-tin/blog/thue-vat-la-gi
https://techcombank.com/thong-tin/blog/cach-tinh-thue-thu-nhap-ca-nhan-2025
https://techcombank.com/thong-tin/blog/kiem-tra-thue-thu-nhap-ca-nhan
https://techcombank.com/thong-tin/blog/thue-thu-nhap-ca-nhan
https://techcombank.com/thong-tin/blog/rut-tien-bang-ma-qr-la-gi-cach-thuc-hien-nhu-the-nao
https://techcombank.com/thong-tin/blog/vay-ngan-hang-1-ty-moi-thang-tra-bao-nhieu
https://techcombank.com/thong-tin/blog/mo-tai-khoan-ho-kinh-doanh
https://techcombank.com/thong-tin/blog/cach-tinh-thue-ho-kinh-doanh-nho-le
https://techcombank.com/thong-tin/blog/kiem-tra-no-xau</v>
      </c>
      <c r="D42" s="20"/>
      <c r="E42" s="20"/>
      <c r="F42" s="20"/>
      <c r="G42" s="20"/>
      <c r="H42" s="20"/>
      <c r="I42" s="20"/>
      <c r="J42" s="20"/>
      <c r="K42" s="20"/>
      <c r="L42" s="20"/>
      <c r="M42" s="20"/>
      <c r="N42" s="20"/>
      <c r="O42" s="20"/>
      <c r="P42" s="20"/>
      <c r="Q42" s="20"/>
      <c r="R42" s="20"/>
      <c r="S42" s="20"/>
      <c r="T42" s="20"/>
      <c r="U42" s="20"/>
      <c r="V42" s="20"/>
      <c r="W42" s="20"/>
      <c r="X42" s="20"/>
    </row>
    <row r="43">
      <c r="A43" s="27" t="str">
        <f>IFERROR(__xludf.DUMMYFUNCTION("""COMPUTED_VALUE"""),"https://techcombank.com/thong-tin/blog/thue-thu-nhap-doanh-nghiep")</f>
        <v>https://techcombank.com/thong-tin/blog/thue-thu-nhap-doanh-nghiep</v>
      </c>
      <c r="B43" s="28">
        <f>IFERROR(__xludf.DUMMYFUNCTION("""COMPUTED_VALUE"""),10.0)</f>
        <v>10</v>
      </c>
      <c r="C43" s="20" t="str">
        <f>IFERROR(__xludf.DUMMYFUNCTION("IF(A43="""","""",TEXTJOIN(CHAR(10),TRUE,FILTER('Tổng hợp 75 trang đích'!$B$2:$B$3400,'Tổng hợp 75 trang đích'!$I$2:$I$3400=A43)))"),"https://techcombank.com/thong-tin/blog/nop-thue-dat-qua-ngan-hang
https://techcombank.com/thong-tin/blog/cach-nop-thue-dien-tu
https://techcombank.com/thong-tin/blog/thue-vat-la-gi
https://techcombank.com/thong-tin/blog/thue-doanh-nghiep
https://techcomba"&amp;"nk.com/thong-tin/blog/cach-tinh-thue-thu-nhap-doanh-nghiep
https://techcombank.com/thong-tin/blog/cach-tinh-thue-thu-nhap-ca-nhan-2025
https://techcombank.com/thong-tin/blog/day-so-phat-tai-phat-loc
https://techcombank.com/thong-tin/blog/thue-thu-nhap-ca-"&amp;"nhan
https://techcombank.com/cong-cu-tien-ich/cong-cu-tinh-toan/bang-tinh-lai-suat-tiet-kiem
https://techcombank.com/thong-tin/blog/app-vay-tien-nhanh")</f>
        <v>https://techcombank.com/thong-tin/blog/nop-thue-dat-qua-ngan-hang
https://techcombank.com/thong-tin/blog/cach-nop-thue-dien-tu
https://techcombank.com/thong-tin/blog/thue-vat-la-gi
https://techcombank.com/thong-tin/blog/thue-doanh-nghiep
https://techcombank.com/thong-tin/blog/cach-tinh-thue-thu-nhap-doanh-nghiep
https://techcombank.com/thong-tin/blog/cach-tinh-thue-thu-nhap-ca-nhan-2025
https://techcombank.com/thong-tin/blog/day-so-phat-tai-phat-loc
https://techcombank.com/thong-tin/blog/thue-thu-nhap-ca-nhan
https://techcombank.com/cong-cu-tien-ich/cong-cu-tinh-toan/bang-tinh-lai-suat-tiet-kiem
https://techcombank.com/thong-tin/blog/app-vay-tien-nhanh</v>
      </c>
      <c r="D43" s="20"/>
      <c r="E43" s="20"/>
      <c r="F43" s="20"/>
      <c r="G43" s="20"/>
      <c r="H43" s="20"/>
      <c r="I43" s="20"/>
      <c r="J43" s="20"/>
      <c r="K43" s="20"/>
      <c r="L43" s="20"/>
      <c r="M43" s="20"/>
      <c r="N43" s="20"/>
      <c r="O43" s="20"/>
      <c r="P43" s="20"/>
      <c r="Q43" s="20"/>
      <c r="R43" s="20"/>
      <c r="S43" s="20"/>
      <c r="T43" s="20"/>
      <c r="U43" s="20"/>
      <c r="V43" s="20"/>
      <c r="W43" s="20"/>
      <c r="X43" s="20"/>
    </row>
    <row r="44">
      <c r="A44" s="27" t="str">
        <f>IFERROR(__xludf.DUMMYFUNCTION("""COMPUTED_VALUE"""),"https://techcombank.com/thong-tin/blog/thue-thuong-mai-dien-tu")</f>
        <v>https://techcombank.com/thong-tin/blog/thue-thuong-mai-dien-tu</v>
      </c>
      <c r="B44" s="28">
        <f>IFERROR(__xludf.DUMMYFUNCTION("""COMPUTED_VALUE"""),10.0)</f>
        <v>10</v>
      </c>
      <c r="C44" s="20" t="str">
        <f>IFERROR(__xludf.DUMMYFUNCTION("IF(A44="""","""",TEXTJOIN(CHAR(10),TRUE,FILTER('Tổng hợp 75 trang đích'!$B$2:$B$3400,'Tổng hợp 75 trang đích'!$I$2:$I$3400=A44)))"),"https://techcombank.com/thong-tin/blog/nop-thue-dat-qua-ngan-hang
https://techcombank.com/thong-tin/blog/cach-nop-thue-dien-tu
https://techcombank.com/thong-tin/blog/thue-vat-la-gi
https://techcombank.com/thong-tin/blog/tra-cuu-no-thue-doanh-nghiep
https:"&amp;"//techcombank.com/thong-tin/blog/cach-tinh-thue-thu-nhap-ca-nhan-2025
https://techcombank.com/thong-tin/blog/kiem-tra-thue-thu-nhap-ca-nhan
https://techcombank.com/thong-tin/blog/thue-thu-nhap-ca-nhan
https://techcombank.com/thong-tin/blog/cic-la-gi
https"&amp;"://techcombank.com/thong-tin/blog/cach-tinh-thue-ho-kinh-doanh-nho-le
https://techcombank.com/thong-tin/blog/kiem-tra-no-xau")</f>
        <v>https://techcombank.com/thong-tin/blog/nop-thue-dat-qua-ngan-hang
https://techcombank.com/thong-tin/blog/cach-nop-thue-dien-tu
https://techcombank.com/thong-tin/blog/thue-vat-la-gi
https://techcombank.com/thong-tin/blog/tra-cuu-no-thue-doanh-nghiep
https://techcombank.com/thong-tin/blog/cach-tinh-thue-thu-nhap-ca-nhan-2025
https://techcombank.com/thong-tin/blog/kiem-tra-thue-thu-nhap-ca-nhan
https://techcombank.com/thong-tin/blog/thue-thu-nhap-ca-nhan
https://techcombank.com/thong-tin/blog/cic-la-gi
https://techcombank.com/thong-tin/blog/cach-tinh-thue-ho-kinh-doanh-nho-le
https://techcombank.com/thong-tin/blog/kiem-tra-no-xau</v>
      </c>
      <c r="D44" s="20"/>
      <c r="E44" s="20"/>
      <c r="F44" s="20"/>
      <c r="G44" s="20"/>
      <c r="H44" s="20"/>
      <c r="I44" s="20"/>
      <c r="J44" s="20"/>
      <c r="K44" s="20"/>
      <c r="L44" s="20"/>
      <c r="M44" s="20"/>
      <c r="N44" s="20"/>
      <c r="O44" s="20"/>
      <c r="P44" s="20"/>
      <c r="Q44" s="20"/>
      <c r="R44" s="20"/>
      <c r="S44" s="20"/>
      <c r="T44" s="20"/>
      <c r="U44" s="20"/>
      <c r="V44" s="20"/>
      <c r="W44" s="20"/>
      <c r="X44" s="20"/>
    </row>
    <row r="45">
      <c r="A45" s="27" t="str">
        <f>IFERROR(__xludf.DUMMYFUNCTION("""COMPUTED_VALUE"""),"https://techcombank.com/thong-tin/blog/vay-tra-gop")</f>
        <v>https://techcombank.com/thong-tin/blog/vay-tra-gop</v>
      </c>
      <c r="B45" s="28">
        <f>IFERROR(__xludf.DUMMYFUNCTION("""COMPUTED_VALUE"""),10.0)</f>
        <v>10</v>
      </c>
      <c r="C45" s="20" t="str">
        <f>IFERROR(__xludf.DUMMYFUNCTION("IF(A45="""","""",TEXTJOIN(CHAR(10),TRUE,FILTER('Tổng hợp 75 trang đích'!$B$2:$B$3400,'Tổng hợp 75 trang đích'!$I$2:$I$3400=A45)))"),"https://techcombank.com/thong-tin/blog/lai-suat-vay-mua-o-to
https://techcombank.com/thong-tin/blog/cic-la-gi
https://techcombank.com/thong-tin/blog/vay-ngan-hang-1-ty-moi-thang-tra-bao-nhieu
https://techcombank.com/thong-tin/blog/cach-tinh-lai-vay-ngan-h"&amp;"ang
https://techcombank.com/thong-tin/blog/lai-suat-tiet-kiem
https://techcombank.com/cong-cu-tien-ich/cong-cu-tinh-toan/bang-tinh-lai-suat-vay
https://techcombank.com/thong-tin/blog/app-vay-tien-nhanh
https://techcombank.com/thong-tin/blog/lai-suat-vay-n"&amp;"gan-hang
https://techcombank.com/thong-tin/blog/vay-thau-chi-la-gi
https://techcombank.com/thong-tin/blog/nen-vay-tin-chap-o-dau")</f>
        <v>https://techcombank.com/thong-tin/blog/lai-suat-vay-mua-o-to
https://techcombank.com/thong-tin/blog/cic-la-gi
https://techcombank.com/thong-tin/blog/vay-ngan-hang-1-ty-moi-thang-tra-bao-nhieu
https://techcombank.com/thong-tin/blog/cach-tinh-lai-vay-ngan-hang
https://techcombank.com/thong-tin/blog/lai-suat-tiet-kiem
https://techcombank.com/cong-cu-tien-ich/cong-cu-tinh-toan/bang-tinh-lai-suat-vay
https://techcombank.com/thong-tin/blog/app-vay-tien-nhanh
https://techcombank.com/thong-tin/blog/lai-suat-vay-ngan-hang
https://techcombank.com/thong-tin/blog/vay-thau-chi-la-gi
https://techcombank.com/thong-tin/blog/nen-vay-tin-chap-o-dau</v>
      </c>
      <c r="D45" s="20"/>
      <c r="E45" s="20"/>
      <c r="F45" s="20"/>
      <c r="G45" s="20"/>
      <c r="H45" s="20"/>
      <c r="I45" s="20"/>
      <c r="J45" s="20"/>
      <c r="K45" s="20"/>
      <c r="L45" s="20"/>
      <c r="M45" s="20"/>
      <c r="N45" s="20"/>
      <c r="O45" s="20"/>
      <c r="P45" s="20"/>
      <c r="Q45" s="20"/>
      <c r="R45" s="20"/>
      <c r="S45" s="20"/>
      <c r="T45" s="20"/>
      <c r="U45" s="20"/>
      <c r="V45" s="20"/>
      <c r="W45" s="20"/>
      <c r="X45" s="20"/>
    </row>
    <row r="46">
      <c r="A46" s="27" t="str">
        <f>IFERROR(__xludf.DUMMYFUNCTION("""COMPUTED_VALUE"""),"https://techcombank.com/thong-tin/blog/1-cent-bang-bao-nhieu-tien-viet")</f>
        <v>https://techcombank.com/thong-tin/blog/1-cent-bang-bao-nhieu-tien-viet</v>
      </c>
      <c r="B46" s="28">
        <f>IFERROR(__xludf.DUMMYFUNCTION("""COMPUTED_VALUE"""),9.0)</f>
        <v>9</v>
      </c>
      <c r="C46" s="20" t="str">
        <f>IFERROR(__xludf.DUMMYFUNCTION("IF(A46="""","""",TEXTJOIN(CHAR(10),TRUE,FILTER('Tổng hợp 75 trang đích'!$B$2:$B$3400,'Tổng hợp 75 trang đích'!$I$2:$I$3400=A46)))"),"https://techcombank.com/thong-tin/blog/1-te-bang-bao-nhieu-tien-viet-nam
https://techcombank.com/thong-tin/blog/1-dong-do-la-my-bang-bao-nhieu-tien-viet-nam
https://techcombank.com/thong-tin/blog/1-yen-bang-bao-nhieu-tien-viet-nam
https://techcombank.com/"&amp;"thong-tin/blog/1-won-bang-bao-nhieu-tien-viet
https://techcombank.com/thong-tin/blog/tien-dai-loan
https://techcombank.com/thong-tin/blog/1-man-bang-bao-nhieu-tien-viet
https://techcombank.com/thong-tin/blog/1-trieu-do-bang-bao-nhieu-tien-viet
https://tec"&amp;"hcombank.com/thong-tin/blog/1000-won-bang-bao-nhieu-tien-viet
https://techcombank.com/thong-tin/blog/doi-tien-do-o-dau")</f>
        <v>https://techcombank.com/thong-tin/blog/1-te-bang-bao-nhieu-tien-viet-nam
https://techcombank.com/thong-tin/blog/1-dong-do-la-my-bang-bao-nhieu-tien-viet-nam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
https://techcombank.com/thong-tin/blog/doi-tien-do-o-dau</v>
      </c>
      <c r="D46" s="20"/>
      <c r="E46" s="20"/>
      <c r="F46" s="20"/>
      <c r="G46" s="20"/>
      <c r="H46" s="20"/>
      <c r="I46" s="20"/>
      <c r="J46" s="20"/>
      <c r="K46" s="20"/>
      <c r="L46" s="20"/>
      <c r="M46" s="20"/>
      <c r="N46" s="20"/>
      <c r="O46" s="20"/>
      <c r="P46" s="20"/>
      <c r="Q46" s="20"/>
      <c r="R46" s="20"/>
      <c r="S46" s="20"/>
      <c r="T46" s="20"/>
      <c r="U46" s="20"/>
      <c r="V46" s="20"/>
      <c r="W46" s="20"/>
      <c r="X46" s="20"/>
    </row>
    <row r="47">
      <c r="A47" s="27" t="str">
        <f>IFERROR(__xludf.DUMMYFUNCTION("""COMPUTED_VALUE"""),"https://techcombank.com/thong-tin/blog/1-dong-do-la-my-bang-bao-nhieu-tien-viet-nam")</f>
        <v>https://techcombank.com/thong-tin/blog/1-dong-do-la-my-bang-bao-nhieu-tien-viet-nam</v>
      </c>
      <c r="B47" s="28">
        <f>IFERROR(__xludf.DUMMYFUNCTION("""COMPUTED_VALUE"""),9.0)</f>
        <v>9</v>
      </c>
      <c r="C47" s="20" t="str">
        <f>IFERROR(__xludf.DUMMYFUNCTION("IF(A47="""","""",TEXTJOIN(CHAR(10),TRUE,FILTER('Tổng hợp 75 trang đích'!$B$2:$B$3400,'Tổng hợp 75 trang đích'!$I$2:$I$3400=A47)))"),"https://techcombank.com/thong-tin/blog/1-te-bang-bao-nhieu-tien-viet-nam
https://techcombank.com/thong-tin/blog/tien-nhat
https://techcombank.com/thong-tin/blog/1-yen-bang-bao-nhieu-tien-viet-nam
https://techcombank.com/thong-tin/blog/1-won-bang-bao-nhieu"&amp;"-tien-viet
https://techcombank.com/thong-tin/blog/tien-dai-loan
https://techcombank.com/thong-tin/blog/1-man-bang-bao-nhieu-tien-viet
https://techcombank.com/thong-tin/blog/1-trieu-do-bang-bao-nhieu-tien-viet
https://techcombank.com/thong-tin/blog/1000-wo"&amp;"n-bang-bao-nhieu-tien-viet
https://techcombank.com/thong-tin/blog/doi-tien-do-o-dau")</f>
        <v>https://techcombank.com/thong-tin/blog/1-te-bang-bao-nhieu-tien-viet-nam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
https://techcombank.com/thong-tin/blog/doi-tien-do-o-dau</v>
      </c>
      <c r="D47" s="20"/>
      <c r="E47" s="20"/>
      <c r="F47" s="20"/>
      <c r="G47" s="20"/>
      <c r="H47" s="20"/>
      <c r="I47" s="20"/>
      <c r="J47" s="20"/>
      <c r="K47" s="20"/>
      <c r="L47" s="20"/>
      <c r="M47" s="20"/>
      <c r="N47" s="20"/>
      <c r="O47" s="20"/>
      <c r="P47" s="20"/>
      <c r="Q47" s="20"/>
      <c r="R47" s="20"/>
      <c r="S47" s="20"/>
      <c r="T47" s="20"/>
      <c r="U47" s="20"/>
      <c r="V47" s="20"/>
      <c r="W47" s="20"/>
      <c r="X47" s="20"/>
    </row>
    <row r="48">
      <c r="A48" s="27" t="str">
        <f>IFERROR(__xludf.DUMMYFUNCTION("""COMPUTED_VALUE"""),"https://techcombank.com/thong-tin/blog/100-riel-bang-bao-nhieu-tien-viet-nam")</f>
        <v>https://techcombank.com/thong-tin/blog/100-riel-bang-bao-nhieu-tien-viet-nam</v>
      </c>
      <c r="B48" s="28">
        <f>IFERROR(__xludf.DUMMYFUNCTION("""COMPUTED_VALUE"""),9.0)</f>
        <v>9</v>
      </c>
      <c r="C48" s="20" t="str">
        <f>IFERROR(__xludf.DUMMYFUNCTION("IF(A48="""","""",TEXTJOIN(CHAR(10),TRUE,FILTER('Tổng hợp 75 trang đích'!$B$2:$B$3400,'Tổng hợp 75 trang đích'!$I$2:$I$3400=A48)))"),"https://techcombank.com/thong-tin/blog/1-te-bang-bao-nhieu-tien-viet-nam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https://techcombank.com/thong-tin/blog/1-man-bang-bao-nhieu-tien-viet
https://techcombank.com/thong-tin/blo"&amp;"g/1-trieu-do-bang-bao-nhieu-tien-viet
https://techcombank.com/thong-tin/blog/1000-won-bang-bao-nhieu-tien-viet")</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v>
      </c>
      <c r="D48" s="20"/>
      <c r="E48" s="20"/>
      <c r="F48" s="20"/>
      <c r="G48" s="20"/>
      <c r="H48" s="20"/>
      <c r="I48" s="20"/>
      <c r="J48" s="20"/>
      <c r="K48" s="20"/>
      <c r="L48" s="20"/>
      <c r="M48" s="20"/>
      <c r="N48" s="20"/>
      <c r="O48" s="20"/>
      <c r="P48" s="20"/>
      <c r="Q48" s="20"/>
      <c r="R48" s="20"/>
      <c r="S48" s="20"/>
      <c r="T48" s="20"/>
      <c r="U48" s="20"/>
      <c r="V48" s="20"/>
      <c r="W48" s="20"/>
      <c r="X48" s="20"/>
    </row>
    <row r="49">
      <c r="A49" s="27" t="str">
        <f>IFERROR(__xludf.DUMMYFUNCTION("""COMPUTED_VALUE"""),"https://techcombank.com/thong-tin/blog/app-ngan-hang-uy-tin")</f>
        <v>https://techcombank.com/thong-tin/blog/app-ngan-hang-uy-tin</v>
      </c>
      <c r="B49" s="28">
        <f>IFERROR(__xludf.DUMMYFUNCTION("""COMPUTED_VALUE"""),9.0)</f>
        <v>9</v>
      </c>
      <c r="C49" s="20" t="str">
        <f>IFERROR(__xludf.DUMMYFUNCTION("IF(A49="""","""",TEXTJOIN(CHAR(10),TRUE,FILTER('Tổng hợp 75 trang đích'!$B$2:$B$3400,'Tổng hợp 75 trang đích'!$I$2:$I$3400=A49)))"),"https://techcombank.com/thong-tin/blog/cach-tinh-tien-dien-sinh-hoat
https://techcombank.com/thong-tin/blog/ngan-hang-uy-tin
https://techcombank.com/thong-tin/blog/day-so-phat-tai-phat-loc
https://techcombank.com/thong-tin/blog/rut-tien-bang-ma-qr-la-gi-c"&amp;"ach-thuc-hien-nhu-the-nao
https://techcombank.com/thong-tin/blog/cic-la-gi
https://techcombank.com/thong-tin/blog/cach-thanh-toan-the-tin-dung
https://techcombank.com/thong-tin/blog/chung-chi-tien-gui-la-gi
https://techcombank.com/cong-cu-tien-ich/cong-cu"&amp;"-tinh-toan/bang-tinh-lai-suat-tiet-kiem
https://techcombank.com/thong-tin/blog/app-vay-tien-nhanh")</f>
        <v>https://techcombank.com/thong-tin/blog/cach-tinh-tien-dien-sinh-hoat
https://techcombank.com/thong-tin/blog/ngan-hang-uy-tin
https://techcombank.com/thong-tin/blog/day-so-phat-tai-phat-loc
https://techcombank.com/thong-tin/blog/rut-tien-bang-ma-qr-la-gi-cach-thuc-hien-nhu-the-nao
https://techcombank.com/thong-tin/blog/cic-la-gi
https://techcombank.com/thong-tin/blog/cach-thanh-toan-the-tin-dung
https://techcombank.com/thong-tin/blog/chung-chi-tien-gui-la-gi
https://techcombank.com/cong-cu-tien-ich/cong-cu-tinh-toan/bang-tinh-lai-suat-tiet-kiem
https://techcombank.com/thong-tin/blog/app-vay-tien-nhanh</v>
      </c>
      <c r="D49" s="20"/>
      <c r="E49" s="20"/>
      <c r="F49" s="20"/>
      <c r="G49" s="20"/>
      <c r="H49" s="20"/>
      <c r="I49" s="20"/>
      <c r="J49" s="20"/>
      <c r="K49" s="20"/>
      <c r="L49" s="20"/>
      <c r="M49" s="20"/>
      <c r="N49" s="20"/>
      <c r="O49" s="20"/>
      <c r="P49" s="20"/>
      <c r="Q49" s="20"/>
      <c r="R49" s="20"/>
      <c r="S49" s="20"/>
      <c r="T49" s="20"/>
      <c r="U49" s="20"/>
      <c r="V49" s="20"/>
      <c r="W49" s="20"/>
      <c r="X49" s="20"/>
    </row>
    <row r="50">
      <c r="A50" s="27" t="str">
        <f>IFERROR(__xludf.DUMMYFUNCTION("""COMPUTED_VALUE"""),"https://techcombank.com/thong-tin/blog/cac-hinh-thuc-vay-von-ngan-hang")</f>
        <v>https://techcombank.com/thong-tin/blog/cac-hinh-thuc-vay-von-ngan-hang</v>
      </c>
      <c r="B50" s="28">
        <f>IFERROR(__xludf.DUMMYFUNCTION("""COMPUTED_VALUE"""),9.0)</f>
        <v>9</v>
      </c>
      <c r="C50" s="20" t="str">
        <f>IFERROR(__xludf.DUMMYFUNCTION("IF(A50="""","""",TEXTJOIN(CHAR(10),TRUE,FILTER('Tổng hợp 75 trang đích'!$B$2:$B$3400,'Tổng hợp 75 trang đích'!$I$2:$I$3400=A50)))"),"https://techcombank.com/thong-tin/blog/lai-suat-vay-mua-o-to
https://techcombank.com/thong-tin/blog/cach-tinh-lai-vay-ngan-hang
https://techcombank.com/thong-tin/blog/lai-suat-vay-the-chap-so-do
https://techcombank.com/thong-tin/blog/ho-so-thu-tuc-xoa-the"&amp;"-chap
https://techcombank.com/cong-cu-tien-ich/cong-cu-tinh-toan/bang-tinh-lai-suat-vay
https://techcombank.com/thong-tin/blog/app-vay-tien-nhanh
https://techcombank.com/thong-tin/blog/lai-suat-vay-ngan-hang
https://techcombank.com/thong-tin/blog/vay-thau"&amp;"-chi-la-gi
https://techcombank.com/thong-tin/blog/vay-tin-chap-khong-tra-duoc-co-sao-khong")</f>
        <v>https://techcombank.com/thong-tin/blog/lai-suat-vay-mua-o-to
https://techcombank.com/thong-tin/blog/cach-tinh-lai-vay-ngan-hang
https://techcombank.com/thong-tin/blog/lai-suat-vay-the-chap-so-do
https://techcombank.com/thong-tin/blog/ho-so-thu-tuc-xoa-the-chap
https://techcombank.com/cong-cu-tien-ich/cong-cu-tinh-toan/bang-tinh-lai-suat-vay
https://techcombank.com/thong-tin/blog/app-vay-tien-nhanh
https://techcombank.com/thong-tin/blog/lai-suat-vay-ngan-hang
https://techcombank.com/thong-tin/blog/vay-thau-chi-la-gi
https://techcombank.com/thong-tin/blog/vay-tin-chap-khong-tra-duoc-co-sao-khong</v>
      </c>
      <c r="D50" s="20"/>
      <c r="E50" s="20"/>
      <c r="F50" s="20"/>
      <c r="G50" s="20"/>
      <c r="H50" s="20"/>
      <c r="I50" s="20"/>
      <c r="J50" s="20"/>
      <c r="K50" s="20"/>
      <c r="L50" s="20"/>
      <c r="M50" s="20"/>
      <c r="N50" s="20"/>
      <c r="O50" s="20"/>
      <c r="P50" s="20"/>
      <c r="Q50" s="20"/>
      <c r="R50" s="20"/>
      <c r="S50" s="20"/>
      <c r="T50" s="20"/>
      <c r="U50" s="20"/>
      <c r="V50" s="20"/>
      <c r="W50" s="20"/>
      <c r="X50" s="20"/>
    </row>
    <row r="51">
      <c r="A51" s="27" t="str">
        <f>IFERROR(__xludf.DUMMYFUNCTION("""COMPUTED_VALUE"""),"https://techcombank.com/thong-tin/blog/cach-gui-tiet-kiem-online")</f>
        <v>https://techcombank.com/thong-tin/blog/cach-gui-tiet-kiem-online</v>
      </c>
      <c r="B51" s="28">
        <f>IFERROR(__xludf.DUMMYFUNCTION("""COMPUTED_VALUE"""),9.0)</f>
        <v>9</v>
      </c>
      <c r="C51" s="20" t="str">
        <f>IFERROR(__xludf.DUMMYFUNCTION("IF(A51="""","""",TEXTJOIN(CHAR(10),TRUE,FILTER('Tổng hợp 75 trang đích'!$B$2:$B$3400,'Tổng hợp 75 trang đích'!$I$2:$I$3400=A51)))"),"https://techcombank.com/thong-tin/blog/ten-dang-nhap-tai-khoan-ngan-hang-la-gi
https://techcombank.com/thong-tin/blog/ho-so-thu-tuc-xoa-the-chap
https://techcombank.com/thong-tin/blog/lai-suat-tiet-kiem
https://techcombank.com/thong-tin/blog/cach-tinh-lai"&amp;"-suat-tien-gui-tiet-kiem
https://techcombank.com/thong-tin/blog/rut-tien-tiet-kiem-truoc-thoi-han
https://techcombank.com/thong-tin/blog/so-tiet-kiem-ngan-hang
https://techcombank.com/thong-tin/blog/rui-ro-khi-gui-tiet-kiem-online
https://techcombank.com/"&amp;"cong-cu-tien-ich/cong-cu-tinh-toan/bang-tinh-lai-suat-tiet-kiem
https://techcombank.com/thong-tin/blog/vay-thau-chi-la-gi")</f>
        <v>https://techcombank.com/thong-tin/blog/ten-dang-nhap-tai-khoan-ngan-hang-la-gi
https://techcombank.com/thong-tin/blog/ho-so-thu-tuc-xoa-the-chap
https://techcombank.com/thong-tin/blog/lai-suat-tiet-kiem
https://techcombank.com/thong-tin/blog/cach-tinh-lai-suat-tien-gui-tiet-kiem
https://techcombank.com/thong-tin/blog/rut-tien-tiet-kiem-truoc-thoi-han
https://techcombank.com/thong-tin/blog/so-tiet-kiem-ngan-hang
https://techcombank.com/thong-tin/blog/rui-ro-khi-gui-tiet-kiem-online
https://techcombank.com/cong-cu-tien-ich/cong-cu-tinh-toan/bang-tinh-lai-suat-tiet-kiem
https://techcombank.com/thong-tin/blog/vay-thau-chi-la-gi</v>
      </c>
      <c r="D51" s="20"/>
      <c r="E51" s="20"/>
      <c r="F51" s="20"/>
      <c r="G51" s="20"/>
      <c r="H51" s="20"/>
      <c r="I51" s="20"/>
      <c r="J51" s="20"/>
      <c r="K51" s="20"/>
      <c r="L51" s="20"/>
      <c r="M51" s="20"/>
      <c r="N51" s="20"/>
      <c r="O51" s="20"/>
      <c r="P51" s="20"/>
      <c r="Q51" s="20"/>
      <c r="R51" s="20"/>
      <c r="S51" s="20"/>
      <c r="T51" s="20"/>
      <c r="U51" s="20"/>
      <c r="V51" s="20"/>
      <c r="W51" s="20"/>
      <c r="X51" s="20"/>
    </row>
    <row r="52">
      <c r="A52" s="27" t="str">
        <f>IFERROR(__xludf.DUMMYFUNCTION("""COMPUTED_VALUE"""),"https://techcombank.com/thong-tin/blog/cach-nop-thue-dien-tu")</f>
        <v>https://techcombank.com/thong-tin/blog/cach-nop-thue-dien-tu</v>
      </c>
      <c r="B52" s="28">
        <f>IFERROR(__xludf.DUMMYFUNCTION("""COMPUTED_VALUE"""),9.0)</f>
        <v>9</v>
      </c>
      <c r="C52" s="20" t="str">
        <f>IFERROR(__xludf.DUMMYFUNCTION("IF(A52="""","""",TEXTJOIN(CHAR(10),TRUE,FILTER('Tổng hợp 75 trang đích'!$B$2:$B$3400,'Tổng hợp 75 trang đích'!$I$2:$I$3400=A52)))"),"https://techcombank.com/thong-tin/blog/nop-thue-dat-qua-ngan-hang
https://techcombank.com/thong-tin/blog/thue-thu-nhap-doanh-nghiep
https://techcombank.com/thong-tin/blog/thue-vat-la-gi
https://techcombank.com/thong-tin/blog/tra-cuu-no-thue-doanh-nghiep
h"&amp;"ttps://techcombank.com/thong-tin/blog/thue-doanh-nghiep
https://techcombank.com/thong-tin/blog/cach-tinh-thue-thu-nhap-doanh-nghiep
https://techcombank.com/thong-tin/blog/kiem-tra-thue-thu-nhap-ca-nhan
https://techcombank.com/thong-tin/blog/thue-thu-nhap-"&amp;"ca-nhan
https://techcombank.com/thong-tin/blog/ho-kinh-doanh-dong-thue-nhu-nao")</f>
        <v>https://techcombank.com/thong-tin/blog/nop-thue-dat-qua-ngan-hang
https://techcombank.com/thong-tin/blog/thue-thu-nhap-doanh-nghiep
https://techcombank.com/thong-tin/blog/thue-vat-la-gi
https://techcombank.com/thong-tin/blog/tra-cuu-no-thue-doanh-nghiep
https://techcombank.com/thong-tin/blog/thue-doanh-nghiep
https://techcombank.com/thong-tin/blog/cach-tinh-thue-thu-nhap-doanh-nghiep
https://techcombank.com/thong-tin/blog/kiem-tra-thue-thu-nhap-ca-nhan
https://techcombank.com/thong-tin/blog/thue-thu-nhap-ca-nhan
https://techcombank.com/thong-tin/blog/ho-kinh-doanh-dong-thue-nhu-nao</v>
      </c>
      <c r="D52" s="20"/>
      <c r="E52" s="20"/>
      <c r="F52" s="20"/>
      <c r="G52" s="20"/>
      <c r="H52" s="20"/>
      <c r="I52" s="20"/>
      <c r="J52" s="20"/>
      <c r="K52" s="20"/>
      <c r="L52" s="20"/>
      <c r="M52" s="20"/>
      <c r="N52" s="20"/>
      <c r="O52" s="20"/>
      <c r="P52" s="20"/>
      <c r="Q52" s="20"/>
      <c r="R52" s="20"/>
      <c r="S52" s="20"/>
      <c r="T52" s="20"/>
      <c r="U52" s="20"/>
      <c r="V52" s="20"/>
      <c r="W52" s="20"/>
      <c r="X52" s="20"/>
    </row>
    <row r="53">
      <c r="A53" s="27" t="str">
        <f>IFERROR(__xludf.DUMMYFUNCTION("""COMPUTED_VALUE"""),"https://techcombank.com/thong-tin/blog/cach-su-dung-tai-khoan-cong-ty")</f>
        <v>https://techcombank.com/thong-tin/blog/cach-su-dung-tai-khoan-cong-ty</v>
      </c>
      <c r="B53" s="28">
        <f>IFERROR(__xludf.DUMMYFUNCTION("""COMPUTED_VALUE"""),9.0)</f>
        <v>9</v>
      </c>
      <c r="C53" s="20" t="str">
        <f>IFERROR(__xludf.DUMMYFUNCTION("IF(A53="""","""",TEXTJOIN(CHAR(10),TRUE,FILTER('Tổng hợp 75 trang đích'!$B$2:$B$3400,'Tổng hợp 75 trang đích'!$I$2:$I$3400=A53)))"),"https://techcombank.com/thong-tin/blog/nop-thue-dat-qua-ngan-hang
https://techcombank.com/thong-tin/blog/thue-thu-nhap-doanh-nghiep
https://techcombank.com/thong-tin/blog/thue-vat-la-gi
https://techcombank.com/thong-tin/blog/cong-ty-su-dung-tai-khoan-ca-n"&amp;"han
https://techcombank.com/thong-tin/blog/cach-tinh-thue-thu-nhap-doanh-nghiep
https://techcombank.com/thong-tin/blog/chuyen-khoan-thanh-cong-nhung-khong-nhan-duoc-tien
https://techcombank.com/thong-tin/blog/nap-tien-vao-tai-khoan-ngan-hang
https://techc"&amp;"ombank.com/thong-tin/blog/rut-tien-bang-ma-qr-la-gi-cach-thuc-hien-nhu-the-nao
https://techcombank.com/thong-tin/blog/rut-tien-mat-tu-the-tin-dung")</f>
        <v>https://techcombank.com/thong-tin/blog/nop-thue-dat-qua-ngan-hang
https://techcombank.com/thong-tin/blog/thue-thu-nhap-doanh-nghiep
https://techcombank.com/thong-tin/blog/thue-vat-la-gi
https://techcombank.com/thong-tin/blog/cong-ty-su-dung-tai-khoan-ca-nhan
https://techcombank.com/thong-tin/blog/cach-tinh-thue-thu-nhap-doanh-nghiep
https://techcombank.com/thong-tin/blog/chuyen-khoan-thanh-cong-nhung-khong-nhan-duoc-tien
https://techcombank.com/thong-tin/blog/nap-tien-vao-tai-khoan-ngan-hang
https://techcombank.com/thong-tin/blog/rut-tien-bang-ma-qr-la-gi-cach-thuc-hien-nhu-the-nao
https://techcombank.com/thong-tin/blog/rut-tien-mat-tu-the-tin-dung</v>
      </c>
      <c r="D53" s="20"/>
      <c r="E53" s="20"/>
      <c r="F53" s="20"/>
      <c r="G53" s="20"/>
      <c r="H53" s="20"/>
      <c r="I53" s="20"/>
      <c r="J53" s="20"/>
      <c r="K53" s="20"/>
      <c r="L53" s="20"/>
      <c r="M53" s="20"/>
      <c r="N53" s="20"/>
      <c r="O53" s="20"/>
      <c r="P53" s="20"/>
      <c r="Q53" s="20"/>
      <c r="R53" s="20"/>
      <c r="S53" s="20"/>
      <c r="T53" s="20"/>
      <c r="U53" s="20"/>
      <c r="V53" s="20"/>
      <c r="W53" s="20"/>
      <c r="X53" s="20"/>
    </row>
    <row r="54">
      <c r="A54" s="27" t="str">
        <f>IFERROR(__xludf.DUMMYFUNCTION("""COMPUTED_VALUE"""),"https://techcombank.com/thong-tin/blog/cach-su-dung-the-tin-dung")</f>
        <v>https://techcombank.com/thong-tin/blog/cach-su-dung-the-tin-dung</v>
      </c>
      <c r="B54" s="28">
        <f>IFERROR(__xludf.DUMMYFUNCTION("""COMPUTED_VALUE"""),9.0)</f>
        <v>9</v>
      </c>
      <c r="C54" s="20" t="str">
        <f>IFERROR(__xludf.DUMMYFUNCTION("IF(A54="""","""",TEXTJOIN(CHAR(10),TRUE,FILTER('Tổng hợp 75 trang đích'!$B$2:$B$3400,'Tổng hợp 75 trang đích'!$I$2:$I$3400=A54)))"),"https://techcombank.com/thong-tin/blog/lai-suat-vay-mua-o-to
https://techcombank.com/thong-tin/blog/rut-tien-mat-tu-the-tin-dung
https://techcombank.com/khach-hang-ca-nhan/chi-tieu/the/the-tin-dung/techcombank-everyday
https://techcombank.com/thong-tin/bl"&amp;"og/the-tin-dung-hoan-tien
https://techcombank.com/thong-tin/blog/xep-hang-tin-dung
https://techcombank.com/thong-tin/blog/lai-suat-tiet-kiem
https://techcombank.com/thong-tin/blog/cach-tinh-lai-suat-tien-gui-tiet-kiem
https://techcombank.com/cong-cu-tien-"&amp;"ich/cong-cu-tinh-toan/bang-tinh-lai-suat-vay
https://techcombank.com/thong-tin/blog/app-vay-tien-nhanh")</f>
        <v>https://techcombank.com/thong-tin/blog/lai-suat-vay-mua-o-to
https://techcombank.com/thong-tin/blog/rut-tien-mat-tu-the-tin-dung
https://techcombank.com/khach-hang-ca-nhan/chi-tieu/the/the-tin-dung/techcombank-everyday
https://techcombank.com/thong-tin/blog/the-tin-dung-hoan-tien
https://techcombank.com/thong-tin/blog/xep-hang-tin-dung
https://techcombank.com/thong-tin/blog/lai-suat-tiet-kiem
https://techcombank.com/thong-tin/blog/cach-tinh-lai-suat-tien-gui-tiet-kiem
https://techcombank.com/cong-cu-tien-ich/cong-cu-tinh-toan/bang-tinh-lai-suat-vay
https://techcombank.com/thong-tin/blog/app-vay-tien-nhanh</v>
      </c>
      <c r="D54" s="20"/>
      <c r="E54" s="20"/>
      <c r="F54" s="20"/>
      <c r="G54" s="20"/>
      <c r="H54" s="20"/>
      <c r="I54" s="20"/>
      <c r="J54" s="20"/>
      <c r="K54" s="20"/>
      <c r="L54" s="20"/>
      <c r="M54" s="20"/>
      <c r="N54" s="20"/>
      <c r="O54" s="20"/>
      <c r="P54" s="20"/>
      <c r="Q54" s="20"/>
      <c r="R54" s="20"/>
      <c r="S54" s="20"/>
      <c r="T54" s="20"/>
      <c r="U54" s="20"/>
      <c r="V54" s="20"/>
      <c r="W54" s="20"/>
      <c r="X54" s="20"/>
    </row>
    <row r="55">
      <c r="A55" s="27" t="str">
        <f>IFERROR(__xludf.DUMMYFUNCTION("""COMPUTED_VALUE"""),"https://techcombank.com/thong-tin/blog/cach-tinh-thue-thu-nhap-doanh-nghiep")</f>
        <v>https://techcombank.com/thong-tin/blog/cach-tinh-thue-thu-nhap-doanh-nghiep</v>
      </c>
      <c r="B55" s="28">
        <f>IFERROR(__xludf.DUMMYFUNCTION("""COMPUTED_VALUE"""),9.0)</f>
        <v>9</v>
      </c>
      <c r="C55" s="20" t="str">
        <f>IFERROR(__xludf.DUMMYFUNCTION("IF(A55="""","""",TEXTJOIN(CHAR(10),TRUE,FILTER('Tổng hợp 75 trang đích'!$B$2:$B$3400,'Tổng hợp 75 trang đích'!$I$2:$I$3400=A55)))"),"https://techcombank.com/thong-tin/blog/nop-thue-dat-qua-ngan-hang
https://techcombank.com/thong-tin/blog/thue-thu-nhap-doanh-nghiep
https://techcombank.com/thong-tin/blog/thue-doanh-nghiep
https://techcombank.com/thong-tin/blog/cong-ty-su-dung-tai-khoan-c"&amp;"a-nhan
https://techcombank.com/thong-tin/blog/cach-tinh-thue-thu-nhap-ca-nhan-2025
https://techcombank.com/thong-tin/blog/day-so-phat-tai-phat-loc
https://techcombank.com/thong-tin/blog/thue-thu-nhap-ca-nhan
https://techcombank.com/thong-tin/blog/ho-kinh-"&amp;"doanh-dong-thue-nhu-nao
https://techcombank.com/cong-cu-tien-ich/cong-cu-tinh-toan/bang-tinh-lai-suat-tiet-kiem")</f>
        <v>https://techcombank.com/thong-tin/blog/nop-thue-dat-qua-ngan-hang
https://techcombank.com/thong-tin/blog/thue-thu-nhap-doanh-nghiep
https://techcombank.com/thong-tin/blog/thue-doanh-nghiep
https://techcombank.com/thong-tin/blog/cong-ty-su-dung-tai-khoan-ca-nhan
https://techcombank.com/thong-tin/blog/cach-tinh-thue-thu-nhap-ca-nhan-2025
https://techcombank.com/thong-tin/blog/day-so-phat-tai-phat-loc
https://techcombank.com/thong-tin/blog/thue-thu-nhap-ca-nhan
https://techcombank.com/thong-tin/blog/ho-kinh-doanh-dong-thue-nhu-nao
https://techcombank.com/cong-cu-tien-ich/cong-cu-tinh-toan/bang-tinh-lai-suat-tiet-kiem</v>
      </c>
      <c r="D55" s="20"/>
      <c r="E55" s="20"/>
      <c r="F55" s="20"/>
      <c r="G55" s="20"/>
      <c r="H55" s="20"/>
      <c r="I55" s="20"/>
      <c r="J55" s="20"/>
      <c r="K55" s="20"/>
      <c r="L55" s="20"/>
      <c r="M55" s="20"/>
      <c r="N55" s="20"/>
      <c r="O55" s="20"/>
      <c r="P55" s="20"/>
      <c r="Q55" s="20"/>
      <c r="R55" s="20"/>
      <c r="S55" s="20"/>
      <c r="T55" s="20"/>
      <c r="U55" s="20"/>
      <c r="V55" s="20"/>
      <c r="W55" s="20"/>
      <c r="X55" s="20"/>
    </row>
    <row r="56">
      <c r="A56" s="27" t="str">
        <f>IFERROR(__xludf.DUMMYFUNCTION("""COMPUTED_VALUE"""),"https://techcombank.com/thong-tin/blog/chuyen-tien-tu-nhat-ve-viet-nam")</f>
        <v>https://techcombank.com/thong-tin/blog/chuyen-tien-tu-nhat-ve-viet-nam</v>
      </c>
      <c r="B56" s="28">
        <f>IFERROR(__xludf.DUMMYFUNCTION("""COMPUTED_VALUE"""),9.0)</f>
        <v>9</v>
      </c>
      <c r="C56" s="20" t="str">
        <f>IFERROR(__xludf.DUMMYFUNCTION("IF(A56="""","""",TEXTJOIN(CHAR(10),TRUE,FILTER('Tổng hợp 75 trang đích'!$B$2:$B$3400,'Tổng hợp 75 trang đích'!$I$2:$I$3400=A56)))"),"https://techcombank.com/thong-tin/blog/1-te-bang-bao-nhieu-tien-viet-nam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https://techcombank.com/thong-tin/blog/1-man-bang-bao-nhieu-tien-viet
https://techcombank.com/thong-tin/blo"&amp;"g/1-trieu-do-bang-bao-nhieu-tien-viet
https://techcombank.com/thong-tin/blog/1000-won-bang-bao-nhieu-tien-viet")</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v>
      </c>
      <c r="D56" s="20"/>
      <c r="E56" s="20"/>
      <c r="F56" s="20"/>
      <c r="G56" s="20"/>
      <c r="H56" s="20"/>
      <c r="I56" s="20"/>
      <c r="J56" s="20"/>
      <c r="K56" s="20"/>
      <c r="L56" s="20"/>
      <c r="M56" s="20"/>
      <c r="N56" s="20"/>
      <c r="O56" s="20"/>
      <c r="P56" s="20"/>
      <c r="Q56" s="20"/>
      <c r="R56" s="20"/>
      <c r="S56" s="20"/>
      <c r="T56" s="20"/>
      <c r="U56" s="20"/>
      <c r="V56" s="20"/>
      <c r="W56" s="20"/>
      <c r="X56" s="20"/>
    </row>
    <row r="57">
      <c r="A57" s="27" t="str">
        <f>IFERROR(__xludf.DUMMYFUNCTION("""COMPUTED_VALUE"""),"https://techcombank.com/thong-tin/blog/hoan-thue-doanh-nghiep")</f>
        <v>https://techcombank.com/thong-tin/blog/hoan-thue-doanh-nghiep</v>
      </c>
      <c r="B57" s="28">
        <f>IFERROR(__xludf.DUMMYFUNCTION("""COMPUTED_VALUE"""),9.0)</f>
        <v>9</v>
      </c>
      <c r="C57" s="20" t="str">
        <f>IFERROR(__xludf.DUMMYFUNCTION("IF(A57="""","""",TEXTJOIN(CHAR(10),TRUE,FILTER('Tổng hợp 75 trang đích'!$B$2:$B$3400,'Tổng hợp 75 trang đích'!$I$2:$I$3400=A57)))"),"https://techcombank.com/thong-tin/blog/nop-thue-dat-qua-ngan-hang
https://techcombank.com/thong-tin/blog/cach-nop-thue-dien-tu
https://techcombank.com/thong-tin/blog/thue-thu-nhap-doanh-nghiep
https://techcombank.com/thong-tin/blog/thue-vat-la-gi
https://"&amp;"techcombank.com/thong-tin/blog/tra-cuu-no-thue-doanh-nghiep
https://techcombank.com/thong-tin/blog/thue-doanh-nghiep
https://techcombank.com/thong-tin/blog/cic-la-gi
https://techcombank.com/thong-tin/blog/tien-thai-lan
https://techcombank.com/thong-tin/bl"&amp;"og/ho-kinh-doanh-dong-thue-nhu-nao")</f>
        <v>https://techcombank.com/thong-tin/blog/nop-thue-dat-qua-ngan-hang
https://techcombank.com/thong-tin/blog/cach-nop-thue-dien-tu
https://techcombank.com/thong-tin/blog/thue-thu-nhap-doanh-nghiep
https://techcombank.com/thong-tin/blog/thue-vat-la-gi
https://techcombank.com/thong-tin/blog/tra-cuu-no-thue-doanh-nghiep
https://techcombank.com/thong-tin/blog/thue-doanh-nghiep
https://techcombank.com/thong-tin/blog/cic-la-gi
https://techcombank.com/thong-tin/blog/tien-thai-lan
https://techcombank.com/thong-tin/blog/ho-kinh-doanh-dong-thue-nhu-nao</v>
      </c>
      <c r="D57" s="20"/>
      <c r="E57" s="20"/>
      <c r="F57" s="20"/>
      <c r="G57" s="20"/>
      <c r="H57" s="20"/>
      <c r="I57" s="20"/>
      <c r="J57" s="20"/>
      <c r="K57" s="20"/>
      <c r="L57" s="20"/>
      <c r="M57" s="20"/>
      <c r="N57" s="20"/>
      <c r="O57" s="20"/>
      <c r="P57" s="20"/>
      <c r="Q57" s="20"/>
      <c r="R57" s="20"/>
      <c r="S57" s="20"/>
      <c r="T57" s="20"/>
      <c r="U57" s="20"/>
      <c r="V57" s="20"/>
      <c r="W57" s="20"/>
      <c r="X57" s="20"/>
    </row>
    <row r="58">
      <c r="A58" s="27" t="str">
        <f>IFERROR(__xludf.DUMMYFUNCTION("""COMPUTED_VALUE"""),"https://techcombank.com/thong-tin/blog/ke-khai-thue-doanh-nghiep")</f>
        <v>https://techcombank.com/thong-tin/blog/ke-khai-thue-doanh-nghiep</v>
      </c>
      <c r="B58" s="28">
        <f>IFERROR(__xludf.DUMMYFUNCTION("""COMPUTED_VALUE"""),9.0)</f>
        <v>9</v>
      </c>
      <c r="C58" s="20" t="str">
        <f>IFERROR(__xludf.DUMMYFUNCTION("IF(A58="""","""",TEXTJOIN(CHAR(10),TRUE,FILTER('Tổng hợp 75 trang đích'!$B$2:$B$3400,'Tổng hợp 75 trang đích'!$I$2:$I$3400=A58)))"),"https://techcombank.com/thong-tin/blog/nop-thue-dat-qua-ngan-hang
https://techcombank.com/thong-tin/blog/cach-nop-thue-dien-tu
https://techcombank.com/thong-tin/blog/thue-thu-nhap-doanh-nghiep
https://techcombank.com/thong-tin/blog/thue-vat-la-gi
https://"&amp;"techcombank.com/thong-tin/blog/tra-cuu-no-thue-doanh-nghiep
https://techcombank.com/thong-tin/blog/thue-doanh-nghiep
https://techcombank.com/thong-tin/blog/cach-tinh-thue-thu-nhap-ca-nhan-2025
https://techcombank.com/thong-tin/blog/kiem-tra-thue-thu-nhap-"&amp;"ca-nhan
https://techcombank.com/thong-tin/blog/thue-thu-nhap-ca-nhan")</f>
        <v>https://techcombank.com/thong-tin/blog/nop-thue-dat-qua-ngan-hang
https://techcombank.com/thong-tin/blog/cach-nop-thue-dien-tu
https://techcombank.com/thong-tin/blog/thue-thu-nhap-doanh-nghiep
https://techcombank.com/thong-tin/blog/thue-vat-la-gi
https://techcombank.com/thong-tin/blog/tra-cuu-no-thue-doanh-nghiep
https://techcombank.com/thong-tin/blog/thue-doanh-nghiep
https://techcombank.com/thong-tin/blog/cach-tinh-thue-thu-nhap-ca-nhan-2025
https://techcombank.com/thong-tin/blog/kiem-tra-thue-thu-nhap-ca-nhan
https://techcombank.com/thong-tin/blog/thue-thu-nhap-ca-nhan</v>
      </c>
      <c r="D58" s="20"/>
      <c r="E58" s="20"/>
      <c r="F58" s="20"/>
      <c r="G58" s="20"/>
      <c r="H58" s="20"/>
      <c r="I58" s="20"/>
      <c r="J58" s="20"/>
      <c r="K58" s="20"/>
      <c r="L58" s="20"/>
      <c r="M58" s="20"/>
      <c r="N58" s="20"/>
      <c r="O58" s="20"/>
      <c r="P58" s="20"/>
      <c r="Q58" s="20"/>
      <c r="R58" s="20"/>
      <c r="S58" s="20"/>
      <c r="T58" s="20"/>
      <c r="U58" s="20"/>
      <c r="V58" s="20"/>
      <c r="W58" s="20"/>
      <c r="X58" s="20"/>
    </row>
    <row r="59">
      <c r="A59" s="27" t="str">
        <f>IFERROR(__xludf.DUMMYFUNCTION("""COMPUTED_VALUE"""),"https://techcombank.com/thong-tin/blog/kiem-tra-thue-ho-kinh-doanh")</f>
        <v>https://techcombank.com/thong-tin/blog/kiem-tra-thue-ho-kinh-doanh</v>
      </c>
      <c r="B59" s="28">
        <f>IFERROR(__xludf.DUMMYFUNCTION("""COMPUTED_VALUE"""),9.0)</f>
        <v>9</v>
      </c>
      <c r="C59" s="20" t="str">
        <f>IFERROR(__xludf.DUMMYFUNCTION("IF(A59="""","""",TEXTJOIN(CHAR(10),TRUE,FILTER('Tổng hợp 75 trang đích'!$B$2:$B$3400,'Tổng hợp 75 trang đích'!$I$2:$I$3400=A59)))"),"https://techcombank.com/thong-tin/blog/nop-thue-dat-qua-ngan-hang
https://techcombank.com/thong-tin/blog/cach-nop-thue-dien-tu
https://techcombank.com/thong-tin/blog/tra-cuu-no-thue-doanh-nghiep
https://techcombank.com/thong-tin/blog/kiem-tra-thue-thu-nha"&amp;"p-ca-nhan
https://techcombank.com/thong-tin/blog/ho-kinh-doanh-dong-thue-nhu-nao
https://techcombank.com/thong-tin/blog/mo-tai-khoan-ho-kinh-doanh
https://techcombank.com/thong-tin/blog/cach-tinh-thue-ho-kinh-doanh-nho-le
https://techcombank.com/thong-tin"&amp;"/blog/app-vay-tien-nhanh
https://techcombank.com/thong-tin/blog/kiem-tra-no-xau")</f>
        <v>https://techcombank.com/thong-tin/blog/nop-thue-dat-qua-ngan-hang
https://techcombank.com/thong-tin/blog/cach-nop-thue-dien-tu
https://techcombank.com/thong-tin/blog/tra-cuu-no-thue-doanh-nghiep
https://techcombank.com/thong-tin/blog/kiem-tra-thue-thu-nhap-ca-nhan
https://techcombank.com/thong-tin/blog/ho-kinh-doanh-dong-thue-nhu-nao
https://techcombank.com/thong-tin/blog/mo-tai-khoan-ho-kinh-doanh
https://techcombank.com/thong-tin/blog/cach-tinh-thue-ho-kinh-doanh-nho-le
https://techcombank.com/thong-tin/blog/app-vay-tien-nhanh
https://techcombank.com/thong-tin/blog/kiem-tra-no-xau</v>
      </c>
      <c r="D59" s="20"/>
      <c r="E59" s="20"/>
      <c r="F59" s="20"/>
      <c r="G59" s="20"/>
      <c r="H59" s="20"/>
      <c r="I59" s="20"/>
      <c r="J59" s="20"/>
      <c r="K59" s="20"/>
      <c r="L59" s="20"/>
      <c r="M59" s="20"/>
      <c r="N59" s="20"/>
      <c r="O59" s="20"/>
      <c r="P59" s="20"/>
      <c r="Q59" s="20"/>
      <c r="R59" s="20"/>
      <c r="S59" s="20"/>
      <c r="T59" s="20"/>
      <c r="U59" s="20"/>
      <c r="V59" s="20"/>
      <c r="W59" s="20"/>
      <c r="X59" s="20"/>
    </row>
    <row r="60">
      <c r="A60" s="27" t="str">
        <f>IFERROR(__xludf.DUMMYFUNCTION("""COMPUTED_VALUE"""),"https://techcombank.com/thong-tin/blog/kinh-nghiem-vay-the-chap-ngan-hang")</f>
        <v>https://techcombank.com/thong-tin/blog/kinh-nghiem-vay-the-chap-ngan-hang</v>
      </c>
      <c r="B60" s="28">
        <f>IFERROR(__xludf.DUMMYFUNCTION("""COMPUTED_VALUE"""),9.0)</f>
        <v>9</v>
      </c>
      <c r="C60" s="20" t="str">
        <f>IFERROR(__xludf.DUMMYFUNCTION("IF(A60="""","""",TEXTJOIN(CHAR(10),TRUE,FILTER('Tổng hợp 75 trang đích'!$B$2:$B$3400,'Tổng hợp 75 trang đích'!$I$2:$I$3400=A60)))"),"https://techcombank.com/thong-tin/blog/cic-la-gi
https://techcombank.com/thong-tin/blog/vay-ngan-hang-1-ty-moi-thang-tra-bao-nhieu
https://techcombank.com/thong-tin/blog/lai-suat-vay-the-chap-so-do
https://techcombank.com/thong-tin/blog/lai-suat-tiet-kiem"&amp;"
https://techcombank.com/thong-tin/blog/cach-tinh-lai-suat-tien-gui-tiet-kiem
https://techcombank.com/cong-cu-tien-ich/cong-cu-tinh-toan/bang-tinh-lai-suat-vay
https://techcombank.com/thong-tin/blog/app-vay-tien-nhanh
https://techcombank.com/thong-tin/blo"&amp;"g/lai-suat-vay-ngan-hang
https://techcombank.com/thong-tin/blog/nen-vay-tin-chap-o-dau")</f>
        <v>https://techcombank.com/thong-tin/blog/cic-la-gi
https://techcombank.com/thong-tin/blog/vay-ngan-hang-1-ty-moi-thang-tra-bao-nhieu
https://techcombank.com/thong-tin/blog/lai-suat-vay-the-chap-so-do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https://techcombank.com/thong-tin/blog/nen-vay-tin-chap-o-dau</v>
      </c>
      <c r="D60" s="20"/>
      <c r="E60" s="20"/>
      <c r="F60" s="20"/>
      <c r="G60" s="20"/>
      <c r="H60" s="20"/>
      <c r="I60" s="20"/>
      <c r="J60" s="20"/>
      <c r="K60" s="20"/>
      <c r="L60" s="20"/>
      <c r="M60" s="20"/>
      <c r="N60" s="20"/>
      <c r="O60" s="20"/>
      <c r="P60" s="20"/>
      <c r="Q60" s="20"/>
      <c r="R60" s="20"/>
      <c r="S60" s="20"/>
      <c r="T60" s="20"/>
      <c r="U60" s="20"/>
      <c r="V60" s="20"/>
      <c r="W60" s="20"/>
      <c r="X60" s="20"/>
    </row>
    <row r="61">
      <c r="A61" s="27" t="str">
        <f>IFERROR(__xludf.DUMMYFUNCTION("""COMPUTED_VALUE"""),"https://techcombank.com/thong-tin/blog/lai-suat-vay-the-chap-so-do")</f>
        <v>https://techcombank.com/thong-tin/blog/lai-suat-vay-the-chap-so-do</v>
      </c>
      <c r="B61" s="28">
        <f>IFERROR(__xludf.DUMMYFUNCTION("""COMPUTED_VALUE"""),9.0)</f>
        <v>9</v>
      </c>
      <c r="C61" s="20" t="str">
        <f>IFERROR(__xludf.DUMMYFUNCTION("IF(A61="""","""",TEXTJOIN(CHAR(10),TRUE,FILTER('Tổng hợp 75 trang đích'!$B$2:$B$3400,'Tổng hợp 75 trang đích'!$I$2:$I$3400=A61)))"),"https://techcombank.com/thong-tin/blog/lai-suat-vay-mua-o-to
https://techcombank.com/thong-tin/blog/nop-thue-dat-qua-ngan-hang
https://techcombank.com/thong-tin/blog/cach-tinh-lai-vay-ngan-hang
https://techcombank.com/thong-tin/blog/ho-so-thu-tuc-xoa-the-"&amp;"chap
https://techcombank.com/thong-tin/blog/lai-suat-tiet-kiem
https://techcombank.com/thong-tin/blog/cach-tinh-lai-suat-tien-gui-tiet-kiem
https://techcombank.com/cong-cu-tien-ich/cong-cu-tinh-toan/bang-tinh-lai-suat-tiet-kiem
https://techcombank.com/tho"&amp;"ng-tin/blog/app-vay-tien-nhanh
https://techcombank.com/thong-tin/blog/vay-thau-chi-la-gi")</f>
        <v>https://techcombank.com/thong-tin/blog/lai-suat-vay-mua-o-to
https://techcombank.com/thong-tin/blog/nop-thue-dat-qua-ngan-hang
https://techcombank.com/thong-tin/blog/cach-tinh-lai-vay-ngan-hang
https://techcombank.com/thong-tin/blog/ho-so-thu-tuc-xoa-the-chap
https://techcombank.com/thong-tin/blog/lai-suat-tiet-kiem
https://techcombank.com/thong-tin/blog/cach-tinh-lai-suat-tien-gui-tiet-kiem
https://techcombank.com/cong-cu-tien-ich/cong-cu-tinh-toan/bang-tinh-lai-suat-tiet-kiem
https://techcombank.com/thong-tin/blog/app-vay-tien-nhanh
https://techcombank.com/thong-tin/blog/vay-thau-chi-la-gi</v>
      </c>
      <c r="D61" s="20"/>
      <c r="E61" s="20"/>
      <c r="F61" s="20"/>
      <c r="G61" s="20"/>
      <c r="H61" s="20"/>
      <c r="I61" s="20"/>
      <c r="J61" s="20"/>
      <c r="K61" s="20"/>
      <c r="L61" s="20"/>
      <c r="M61" s="20"/>
      <c r="N61" s="20"/>
      <c r="O61" s="20"/>
      <c r="P61" s="20"/>
      <c r="Q61" s="20"/>
      <c r="R61" s="20"/>
      <c r="S61" s="20"/>
      <c r="T61" s="20"/>
      <c r="U61" s="20"/>
      <c r="V61" s="20"/>
      <c r="W61" s="20"/>
      <c r="X61" s="20"/>
    </row>
    <row r="62">
      <c r="A62" s="27" t="str">
        <f>IFERROR(__xludf.DUMMYFUNCTION("""COMPUTED_VALUE"""),"https://techcombank.com/thong-tin/blog/nen-mua-xe-tra-gop-hay-tra-thang")</f>
        <v>https://techcombank.com/thong-tin/blog/nen-mua-xe-tra-gop-hay-tra-thang</v>
      </c>
      <c r="B62" s="28">
        <f>IFERROR(__xludf.DUMMYFUNCTION("""COMPUTED_VALUE"""),9.0)</f>
        <v>9</v>
      </c>
      <c r="C62" s="20" t="str">
        <f>IFERROR(__xludf.DUMMYFUNCTION("IF(A62="""","""",TEXTJOIN(CHAR(10),TRUE,FILTER('Tổng hợp 75 trang đích'!$B$2:$B$3400,'Tổng hợp 75 trang đích'!$I$2:$I$3400=A62)))"),"https://techcombank.com/thong-tin/blog/lai-suat-vay-mua-o-to
https://techcombank.com/thong-tin/blog/cach-tinh-lai-vay-ngan-hang
https://techcombank.com/thong-tin/blog/lai-suat-vay-the-chap-so-do
https://techcombank.com/thong-tin/blog/lai-suat-tiet-kiem
ht"&amp;"tps://techcombank.com/thong-tin/blog/cach-tinh-lai-suat-tien-gui-tiet-kiem
https://techcombank.com/cong-cu-tien-ich/cong-cu-tinh-toan/bang-tinh-lai-suat-vay
https://techcombank.com/thong-tin/blog/app-vay-tien-nhanh
https://techcombank.com/thong-tin/blog/l"&amp;"ai-suat-vay-ngan-hang
https://techcombank.com/thong-tin/blog/vay-thau-chi-la-gi")</f>
        <v>https://techcombank.com/thong-tin/blog/lai-suat-vay-mua-o-to
https://techcombank.com/thong-tin/blog/cach-tinh-lai-vay-ngan-hang
https://techcombank.com/thong-tin/blog/lai-suat-vay-the-chap-so-do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62" s="20"/>
      <c r="E62" s="20"/>
      <c r="F62" s="20"/>
      <c r="G62" s="20"/>
      <c r="H62" s="20"/>
      <c r="I62" s="20"/>
      <c r="J62" s="20"/>
      <c r="K62" s="20"/>
      <c r="L62" s="20"/>
      <c r="M62" s="20"/>
      <c r="N62" s="20"/>
      <c r="O62" s="20"/>
      <c r="P62" s="20"/>
      <c r="Q62" s="20"/>
      <c r="R62" s="20"/>
      <c r="S62" s="20"/>
      <c r="T62" s="20"/>
      <c r="U62" s="20"/>
      <c r="V62" s="20"/>
      <c r="W62" s="20"/>
      <c r="X62" s="20"/>
    </row>
    <row r="63">
      <c r="A63" s="27" t="str">
        <f>IFERROR(__xludf.DUMMYFUNCTION("""COMPUTED_VALUE"""),"https://techcombank.com/thong-tin/blog/nen-vay-tin-chap-o-dau")</f>
        <v>https://techcombank.com/thong-tin/blog/nen-vay-tin-chap-o-dau</v>
      </c>
      <c r="B63" s="28">
        <f>IFERROR(__xludf.DUMMYFUNCTION("""COMPUTED_VALUE"""),9.0)</f>
        <v>9</v>
      </c>
      <c r="C63" s="20" t="str">
        <f>IFERROR(__xludf.DUMMYFUNCTION("IF(A63="""","""",TEXTJOIN(CHAR(10),TRUE,FILTER('Tổng hợp 75 trang đích'!$B$2:$B$3400,'Tổng hợp 75 trang đích'!$I$2:$I$3400=A63)))"),"https://techcombank.com/thong-tin/blog/lai-suat-vay-mua-o-to
https://techcombank.com/thong-tin/blog/ngan-hang-uy-tin
https://techcombank.com/thong-tin/blog/lai-suat-tiet-kiem
https://techcombank.com/thong-tin/blog/cach-tinh-lai-suat-tien-gui-tiet-kiem
htt"&amp;"ps://techcombank.com/cong-cu-tien-ich/cong-cu-tinh-toan/bang-tinh-lai-suat-vay
https://techcombank.com/thong-tin/blog/app-vay-tien-nhanh
https://techcombank.com/thong-tin/blog/lai-suat-vay-ngan-hang
https://techcombank.com/thong-tin/blog/vay-thau-chi-la-g"&amp;"i
https://techcombank.com/thong-tin/blog/vay-tin-chap-khong-tra-duoc-co-sao-khong")</f>
        <v>https://techcombank.com/thong-tin/blog/lai-suat-vay-mua-o-to
https://techcombank.com/thong-tin/blog/ngan-hang-uy-tin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
https://techcombank.com/thong-tin/blog/vay-tin-chap-khong-tra-duoc-co-sao-khong</v>
      </c>
      <c r="D63" s="20"/>
      <c r="E63" s="20"/>
      <c r="F63" s="20"/>
      <c r="G63" s="20"/>
      <c r="H63" s="20"/>
      <c r="I63" s="20"/>
      <c r="J63" s="20"/>
      <c r="K63" s="20"/>
      <c r="L63" s="20"/>
      <c r="M63" s="20"/>
      <c r="N63" s="20"/>
      <c r="O63" s="20"/>
      <c r="P63" s="20"/>
      <c r="Q63" s="20"/>
      <c r="R63" s="20"/>
      <c r="S63" s="20"/>
      <c r="T63" s="20"/>
      <c r="U63" s="20"/>
      <c r="V63" s="20"/>
      <c r="W63" s="20"/>
      <c r="X63" s="20"/>
    </row>
    <row r="64">
      <c r="A64" s="27" t="str">
        <f>IFERROR(__xludf.DUMMYFUNCTION("""COMPUTED_VALUE"""),"https://techcombank.com/thong-tin/blog/nhung-chi-phi-khong-duoc-tru-khi-tinh-thue-tndn")</f>
        <v>https://techcombank.com/thong-tin/blog/nhung-chi-phi-khong-duoc-tru-khi-tinh-thue-tndn</v>
      </c>
      <c r="B64" s="28">
        <f>IFERROR(__xludf.DUMMYFUNCTION("""COMPUTED_VALUE"""),9.0)</f>
        <v>9</v>
      </c>
      <c r="C64" s="20" t="str">
        <f>IFERROR(__xludf.DUMMYFUNCTION("IF(A64="""","""",TEXTJOIN(CHAR(10),TRUE,FILTER('Tổng hợp 75 trang đích'!$B$2:$B$3400,'Tổng hợp 75 trang đích'!$I$2:$I$3400=A64)))"),"https://techcombank.com/thong-tin/blog/nop-thue-dat-qua-ngan-hang
https://techcombank.com/thong-tin/blog/cach-nop-thue-dien-tu
https://techcombank.com/thong-tin/blog/thue-thu-nhap-doanh-nghiep
https://techcombank.com/thong-tin/blog/thue-vat-la-gi
https://"&amp;"techcombank.com/thong-tin/blog/thue-doanh-nghiep
https://techcombank.com/thong-tin/blog/cach-tinh-thue-thu-nhap-doanh-nghiep
https://techcombank.com/thong-tin/blog/cach-tinh-thue-thu-nhap-ca-nhan-2025
https://techcombank.com/thong-tin/blog/ho-kinh-doanh-d"&amp;"ong-thue-nhu-nao
https://techcombank.com/thong-tin/blog/app-vay-tien-nhanh")</f>
        <v>https://techcombank.com/thong-tin/blog/nop-thue-dat-qua-ngan-hang
https://techcombank.com/thong-tin/blog/cach-nop-thue-dien-tu
https://techcombank.com/thong-tin/blog/thue-thu-nhap-doanh-nghiep
https://techcombank.com/thong-tin/blog/thue-vat-la-gi
https://techcombank.com/thong-tin/blog/thue-doanh-nghiep
https://techcombank.com/thong-tin/blog/cach-tinh-thue-thu-nhap-doanh-nghiep
https://techcombank.com/thong-tin/blog/cach-tinh-thue-thu-nhap-ca-nhan-2025
https://techcombank.com/thong-tin/blog/ho-kinh-doanh-dong-thue-nhu-nao
https://techcombank.com/thong-tin/blog/app-vay-tien-nhanh</v>
      </c>
      <c r="D64" s="20"/>
      <c r="E64" s="20"/>
      <c r="F64" s="20"/>
      <c r="G64" s="20"/>
      <c r="H64" s="20"/>
      <c r="I64" s="20"/>
      <c r="J64" s="20"/>
      <c r="K64" s="20"/>
      <c r="L64" s="20"/>
      <c r="M64" s="20"/>
      <c r="N64" s="20"/>
      <c r="O64" s="20"/>
      <c r="P64" s="20"/>
      <c r="Q64" s="20"/>
      <c r="R64" s="20"/>
      <c r="S64" s="20"/>
      <c r="T64" s="20"/>
      <c r="U64" s="20"/>
      <c r="V64" s="20"/>
      <c r="W64" s="20"/>
      <c r="X64" s="20"/>
    </row>
    <row r="65">
      <c r="A65" s="27" t="str">
        <f>IFERROR(__xludf.DUMMYFUNCTION("""COMPUTED_VALUE"""),"https://techcombank.com/thong-tin/blog/quy-trinh-tat-toan-khoan-vay-the-chap")</f>
        <v>https://techcombank.com/thong-tin/blog/quy-trinh-tat-toan-khoan-vay-the-chap</v>
      </c>
      <c r="B65" s="28">
        <f>IFERROR(__xludf.DUMMYFUNCTION("""COMPUTED_VALUE"""),9.0)</f>
        <v>9</v>
      </c>
      <c r="C65" s="20" t="str">
        <f>IFERROR(__xludf.DUMMYFUNCTION("IF(A65="""","""",TEXTJOIN(CHAR(10),TRUE,FILTER('Tổng hợp 75 trang đích'!$B$2:$B$3400,'Tổng hợp 75 trang đích'!$I$2:$I$3400=A65)))"),"https://techcombank.com/thong-tin/blog/cach-tinh-lai-vay-ngan-hang
https://techcombank.com/thong-tin/blog/lai-suat-vay-the-chap-so-do
https://techcombank.com/thong-tin/blog/ho-so-thu-tuc-xoa-the-chap
https://techcombank.com/thong-tin/blog/lai-suat-tiet-ki"&amp;"em
https://techcombank.com/thong-tin/blog/rut-tien-tiet-kiem-truoc-thoi-han
https://techcombank.com/thong-tin/blog/rui-ro-khi-gui-tiet-kiem-online
https://techcombank.com/cong-cu-tien-ich/cong-cu-tinh-toan/bang-tinh-lai-suat-vay
https://techcombank.com/th"&amp;"ong-tin/blog/app-vay-tien-nhanh
https://techcombank.com/thong-tin/blog/lai-suat-vay-ngan-hang")</f>
        <v>https://techcombank.com/thong-tin/blog/cach-tinh-lai-vay-ngan-hang
https://techcombank.com/thong-tin/blog/lai-suat-vay-the-chap-so-do
https://techcombank.com/thong-tin/blog/ho-so-thu-tuc-xoa-the-chap
https://techcombank.com/thong-tin/blog/lai-suat-tiet-kiem
https://techcombank.com/thong-tin/blog/rut-tien-tiet-kiem-truoc-thoi-han
https://techcombank.com/thong-tin/blog/rui-ro-khi-gui-tiet-kiem-online
https://techcombank.com/cong-cu-tien-ich/cong-cu-tinh-toan/bang-tinh-lai-suat-vay
https://techcombank.com/thong-tin/blog/app-vay-tien-nhanh
https://techcombank.com/thong-tin/blog/lai-suat-vay-ngan-hang</v>
      </c>
      <c r="D65" s="20"/>
      <c r="E65" s="20"/>
      <c r="F65" s="20"/>
      <c r="G65" s="20"/>
      <c r="H65" s="20"/>
      <c r="I65" s="20"/>
      <c r="J65" s="20"/>
      <c r="K65" s="20"/>
      <c r="L65" s="20"/>
      <c r="M65" s="20"/>
      <c r="N65" s="20"/>
      <c r="O65" s="20"/>
      <c r="P65" s="20"/>
      <c r="Q65" s="20"/>
      <c r="R65" s="20"/>
      <c r="S65" s="20"/>
      <c r="T65" s="20"/>
      <c r="U65" s="20"/>
      <c r="V65" s="20"/>
      <c r="W65" s="20"/>
      <c r="X65" s="20"/>
    </row>
    <row r="66">
      <c r="A66" s="27" t="str">
        <f>IFERROR(__xludf.DUMMYFUNCTION("""COMPUTED_VALUE"""),"https://techcombank.com/thong-tin/blog/the-ghi-no-va-the-tin-dung")</f>
        <v>https://techcombank.com/thong-tin/blog/the-ghi-no-va-the-tin-dung</v>
      </c>
      <c r="B66" s="28">
        <f>IFERROR(__xludf.DUMMYFUNCTION("""COMPUTED_VALUE"""),9.0)</f>
        <v>9</v>
      </c>
      <c r="C66" s="20" t="str">
        <f>IFERROR(__xludf.DUMMYFUNCTION("IF(A66="""","""",TEXTJOIN(CHAR(10),TRUE,FILTER('Tổng hợp 75 trang đích'!$B$2:$B$3400,'Tổng hợp 75 trang đích'!$I$2:$I$3400=A66)))"),"https://techcombank.com/thong-tin/blog/eco-card
https://techcombank.com/khach-hang-ca-nhan/chi-tieu/the/the-tin-dung/techcombank-everyday
https://techcombank.com/thong-tin/blog/the-tin-dung-hoan-tien
https://techcombank.com/thong-tin/blog/cach-huy-the-tin"&amp;"-dung
https://techcombank.com/thong-tin/blog/cach-thanh-toan-the-tin-dung
https://techcombank.com/thong-tin/blog/lai-suat-tiet-kiem
https://techcombank.com/thong-tin/blog/cach-tinh-lai-suat-tien-gui-tiet-kiem
https://techcombank.com/cong-cu-tien-ich/cong-"&amp;"cu-tinh-toan/bang-tinh-lai-suat-vay
https://techcombank.com/thong-tin/blog/app-vay-tien-nhanh")</f>
        <v>https://techcombank.com/thong-tin/blog/eco-card
https://techcombank.com/khach-hang-ca-nhan/chi-tieu/the/the-tin-dung/techcombank-everyday
https://techcombank.com/thong-tin/blog/the-tin-dung-hoan-tien
https://techcombank.com/thong-tin/blog/cach-huy-the-tin-dung
https://techcombank.com/thong-tin/blog/cach-thanh-toan-the-tin-dung
https://techcombank.com/thong-tin/blog/lai-suat-tiet-kiem
https://techcombank.com/thong-tin/blog/cach-tinh-lai-suat-tien-gui-tiet-kiem
https://techcombank.com/cong-cu-tien-ich/cong-cu-tinh-toan/bang-tinh-lai-suat-vay
https://techcombank.com/thong-tin/blog/app-vay-tien-nhanh</v>
      </c>
      <c r="D66" s="20"/>
      <c r="E66" s="20"/>
      <c r="F66" s="20"/>
      <c r="G66" s="20"/>
      <c r="H66" s="20"/>
      <c r="I66" s="20"/>
      <c r="J66" s="20"/>
      <c r="K66" s="20"/>
      <c r="L66" s="20"/>
      <c r="M66" s="20"/>
      <c r="N66" s="20"/>
      <c r="O66" s="20"/>
      <c r="P66" s="20"/>
      <c r="Q66" s="20"/>
      <c r="R66" s="20"/>
      <c r="S66" s="20"/>
      <c r="T66" s="20"/>
      <c r="U66" s="20"/>
      <c r="V66" s="20"/>
      <c r="W66" s="20"/>
      <c r="X66" s="20"/>
    </row>
    <row r="67">
      <c r="A67" s="27" t="str">
        <f>IFERROR(__xludf.DUMMYFUNCTION("""COMPUTED_VALUE"""),"https://techcombank.com/thong-tin/blog/the-tin-dung-phu-la-gi")</f>
        <v>https://techcombank.com/thong-tin/blog/the-tin-dung-phu-la-gi</v>
      </c>
      <c r="B67" s="28">
        <f>IFERROR(__xludf.DUMMYFUNCTION("""COMPUTED_VALUE"""),9.0)</f>
        <v>9</v>
      </c>
      <c r="C67" s="20" t="str">
        <f>IFERROR(__xludf.DUMMYFUNCTION("IF(A67="""","""",TEXTJOIN(CHAR(10),TRUE,FILTER('Tổng hợp 75 trang đích'!$B$2:$B$3400,'Tổng hợp 75 trang đích'!$I$2:$I$3400=A67)))"),"https://techcombank.com/thong-tin/blog/rut-tien-mat-tu-the-tin-dung
https://techcombank.com/thong-tin/blog/lam-the-tin-dung
https://techcombank.com/thong-tin/blog/cach-tinh-lai-vay-ngan-hang
https://techcombank.com/thong-tin/blog/lai-suat-tiet-kiem
https:"&amp;"//techcombank.com/thong-tin/blog/cach-tinh-lai-suat-tien-gui-tiet-kiem
https://techcombank.com/thong-tin/blog/app-vay-tien-nhanh
https://techcombank.com/thong-tin/blog/lai-suat-vay-ngan-hang
https://techcombank.com/thong-tin/blog/kiem-tra-no-xau
https://t"&amp;"echcombank.com/thong-tin/blog/no-xau-la-gi")</f>
        <v>https://techcombank.com/thong-tin/blog/rut-tien-mat-tu-the-tin-dung
https://techcombank.com/thong-tin/blog/lam-the-tin-dung
https://techcombank.com/thong-tin/blog/cach-tinh-lai-vay-ngan-hang
https://techcombank.com/thong-tin/blog/lai-suat-tiet-kiem
https://techcombank.com/thong-tin/blog/cach-tinh-lai-suat-tien-gui-tiet-kiem
https://techcombank.com/thong-tin/blog/app-vay-tien-nhanh
https://techcombank.com/thong-tin/blog/lai-suat-vay-ngan-hang
https://techcombank.com/thong-tin/blog/kiem-tra-no-xau
https://techcombank.com/thong-tin/blog/no-xau-la-gi</v>
      </c>
      <c r="D67" s="20"/>
      <c r="E67" s="20"/>
      <c r="F67" s="20"/>
      <c r="G67" s="20"/>
      <c r="H67" s="20"/>
      <c r="I67" s="20"/>
      <c r="J67" s="20"/>
      <c r="K67" s="20"/>
      <c r="L67" s="20"/>
      <c r="M67" s="20"/>
      <c r="N67" s="20"/>
      <c r="O67" s="20"/>
      <c r="P67" s="20"/>
      <c r="Q67" s="20"/>
      <c r="R67" s="20"/>
      <c r="S67" s="20"/>
      <c r="T67" s="20"/>
      <c r="U67" s="20"/>
      <c r="V67" s="20"/>
      <c r="W67" s="20"/>
      <c r="X67" s="20"/>
    </row>
    <row r="68">
      <c r="A68" s="27" t="str">
        <f>IFERROR(__xludf.DUMMYFUNCTION("""COMPUTED_VALUE"""),"https://techcombank.com/thong-tin/blog/thu-tuc-mua-xe-tra-gop")</f>
        <v>https://techcombank.com/thong-tin/blog/thu-tuc-mua-xe-tra-gop</v>
      </c>
      <c r="B68" s="28">
        <f>IFERROR(__xludf.DUMMYFUNCTION("""COMPUTED_VALUE"""),9.0)</f>
        <v>9</v>
      </c>
      <c r="C68" s="20" t="str">
        <f>IFERROR(__xludf.DUMMYFUNCTION("IF(A68="""","""",TEXTJOIN(CHAR(10),TRUE,FILTER('Tổng hợp 75 trang đích'!$B$2:$B$3400,'Tổng hợp 75 trang đích'!$I$2:$I$3400=A68)))"),"https://techcombank.com/thong-tin/blog/lai-suat-vay-mua-o-to
https://techcombank.com/thong-tin/blog/vay-ngan-hang-1-ty-moi-thang-tra-bao-nhieu
https://techcombank.com/thong-tin/blog/cach-tinh-lai-vay-ngan-hang
https://techcombank.com/thong-tin/blog/ho-so-"&amp;"thu-tuc-xoa-the-chap
https://techcombank.com/thong-tin/blog/cach-tinh-lai-suat-tien-gui-tiet-kiem
https://techcombank.com/cong-cu-tien-ich/cong-cu-tinh-toan/bang-tinh-lai-suat-vay
https://techcombank.com/thong-tin/blog/app-vay-tien-nhanh
https://techcomba"&amp;"nk.com/thong-tin/blog/lai-suat-vay-ngan-hang
https://techcombank.com/thong-tin/blog/vay-thau-chi-la-gi")</f>
        <v>https://techcombank.com/thong-tin/blog/lai-suat-vay-mua-o-to
https://techcombank.com/thong-tin/blog/vay-ngan-hang-1-ty-moi-thang-tra-bao-nhieu
https://techcombank.com/thong-tin/blog/cach-tinh-lai-vay-ngan-hang
https://techcombank.com/thong-tin/blog/ho-so-thu-tuc-xoa-the-chap
https://techcombank.com/thong-tin/blog/cach-tinh-lai-suat-tien-gui-tiet-kiem
https://techcombank.com/cong-cu-tien-ich/cong-cu-tinh-toan/bang-tinh-lai-suat-vay
https://techcombank.com/thong-tin/blog/app-vay-tien-nhanh
https://techcombank.com/thong-tin/blog/lai-suat-vay-ngan-hang
https://techcombank.com/thong-tin/blog/vay-thau-chi-la-gi</v>
      </c>
      <c r="D68" s="20"/>
      <c r="E68" s="20"/>
      <c r="F68" s="20"/>
      <c r="G68" s="20"/>
      <c r="H68" s="20"/>
      <c r="I68" s="20"/>
      <c r="J68" s="20"/>
      <c r="K68" s="20"/>
      <c r="L68" s="20"/>
      <c r="M68" s="20"/>
      <c r="N68" s="20"/>
      <c r="O68" s="20"/>
      <c r="P68" s="20"/>
      <c r="Q68" s="20"/>
      <c r="R68" s="20"/>
      <c r="S68" s="20"/>
      <c r="T68" s="20"/>
      <c r="U68" s="20"/>
      <c r="V68" s="20"/>
      <c r="W68" s="20"/>
      <c r="X68" s="20"/>
    </row>
    <row r="69">
      <c r="A69" s="27" t="str">
        <f>IFERROR(__xludf.DUMMYFUNCTION("""COMPUTED_VALUE"""),"https://techcombank.com/thong-tin/blog/thu-tuc-vay-von-kinh-doanh-nho")</f>
        <v>https://techcombank.com/thong-tin/blog/thu-tuc-vay-von-kinh-doanh-nho</v>
      </c>
      <c r="B69" s="28">
        <f>IFERROR(__xludf.DUMMYFUNCTION("""COMPUTED_VALUE"""),9.0)</f>
        <v>9</v>
      </c>
      <c r="C69" s="20" t="str">
        <f>IFERROR(__xludf.DUMMYFUNCTION("IF(A69="""","""",TEXTJOIN(CHAR(10),TRUE,FILTER('Tổng hợp 75 trang đích'!$B$2:$B$3400,'Tổng hợp 75 trang đích'!$I$2:$I$3400=A69)))"),"https://techcombank.com/thong-tin/blog/ho-kinh-doanh-dong-thue-nhu-nao
https://techcombank.com/thong-tin/blog/mo-tai-khoan-ho-kinh-doanh
https://techcombank.com/thong-tin/blog/lai-suat-vay-the-chap-so-do
https://techcombank.com/thong-tin/blog/ho-so-thu-tu"&amp;"c-xoa-the-chap
https://techcombank.com/thong-tin/blog/lai-suat-tiet-kiem
https://techcombank.com/cong-cu-tien-ich/cong-cu-tinh-toan/bang-tinh-lai-suat-vay
https://techcombank.com/thong-tin/blog/app-vay-tien-nhanh
https://techcombank.com/thong-tin/blog/lai"&amp;"-suat-vay-ngan-hang
https://techcombank.com/thong-tin/blog/vay-tin-chap-khong-tra-duoc-co-sao-khong")</f>
        <v>https://techcombank.com/thong-tin/blog/ho-kinh-doanh-dong-thue-nhu-nao
https://techcombank.com/thong-tin/blog/mo-tai-khoan-ho-kinh-doanh
https://techcombank.com/thong-tin/blog/lai-suat-vay-the-chap-so-do
https://techcombank.com/thong-tin/blog/ho-so-thu-tuc-xoa-the-chap
https://techcombank.com/thong-tin/blog/lai-suat-tiet-kiem
https://techcombank.com/cong-cu-tien-ich/cong-cu-tinh-toan/bang-tinh-lai-suat-vay
https://techcombank.com/thong-tin/blog/app-vay-tien-nhanh
https://techcombank.com/thong-tin/blog/lai-suat-vay-ngan-hang
https://techcombank.com/thong-tin/blog/vay-tin-chap-khong-tra-duoc-co-sao-khong</v>
      </c>
      <c r="D69" s="20"/>
      <c r="E69" s="20"/>
      <c r="F69" s="20"/>
      <c r="G69" s="20"/>
      <c r="H69" s="20"/>
      <c r="I69" s="20"/>
      <c r="J69" s="20"/>
      <c r="K69" s="20"/>
      <c r="L69" s="20"/>
      <c r="M69" s="20"/>
      <c r="N69" s="20"/>
      <c r="O69" s="20"/>
      <c r="P69" s="20"/>
      <c r="Q69" s="20"/>
      <c r="R69" s="20"/>
      <c r="S69" s="20"/>
      <c r="T69" s="20"/>
      <c r="U69" s="20"/>
      <c r="V69" s="20"/>
      <c r="W69" s="20"/>
      <c r="X69" s="20"/>
    </row>
    <row r="70">
      <c r="A70" s="27" t="str">
        <f>IFERROR(__xludf.DUMMYFUNCTION("""COMPUTED_VALUE"""),"https://techcombank.com/thong-tin/blog/tiem-nang-chuyen-doi-tu-ho-kinh-doanh-len-doanh-nghiep-sme")</f>
        <v>https://techcombank.com/thong-tin/blog/tiem-nang-chuyen-doi-tu-ho-kinh-doanh-len-doanh-nghiep-sme</v>
      </c>
      <c r="B70" s="28">
        <f>IFERROR(__xludf.DUMMYFUNCTION("""COMPUTED_VALUE"""),9.0)</f>
        <v>9</v>
      </c>
      <c r="C70" s="20" t="str">
        <f>IFERROR(__xludf.DUMMYFUNCTION("IF(A70="""","""",TEXTJOIN(CHAR(10),TRUE,FILTER('Tổng hợp 75 trang đích'!$B$2:$B$3400,'Tổng hợp 75 trang đích'!$I$2:$I$3400=A70)))"),"https://techcombank.com/thong-tin/blog/nop-thue-dat-qua-ngan-hang
https://techcombank.com/thong-tin/blog/thue-thu-nhap-doanh-nghiep
https://techcombank.com/thong-tin/blog/cach-tinh-thue-thu-nhap-doanh-nghiep
https://techcombank.com/thong-tin/blog/cach-tin"&amp;"h-thue-thu-nhap-ca-nhan-2025
https://techcombank.com/thong-tin/blog/ho-kinh-doanh-dong-thue-nhu-nao
https://techcombank.com/thong-tin/blog/mo-hinh-kinh-doanh-la-gi
https://techcombank.com/thong-tin/blog/mo-tai-khoan-ho-kinh-doanh
https://techcombank.com/t"&amp;"hong-tin/blog/cach-tinh-thue-ho-kinh-doanh-nho-le
https://techcombank.com/thong-tin/blog/app-vay-tien-nhanh")</f>
        <v>https://techcombank.com/thong-tin/blog/nop-thue-dat-qua-ngan-hang
https://techcombank.com/thong-tin/blog/thue-thu-nhap-doanh-nghiep
https://techcombank.com/thong-tin/blog/cach-tinh-thue-thu-nhap-doanh-nghiep
https://techcombank.com/thong-tin/blog/cach-tinh-thue-thu-nhap-ca-nhan-2025
https://techcombank.com/thong-tin/blog/ho-kinh-doanh-dong-thue-nhu-nao
https://techcombank.com/thong-tin/blog/mo-hinh-kinh-doanh-la-gi
https://techcombank.com/thong-tin/blog/mo-tai-khoan-ho-kinh-doanh
https://techcombank.com/thong-tin/blog/cach-tinh-thue-ho-kinh-doanh-nho-le
https://techcombank.com/thong-tin/blog/app-vay-tien-nhanh</v>
      </c>
      <c r="D70" s="20"/>
      <c r="E70" s="20"/>
      <c r="F70" s="20"/>
      <c r="G70" s="20"/>
      <c r="H70" s="20"/>
      <c r="I70" s="20"/>
      <c r="J70" s="20"/>
      <c r="K70" s="20"/>
      <c r="L70" s="20"/>
      <c r="M70" s="20"/>
      <c r="N70" s="20"/>
      <c r="O70" s="20"/>
      <c r="P70" s="20"/>
      <c r="Q70" s="20"/>
      <c r="R70" s="20"/>
      <c r="S70" s="20"/>
      <c r="T70" s="20"/>
      <c r="U70" s="20"/>
      <c r="V70" s="20"/>
      <c r="W70" s="20"/>
      <c r="X70" s="20"/>
    </row>
    <row r="71">
      <c r="A71" s="27" t="str">
        <f>IFERROR(__xludf.DUMMYFUNCTION("""COMPUTED_VALUE"""),"https://techcombank.com/thong-tin/blog/tien-dai-loan")</f>
        <v>https://techcombank.com/thong-tin/blog/tien-dai-loan</v>
      </c>
      <c r="B71" s="28">
        <f>IFERROR(__xludf.DUMMYFUNCTION("""COMPUTED_VALUE"""),9.0)</f>
        <v>9</v>
      </c>
      <c r="C71" s="20" t="str">
        <f>IFERROR(__xludf.DUMMYFUNCTION("IF(A71="""","""",TEXTJOIN(CHAR(10),TRUE,FILTER('Tổng hợp 75 trang đích'!$B$2:$B$3400,'Tổng hợp 75 trang đích'!$I$2:$I$3400=A71)))"),"https://techcombank.com/thong-tin/blog/thue-thu-nhap-doanh-nghiep
https://techcombank.com/thong-tin/blog/1-te-bang-bao-nhieu-tien-viet-nam
https://techcombank.com/thong-tin/blog/1-dong-do-la-my-bang-bao-nhieu-tien-viet-nam
https://techcombank.com/thong-ti"&amp;"n/blog/tien-nhat
https://techcombank.com/thong-tin/blog/1-yen-bang-bao-nhieu-tien-viet-nam
https://techcombank.com/thong-tin/blog/1-won-bang-bao-nhieu-tien-viet
https://techcombank.com/thong-tin/blog/1-man-bang-bao-nhieu-tien-viet
https://techcombank.com/"&amp;"thong-tin/blog/1-trieu-do-bang-bao-nhieu-tien-viet
https://techcombank.com/thong-tin/blog/1000-won-bang-bao-nhieu-tien-viet")</f>
        <v>https://techcombank.com/thong-tin/blog/thue-thu-nhap-doanh-nghiep
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https://techcombank.com/thong-tin/blog/1-man-bang-bao-nhieu-tien-viet
https://techcombank.com/thong-tin/blog/1-trieu-do-bang-bao-nhieu-tien-viet
https://techcombank.com/thong-tin/blog/1000-won-bang-bao-nhieu-tien-viet</v>
      </c>
      <c r="D71" s="20"/>
      <c r="E71" s="20"/>
      <c r="F71" s="20"/>
      <c r="G71" s="20"/>
      <c r="H71" s="20"/>
      <c r="I71" s="20"/>
      <c r="J71" s="20"/>
      <c r="K71" s="20"/>
      <c r="L71" s="20"/>
      <c r="M71" s="20"/>
      <c r="N71" s="20"/>
      <c r="O71" s="20"/>
      <c r="P71" s="20"/>
      <c r="Q71" s="20"/>
      <c r="R71" s="20"/>
      <c r="S71" s="20"/>
      <c r="T71" s="20"/>
      <c r="U71" s="20"/>
      <c r="V71" s="20"/>
      <c r="W71" s="20"/>
      <c r="X71" s="20"/>
    </row>
    <row r="72">
      <c r="A72" s="27" t="str">
        <f>IFERROR(__xludf.DUMMYFUNCTION("""COMPUTED_VALUE"""),"https://techcombank.com/thong-tin/blog/tien-indonesia")</f>
        <v>https://techcombank.com/thong-tin/blog/tien-indonesia</v>
      </c>
      <c r="B72" s="28">
        <f>IFERROR(__xludf.DUMMYFUNCTION("""COMPUTED_VALUE"""),9.0)</f>
        <v>9</v>
      </c>
      <c r="C72" s="20" t="str">
        <f>IFERROR(__xludf.DUMMYFUNCTION("IF(A72="""","""",TEXTJOIN(CHAR(10),TRUE,FILTER('Tổng hợp 75 trang đích'!$B$2:$B$3400,'Tổng hợp 75 trang đích'!$I$2:$I$3400=A72)))"),"https://techcombank.com/thong-tin/blog/1-te-bang-bao-nhieu-tien-viet-nam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https://techcombank.com/thong-tin/blog/1-trieu-do-bang-bao-nhieu-tien-viet
https://techcombank.com/thong-ti"&amp;"n/blog/1000-won-bang-bao-nhieu-tien-viet
https://techcombank.com/thong-tin/blog/doi-tien-do-o-dau")</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https://techcombank.com/thong-tin/blog/1-trieu-do-bang-bao-nhieu-tien-viet
https://techcombank.com/thong-tin/blog/1000-won-bang-bao-nhieu-tien-viet
https://techcombank.com/thong-tin/blog/doi-tien-do-o-dau</v>
      </c>
      <c r="D72" s="20"/>
      <c r="E72" s="20"/>
      <c r="F72" s="20"/>
      <c r="G72" s="20"/>
      <c r="H72" s="20"/>
      <c r="I72" s="20"/>
      <c r="J72" s="20"/>
      <c r="K72" s="20"/>
      <c r="L72" s="20"/>
      <c r="M72" s="20"/>
      <c r="N72" s="20"/>
      <c r="O72" s="20"/>
      <c r="P72" s="20"/>
      <c r="Q72" s="20"/>
      <c r="R72" s="20"/>
      <c r="S72" s="20"/>
      <c r="T72" s="20"/>
      <c r="U72" s="20"/>
      <c r="V72" s="20"/>
      <c r="W72" s="20"/>
      <c r="X72" s="20"/>
    </row>
    <row r="73">
      <c r="A73" s="27" t="str">
        <f>IFERROR(__xludf.DUMMYFUNCTION("""COMPUTED_VALUE"""),"https://techcombank.com/thong-tin/blog/tien-nhan-roi-nen-lam-gi")</f>
        <v>https://techcombank.com/thong-tin/blog/tien-nhan-roi-nen-lam-gi</v>
      </c>
      <c r="B73" s="28">
        <f>IFERROR(__xludf.DUMMYFUNCTION("""COMPUTED_VALUE"""),9.0)</f>
        <v>9</v>
      </c>
      <c r="C73" s="20" t="str">
        <f>IFERROR(__xludf.DUMMYFUNCTION("IF(A73="""","""",TEXTJOIN(CHAR(10),TRUE,FILTER('Tổng hợp 75 trang đích'!$B$2:$B$3400,'Tổng hợp 75 trang đích'!$I$2:$I$3400=A73)))"),"https://techcombank.com/thong-tin/blog/cic-la-gi
https://techcombank.com/thong-tin/blog/chung-chi-tien-gui-la-gi
https://techcombank.com/thong-tin/blog/lai-suat-chung-chi-tien-gui-cac-ngan-hang
https://techcombank.com/thong-tin/blog/lai-suat-tiet-kiem
htt"&amp;"ps://techcombank.com/thong-tin/blog/cach-tinh-lai-suat-tien-gui-tiet-kiem
https://techcombank.com/thong-tin/blog/rui-ro-khi-gui-tiet-kiem-online
https://techcombank.com/cong-cu-tien-ich/cong-cu-tinh-toan/bang-tinh-lai-suat-vay
https://techcombank.com/cong"&amp;"-cu-tien-ich/cong-cu-tinh-toan/bang-tinh-lai-suat-tiet-kiem
https://techcombank.com/thong-tin/blog/phuong-phap-dau-tu-chung-chi-quy")</f>
        <v>https://techcombank.com/thong-tin/blog/cic-la-gi
https://techcombank.com/thong-tin/blog/chung-chi-tien-gui-la-gi
https://techcombank.com/thong-tin/blog/lai-suat-chung-chi-tien-gui-cac-ngan-hang
https://techcombank.com/thong-tin/blog/lai-suat-tiet-kiem
https://techcombank.com/thong-tin/blog/cach-tinh-lai-suat-tien-gui-tiet-kiem
https://techcombank.com/thong-tin/blog/rui-ro-khi-gui-tiet-kiem-online
https://techcombank.com/cong-cu-tien-ich/cong-cu-tinh-toan/bang-tinh-lai-suat-vay
https://techcombank.com/cong-cu-tien-ich/cong-cu-tinh-toan/bang-tinh-lai-suat-tiet-kiem
https://techcombank.com/thong-tin/blog/phuong-phap-dau-tu-chung-chi-quy</v>
      </c>
      <c r="D73" s="20"/>
      <c r="E73" s="20"/>
      <c r="F73" s="20"/>
      <c r="G73" s="20"/>
      <c r="H73" s="20"/>
      <c r="I73" s="20"/>
      <c r="J73" s="20"/>
      <c r="K73" s="20"/>
      <c r="L73" s="20"/>
      <c r="M73" s="20"/>
      <c r="N73" s="20"/>
      <c r="O73" s="20"/>
      <c r="P73" s="20"/>
      <c r="Q73" s="20"/>
      <c r="R73" s="20"/>
      <c r="S73" s="20"/>
      <c r="T73" s="20"/>
      <c r="U73" s="20"/>
      <c r="V73" s="20"/>
      <c r="W73" s="20"/>
      <c r="X73" s="20"/>
    </row>
    <row r="74">
      <c r="A74" s="27" t="str">
        <f>IFERROR(__xludf.DUMMYFUNCTION("""COMPUTED_VALUE"""),"https://techcombank.com/thong-tin/blog/tim-hieu-ve-chinh-sach-thue-moi")</f>
        <v>https://techcombank.com/thong-tin/blog/tim-hieu-ve-chinh-sach-thue-moi</v>
      </c>
      <c r="B74" s="28">
        <f>IFERROR(__xludf.DUMMYFUNCTION("""COMPUTED_VALUE"""),9.0)</f>
        <v>9</v>
      </c>
      <c r="C74" s="20" t="str">
        <f>IFERROR(__xludf.DUMMYFUNCTION("IF(A74="""","""",TEXTJOIN(CHAR(10),TRUE,FILTER('Tổng hợp 75 trang đích'!$B$2:$B$3400,'Tổng hợp 75 trang đích'!$I$2:$I$3400=A74)))"),"https://techcombank.com/thong-tin/blog/nop-thue-dat-qua-ngan-hang
https://techcombank.com/thong-tin/blog/cach-nop-thue-dien-tu
https://techcombank.com/thong-tin/blog/thue-thu-nhap-doanh-nghiep
https://techcombank.com/thong-tin/blog/tra-cuu-no-thue-doanh-n"&amp;"ghiep
https://techcombank.com/thong-tin/blog/thue-doanh-nghiep
https://techcombank.com/thong-tin/blog/cach-tinh-thue-thu-nhap-doanh-nghiep
https://techcombank.com/thong-tin/blog/cach-tinh-thue-thu-nhap-ca-nhan-2025
https://techcombank.com/thong-tin/blog/t"&amp;"hue-thu-nhap-ca-nhan
https://techcombank.com/thong-tin/blog/mo-hinh-kinh-doanh-la-gi")</f>
        <v>https://techcombank.com/thong-tin/blog/nop-thue-dat-qua-ngan-hang
https://techcombank.com/thong-tin/blog/cach-nop-thue-dien-tu
https://techcombank.com/thong-tin/blog/thue-thu-nhap-doanh-nghiep
https://techcombank.com/thong-tin/blog/tra-cuu-no-thue-doanh-nghiep
https://techcombank.com/thong-tin/blog/thue-doanh-nghiep
https://techcombank.com/thong-tin/blog/cach-tinh-thue-thu-nhap-doanh-nghiep
https://techcombank.com/thong-tin/blog/cach-tinh-thue-thu-nhap-ca-nhan-2025
https://techcombank.com/thong-tin/blog/thue-thu-nhap-ca-nhan
https://techcombank.com/thong-tin/blog/mo-hinh-kinh-doanh-la-gi</v>
      </c>
      <c r="D74" s="20"/>
      <c r="E74" s="20"/>
      <c r="F74" s="20"/>
      <c r="G74" s="20"/>
      <c r="H74" s="20"/>
      <c r="I74" s="20"/>
      <c r="J74" s="20"/>
      <c r="K74" s="20"/>
      <c r="L74" s="20"/>
      <c r="M74" s="20"/>
      <c r="N74" s="20"/>
      <c r="O74" s="20"/>
      <c r="P74" s="20"/>
      <c r="Q74" s="20"/>
      <c r="R74" s="20"/>
      <c r="S74" s="20"/>
      <c r="T74" s="20"/>
      <c r="U74" s="20"/>
      <c r="V74" s="20"/>
      <c r="W74" s="20"/>
      <c r="X74" s="20"/>
    </row>
    <row r="75">
      <c r="A75" s="27" t="str">
        <f>IFERROR(__xludf.DUMMYFUNCTION("""COMPUTED_VALUE"""),"https://techcombank.com/thong-tin/blog/tra-cuu-han-muc-the-tin-dung")</f>
        <v>https://techcombank.com/thong-tin/blog/tra-cuu-han-muc-the-tin-dung</v>
      </c>
      <c r="B75" s="28">
        <f>IFERROR(__xludf.DUMMYFUNCTION("""COMPUTED_VALUE"""),9.0)</f>
        <v>9</v>
      </c>
      <c r="C75" s="20" t="str">
        <f>IFERROR(__xludf.DUMMYFUNCTION("IF(A75="""","""",TEXTJOIN(CHAR(10),TRUE,FILTER('Tổng hợp 75 trang đích'!$B$2:$B$3400,'Tổng hợp 75 trang đích'!$I$2:$I$3400=A75)))"),"https://techcombank.com/thong-tin/blog/nap-tien-vao-tai-khoan-ngan-hang
https://techcombank.com/thong-tin/blog/rut-tien-bang-ma-qr-la-gi-cach-thuc-hien-nhu-the-nao
https://techcombank.com/thong-tin/blog/cic-la-gi
https://techcombank.com/thong-tin/blog/rut"&amp;"-tien-mat-tu-the-tin-dung
https://techcombank.com/thong-tin/blog/lam-the-tin-dung
https://techcombank.com/khach-hang-ca-nhan/chi-tieu/the/the-tin-dung/techcombank-everyday
https://techcombank.com/thong-tin/blog/the-tin-dung-hoan-tien
https://techcombank.c"&amp;"om/thong-tin/blog/cach-huy-the-tin-dung
https://techcombank.com/thong-tin/blog/cach-thanh-toan-the-tin-dung")</f>
        <v>https://techcombank.com/thong-tin/blog/nap-tien-vao-tai-khoan-ngan-hang
https://techcombank.com/thong-tin/blog/rut-tien-bang-ma-qr-la-gi-cach-thuc-hien-nhu-the-nao
https://techcombank.com/thong-tin/blog/cic-la-gi
https://techcombank.com/thong-tin/blog/rut-tien-mat-tu-the-tin-dung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75" s="20"/>
      <c r="E75" s="20"/>
      <c r="F75" s="20"/>
      <c r="G75" s="20"/>
      <c r="H75" s="20"/>
      <c r="I75" s="20"/>
      <c r="J75" s="20"/>
      <c r="K75" s="20"/>
      <c r="L75" s="20"/>
      <c r="M75" s="20"/>
      <c r="N75" s="20"/>
      <c r="O75" s="20"/>
      <c r="P75" s="20"/>
      <c r="Q75" s="20"/>
      <c r="R75" s="20"/>
      <c r="S75" s="20"/>
      <c r="T75" s="20"/>
      <c r="U75" s="20"/>
      <c r="V75" s="20"/>
      <c r="W75" s="20"/>
      <c r="X75" s="20"/>
    </row>
    <row r="76">
      <c r="A76" s="27" t="str">
        <f>IFERROR(__xludf.DUMMYFUNCTION("""COMPUTED_VALUE"""),"https://techcombank.com/thong-tin/blog/tra-cuu-ma-so-thue-ho-kinh-doanh")</f>
        <v>https://techcombank.com/thong-tin/blog/tra-cuu-ma-so-thue-ho-kinh-doanh</v>
      </c>
      <c r="B76" s="28">
        <f>IFERROR(__xludf.DUMMYFUNCTION("""COMPUTED_VALUE"""),9.0)</f>
        <v>9</v>
      </c>
      <c r="C76" s="20" t="str">
        <f>IFERROR(__xludf.DUMMYFUNCTION("IF(A76="""","""",TEXTJOIN(CHAR(10),TRUE,FILTER('Tổng hợp 75 trang đích'!$B$2:$B$3400,'Tổng hợp 75 trang đích'!$I$2:$I$3400=A76)))"),"https://techcombank.com/thong-tin/blog/nop-thue-dat-qua-ngan-hang
https://techcombank.com/thong-tin/blog/cach-nop-thue-dien-tu
https://techcombank.com/thong-tin/blog/tra-cuu-no-thue-doanh-nghiep
https://techcombank.com/thong-tin/blog/kiem-tra-thue-thu-nha"&amp;"p-ca-nhan
https://techcombank.com/thong-tin/blog/cic-la-gi
https://techcombank.com/thong-tin/blog/ho-kinh-doanh-dong-thue-nhu-nao
https://techcombank.com/thong-tin/blog/mo-hinh-kinh-doanh-la-gi
https://techcombank.com/thong-tin/blog/mo-tai-khoan-ho-kinh-d"&amp;"oanh
https://techcombank.com/cong-cu-tien-ich/cong-cu-tinh-toan/bang-tinh-lai-suat-tiet-kiem")</f>
        <v>https://techcombank.com/thong-tin/blog/nop-thue-dat-qua-ngan-hang
https://techcombank.com/thong-tin/blog/cach-nop-thue-dien-tu
https://techcombank.com/thong-tin/blog/tra-cuu-no-thue-doanh-nghiep
https://techcombank.com/thong-tin/blog/kiem-tra-thue-thu-nhap-ca-nhan
https://techcombank.com/thong-tin/blog/cic-la-gi
https://techcombank.com/thong-tin/blog/ho-kinh-doanh-dong-thue-nhu-nao
https://techcombank.com/thong-tin/blog/mo-hinh-kinh-doanh-la-gi
https://techcombank.com/thong-tin/blog/mo-tai-khoan-ho-kinh-doanh
https://techcombank.com/cong-cu-tien-ich/cong-cu-tinh-toan/bang-tinh-lai-suat-tiet-kiem</v>
      </c>
      <c r="D76" s="20"/>
      <c r="E76" s="20"/>
      <c r="F76" s="20"/>
      <c r="G76" s="20"/>
      <c r="H76" s="20"/>
      <c r="I76" s="20"/>
      <c r="J76" s="20"/>
      <c r="K76" s="20"/>
      <c r="L76" s="20"/>
      <c r="M76" s="20"/>
      <c r="N76" s="20"/>
      <c r="O76" s="20"/>
      <c r="P76" s="20"/>
      <c r="Q76" s="20"/>
      <c r="R76" s="20"/>
      <c r="S76" s="20"/>
      <c r="T76" s="20"/>
      <c r="U76" s="20"/>
      <c r="V76" s="20"/>
      <c r="W76" s="20"/>
      <c r="X76" s="20"/>
    </row>
    <row r="77">
      <c r="A77" s="27" t="str">
        <f>IFERROR(__xludf.DUMMYFUNCTION("""COMPUTED_VALUE"""),"https://techcombank.com/thong-tin/blog/tra-luong-tien-mat")</f>
        <v>https://techcombank.com/thong-tin/blog/tra-luong-tien-mat</v>
      </c>
      <c r="B77" s="28">
        <f>IFERROR(__xludf.DUMMYFUNCTION("""COMPUTED_VALUE"""),9.0)</f>
        <v>9</v>
      </c>
      <c r="C77" s="20" t="str">
        <f>IFERROR(__xludf.DUMMYFUNCTION("IF(A77="""","""",TEXTJOIN(CHAR(10),TRUE,FILTER('Tổng hợp 75 trang đích'!$B$2:$B$3400,'Tổng hợp 75 trang đích'!$I$2:$I$3400=A77)))"),"https://techcombank.com/thong-tin/blog/thue-thu-nhap-doanh-nghiep
https://techcombank.com/thong-tin/blog/thue-vat-la-gi
https://techcombank.com/thong-tin/blog/tra-cuu-no-thue-doanh-nghiep
https://techcombank.com/thong-tin/blog/cach-tinh-thue-thu-nhap-doan"&amp;"h-nghiep
https://techcombank.com/thong-tin/blog/cach-tinh-thue-thu-nhap-ca-nhan-2025
https://techcombank.com/thong-tin/blog/kiem-tra-thue-thu-nhap-ca-nhan
https://techcombank.com/thong-tin/blog/thue-thu-nhap-ca-nhan
https://techcombank.com/thong-tin/blog/"&amp;"cic-la-gi
https://techcombank.com/thong-tin/blog/rui-ro-khi-gui-tiet-kiem-online")</f>
        <v>https://techcombank.com/thong-tin/blog/thue-thu-nhap-doanh-nghiep
https://techcombank.com/thong-tin/blog/thue-vat-la-gi
https://techcombank.com/thong-tin/blog/tra-cuu-no-thue-doanh-nghiep
https://techcombank.com/thong-tin/blog/cach-tinh-thue-thu-nhap-doanh-nghiep
https://techcombank.com/thong-tin/blog/cach-tinh-thue-thu-nhap-ca-nhan-2025
https://techcombank.com/thong-tin/blog/kiem-tra-thue-thu-nhap-ca-nhan
https://techcombank.com/thong-tin/blog/thue-thu-nhap-ca-nhan
https://techcombank.com/thong-tin/blog/cic-la-gi
https://techcombank.com/thong-tin/blog/rui-ro-khi-gui-tiet-kiem-online</v>
      </c>
      <c r="D77" s="20"/>
      <c r="E77" s="20"/>
      <c r="F77" s="20"/>
      <c r="G77" s="20"/>
      <c r="H77" s="20"/>
      <c r="I77" s="20"/>
      <c r="J77" s="20"/>
      <c r="K77" s="20"/>
      <c r="L77" s="20"/>
      <c r="M77" s="20"/>
      <c r="N77" s="20"/>
      <c r="O77" s="20"/>
      <c r="P77" s="20"/>
      <c r="Q77" s="20"/>
      <c r="R77" s="20"/>
      <c r="S77" s="20"/>
      <c r="T77" s="20"/>
      <c r="U77" s="20"/>
      <c r="V77" s="20"/>
      <c r="W77" s="20"/>
      <c r="X77" s="20"/>
    </row>
    <row r="78">
      <c r="A78" s="27" t="str">
        <f>IFERROR(__xludf.DUMMYFUNCTION("""COMPUTED_VALUE"""),"https://techcombank.com/thong-tin/blog/vay-100-trieu")</f>
        <v>https://techcombank.com/thong-tin/blog/vay-100-trieu</v>
      </c>
      <c r="B78" s="28">
        <f>IFERROR(__xludf.DUMMYFUNCTION("""COMPUTED_VALUE"""),9.0)</f>
        <v>9</v>
      </c>
      <c r="C78" s="20" t="str">
        <f>IFERROR(__xludf.DUMMYFUNCTION("IF(A78="""","""",TEXTJOIN(CHAR(10),TRUE,FILTER('Tổng hợp 75 trang đích'!$B$2:$B$3400,'Tổng hợp 75 trang đích'!$I$2:$I$3400=A78)))"),"https://techcombank.com/thong-tin/blog/lai-suat-vay-mua-o-to
https://techcombank.com/thong-tin/blog/vay-ngan-hang-1-ty-moi-thang-tra-bao-nhieu
https://techcombank.com/thong-tin/blog/cach-tinh-lai-vay-ngan-hang
https://techcombank.com/thong-tin/blog/lai-su"&amp;"at-tiet-kiem
https://techcombank.com/thong-tin/blog/cach-tinh-lai-suat-tien-gui-tiet-kiem
https://techcombank.com/cong-cu-tien-ich/cong-cu-tinh-toan/bang-tinh-lai-suat-vay
https://techcombank.com/thong-tin/blog/app-vay-tien-nhanh
https://techcombank.com/t"&amp;"hong-tin/blog/lai-suat-vay-ngan-hang
https://techcombank.com/thong-tin/blog/vay-thau-chi-la-gi")</f>
        <v>https://techcombank.com/thong-tin/blog/lai-suat-vay-mua-o-to
https://techcombank.com/thong-tin/blog/vay-ngan-hang-1-ty-moi-thang-tra-bao-nhieu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78" s="20"/>
      <c r="E78" s="20"/>
      <c r="F78" s="20"/>
      <c r="G78" s="20"/>
      <c r="H78" s="20"/>
      <c r="I78" s="20"/>
      <c r="J78" s="20"/>
      <c r="K78" s="20"/>
      <c r="L78" s="20"/>
      <c r="M78" s="20"/>
      <c r="N78" s="20"/>
      <c r="O78" s="20"/>
      <c r="P78" s="20"/>
      <c r="Q78" s="20"/>
      <c r="R78" s="20"/>
      <c r="S78" s="20"/>
      <c r="T78" s="20"/>
      <c r="U78" s="20"/>
      <c r="V78" s="20"/>
      <c r="W78" s="20"/>
      <c r="X78" s="20"/>
    </row>
    <row r="79">
      <c r="A79" s="27" t="str">
        <f>IFERROR(__xludf.DUMMYFUNCTION("""COMPUTED_VALUE"""),"https://techcombank.com/thong-tin/blog/vay-300-trieu")</f>
        <v>https://techcombank.com/thong-tin/blog/vay-300-trieu</v>
      </c>
      <c r="B79" s="28">
        <f>IFERROR(__xludf.DUMMYFUNCTION("""COMPUTED_VALUE"""),9.0)</f>
        <v>9</v>
      </c>
      <c r="C79" s="20" t="str">
        <f>IFERROR(__xludf.DUMMYFUNCTION("IF(A79="""","""",TEXTJOIN(CHAR(10),TRUE,FILTER('Tổng hợp 75 trang đích'!$B$2:$B$3400,'Tổng hợp 75 trang đích'!$I$2:$I$3400=A79)))"),"https://techcombank.com/thong-tin/blog/lai-suat-vay-mua-o-to
https://techcombank.com/thong-tin/blog/vay-ngan-hang-1-ty-moi-thang-tra-bao-nhieu
https://techcombank.com/thong-tin/blog/cach-tinh-lai-vay-ngan-hang
https://techcombank.com/thong-tin/blog/ho-so-"&amp;"thu-tuc-xoa-the-chap
https://techcombank.com/thong-tin/blog/lai-suat-tiet-kiem
https://techcombank.com/thong-tin/blog/cach-tinh-lai-suat-tien-gui-tiet-kiem
https://techcombank.com/thong-tin/blog/app-vay-tien-nhanh
https://techcombank.com/thong-tin/blog/la"&amp;"i-suat-vay-ngan-hang
https://techcombank.com/thong-tin/blog/vay-thau-chi-la-gi")</f>
        <v>https://techcombank.com/thong-tin/blog/lai-suat-vay-mua-o-to
https://techcombank.com/thong-tin/blog/vay-ngan-hang-1-ty-moi-thang-tra-bao-nhieu
https://techcombank.com/thong-tin/blog/cach-tinh-lai-vay-ngan-hang
https://techcombank.com/thong-tin/blog/ho-so-thu-tuc-xoa-the-chap
https://techcombank.com/thong-tin/blog/lai-suat-tiet-kiem
https://techcombank.com/thong-tin/blog/cach-tinh-lai-suat-tien-gui-tiet-kiem
https://techcombank.com/thong-tin/blog/app-vay-tien-nhanh
https://techcombank.com/thong-tin/blog/lai-suat-vay-ngan-hang
https://techcombank.com/thong-tin/blog/vay-thau-chi-la-gi</v>
      </c>
      <c r="D79" s="20"/>
      <c r="E79" s="20"/>
      <c r="F79" s="20"/>
      <c r="G79" s="20"/>
      <c r="H79" s="20"/>
      <c r="I79" s="20"/>
      <c r="J79" s="20"/>
      <c r="K79" s="20"/>
      <c r="L79" s="20"/>
      <c r="M79" s="20"/>
      <c r="N79" s="20"/>
      <c r="O79" s="20"/>
      <c r="P79" s="20"/>
      <c r="Q79" s="20"/>
      <c r="R79" s="20"/>
      <c r="S79" s="20"/>
      <c r="T79" s="20"/>
      <c r="U79" s="20"/>
      <c r="V79" s="20"/>
      <c r="W79" s="20"/>
      <c r="X79" s="20"/>
    </row>
    <row r="80">
      <c r="A80" s="27" t="str">
        <f>IFERROR(__xludf.DUMMYFUNCTION("""COMPUTED_VALUE"""),"https://techcombank.com/thong-tin/blog/vay-mua-xe-tra-gop-ngan-hang-nao-tot-nhat")</f>
        <v>https://techcombank.com/thong-tin/blog/vay-mua-xe-tra-gop-ngan-hang-nao-tot-nhat</v>
      </c>
      <c r="B80" s="28">
        <f>IFERROR(__xludf.DUMMYFUNCTION("""COMPUTED_VALUE"""),9.0)</f>
        <v>9</v>
      </c>
      <c r="C80" s="20" t="str">
        <f>IFERROR(__xludf.DUMMYFUNCTION("IF(A80="""","""",TEXTJOIN(CHAR(10),TRUE,FILTER('Tổng hợp 75 trang đích'!$B$2:$B$3400,'Tổng hợp 75 trang đích'!$I$2:$I$3400=A80)))"),"https://techcombank.com/thong-tin/blog/ngan-hang-uy-tin
https://techcombank.com/thong-tin/blog/vay-ngan-hang-1-ty-moi-thang-tra-bao-nhieu
https://techcombank.com/thong-tin/blog/cach-tinh-lai-vay-ngan-hang
https://techcombank.com/thong-tin/blog/lai-suat-ti"&amp;"et-kiem
https://techcombank.com/thong-tin/blog/cach-tinh-lai-suat-tien-gui-tiet-kiem
https://techcombank.com/cong-cu-tien-ich/cong-cu-tinh-toan/bang-tinh-lai-suat-vay
https://techcombank.com/thong-tin/blog/app-vay-tien-nhanh
https://techcombank.com/thong-"&amp;"tin/blog/lai-suat-vay-ngan-hang
https://techcombank.com/thong-tin/blog/vay-thau-chi-la-gi")</f>
        <v>https://techcombank.com/thong-tin/blog/ngan-hang-uy-tin
https://techcombank.com/thong-tin/blog/vay-ngan-hang-1-ty-moi-thang-tra-bao-nhieu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80" s="20"/>
      <c r="E80" s="20"/>
      <c r="F80" s="20"/>
      <c r="G80" s="20"/>
      <c r="H80" s="20"/>
      <c r="I80" s="20"/>
      <c r="J80" s="20"/>
      <c r="K80" s="20"/>
      <c r="L80" s="20"/>
      <c r="M80" s="20"/>
      <c r="N80" s="20"/>
      <c r="O80" s="20"/>
      <c r="P80" s="20"/>
      <c r="Q80" s="20"/>
      <c r="R80" s="20"/>
      <c r="S80" s="20"/>
      <c r="T80" s="20"/>
      <c r="U80" s="20"/>
      <c r="V80" s="20"/>
      <c r="W80" s="20"/>
      <c r="X80" s="20"/>
    </row>
    <row r="81">
      <c r="A81" s="27" t="str">
        <f>IFERROR(__xludf.DUMMYFUNCTION("""COMPUTED_VALUE"""),"https://techcombank.com/thong-tin/blog/vay-ngan-hang-1-ty-moi-thang-tra-bao-nhieu")</f>
        <v>https://techcombank.com/thong-tin/blog/vay-ngan-hang-1-ty-moi-thang-tra-bao-nhieu</v>
      </c>
      <c r="B81" s="28">
        <f>IFERROR(__xludf.DUMMYFUNCTION("""COMPUTED_VALUE"""),9.0)</f>
        <v>9</v>
      </c>
      <c r="C81" s="20" t="str">
        <f>IFERROR(__xludf.DUMMYFUNCTION("IF(A81="""","""",TEXTJOIN(CHAR(10),TRUE,FILTER('Tổng hợp 75 trang đích'!$B$2:$B$3400,'Tổng hợp 75 trang đích'!$I$2:$I$3400=A81)))"),"https://techcombank.com/thong-tin/blog/cic-la-gi
https://techcombank.com/thong-tin/blog/the-tin-dung-hoan-tien
https://techcombank.com/thong-tin/blog/cach-thanh-toan-the-tin-dung
https://techcombank.com/thong-tin/blog/cach-tinh-lai-vay-ngan-hang
https://t"&amp;"echcombank.com/thong-tin/blog/lai-suat-tiet-kiem
https://techcombank.com/thong-tin/blog/cach-tinh-lai-suat-tien-gui-tiet-kiem
https://techcombank.com/thong-tin/blog/app-vay-tien-nhanh
https://techcombank.com/thong-tin/blog/lai-suat-vay-ngan-hang
https://t"&amp;"echcombank.com/thong-tin/blog/kiem-tra-no-xau")</f>
        <v>https://techcombank.com/thong-tin/blog/cic-la-gi
https://techcombank.com/thong-tin/blog/the-tin-dung-hoan-tien
https://techcombank.com/thong-tin/blog/cach-thanh-toan-the-tin-dung
https://techcombank.com/thong-tin/blog/cach-tinh-lai-vay-ngan-hang
https://techcombank.com/thong-tin/blog/lai-suat-tiet-kiem
https://techcombank.com/thong-tin/blog/cach-tinh-lai-suat-tien-gui-tiet-kiem
https://techcombank.com/thong-tin/blog/app-vay-tien-nhanh
https://techcombank.com/thong-tin/blog/lai-suat-vay-ngan-hang
https://techcombank.com/thong-tin/blog/kiem-tra-no-xau</v>
      </c>
      <c r="D81" s="20"/>
      <c r="E81" s="20"/>
      <c r="F81" s="20"/>
      <c r="G81" s="20"/>
      <c r="H81" s="20"/>
      <c r="I81" s="20"/>
      <c r="J81" s="20"/>
      <c r="K81" s="20"/>
      <c r="L81" s="20"/>
      <c r="M81" s="20"/>
      <c r="N81" s="20"/>
      <c r="O81" s="20"/>
      <c r="P81" s="20"/>
      <c r="Q81" s="20"/>
      <c r="R81" s="20"/>
      <c r="S81" s="20"/>
      <c r="T81" s="20"/>
      <c r="U81" s="20"/>
      <c r="V81" s="20"/>
      <c r="W81" s="20"/>
      <c r="X81" s="20"/>
    </row>
    <row r="82">
      <c r="A82" s="27" t="str">
        <f>IFERROR(__xludf.DUMMYFUNCTION("""COMPUTED_VALUE"""),"https://techcombank.com/thong-tin/blog/vay-thau-chi-bang-so-tiet-kiem")</f>
        <v>https://techcombank.com/thong-tin/blog/vay-thau-chi-bang-so-tiet-kiem</v>
      </c>
      <c r="B82" s="28">
        <f>IFERROR(__xludf.DUMMYFUNCTION("""COMPUTED_VALUE"""),9.0)</f>
        <v>9</v>
      </c>
      <c r="C82" s="20" t="str">
        <f>IFERROR(__xludf.DUMMYFUNCTION("IF(A82="""","""",TEXTJOIN(CHAR(10),TRUE,FILTER('Tổng hợp 75 trang đích'!$B$2:$B$3400,'Tổng hợp 75 trang đích'!$I$2:$I$3400=A82)))"),"https://techcombank.com/thong-tin/blog/bao-nhieu-tuoi-duoc-mo-tai-khoan-ngan-hang
https://techcombank.com/thong-tin/blog/lai-suat-tiet-kiem
https://techcombank.com/thong-tin/blog/cach-tinh-lai-suat-tien-gui-tiet-kiem
https://techcombank.com/thong-tin/blog"&amp;"/rut-tien-tiet-kiem-truoc-thoi-han
https://techcombank.com/thong-tin/blog/so-tiet-kiem-ngan-hang
https://techcombank.com/cong-cu-tien-ich/cong-cu-tinh-toan/bang-tinh-lai-suat-vay
https://techcombank.com/cong-cu-tien-ich/cong-cu-tinh-toan/bang-tinh-lai-sua"&amp;"t-tiet-kiem
https://techcombank.com/thong-tin/blog/app-vay-tien-nhanh
https://techcombank.com/thong-tin/blog/lai-suat-vay-ngan-hang")</f>
        <v>https://techcombank.com/thong-tin/blog/bao-nhieu-tuoi-duoc-mo-tai-khoan-ngan-hang
https://techcombank.com/thong-tin/blog/lai-suat-tiet-kiem
https://techcombank.com/thong-tin/blog/cach-tinh-lai-suat-tien-gui-tiet-kiem
https://techcombank.com/thong-tin/blog/rut-tien-tiet-kiem-truoc-thoi-han
https://techcombank.com/thong-tin/blog/so-tiet-kiem-ngan-hang
https://techcombank.com/cong-cu-tien-ich/cong-cu-tinh-toan/bang-tinh-lai-suat-vay
https://techcombank.com/cong-cu-tien-ich/cong-cu-tinh-toan/bang-tinh-lai-suat-tiet-kiem
https://techcombank.com/thong-tin/blog/app-vay-tien-nhanh
https://techcombank.com/thong-tin/blog/lai-suat-vay-ngan-hang</v>
      </c>
      <c r="D82" s="20"/>
      <c r="E82" s="20"/>
      <c r="F82" s="20"/>
      <c r="G82" s="20"/>
      <c r="H82" s="20"/>
      <c r="I82" s="20"/>
      <c r="J82" s="20"/>
      <c r="K82" s="20"/>
      <c r="L82" s="20"/>
      <c r="M82" s="20"/>
      <c r="N82" s="20"/>
      <c r="O82" s="20"/>
      <c r="P82" s="20"/>
      <c r="Q82" s="20"/>
      <c r="R82" s="20"/>
      <c r="S82" s="20"/>
      <c r="T82" s="20"/>
      <c r="U82" s="20"/>
      <c r="V82" s="20"/>
      <c r="W82" s="20"/>
      <c r="X82" s="20"/>
    </row>
    <row r="83">
      <c r="A83" s="27" t="str">
        <f>IFERROR(__xludf.DUMMYFUNCTION("""COMPUTED_VALUE"""),"https://techcombank.com/thong-tin/blog/vay-the-chap-so-hong")</f>
        <v>https://techcombank.com/thong-tin/blog/vay-the-chap-so-hong</v>
      </c>
      <c r="B83" s="28">
        <f>IFERROR(__xludf.DUMMYFUNCTION("""COMPUTED_VALUE"""),9.0)</f>
        <v>9</v>
      </c>
      <c r="C83" s="20" t="str">
        <f>IFERROR(__xludf.DUMMYFUNCTION("IF(A83="""","""",TEXTJOIN(CHAR(10),TRUE,FILTER('Tổng hợp 75 trang đích'!$B$2:$B$3400,'Tổng hợp 75 trang đích'!$I$2:$I$3400=A83)))"),"https://techcombank.com/thong-tin/blog/lai-suat-vay-mua-o-to
https://techcombank.com/thong-tin/blog/lai-suat-vay-the-chap-so-do
https://techcombank.com/thong-tin/blog/lai-suat-tiet-kiem
https://techcombank.com/thong-tin/blog/cach-tinh-lai-suat-tien-gui-ti"&amp;"et-kiem
https://techcombank.com/cong-cu-tien-ich/cong-cu-tinh-toan/bang-tinh-lai-suat-tiet-kiem
https://techcombank.com/thong-tin/blog/app-vay-tien-nhanh
https://techcombank.com/thong-tin/blog/lai-suat-vay-ngan-hang
https://techcombank.com/thong-tin/blog/"&amp;"vay-thau-chi-la-gi
https://techcombank.com/thong-tin/blog/nen-vay-tin-chap-o-dau")</f>
        <v>https://techcombank.com/thong-tin/blog/lai-suat-vay-mua-o-to
https://techcombank.com/thong-tin/blog/lai-suat-vay-the-chap-so-do
https://techcombank.com/thong-tin/blog/lai-suat-tiet-kiem
https://techcombank.com/thong-tin/blog/cach-tinh-lai-suat-tien-gui-tiet-kiem
https://techcombank.com/cong-cu-tien-ich/cong-cu-tinh-toan/bang-tinh-lai-suat-tiet-kiem
https://techcombank.com/thong-tin/blog/app-vay-tien-nhanh
https://techcombank.com/thong-tin/blog/lai-suat-vay-ngan-hang
https://techcombank.com/thong-tin/blog/vay-thau-chi-la-gi
https://techcombank.com/thong-tin/blog/nen-vay-tin-chap-o-dau</v>
      </c>
      <c r="D83" s="20"/>
      <c r="E83" s="20"/>
      <c r="F83" s="20"/>
      <c r="G83" s="20"/>
      <c r="H83" s="20"/>
      <c r="I83" s="20"/>
      <c r="J83" s="20"/>
      <c r="K83" s="20"/>
      <c r="L83" s="20"/>
      <c r="M83" s="20"/>
      <c r="N83" s="20"/>
      <c r="O83" s="20"/>
      <c r="P83" s="20"/>
      <c r="Q83" s="20"/>
      <c r="R83" s="20"/>
      <c r="S83" s="20"/>
      <c r="T83" s="20"/>
      <c r="U83" s="20"/>
      <c r="V83" s="20"/>
      <c r="W83" s="20"/>
      <c r="X83" s="20"/>
    </row>
    <row r="84">
      <c r="A84" s="27" t="str">
        <f>IFERROR(__xludf.DUMMYFUNCTION("""COMPUTED_VALUE"""),"https://techcombank.com/thong-tin/blog/vay-tin-chap-ho-kinh-doanh")</f>
        <v>https://techcombank.com/thong-tin/blog/vay-tin-chap-ho-kinh-doanh</v>
      </c>
      <c r="B84" s="28">
        <f>IFERROR(__xludf.DUMMYFUNCTION("""COMPUTED_VALUE"""),9.0)</f>
        <v>9</v>
      </c>
      <c r="C84" s="20" t="str">
        <f>IFERROR(__xludf.DUMMYFUNCTION("IF(A84="""","""",TEXTJOIN(CHAR(10),TRUE,FILTER('Tổng hợp 75 trang đích'!$B$2:$B$3400,'Tổng hợp 75 trang đích'!$I$2:$I$3400=A84)))"),"https://techcombank.com/thong-tin/blog/xep-hang-tin-dung
https://techcombank.com/thong-tin/blog/ho-kinh-doanh-dong-thue-nhu-nao
https://techcombank.com/thong-tin/blog/mo-tai-khoan-ho-kinh-doanh
https://techcombank.com/thong-tin/blog/cach-tinh-thue-ho-kinh"&amp;"-doanh-nho-le
https://techcombank.com/cong-cu-tien-ich/cong-cu-tinh-toan/bang-tinh-lai-suat-vay
https://techcombank.com/thong-tin/blog/app-vay-tien-nhanh
https://techcombank.com/thong-tin/blog/lai-suat-vay-ngan-hang
https://techcombank.com/thong-tin/blog/"&amp;"nen-vay-tin-chap-o-dau
https://techcombank.com/thong-tin/blog/vay-tin-chap-khong-tra-duoc-co-sao-khong")</f>
        <v>https://techcombank.com/thong-tin/blog/xep-hang-tin-dung
https://techcombank.com/thong-tin/blog/ho-kinh-doanh-dong-thue-nhu-nao
https://techcombank.com/thong-tin/blog/mo-tai-khoan-ho-kinh-doanh
https://techcombank.com/thong-tin/blog/cach-tinh-thue-ho-kinh-doanh-nho-le
https://techcombank.com/cong-cu-tien-ich/cong-cu-tinh-toan/bang-tinh-lai-suat-vay
https://techcombank.com/thong-tin/blog/app-vay-tien-nhanh
https://techcombank.com/thong-tin/blog/lai-suat-vay-ngan-hang
https://techcombank.com/thong-tin/blog/nen-vay-tin-chap-o-dau
https://techcombank.com/thong-tin/blog/vay-tin-chap-khong-tra-duoc-co-sao-khong</v>
      </c>
      <c r="D84" s="20"/>
      <c r="E84" s="20"/>
      <c r="F84" s="20"/>
      <c r="G84" s="20"/>
      <c r="H84" s="20"/>
      <c r="I84" s="20"/>
      <c r="J84" s="20"/>
      <c r="K84" s="20"/>
      <c r="L84" s="20"/>
      <c r="M84" s="20"/>
      <c r="N84" s="20"/>
      <c r="O84" s="20"/>
      <c r="P84" s="20"/>
      <c r="Q84" s="20"/>
      <c r="R84" s="20"/>
      <c r="S84" s="20"/>
      <c r="T84" s="20"/>
      <c r="U84" s="20"/>
      <c r="V84" s="20"/>
      <c r="W84" s="20"/>
      <c r="X84" s="20"/>
    </row>
    <row r="85">
      <c r="A85" s="27" t="str">
        <f>IFERROR(__xludf.DUMMYFUNCTION("""COMPUTED_VALUE"""),"https://techcombank.com/thong-tin/blog/1-won-bang-bao-nhieu-tien-viet")</f>
        <v>https://techcombank.com/thong-tin/blog/1-won-bang-bao-nhieu-tien-viet</v>
      </c>
      <c r="B85" s="28">
        <f>IFERROR(__xludf.DUMMYFUNCTION("""COMPUTED_VALUE"""),8.0)</f>
        <v>8</v>
      </c>
      <c r="C85" s="20" t="str">
        <f>IFERROR(__xludf.DUMMYFUNCTION("IF(A85="""","""",TEXTJOIN(CHAR(10),TRUE,FILTER('Tổng hợp 75 trang đích'!$B$2:$B$3400,'Tổng hợp 75 trang đích'!$I$2:$I$3400=A85)))"),"https://techcombank.com/thong-tin/blog/1-te-bang-bao-nhieu-tien-viet-nam
https://techcombank.com/thong-tin/blog/1-dong-do-la-my-bang-bao-nhieu-tien-viet-nam
https://techcombank.com/thong-tin/blog/tien-nhat
https://techcombank.com/thong-tin/blog/1-yen-bang"&amp;"-bao-nhieu-tien-viet-nam
https://techcombank.com/thong-tin/blog/tien-dai-loan
https://techcombank.com/thong-tin/blog/1-man-bang-bao-nhieu-tien-viet
https://techcombank.com/thong-tin/blog/1-trieu-do-bang-bao-nhieu-tien-viet
https://techcombank.com/thong-ti"&amp;"n/blog/1000-won-bang-bao-nhieu-tien-viet")</f>
        <v>https://techcombank.com/thong-tin/blog/1-te-bang-bao-nhieu-tien-viet-nam
https://techcombank.com/thong-tin/blog/1-dong-do-la-my-bang-bao-nhieu-tien-viet-nam
https://techcombank.com/thong-tin/blog/tien-nhat
https://techcombank.com/thong-tin/blog/1-yen-bang-bao-nhieu-tien-viet-nam
https://techcombank.com/thong-tin/blog/tien-dai-loan
https://techcombank.com/thong-tin/blog/1-man-bang-bao-nhieu-tien-viet
https://techcombank.com/thong-tin/blog/1-trieu-do-bang-bao-nhieu-tien-viet
https://techcombank.com/thong-tin/blog/1000-won-bang-bao-nhieu-tien-viet</v>
      </c>
      <c r="D85" s="20"/>
      <c r="E85" s="20"/>
      <c r="F85" s="20"/>
      <c r="G85" s="20"/>
      <c r="H85" s="20"/>
      <c r="I85" s="20"/>
      <c r="J85" s="20"/>
      <c r="K85" s="20"/>
      <c r="L85" s="20"/>
      <c r="M85" s="20"/>
      <c r="N85" s="20"/>
      <c r="O85" s="20"/>
      <c r="P85" s="20"/>
      <c r="Q85" s="20"/>
      <c r="R85" s="20"/>
      <c r="S85" s="20"/>
      <c r="T85" s="20"/>
      <c r="U85" s="20"/>
      <c r="V85" s="20"/>
      <c r="W85" s="20"/>
      <c r="X85" s="20"/>
    </row>
    <row r="86">
      <c r="A86" s="27" t="str">
        <f>IFERROR(__xludf.DUMMYFUNCTION("""COMPUTED_VALUE"""),"https://techcombank.com/thong-tin/blog/1000-won-bang-bao-nhieu-tien-viet")</f>
        <v>https://techcombank.com/thong-tin/blog/1000-won-bang-bao-nhieu-tien-viet</v>
      </c>
      <c r="B86" s="28">
        <f>IFERROR(__xludf.DUMMYFUNCTION("""COMPUTED_VALUE"""),8.0)</f>
        <v>8</v>
      </c>
      <c r="C86" s="20" t="str">
        <f>IFERROR(__xludf.DUMMYFUNCTION("IF(A86="""","""",TEXTJOIN(CHAR(10),TRUE,FILTER('Tổng hợp 75 trang đích'!$B$2:$B$3400,'Tổng hợp 75 trang đích'!$I$2:$I$3400=A86)))"),"https://techcombank.com/thong-tin/blog/1-te-bang-bao-nhieu-tien-viet-nam
https://techcombank.com/thong-tin/blog/1-dong-do-la-my-bang-bao-nhieu-tien-viet-nam
https://techcombank.com/thong-tin/blog/tien-nhat
https://techcombank.com/thong-tin/blog/1-yen-bang"&amp;"-bao-nhieu-tien-viet-nam
https://techcombank.com/thong-tin/blog/1-won-bang-bao-nhieu-tien-viet
https://techcombank.com/thong-tin/blog/tien-dai-loan
https://techcombank.com/thong-tin/blog/1-man-bang-bao-nhieu-tien-viet
https://techcombank.com/thong-tin/blo"&amp;"g/1-trieu-do-bang-bao-nhieu-tien-viet")</f>
        <v>https://techcombank.com/thong-tin/blog/1-te-bang-bao-nhieu-tien-viet-nam
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https://techcombank.com/thong-tin/blog/1-man-bang-bao-nhieu-tien-viet
https://techcombank.com/thong-tin/blog/1-trieu-do-bang-bao-nhieu-tien-viet</v>
      </c>
      <c r="D86" s="20"/>
      <c r="E86" s="20"/>
      <c r="F86" s="20"/>
      <c r="G86" s="20"/>
      <c r="H86" s="20"/>
      <c r="I86" s="20"/>
      <c r="J86" s="20"/>
      <c r="K86" s="20"/>
      <c r="L86" s="20"/>
      <c r="M86" s="20"/>
      <c r="N86" s="20"/>
      <c r="O86" s="20"/>
      <c r="P86" s="20"/>
      <c r="Q86" s="20"/>
      <c r="R86" s="20"/>
      <c r="S86" s="20"/>
      <c r="T86" s="20"/>
      <c r="U86" s="20"/>
      <c r="V86" s="20"/>
      <c r="W86" s="20"/>
      <c r="X86" s="20"/>
    </row>
    <row r="87">
      <c r="A87" s="27" t="str">
        <f>IFERROR(__xludf.DUMMYFUNCTION("""COMPUTED_VALUE"""),"https://techcombank.com/thong-tin/blog/bi-quyet-tiet-kiem-tien-mua-nha")</f>
        <v>https://techcombank.com/thong-tin/blog/bi-quyet-tiet-kiem-tien-mua-nha</v>
      </c>
      <c r="B87" s="28">
        <f>IFERROR(__xludf.DUMMYFUNCTION("""COMPUTED_VALUE"""),8.0)</f>
        <v>8</v>
      </c>
      <c r="C87" s="20" t="str">
        <f>IFERROR(__xludf.DUMMYFUNCTION("IF(A87="""","""",TEXTJOIN(CHAR(10),TRUE,FILTER('Tổng hợp 75 trang đích'!$B$2:$B$3400,'Tổng hợp 75 trang đích'!$I$2:$I$3400=A87)))"),"https://techcombank.com/thong-tin/blog/cach-tinh-thue-thu-nhap-ca-nhan-2025
https://techcombank.com/thong-tin/blog/kiem-tra-thue-thu-nhap-ca-nhan
https://techcombank.com/thong-tin/blog/lai-suat-chung-chi-tien-gui-cac-ngan-hang
https://techcombank.com/thon"&amp;"g-tin/blog/lai-suat-tiet-kiem
https://techcombank.com/thong-tin/blog/cach-tinh-lai-suat-tien-gui-tiet-kiem
https://techcombank.com/cong-cu-tien-ich/cong-cu-tinh-toan/bang-tinh-lai-suat-tiet-kiem
https://techcombank.com/thong-tin/blog/app-vay-tien-nhanh
ht"&amp;"tps://techcombank.com/thong-tin/blog/lai-suat-vay-ngan-hang")</f>
        <v>https://techcombank.com/thong-tin/blog/cach-tinh-thue-thu-nhap-ca-nhan-2025
https://techcombank.com/thong-tin/blog/kiem-tra-thue-thu-nhap-ca-nhan
https://techcombank.com/thong-tin/blog/lai-suat-chung-chi-tien-gui-cac-ngan-hang
https://techcombank.com/thong-tin/blog/lai-suat-tiet-kiem
https://techcombank.com/thong-tin/blog/cach-tinh-lai-suat-tien-gui-tiet-kiem
https://techcombank.com/cong-cu-tien-ich/cong-cu-tinh-toan/bang-tinh-lai-suat-tiet-kiem
https://techcombank.com/thong-tin/blog/app-vay-tien-nhanh
https://techcombank.com/thong-tin/blog/lai-suat-vay-ngan-hang</v>
      </c>
      <c r="D87" s="20"/>
      <c r="E87" s="20"/>
      <c r="F87" s="20"/>
      <c r="G87" s="20"/>
      <c r="H87" s="20"/>
      <c r="I87" s="20"/>
      <c r="J87" s="20"/>
      <c r="K87" s="20"/>
      <c r="L87" s="20"/>
      <c r="M87" s="20"/>
      <c r="N87" s="20"/>
      <c r="O87" s="20"/>
      <c r="P87" s="20"/>
      <c r="Q87" s="20"/>
      <c r="R87" s="20"/>
      <c r="S87" s="20"/>
      <c r="T87" s="20"/>
      <c r="U87" s="20"/>
      <c r="V87" s="20"/>
      <c r="W87" s="20"/>
      <c r="X87" s="20"/>
    </row>
    <row r="88">
      <c r="A88" s="27" t="str">
        <f>IFERROR(__xludf.DUMMYFUNCTION("""COMPUTED_VALUE"""),"https://techcombank.com/thong-tin/blog/cac-hinh-thuc-cho-vay-tieu-dung")</f>
        <v>https://techcombank.com/thong-tin/blog/cac-hinh-thuc-cho-vay-tieu-dung</v>
      </c>
      <c r="B88" s="28">
        <f>IFERROR(__xludf.DUMMYFUNCTION("""COMPUTED_VALUE"""),8.0)</f>
        <v>8</v>
      </c>
      <c r="C88" s="20" t="str">
        <f>IFERROR(__xludf.DUMMYFUNCTION("IF(A88="""","""",TEXTJOIN(CHAR(10),TRUE,FILTER('Tổng hợp 75 trang đích'!$B$2:$B$3400,'Tổng hợp 75 trang đích'!$I$2:$I$3400=A88)))"),"https://techcombank.com/thong-tin/blog/lai-suat-vay-the-chap-so-do
https://techcombank.com/thong-tin/blog/ho-so-thu-tuc-xoa-the-chap
https://techcombank.com/cong-cu-tien-ich/cong-cu-tinh-toan/bang-tinh-lai-suat-vay
https://techcombank.com/thong-tin/blog/a"&amp;"pp-vay-tien-nhanh
https://techcombank.com/thong-tin/blog/lai-suat-vay-ngan-hang
https://techcombank.com/thong-tin/blog/vay-thau-chi-la-gi
https://techcombank.com/thong-tin/blog/nen-vay-tin-chap-o-dau
https://techcombank.com/thong-tin/blog/vay-tin-chap-kho"&amp;"ng-tra-duoc-co-sao-khong")</f>
        <v>https://techcombank.com/thong-tin/blog/lai-suat-vay-the-chap-so-do
https://techcombank.com/thong-tin/blog/ho-so-thu-tuc-xoa-the-chap
https://techcombank.com/cong-cu-tien-ich/cong-cu-tinh-toan/bang-tinh-lai-suat-vay
https://techcombank.com/thong-tin/blog/app-vay-tien-nhanh
https://techcombank.com/thong-tin/blog/lai-suat-vay-ngan-hang
https://techcombank.com/thong-tin/blog/vay-thau-chi-la-gi
https://techcombank.com/thong-tin/blog/nen-vay-tin-chap-o-dau
https://techcombank.com/thong-tin/blog/vay-tin-chap-khong-tra-duoc-co-sao-khong</v>
      </c>
      <c r="D88" s="20"/>
      <c r="E88" s="20"/>
      <c r="F88" s="20"/>
      <c r="G88" s="20"/>
      <c r="H88" s="20"/>
      <c r="I88" s="20"/>
      <c r="J88" s="20"/>
      <c r="K88" s="20"/>
      <c r="L88" s="20"/>
      <c r="M88" s="20"/>
      <c r="N88" s="20"/>
      <c r="O88" s="20"/>
      <c r="P88" s="20"/>
      <c r="Q88" s="20"/>
      <c r="R88" s="20"/>
      <c r="S88" s="20"/>
      <c r="T88" s="20"/>
      <c r="U88" s="20"/>
      <c r="V88" s="20"/>
      <c r="W88" s="20"/>
      <c r="X88" s="20"/>
    </row>
    <row r="89">
      <c r="A89" s="27" t="str">
        <f>IFERROR(__xludf.DUMMYFUNCTION("""COMPUTED_VALUE"""),"https://techcombank.com/thong-tin/blog/cac-sai-lam-pho-bien-khi-chuyen-doi-ho-kinh-doanh-len-sme")</f>
        <v>https://techcombank.com/thong-tin/blog/cac-sai-lam-pho-bien-khi-chuyen-doi-ho-kinh-doanh-len-sme</v>
      </c>
      <c r="B89" s="28">
        <f>IFERROR(__xludf.DUMMYFUNCTION("""COMPUTED_VALUE"""),8.0)</f>
        <v>8</v>
      </c>
      <c r="C89" s="20" t="str">
        <f>IFERROR(__xludf.DUMMYFUNCTION("IF(A89="""","""",TEXTJOIN(CHAR(10),TRUE,FILTER('Tổng hợp 75 trang đích'!$B$2:$B$3400,'Tổng hợp 75 trang đích'!$I$2:$I$3400=A89)))"),"https://techcombank.com/thong-tin/blog/nop-thue-dat-qua-ngan-hang
https://techcombank.com/thong-tin/blog/cach-nop-thue-dien-tu
https://techcombank.com/thong-tin/blog/thue-thu-nhap-doanh-nghiep
https://techcombank.com/thong-tin/blog/thue-doanh-nghiep
https"&amp;"://techcombank.com/thong-tin/blog/ho-kinh-doanh-dong-thue-nhu-nao
https://techcombank.com/thong-tin/blog/mo-hinh-kinh-doanh-la-gi
https://techcombank.com/thong-tin/blog/mo-tai-khoan-ho-kinh-doanh
https://techcombank.com/thong-tin/blog/cach-tinh-thue-ho-ki"&amp;"nh-doanh-nho-le")</f>
        <v>https://techcombank.com/thong-tin/blog/nop-thue-dat-qua-ngan-hang
https://techcombank.com/thong-tin/blog/cach-nop-thue-dien-tu
https://techcombank.com/thong-tin/blog/thue-thu-nhap-doanh-nghiep
https://techcombank.com/thong-tin/blog/thue-doanh-nghiep
https://techcombank.com/thong-tin/blog/ho-kinh-doanh-dong-thue-nhu-nao
https://techcombank.com/thong-tin/blog/mo-hinh-kinh-doanh-la-gi
https://techcombank.com/thong-tin/blog/mo-tai-khoan-ho-kinh-doanh
https://techcombank.com/thong-tin/blog/cach-tinh-thue-ho-kinh-doanh-nho-le</v>
      </c>
      <c r="D89" s="20"/>
      <c r="E89" s="20"/>
      <c r="F89" s="20"/>
      <c r="G89" s="20"/>
      <c r="H89" s="20"/>
      <c r="I89" s="20"/>
      <c r="J89" s="20"/>
      <c r="K89" s="20"/>
      <c r="L89" s="20"/>
      <c r="M89" s="20"/>
      <c r="N89" s="20"/>
      <c r="O89" s="20"/>
      <c r="P89" s="20"/>
      <c r="Q89" s="20"/>
      <c r="R89" s="20"/>
      <c r="S89" s="20"/>
      <c r="T89" s="20"/>
      <c r="U89" s="20"/>
      <c r="V89" s="20"/>
      <c r="W89" s="20"/>
      <c r="X89" s="20"/>
    </row>
    <row r="90">
      <c r="A90" s="27" t="str">
        <f>IFERROR(__xludf.DUMMYFUNCTION("""COMPUTED_VALUE"""),"https://techcombank.com/thong-tin/blog/cach-chuyen-tien")</f>
        <v>https://techcombank.com/thong-tin/blog/cach-chuyen-tien</v>
      </c>
      <c r="B90" s="28">
        <f>IFERROR(__xludf.DUMMYFUNCTION("""COMPUTED_VALUE"""),8.0)</f>
        <v>8</v>
      </c>
      <c r="C90" s="20" t="str">
        <f>IFERROR(__xludf.DUMMYFUNCTION("IF(A90="""","""",TEXTJOIN(CHAR(10),TRUE,FILTER('Tổng hợp 75 trang đích'!$B$2:$B$3400,'Tổng hợp 75 trang đích'!$I$2:$I$3400=A90)))"),"https://techcombank.com/thong-tin/blog/cach-kiem-tra-tai-khoan-ngan-hang
https://techcombank.com/thong-tin/blog/chuyen-khoan-thanh-cong-nhung-khong-nhan-duoc-tien
https://techcombank.com/thong-tin/blog/bao-nhieu-tuoi-duoc-mo-tai-khoan-ngan-hang
https://te"&amp;"chcombank.com/thong-tin/blog/mo-tai-khoan-ngan-hang-duoi-18-tuoi
https://techcombank.com/thong-tin/blog/day-so-phat-tai-phat-loc
https://techcombank.com/thong-tin/blog/cach-quet-nfc-cccd-tren-iphone
https://techcombank.com/thong-tin/blog/cic-la-gi
https:/"&amp;"/techcombank.com/thong-tin/blog/gui-ma-qr-ngan-hang")</f>
        <v>https://techcombank.com/thong-tin/blog/cach-kiem-tra-tai-khoan-ngan-hang
https://techcombank.com/thong-tin/blog/chuyen-khoan-thanh-cong-nhung-khong-nhan-duoc-tien
https://techcombank.com/thong-tin/blog/bao-nhieu-tuoi-duoc-mo-tai-khoan-ngan-hang
https://techcombank.com/thong-tin/blog/mo-tai-khoan-ngan-hang-duoi-18-tuoi
https://techcombank.com/thong-tin/blog/day-so-phat-tai-phat-loc
https://techcombank.com/thong-tin/blog/cach-quet-nfc-cccd-tren-iphone
https://techcombank.com/thong-tin/blog/cic-la-gi
https://techcombank.com/thong-tin/blog/gui-ma-qr-ngan-hang</v>
      </c>
      <c r="D90" s="20"/>
      <c r="E90" s="20"/>
      <c r="F90" s="20"/>
      <c r="G90" s="20"/>
      <c r="H90" s="20"/>
      <c r="I90" s="20"/>
      <c r="J90" s="20"/>
      <c r="K90" s="20"/>
      <c r="L90" s="20"/>
      <c r="M90" s="20"/>
      <c r="N90" s="20"/>
      <c r="O90" s="20"/>
      <c r="P90" s="20"/>
      <c r="Q90" s="20"/>
      <c r="R90" s="20"/>
      <c r="S90" s="20"/>
      <c r="T90" s="20"/>
      <c r="U90" s="20"/>
      <c r="V90" s="20"/>
      <c r="W90" s="20"/>
      <c r="X90" s="20"/>
    </row>
    <row r="91">
      <c r="A91" s="27" t="str">
        <f>IFERROR(__xludf.DUMMYFUNCTION("""COMPUTED_VALUE"""),"https://techcombank.com/thong-tin/blog/cach-tiet-kiem-tien-sinh-loi")</f>
        <v>https://techcombank.com/thong-tin/blog/cach-tiet-kiem-tien-sinh-loi</v>
      </c>
      <c r="B91" s="28">
        <f>IFERROR(__xludf.DUMMYFUNCTION("""COMPUTED_VALUE"""),8.0)</f>
        <v>8</v>
      </c>
      <c r="C91" s="20" t="str">
        <f>IFERROR(__xludf.DUMMYFUNCTION("IF(A91="""","""",TEXTJOIN(CHAR(10),TRUE,FILTER('Tổng hợp 75 trang đích'!$B$2:$B$3400,'Tổng hợp 75 trang đích'!$I$2:$I$3400=A91)))"),"https://techcombank.com/thong-tin/blog/lai-suat-chung-chi-tien-gui-cac-ngan-hang
https://techcombank.com/thong-tin/blog/cach-tinh-lai-suat-tien-gui-tiet-kiem
https://techcombank.com/thong-tin/blog/rut-tien-tiet-kiem-truoc-thoi-han
https://techcombank.com/"&amp;"thong-tin/blog/cach-tiet-kiem-tien
https://techcombank.com/thong-tin/blog/rui-ro-khi-gui-tiet-kiem-online
https://techcombank.com/cong-cu-tien-ich/cong-cu-tinh-toan/bang-tinh-lai-suat-vay
https://techcombank.com/cong-cu-tien-ich/cong-cu-tinh-toan/bang-tin"&amp;"h-lai-suat-tiet-kiem
https://techcombank.com/thong-tin/blog/app-vay-tien-nhanh")</f>
        <v>https://techcombank.com/thong-tin/blog/lai-suat-chung-chi-tien-gui-cac-ngan-hang
https://techcombank.com/thong-tin/blog/cach-tinh-lai-suat-tien-gui-tiet-kiem
https://techcombank.com/thong-tin/blog/rut-tien-tiet-kiem-truoc-thoi-han
https://techcombank.com/thong-tin/blog/cach-tiet-kiem-tien
https://techcombank.com/thong-tin/blog/rui-ro-khi-gui-tiet-kiem-online
https://techcombank.com/cong-cu-tien-ich/cong-cu-tinh-toan/bang-tinh-lai-suat-vay
https://techcombank.com/cong-cu-tien-ich/cong-cu-tinh-toan/bang-tinh-lai-suat-tiet-kiem
https://techcombank.com/thong-tin/blog/app-vay-tien-nhanh</v>
      </c>
      <c r="D91" s="20"/>
      <c r="E91" s="20"/>
      <c r="F91" s="20"/>
      <c r="G91" s="20"/>
      <c r="H91" s="20"/>
      <c r="I91" s="20"/>
      <c r="J91" s="20"/>
      <c r="K91" s="20"/>
      <c r="L91" s="20"/>
      <c r="M91" s="20"/>
      <c r="N91" s="20"/>
      <c r="O91" s="20"/>
      <c r="P91" s="20"/>
      <c r="Q91" s="20"/>
      <c r="R91" s="20"/>
      <c r="S91" s="20"/>
      <c r="T91" s="20"/>
      <c r="U91" s="20"/>
      <c r="V91" s="20"/>
      <c r="W91" s="20"/>
      <c r="X91" s="20"/>
    </row>
    <row r="92">
      <c r="A92" s="27" t="str">
        <f>IFERROR(__xludf.DUMMYFUNCTION("""COMPUTED_VALUE"""),"https://techcombank.com/thong-tin/blog/chuyen-tien-di-uc")</f>
        <v>https://techcombank.com/thong-tin/blog/chuyen-tien-di-uc</v>
      </c>
      <c r="B92" s="28">
        <f>IFERROR(__xludf.DUMMYFUNCTION("""COMPUTED_VALUE"""),8.0)</f>
        <v>8</v>
      </c>
      <c r="C92" s="20" t="str">
        <f>IFERROR(__xludf.DUMMYFUNCTION("IF(A92="""","""",TEXTJOIN(CHAR(10),TRUE,FILTER('Tổng hợp 75 trang đích'!$B$2:$B$3400,'Tổng hợp 75 trang đích'!$I$2:$I$3400=A92)))"),"https://techcombank.com/thong-tin/blog/1-dong-do-la-my-bang-bao-nhieu-tien-viet-nam
https://techcombank.com/thong-tin/blog/tien-nhat
https://techcombank.com/thong-tin/blog/1-yen-bang-bao-nhieu-tien-viet-nam
https://techcombank.com/thong-tin/blog/1-won-ban"&amp;"g-bao-nhieu-tien-viet
https://techcombank.com/thong-tin/blog/tien-dai-loan
https://techcombank.com/thong-tin/blog/tien-thai-lan
https://techcombank.com/thong-tin/blog/1000-won-bang-bao-nhieu-tien-viet
https://techcombank.com/thong-tin/blog/doi-tien-do-o-d"&amp;"au")</f>
        <v>https://techcombank.com/thong-tin/blog/1-dong-do-la-my-bang-bao-nhieu-tien-viet-nam
https://techcombank.com/thong-tin/blog/tien-nhat
https://techcombank.com/thong-tin/blog/1-yen-bang-bao-nhieu-tien-viet-nam
https://techcombank.com/thong-tin/blog/1-won-bang-bao-nhieu-tien-viet
https://techcombank.com/thong-tin/blog/tien-dai-loan
https://techcombank.com/thong-tin/blog/tien-thai-lan
https://techcombank.com/thong-tin/blog/1000-won-bang-bao-nhieu-tien-viet
https://techcombank.com/thong-tin/blog/doi-tien-do-o-dau</v>
      </c>
      <c r="D92" s="20"/>
      <c r="E92" s="20"/>
      <c r="F92" s="20"/>
      <c r="G92" s="20"/>
      <c r="H92" s="20"/>
      <c r="I92" s="20"/>
      <c r="J92" s="20"/>
      <c r="K92" s="20"/>
      <c r="L92" s="20"/>
      <c r="M92" s="20"/>
      <c r="N92" s="20"/>
      <c r="O92" s="20"/>
      <c r="P92" s="20"/>
      <c r="Q92" s="20"/>
      <c r="R92" s="20"/>
      <c r="S92" s="20"/>
      <c r="T92" s="20"/>
      <c r="U92" s="20"/>
      <c r="V92" s="20"/>
      <c r="W92" s="20"/>
      <c r="X92" s="20"/>
    </row>
    <row r="93">
      <c r="A93" s="27" t="str">
        <f>IFERROR(__xludf.DUMMYFUNCTION("""COMPUTED_VALUE"""),"https://techcombank.com/thong-tin/blog/cic-la-gi")</f>
        <v>https://techcombank.com/thong-tin/blog/cic-la-gi</v>
      </c>
      <c r="B93" s="28">
        <f>IFERROR(__xludf.DUMMYFUNCTION("""COMPUTED_VALUE"""),8.0)</f>
        <v>8</v>
      </c>
      <c r="C93" s="20" t="str">
        <f>IFERROR(__xludf.DUMMYFUNCTION("IF(A93="""","""",TEXTJOIN(CHAR(10),TRUE,FILTER('Tổng hợp 75 trang đích'!$B$2:$B$3400,'Tổng hợp 75 trang đích'!$I$2:$I$3400=A93)))"),"https://techcombank.com/thong-tin/blog/cach-sao-ke-tai-khoan-ngan-hang
https://techcombank.com/thong-tin/blog/ten-dang-nhap-tai-khoan-ngan-hang-la-gi
https://techcombank.com/thong-tin/blog/rut-tien-mat-tu-the-tin-dung
https://techcombank.com/thong-tin/blo"&amp;"g/cach-huy-the-tin-dung
https://techcombank.com/cong-cu-tien-ich/cong-cu-tinh-toan/bang-tinh-lai-suat-vay
https://techcombank.com/thong-tin/blog/app-vay-tien-nhanh
https://techcombank.com/thong-tin/blog/kiem-tra-no-xau
https://techcombank.com/thong-tin/bl"&amp;"og/no-xau-la-gi")</f>
        <v>https://techcombank.com/thong-tin/blog/cach-sao-ke-tai-khoan-ngan-hang
https://techcombank.com/thong-tin/blog/ten-dang-nhap-tai-khoan-ngan-hang-la-gi
https://techcombank.com/thong-tin/blog/rut-tien-mat-tu-the-tin-dung
https://techcombank.com/thong-tin/blog/cach-huy-the-tin-dung
https://techcombank.com/cong-cu-tien-ich/cong-cu-tinh-toan/bang-tinh-lai-suat-vay
https://techcombank.com/thong-tin/blog/app-vay-tien-nhanh
https://techcombank.com/thong-tin/blog/kiem-tra-no-xau
https://techcombank.com/thong-tin/blog/no-xau-la-gi</v>
      </c>
      <c r="D93" s="20"/>
      <c r="E93" s="20"/>
      <c r="F93" s="20"/>
      <c r="G93" s="20"/>
      <c r="H93" s="20"/>
      <c r="I93" s="20"/>
      <c r="J93" s="20"/>
      <c r="K93" s="20"/>
      <c r="L93" s="20"/>
      <c r="M93" s="20"/>
      <c r="N93" s="20"/>
      <c r="O93" s="20"/>
      <c r="P93" s="20"/>
      <c r="Q93" s="20"/>
      <c r="R93" s="20"/>
      <c r="S93" s="20"/>
      <c r="T93" s="20"/>
      <c r="U93" s="20"/>
      <c r="V93" s="20"/>
      <c r="W93" s="20"/>
      <c r="X93" s="20"/>
    </row>
    <row r="94">
      <c r="A94" s="27" t="str">
        <f>IFERROR(__xludf.DUMMYFUNCTION("""COMPUTED_VALUE"""),"https://techcombank.com/thong-tin/blog/co-100-trieu-co-mua-nen-mua-tra-gop")</f>
        <v>https://techcombank.com/thong-tin/blog/co-100-trieu-co-mua-nen-mua-tra-gop</v>
      </c>
      <c r="B94" s="28">
        <f>IFERROR(__xludf.DUMMYFUNCTION("""COMPUTED_VALUE"""),8.0)</f>
        <v>8</v>
      </c>
      <c r="C94" s="20" t="str">
        <f>IFERROR(__xludf.DUMMYFUNCTION("IF(A94="""","""",TEXTJOIN(CHAR(10),TRUE,FILTER('Tổng hợp 75 trang đích'!$B$2:$B$3400,'Tổng hợp 75 trang đích'!$I$2:$I$3400=A94)))"),"https://techcombank.com/thong-tin/blog/lai-suat-vay-mua-o-to
https://techcombank.com/thong-tin/blog/cach-tinh-thue-thu-nhap-ca-nhan-2025
https://techcombank.com/thong-tin/blog/vay-ngan-hang-1-ty-moi-thang-tra-bao-nhieu
https://techcombank.com/thong-tin/bl"&amp;"og/lai-suat-tiet-kiem
https://techcombank.com/cong-cu-tien-ich/cong-cu-tinh-toan/bang-tinh-lai-suat-vay
https://techcombank.com/thong-tin/blog/app-vay-tien-nhanh
https://techcombank.com/thong-tin/blog/lai-suat-vay-ngan-hang
https://techcombank.com/thong-t"&amp;"in/blog/vay-thau-chi-la-gi")</f>
        <v>https://techcombank.com/thong-tin/blog/lai-suat-vay-mua-o-to
https://techcombank.com/thong-tin/blog/cach-tinh-thue-thu-nhap-ca-nhan-2025
https://techcombank.com/thong-tin/blog/vay-ngan-hang-1-ty-moi-thang-tra-bao-nhieu
https://techcombank.com/thong-tin/blog/lai-suat-tiet-kiem
https://techcombank.com/cong-cu-tien-ich/cong-cu-tinh-toan/bang-tinh-lai-suat-vay
https://techcombank.com/thong-tin/blog/app-vay-tien-nhanh
https://techcombank.com/thong-tin/blog/lai-suat-vay-ngan-hang
https://techcombank.com/thong-tin/blog/vay-thau-chi-la-gi</v>
      </c>
      <c r="D94" s="20"/>
      <c r="E94" s="20"/>
      <c r="F94" s="20"/>
      <c r="G94" s="20"/>
      <c r="H94" s="20"/>
      <c r="I94" s="20"/>
      <c r="J94" s="20"/>
      <c r="K94" s="20"/>
      <c r="L94" s="20"/>
      <c r="M94" s="20"/>
      <c r="N94" s="20"/>
      <c r="O94" s="20"/>
      <c r="P94" s="20"/>
      <c r="Q94" s="20"/>
      <c r="R94" s="20"/>
      <c r="S94" s="20"/>
      <c r="T94" s="20"/>
      <c r="U94" s="20"/>
      <c r="V94" s="20"/>
      <c r="W94" s="20"/>
      <c r="X94" s="20"/>
    </row>
    <row r="95">
      <c r="A95" s="27" t="str">
        <f>IFERROR(__xludf.DUMMYFUNCTION("""COMPUTED_VALUE"""),"https://techcombank.com/thong-tin/blog/co-nen-gui-tiet-kiem-online")</f>
        <v>https://techcombank.com/thong-tin/blog/co-nen-gui-tiet-kiem-online</v>
      </c>
      <c r="B95" s="28">
        <f>IFERROR(__xludf.DUMMYFUNCTION("""COMPUTED_VALUE"""),8.0)</f>
        <v>8</v>
      </c>
      <c r="C95" s="20" t="str">
        <f>IFERROR(__xludf.DUMMYFUNCTION("IF(A95="""","""",TEXTJOIN(CHAR(10),TRUE,FILTER('Tổng hợp 75 trang đích'!$B$2:$B$3400,'Tổng hợp 75 trang đích'!$I$2:$I$3400=A95)))"),"https://techcombank.com/thong-tin/blog/chung-chi-tien-gui-la-gi
https://techcombank.com/thong-tin/blog/tien-nhat
https://techcombank.com/thong-tin/blog/cach-tinh-lai-suat-tien-gui-tiet-kiem
https://techcombank.com/thong-tin/blog/so-tiet-kiem-ngan-hang
htt"&amp;"ps://techcombank.com/thong-tin/blog/rui-ro-khi-gui-tiet-kiem-online
https://techcombank.com/cong-cu-tien-ich/cong-cu-tinh-toan/bang-tinh-lai-suat-vay
https://techcombank.com/cong-cu-tien-ich/cong-cu-tinh-toan/bang-tinh-lai-suat-tiet-kiem
https://techcomba"&amp;"nk.com/thong-tin/blog/app-vay-tien-nhanh")</f>
        <v>https://techcombank.com/thong-tin/blog/chung-chi-tien-gui-la-gi
https://techcombank.com/thong-tin/blog/tien-nhat
https://techcombank.com/thong-tin/blog/cach-tinh-lai-suat-tien-gui-tiet-kiem
https://techcombank.com/thong-tin/blog/so-tiet-kiem-ngan-hang
https://techcombank.com/thong-tin/blog/rui-ro-khi-gui-tiet-kiem-online
https://techcombank.com/cong-cu-tien-ich/cong-cu-tinh-toan/bang-tinh-lai-suat-vay
https://techcombank.com/cong-cu-tien-ich/cong-cu-tinh-toan/bang-tinh-lai-suat-tiet-kiem
https://techcombank.com/thong-tin/blog/app-vay-tien-nhanh</v>
      </c>
      <c r="D95" s="20"/>
      <c r="E95" s="20"/>
      <c r="F95" s="20"/>
      <c r="G95" s="20"/>
      <c r="H95" s="20"/>
      <c r="I95" s="20"/>
      <c r="J95" s="20"/>
      <c r="K95" s="20"/>
      <c r="L95" s="20"/>
      <c r="M95" s="20"/>
      <c r="N95" s="20"/>
      <c r="O95" s="20"/>
      <c r="P95" s="20"/>
      <c r="Q95" s="20"/>
      <c r="R95" s="20"/>
      <c r="S95" s="20"/>
      <c r="T95" s="20"/>
      <c r="U95" s="20"/>
      <c r="V95" s="20"/>
      <c r="W95" s="20"/>
      <c r="X95" s="20"/>
    </row>
    <row r="96">
      <c r="A96" s="27" t="str">
        <f>IFERROR(__xludf.DUMMYFUNCTION("""COMPUTED_VALUE"""),"https://techcombank.com/thong-tin/blog/cong-ty-su-dung-tai-khoan-ca-nhan")</f>
        <v>https://techcombank.com/thong-tin/blog/cong-ty-su-dung-tai-khoan-ca-nhan</v>
      </c>
      <c r="B96" s="28">
        <f>IFERROR(__xludf.DUMMYFUNCTION("""COMPUTED_VALUE"""),8.0)</f>
        <v>8</v>
      </c>
      <c r="C96" s="20" t="str">
        <f>IFERROR(__xludf.DUMMYFUNCTION("IF(A96="""","""",TEXTJOIN(CHAR(10),TRUE,FILTER('Tổng hợp 75 trang đích'!$B$2:$B$3400,'Tổng hợp 75 trang đích'!$I$2:$I$3400=A96)))"),"https://techcombank.com/thong-tin/blog/nop-thue-dat-qua-ngan-hang
https://techcombank.com/thong-tin/blog/cach-nop-thue-dien-tu
https://techcombank.com/thong-tin/blog/thue-thu-nhap-doanh-nghiep
https://techcombank.com/thong-tin/blog/thue-vat-la-gi
https://"&amp;"techcombank.com/thong-tin/blog/thue-doanh-nghiep
https://techcombank.com/thong-tin/blog/nap-tien-vao-tai-khoan-ngan-hang
https://techcombank.com/thong-tin/blog/lai-suat-tiet-kiem
https://techcombank.com/cong-cu-tien-ich/cong-cu-tinh-toan/bang-tinh-lai-sua"&amp;"t-vay")</f>
        <v>https://techcombank.com/thong-tin/blog/nop-thue-dat-qua-ngan-hang
https://techcombank.com/thong-tin/blog/cach-nop-thue-dien-tu
https://techcombank.com/thong-tin/blog/thue-thu-nhap-doanh-nghiep
https://techcombank.com/thong-tin/blog/thue-vat-la-gi
https://techcombank.com/thong-tin/blog/thue-doanh-nghiep
https://techcombank.com/thong-tin/blog/nap-tien-vao-tai-khoan-ngan-hang
https://techcombank.com/thong-tin/blog/lai-suat-tiet-kiem
https://techcombank.com/cong-cu-tien-ich/cong-cu-tinh-toan/bang-tinh-lai-suat-vay</v>
      </c>
      <c r="D96" s="20"/>
      <c r="E96" s="20"/>
      <c r="F96" s="20"/>
      <c r="G96" s="20"/>
      <c r="H96" s="20"/>
      <c r="I96" s="20"/>
      <c r="J96" s="20"/>
      <c r="K96" s="20"/>
      <c r="L96" s="20"/>
      <c r="M96" s="20"/>
      <c r="N96" s="20"/>
      <c r="O96" s="20"/>
      <c r="P96" s="20"/>
      <c r="Q96" s="20"/>
      <c r="R96" s="20"/>
      <c r="S96" s="20"/>
      <c r="T96" s="20"/>
      <c r="U96" s="20"/>
      <c r="V96" s="20"/>
      <c r="W96" s="20"/>
      <c r="X96" s="20"/>
    </row>
    <row r="97">
      <c r="A97" s="27" t="str">
        <f>IFERROR(__xludf.DUMMYFUNCTION("""COMPUTED_VALUE"""),"https://techcombank.com/thong-tin/blog/diem-tin-dung")</f>
        <v>https://techcombank.com/thong-tin/blog/diem-tin-dung</v>
      </c>
      <c r="B97" s="28">
        <f>IFERROR(__xludf.DUMMYFUNCTION("""COMPUTED_VALUE"""),8.0)</f>
        <v>8</v>
      </c>
      <c r="C97" s="20" t="str">
        <f>IFERROR(__xludf.DUMMYFUNCTION("IF(A97="""","""",TEXTJOIN(CHAR(10),TRUE,FILTER('Tổng hợp 75 trang đích'!$B$2:$B$3400,'Tổng hợp 75 trang đích'!$I$2:$I$3400=A97)))"),"https://techcombank.com/thong-tin/blog/cic-la-gi
https://techcombank.com/thong-tin/blog/xep-hang-tin-dung
https://techcombank.com/thong-tin/blog/cach-thanh-toan-the-tin-dung
https://techcombank.com/thong-tin/blog/lai-suat-tiet-kiem
https://techcombank.com"&amp;"/thong-tin/blog/cach-tinh-lai-suat-tien-gui-tiet-kiem
https://techcombank.com/cong-cu-tien-ich/cong-cu-tinh-toan/bang-tinh-lai-suat-vay
https://techcombank.com/thong-tin/blog/app-vay-tien-nhanh
https://techcombank.com/thong-tin/blog/lai-suat-vay-ngan-hang")</f>
        <v>https://techcombank.com/thong-tin/blog/cic-la-gi
https://techcombank.com/thong-tin/blog/xep-hang-tin-dung
https://techcombank.com/thong-tin/blog/cach-thanh-toan-the-tin-dung
https://techcombank.com/thong-tin/blog/lai-suat-tiet-kiem
https://techcombank.com/thong-tin/blog/cach-tinh-lai-suat-tien-gui-tiet-kiem
https://techcombank.com/cong-cu-tien-ich/cong-cu-tinh-toan/bang-tinh-lai-suat-vay
https://techcombank.com/thong-tin/blog/app-vay-tien-nhanh
https://techcombank.com/thong-tin/blog/lai-suat-vay-ngan-hang</v>
      </c>
      <c r="D97" s="20"/>
      <c r="E97" s="20"/>
      <c r="F97" s="20"/>
      <c r="G97" s="20"/>
      <c r="H97" s="20"/>
      <c r="I97" s="20"/>
      <c r="J97" s="20"/>
      <c r="K97" s="20"/>
      <c r="L97" s="20"/>
      <c r="M97" s="20"/>
      <c r="N97" s="20"/>
      <c r="O97" s="20"/>
      <c r="P97" s="20"/>
      <c r="Q97" s="20"/>
      <c r="R97" s="20"/>
      <c r="S97" s="20"/>
      <c r="T97" s="20"/>
      <c r="U97" s="20"/>
      <c r="V97" s="20"/>
      <c r="W97" s="20"/>
      <c r="X97" s="20"/>
    </row>
    <row r="98">
      <c r="A98" s="27" t="str">
        <f>IFERROR(__xludf.DUMMYFUNCTION("""COMPUTED_VALUE"""),"https://techcombank.com/thong-tin/blog/du-no-la-gi")</f>
        <v>https://techcombank.com/thong-tin/blog/du-no-la-gi</v>
      </c>
      <c r="B98" s="28">
        <f>IFERROR(__xludf.DUMMYFUNCTION("""COMPUTED_VALUE"""),8.0)</f>
        <v>8</v>
      </c>
      <c r="C98" s="20" t="str">
        <f>IFERROR(__xludf.DUMMYFUNCTION("IF(A98="""","""",TEXTJOIN(CHAR(10),TRUE,FILTER('Tổng hợp 75 trang đích'!$B$2:$B$3400,'Tổng hợp 75 trang đích'!$I$2:$I$3400=A98)))"),"https://techcombank.com/thong-tin/blog/cic-la-gi
https://techcombank.com/thong-tin/blog/cach-thanh-toan-the-tin-dung
https://techcombank.com/thong-tin/blog/vay-ngan-hang-1-ty-moi-thang-tra-bao-nhieu
https://techcombank.com/thong-tin/blog/cach-tinh-lai-vay"&amp;"-ngan-hang
https://techcombank.com/thong-tin/blog/lai-suat-tiet-kiem
https://techcombank.com/thong-tin/blog/app-vay-tien-nhanh
https://techcombank.com/thong-tin/blog/no-xau-la-gi
https://techcombank.com/thong-tin/blog/vay-tin-chap-khong-tra-duoc-co-sao-kh"&amp;"ong")</f>
        <v>https://techcombank.com/thong-tin/blog/cic-la-gi
https://techcombank.com/thong-tin/blog/cach-thanh-toan-the-tin-dung
https://techcombank.com/thong-tin/blog/vay-ngan-hang-1-ty-moi-thang-tra-bao-nhieu
https://techcombank.com/thong-tin/blog/cach-tinh-lai-vay-ngan-hang
https://techcombank.com/thong-tin/blog/lai-suat-tiet-kiem
https://techcombank.com/thong-tin/blog/app-vay-tien-nhanh
https://techcombank.com/thong-tin/blog/no-xau-la-gi
https://techcombank.com/thong-tin/blog/vay-tin-chap-khong-tra-duoc-co-sao-khong</v>
      </c>
      <c r="D98" s="20"/>
      <c r="E98" s="20"/>
      <c r="F98" s="20"/>
      <c r="G98" s="20"/>
      <c r="H98" s="20"/>
      <c r="I98" s="20"/>
      <c r="J98" s="20"/>
      <c r="K98" s="20"/>
      <c r="L98" s="20"/>
      <c r="M98" s="20"/>
      <c r="N98" s="20"/>
      <c r="O98" s="20"/>
      <c r="P98" s="20"/>
      <c r="Q98" s="20"/>
      <c r="R98" s="20"/>
      <c r="S98" s="20"/>
      <c r="T98" s="20"/>
      <c r="U98" s="20"/>
      <c r="V98" s="20"/>
      <c r="W98" s="20"/>
      <c r="X98" s="20"/>
    </row>
    <row r="99">
      <c r="A99" s="27" t="str">
        <f>IFERROR(__xludf.DUMMYFUNCTION("""COMPUTED_VALUE"""),"https://techcombank.com/thong-tin/blog/du-no-tin-dung-la-gi")</f>
        <v>https://techcombank.com/thong-tin/blog/du-no-tin-dung-la-gi</v>
      </c>
      <c r="B99" s="28">
        <f>IFERROR(__xludf.DUMMYFUNCTION("""COMPUTED_VALUE"""),8.0)</f>
        <v>8</v>
      </c>
      <c r="C99" s="20" t="str">
        <f>IFERROR(__xludf.DUMMYFUNCTION("IF(A99="""","""",TEXTJOIN(CHAR(10),TRUE,FILTER('Tổng hợp 75 trang đích'!$B$2:$B$3400,'Tổng hợp 75 trang đích'!$I$2:$I$3400=A99)))"),"https://techcombank.com/thong-tin/blog/cic-la-gi
https://techcombank.com/thong-tin/blog/xep-hang-tin-dung
https://techcombank.com/thong-tin/blog/cach-tinh-lai-vay-ngan-hang
https://techcombank.com/cong-cu-tien-ich/cong-cu-tinh-toan/bang-tinh-lai-suat-vay
"&amp;"https://techcombank.com/thong-tin/blog/app-vay-tien-nhanh
https://techcombank.com/thong-tin/blog/lai-suat-vay-ngan-hang
https://techcombank.com/thong-tin/blog/kiem-tra-no-xau
https://techcombank.com/thong-tin/blog/no-xau-la-gi")</f>
        <v>https://techcombank.com/thong-tin/blog/cic-la-gi
https://techcombank.com/thong-tin/blog/xep-hang-tin-dung
https://techcombank.com/thong-tin/blog/cach-tinh-lai-vay-ngan-hang
https://techcombank.com/cong-cu-tien-ich/cong-cu-tinh-toan/bang-tinh-lai-suat-vay
https://techcombank.com/thong-tin/blog/app-vay-tien-nhanh
https://techcombank.com/thong-tin/blog/lai-suat-vay-ngan-hang
https://techcombank.com/thong-tin/blog/kiem-tra-no-xau
https://techcombank.com/thong-tin/blog/no-xau-la-gi</v>
      </c>
      <c r="D99" s="20"/>
      <c r="E99" s="20"/>
      <c r="F99" s="20"/>
      <c r="G99" s="20"/>
      <c r="H99" s="20"/>
      <c r="I99" s="20"/>
      <c r="J99" s="20"/>
      <c r="K99" s="20"/>
      <c r="L99" s="20"/>
      <c r="M99" s="20"/>
      <c r="N99" s="20"/>
      <c r="O99" s="20"/>
      <c r="P99" s="20"/>
      <c r="Q99" s="20"/>
      <c r="R99" s="20"/>
      <c r="S99" s="20"/>
      <c r="T99" s="20"/>
      <c r="U99" s="20"/>
      <c r="V99" s="20"/>
      <c r="W99" s="20"/>
      <c r="X99" s="20"/>
    </row>
    <row r="100">
      <c r="A100" s="27" t="str">
        <f>IFERROR(__xludf.DUMMYFUNCTION("""COMPUTED_VALUE"""),"https://techcombank.com/thong-tin/blog/ke-khai-thue-ho-kinh-doanh-ca-the-online")</f>
        <v>https://techcombank.com/thong-tin/blog/ke-khai-thue-ho-kinh-doanh-ca-the-online</v>
      </c>
      <c r="B100" s="28">
        <f>IFERROR(__xludf.DUMMYFUNCTION("""COMPUTED_VALUE"""),8.0)</f>
        <v>8</v>
      </c>
      <c r="C100" s="20" t="str">
        <f>IFERROR(__xludf.DUMMYFUNCTION("IF(A100="""","""",TEXTJOIN(CHAR(10),TRUE,FILTER('Tổng hợp 75 trang đích'!$B$2:$B$3400,'Tổng hợp 75 trang đích'!$I$2:$I$3400=A100)))"),"https://techcombank.com/thong-tin/blog/nop-thue-dat-qua-ngan-hang
https://techcombank.com/thong-tin/blog/cach-nop-thue-dien-tu
https://techcombank.com/thong-tin/blog/thue-vat-la-gi
https://techcombank.com/thong-tin/blog/cach-tinh-tien-dien-sinh-hoat
https"&amp;"://techcombank.com/thong-tin/blog/cach-tinh-thue-thu-nhap-ca-nhan-2025
https://techcombank.com/thong-tin/blog/thue-thu-nhap-ca-nhan
https://techcombank.com/thong-tin/blog/ho-kinh-doanh-dong-thue-nhu-nao
https://techcombank.com/thong-tin/blog/cach-tinh-thu"&amp;"e-ho-kinh-doanh-nho-le")</f>
        <v>https://techcombank.com/thong-tin/blog/nop-thue-dat-qua-ngan-hang
https://techcombank.com/thong-tin/blog/cach-nop-thue-dien-tu
https://techcombank.com/thong-tin/blog/thue-vat-la-gi
https://techcombank.com/thong-tin/blog/cach-tinh-tien-dien-sinh-hoat
https://techcombank.com/thong-tin/blog/cach-tinh-thue-thu-nhap-ca-nhan-2025
https://techcombank.com/thong-tin/blog/thue-thu-nhap-ca-nhan
https://techcombank.com/thong-tin/blog/ho-kinh-doanh-dong-thue-nhu-nao
https://techcombank.com/thong-tin/blog/cach-tinh-thue-ho-kinh-doanh-nho-le</v>
      </c>
      <c r="D100" s="20"/>
      <c r="E100" s="20"/>
      <c r="F100" s="20"/>
      <c r="G100" s="20"/>
      <c r="H100" s="20"/>
      <c r="I100" s="20"/>
      <c r="J100" s="20"/>
      <c r="K100" s="20"/>
      <c r="L100" s="20"/>
      <c r="M100" s="20"/>
      <c r="N100" s="20"/>
      <c r="O100" s="20"/>
      <c r="P100" s="20"/>
      <c r="Q100" s="20"/>
      <c r="R100" s="20"/>
      <c r="S100" s="20"/>
      <c r="T100" s="20"/>
      <c r="U100" s="20"/>
      <c r="V100" s="20"/>
      <c r="W100" s="20"/>
      <c r="X100" s="20"/>
    </row>
    <row r="101">
      <c r="A101" s="27" t="str">
        <f>IFERROR(__xludf.DUMMYFUNCTION("""COMPUTED_VALUE"""),"https://techcombank.com/thong-tin/blog/kiem-tra-no-xau")</f>
        <v>https://techcombank.com/thong-tin/blog/kiem-tra-no-xau</v>
      </c>
      <c r="B101" s="28">
        <f>IFERROR(__xludf.DUMMYFUNCTION("""COMPUTED_VALUE"""),8.0)</f>
        <v>8</v>
      </c>
      <c r="C101" s="20" t="str">
        <f>IFERROR(__xludf.DUMMYFUNCTION("IF(A101="""","""",TEXTJOIN(CHAR(10),TRUE,FILTER('Tổng hợp 75 trang đích'!$B$2:$B$3400,'Tổng hợp 75 trang đích'!$I$2:$I$3400=A101)))"),"https://techcombank.com/thong-tin/blog/cic-la-gi
https://techcombank.com/thong-tin/blog/xep-hang-tin-dung
https://techcombank.com/cong-cu-tien-ich/cong-cu-tinh-toan/bang-tinh-lai-suat-vay
https://techcombank.com/thong-tin/blog/app-vay-tien-nhanh
https://t"&amp;"echcombank.com/thong-tin/blog/lai-suat-vay-ngan-hang
https://techcombank.com/thong-tin/blog/vay-thau-chi-la-gi
https://techcombank.com/thong-tin/blog/no-xau-la-gi
https://techcombank.com/thong-tin/blog/vay-tin-chap-khong-tra-duoc-co-sao-khong")</f>
        <v>https://techcombank.com/thong-tin/blog/cic-la-gi
https://techcombank.com/thong-tin/blog/xep-hang-tin-dung
https://techcombank.com/cong-cu-tien-ich/cong-cu-tinh-toan/bang-tinh-lai-suat-vay
https://techcombank.com/thong-tin/blog/app-vay-tien-nhanh
https://techcombank.com/thong-tin/blog/lai-suat-vay-ngan-hang
https://techcombank.com/thong-tin/blog/vay-thau-chi-la-gi
https://techcombank.com/thong-tin/blog/no-xau-la-gi
https://techcombank.com/thong-tin/blog/vay-tin-chap-khong-tra-duoc-co-sao-khong</v>
      </c>
      <c r="D101" s="20"/>
      <c r="E101" s="20"/>
      <c r="F101" s="20"/>
      <c r="G101" s="20"/>
      <c r="H101" s="20"/>
      <c r="I101" s="20"/>
      <c r="J101" s="20"/>
      <c r="K101" s="20"/>
      <c r="L101" s="20"/>
      <c r="M101" s="20"/>
      <c r="N101" s="20"/>
      <c r="O101" s="20"/>
      <c r="P101" s="20"/>
      <c r="Q101" s="20"/>
      <c r="R101" s="20"/>
      <c r="S101" s="20"/>
      <c r="T101" s="20"/>
      <c r="U101" s="20"/>
      <c r="V101" s="20"/>
      <c r="W101" s="20"/>
      <c r="X101" s="20"/>
    </row>
    <row r="102">
      <c r="A102" s="27" t="str">
        <f>IFERROR(__xludf.DUMMYFUNCTION("""COMPUTED_VALUE"""),"https://techcombank.com/thong-tin/blog/kinh-nghiem-vay-tien-ngan-hang-xay-nha")</f>
        <v>https://techcombank.com/thong-tin/blog/kinh-nghiem-vay-tien-ngan-hang-xay-nha</v>
      </c>
      <c r="B102" s="28">
        <f>IFERROR(__xludf.DUMMYFUNCTION("""COMPUTED_VALUE"""),8.0)</f>
        <v>8</v>
      </c>
      <c r="C102" s="20" t="str">
        <f>IFERROR(__xludf.DUMMYFUNCTION("IF(A102="""","""",TEXTJOIN(CHAR(10),TRUE,FILTER('Tổng hợp 75 trang đích'!$B$2:$B$3400,'Tổng hợp 75 trang đích'!$I$2:$I$3400=A102)))"),"https://techcombank.com/thong-tin/blog/cach-tinh-tien-dien-sinh-hoat
https://techcombank.com/thong-tin/blog/cach-tinh-lai-vay-ngan-hang
https://techcombank.com/thong-tin/blog/lai-suat-tiet-kiem
https://techcombank.com/thong-tin/blog/cach-tinh-lai-suat-tie"&amp;"n-gui-tiet-kiem
https://techcombank.com/cong-cu-tien-ich/cong-cu-tinh-toan/bang-tinh-lai-suat-vay
https://techcombank.com/thong-tin/blog/app-vay-tien-nhanh
https://techcombank.com/thong-tin/blog/lai-suat-vay-ngan-hang
https://techcombank.com/thong-tin/blo"&amp;"g/vay-thau-chi-la-gi")</f>
        <v>https://techcombank.com/thong-tin/blog/cach-tinh-tien-dien-sinh-hoat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102" s="20"/>
      <c r="E102" s="20"/>
      <c r="F102" s="20"/>
      <c r="G102" s="20"/>
      <c r="H102" s="20"/>
      <c r="I102" s="20"/>
      <c r="J102" s="20"/>
      <c r="K102" s="20"/>
      <c r="L102" s="20"/>
      <c r="M102" s="20"/>
      <c r="N102" s="20"/>
      <c r="O102" s="20"/>
      <c r="P102" s="20"/>
      <c r="Q102" s="20"/>
      <c r="R102" s="20"/>
      <c r="S102" s="20"/>
      <c r="T102" s="20"/>
      <c r="U102" s="20"/>
      <c r="V102" s="20"/>
      <c r="W102" s="20"/>
      <c r="X102" s="20"/>
    </row>
    <row r="103">
      <c r="A103" s="27" t="str">
        <f>IFERROR(__xludf.DUMMYFUNCTION("""COMPUTED_VALUE"""),"https://techcombank.com/thong-tin/blog/lai-suat-chung-chi-quy")</f>
        <v>https://techcombank.com/thong-tin/blog/lai-suat-chung-chi-quy</v>
      </c>
      <c r="B103" s="28">
        <f>IFERROR(__xludf.DUMMYFUNCTION("""COMPUTED_VALUE"""),8.0)</f>
        <v>8</v>
      </c>
      <c r="C103" s="20" t="str">
        <f>IFERROR(__xludf.DUMMYFUNCTION("IF(A103="""","""",TEXTJOIN(CHAR(10),TRUE,FILTER('Tổng hợp 75 trang đích'!$B$2:$B$3400,'Tổng hợp 75 trang đích'!$I$2:$I$3400=A103)))"),"https://techcombank.com/thong-tin/blog/thue-thu-nhap-doanh-nghiep
https://techcombank.com/thong-tin/blog/cach-tinh-thue-thu-nhap-doanh-nghiep
https://techcombank.com/thong-tin/blog/cach-tinh-thue-thu-nhap-ca-nhan-2025
https://techcombank.com/thong-tin/blo"&amp;"g/lai-suat-chung-chi-tien-gui-cac-ngan-hang
https://techcombank.com/thong-tin/blog/lai-suat-tiet-kiem
https://techcombank.com/thong-tin/blog/cach-tinh-lai-suat-tien-gui-tiet-kiem
https://techcombank.com/cong-cu-tien-ich/cong-cu-tinh-toan/bang-tinh-lai-sua"&amp;"t-tiet-kiem
https://techcombank.com/thong-tin/blog/phuong-phap-dau-tu-chung-chi-quy")</f>
        <v>https://techcombank.com/thong-tin/blog/thue-thu-nhap-doanh-nghiep
https://techcombank.com/thong-tin/blog/cach-tinh-thue-thu-nhap-doanh-nghiep
https://techcombank.com/thong-tin/blog/cach-tinh-thue-thu-nhap-ca-nhan-2025
https://techcombank.com/thong-tin/blog/lai-suat-chung-chi-tien-gui-cac-ngan-hang
https://techcombank.com/thong-tin/blog/lai-suat-tiet-kiem
https://techcombank.com/thong-tin/blog/cach-tinh-lai-suat-tien-gui-tiet-kiem
https://techcombank.com/cong-cu-tien-ich/cong-cu-tinh-toan/bang-tinh-lai-suat-tiet-kiem
https://techcombank.com/thong-tin/blog/phuong-phap-dau-tu-chung-chi-quy</v>
      </c>
      <c r="D103" s="20"/>
      <c r="E103" s="20"/>
      <c r="F103" s="20"/>
      <c r="G103" s="20"/>
      <c r="H103" s="20"/>
      <c r="I103" s="20"/>
      <c r="J103" s="20"/>
      <c r="K103" s="20"/>
      <c r="L103" s="20"/>
      <c r="M103" s="20"/>
      <c r="N103" s="20"/>
      <c r="O103" s="20"/>
      <c r="P103" s="20"/>
      <c r="Q103" s="20"/>
      <c r="R103" s="20"/>
      <c r="S103" s="20"/>
      <c r="T103" s="20"/>
      <c r="U103" s="20"/>
      <c r="V103" s="20"/>
      <c r="W103" s="20"/>
      <c r="X103" s="20"/>
    </row>
    <row r="104">
      <c r="A104" s="27" t="str">
        <f>IFERROR(__xludf.DUMMYFUNCTION("""COMPUTED_VALUE"""),"https://techcombank.com/thong-tin/blog/lai-suat-qua-han")</f>
        <v>https://techcombank.com/thong-tin/blog/lai-suat-qua-han</v>
      </c>
      <c r="B104" s="28">
        <f>IFERROR(__xludf.DUMMYFUNCTION("""COMPUTED_VALUE"""),8.0)</f>
        <v>8</v>
      </c>
      <c r="C104" s="20" t="str">
        <f>IFERROR(__xludf.DUMMYFUNCTION("IF(A104="""","""",TEXTJOIN(CHAR(10),TRUE,FILTER('Tổng hợp 75 trang đích'!$B$2:$B$3400,'Tổng hợp 75 trang đích'!$I$2:$I$3400=A104)))"),"https://techcombank.com/thong-tin/blog/lai-suat-tiet-kiem
https://techcombank.com/thong-tin/blog/cach-tinh-lai-suat-tien-gui-tiet-kiem
https://techcombank.com/cong-cu-tien-ich/cong-cu-tinh-toan/bang-tinh-lai-suat-vay
https://techcombank.com/cong-cu-tien-i"&amp;"ch/cong-cu-tinh-toan/bang-tinh-lai-suat-tiet-kiem
https://techcombank.com/thong-tin/blog/app-vay-tien-nhanh
https://techcombank.com/thong-tin/blog/lai-suat-vay-ngan-hang
https://techcombank.com/thong-tin/blog/no-xau-la-gi
https://techcombank.com/thong-tin"&amp;"/blog/vay-tin-chap-khong-tra-duoc-co-sao-khong")</f>
        <v>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
https://techcombank.com/thong-tin/blog/lai-suat-vay-ngan-hang
https://techcombank.com/thong-tin/blog/no-xau-la-gi
https://techcombank.com/thong-tin/blog/vay-tin-chap-khong-tra-duoc-co-sao-khong</v>
      </c>
      <c r="D104" s="20"/>
      <c r="E104" s="20"/>
      <c r="F104" s="20"/>
      <c r="G104" s="20"/>
      <c r="H104" s="20"/>
      <c r="I104" s="20"/>
      <c r="J104" s="20"/>
      <c r="K104" s="20"/>
      <c r="L104" s="20"/>
      <c r="M104" s="20"/>
      <c r="N104" s="20"/>
      <c r="O104" s="20"/>
      <c r="P104" s="20"/>
      <c r="Q104" s="20"/>
      <c r="R104" s="20"/>
      <c r="S104" s="20"/>
      <c r="T104" s="20"/>
      <c r="U104" s="20"/>
      <c r="V104" s="20"/>
      <c r="W104" s="20"/>
      <c r="X104" s="20"/>
    </row>
    <row r="105">
      <c r="A105" s="27" t="str">
        <f>IFERROR(__xludf.DUMMYFUNCTION("""COMPUTED_VALUE"""),"https://techcombank.com/thong-tin/blog/lai-suat-tiet-kiem")</f>
        <v>https://techcombank.com/thong-tin/blog/lai-suat-tiet-kiem</v>
      </c>
      <c r="B105" s="28">
        <f>IFERROR(__xludf.DUMMYFUNCTION("""COMPUTED_VALUE"""),8.0)</f>
        <v>8</v>
      </c>
      <c r="C105" s="20" t="str">
        <f>IFERROR(__xludf.DUMMYFUNCTION("IF(A105="""","""",TEXTJOIN(CHAR(10),TRUE,FILTER('Tổng hợp 75 trang đích'!$B$2:$B$3400,'Tổng hợp 75 trang đích'!$I$2:$I$3400=A105)))"),"https://techcombank.com/thong-tin/blog/ngan-hang-uy-tin
https://techcombank.com/thong-tin/blog/lai-suat-chung-chi-tien-gui-cac-ngan-hang
https://techcombank.com/thong-tin/blog/cach-tinh-lai-vay-ngan-hang
https://techcombank.com/thong-tin/blog/cach-tinh-la"&amp;"i-suat-tien-gui-tiet-kiem
https://techcombank.com/thong-tin/blog/so-tiet-kiem-ngan-hang
https://techcombank.com/thong-tin/blog/rui-ro-khi-gui-tiet-kiem-online
https://techcombank.com/cong-cu-tien-ich/cong-cu-tinh-toan/bang-tinh-lai-suat-tiet-kiem
https://"&amp;"techcombank.com/thong-tin/blog/app-vay-tien-nhanh")</f>
        <v>https://techcombank.com/thong-tin/blog/ngan-hang-uy-tin
https://techcombank.com/thong-tin/blog/lai-suat-chung-chi-tien-gui-cac-ngan-hang
https://techcombank.com/thong-tin/blog/cach-tinh-lai-vay-ngan-hang
https://techcombank.com/thong-tin/blog/cach-tinh-lai-suat-tien-gui-tiet-kiem
https://techcombank.com/thong-tin/blog/so-tiet-kiem-ngan-hang
https://techcombank.com/thong-tin/blog/rui-ro-khi-gui-tiet-kiem-online
https://techcombank.com/cong-cu-tien-ich/cong-cu-tinh-toan/bang-tinh-lai-suat-tiet-kiem
https://techcombank.com/thong-tin/blog/app-vay-tien-nhanh</v>
      </c>
      <c r="D105" s="20"/>
      <c r="E105" s="20"/>
      <c r="F105" s="20"/>
      <c r="G105" s="20"/>
      <c r="H105" s="20"/>
      <c r="I105" s="20"/>
      <c r="J105" s="20"/>
      <c r="K105" s="20"/>
      <c r="L105" s="20"/>
      <c r="M105" s="20"/>
      <c r="N105" s="20"/>
      <c r="O105" s="20"/>
      <c r="P105" s="20"/>
      <c r="Q105" s="20"/>
      <c r="R105" s="20"/>
      <c r="S105" s="20"/>
      <c r="T105" s="20"/>
      <c r="U105" s="20"/>
      <c r="V105" s="20"/>
      <c r="W105" s="20"/>
      <c r="X105" s="20"/>
    </row>
    <row r="106">
      <c r="A106" s="27" t="str">
        <f>IFERROR(__xludf.DUMMYFUNCTION("""COMPUTED_VALUE"""),"https://techcombank.com/thong-tin/blog/lai-suat-vay-thau-chi")</f>
        <v>https://techcombank.com/thong-tin/blog/lai-suat-vay-thau-chi</v>
      </c>
      <c r="B106" s="28">
        <f>IFERROR(__xludf.DUMMYFUNCTION("""COMPUTED_VALUE"""),8.0)</f>
        <v>8</v>
      </c>
      <c r="C106" s="20" t="str">
        <f>IFERROR(__xludf.DUMMYFUNCTION("IF(A106="""","""",TEXTJOIN(CHAR(10),TRUE,FILTER('Tổng hợp 75 trang đích'!$B$2:$B$3400,'Tổng hợp 75 trang đích'!$I$2:$I$3400=A106)))"),"https://techcombank.com/thong-tin/blog/lai-suat-vay-mua-o-to
https://techcombank.com/thong-tin/blog/cach-tinh-lai-vay-ngan-hang
https://techcombank.com/thong-tin/blog/lai-suat-tiet-kiem
https://techcombank.com/thong-tin/blog/cach-tinh-lai-suat-tien-gui-ti"&amp;"et-kiem
https://techcombank.com/cong-cu-tien-ich/cong-cu-tinh-toan/bang-tinh-lai-suat-vay
https://techcombank.com/cong-cu-tien-ich/cong-cu-tinh-toan/bang-tinh-lai-suat-tiet-kiem
https://techcombank.com/thong-tin/blog/app-vay-tien-nhanh
https://techcombank"&amp;".com/thong-tin/blog/lai-suat-vay-ngan-hang")</f>
        <v>https://techcombank.com/thong-tin/blog/lai-suat-vay-mua-o-to
https://techcombank.com/thong-tin/blog/cach-tinh-lai-vay-ngan-hang
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
https://techcombank.com/thong-tin/blog/lai-suat-vay-ngan-hang</v>
      </c>
      <c r="D106" s="20"/>
      <c r="E106" s="20"/>
      <c r="F106" s="20"/>
      <c r="G106" s="20"/>
      <c r="H106" s="20"/>
      <c r="I106" s="20"/>
      <c r="J106" s="20"/>
      <c r="K106" s="20"/>
      <c r="L106" s="20"/>
      <c r="M106" s="20"/>
      <c r="N106" s="20"/>
      <c r="O106" s="20"/>
      <c r="P106" s="20"/>
      <c r="Q106" s="20"/>
      <c r="R106" s="20"/>
      <c r="S106" s="20"/>
      <c r="T106" s="20"/>
      <c r="U106" s="20"/>
      <c r="V106" s="20"/>
      <c r="W106" s="20"/>
      <c r="X106" s="20"/>
    </row>
    <row r="107">
      <c r="A107" s="27" t="str">
        <f>IFERROR(__xludf.DUMMYFUNCTION("""COMPUTED_VALUE"""),"https://techcombank.com/thong-tin/blog/mobile-banking-la-gi")</f>
        <v>https://techcombank.com/thong-tin/blog/mobile-banking-la-gi</v>
      </c>
      <c r="B107" s="28">
        <f>IFERROR(__xludf.DUMMYFUNCTION("""COMPUTED_VALUE"""),8.0)</f>
        <v>8</v>
      </c>
      <c r="C107" s="20" t="str">
        <f>IFERROR(__xludf.DUMMYFUNCTION("IF(A107="""","""",TEXTJOIN(CHAR(10),TRUE,FILTER('Tổng hợp 75 trang đích'!$B$2:$B$3400,'Tổng hợp 75 trang đích'!$I$2:$I$3400=A107)))"),"https://techcombank.com/thong-tin/blog/cach-nap-the-viettel
https://techcombank.com/thong-tin/blog/mo-tai-khoan-ngan-hang-duoi-18-tuoi
https://techcombank.com/thong-tin/blog/ten-dang-nhap-tai-khoan-ngan-hang-la-gi
https://techcombank.com/thong-tin/blog/ca"&amp;"ch-quet-nfc-cccd-tren-iphone
https://techcombank.com/thong-tin/blog/cach-thanh-toan-the-tin-dung
https://techcombank.com/thong-tin/blog/tien-thai-lan
https://techcombank.com/thong-tin/blog/lai-suat-tiet-kiem
https://techcombank.com/thong-tin/blog/cach-tin"&amp;"h-lai-suat-tien-gui-tiet-kiem")</f>
        <v>https://techcombank.com/thong-tin/blog/cach-nap-the-viettel
https://techcombank.com/thong-tin/blog/mo-tai-khoan-ngan-hang-duoi-18-tuoi
https://techcombank.com/thong-tin/blog/ten-dang-nhap-tai-khoan-ngan-hang-la-gi
https://techcombank.com/thong-tin/blog/cach-quet-nfc-cccd-tren-iphone
https://techcombank.com/thong-tin/blog/cach-thanh-toan-the-tin-dung
https://techcombank.com/thong-tin/blog/tien-thai-lan
https://techcombank.com/thong-tin/blog/lai-suat-tiet-kiem
https://techcombank.com/thong-tin/blog/cach-tinh-lai-suat-tien-gui-tiet-kiem</v>
      </c>
      <c r="D107" s="20"/>
      <c r="E107" s="20"/>
      <c r="F107" s="20"/>
      <c r="G107" s="20"/>
      <c r="H107" s="20"/>
      <c r="I107" s="20"/>
      <c r="J107" s="20"/>
      <c r="K107" s="20"/>
      <c r="L107" s="20"/>
      <c r="M107" s="20"/>
      <c r="N107" s="20"/>
      <c r="O107" s="20"/>
      <c r="P107" s="20"/>
      <c r="Q107" s="20"/>
      <c r="R107" s="20"/>
      <c r="S107" s="20"/>
      <c r="T107" s="20"/>
      <c r="U107" s="20"/>
      <c r="V107" s="20"/>
      <c r="W107" s="20"/>
      <c r="X107" s="20"/>
    </row>
    <row r="108">
      <c r="A108" s="27" t="str">
        <f>IFERROR(__xludf.DUMMYFUNCTION("""COMPUTED_VALUE"""),"https://techcombank.com/thong-tin/blog/no-nhom-3")</f>
        <v>https://techcombank.com/thong-tin/blog/no-nhom-3</v>
      </c>
      <c r="B108" s="28">
        <f>IFERROR(__xludf.DUMMYFUNCTION("""COMPUTED_VALUE"""),8.0)</f>
        <v>8</v>
      </c>
      <c r="C108" s="20" t="str">
        <f>IFERROR(__xludf.DUMMYFUNCTION("IF(A108="""","""",TEXTJOIN(CHAR(10),TRUE,FILTER('Tổng hợp 75 trang đích'!$B$2:$B$3400,'Tổng hợp 75 trang đích'!$I$2:$I$3400=A108)))"),"https://techcombank.com/thong-tin/blog/cic-la-gi
https://techcombank.com/thong-tin/blog/xep-hang-tin-dung
https://techcombank.com/cong-cu-tien-ich/cong-cu-tinh-toan/bang-tinh-lai-suat-vay
https://techcombank.com/thong-tin/blog/app-vay-tien-nhanh
https://t"&amp;"echcombank.com/thong-tin/blog/lai-suat-vay-ngan-hang
https://techcombank.com/thong-tin/blog/kiem-tra-no-xau
https://techcombank.com/thong-tin/blog/no-xau-la-gi
https://techcombank.com/thong-tin/blog/vay-tin-chap-khong-tra-duoc-co-sao-khong")</f>
        <v>https://techcombank.com/thong-tin/blog/cic-la-gi
https://techcombank.com/thong-tin/blog/xep-hang-tin-dung
https://techcombank.com/cong-cu-tien-ich/cong-cu-tinh-toan/bang-tinh-lai-suat-vay
https://techcombank.com/thong-tin/blog/app-vay-tien-nhanh
https://techcombank.com/thong-tin/blog/lai-suat-vay-ngan-hang
https://techcombank.com/thong-tin/blog/kiem-tra-no-xau
https://techcombank.com/thong-tin/blog/no-xau-la-gi
https://techcombank.com/thong-tin/blog/vay-tin-chap-khong-tra-duoc-co-sao-khong</v>
      </c>
      <c r="D108" s="20"/>
      <c r="E108" s="20"/>
      <c r="F108" s="20"/>
      <c r="G108" s="20"/>
      <c r="H108" s="20"/>
      <c r="I108" s="20"/>
      <c r="J108" s="20"/>
      <c r="K108" s="20"/>
      <c r="L108" s="20"/>
      <c r="M108" s="20"/>
      <c r="N108" s="20"/>
      <c r="O108" s="20"/>
      <c r="P108" s="20"/>
      <c r="Q108" s="20"/>
      <c r="R108" s="20"/>
      <c r="S108" s="20"/>
      <c r="T108" s="20"/>
      <c r="U108" s="20"/>
      <c r="V108" s="20"/>
      <c r="W108" s="20"/>
      <c r="X108" s="20"/>
    </row>
    <row r="109">
      <c r="A109" s="27" t="str">
        <f>IFERROR(__xludf.DUMMYFUNCTION("""COMPUTED_VALUE"""),"https://techcombank.com/thong-tin/blog/no-xau-co-vay-the-chap-duoc-khong")</f>
        <v>https://techcombank.com/thong-tin/blog/no-xau-co-vay-the-chap-duoc-khong</v>
      </c>
      <c r="B109" s="28">
        <f>IFERROR(__xludf.DUMMYFUNCTION("""COMPUTED_VALUE"""),8.0)</f>
        <v>8</v>
      </c>
      <c r="C109" s="20" t="str">
        <f>IFERROR(__xludf.DUMMYFUNCTION("IF(A109="""","""",TEXTJOIN(CHAR(10),TRUE,FILTER('Tổng hợp 75 trang đích'!$B$2:$B$3400,'Tổng hợp 75 trang đích'!$I$2:$I$3400=A109)))"),"https://techcombank.com/thong-tin/blog/cic-la-gi
https://techcombank.com/thong-tin/blog/xep-hang-tin-dung
https://techcombank.com/thong-tin/blog/lai-suat-vay-the-chap-so-do
https://techcombank.com/cong-cu-tien-ich/cong-cu-tinh-toan/bang-tinh-lai-suat-vay
"&amp;"https://techcombank.com/thong-tin/blog/app-vay-tien-nhanh
https://techcombank.com/thong-tin/blog/lai-suat-vay-ngan-hang
https://techcombank.com/thong-tin/blog/no-xau-la-gi
https://techcombank.com/thong-tin/blog/vay-tin-chap-khong-tra-duoc-co-sao-khong")</f>
        <v>https://techcombank.com/thong-tin/blog/cic-la-gi
https://techcombank.com/thong-tin/blog/xep-hang-tin-dung
https://techcombank.com/thong-tin/blog/lai-suat-vay-the-chap-so-do
https://techcombank.com/cong-cu-tien-ich/cong-cu-tinh-toan/bang-tinh-lai-suat-vay
https://techcombank.com/thong-tin/blog/app-vay-tien-nhanh
https://techcombank.com/thong-tin/blog/lai-suat-vay-ngan-hang
https://techcombank.com/thong-tin/blog/no-xau-la-gi
https://techcombank.com/thong-tin/blog/vay-tin-chap-khong-tra-duoc-co-sao-khong</v>
      </c>
      <c r="D109" s="20"/>
      <c r="E109" s="20"/>
      <c r="F109" s="20"/>
      <c r="G109" s="20"/>
      <c r="H109" s="20"/>
      <c r="I109" s="20"/>
      <c r="J109" s="20"/>
      <c r="K109" s="20"/>
      <c r="L109" s="20"/>
      <c r="M109" s="20"/>
      <c r="N109" s="20"/>
      <c r="O109" s="20"/>
      <c r="P109" s="20"/>
      <c r="Q109" s="20"/>
      <c r="R109" s="20"/>
      <c r="S109" s="20"/>
      <c r="T109" s="20"/>
      <c r="U109" s="20"/>
      <c r="V109" s="20"/>
      <c r="W109" s="20"/>
      <c r="X109" s="20"/>
    </row>
    <row r="110">
      <c r="A110" s="27" t="str">
        <f>IFERROR(__xludf.DUMMYFUNCTION("""COMPUTED_VALUE"""),"https://techcombank.com/thong-tin/blog/no-xau-nhom-2")</f>
        <v>https://techcombank.com/thong-tin/blog/no-xau-nhom-2</v>
      </c>
      <c r="B110" s="28">
        <f>IFERROR(__xludf.DUMMYFUNCTION("""COMPUTED_VALUE"""),8.0)</f>
        <v>8</v>
      </c>
      <c r="C110" s="20" t="str">
        <f>IFERROR(__xludf.DUMMYFUNCTION("IF(A110="""","""",TEXTJOIN(CHAR(10),TRUE,FILTER('Tổng hợp 75 trang đích'!$B$2:$B$3400,'Tổng hợp 75 trang đích'!$I$2:$I$3400=A110)))"),"https://techcombank.com/thong-tin/blog/cic-la-gi
https://techcombank.com/thong-tin/blog/rut-tien-mat-tu-the-tin-dung
https://techcombank.com/thong-tin/blog/xep-hang-tin-dung
https://techcombank.com/cong-cu-tien-ich/cong-cu-tinh-toan/bang-tinh-lai-suat-vay"&amp;"
https://techcombank.com/thong-tin/blog/app-vay-tien-nhanh
https://techcombank.com/thong-tin/blog/lai-suat-vay-ngan-hang
https://techcombank.com/thong-tin/blog/vay-thau-chi-la-gi
https://techcombank.com/thong-tin/blog/kiem-tra-no-xau")</f>
        <v>https://techcombank.com/thong-tin/blog/cic-la-gi
https://techcombank.com/thong-tin/blog/rut-tien-mat-tu-the-tin-dung
https://techcombank.com/thong-tin/blog/xep-hang-tin-dung
https://techcombank.com/cong-cu-tien-ich/cong-cu-tinh-toan/bang-tinh-lai-suat-vay
https://techcombank.com/thong-tin/blog/app-vay-tien-nhanh
https://techcombank.com/thong-tin/blog/lai-suat-vay-ngan-hang
https://techcombank.com/thong-tin/blog/vay-thau-chi-la-gi
https://techcombank.com/thong-tin/blog/kiem-tra-no-xau</v>
      </c>
      <c r="D110" s="20"/>
      <c r="E110" s="20"/>
      <c r="F110" s="20"/>
      <c r="G110" s="20"/>
      <c r="H110" s="20"/>
      <c r="I110" s="20"/>
      <c r="J110" s="20"/>
      <c r="K110" s="20"/>
      <c r="L110" s="20"/>
      <c r="M110" s="20"/>
      <c r="N110" s="20"/>
      <c r="O110" s="20"/>
      <c r="P110" s="20"/>
      <c r="Q110" s="20"/>
      <c r="R110" s="20"/>
      <c r="S110" s="20"/>
      <c r="T110" s="20"/>
      <c r="U110" s="20"/>
      <c r="V110" s="20"/>
      <c r="W110" s="20"/>
      <c r="X110" s="20"/>
    </row>
    <row r="111">
      <c r="A111" s="27" t="str">
        <f>IFERROR(__xludf.DUMMYFUNCTION("""COMPUTED_VALUE"""),"https://techcombank.com/thong-tin/blog/nop-thue-hai-quan")</f>
        <v>https://techcombank.com/thong-tin/blog/nop-thue-hai-quan</v>
      </c>
      <c r="B111" s="28">
        <f>IFERROR(__xludf.DUMMYFUNCTION("""COMPUTED_VALUE"""),8.0)</f>
        <v>8</v>
      </c>
      <c r="C111" s="20" t="str">
        <f>IFERROR(__xludf.DUMMYFUNCTION("IF(A111="""","""",TEXTJOIN(CHAR(10),TRUE,FILTER('Tổng hợp 75 trang đích'!$B$2:$B$3400,'Tổng hợp 75 trang đích'!$I$2:$I$3400=A111)))"),"https://techcombank.com/thong-tin/blog/nop-thue-dat-qua-ngan-hang
https://techcombank.com/thong-tin/blog/cach-nop-thue-dien-tu
https://techcombank.com/thong-tin/blog/tra-cuu-no-thue-doanh-nghiep
https://techcombank.com/thong-tin/blog/day-so-phat-tai-phat-"&amp;"loc
https://techcombank.com/thong-tin/blog/kiem-tra-thue-thu-nhap-ca-nhan
https://techcombank.com/thong-tin/blog/cic-la-gi
https://techcombank.com/thong-tin/blog/tien-nhat
https://techcombank.com/thong-tin/blog/tien-thai-lan")</f>
        <v>https://techcombank.com/thong-tin/blog/nop-thue-dat-qua-ngan-hang
https://techcombank.com/thong-tin/blog/cach-nop-thue-dien-tu
https://techcombank.com/thong-tin/blog/tra-cuu-no-thue-doanh-nghiep
https://techcombank.com/thong-tin/blog/day-so-phat-tai-phat-loc
https://techcombank.com/thong-tin/blog/kiem-tra-thue-thu-nhap-ca-nhan
https://techcombank.com/thong-tin/blog/cic-la-gi
https://techcombank.com/thong-tin/blog/tien-nhat
https://techcombank.com/thong-tin/blog/tien-thai-lan</v>
      </c>
      <c r="D111" s="20"/>
      <c r="E111" s="20"/>
      <c r="F111" s="20"/>
      <c r="G111" s="20"/>
      <c r="H111" s="20"/>
      <c r="I111" s="20"/>
      <c r="J111" s="20"/>
      <c r="K111" s="20"/>
      <c r="L111" s="20"/>
      <c r="M111" s="20"/>
      <c r="N111" s="20"/>
      <c r="O111" s="20"/>
      <c r="P111" s="20"/>
      <c r="Q111" s="20"/>
      <c r="R111" s="20"/>
      <c r="S111" s="20"/>
      <c r="T111" s="20"/>
      <c r="U111" s="20"/>
      <c r="V111" s="20"/>
      <c r="W111" s="20"/>
      <c r="X111" s="20"/>
    </row>
    <row r="112">
      <c r="A112" s="27" t="str">
        <f>IFERROR(__xludf.DUMMYFUNCTION("""COMPUTED_VALUE"""),"https://techcombank.com/thong-tin/blog/rui-ro-khi-vay-the-chap-ngan-hang")</f>
        <v>https://techcombank.com/thong-tin/blog/rui-ro-khi-vay-the-chap-ngan-hang</v>
      </c>
      <c r="B112" s="28">
        <f>IFERROR(__xludf.DUMMYFUNCTION("""COMPUTED_VALUE"""),8.0)</f>
        <v>8</v>
      </c>
      <c r="C112" s="20" t="str">
        <f>IFERROR(__xludf.DUMMYFUNCTION("IF(A112="""","""",TEXTJOIN(CHAR(10),TRUE,FILTER('Tổng hợp 75 trang đích'!$B$2:$B$3400,'Tổng hợp 75 trang đích'!$I$2:$I$3400=A112)))"),"https://techcombank.com/thong-tin/blog/cach-tinh-lai-vay-ngan-hang
https://techcombank.com/thong-tin/blog/lai-suat-vay-the-chap-so-do
https://techcombank.com/thong-tin/blog/ho-so-thu-tuc-xoa-the-chap
https://techcombank.com/thong-tin/blog/cach-tinh-lai-su"&amp;"at-tien-gui-tiet-kiem
https://techcombank.com/thong-tin/blog/rui-ro-khi-gui-tiet-kiem-online
https://techcombank.com/cong-cu-tien-ich/cong-cu-tinh-toan/bang-tinh-lai-suat-tiet-kiem
https://techcombank.com/thong-tin/blog/app-vay-tien-nhanh
https://techcomb"&amp;"ank.com/thong-tin/blog/lai-suat-vay-ngan-hang")</f>
        <v>https://techcombank.com/thong-tin/blog/cach-tinh-lai-vay-ngan-hang
https://techcombank.com/thong-tin/blog/lai-suat-vay-the-chap-so-do
https://techcombank.com/thong-tin/blog/ho-so-thu-tuc-xoa-the-chap
https://techcombank.com/thong-tin/blog/cach-tinh-lai-suat-tien-gui-tiet-kiem
https://techcombank.com/thong-tin/blog/rui-ro-khi-gui-tiet-kiem-online
https://techcombank.com/cong-cu-tien-ich/cong-cu-tinh-toan/bang-tinh-lai-suat-tiet-kiem
https://techcombank.com/thong-tin/blog/app-vay-tien-nhanh
https://techcombank.com/thong-tin/blog/lai-suat-vay-ngan-hang</v>
      </c>
      <c r="D112" s="20"/>
      <c r="E112" s="20"/>
      <c r="F112" s="20"/>
      <c r="G112" s="20"/>
      <c r="H112" s="20"/>
      <c r="I112" s="20"/>
      <c r="J112" s="20"/>
      <c r="K112" s="20"/>
      <c r="L112" s="20"/>
      <c r="M112" s="20"/>
      <c r="N112" s="20"/>
      <c r="O112" s="20"/>
      <c r="P112" s="20"/>
      <c r="Q112" s="20"/>
      <c r="R112" s="20"/>
      <c r="S112" s="20"/>
      <c r="T112" s="20"/>
      <c r="U112" s="20"/>
      <c r="V112" s="20"/>
      <c r="W112" s="20"/>
      <c r="X112" s="20"/>
    </row>
    <row r="113">
      <c r="A113" s="27" t="str">
        <f>IFERROR(__xludf.DUMMYFUNCTION("""COMPUTED_VALUE"""),"https://techcombank.com/thong-tin/blog/so-sanh-gui-tiet-kiem-online-va-tai-quay")</f>
        <v>https://techcombank.com/thong-tin/blog/so-sanh-gui-tiet-kiem-online-va-tai-quay</v>
      </c>
      <c r="B113" s="28">
        <f>IFERROR(__xludf.DUMMYFUNCTION("""COMPUTED_VALUE"""),8.0)</f>
        <v>8</v>
      </c>
      <c r="C113" s="20" t="str">
        <f>IFERROR(__xludf.DUMMYFUNCTION("IF(A113="""","""",TEXTJOIN(CHAR(10),TRUE,FILTER('Tổng hợp 75 trang đích'!$B$2:$B$3400,'Tổng hợp 75 trang đích'!$I$2:$I$3400=A113)))"),"https://techcombank.com/thong-tin/blog/cach-nap-the-viettel
https://techcombank.com/thong-tin/blog/lai-suat-chung-chi-tien-gui-cac-ngan-hang
https://techcombank.com/thong-tin/blog/lai-suat-tiet-kiem
https://techcombank.com/thong-tin/blog/cach-tinh-lai-sua"&amp;"t-tien-gui-tiet-kiem
https://techcombank.com/thong-tin/blog/rut-tien-tiet-kiem-truoc-thoi-han
https://techcombank.com/thong-tin/blog/rui-ro-khi-gui-tiet-kiem-online
https://techcombank.com/cong-cu-tien-ich/cong-cu-tinh-toan/bang-tinh-lai-suat-tiet-kiem
ht"&amp;"tps://techcombank.com/thong-tin/blog/app-vay-tien-nhanh")</f>
        <v>https://techcombank.com/thong-tin/blog/cach-nap-the-viettel
https://techcombank.com/thong-tin/blog/lai-suat-chung-chi-tien-gui-cac-ngan-hang
https://techcombank.com/thong-tin/blog/lai-suat-tiet-kiem
https://techcombank.com/thong-tin/blog/cach-tinh-lai-suat-tien-gui-tiet-kiem
https://techcombank.com/thong-tin/blog/rut-tien-tiet-kiem-truoc-thoi-han
https://techcombank.com/thong-tin/blog/rui-ro-khi-gui-tiet-kiem-online
https://techcombank.com/cong-cu-tien-ich/cong-cu-tinh-toan/bang-tinh-lai-suat-tiet-kiem
https://techcombank.com/thong-tin/blog/app-vay-tien-nhanh</v>
      </c>
      <c r="D113" s="20"/>
      <c r="E113" s="20"/>
      <c r="F113" s="20"/>
      <c r="G113" s="20"/>
      <c r="H113" s="20"/>
      <c r="I113" s="20"/>
      <c r="J113" s="20"/>
      <c r="K113" s="20"/>
      <c r="L113" s="20"/>
      <c r="M113" s="20"/>
      <c r="N113" s="20"/>
      <c r="O113" s="20"/>
      <c r="P113" s="20"/>
      <c r="Q113" s="20"/>
      <c r="R113" s="20"/>
      <c r="S113" s="20"/>
      <c r="T113" s="20"/>
      <c r="U113" s="20"/>
      <c r="V113" s="20"/>
      <c r="W113" s="20"/>
      <c r="X113" s="20"/>
    </row>
    <row r="114">
      <c r="A114" s="27" t="str">
        <f>IFERROR(__xludf.DUMMYFUNCTION("""COMPUTED_VALUE"""),"https://techcombank.com/thong-tin/blog/so-tai-khoan-ngan-hang")</f>
        <v>https://techcombank.com/thong-tin/blog/so-tai-khoan-ngan-hang</v>
      </c>
      <c r="B114" s="28">
        <f>IFERROR(__xludf.DUMMYFUNCTION("""COMPUTED_VALUE"""),8.0)</f>
        <v>8</v>
      </c>
      <c r="C114" s="20" t="str">
        <f>IFERROR(__xludf.DUMMYFUNCTION("IF(A114="""","""",TEXTJOIN(CHAR(10),TRUE,FILTER('Tổng hợp 75 trang đích'!$B$2:$B$3400,'Tổng hợp 75 trang đích'!$I$2:$I$3400=A114)))"),"https://techcombank.com/thong-tin/blog/cach-kiem-tra-tai-khoan-ngan-hang
https://techcombank.com/thong-tin/blog/mo-tai-khoan-ngan-hang-duoi-18-tuoi
https://techcombank.com/thong-tin/blog/cach-sao-ke-tai-khoan-ngan-hang
https://techcombank.com/thong-tin/bl"&amp;"og/rut-tien-bang-ma-qr-la-gi-cach-thuc-hien-nhu-the-nao
https://techcombank.com/thong-tin/blog/cach-quet-nfc-cccd-tren-iphone
https://techcombank.com/thong-tin/blog/cic-la-gi
https://techcombank.com/thong-tin/blog/lai-suat-vay-the-chap-so-do
https://techc"&amp;"ombank.com/thong-tin/blog/ho-so-thu-tuc-xoa-the-chap")</f>
        <v>https://techcombank.com/thong-tin/blog/cach-kiem-tra-tai-khoan-ngan-hang
https://techcombank.com/thong-tin/blog/mo-tai-khoan-ngan-hang-duoi-18-tuoi
https://techcombank.com/thong-tin/blog/cach-sao-ke-tai-khoan-ngan-hang
https://techcombank.com/thong-tin/blog/rut-tien-bang-ma-qr-la-gi-cach-thuc-hien-nhu-the-nao
https://techcombank.com/thong-tin/blog/cach-quet-nfc-cccd-tren-iphone
https://techcombank.com/thong-tin/blog/cic-la-gi
https://techcombank.com/thong-tin/blog/lai-suat-vay-the-chap-so-do
https://techcombank.com/thong-tin/blog/ho-so-thu-tuc-xoa-the-chap</v>
      </c>
      <c r="D114" s="20"/>
      <c r="E114" s="20"/>
      <c r="F114" s="20"/>
      <c r="G114" s="20"/>
      <c r="H114" s="20"/>
      <c r="I114" s="20"/>
      <c r="J114" s="20"/>
      <c r="K114" s="20"/>
      <c r="L114" s="20"/>
      <c r="M114" s="20"/>
      <c r="N114" s="20"/>
      <c r="O114" s="20"/>
      <c r="P114" s="20"/>
      <c r="Q114" s="20"/>
      <c r="R114" s="20"/>
      <c r="S114" s="20"/>
      <c r="T114" s="20"/>
      <c r="U114" s="20"/>
      <c r="V114" s="20"/>
      <c r="W114" s="20"/>
      <c r="X114" s="20"/>
    </row>
    <row r="115">
      <c r="A115" s="27" t="str">
        <f>IFERROR(__xludf.DUMMYFUNCTION("""COMPUTED_VALUE"""),"https://techcombank.com/thong-tin/blog/tat-toan-so-tiet-kiem")</f>
        <v>https://techcombank.com/thong-tin/blog/tat-toan-so-tiet-kiem</v>
      </c>
      <c r="B115" s="28">
        <f>IFERROR(__xludf.DUMMYFUNCTION("""COMPUTED_VALUE"""),8.0)</f>
        <v>8</v>
      </c>
      <c r="C115" s="20" t="str">
        <f>IFERROR(__xludf.DUMMYFUNCTION("IF(A115="""","""",TEXTJOIN(CHAR(10),TRUE,FILTER('Tổng hợp 75 trang đích'!$B$2:$B$3400,'Tổng hợp 75 trang đích'!$I$2:$I$3400=A115)))"),"https://techcombank.com/thong-tin/blog/cic-la-gi
https://techcombank.com/thong-tin/blog/lai-suat-chung-chi-tien-gui-cac-ngan-hang
https://techcombank.com/thong-tin/blog/lai-suat-tiet-kiem
https://techcombank.com/thong-tin/blog/cach-tinh-lai-suat-tien-gui-"&amp;"tiet-kiem
https://techcombank.com/thong-tin/blog/so-tiet-kiem-ngan-hang
https://techcombank.com/cong-cu-tien-ich/cong-cu-tinh-toan/bang-tinh-lai-suat-vay
https://techcombank.com/cong-cu-tien-ich/cong-cu-tinh-toan/bang-tinh-lai-suat-tiet-kiem
https://techc"&amp;"ombank.com/thong-tin/blog/app-vay-tien-nhanh")</f>
        <v>https://techcombank.com/thong-tin/blog/cic-la-gi
https://techcombank.com/thong-tin/blog/lai-suat-chung-chi-tien-gui-cac-ngan-hang
https://techcombank.com/thong-tin/blog/lai-suat-tiet-kiem
https://techcombank.com/thong-tin/blog/cach-tinh-lai-suat-tien-gui-tiet-kiem
https://techcombank.com/thong-tin/blog/so-tiet-kiem-ngan-hang
https://techcombank.com/cong-cu-tien-ich/cong-cu-tinh-toan/bang-tinh-lai-suat-vay
https://techcombank.com/cong-cu-tien-ich/cong-cu-tinh-toan/bang-tinh-lai-suat-tiet-kiem
https://techcombank.com/thong-tin/blog/app-vay-tien-nhanh</v>
      </c>
      <c r="D115" s="20"/>
      <c r="E115" s="20"/>
      <c r="F115" s="20"/>
      <c r="G115" s="20"/>
      <c r="H115" s="20"/>
      <c r="I115" s="20"/>
      <c r="J115" s="20"/>
      <c r="K115" s="20"/>
      <c r="L115" s="20"/>
      <c r="M115" s="20"/>
      <c r="N115" s="20"/>
      <c r="O115" s="20"/>
      <c r="P115" s="20"/>
      <c r="Q115" s="20"/>
      <c r="R115" s="20"/>
      <c r="S115" s="20"/>
      <c r="T115" s="20"/>
      <c r="U115" s="20"/>
      <c r="V115" s="20"/>
      <c r="W115" s="20"/>
      <c r="X115" s="20"/>
    </row>
    <row r="116">
      <c r="A116" s="27" t="str">
        <f>IFERROR(__xludf.DUMMYFUNCTION("""COMPUTED_VALUE"""),"https://techcombank.com/thong-tin/blog/the-tin-dung-quoc-te")</f>
        <v>https://techcombank.com/thong-tin/blog/the-tin-dung-quoc-te</v>
      </c>
      <c r="B116" s="28">
        <f>IFERROR(__xludf.DUMMYFUNCTION("""COMPUTED_VALUE"""),8.0)</f>
        <v>8</v>
      </c>
      <c r="C116" s="20" t="str">
        <f>IFERROR(__xludf.DUMMYFUNCTION("IF(A116="""","""",TEXTJOIN(CHAR(10),TRUE,FILTER('Tổng hợp 75 trang đích'!$B$2:$B$3400,'Tổng hợp 75 trang đích'!$I$2:$I$3400=A116)))"),"https://techcombank.com/thong-tin/blog/cach-sao-ke-tai-khoan-ngan-hang
https://techcombank.com/thong-tin/blog/eco-card
https://techcombank.com/thong-tin/blog/cic-la-gi
https://techcombank.com/thong-tin/blog/rut-tien-mat-tu-the-tin-dung
https://techcombank"&amp;".com/thong-tin/blog/lam-the-tin-dung
https://techcombank.com/thong-tin/blog/the-tin-dung-hoan-tien
https://techcombank.com/thong-tin/blog/cach-huy-the-tin-dung
https://techcombank.com/thong-tin/blog/cach-nhan-tien-tu-nuoc-ngoai-ve-viet-nam")</f>
        <v>https://techcombank.com/thong-tin/blog/cach-sao-ke-tai-khoan-ngan-hang
https://techcombank.com/thong-tin/blog/eco-card
https://techcombank.com/thong-tin/blog/cic-la-gi
https://techcombank.com/thong-tin/blog/rut-tien-mat-tu-the-tin-dung
https://techcombank.com/thong-tin/blog/lam-the-tin-dung
https://techcombank.com/thong-tin/blog/the-tin-dung-hoan-tien
https://techcombank.com/thong-tin/blog/cach-huy-the-tin-dung
https://techcombank.com/thong-tin/blog/cach-nhan-tien-tu-nuoc-ngoai-ve-viet-nam</v>
      </c>
      <c r="D116" s="20"/>
      <c r="E116" s="20"/>
      <c r="F116" s="20"/>
      <c r="G116" s="20"/>
      <c r="H116" s="20"/>
      <c r="I116" s="20"/>
      <c r="J116" s="20"/>
      <c r="K116" s="20"/>
      <c r="L116" s="20"/>
      <c r="M116" s="20"/>
      <c r="N116" s="20"/>
      <c r="O116" s="20"/>
      <c r="P116" s="20"/>
      <c r="Q116" s="20"/>
      <c r="R116" s="20"/>
      <c r="S116" s="20"/>
      <c r="T116" s="20"/>
      <c r="U116" s="20"/>
      <c r="V116" s="20"/>
      <c r="W116" s="20"/>
      <c r="X116" s="20"/>
    </row>
    <row r="117">
      <c r="A117" s="27" t="str">
        <f>IFERROR(__xludf.DUMMYFUNCTION("""COMPUTED_VALUE"""),"https://techcombank.com/thong-tin/blog/thue-khoan-ho-kinh-doanh-la-gi")</f>
        <v>https://techcombank.com/thong-tin/blog/thue-khoan-ho-kinh-doanh-la-gi</v>
      </c>
      <c r="B117" s="28">
        <f>IFERROR(__xludf.DUMMYFUNCTION("""COMPUTED_VALUE"""),8.0)</f>
        <v>8</v>
      </c>
      <c r="C117" s="20" t="str">
        <f>IFERROR(__xludf.DUMMYFUNCTION("IF(A117="""","""",TEXTJOIN(CHAR(10),TRUE,FILTER('Tổng hợp 75 trang đích'!$B$2:$B$3400,'Tổng hợp 75 trang đích'!$I$2:$I$3400=A117)))"),"https://techcombank.com/thong-tin/blog/nop-thue-dat-qua-ngan-hang
https://techcombank.com/thong-tin/blog/cach-nop-thue-dien-tu
https://techcombank.com/thong-tin/blog/thue-vat-la-gi
https://techcombank.com/thong-tin/blog/cach-tinh-thue-thu-nhap-doanh-nghie"&amp;"p
https://techcombank.com/thong-tin/blog/cach-tinh-thue-thu-nhap-ca-nhan-2025
https://techcombank.com/thong-tin/blog/thue-thu-nhap-ca-nhan
https://techcombank.com/thong-tin/blog/ho-kinh-doanh-dong-thue-nhu-nao
https://techcombank.com/cong-cu-tien-ich/cong"&amp;"-cu-tinh-toan/bang-tinh-lai-suat-tiet-kiem")</f>
        <v>https://techcombank.com/thong-tin/blog/nop-thue-dat-qua-ngan-hang
https://techcombank.com/thong-tin/blog/cach-nop-thue-dien-tu
https://techcombank.com/thong-tin/blog/thue-vat-la-gi
https://techcombank.com/thong-tin/blog/cach-tinh-thue-thu-nhap-doanh-nghiep
https://techcombank.com/thong-tin/blog/cach-tinh-thue-thu-nhap-ca-nhan-2025
https://techcombank.com/thong-tin/blog/thue-thu-nhap-ca-nhan
https://techcombank.com/thong-tin/blog/ho-kinh-doanh-dong-thue-nhu-nao
https://techcombank.com/cong-cu-tien-ich/cong-cu-tinh-toan/bang-tinh-lai-suat-tiet-kiem</v>
      </c>
      <c r="D117" s="20"/>
      <c r="E117" s="20"/>
      <c r="F117" s="20"/>
      <c r="G117" s="20"/>
      <c r="H117" s="20"/>
      <c r="I117" s="20"/>
      <c r="J117" s="20"/>
      <c r="K117" s="20"/>
      <c r="L117" s="20"/>
      <c r="M117" s="20"/>
      <c r="N117" s="20"/>
      <c r="O117" s="20"/>
      <c r="P117" s="20"/>
      <c r="Q117" s="20"/>
      <c r="R117" s="20"/>
      <c r="S117" s="20"/>
      <c r="T117" s="20"/>
      <c r="U117" s="20"/>
      <c r="V117" s="20"/>
      <c r="W117" s="20"/>
      <c r="X117" s="20"/>
    </row>
    <row r="118">
      <c r="A118" s="27" t="str">
        <f>IFERROR(__xludf.DUMMYFUNCTION("""COMPUTED_VALUE"""),"https://techcombank.com/thong-tin/blog/thue-phi-co-dinh-khi-chuyen-doi-tu-ho-kinh-doanh-len-doanh-nghiep")</f>
        <v>https://techcombank.com/thong-tin/blog/thue-phi-co-dinh-khi-chuyen-doi-tu-ho-kinh-doanh-len-doanh-nghiep</v>
      </c>
      <c r="B118" s="28">
        <f>IFERROR(__xludf.DUMMYFUNCTION("""COMPUTED_VALUE"""),8.0)</f>
        <v>8</v>
      </c>
      <c r="C118" s="20" t="str">
        <f>IFERROR(__xludf.DUMMYFUNCTION("IF(A118="""","""",TEXTJOIN(CHAR(10),TRUE,FILTER('Tổng hợp 75 trang đích'!$B$2:$B$3400,'Tổng hợp 75 trang đích'!$I$2:$I$3400=A118)))"),"https://techcombank.com/thong-tin/blog/nop-thue-dat-qua-ngan-hang
https://techcombank.com/thong-tin/blog/cach-nop-thue-dien-tu
https://techcombank.com/thong-tin/blog/thue-thu-nhap-doanh-nghiep
https://techcombank.com/thong-tin/blog/thue-vat-la-gi
https://"&amp;"techcombank.com/thong-tin/blog/thue-doanh-nghiep
https://techcombank.com/thong-tin/blog/cach-tinh-thue-thu-nhap-ca-nhan-2025
https://techcombank.com/thong-tin/blog/mo-hinh-kinh-doanh-la-gi
https://techcombank.com/thong-tin/blog/cach-tiet-kiem-tien")</f>
        <v>https://techcombank.com/thong-tin/blog/nop-thue-dat-qua-ngan-hang
https://techcombank.com/thong-tin/blog/cach-nop-thue-dien-tu
https://techcombank.com/thong-tin/blog/thue-thu-nhap-doanh-nghiep
https://techcombank.com/thong-tin/blog/thue-vat-la-gi
https://techcombank.com/thong-tin/blog/thue-doanh-nghiep
https://techcombank.com/thong-tin/blog/cach-tinh-thue-thu-nhap-ca-nhan-2025
https://techcombank.com/thong-tin/blog/mo-hinh-kinh-doanh-la-gi
https://techcombank.com/thong-tin/blog/cach-tiet-kiem-tien</v>
      </c>
      <c r="D118" s="20"/>
      <c r="E118" s="20"/>
      <c r="F118" s="20"/>
      <c r="G118" s="20"/>
      <c r="H118" s="20"/>
      <c r="I118" s="20"/>
      <c r="J118" s="20"/>
      <c r="K118" s="20"/>
      <c r="L118" s="20"/>
      <c r="M118" s="20"/>
      <c r="N118" s="20"/>
      <c r="O118" s="20"/>
      <c r="P118" s="20"/>
      <c r="Q118" s="20"/>
      <c r="R118" s="20"/>
      <c r="S118" s="20"/>
      <c r="T118" s="20"/>
      <c r="U118" s="20"/>
      <c r="V118" s="20"/>
      <c r="W118" s="20"/>
      <c r="X118" s="20"/>
    </row>
    <row r="119">
      <c r="A119" s="27" t="str">
        <f>IFERROR(__xludf.DUMMYFUNCTION("""COMPUTED_VALUE"""),"https://techcombank.com/thong-tin/blog/tra-cuu-no-thue-ca-nhan")</f>
        <v>https://techcombank.com/thong-tin/blog/tra-cuu-no-thue-ca-nhan</v>
      </c>
      <c r="B119" s="28">
        <f>IFERROR(__xludf.DUMMYFUNCTION("""COMPUTED_VALUE"""),8.0)</f>
        <v>8</v>
      </c>
      <c r="C119" s="20" t="str">
        <f>IFERROR(__xludf.DUMMYFUNCTION("IF(A119="""","""",TEXTJOIN(CHAR(10),TRUE,FILTER('Tổng hợp 75 trang đích'!$B$2:$B$3400,'Tổng hợp 75 trang đích'!$I$2:$I$3400=A119)))"),"https://techcombank.com/thong-tin/blog/nop-thue-dat-qua-ngan-hang
https://techcombank.com/thong-tin/blog/cach-nop-thue-dien-tu
https://techcombank.com/thong-tin/blog/tra-cuu-no-thue-doanh-nghiep
https://techcombank.com/thong-tin/blog/cach-tinh-thue-thu-nh"&amp;"ap-ca-nhan-2025
https://techcombank.com/thong-tin/blog/kiem-tra-thue-thu-nhap-ca-nhan
https://techcombank.com/thong-tin/blog/thue-thu-nhap-ca-nhan
https://techcombank.com/thong-tin/blog/ho-kinh-doanh-dong-thue-nhu-nao
https://techcombank.com/thong-tin/blo"&amp;"g/kiem-tra-no-xau")</f>
        <v>https://techcombank.com/thong-tin/blog/nop-thue-dat-qua-ngan-hang
https://techcombank.com/thong-tin/blog/cach-nop-thue-dien-tu
https://techcombank.com/thong-tin/blog/tra-cuu-no-thue-doanh-nghiep
https://techcombank.com/thong-tin/blog/cach-tinh-thue-thu-nhap-ca-nhan-2025
https://techcombank.com/thong-tin/blog/kiem-tra-thue-thu-nhap-ca-nhan
https://techcombank.com/thong-tin/blog/thue-thu-nhap-ca-nhan
https://techcombank.com/thong-tin/blog/ho-kinh-doanh-dong-thue-nhu-nao
https://techcombank.com/thong-tin/blog/kiem-tra-no-xau</v>
      </c>
      <c r="D119" s="20"/>
      <c r="E119" s="20"/>
      <c r="F119" s="20"/>
      <c r="G119" s="20"/>
      <c r="H119" s="20"/>
      <c r="I119" s="20"/>
      <c r="J119" s="20"/>
      <c r="K119" s="20"/>
      <c r="L119" s="20"/>
      <c r="M119" s="20"/>
      <c r="N119" s="20"/>
      <c r="O119" s="20"/>
      <c r="P119" s="20"/>
      <c r="Q119" s="20"/>
      <c r="R119" s="20"/>
      <c r="S119" s="20"/>
      <c r="T119" s="20"/>
      <c r="U119" s="20"/>
      <c r="V119" s="20"/>
      <c r="W119" s="20"/>
      <c r="X119" s="20"/>
    </row>
    <row r="120">
      <c r="A120" s="27" t="str">
        <f>IFERROR(__xludf.DUMMYFUNCTION("""COMPUTED_VALUE"""),"https://techcombank.com/thong-tin/blog/tra-cuu-no-thue-doanh-nghiep")</f>
        <v>https://techcombank.com/thong-tin/blog/tra-cuu-no-thue-doanh-nghiep</v>
      </c>
      <c r="B120" s="28">
        <f>IFERROR(__xludf.DUMMYFUNCTION("""COMPUTED_VALUE"""),8.0)</f>
        <v>8</v>
      </c>
      <c r="C120" s="20" t="str">
        <f>IFERROR(__xludf.DUMMYFUNCTION("IF(A120="""","""",TEXTJOIN(CHAR(10),TRUE,FILTER('Tổng hợp 75 trang đích'!$B$2:$B$3400,'Tổng hợp 75 trang đích'!$I$2:$I$3400=A120)))"),"https://techcombank.com/thong-tin/blog/nop-thue-dat-qua-ngan-hang
https://techcombank.com/thong-tin/blog/cach-nop-thue-dien-tu
https://techcombank.com/thong-tin/blog/thue-thu-nhap-doanh-nghiep
https://techcombank.com/thong-tin/blog/thue-vat-la-gi
https://"&amp;"techcombank.com/thong-tin/blog/thue-doanh-nghiep
https://techcombank.com/thong-tin/blog/cach-tinh-thue-thu-nhap-ca-nhan-2025
https://techcombank.com/thong-tin/blog/kiem-tra-thue-thu-nhap-ca-nhan
https://techcombank.com/thong-tin/blog/thue-thu-nhap-ca-nhan")</f>
        <v>https://techcombank.com/thong-tin/blog/nop-thue-dat-qua-ngan-hang
https://techcombank.com/thong-tin/blog/cach-nop-thue-dien-tu
https://techcombank.com/thong-tin/blog/thue-thu-nhap-doanh-nghiep
https://techcombank.com/thong-tin/blog/thue-vat-la-gi
https://techcombank.com/thong-tin/blog/thue-doanh-nghiep
https://techcombank.com/thong-tin/blog/cach-tinh-thue-thu-nhap-ca-nhan-2025
https://techcombank.com/thong-tin/blog/kiem-tra-thue-thu-nhap-ca-nhan
https://techcombank.com/thong-tin/blog/thue-thu-nhap-ca-nhan</v>
      </c>
      <c r="D120" s="20"/>
      <c r="E120" s="20"/>
      <c r="F120" s="20"/>
      <c r="G120" s="20"/>
      <c r="H120" s="20"/>
      <c r="I120" s="20"/>
      <c r="J120" s="20"/>
      <c r="K120" s="20"/>
      <c r="L120" s="20"/>
      <c r="M120" s="20"/>
      <c r="N120" s="20"/>
      <c r="O120" s="20"/>
      <c r="P120" s="20"/>
      <c r="Q120" s="20"/>
      <c r="R120" s="20"/>
      <c r="S120" s="20"/>
      <c r="T120" s="20"/>
      <c r="U120" s="20"/>
      <c r="V120" s="20"/>
      <c r="W120" s="20"/>
      <c r="X120" s="20"/>
    </row>
    <row r="121">
      <c r="A121" s="27" t="str">
        <f>IFERROR(__xludf.DUMMYFUNCTION("""COMPUTED_VALUE"""),"https://techcombank.com/thong-tin/blog/vay-30-trieu")</f>
        <v>https://techcombank.com/thong-tin/blog/vay-30-trieu</v>
      </c>
      <c r="B121" s="28">
        <f>IFERROR(__xludf.DUMMYFUNCTION("""COMPUTED_VALUE"""),8.0)</f>
        <v>8</v>
      </c>
      <c r="C121" s="20" t="str">
        <f>IFERROR(__xludf.DUMMYFUNCTION("IF(A121="""","""",TEXTJOIN(CHAR(10),TRUE,FILTER('Tổng hợp 75 trang đích'!$B$2:$B$3400,'Tổng hợp 75 trang đích'!$I$2:$I$3400=A121)))"),"https://techcombank.com/thong-tin/blog/lai-suat-vay-mua-o-to
https://techcombank.com/thong-tin/blog/cach-tinh-lai-vay-ngan-hang
https://techcombank.com/thong-tin/blog/lai-suat-tiet-kiem
https://techcombank.com/thong-tin/blog/cach-tinh-lai-suat-tien-gui-ti"&amp;"et-kiem
https://techcombank.com/cong-cu-tien-ich/cong-cu-tinh-toan/bang-tinh-lai-suat-vay
https://techcombank.com/thong-tin/blog/app-vay-tien-nhanh
https://techcombank.com/thong-tin/blog/lai-suat-vay-ngan-hang
https://techcombank.com/thong-tin/blog/vay-th"&amp;"au-chi-la-gi")</f>
        <v>https://techcombank.com/thong-tin/blog/lai-suat-vay-mua-o-to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121" s="20"/>
      <c r="E121" s="20"/>
      <c r="F121" s="20"/>
      <c r="G121" s="20"/>
      <c r="H121" s="20"/>
      <c r="I121" s="20"/>
      <c r="J121" s="20"/>
      <c r="K121" s="20"/>
      <c r="L121" s="20"/>
      <c r="M121" s="20"/>
      <c r="N121" s="20"/>
      <c r="O121" s="20"/>
      <c r="P121" s="20"/>
      <c r="Q121" s="20"/>
      <c r="R121" s="20"/>
      <c r="S121" s="20"/>
      <c r="T121" s="20"/>
      <c r="U121" s="20"/>
      <c r="V121" s="20"/>
      <c r="W121" s="20"/>
      <c r="X121" s="20"/>
    </row>
    <row r="122">
      <c r="A122" s="27" t="str">
        <f>IFERROR(__xludf.DUMMYFUNCTION("""COMPUTED_VALUE"""),"https://techcombank.com/thong-tin/blog/vay-du-hoc")</f>
        <v>https://techcombank.com/thong-tin/blog/vay-du-hoc</v>
      </c>
      <c r="B122" s="28">
        <f>IFERROR(__xludf.DUMMYFUNCTION("""COMPUTED_VALUE"""),8.0)</f>
        <v>8</v>
      </c>
      <c r="C122" s="20" t="str">
        <f>IFERROR(__xludf.DUMMYFUNCTION("IF(A122="""","""",TEXTJOIN(CHAR(10),TRUE,FILTER('Tổng hợp 75 trang đích'!$B$2:$B$3400,'Tổng hợp 75 trang đích'!$I$2:$I$3400=A122)))"),"https://techcombank.com/thong-tin/blog/1-dong-do-la-my-bang-bao-nhieu-tien-viet-nam
https://techcombank.com/thong-tin/blog/1-won-bang-bao-nhieu-tien-viet
https://techcombank.com/thong-tin/blog/1000-won-bang-bao-nhieu-tien-viet
https://techcombank.com/thon"&amp;"g-tin/blog/cach-nhan-tien-tu-nuoc-ngoai-ve-viet-nam
https://techcombank.com/thong-tin/blog/lai-suat-tiet-kiem
https://techcombank.com/cong-cu-tien-ich/cong-cu-tinh-toan/bang-tinh-lai-suat-vay
https://techcombank.com/cong-cu-tien-ich/cong-cu-tinh-toan/bang"&amp;"-tinh-lai-suat-tiet-kiem
https://techcombank.com/thong-tin/blog/app-vay-tien-nhanh")</f>
        <v>https://techcombank.com/thong-tin/blog/1-dong-do-la-my-bang-bao-nhieu-tien-viet-nam
https://techcombank.com/thong-tin/blog/1-won-bang-bao-nhieu-tien-viet
https://techcombank.com/thong-tin/blog/1000-won-bang-bao-nhieu-tien-viet
https://techcombank.com/thong-tin/blog/cach-nhan-tien-tu-nuoc-ngoai-ve-viet-nam
https://techcombank.com/thong-tin/blog/lai-suat-tiet-kiem
https://techcombank.com/cong-cu-tien-ich/cong-cu-tinh-toan/bang-tinh-lai-suat-vay
https://techcombank.com/cong-cu-tien-ich/cong-cu-tinh-toan/bang-tinh-lai-suat-tiet-kiem
https://techcombank.com/thong-tin/blog/app-vay-tien-nhanh</v>
      </c>
      <c r="D122" s="20"/>
      <c r="E122" s="20"/>
      <c r="F122" s="20"/>
      <c r="G122" s="20"/>
      <c r="H122" s="20"/>
      <c r="I122" s="20"/>
      <c r="J122" s="20"/>
      <c r="K122" s="20"/>
      <c r="L122" s="20"/>
      <c r="M122" s="20"/>
      <c r="N122" s="20"/>
      <c r="O122" s="20"/>
      <c r="P122" s="20"/>
      <c r="Q122" s="20"/>
      <c r="R122" s="20"/>
      <c r="S122" s="20"/>
      <c r="T122" s="20"/>
      <c r="U122" s="20"/>
      <c r="V122" s="20"/>
      <c r="W122" s="20"/>
      <c r="X122" s="20"/>
    </row>
    <row r="123">
      <c r="A123" s="27" t="str">
        <f>IFERROR(__xludf.DUMMYFUNCTION("""COMPUTED_VALUE"""),"https://techcombank.com/thong-tin/blog/vay-mua-nha-o-xa-hoi")</f>
        <v>https://techcombank.com/thong-tin/blog/vay-mua-nha-o-xa-hoi</v>
      </c>
      <c r="B123" s="28">
        <f>IFERROR(__xludf.DUMMYFUNCTION("""COMPUTED_VALUE"""),8.0)</f>
        <v>8</v>
      </c>
      <c r="C123" s="20" t="str">
        <f>IFERROR(__xludf.DUMMYFUNCTION("IF(A123="""","""",TEXTJOIN(CHAR(10),TRUE,FILTER('Tổng hợp 75 trang đích'!$B$2:$B$3400,'Tổng hợp 75 trang đích'!$I$2:$I$3400=A123)))"),"https://techcombank.com/thong-tin/blog/lai-suat-vay-mua-o-to
https://techcombank.com/thong-tin/blog/cach-tinh-thue-thu-nhap-ca-nhan-2025
https://techcombank.com/thong-tin/blog/cach-tinh-lai-vay-ngan-hang
https://techcombank.com/thong-tin/blog/lai-suat-tie"&amp;"t-kiem
https://techcombank.com/thong-tin/blog/cach-tinh-lai-suat-tien-gui-tiet-kiem
https://techcombank.com/thong-tin/blog/app-vay-tien-nhanh
https://techcombank.com/thong-tin/blog/lai-suat-vay-ngan-hang
https://techcombank.com/thong-tin/blog/vay-thau-chi"&amp;"-la-gi")</f>
        <v>https://techcombank.com/thong-tin/blog/lai-suat-vay-mua-o-to
https://techcombank.com/thong-tin/blog/cach-tinh-thue-thu-nhap-ca-nhan-2025
https://techcombank.com/thong-tin/blog/cach-tinh-lai-vay-ngan-hang
https://techcombank.com/thong-tin/blog/lai-suat-tiet-kiem
https://techcombank.com/thong-tin/blog/cach-tinh-lai-suat-tien-gui-tiet-kiem
https://techcombank.com/thong-tin/blog/app-vay-tien-nhanh
https://techcombank.com/thong-tin/blog/lai-suat-vay-ngan-hang
https://techcombank.com/thong-tin/blog/vay-thau-chi-la-gi</v>
      </c>
      <c r="D123" s="20"/>
      <c r="E123" s="20"/>
      <c r="F123" s="20"/>
      <c r="G123" s="20"/>
      <c r="H123" s="20"/>
      <c r="I123" s="20"/>
      <c r="J123" s="20"/>
      <c r="K123" s="20"/>
      <c r="L123" s="20"/>
      <c r="M123" s="20"/>
      <c r="N123" s="20"/>
      <c r="O123" s="20"/>
      <c r="P123" s="20"/>
      <c r="Q123" s="20"/>
      <c r="R123" s="20"/>
      <c r="S123" s="20"/>
      <c r="T123" s="20"/>
      <c r="U123" s="20"/>
      <c r="V123" s="20"/>
      <c r="W123" s="20"/>
      <c r="X123" s="20"/>
    </row>
    <row r="124">
      <c r="A124" s="27" t="str">
        <f>IFERROR(__xludf.DUMMYFUNCTION("""COMPUTED_VALUE"""),"https://techcombank.com/thong-tin/blog/vay-sinh-vien")</f>
        <v>https://techcombank.com/thong-tin/blog/vay-sinh-vien</v>
      </c>
      <c r="B124" s="28">
        <f>IFERROR(__xludf.DUMMYFUNCTION("""COMPUTED_VALUE"""),8.0)</f>
        <v>8</v>
      </c>
      <c r="C124" s="20" t="str">
        <f>IFERROR(__xludf.DUMMYFUNCTION("IF(A124="""","""",TEXTJOIN(CHAR(10),TRUE,FILTER('Tổng hợp 75 trang đích'!$B$2:$B$3400,'Tổng hợp 75 trang đích'!$I$2:$I$3400=A124)))"),"https://techcombank.com/thong-tin/blog/ngan-hang-uy-tin
https://techcombank.com/thong-tin/blog/doi-tien-do-o-dau
https://techcombank.com/thong-tin/blog/lai-suat-tiet-kiem
https://techcombank.com/thong-tin/blog/cach-tinh-lai-suat-tien-gui-tiet-kiem
https:/"&amp;"/techcombank.com/cong-cu-tien-ich/cong-cu-tinh-toan/bang-tinh-lai-suat-vay
https://techcombank.com/thong-tin/blog/app-vay-tien-nhanh
https://techcombank.com/thong-tin/blog/lai-suat-vay-ngan-hang
https://techcombank.com/thong-tin/blog/nen-vay-tin-chap-o-da"&amp;"u")</f>
        <v>https://techcombank.com/thong-tin/blog/ngan-hang-uy-tin
https://techcombank.com/thong-tin/blog/doi-tien-do-o-dau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https://techcombank.com/thong-tin/blog/nen-vay-tin-chap-o-dau</v>
      </c>
      <c r="D124" s="20"/>
      <c r="E124" s="20"/>
      <c r="F124" s="20"/>
      <c r="G124" s="20"/>
      <c r="H124" s="20"/>
      <c r="I124" s="20"/>
      <c r="J124" s="20"/>
      <c r="K124" s="20"/>
      <c r="L124" s="20"/>
      <c r="M124" s="20"/>
      <c r="N124" s="20"/>
      <c r="O124" s="20"/>
      <c r="P124" s="20"/>
      <c r="Q124" s="20"/>
      <c r="R124" s="20"/>
      <c r="S124" s="20"/>
      <c r="T124" s="20"/>
      <c r="U124" s="20"/>
      <c r="V124" s="20"/>
      <c r="W124" s="20"/>
      <c r="X124" s="20"/>
    </row>
    <row r="125">
      <c r="A125" s="27" t="str">
        <f>IFERROR(__xludf.DUMMYFUNCTION("""COMPUTED_VALUE"""),"https://techcombank.com/thong-tin/blog/vay-the-chap-xe-o-to-cu")</f>
        <v>https://techcombank.com/thong-tin/blog/vay-the-chap-xe-o-to-cu</v>
      </c>
      <c r="B125" s="28">
        <f>IFERROR(__xludf.DUMMYFUNCTION("""COMPUTED_VALUE"""),8.0)</f>
        <v>8</v>
      </c>
      <c r="C125" s="20" t="str">
        <f>IFERROR(__xludf.DUMMYFUNCTION("IF(A125="""","""",TEXTJOIN(CHAR(10),TRUE,FILTER('Tổng hợp 75 trang đích'!$B$2:$B$3400,'Tổng hợp 75 trang đích'!$I$2:$I$3400=A125)))"),"https://techcombank.com/thong-tin/blog/lai-suat-vay-mua-o-to
https://techcombank.com/thong-tin/blog/cic-la-gi
https://techcombank.com/thong-tin/blog/lai-suat-vay-the-chap-so-do
https://techcombank.com/thong-tin/blog/lai-suat-tiet-kiem
https://techcombank."&amp;"com/thong-tin/blog/cach-tinh-lai-suat-tien-gui-tiet-kiem
https://techcombank.com/cong-cu-tien-ich/cong-cu-tinh-toan/bang-tinh-lai-suat-vay
https://techcombank.com/thong-tin/blog/app-vay-tien-nhanh
https://techcombank.com/thong-tin/blog/lai-suat-vay-ngan-h"&amp;"ang")</f>
        <v>https://techcombank.com/thong-tin/blog/lai-suat-vay-mua-o-to
https://techcombank.com/thong-tin/blog/cic-la-gi
https://techcombank.com/thong-tin/blog/lai-suat-vay-the-chap-so-do
https://techcombank.com/thong-tin/blog/lai-suat-tiet-kiem
https://techcombank.com/thong-tin/blog/cach-tinh-lai-suat-tien-gui-tiet-kiem
https://techcombank.com/cong-cu-tien-ich/cong-cu-tinh-toan/bang-tinh-lai-suat-vay
https://techcombank.com/thong-tin/blog/app-vay-tien-nhanh
https://techcombank.com/thong-tin/blog/lai-suat-vay-ngan-hang</v>
      </c>
      <c r="D125" s="20"/>
      <c r="E125" s="20"/>
      <c r="F125" s="20"/>
      <c r="G125" s="20"/>
      <c r="H125" s="20"/>
      <c r="I125" s="20"/>
      <c r="J125" s="20"/>
      <c r="K125" s="20"/>
      <c r="L125" s="20"/>
      <c r="M125" s="20"/>
      <c r="N125" s="20"/>
      <c r="O125" s="20"/>
      <c r="P125" s="20"/>
      <c r="Q125" s="20"/>
      <c r="R125" s="20"/>
      <c r="S125" s="20"/>
      <c r="T125" s="20"/>
      <c r="U125" s="20"/>
      <c r="V125" s="20"/>
      <c r="W125" s="20"/>
      <c r="X125" s="20"/>
    </row>
    <row r="126">
      <c r="A126" s="27" t="str">
        <f>IFERROR(__xludf.DUMMYFUNCTION("""COMPUTED_VALUE"""),"https://techcombank.com/thong-tin/blog/vay-tien-mat")</f>
        <v>https://techcombank.com/thong-tin/blog/vay-tien-mat</v>
      </c>
      <c r="B126" s="28">
        <f>IFERROR(__xludf.DUMMYFUNCTION("""COMPUTED_VALUE"""),8.0)</f>
        <v>8</v>
      </c>
      <c r="C126" s="20" t="str">
        <f>IFERROR(__xludf.DUMMYFUNCTION("IF(A126="""","""",TEXTJOIN(CHAR(10),TRUE,FILTER('Tổng hợp 75 trang đích'!$B$2:$B$3400,'Tổng hợp 75 trang đích'!$I$2:$I$3400=A126)))"),"https://techcombank.com/thong-tin/blog/ho-so-thu-tuc-xoa-the-chap
https://techcombank.com/thong-tin/blog/lai-suat-tiet-kiem
https://techcombank.com/thong-tin/blog/cach-tinh-lai-suat-tien-gui-tiet-kiem
https://techcombank.com/cong-cu-tien-ich/cong-cu-tinh-"&amp;"toan/bang-tinh-lai-suat-vay
https://techcombank.com/thong-tin/blog/app-vay-tien-nhanh
https://techcombank.com/thong-tin/blog/lai-suat-vay-ngan-hang
https://techcombank.com/thong-tin/blog/vay-thau-chi-la-gi
https://techcombank.com/thong-tin/blog/no-xau-la-"&amp;"gi")</f>
        <v>https://techcombank.com/thong-tin/blog/ho-so-thu-tuc-xoa-the-chap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
https://techcombank.com/thong-tin/blog/no-xau-la-gi</v>
      </c>
      <c r="D126" s="20"/>
      <c r="E126" s="20"/>
      <c r="F126" s="20"/>
      <c r="G126" s="20"/>
      <c r="H126" s="20"/>
      <c r="I126" s="20"/>
      <c r="J126" s="20"/>
      <c r="K126" s="20"/>
      <c r="L126" s="20"/>
      <c r="M126" s="20"/>
      <c r="N126" s="20"/>
      <c r="O126" s="20"/>
      <c r="P126" s="20"/>
      <c r="Q126" s="20"/>
      <c r="R126" s="20"/>
      <c r="S126" s="20"/>
      <c r="T126" s="20"/>
      <c r="U126" s="20"/>
      <c r="V126" s="20"/>
      <c r="W126" s="20"/>
      <c r="X126" s="20"/>
    </row>
    <row r="127">
      <c r="A127" s="27" t="str">
        <f>IFERROR(__xludf.DUMMYFUNCTION("""COMPUTED_VALUE"""),"https://techcombank.com/thong-tin/blog/vay-tin-chap-la-gi")</f>
        <v>https://techcombank.com/thong-tin/blog/vay-tin-chap-la-gi</v>
      </c>
      <c r="B127" s="28">
        <f>IFERROR(__xludf.DUMMYFUNCTION("""COMPUTED_VALUE"""),8.0)</f>
        <v>8</v>
      </c>
      <c r="C127" s="20" t="str">
        <f>IFERROR(__xludf.DUMMYFUNCTION("IF(A127="""","""",TEXTJOIN(CHAR(10),TRUE,FILTER('Tổng hợp 75 trang đích'!$B$2:$B$3400,'Tổng hợp 75 trang đích'!$I$2:$I$3400=A127)))"),"https://techcombank.com/thong-tin/blog/cong-ty-su-dung-tai-khoan-ca-nhan
https://techcombank.com/thong-tin/blog/lai-suat-tiet-kiem
https://techcombank.com/thong-tin/blog/cach-tinh-lai-suat-tien-gui-tiet-kiem
https://techcombank.com/cong-cu-tien-ich/cong-c"&amp;"u-tinh-toan/bang-tinh-lai-suat-vay
https://techcombank.com/thong-tin/blog/app-vay-tien-nhanh
https://techcombank.com/thong-tin/blog/lai-suat-vay-ngan-hang
https://techcombank.com/thong-tin/blog/no-xau-la-gi
https://techcombank.com/thong-tin/blog/vay-tin-c"&amp;"hap-khong-tra-duoc-co-sao-khong")</f>
        <v>https://techcombank.com/thong-tin/blog/cong-ty-su-dung-tai-khoan-ca-nhan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https://techcombank.com/thong-tin/blog/no-xau-la-gi
https://techcombank.com/thong-tin/blog/vay-tin-chap-khong-tra-duoc-co-sao-khong</v>
      </c>
      <c r="D127" s="20"/>
      <c r="E127" s="20"/>
      <c r="F127" s="20"/>
      <c r="G127" s="20"/>
      <c r="H127" s="20"/>
      <c r="I127" s="20"/>
      <c r="J127" s="20"/>
      <c r="K127" s="20"/>
      <c r="L127" s="20"/>
      <c r="M127" s="20"/>
      <c r="N127" s="20"/>
      <c r="O127" s="20"/>
      <c r="P127" s="20"/>
      <c r="Q127" s="20"/>
      <c r="R127" s="20"/>
      <c r="S127" s="20"/>
      <c r="T127" s="20"/>
      <c r="U127" s="20"/>
      <c r="V127" s="20"/>
      <c r="W127" s="20"/>
      <c r="X127" s="20"/>
    </row>
    <row r="128">
      <c r="A128" s="27" t="str">
        <f>IFERROR(__xludf.DUMMYFUNCTION("""COMPUTED_VALUE"""),"https://techcombank.com/thong-tin/blog/vay-tin-chap-no-xau")</f>
        <v>https://techcombank.com/thong-tin/blog/vay-tin-chap-no-xau</v>
      </c>
      <c r="B128" s="28">
        <f>IFERROR(__xludf.DUMMYFUNCTION("""COMPUTED_VALUE"""),8.0)</f>
        <v>8</v>
      </c>
      <c r="C128" s="20" t="str">
        <f>IFERROR(__xludf.DUMMYFUNCTION("IF(A128="""","""",TEXTJOIN(CHAR(10),TRUE,FILTER('Tổng hợp 75 trang đích'!$B$2:$B$3400,'Tổng hợp 75 trang đích'!$I$2:$I$3400=A128)))"),"https://techcombank.com/thong-tin/blog/cic-la-gi
https://techcombank.com/thong-tin/blog/xep-hang-tin-dung
https://techcombank.com/cong-cu-tien-ich/cong-cu-tinh-toan/bang-tinh-lai-suat-vay
https://techcombank.com/thong-tin/blog/app-vay-tien-nhanh
https://t"&amp;"echcombank.com/thong-tin/blog/lai-suat-vay-ngan-hang
https://techcombank.com/thong-tin/blog/kiem-tra-no-xau
https://techcombank.com/thong-tin/blog/no-xau-la-gi
https://techcombank.com/thong-tin/blog/vay-tin-chap-khong-tra-duoc-co-sao-khong")</f>
        <v>https://techcombank.com/thong-tin/blog/cic-la-gi
https://techcombank.com/thong-tin/blog/xep-hang-tin-dung
https://techcombank.com/cong-cu-tien-ich/cong-cu-tinh-toan/bang-tinh-lai-suat-vay
https://techcombank.com/thong-tin/blog/app-vay-tien-nhanh
https://techcombank.com/thong-tin/blog/lai-suat-vay-ngan-hang
https://techcombank.com/thong-tin/blog/kiem-tra-no-xau
https://techcombank.com/thong-tin/blog/no-xau-la-gi
https://techcombank.com/thong-tin/blog/vay-tin-chap-khong-tra-duoc-co-sao-khong</v>
      </c>
      <c r="D128" s="20"/>
      <c r="E128" s="20"/>
      <c r="F128" s="20"/>
      <c r="G128" s="20"/>
      <c r="H128" s="20"/>
      <c r="I128" s="20"/>
      <c r="J128" s="20"/>
      <c r="K128" s="20"/>
      <c r="L128" s="20"/>
      <c r="M128" s="20"/>
      <c r="N128" s="20"/>
      <c r="O128" s="20"/>
      <c r="P128" s="20"/>
      <c r="Q128" s="20"/>
      <c r="R128" s="20"/>
      <c r="S128" s="20"/>
      <c r="T128" s="20"/>
      <c r="U128" s="20"/>
      <c r="V128" s="20"/>
      <c r="W128" s="20"/>
      <c r="X128" s="20"/>
    </row>
    <row r="129">
      <c r="A129" s="27" t="str">
        <f>IFERROR(__xludf.DUMMYFUNCTION("""COMPUTED_VALUE"""),"https://techcombank.com/thong-tin/blog/vay-tin-chap-theo-luong")</f>
        <v>https://techcombank.com/thong-tin/blog/vay-tin-chap-theo-luong</v>
      </c>
      <c r="B129" s="28">
        <f>IFERROR(__xludf.DUMMYFUNCTION("""COMPUTED_VALUE"""),8.0)</f>
        <v>8</v>
      </c>
      <c r="C129" s="20" t="str">
        <f>IFERROR(__xludf.DUMMYFUNCTION("IF(A129="""","""",TEXTJOIN(CHAR(10),TRUE,FILTER('Tổng hợp 75 trang đích'!$B$2:$B$3400,'Tổng hợp 75 trang đích'!$I$2:$I$3400=A129)))"),"https://techcombank.com/thong-tin/blog/cach-tinh-lai-vay-ngan-hang
https://techcombank.com/thong-tin/blog/ho-so-thu-tuc-xoa-the-chap
https://techcombank.com/thong-tin/blog/lai-suat-tiet-kiem
https://techcombank.com/cong-cu-tien-ich/cong-cu-tinh-toan/bang-"&amp;"tinh-lai-suat-vay
https://techcombank.com/thong-tin/blog/app-vay-tien-nhanh
https://techcombank.com/thong-tin/blog/lai-suat-vay-ngan-hang
https://techcombank.com/thong-tin/blog/vay-thau-chi-la-gi
https://techcombank.com/thong-tin/blog/no-xau-la-gi")</f>
        <v>https://techcombank.com/thong-tin/blog/cach-tinh-lai-vay-ngan-hang
https://techcombank.com/thong-tin/blog/ho-so-thu-tuc-xoa-the-chap
https://techcombank.com/thong-tin/blog/lai-suat-tiet-kiem
https://techcombank.com/cong-cu-tien-ich/cong-cu-tinh-toan/bang-tinh-lai-suat-vay
https://techcombank.com/thong-tin/blog/app-vay-tien-nhanh
https://techcombank.com/thong-tin/blog/lai-suat-vay-ngan-hang
https://techcombank.com/thong-tin/blog/vay-thau-chi-la-gi
https://techcombank.com/thong-tin/blog/no-xau-la-gi</v>
      </c>
      <c r="D129" s="20"/>
      <c r="E129" s="20"/>
      <c r="F129" s="20"/>
      <c r="G129" s="20"/>
      <c r="H129" s="20"/>
      <c r="I129" s="20"/>
      <c r="J129" s="20"/>
      <c r="K129" s="20"/>
      <c r="L129" s="20"/>
      <c r="M129" s="20"/>
      <c r="N129" s="20"/>
      <c r="O129" s="20"/>
      <c r="P129" s="20"/>
      <c r="Q129" s="20"/>
      <c r="R129" s="20"/>
      <c r="S129" s="20"/>
      <c r="T129" s="20"/>
      <c r="U129" s="20"/>
      <c r="V129" s="20"/>
      <c r="W129" s="20"/>
      <c r="X129" s="20"/>
    </row>
    <row r="130">
      <c r="A130" s="27" t="str">
        <f>IFERROR(__xludf.DUMMYFUNCTION("""COMPUTED_VALUE"""),"https://techcombank.com/thong-tin/blog/vay-tin-chap-toi-da-duoc-bao-nhieu")</f>
        <v>https://techcombank.com/thong-tin/blog/vay-tin-chap-toi-da-duoc-bao-nhieu</v>
      </c>
      <c r="B130" s="28">
        <f>IFERROR(__xludf.DUMMYFUNCTION("""COMPUTED_VALUE"""),8.0)</f>
        <v>8</v>
      </c>
      <c r="C130" s="20" t="str">
        <f>IFERROR(__xludf.DUMMYFUNCTION("IF(A130="""","""",TEXTJOIN(CHAR(10),TRUE,FILTER('Tổng hợp 75 trang đích'!$B$2:$B$3400,'Tổng hợp 75 trang đích'!$I$2:$I$3400=A130)))"),"https://techcombank.com/thong-tin/blog/cong-ty-su-dung-tai-khoan-ca-nhan
https://techcombank.com/thong-tin/blog/cic-la-gi
https://techcombank.com/cong-cu-tien-ich/cong-cu-tinh-toan/bang-tinh-lai-suat-vay
https://techcombank.com/thong-tin/blog/app-vay-tien"&amp;"-nhanh
https://techcombank.com/thong-tin/blog/lai-suat-vay-ngan-hang
https://techcombank.com/thong-tin/blog/vay-thau-chi-la-gi
https://techcombank.com/thong-tin/blog/nen-vay-tin-chap-o-dau
https://techcombank.com/thong-tin/blog/vay-tin-chap-khong-tra-duoc"&amp;"-co-sao-khong")</f>
        <v>https://techcombank.com/thong-tin/blog/cong-ty-su-dung-tai-khoan-ca-nhan
https://techcombank.com/thong-tin/blog/cic-la-gi
https://techcombank.com/cong-cu-tien-ich/cong-cu-tinh-toan/bang-tinh-lai-suat-vay
https://techcombank.com/thong-tin/blog/app-vay-tien-nhanh
https://techcombank.com/thong-tin/blog/lai-suat-vay-ngan-hang
https://techcombank.com/thong-tin/blog/vay-thau-chi-la-gi
https://techcombank.com/thong-tin/blog/nen-vay-tin-chap-o-dau
https://techcombank.com/thong-tin/blog/vay-tin-chap-khong-tra-duoc-co-sao-khong</v>
      </c>
      <c r="D130" s="20"/>
      <c r="E130" s="20"/>
      <c r="F130" s="20"/>
      <c r="G130" s="20"/>
      <c r="H130" s="20"/>
      <c r="I130" s="20"/>
      <c r="J130" s="20"/>
      <c r="K130" s="20"/>
      <c r="L130" s="20"/>
      <c r="M130" s="20"/>
      <c r="N130" s="20"/>
      <c r="O130" s="20"/>
      <c r="P130" s="20"/>
      <c r="Q130" s="20"/>
      <c r="R130" s="20"/>
      <c r="S130" s="20"/>
      <c r="T130" s="20"/>
      <c r="U130" s="20"/>
      <c r="V130" s="20"/>
      <c r="W130" s="20"/>
      <c r="X130" s="20"/>
    </row>
    <row r="131">
      <c r="A131" s="27" t="str">
        <f>IFERROR(__xludf.DUMMYFUNCTION("""COMPUTED_VALUE"""),"https://techcombank.com/thong-tin/blog/vay-von-doanh-nghiep-nho")</f>
        <v>https://techcombank.com/thong-tin/blog/vay-von-doanh-nghiep-nho</v>
      </c>
      <c r="B131" s="28">
        <f>IFERROR(__xludf.DUMMYFUNCTION("""COMPUTED_VALUE"""),8.0)</f>
        <v>8</v>
      </c>
      <c r="C131" s="20" t="str">
        <f>IFERROR(__xludf.DUMMYFUNCTION("IF(A131="""","""",TEXTJOIN(CHAR(10),TRUE,FILTER('Tổng hợp 75 trang đích'!$B$2:$B$3400,'Tổng hợp 75 trang đích'!$I$2:$I$3400=A131)))"),"https://techcombank.com/thong-tin/blog/nop-thue-dat-qua-ngan-hang
https://techcombank.com/thong-tin/blog/lai-suat-tiet-kiem
https://techcombank.com/thong-tin/blog/cach-tinh-lai-suat-tien-gui-tiet-kiem
https://techcombank.com/cong-cu-tien-ich/cong-cu-tinh-"&amp;"toan/bang-tinh-lai-suat-vay
https://techcombank.com/thong-tin/blog/app-vay-tien-nhanh
https://techcombank.com/thong-tin/blog/lai-suat-vay-ngan-hang
https://techcombank.com/thong-tin/blog/vay-thau-chi-la-gi
https://techcombank.com/thong-tin/blog/nen-vay-ti"&amp;"n-chap-o-dau")</f>
        <v>https://techcombank.com/thong-tin/blog/nop-thue-dat-qua-ngan-hang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
https://techcombank.com/thong-tin/blog/nen-vay-tin-chap-o-dau</v>
      </c>
      <c r="D131" s="20"/>
      <c r="E131" s="20"/>
      <c r="F131" s="20"/>
      <c r="G131" s="20"/>
      <c r="H131" s="20"/>
      <c r="I131" s="20"/>
      <c r="J131" s="20"/>
      <c r="K131" s="20"/>
      <c r="L131" s="20"/>
      <c r="M131" s="20"/>
      <c r="N131" s="20"/>
      <c r="O131" s="20"/>
      <c r="P131" s="20"/>
      <c r="Q131" s="20"/>
      <c r="R131" s="20"/>
      <c r="S131" s="20"/>
      <c r="T131" s="20"/>
      <c r="U131" s="20"/>
      <c r="V131" s="20"/>
      <c r="W131" s="20"/>
      <c r="X131" s="20"/>
    </row>
    <row r="132">
      <c r="A132" s="27" t="str">
        <f>IFERROR(__xludf.DUMMYFUNCTION("""COMPUTED_VALUE"""),"https://techcombank.com/thong-tin/blog/1-trieu-do-bang-bao-nhieu-tien-viet")</f>
        <v>https://techcombank.com/thong-tin/blog/1-trieu-do-bang-bao-nhieu-tien-viet</v>
      </c>
      <c r="B132" s="28">
        <f>IFERROR(__xludf.DUMMYFUNCTION("""COMPUTED_VALUE"""),7.0)</f>
        <v>7</v>
      </c>
      <c r="C132" s="20" t="str">
        <f>IFERROR(__xludf.DUMMYFUNCTION("IF(A132="""","""",TEXTJOIN(CHAR(10),TRUE,FILTER('Tổng hợp 75 trang đích'!$B$2:$B$3400,'Tổng hợp 75 trang đích'!$I$2:$I$3400=A132)))"),"https://techcombank.com/thong-tin/blog/1-dong-do-la-my-bang-bao-nhieu-tien-viet-nam
https://techcombank.com/thong-tin/blog/1-yen-bang-bao-nhieu-tien-viet-nam
https://techcombank.com/thong-tin/blog/1-man-bang-bao-nhieu-tien-viet
https://techcombank.com/tho"&amp;"ng-tin/blog/tien-thai-lan
https://techcombank.com/thong-tin/blog/1000-won-bang-bao-nhieu-tien-viet
https://techcombank.com/thong-tin/blog/cach-nhan-tien-tu-nuoc-ngoai-ve-viet-nam
https://techcombank.com/thong-tin/blog/doi-tien-do-o-dau")</f>
        <v>https://techcombank.com/thong-tin/blog/1-dong-do-la-my-bang-bao-nhieu-tien-viet-nam
https://techcombank.com/thong-tin/blog/1-yen-bang-bao-nhieu-tien-viet-nam
https://techcombank.com/thong-tin/blog/1-man-bang-bao-nhieu-tien-viet
https://techcombank.com/thong-tin/blog/tien-thai-lan
https://techcombank.com/thong-tin/blog/1000-won-bang-bao-nhieu-tien-viet
https://techcombank.com/thong-tin/blog/cach-nhan-tien-tu-nuoc-ngoai-ve-viet-nam
https://techcombank.com/thong-tin/blog/doi-tien-do-o-dau</v>
      </c>
      <c r="D132" s="20"/>
      <c r="E132" s="20"/>
      <c r="F132" s="20"/>
      <c r="G132" s="20"/>
      <c r="H132" s="20"/>
      <c r="I132" s="20"/>
      <c r="J132" s="20"/>
      <c r="K132" s="20"/>
      <c r="L132" s="20"/>
      <c r="M132" s="20"/>
      <c r="N132" s="20"/>
      <c r="O132" s="20"/>
      <c r="P132" s="20"/>
      <c r="Q132" s="20"/>
      <c r="R132" s="20"/>
      <c r="S132" s="20"/>
      <c r="T132" s="20"/>
      <c r="U132" s="20"/>
      <c r="V132" s="20"/>
      <c r="W132" s="20"/>
      <c r="X132" s="20"/>
    </row>
    <row r="133">
      <c r="A133" s="27" t="str">
        <f>IFERROR(__xludf.DUMMYFUNCTION("""COMPUTED_VALUE"""),"https://techcombank.com/thong-tin/blog/app-vay-tien-nhanh")</f>
        <v>https://techcombank.com/thong-tin/blog/app-vay-tien-nhanh</v>
      </c>
      <c r="B133" s="28">
        <f>IFERROR(__xludf.DUMMYFUNCTION("""COMPUTED_VALUE"""),7.0)</f>
        <v>7</v>
      </c>
      <c r="C133" s="20" t="str">
        <f>IFERROR(__xludf.DUMMYFUNCTION("IF(A133="""","""",TEXTJOIN(CHAR(10),TRUE,FILTER('Tổng hợp 75 trang đích'!$B$2:$B$3400,'Tổng hợp 75 trang đích'!$I$2:$I$3400=A133)))"),"https://techcombank.com/thong-tin/blog/cach-nap-the-viettel
https://techcombank.com/thong-tin/blog/cach-quet-nfc-cccd-tren-iphone
https://techcombank.com/thong-tin/blog/lai-suat-tiet-kiem
https://techcombank.com/thong-tin/blog/cach-tinh-lai-suat-tien-gui-"&amp;"tiet-kiem
https://techcombank.com/cong-cu-tien-ich/cong-cu-tinh-toan/bang-tinh-lai-suat-vay
https://techcombank.com/thong-tin/blog/lai-suat-vay-ngan-hang
https://techcombank.com/thong-tin/blog/nen-vay-tin-chap-o-dau")</f>
        <v>https://techcombank.com/thong-tin/blog/cach-nap-the-viettel
https://techcombank.com/thong-tin/blog/cach-quet-nfc-cccd-tren-iphone
https://techcombank.com/thong-tin/blog/lai-suat-tiet-kiem
https://techcombank.com/thong-tin/blog/cach-tinh-lai-suat-tien-gui-tiet-kiem
https://techcombank.com/cong-cu-tien-ich/cong-cu-tinh-toan/bang-tinh-lai-suat-vay
https://techcombank.com/thong-tin/blog/lai-suat-vay-ngan-hang
https://techcombank.com/thong-tin/blog/nen-vay-tin-chap-o-dau</v>
      </c>
      <c r="D133" s="20"/>
      <c r="E133" s="20"/>
      <c r="F133" s="20"/>
      <c r="G133" s="20"/>
      <c r="H133" s="20"/>
      <c r="I133" s="20"/>
      <c r="J133" s="20"/>
      <c r="K133" s="20"/>
      <c r="L133" s="20"/>
      <c r="M133" s="20"/>
      <c r="N133" s="20"/>
      <c r="O133" s="20"/>
      <c r="P133" s="20"/>
      <c r="Q133" s="20"/>
      <c r="R133" s="20"/>
      <c r="S133" s="20"/>
      <c r="T133" s="20"/>
      <c r="U133" s="20"/>
      <c r="V133" s="20"/>
      <c r="W133" s="20"/>
      <c r="X133" s="20"/>
    </row>
    <row r="134">
      <c r="A134" s="27" t="str">
        <f>IFERROR(__xludf.DUMMYFUNCTION("""COMPUTED_VALUE"""),"https://techcombank.com/thong-tin/blog/cach-dang-ky-ma-so-thue-ho-kinh-doanh-online")</f>
        <v>https://techcombank.com/thong-tin/blog/cach-dang-ky-ma-so-thue-ho-kinh-doanh-online</v>
      </c>
      <c r="B134" s="28">
        <f>IFERROR(__xludf.DUMMYFUNCTION("""COMPUTED_VALUE"""),7.0)</f>
        <v>7</v>
      </c>
      <c r="C134" s="20" t="str">
        <f>IFERROR(__xludf.DUMMYFUNCTION("IF(A134="""","""",TEXTJOIN(CHAR(10),TRUE,FILTER('Tổng hợp 75 trang đích'!$B$2:$B$3400,'Tổng hợp 75 trang đích'!$I$2:$I$3400=A134)))"),"https://techcombank.com/thong-tin/blog/nop-thue-dat-qua-ngan-hang
https://techcombank.com/thong-tin/blog/cach-nop-thue-dien-tu
https://techcombank.com/thong-tin/blog/tra-cuu-no-thue-doanh-nghiep
https://techcombank.com/thong-tin/blog/cong-ty-su-dung-tai-k"&amp;"hoan-ca-nhan
https://techcombank.com/thong-tin/blog/ho-kinh-doanh-dong-thue-nhu-nao
https://techcombank.com/thong-tin/blog/mo-tai-khoan-ho-kinh-doanh
https://techcombank.com/thong-tin/blog/cach-tinh-thue-ho-kinh-doanh-nho-le")</f>
        <v>https://techcombank.com/thong-tin/blog/nop-thue-dat-qua-ngan-hang
https://techcombank.com/thong-tin/blog/cach-nop-thue-dien-tu
https://techcombank.com/thong-tin/blog/tra-cuu-no-thue-doanh-nghiep
https://techcombank.com/thong-tin/blog/cong-ty-su-dung-tai-khoan-ca-nhan
https://techcombank.com/thong-tin/blog/ho-kinh-doanh-dong-thue-nhu-nao
https://techcombank.com/thong-tin/blog/mo-tai-khoan-ho-kinh-doanh
https://techcombank.com/thong-tin/blog/cach-tinh-thue-ho-kinh-doanh-nho-le</v>
      </c>
      <c r="D134" s="20"/>
      <c r="E134" s="20"/>
      <c r="F134" s="20"/>
      <c r="G134" s="20"/>
      <c r="H134" s="20"/>
      <c r="I134" s="20"/>
      <c r="J134" s="20"/>
      <c r="K134" s="20"/>
      <c r="L134" s="20"/>
      <c r="M134" s="20"/>
      <c r="N134" s="20"/>
      <c r="O134" s="20"/>
      <c r="P134" s="20"/>
      <c r="Q134" s="20"/>
      <c r="R134" s="20"/>
      <c r="S134" s="20"/>
      <c r="T134" s="20"/>
      <c r="U134" s="20"/>
      <c r="V134" s="20"/>
      <c r="W134" s="20"/>
      <c r="X134" s="20"/>
    </row>
    <row r="135">
      <c r="A135" s="27" t="str">
        <f>IFERROR(__xludf.DUMMYFUNCTION("""COMPUTED_VALUE"""),"https://techcombank.com/thong-tin/blog/cach-lam-the-ngan-hang-chay-quang-cao-facebook")</f>
        <v>https://techcombank.com/thong-tin/blog/cach-lam-the-ngan-hang-chay-quang-cao-facebook</v>
      </c>
      <c r="B135" s="28">
        <f>IFERROR(__xludf.DUMMYFUNCTION("""COMPUTED_VALUE"""),7.0)</f>
        <v>7</v>
      </c>
      <c r="C135" s="20" t="str">
        <f>IFERROR(__xludf.DUMMYFUNCTION("IF(A135="""","""",TEXTJOIN(CHAR(10),TRUE,FILTER('Tổng hợp 75 trang đích'!$B$2:$B$3400,'Tổng hợp 75 trang đích'!$I$2:$I$3400=A135)))"),"https://techcombank.com/thong-tin/blog/cic-la-gi
https://techcombank.com/thong-tin/blog/lam-the-tin-dung
https://techcombank.com/khach-hang-ca-nhan/chi-tieu/the/the-tin-dung/techcombank-everyday
https://techcombank.com/thong-tin/blog/the-tin-dung-hoan-tie"&amp;"n
https://techcombank.com/thong-tin/blog/cach-huy-the-tin-dung
https://techcombank.com/thong-tin/blog/cach-thanh-toan-the-tin-dung
https://techcombank.com/thong-tin/blog/tien-thai-lan")</f>
        <v>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https://techcombank.com/thong-tin/blog/tien-thai-lan</v>
      </c>
      <c r="D135" s="20"/>
      <c r="E135" s="20"/>
      <c r="F135" s="20"/>
      <c r="G135" s="20"/>
      <c r="H135" s="20"/>
      <c r="I135" s="20"/>
      <c r="J135" s="20"/>
      <c r="K135" s="20"/>
      <c r="L135" s="20"/>
      <c r="M135" s="20"/>
      <c r="N135" s="20"/>
      <c r="O135" s="20"/>
      <c r="P135" s="20"/>
      <c r="Q135" s="20"/>
      <c r="R135" s="20"/>
      <c r="S135" s="20"/>
      <c r="T135" s="20"/>
      <c r="U135" s="20"/>
      <c r="V135" s="20"/>
      <c r="W135" s="20"/>
      <c r="X135" s="20"/>
    </row>
    <row r="136">
      <c r="A136" s="27" t="str">
        <f>IFERROR(__xludf.DUMMYFUNCTION("""COMPUTED_VALUE"""),"https://techcombank.com/thong-tin/blog/cach-rut-tien-atm")</f>
        <v>https://techcombank.com/thong-tin/blog/cach-rut-tien-atm</v>
      </c>
      <c r="B136" s="28">
        <f>IFERROR(__xludf.DUMMYFUNCTION("""COMPUTED_VALUE"""),7.0)</f>
        <v>7</v>
      </c>
      <c r="C136" s="20" t="str">
        <f>IFERROR(__xludf.DUMMYFUNCTION("IF(A136="""","""",TEXTJOIN(CHAR(10),TRUE,FILTER('Tổng hợp 75 trang đích'!$B$2:$B$3400,'Tổng hợp 75 trang đích'!$I$2:$I$3400=A136)))"),"https://techcombank.com/thong-tin/blog/nap-tien-vao-tai-khoan-ngan-hang
https://techcombank.com/thong-tin/blog/cic-la-gi
https://techcombank.com/thong-tin/blog/rut-tien-mat-tu-the-tin-dung
https://techcombank.com/thong-tin/blog/1-yen-bang-bao-nhieu-tien-v"&amp;"iet-nam
https://techcombank.com/thong-tin/blog/1-man-bang-bao-nhieu-tien-viet
https://techcombank.com/thong-tin/blog/1-trieu-do-bang-bao-nhieu-tien-viet
https://techcombank.com/thong-tin/blog/gui-ma-qr-ngan-hang")</f>
        <v>https://techcombank.com/thong-tin/blog/nap-tien-vao-tai-khoan-ngan-hang
https://techcombank.com/thong-tin/blog/cic-la-gi
https://techcombank.com/thong-tin/blog/rut-tien-mat-tu-the-tin-dung
https://techcombank.com/thong-tin/blog/1-yen-bang-bao-nhieu-tien-viet-nam
https://techcombank.com/thong-tin/blog/1-man-bang-bao-nhieu-tien-viet
https://techcombank.com/thong-tin/blog/1-trieu-do-bang-bao-nhieu-tien-viet
https://techcombank.com/thong-tin/blog/gui-ma-qr-ngan-hang</v>
      </c>
      <c r="D136" s="20"/>
      <c r="E136" s="20"/>
      <c r="F136" s="20"/>
      <c r="G136" s="20"/>
      <c r="H136" s="20"/>
      <c r="I136" s="20"/>
      <c r="J136" s="20"/>
      <c r="K136" s="20"/>
      <c r="L136" s="20"/>
      <c r="M136" s="20"/>
      <c r="N136" s="20"/>
      <c r="O136" s="20"/>
      <c r="P136" s="20"/>
      <c r="Q136" s="20"/>
      <c r="R136" s="20"/>
      <c r="S136" s="20"/>
      <c r="T136" s="20"/>
      <c r="U136" s="20"/>
      <c r="V136" s="20"/>
      <c r="W136" s="20"/>
      <c r="X136" s="20"/>
    </row>
    <row r="137">
      <c r="A137" s="27" t="str">
        <f>IFERROR(__xludf.DUMMYFUNCTION("""COMPUTED_VALUE"""),"https://techcombank.com/thong-tin/blog/cach-su-dung-the-visa-techcombank")</f>
        <v>https://techcombank.com/thong-tin/blog/cach-su-dung-the-visa-techcombank</v>
      </c>
      <c r="B137" s="28">
        <f>IFERROR(__xludf.DUMMYFUNCTION("""COMPUTED_VALUE"""),7.0)</f>
        <v>7</v>
      </c>
      <c r="C137" s="20" t="str">
        <f>IFERROR(__xludf.DUMMYFUNCTION("IF(A137="""","""",TEXTJOIN(CHAR(10),TRUE,FILTER('Tổng hợp 75 trang đích'!$B$2:$B$3400,'Tổng hợp 75 trang đích'!$I$2:$I$3400=A137)))"),"https://techcombank.com/thong-tin/blog/cach-nap-the-viettel
https://techcombank.com/thong-tin/blog/chuyen-khoan-thanh-cong-nhung-khong-nhan-duoc-tien
https://techcombank.com/thong-tin/blog/nap-tien-vao-tai-khoan-ngan-hang
https://techcombank.com/thong-tin"&amp;"/blog/cic-la-gi
https://techcombank.com/thong-tin/blog/rut-tien-mat-tu-the-tin-dung
https://techcombank.com/cong-cu-tien-ich/cong-cu-tinh-toan/bang-tinh-lai-suat-vay
https://techcombank.com/thong-tin/blog/app-vay-tien-nhanh")</f>
        <v>https://techcombank.com/thong-tin/blog/cach-nap-the-viettel
https://techcombank.com/thong-tin/blog/chuyen-khoan-thanh-cong-nhung-khong-nhan-duoc-tien
https://techcombank.com/thong-tin/blog/nap-tien-vao-tai-khoan-ngan-hang
https://techcombank.com/thong-tin/blog/cic-la-gi
https://techcombank.com/thong-tin/blog/rut-tien-mat-tu-the-tin-dung
https://techcombank.com/cong-cu-tien-ich/cong-cu-tinh-toan/bang-tinh-lai-suat-vay
https://techcombank.com/thong-tin/blog/app-vay-tien-nhanh</v>
      </c>
      <c r="D137" s="20"/>
      <c r="E137" s="20"/>
      <c r="F137" s="20"/>
      <c r="G137" s="20"/>
      <c r="H137" s="20"/>
      <c r="I137" s="20"/>
      <c r="J137" s="20"/>
      <c r="K137" s="20"/>
      <c r="L137" s="20"/>
      <c r="M137" s="20"/>
      <c r="N137" s="20"/>
      <c r="O137" s="20"/>
      <c r="P137" s="20"/>
      <c r="Q137" s="20"/>
      <c r="R137" s="20"/>
      <c r="S137" s="20"/>
      <c r="T137" s="20"/>
      <c r="U137" s="20"/>
      <c r="V137" s="20"/>
      <c r="W137" s="20"/>
      <c r="X137" s="20"/>
    </row>
    <row r="138">
      <c r="A138" s="27" t="str">
        <f>IFERROR(__xludf.DUMMYFUNCTION("""COMPUTED_VALUE"""),"https://techcombank.com/thong-tin/blog/cach-tao-ma-qr")</f>
        <v>https://techcombank.com/thong-tin/blog/cach-tao-ma-qr</v>
      </c>
      <c r="B138" s="28">
        <f>IFERROR(__xludf.DUMMYFUNCTION("""COMPUTED_VALUE"""),7.0)</f>
        <v>7</v>
      </c>
      <c r="C138" s="20" t="str">
        <f>IFERROR(__xludf.DUMMYFUNCTION("IF(A138="""","""",TEXTJOIN(CHAR(10),TRUE,FILTER('Tổng hợp 75 trang đích'!$B$2:$B$3400,'Tổng hợp 75 trang đích'!$I$2:$I$3400=A138)))"),"https://techcombank.com/thong-tin/blog/nop-thue-dat-qua-ngan-hang
https://techcombank.com/thong-tin/blog/rut-tien-bang-ma-qr-la-gi-cach-thuc-hien-nhu-the-nao
https://techcombank.com/thong-tin/blog/cic-la-gi
https://techcombank.com/thong-tin/blog/ho-kinh-d"&amp;"oanh-dong-thue-nhu-nao
https://techcombank.com/thong-tin/blog/gui-ma-qr-ngan-hang
https://techcombank.com/thong-tin/blog/mo-tai-khoan-ho-kinh-doanh
https://techcombank.com/thong-tin/blog/cach-tinh-thue-ho-kinh-doanh-nho-le")</f>
        <v>https://techcombank.com/thong-tin/blog/nop-thue-dat-qua-ngan-hang
https://techcombank.com/thong-tin/blog/rut-tien-bang-ma-qr-la-gi-cach-thuc-hien-nhu-the-nao
https://techcombank.com/thong-tin/blog/cic-la-gi
https://techcombank.com/thong-tin/blog/ho-kinh-doanh-dong-thue-nhu-nao
https://techcombank.com/thong-tin/blog/gui-ma-qr-ngan-hang
https://techcombank.com/thong-tin/blog/mo-tai-khoan-ho-kinh-doanh
https://techcombank.com/thong-tin/blog/cach-tinh-thue-ho-kinh-doanh-nho-le</v>
      </c>
      <c r="D138" s="20"/>
      <c r="E138" s="20"/>
      <c r="F138" s="20"/>
      <c r="G138" s="20"/>
      <c r="H138" s="20"/>
      <c r="I138" s="20"/>
      <c r="J138" s="20"/>
      <c r="K138" s="20"/>
      <c r="L138" s="20"/>
      <c r="M138" s="20"/>
      <c r="N138" s="20"/>
      <c r="O138" s="20"/>
      <c r="P138" s="20"/>
      <c r="Q138" s="20"/>
      <c r="R138" s="20"/>
      <c r="S138" s="20"/>
      <c r="T138" s="20"/>
      <c r="U138" s="20"/>
      <c r="V138" s="20"/>
      <c r="W138" s="20"/>
      <c r="X138" s="20"/>
    </row>
    <row r="139">
      <c r="A139" s="27" t="str">
        <f>IFERROR(__xludf.DUMMYFUNCTION("""COMPUTED_VALUE"""),"https://techcombank.com/thong-tin/blog/cach-tinh-thue-ho-kinh-doanh-nho-le")</f>
        <v>https://techcombank.com/thong-tin/blog/cach-tinh-thue-ho-kinh-doanh-nho-le</v>
      </c>
      <c r="B139" s="28">
        <f>IFERROR(__xludf.DUMMYFUNCTION("""COMPUTED_VALUE"""),7.0)</f>
        <v>7</v>
      </c>
      <c r="C139" s="20" t="str">
        <f>IFERROR(__xludf.DUMMYFUNCTION("IF(A139="""","""",TEXTJOIN(CHAR(10),TRUE,FILTER('Tổng hợp 75 trang đích'!$B$2:$B$3400,'Tổng hợp 75 trang đích'!$I$2:$I$3400=A139)))"),"https://techcombank.com/thong-tin/blog/nop-thue-dat-qua-ngan-hang
https://techcombank.com/thong-tin/blog/cach-tinh-thue-thu-nhap-ca-nhan-2025
https://techcombank.com/thong-tin/blog/kiem-tra-thue-thu-nhap-ca-nhan
https://techcombank.com/thong-tin/blog/thue"&amp;"-thu-nhap-ca-nhan
https://techcombank.com/thong-tin/blog/vay-ngan-hang-1-ty-moi-thang-tra-bao-nhieu
https://techcombank.com/thong-tin/blog/mo-tai-khoan-ho-kinh-doanh
https://techcombank.com/thong-tin/blog/kiem-tra-no-xau")</f>
        <v>https://techcombank.com/thong-tin/blog/nop-thue-dat-qua-ngan-hang
https://techcombank.com/thong-tin/blog/cach-tinh-thue-thu-nhap-ca-nhan-2025
https://techcombank.com/thong-tin/blog/kiem-tra-thue-thu-nhap-ca-nhan
https://techcombank.com/thong-tin/blog/thue-thu-nhap-ca-nhan
https://techcombank.com/thong-tin/blog/vay-ngan-hang-1-ty-moi-thang-tra-bao-nhieu
https://techcombank.com/thong-tin/blog/mo-tai-khoan-ho-kinh-doanh
https://techcombank.com/thong-tin/blog/kiem-tra-no-xau</v>
      </c>
      <c r="D139" s="20"/>
      <c r="E139" s="20"/>
      <c r="F139" s="20"/>
      <c r="G139" s="20"/>
      <c r="H139" s="20"/>
      <c r="I139" s="20"/>
      <c r="J139" s="20"/>
      <c r="K139" s="20"/>
      <c r="L139" s="20"/>
      <c r="M139" s="20"/>
      <c r="N139" s="20"/>
      <c r="O139" s="20"/>
      <c r="P139" s="20"/>
      <c r="Q139" s="20"/>
      <c r="R139" s="20"/>
      <c r="S139" s="20"/>
      <c r="T139" s="20"/>
      <c r="U139" s="20"/>
      <c r="V139" s="20"/>
      <c r="W139" s="20"/>
      <c r="X139" s="20"/>
    </row>
    <row r="140">
      <c r="A140" s="27" t="str">
        <f>IFERROR(__xludf.DUMMYFUNCTION("""COMPUTED_VALUE"""),"https://techcombank.com/thong-tin/blog/cach-tinh-thue-thu-nhap-ca-nhan-2025")</f>
        <v>https://techcombank.com/thong-tin/blog/cach-tinh-thue-thu-nhap-ca-nhan-2025</v>
      </c>
      <c r="B140" s="28">
        <f>IFERROR(__xludf.DUMMYFUNCTION("""COMPUTED_VALUE"""),7.0)</f>
        <v>7</v>
      </c>
      <c r="C140" s="20" t="str">
        <f>IFERROR(__xludf.DUMMYFUNCTION("IF(A140="""","""",TEXTJOIN(CHAR(10),TRUE,FILTER('Tổng hợp 75 trang đích'!$B$2:$B$3400,'Tổng hợp 75 trang đích'!$I$2:$I$3400=A140)))"),"https://techcombank.com/thong-tin/blog/nop-thue-dat-qua-ngan-hang
https://techcombank.com/thong-tin/blog/cach-nop-thue-dien-tu
https://techcombank.com/thong-tin/blog/tra-cuu-no-thue-doanh-nghiep
https://techcombank.com/thong-tin/blog/cach-tinh-thue-thu-nh"&amp;"ap-doanh-nghiep
https://techcombank.com/thong-tin/blog/kiem-tra-thue-thu-nhap-ca-nhan
https://techcombank.com/thong-tin/blog/thue-thu-nhap-ca-nhan
https://techcombank.com/thong-tin/blog/cic-la-gi")</f>
        <v>https://techcombank.com/thong-tin/blog/nop-thue-dat-qua-ngan-hang
https://techcombank.com/thong-tin/blog/cach-nop-thue-dien-tu
https://techcombank.com/thong-tin/blog/tra-cuu-no-thue-doanh-nghiep
https://techcombank.com/thong-tin/blog/cach-tinh-thue-thu-nhap-doanh-nghiep
https://techcombank.com/thong-tin/blog/kiem-tra-thue-thu-nhap-ca-nhan
https://techcombank.com/thong-tin/blog/thue-thu-nhap-ca-nhan
https://techcombank.com/thong-tin/blog/cic-la-gi</v>
      </c>
      <c r="D140" s="20"/>
      <c r="E140" s="20"/>
      <c r="F140" s="20"/>
      <c r="G140" s="20"/>
      <c r="H140" s="20"/>
      <c r="I140" s="20"/>
      <c r="J140" s="20"/>
      <c r="K140" s="20"/>
      <c r="L140" s="20"/>
      <c r="M140" s="20"/>
      <c r="N140" s="20"/>
      <c r="O140" s="20"/>
      <c r="P140" s="20"/>
      <c r="Q140" s="20"/>
      <c r="R140" s="20"/>
      <c r="S140" s="20"/>
      <c r="T140" s="20"/>
      <c r="U140" s="20"/>
      <c r="V140" s="20"/>
      <c r="W140" s="20"/>
      <c r="X140" s="20"/>
    </row>
    <row r="141">
      <c r="A141" s="27" t="str">
        <f>IFERROR(__xludf.DUMMYFUNCTION("""COMPUTED_VALUE"""),"https://techcombank.com/thong-tin/blog/cho-vay-kinh-doanh-ho-gia-dinh")</f>
        <v>https://techcombank.com/thong-tin/blog/cho-vay-kinh-doanh-ho-gia-dinh</v>
      </c>
      <c r="B141" s="28">
        <f>IFERROR(__xludf.DUMMYFUNCTION("""COMPUTED_VALUE"""),7.0)</f>
        <v>7</v>
      </c>
      <c r="C141" s="20" t="str">
        <f>IFERROR(__xludf.DUMMYFUNCTION("IF(A141="""","""",TEXTJOIN(CHAR(10),TRUE,FILTER('Tổng hợp 75 trang đích'!$B$2:$B$3400,'Tổng hợp 75 trang đích'!$I$2:$I$3400=A141)))"),"https://techcombank.com/thong-tin/blog/cic-la-gi
https://techcombank.com/thong-tin/blog/lai-suat-tiet-kiem
https://techcombank.com/thong-tin/blog/cach-tinh-lai-suat-tien-gui-tiet-kiem
https://techcombank.com/cong-cu-tien-ich/cong-cu-tinh-toan/bang-tinh-la"&amp;"i-suat-vay
https://techcombank.com/thong-tin/blog/app-vay-tien-nhanh
https://techcombank.com/thong-tin/blog/lai-suat-vay-ngan-hang
https://techcombank.com/thong-tin/blog/vay-thau-chi-la-gi")</f>
        <v>https://techcombank.com/thong-tin/blog/cic-la-gi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141" s="20"/>
      <c r="E141" s="20"/>
      <c r="F141" s="20"/>
      <c r="G141" s="20"/>
      <c r="H141" s="20"/>
      <c r="I141" s="20"/>
      <c r="J141" s="20"/>
      <c r="K141" s="20"/>
      <c r="L141" s="20"/>
      <c r="M141" s="20"/>
      <c r="N141" s="20"/>
      <c r="O141" s="20"/>
      <c r="P141" s="20"/>
      <c r="Q141" s="20"/>
      <c r="R141" s="20"/>
      <c r="S141" s="20"/>
      <c r="T141" s="20"/>
      <c r="U141" s="20"/>
      <c r="V141" s="20"/>
      <c r="W141" s="20"/>
      <c r="X141" s="20"/>
    </row>
    <row r="142">
      <c r="A142" s="27" t="str">
        <f>IFERROR(__xludf.DUMMYFUNCTION("""COMPUTED_VALUE"""),"https://techcombank.com/thong-tin/blog/dang-ky-ma-so-thue-ca-nhan")</f>
        <v>https://techcombank.com/thong-tin/blog/dang-ky-ma-so-thue-ca-nhan</v>
      </c>
      <c r="B142" s="28">
        <f>IFERROR(__xludf.DUMMYFUNCTION("""COMPUTED_VALUE"""),7.0)</f>
        <v>7</v>
      </c>
      <c r="C142" s="20" t="str">
        <f>IFERROR(__xludf.DUMMYFUNCTION("IF(A142="""","""",TEXTJOIN(CHAR(10),TRUE,FILTER('Tổng hợp 75 trang đích'!$B$2:$B$3400,'Tổng hợp 75 trang đích'!$I$2:$I$3400=A142)))"),"https://techcombank.com/thong-tin/blog/nop-thue-dat-qua-ngan-hang
https://techcombank.com/thong-tin/blog/cach-nop-thue-dien-tu
https://techcombank.com/thong-tin/blog/tra-cuu-no-thue-doanh-nghiep
https://techcombank.com/thong-tin/blog/cach-tinh-thue-thu-nh"&amp;"ap-ca-nhan-2025
https://techcombank.com/thong-tin/blog/kiem-tra-thue-thu-nhap-ca-nhan
https://techcombank.com/thong-tin/blog/thue-thu-nhap-ca-nhan
https://techcombank.com/thong-tin/blog/cach-quet-nfc-cccd-tren-iphone")</f>
        <v>https://techcombank.com/thong-tin/blog/nop-thue-dat-qua-ngan-hang
https://techcombank.com/thong-tin/blog/cach-nop-thue-dien-tu
https://techcombank.com/thong-tin/blog/tra-cuu-no-thue-doanh-nghiep
https://techcombank.com/thong-tin/blog/cach-tinh-thue-thu-nhap-ca-nhan-2025
https://techcombank.com/thong-tin/blog/kiem-tra-thue-thu-nhap-ca-nhan
https://techcombank.com/thong-tin/blog/thue-thu-nhap-ca-nhan
https://techcombank.com/thong-tin/blog/cach-quet-nfc-cccd-tren-iphone</v>
      </c>
      <c r="D142" s="20"/>
      <c r="E142" s="20"/>
      <c r="F142" s="20"/>
      <c r="G142" s="20"/>
      <c r="H142" s="20"/>
      <c r="I142" s="20"/>
      <c r="J142" s="20"/>
      <c r="K142" s="20"/>
      <c r="L142" s="20"/>
      <c r="M142" s="20"/>
      <c r="N142" s="20"/>
      <c r="O142" s="20"/>
      <c r="P142" s="20"/>
      <c r="Q142" s="20"/>
      <c r="R142" s="20"/>
      <c r="S142" s="20"/>
      <c r="T142" s="20"/>
      <c r="U142" s="20"/>
      <c r="V142" s="20"/>
      <c r="W142" s="20"/>
      <c r="X142" s="20"/>
    </row>
    <row r="143">
      <c r="A143" s="27" t="str">
        <f>IFERROR(__xludf.DUMMYFUNCTION("""COMPUTED_VALUE"""),"https://techcombank.com/thong-tin/blog/dang-ky-nhieu-tai-khoan-ngan-hang-co-sao-khong")</f>
        <v>https://techcombank.com/thong-tin/blog/dang-ky-nhieu-tai-khoan-ngan-hang-co-sao-khong</v>
      </c>
      <c r="B143" s="28">
        <f>IFERROR(__xludf.DUMMYFUNCTION("""COMPUTED_VALUE"""),7.0)</f>
        <v>7</v>
      </c>
      <c r="C143" s="20" t="str">
        <f>IFERROR(__xludf.DUMMYFUNCTION("IF(A143="""","""",TEXTJOIN(CHAR(10),TRUE,FILTER('Tổng hợp 75 trang đích'!$B$2:$B$3400,'Tổng hợp 75 trang đích'!$I$2:$I$3400=A143)))"),"https://techcombank.com/thong-tin/blog/cong-ty-su-dung-tai-khoan-ca-nhan
https://techcombank.com/thong-tin/blog/cach-mo-tai-khoan
https://techcombank.com/thong-tin/blog/mo-tai-khoan-ngan-hang-duoi-18-tuoi
https://techcombank.com/thong-tin/blog/cic-la-gi
h"&amp;"ttps://techcombank.com/thong-tin/blog/lai-suat-tiet-kiem
https://techcombank.com/thong-tin/blog/cach-tiet-kiem-tien
https://techcombank.com/cong-cu-tien-ich/cong-cu-tinh-toan/bang-tinh-lai-suat-tiet-kiem")</f>
        <v>https://techcombank.com/thong-tin/blog/cong-ty-su-dung-tai-khoan-ca-nhan
https://techcombank.com/thong-tin/blog/cach-mo-tai-khoan
https://techcombank.com/thong-tin/blog/mo-tai-khoan-ngan-hang-duoi-18-tuoi
https://techcombank.com/thong-tin/blog/cic-la-gi
https://techcombank.com/thong-tin/blog/lai-suat-tiet-kiem
https://techcombank.com/thong-tin/blog/cach-tiet-kiem-tien
https://techcombank.com/cong-cu-tien-ich/cong-cu-tinh-toan/bang-tinh-lai-suat-tiet-kiem</v>
      </c>
      <c r="D143" s="20"/>
      <c r="E143" s="20"/>
      <c r="F143" s="20"/>
      <c r="G143" s="20"/>
      <c r="H143" s="20"/>
      <c r="I143" s="20"/>
      <c r="J143" s="20"/>
      <c r="K143" s="20"/>
      <c r="L143" s="20"/>
      <c r="M143" s="20"/>
      <c r="N143" s="20"/>
      <c r="O143" s="20"/>
      <c r="P143" s="20"/>
      <c r="Q143" s="20"/>
      <c r="R143" s="20"/>
      <c r="S143" s="20"/>
      <c r="T143" s="20"/>
      <c r="U143" s="20"/>
      <c r="V143" s="20"/>
      <c r="W143" s="20"/>
      <c r="X143" s="20"/>
    </row>
    <row r="144">
      <c r="A144" s="27" t="str">
        <f>IFERROR(__xludf.DUMMYFUNCTION("""COMPUTED_VALUE"""),"https://techcombank.com/thong-tin/blog/dang-vay-tra-gop-co-vay-them-duoc-khong")</f>
        <v>https://techcombank.com/thong-tin/blog/dang-vay-tra-gop-co-vay-them-duoc-khong</v>
      </c>
      <c r="B144" s="28">
        <f>IFERROR(__xludf.DUMMYFUNCTION("""COMPUTED_VALUE"""),7.0)</f>
        <v>7</v>
      </c>
      <c r="C144" s="20" t="str">
        <f>IFERROR(__xludf.DUMMYFUNCTION("IF(A144="""","""",TEXTJOIN(CHAR(10),TRUE,FILTER('Tổng hợp 75 trang đích'!$B$2:$B$3400,'Tổng hợp 75 trang đích'!$I$2:$I$3400=A144)))"),"https://techcombank.com/thong-tin/blog/rut-tien-mat-tu-the-tin-dung
https://techcombank.com/thong-tin/blog/vay-ngan-hang-1-ty-moi-thang-tra-bao-nhieu
https://techcombank.com/cong-cu-tien-ich/cong-cu-tinh-toan/bang-tinh-lai-suat-vay
https://techcombank.com"&amp;"/thong-tin/blog/app-vay-tien-nhanh
https://techcombank.com/thong-tin/blog/lai-suat-vay-ngan-hang
https://techcombank.com/thong-tin/blog/vay-thau-chi-la-gi
https://techcombank.com/thong-tin/blog/nen-vay-tin-chap-o-dau")</f>
        <v>https://techcombank.com/thong-tin/blog/rut-tien-mat-tu-the-tin-dung
https://techcombank.com/thong-tin/blog/vay-ngan-hang-1-ty-moi-thang-tra-bao-nhieu
https://techcombank.com/cong-cu-tien-ich/cong-cu-tinh-toan/bang-tinh-lai-suat-vay
https://techcombank.com/thong-tin/blog/app-vay-tien-nhanh
https://techcombank.com/thong-tin/blog/lai-suat-vay-ngan-hang
https://techcombank.com/thong-tin/blog/vay-thau-chi-la-gi
https://techcombank.com/thong-tin/blog/nen-vay-tin-chap-o-dau</v>
      </c>
      <c r="D144" s="20"/>
      <c r="E144" s="20"/>
      <c r="F144" s="20"/>
      <c r="G144" s="20"/>
      <c r="H144" s="20"/>
      <c r="I144" s="20"/>
      <c r="J144" s="20"/>
      <c r="K144" s="20"/>
      <c r="L144" s="20"/>
      <c r="M144" s="20"/>
      <c r="N144" s="20"/>
      <c r="O144" s="20"/>
      <c r="P144" s="20"/>
      <c r="Q144" s="20"/>
      <c r="R144" s="20"/>
      <c r="S144" s="20"/>
      <c r="T144" s="20"/>
      <c r="U144" s="20"/>
      <c r="V144" s="20"/>
      <c r="W144" s="20"/>
      <c r="X144" s="20"/>
    </row>
    <row r="145">
      <c r="A145" s="27" t="str">
        <f>IFERROR(__xludf.DUMMYFUNCTION("""COMPUTED_VALUE"""),"https://techcombank.com/thong-tin/blog/di-du-lich-nuoc-ngoai-can-chuan-bi-gi")</f>
        <v>https://techcombank.com/thong-tin/blog/di-du-lich-nuoc-ngoai-can-chuan-bi-gi</v>
      </c>
      <c r="B145" s="28">
        <f>IFERROR(__xludf.DUMMYFUNCTION("""COMPUTED_VALUE"""),7.0)</f>
        <v>7</v>
      </c>
      <c r="C145" s="20" t="str">
        <f>IFERROR(__xludf.DUMMYFUNCTION("IF(A145="""","""",TEXTJOIN(CHAR(10),TRUE,FILTER('Tổng hợp 75 trang đích'!$B$2:$B$3400,'Tổng hợp 75 trang đích'!$I$2:$I$3400=A145)))"),"https://techcombank.com/thong-tin/blog/cic-la-gi
https://techcombank.com/thong-tin/blog/1-te-bang-bao-nhieu-tien-viet-nam
https://techcombank.com/thong-tin/blog/1-won-bang-bao-nhieu-tien-viet
https://techcombank.com/thong-tin/blog/tien-dai-loan
https://te"&amp;"chcombank.com/thong-tin/blog/1-trieu-do-bang-bao-nhieu-tien-viet
https://techcombank.com/thong-tin/blog/cach-nhan-tien-tu-nuoc-ngoai-ve-viet-nam
https://techcombank.com/thong-tin/blog/doi-tien-do-o-dau")</f>
        <v>https://techcombank.com/thong-tin/blog/cic-la-gi
https://techcombank.com/thong-tin/blog/1-te-bang-bao-nhieu-tien-viet-nam
https://techcombank.com/thong-tin/blog/1-won-bang-bao-nhieu-tien-viet
https://techcombank.com/thong-tin/blog/tien-dai-loan
https://techcombank.com/thong-tin/blog/1-trieu-do-bang-bao-nhieu-tien-viet
https://techcombank.com/thong-tin/blog/cach-nhan-tien-tu-nuoc-ngoai-ve-viet-nam
https://techcombank.com/thong-tin/blog/doi-tien-do-o-dau</v>
      </c>
      <c r="D145" s="20"/>
      <c r="E145" s="20"/>
      <c r="F145" s="20"/>
      <c r="G145" s="20"/>
      <c r="H145" s="20"/>
      <c r="I145" s="20"/>
      <c r="J145" s="20"/>
      <c r="K145" s="20"/>
      <c r="L145" s="20"/>
      <c r="M145" s="20"/>
      <c r="N145" s="20"/>
      <c r="O145" s="20"/>
      <c r="P145" s="20"/>
      <c r="Q145" s="20"/>
      <c r="R145" s="20"/>
      <c r="S145" s="20"/>
      <c r="T145" s="20"/>
      <c r="U145" s="20"/>
      <c r="V145" s="20"/>
      <c r="W145" s="20"/>
      <c r="X145" s="20"/>
    </row>
    <row r="146">
      <c r="A146" s="27" t="str">
        <f>IFERROR(__xludf.DUMMYFUNCTION("""COMPUTED_VALUE"""),"https://techcombank.com/thong-tin/blog/dieu-kien-vay-von-ngan-hang")</f>
        <v>https://techcombank.com/thong-tin/blog/dieu-kien-vay-von-ngan-hang</v>
      </c>
      <c r="B146" s="28">
        <f>IFERROR(__xludf.DUMMYFUNCTION("""COMPUTED_VALUE"""),7.0)</f>
        <v>7</v>
      </c>
      <c r="C146" s="20" t="str">
        <f>IFERROR(__xludf.DUMMYFUNCTION("IF(A146="""","""",TEXTJOIN(CHAR(10),TRUE,FILTER('Tổng hợp 75 trang đích'!$B$2:$B$3400,'Tổng hợp 75 trang đích'!$I$2:$I$3400=A146)))"),"https://techcombank.com/thong-tin/blog/nop-thue-dat-qua-ngan-hang
https://techcombank.com/thong-tin/blog/ngan-hang-uy-tin
https://techcombank.com/thong-tin/blog/cach-tinh-lai-vay-ngan-hang
https://techcombank.com/thong-tin/blog/lai-suat-tiet-kiem
https://"&amp;"techcombank.com/cong-cu-tien-ich/cong-cu-tinh-toan/bang-tinh-lai-suat-vay
https://techcombank.com/thong-tin/blog/app-vay-tien-nhanh
https://techcombank.com/thong-tin/blog/lai-suat-vay-ngan-hang")</f>
        <v>https://techcombank.com/thong-tin/blog/nop-thue-dat-qua-ngan-hang
https://techcombank.com/thong-tin/blog/ngan-hang-uy-tin
https://techcombank.com/thong-tin/blog/cach-tinh-lai-vay-ngan-hang
https://techcombank.com/thong-tin/blog/lai-suat-tiet-kiem
https://techcombank.com/cong-cu-tien-ich/cong-cu-tinh-toan/bang-tinh-lai-suat-vay
https://techcombank.com/thong-tin/blog/app-vay-tien-nhanh
https://techcombank.com/thong-tin/blog/lai-suat-vay-ngan-hang</v>
      </c>
      <c r="D146" s="20"/>
      <c r="E146" s="20"/>
      <c r="F146" s="20"/>
      <c r="G146" s="20"/>
      <c r="H146" s="20"/>
      <c r="I146" s="20"/>
      <c r="J146" s="20"/>
      <c r="K146" s="20"/>
      <c r="L146" s="20"/>
      <c r="M146" s="20"/>
      <c r="N146" s="20"/>
      <c r="O146" s="20"/>
      <c r="P146" s="20"/>
      <c r="Q146" s="20"/>
      <c r="R146" s="20"/>
      <c r="S146" s="20"/>
      <c r="T146" s="20"/>
      <c r="U146" s="20"/>
      <c r="V146" s="20"/>
      <c r="W146" s="20"/>
      <c r="X146" s="20"/>
    </row>
    <row r="147">
      <c r="A147" s="27" t="str">
        <f>IFERROR(__xludf.DUMMYFUNCTION("""COMPUTED_VALUE"""),"https://techcombank.com/thong-tin/blog/gui-tien-ngan-hang-co-an-toan-khong")</f>
        <v>https://techcombank.com/thong-tin/blog/gui-tien-ngan-hang-co-an-toan-khong</v>
      </c>
      <c r="B147" s="28">
        <f>IFERROR(__xludf.DUMMYFUNCTION("""COMPUTED_VALUE"""),7.0)</f>
        <v>7</v>
      </c>
      <c r="C147" s="20" t="str">
        <f>IFERROR(__xludf.DUMMYFUNCTION("IF(A147="""","""",TEXTJOIN(CHAR(10),TRUE,FILTER('Tổng hợp 75 trang đích'!$B$2:$B$3400,'Tổng hợp 75 trang đích'!$I$2:$I$3400=A147)))"),"https://techcombank.com/thong-tin/blog/ngan-hang-uy-tin
https://techcombank.com/thong-tin/blog/cach-sao-ke-tai-khoan-ngan-hang
https://techcombank.com/thong-tin/blog/chung-chi-tien-gui-la-gi
https://techcombank.com/thong-tin/blog/lai-suat-tiet-kiem
https:"&amp;"//techcombank.com/thong-tin/blog/cach-tinh-lai-suat-tien-gui-tiet-kiem
https://techcombank.com/thong-tin/blog/so-tiet-kiem-ngan-hang
https://techcombank.com/cong-cu-tien-ich/cong-cu-tinh-toan/bang-tinh-lai-suat-tiet-kiem")</f>
        <v>https://techcombank.com/thong-tin/blog/ngan-hang-uy-tin
https://techcombank.com/thong-tin/blog/cach-sao-ke-tai-khoan-ngan-hang
https://techcombank.com/thong-tin/blog/chung-chi-tien-gui-la-gi
https://techcombank.com/thong-tin/blog/lai-suat-tiet-kiem
https://techcombank.com/thong-tin/blog/cach-tinh-lai-suat-tien-gui-tiet-kiem
https://techcombank.com/thong-tin/blog/so-tiet-kiem-ngan-hang
https://techcombank.com/cong-cu-tien-ich/cong-cu-tinh-toan/bang-tinh-lai-suat-tiet-kiem</v>
      </c>
      <c r="D147" s="20"/>
      <c r="E147" s="20"/>
      <c r="F147" s="20"/>
      <c r="G147" s="20"/>
      <c r="H147" s="20"/>
      <c r="I147" s="20"/>
      <c r="J147" s="20"/>
      <c r="K147" s="20"/>
      <c r="L147" s="20"/>
      <c r="M147" s="20"/>
      <c r="N147" s="20"/>
      <c r="O147" s="20"/>
      <c r="P147" s="20"/>
      <c r="Q147" s="20"/>
      <c r="R147" s="20"/>
      <c r="S147" s="20"/>
      <c r="T147" s="20"/>
      <c r="U147" s="20"/>
      <c r="V147" s="20"/>
      <c r="W147" s="20"/>
      <c r="X147" s="20"/>
    </row>
    <row r="148">
      <c r="A148" s="27" t="str">
        <f>IFERROR(__xludf.DUMMYFUNCTION("""COMPUTED_VALUE"""),"https://techcombank.com/thong-tin/blog/gui-tiet-kiem-lay-lai-hang-thang")</f>
        <v>https://techcombank.com/thong-tin/blog/gui-tiet-kiem-lay-lai-hang-thang</v>
      </c>
      <c r="B148" s="28">
        <f>IFERROR(__xludf.DUMMYFUNCTION("""COMPUTED_VALUE"""),7.0)</f>
        <v>7</v>
      </c>
      <c r="C148" s="20" t="str">
        <f>IFERROR(__xludf.DUMMYFUNCTION("IF(A148="""","""",TEXTJOIN(CHAR(10),TRUE,FILTER('Tổng hợp 75 trang đích'!$B$2:$B$3400,'Tổng hợp 75 trang đích'!$I$2:$I$3400=A148)))"),"https://techcombank.com/thong-tin/blog/cic-la-gi
https://techcombank.com/thong-tin/blog/tien-nhat
https://techcombank.com/thong-tin/blog/lai-suat-tiet-kiem
https://techcombank.com/thong-tin/blog/so-tiet-kiem-ngan-hang
https://techcombank.com/thong-tin/blo"&amp;"g/cach-tiet-kiem-tien
https://techcombank.com/thong-tin/blog/rui-ro-khi-gui-tiet-kiem-online
https://techcombank.com/cong-cu-tien-ich/cong-cu-tinh-toan/bang-tinh-lai-suat-tiet-kiem")</f>
        <v>https://techcombank.com/thong-tin/blog/cic-la-gi
https://techcombank.com/thong-tin/blog/tien-nhat
https://techcombank.com/thong-tin/blog/lai-suat-tiet-kiem
https://techcombank.com/thong-tin/blog/so-tiet-kiem-ngan-hang
https://techcombank.com/thong-tin/blog/cach-tiet-kiem-tien
https://techcombank.com/thong-tin/blog/rui-ro-khi-gui-tiet-kiem-online
https://techcombank.com/cong-cu-tien-ich/cong-cu-tinh-toan/bang-tinh-lai-suat-tiet-kiem</v>
      </c>
      <c r="D148" s="20"/>
      <c r="E148" s="20"/>
      <c r="F148" s="20"/>
      <c r="G148" s="20"/>
      <c r="H148" s="20"/>
      <c r="I148" s="20"/>
      <c r="J148" s="20"/>
      <c r="K148" s="20"/>
      <c r="L148" s="20"/>
      <c r="M148" s="20"/>
      <c r="N148" s="20"/>
      <c r="O148" s="20"/>
      <c r="P148" s="20"/>
      <c r="Q148" s="20"/>
      <c r="R148" s="20"/>
      <c r="S148" s="20"/>
      <c r="T148" s="20"/>
      <c r="U148" s="20"/>
      <c r="V148" s="20"/>
      <c r="W148" s="20"/>
      <c r="X148" s="20"/>
    </row>
    <row r="149">
      <c r="A149" s="27" t="str">
        <f>IFERROR(__xludf.DUMMYFUNCTION("""COMPUTED_VALUE"""),"https://techcombank.com/thong-tin/blog/gui-tiet-kiem-ngoai-te")</f>
        <v>https://techcombank.com/thong-tin/blog/gui-tiet-kiem-ngoai-te</v>
      </c>
      <c r="B149" s="28">
        <f>IFERROR(__xludf.DUMMYFUNCTION("""COMPUTED_VALUE"""),7.0)</f>
        <v>7</v>
      </c>
      <c r="C149" s="20" t="str">
        <f>IFERROR(__xludf.DUMMYFUNCTION("IF(A149="""","""",TEXTJOIN(CHAR(10),TRUE,FILTER('Tổng hợp 75 trang đích'!$B$2:$B$3400,'Tổng hợp 75 trang đích'!$I$2:$I$3400=A149)))"),"https://techcombank.com/thong-tin/blog/ngan-hang-uy-tin
https://techcombank.com/thong-tin/blog/1-te-bang-bao-nhieu-tien-viet-nam
https://techcombank.com/thong-tin/blog/lai-suat-tiet-kiem
https://techcombank.com/thong-tin/blog/cach-tinh-lai-suat-tien-gui-t"&amp;"iet-kiem
https://techcombank.com/thong-tin/blog/so-tiet-kiem-ngan-hang
https://techcombank.com/cong-cu-tien-ich/cong-cu-tinh-toan/bang-tinh-lai-suat-tiet-kiem
https://techcombank.com/thong-tin/blog/app-vay-tien-nhanh")</f>
        <v>https://techcombank.com/thong-tin/blog/ngan-hang-uy-tin
https://techcombank.com/thong-tin/blog/1-te-bang-bao-nhieu-tien-viet-nam
https://techcombank.com/thong-tin/blog/lai-suat-tiet-kiem
https://techcombank.com/thong-tin/blog/cach-tinh-lai-suat-tien-gui-tiet-kiem
https://techcombank.com/thong-tin/blog/so-tiet-kiem-ngan-hang
https://techcombank.com/cong-cu-tien-ich/cong-cu-tinh-toan/bang-tinh-lai-suat-tiet-kiem
https://techcombank.com/thong-tin/blog/app-vay-tien-nhanh</v>
      </c>
      <c r="D149" s="20"/>
      <c r="E149" s="20"/>
      <c r="F149" s="20"/>
      <c r="G149" s="20"/>
      <c r="H149" s="20"/>
      <c r="I149" s="20"/>
      <c r="J149" s="20"/>
      <c r="K149" s="20"/>
      <c r="L149" s="20"/>
      <c r="M149" s="20"/>
      <c r="N149" s="20"/>
      <c r="O149" s="20"/>
      <c r="P149" s="20"/>
      <c r="Q149" s="20"/>
      <c r="R149" s="20"/>
      <c r="S149" s="20"/>
      <c r="T149" s="20"/>
      <c r="U149" s="20"/>
      <c r="V149" s="20"/>
      <c r="W149" s="20"/>
      <c r="X149" s="20"/>
    </row>
    <row r="150">
      <c r="A150" s="27" t="str">
        <f>IFERROR(__xludf.DUMMYFUNCTION("""COMPUTED_VALUE"""),"https://techcombank.com/thong-tin/blog/gui-tiet-kiem-vang")</f>
        <v>https://techcombank.com/thong-tin/blog/gui-tiet-kiem-vang</v>
      </c>
      <c r="B150" s="28">
        <f>IFERROR(__xludf.DUMMYFUNCTION("""COMPUTED_VALUE"""),7.0)</f>
        <v>7</v>
      </c>
      <c r="C150" s="20" t="str">
        <f>IFERROR(__xludf.DUMMYFUNCTION("IF(A150="""","""",TEXTJOIN(CHAR(10),TRUE,FILTER('Tổng hợp 75 trang đích'!$B$2:$B$3400,'Tổng hợp 75 trang đích'!$I$2:$I$3400=A150)))"),"https://techcombank.com/thong-tin/blog/chung-chi-tien-gui-la-gi
https://techcombank.com/thong-tin/blog/lai-suat-tiet-kiem
https://techcombank.com/thong-tin/blog/cach-tinh-lai-suat-tien-gui-tiet-kiem
https://techcombank.com/thong-tin/blog/rut-tien-tiet-kie"&amp;"m-truoc-thoi-han
https://techcombank.com/thong-tin/blog/rui-ro-khi-gui-tiet-kiem-online
https://techcombank.com/cong-cu-tien-ich/cong-cu-tinh-toan/bang-tinh-lai-suat-tiet-kiem
https://techcombank.com/thong-tin/blog/phuong-phap-dau-tu-chung-chi-quy")</f>
        <v>https://techcombank.com/thong-tin/blog/chung-chi-tien-gui-la-gi
https://techcombank.com/thong-tin/blog/lai-suat-tiet-kiem
https://techcombank.com/thong-tin/blog/cach-tinh-lai-suat-tien-gui-tiet-kiem
https://techcombank.com/thong-tin/blog/rut-tien-tiet-kiem-truoc-thoi-han
https://techcombank.com/thong-tin/blog/rui-ro-khi-gui-tiet-kiem-online
https://techcombank.com/cong-cu-tien-ich/cong-cu-tinh-toan/bang-tinh-lai-suat-tiet-kiem
https://techcombank.com/thong-tin/blog/phuong-phap-dau-tu-chung-chi-quy</v>
      </c>
      <c r="D150" s="20"/>
      <c r="E150" s="20"/>
      <c r="F150" s="20"/>
      <c r="G150" s="20"/>
      <c r="H150" s="20"/>
      <c r="I150" s="20"/>
      <c r="J150" s="20"/>
      <c r="K150" s="20"/>
      <c r="L150" s="20"/>
      <c r="M150" s="20"/>
      <c r="N150" s="20"/>
      <c r="O150" s="20"/>
      <c r="P150" s="20"/>
      <c r="Q150" s="20"/>
      <c r="R150" s="20"/>
      <c r="S150" s="20"/>
      <c r="T150" s="20"/>
      <c r="U150" s="20"/>
      <c r="V150" s="20"/>
      <c r="W150" s="20"/>
      <c r="X150" s="20"/>
    </row>
    <row r="151">
      <c r="A151" s="27" t="str">
        <f>IFERROR(__xludf.DUMMYFUNCTION("""COMPUTED_VALUE"""),"https://techcombank.com/thong-tin/blog/hoan-thue-thu-nhap-ca-nhan")</f>
        <v>https://techcombank.com/thong-tin/blog/hoan-thue-thu-nhap-ca-nhan</v>
      </c>
      <c r="B151" s="28">
        <f>IFERROR(__xludf.DUMMYFUNCTION("""COMPUTED_VALUE"""),7.0)</f>
        <v>7</v>
      </c>
      <c r="C151" s="20" t="str">
        <f>IFERROR(__xludf.DUMMYFUNCTION("IF(A151="""","""",TEXTJOIN(CHAR(10),TRUE,FILTER('Tổng hợp 75 trang đích'!$B$2:$B$3400,'Tổng hợp 75 trang đích'!$I$2:$I$3400=A151)))"),"https://techcombank.com/thong-tin/blog/nop-thue-dat-qua-ngan-hang
https://techcombank.com/thong-tin/blog/cach-nop-thue-dien-tu
https://techcombank.com/thong-tin/blog/tra-cuu-no-thue-doanh-nghiep
https://techcombank.com/thong-tin/blog/cach-tinh-thue-thu-nh"&amp;"ap-ca-nhan-2025
https://techcombank.com/thong-tin/blog/kiem-tra-thue-thu-nhap-ca-nhan
https://techcombank.com/thong-tin/blog/thue-thu-nhap-ca-nhan
https://techcombank.com/thong-tin/blog/cic-la-gi")</f>
        <v>https://techcombank.com/thong-tin/blog/nop-thue-dat-qua-ngan-hang
https://techcombank.com/thong-tin/blog/cach-nop-thue-dien-tu
https://techcombank.com/thong-tin/blog/tra-cuu-no-thue-doanh-nghiep
https://techcombank.com/thong-tin/blog/cach-tinh-thue-thu-nhap-ca-nhan-2025
https://techcombank.com/thong-tin/blog/kiem-tra-thue-thu-nhap-ca-nhan
https://techcombank.com/thong-tin/blog/thue-thu-nhap-ca-nhan
https://techcombank.com/thong-tin/blog/cic-la-gi</v>
      </c>
      <c r="D151" s="20"/>
      <c r="E151" s="20"/>
      <c r="F151" s="20"/>
      <c r="G151" s="20"/>
      <c r="H151" s="20"/>
      <c r="I151" s="20"/>
      <c r="J151" s="20"/>
      <c r="K151" s="20"/>
      <c r="L151" s="20"/>
      <c r="M151" s="20"/>
      <c r="N151" s="20"/>
      <c r="O151" s="20"/>
      <c r="P151" s="20"/>
      <c r="Q151" s="20"/>
      <c r="R151" s="20"/>
      <c r="S151" s="20"/>
      <c r="T151" s="20"/>
      <c r="U151" s="20"/>
      <c r="V151" s="20"/>
      <c r="W151" s="20"/>
      <c r="X151" s="20"/>
    </row>
    <row r="152">
      <c r="A152" s="27" t="str">
        <f>IFERROR(__xludf.DUMMYFUNCTION("""COMPUTED_VALUE"""),"https://techcombank.com/thong-tin/blog/khoi-nghiep-truoc-chinh-sach-thue-moi")</f>
        <v>https://techcombank.com/thong-tin/blog/khoi-nghiep-truoc-chinh-sach-thue-moi</v>
      </c>
      <c r="B152" s="28">
        <f>IFERROR(__xludf.DUMMYFUNCTION("""COMPUTED_VALUE"""),7.0)</f>
        <v>7</v>
      </c>
      <c r="C152" s="20" t="str">
        <f>IFERROR(__xludf.DUMMYFUNCTION("IF(A152="""","""",TEXTJOIN(CHAR(10),TRUE,FILTER('Tổng hợp 75 trang đích'!$B$2:$B$3400,'Tổng hợp 75 trang đích'!$I$2:$I$3400=A152)))"),"https://techcombank.com/thong-tin/blog/nop-thue-dat-qua-ngan-hang
https://techcombank.com/thong-tin/blog/cach-nop-thue-dien-tu
https://techcombank.com/thong-tin/blog/thue-thu-nhap-doanh-nghiep
https://techcombank.com/thong-tin/blog/cach-tinh-thue-thu-nhap"&amp;"-doanh-nghiep
https://techcombank.com/thong-tin/blog/thue-thu-nhap-ca-nhan
https://techcombank.com/thong-tin/blog/ho-kinh-doanh-dong-thue-nhu-nao
https://techcombank.com/cong-cu-tien-ich/cong-cu-tinh-toan/bang-tinh-lai-suat-tiet-kiem")</f>
        <v>https://techcombank.com/thong-tin/blog/nop-thue-dat-qua-ngan-hang
https://techcombank.com/thong-tin/blog/cach-nop-thue-dien-tu
https://techcombank.com/thong-tin/blog/thue-thu-nhap-doanh-nghiep
https://techcombank.com/thong-tin/blog/cach-tinh-thue-thu-nhap-doanh-nghiep
https://techcombank.com/thong-tin/blog/thue-thu-nhap-ca-nhan
https://techcombank.com/thong-tin/blog/ho-kinh-doanh-dong-thue-nhu-nao
https://techcombank.com/cong-cu-tien-ich/cong-cu-tinh-toan/bang-tinh-lai-suat-tiet-kiem</v>
      </c>
      <c r="D152" s="20"/>
      <c r="E152" s="20"/>
      <c r="F152" s="20"/>
      <c r="G152" s="20"/>
      <c r="H152" s="20"/>
      <c r="I152" s="20"/>
      <c r="J152" s="20"/>
      <c r="K152" s="20"/>
      <c r="L152" s="20"/>
      <c r="M152" s="20"/>
      <c r="N152" s="20"/>
      <c r="O152" s="20"/>
      <c r="P152" s="20"/>
      <c r="Q152" s="20"/>
      <c r="R152" s="20"/>
      <c r="S152" s="20"/>
      <c r="T152" s="20"/>
      <c r="U152" s="20"/>
      <c r="V152" s="20"/>
      <c r="W152" s="20"/>
      <c r="X152" s="20"/>
    </row>
    <row r="153">
      <c r="A153" s="27" t="str">
        <f>IFERROR(__xludf.DUMMYFUNCTION("""COMPUTED_VALUE"""),"https://techcombank.com/thong-tin/blog/kiem-tra-ma-so-thue-doanh-nghiep")</f>
        <v>https://techcombank.com/thong-tin/blog/kiem-tra-ma-so-thue-doanh-nghiep</v>
      </c>
      <c r="B153" s="28">
        <f>IFERROR(__xludf.DUMMYFUNCTION("""COMPUTED_VALUE"""),7.0)</f>
        <v>7</v>
      </c>
      <c r="C153" s="20" t="str">
        <f>IFERROR(__xludf.DUMMYFUNCTION("IF(A153="""","""",TEXTJOIN(CHAR(10),TRUE,FILTER('Tổng hợp 75 trang đích'!$B$2:$B$3400,'Tổng hợp 75 trang đích'!$I$2:$I$3400=A153)))"),"https://techcombank.com/thong-tin/blog/nop-thue-dat-qua-ngan-hang
https://techcombank.com/thong-tin/blog/cach-nop-thue-dien-tu
https://techcombank.com/thong-tin/blog/thue-thu-nhap-doanh-nghiep
https://techcombank.com/thong-tin/blog/tra-cuu-no-thue-doanh-n"&amp;"ghiep
https://techcombank.com/thong-tin/blog/thue-doanh-nghiep
https://techcombank.com/thong-tin/blog/cach-tinh-thue-thu-nhap-ca-nhan-2025
https://techcombank.com/thong-tin/blog/cic-la-gi")</f>
        <v>https://techcombank.com/thong-tin/blog/nop-thue-dat-qua-ngan-hang
https://techcombank.com/thong-tin/blog/cach-nop-thue-dien-tu
https://techcombank.com/thong-tin/blog/thue-thu-nhap-doanh-nghiep
https://techcombank.com/thong-tin/blog/tra-cuu-no-thue-doanh-nghiep
https://techcombank.com/thong-tin/blog/thue-doanh-nghiep
https://techcombank.com/thong-tin/blog/cach-tinh-thue-thu-nhap-ca-nhan-2025
https://techcombank.com/thong-tin/blog/cic-la-gi</v>
      </c>
      <c r="D153" s="20"/>
      <c r="E153" s="20"/>
      <c r="F153" s="20"/>
      <c r="G153" s="20"/>
      <c r="H153" s="20"/>
      <c r="I153" s="20"/>
      <c r="J153" s="20"/>
      <c r="K153" s="20"/>
      <c r="L153" s="20"/>
      <c r="M153" s="20"/>
      <c r="N153" s="20"/>
      <c r="O153" s="20"/>
      <c r="P153" s="20"/>
      <c r="Q153" s="20"/>
      <c r="R153" s="20"/>
      <c r="S153" s="20"/>
      <c r="T153" s="20"/>
      <c r="U153" s="20"/>
      <c r="V153" s="20"/>
      <c r="W153" s="20"/>
      <c r="X153" s="20"/>
    </row>
    <row r="154">
      <c r="A154" s="27" t="str">
        <f>IFERROR(__xludf.DUMMYFUNCTION("""COMPUTED_VALUE"""),"https://techcombank.com/thong-tin/blog/lai-suat-cho-vay-doanh-nghiep")</f>
        <v>https://techcombank.com/thong-tin/blog/lai-suat-cho-vay-doanh-nghiep</v>
      </c>
      <c r="B154" s="28">
        <f>IFERROR(__xludf.DUMMYFUNCTION("""COMPUTED_VALUE"""),7.0)</f>
        <v>7</v>
      </c>
      <c r="C154" s="20" t="str">
        <f>IFERROR(__xludf.DUMMYFUNCTION("IF(A154="""","""",TEXTJOIN(CHAR(10),TRUE,FILTER('Tổng hợp 75 trang đích'!$B$2:$B$3400,'Tổng hợp 75 trang đích'!$I$2:$I$3400=A154)))"),"https://techcombank.com/thong-tin/blog/lai-suat-chung-chi-tien-gui-cac-ngan-hang
https://techcombank.com/thong-tin/blog/lai-suat-tiet-kiem
https://techcombank.com/thong-tin/blog/cach-tinh-lai-suat-tien-gui-tiet-kiem
https://techcombank.com/cong-cu-tien-ic"&amp;"h/cong-cu-tinh-toan/bang-tinh-lai-suat-vay
https://techcombank.com/cong-cu-tien-ich/cong-cu-tinh-toan/bang-tinh-lai-suat-tiet-kiem
https://techcombank.com/thong-tin/blog/app-vay-tien-nhanh
https://techcombank.com/thong-tin/blog/lai-suat-vay-ngan-hang")</f>
        <v>https://techcombank.com/thong-tin/blog/lai-suat-chung-chi-tien-gui-cac-ngan-hang
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
https://techcombank.com/thong-tin/blog/lai-suat-vay-ngan-hang</v>
      </c>
      <c r="D154" s="20"/>
      <c r="E154" s="20"/>
      <c r="F154" s="20"/>
      <c r="G154" s="20"/>
      <c r="H154" s="20"/>
      <c r="I154" s="20"/>
      <c r="J154" s="20"/>
      <c r="K154" s="20"/>
      <c r="L154" s="20"/>
      <c r="M154" s="20"/>
      <c r="N154" s="20"/>
      <c r="O154" s="20"/>
      <c r="P154" s="20"/>
      <c r="Q154" s="20"/>
      <c r="R154" s="20"/>
      <c r="S154" s="20"/>
      <c r="T154" s="20"/>
      <c r="U154" s="20"/>
      <c r="V154" s="20"/>
      <c r="W154" s="20"/>
      <c r="X154" s="20"/>
    </row>
    <row r="155">
      <c r="A155" s="27" t="str">
        <f>IFERROR(__xludf.DUMMYFUNCTION("""COMPUTED_VALUE"""),"https://techcombank.com/thong-tin/blog/lai-suat-la-gi")</f>
        <v>https://techcombank.com/thong-tin/blog/lai-suat-la-gi</v>
      </c>
      <c r="B155" s="28">
        <f>IFERROR(__xludf.DUMMYFUNCTION("""COMPUTED_VALUE"""),7.0)</f>
        <v>7</v>
      </c>
      <c r="C155" s="20" t="str">
        <f>IFERROR(__xludf.DUMMYFUNCTION("IF(A155="""","""",TEXTJOIN(CHAR(10),TRUE,FILTER('Tổng hợp 75 trang đích'!$B$2:$B$3400,'Tổng hợp 75 trang đích'!$I$2:$I$3400=A155)))"),"https://techcombank.com/thong-tin/blog/cach-tinh-lai-vay-ngan-hang
https://techcombank.com/thong-tin/blog/lai-suat-tiet-kiem
https://techcombank.com/thong-tin/blog/cach-tinh-lai-suat-tien-gui-tiet-kiem
https://techcombank.com/cong-cu-tien-ich/cong-cu-tinh"&amp;"-toan/bang-tinh-lai-suat-vay
https://techcombank.com/cong-cu-tien-ich/cong-cu-tinh-toan/bang-tinh-lai-suat-tiet-kiem
https://techcombank.com/thong-tin/blog/app-vay-tien-nhanh
https://techcombank.com/thong-tin/blog/lai-suat-vay-ngan-hang")</f>
        <v>https://techcombank.com/thong-tin/blog/cach-tinh-lai-vay-ngan-hang
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
https://techcombank.com/thong-tin/blog/lai-suat-vay-ngan-hang</v>
      </c>
      <c r="D155" s="20"/>
      <c r="E155" s="20"/>
      <c r="F155" s="20"/>
      <c r="G155" s="20"/>
      <c r="H155" s="20"/>
      <c r="I155" s="20"/>
      <c r="J155" s="20"/>
      <c r="K155" s="20"/>
      <c r="L155" s="20"/>
      <c r="M155" s="20"/>
      <c r="N155" s="20"/>
      <c r="O155" s="20"/>
      <c r="P155" s="20"/>
      <c r="Q155" s="20"/>
      <c r="R155" s="20"/>
      <c r="S155" s="20"/>
      <c r="T155" s="20"/>
      <c r="U155" s="20"/>
      <c r="V155" s="20"/>
      <c r="W155" s="20"/>
      <c r="X155" s="20"/>
    </row>
    <row r="156">
      <c r="A156" s="27" t="str">
        <f>IFERROR(__xludf.DUMMYFUNCTION("""COMPUTED_VALUE"""),"https://techcombank.com/thong-tin/blog/lai-suat-tha-noi")</f>
        <v>https://techcombank.com/thong-tin/blog/lai-suat-tha-noi</v>
      </c>
      <c r="B156" s="28">
        <f>IFERROR(__xludf.DUMMYFUNCTION("""COMPUTED_VALUE"""),7.0)</f>
        <v>7</v>
      </c>
      <c r="C156" s="20" t="str">
        <f>IFERROR(__xludf.DUMMYFUNCTION("IF(A156="""","""",TEXTJOIN(CHAR(10),TRUE,FILTER('Tổng hợp 75 trang đích'!$B$2:$B$3400,'Tổng hợp 75 trang đích'!$I$2:$I$3400=A156)))"),"https://techcombank.com/thong-tin/blog/cach-tinh-lai-vay-ngan-hang
https://techcombank.com/thong-tin/blog/lai-suat-tiet-kiem
https://techcombank.com/thong-tin/blog/cach-tinh-lai-suat-tien-gui-tiet-kiem
https://techcombank.com/cong-cu-tien-ich/cong-cu-tinh"&amp;"-toan/bang-tinh-lai-suat-vay
https://techcombank.com/cong-cu-tien-ich/cong-cu-tinh-toan/bang-tinh-lai-suat-tiet-kiem
https://techcombank.com/thong-tin/blog/app-vay-tien-nhanh
https://techcombank.com/thong-tin/blog/lai-suat-vay-ngan-hang")</f>
        <v>https://techcombank.com/thong-tin/blog/cach-tinh-lai-vay-ngan-hang
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
https://techcombank.com/thong-tin/blog/lai-suat-vay-ngan-hang</v>
      </c>
      <c r="D156" s="20"/>
      <c r="E156" s="20"/>
      <c r="F156" s="20"/>
      <c r="G156" s="20"/>
      <c r="H156" s="20"/>
      <c r="I156" s="20"/>
      <c r="J156" s="20"/>
      <c r="K156" s="20"/>
      <c r="L156" s="20"/>
      <c r="M156" s="20"/>
      <c r="N156" s="20"/>
      <c r="O156" s="20"/>
      <c r="P156" s="20"/>
      <c r="Q156" s="20"/>
      <c r="R156" s="20"/>
      <c r="S156" s="20"/>
      <c r="T156" s="20"/>
      <c r="U156" s="20"/>
      <c r="V156" s="20"/>
      <c r="W156" s="20"/>
      <c r="X156" s="20"/>
    </row>
    <row r="157">
      <c r="A157" s="27" t="str">
        <f>IFERROR(__xludf.DUMMYFUNCTION("""COMPUTED_VALUE"""),"https://techcombank.com/thong-tin/blog/lai-suat-vay-mua-o-to")</f>
        <v>https://techcombank.com/thong-tin/blog/lai-suat-vay-mua-o-to</v>
      </c>
      <c r="B157" s="28">
        <f>IFERROR(__xludf.DUMMYFUNCTION("""COMPUTED_VALUE"""),7.0)</f>
        <v>7</v>
      </c>
      <c r="C157" s="20" t="str">
        <f>IFERROR(__xludf.DUMMYFUNCTION("IF(A157="""","""",TEXTJOIN(CHAR(10),TRUE,FILTER('Tổng hợp 75 trang đích'!$B$2:$B$3400,'Tổng hợp 75 trang đích'!$I$2:$I$3400=A157)))"),"https://techcombank.com/thong-tin/blog/ngan-hang-uy-tin
https://techcombank.com/thong-tin/blog/lai-suat-vay-the-chap-so-do
https://techcombank.com/thong-tin/blog/lai-suat-tiet-kiem
https://techcombank.com/thong-tin/blog/cach-tinh-lai-suat-tien-gui-tiet-ki"&amp;"em
https://techcombank.com/cong-cu-tien-ich/cong-cu-tinh-toan/bang-tinh-lai-suat-vay
https://techcombank.com/thong-tin/blog/app-vay-tien-nhanh
https://techcombank.com/thong-tin/blog/lai-suat-vay-ngan-hang")</f>
        <v>https://techcombank.com/thong-tin/blog/ngan-hang-uy-tin
https://techcombank.com/thong-tin/blog/lai-suat-vay-the-chap-so-do
https://techcombank.com/thong-tin/blog/lai-suat-tiet-kiem
https://techcombank.com/thong-tin/blog/cach-tinh-lai-suat-tien-gui-tiet-kiem
https://techcombank.com/cong-cu-tien-ich/cong-cu-tinh-toan/bang-tinh-lai-suat-vay
https://techcombank.com/thong-tin/blog/app-vay-tien-nhanh
https://techcombank.com/thong-tin/blog/lai-suat-vay-ngan-hang</v>
      </c>
      <c r="D157" s="20"/>
      <c r="E157" s="20"/>
      <c r="F157" s="20"/>
      <c r="G157" s="20"/>
      <c r="H157" s="20"/>
      <c r="I157" s="20"/>
      <c r="J157" s="20"/>
      <c r="K157" s="20"/>
      <c r="L157" s="20"/>
      <c r="M157" s="20"/>
      <c r="N157" s="20"/>
      <c r="O157" s="20"/>
      <c r="P157" s="20"/>
      <c r="Q157" s="20"/>
      <c r="R157" s="20"/>
      <c r="S157" s="20"/>
      <c r="T157" s="20"/>
      <c r="U157" s="20"/>
      <c r="V157" s="20"/>
      <c r="W157" s="20"/>
      <c r="X157" s="20"/>
    </row>
    <row r="158">
      <c r="A158" s="27" t="str">
        <f>IFERROR(__xludf.DUMMYFUNCTION("""COMPUTED_VALUE"""),"https://techcombank.com/thong-tin/blog/lai-suat-vay-ngan-hang")</f>
        <v>https://techcombank.com/thong-tin/blog/lai-suat-vay-ngan-hang</v>
      </c>
      <c r="B158" s="28">
        <f>IFERROR(__xludf.DUMMYFUNCTION("""COMPUTED_VALUE"""),7.0)</f>
        <v>7</v>
      </c>
      <c r="C158" s="20" t="str">
        <f>IFERROR(__xludf.DUMMYFUNCTION("IF(A158="""","""",TEXTJOIN(CHAR(10),TRUE,FILTER('Tổng hợp 75 trang đích'!$B$2:$B$3400,'Tổng hợp 75 trang đích'!$I$2:$I$3400=A158)))"),"https://techcombank.com/thong-tin/blog/ngan-hang-uy-tin
https://techcombank.com/thong-tin/blog/cach-tinh-lai-vay-ngan-hang
https://techcombank.com/thong-tin/blog/lai-suat-tiet-kiem
https://techcombank.com/thong-tin/blog/cach-tinh-lai-suat-tien-gui-tiet-ki"&amp;"em
https://techcombank.com/cong-cu-tien-ich/cong-cu-tinh-toan/bang-tinh-lai-suat-vay
https://techcombank.com/thong-tin/blog/app-vay-tien-nhanh
https://techcombank.com/thong-tin/blog/phuong-phap-dau-tu-chung-chi-quy")</f>
        <v>https://techcombank.com/thong-tin/blog/ngan-hang-uy-tin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https://techcombank.com/thong-tin/blog/phuong-phap-dau-tu-chung-chi-quy</v>
      </c>
      <c r="D158" s="20"/>
      <c r="E158" s="20"/>
      <c r="F158" s="20"/>
      <c r="G158" s="20"/>
      <c r="H158" s="20"/>
      <c r="I158" s="20"/>
      <c r="J158" s="20"/>
      <c r="K158" s="20"/>
      <c r="L158" s="20"/>
      <c r="M158" s="20"/>
      <c r="N158" s="20"/>
      <c r="O158" s="20"/>
      <c r="P158" s="20"/>
      <c r="Q158" s="20"/>
      <c r="R158" s="20"/>
      <c r="S158" s="20"/>
      <c r="T158" s="20"/>
      <c r="U158" s="20"/>
      <c r="V158" s="20"/>
      <c r="W158" s="20"/>
      <c r="X158" s="20"/>
    </row>
    <row r="159">
      <c r="A159" s="27" t="str">
        <f>IFERROR(__xludf.DUMMYFUNCTION("""COMPUTED_VALUE"""),"https://techcombank.com/thong-tin/blog/lai-suat-vay-tieu-dung")</f>
        <v>https://techcombank.com/thong-tin/blog/lai-suat-vay-tieu-dung</v>
      </c>
      <c r="B159" s="28">
        <f>IFERROR(__xludf.DUMMYFUNCTION("""COMPUTED_VALUE"""),7.0)</f>
        <v>7</v>
      </c>
      <c r="C159" s="20" t="str">
        <f>IFERROR(__xludf.DUMMYFUNCTION("IF(A159="""","""",TEXTJOIN(CHAR(10),TRUE,FILTER('Tổng hợp 75 trang đích'!$B$2:$B$3400,'Tổng hợp 75 trang đích'!$I$2:$I$3400=A159)))"),"https://techcombank.com/thong-tin/blog/ngan-hang-uy-tin
https://techcombank.com/thong-tin/blog/cach-tinh-lai-vay-ngan-hang
https://techcombank.com/thong-tin/blog/lai-suat-tiet-kiem
https://techcombank.com/thong-tin/blog/cach-tinh-lai-suat-tien-gui-tiet-ki"&amp;"em
https://techcombank.com/cong-cu-tien-ich/cong-cu-tinh-toan/bang-tinh-lai-suat-vay
https://techcombank.com/thong-tin/blog/app-vay-tien-nhanh
https://techcombank.com/thong-tin/blog/lai-suat-vay-ngan-hang")</f>
        <v>https://techcombank.com/thong-tin/blog/ngan-hang-uy-tin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v>
      </c>
      <c r="D159" s="20"/>
      <c r="E159" s="20"/>
      <c r="F159" s="20"/>
      <c r="G159" s="20"/>
      <c r="H159" s="20"/>
      <c r="I159" s="20"/>
      <c r="J159" s="20"/>
      <c r="K159" s="20"/>
      <c r="L159" s="20"/>
      <c r="M159" s="20"/>
      <c r="N159" s="20"/>
      <c r="O159" s="20"/>
      <c r="P159" s="20"/>
      <c r="Q159" s="20"/>
      <c r="R159" s="20"/>
      <c r="S159" s="20"/>
      <c r="T159" s="20"/>
      <c r="U159" s="20"/>
      <c r="V159" s="20"/>
      <c r="W159" s="20"/>
      <c r="X159" s="20"/>
    </row>
    <row r="160">
      <c r="A160" s="27" t="str">
        <f>IFERROR(__xludf.DUMMYFUNCTION("""COMPUTED_VALUE"""),"https://techcombank.com/thong-tin/blog/loi-nhuan")</f>
        <v>https://techcombank.com/thong-tin/blog/loi-nhuan</v>
      </c>
      <c r="B160" s="28">
        <f>IFERROR(__xludf.DUMMYFUNCTION("""COMPUTED_VALUE"""),7.0)</f>
        <v>7</v>
      </c>
      <c r="C160" s="20" t="str">
        <f>IFERROR(__xludf.DUMMYFUNCTION("IF(A160="""","""",TEXTJOIN(CHAR(10),TRUE,FILTER('Tổng hợp 75 trang đích'!$B$2:$B$3400,'Tổng hợp 75 trang đích'!$I$2:$I$3400=A160)))"),"https://techcombank.com/thong-tin/blog/thue-thu-nhap-doanh-nghiep
https://techcombank.com/thong-tin/blog/cach-tinh-thue-thu-nhap-doanh-nghiep
https://techcombank.com/thong-tin/blog/cach-tinh-tien-dien-sinh-hoat
https://techcombank.com/thong-tin/blog/cach-"&amp;"tinh-lai-vay-ngan-hang
https://techcombank.com/cong-cu-tien-ich/cong-cu-tinh-toan/bang-tinh-lai-suat-vay
https://techcombank.com/thong-tin/blog/app-vay-tien-nhanh
https://techcombank.com/thong-tin/blog/lai-suat-vay-ngan-hang")</f>
        <v>https://techcombank.com/thong-tin/blog/thue-thu-nhap-doanh-nghiep
https://techcombank.com/thong-tin/blog/cach-tinh-thue-thu-nhap-doanh-nghiep
https://techcombank.com/thong-tin/blog/cach-tinh-tien-dien-sinh-hoat
https://techcombank.com/thong-tin/blog/cach-tinh-lai-vay-ngan-hang
https://techcombank.com/cong-cu-tien-ich/cong-cu-tinh-toan/bang-tinh-lai-suat-vay
https://techcombank.com/thong-tin/blog/app-vay-tien-nhanh
https://techcombank.com/thong-tin/blog/lai-suat-vay-ngan-hang</v>
      </c>
      <c r="D160" s="20"/>
      <c r="E160" s="20"/>
      <c r="F160" s="20"/>
      <c r="G160" s="20"/>
      <c r="H160" s="20"/>
      <c r="I160" s="20"/>
      <c r="J160" s="20"/>
      <c r="K160" s="20"/>
      <c r="L160" s="20"/>
      <c r="M160" s="20"/>
      <c r="N160" s="20"/>
      <c r="O160" s="20"/>
      <c r="P160" s="20"/>
      <c r="Q160" s="20"/>
      <c r="R160" s="20"/>
      <c r="S160" s="20"/>
      <c r="T160" s="20"/>
      <c r="U160" s="20"/>
      <c r="V160" s="20"/>
      <c r="W160" s="20"/>
      <c r="X160" s="20"/>
    </row>
    <row r="161">
      <c r="A161" s="27" t="str">
        <f>IFERROR(__xludf.DUMMYFUNCTION("""COMPUTED_VALUE"""),"https://techcombank.com/thong-tin/blog/mat-the-tin-dung-co-bi-mat-tien-khong")</f>
        <v>https://techcombank.com/thong-tin/blog/mat-the-tin-dung-co-bi-mat-tien-khong</v>
      </c>
      <c r="B161" s="28">
        <f>IFERROR(__xludf.DUMMYFUNCTION("""COMPUTED_VALUE"""),7.0)</f>
        <v>7</v>
      </c>
      <c r="C161" s="20" t="str">
        <f>IFERROR(__xludf.DUMMYFUNCTION("IF(A161="""","""",TEXTJOIN(CHAR(10),TRUE,FILTER('Tổng hợp 75 trang đích'!$B$2:$B$3400,'Tổng hợp 75 trang đích'!$I$2:$I$3400=A161)))"),"https://techcombank.com/thong-tin/blog/cic-la-gi
https://techcombank.com/thong-tin/blog/rut-tien-mat-tu-the-tin-dung
https://techcombank.com/thong-tin/blog/lam-the-tin-dung
https://techcombank.com/khach-hang-ca-nhan/chi-tieu/the/the-tin-dung/techcombank-e"&amp;"veryday
https://techcombank.com/thong-tin/blog/the-tin-dung-hoan-tien
https://techcombank.com/thong-tin/blog/cach-huy-the-tin-dung
https://techcombank.com/thong-tin/blog/cach-thanh-toan-the-tin-dung")</f>
        <v>https://techcombank.com/thong-tin/blog/cic-la-gi
https://techcombank.com/thong-tin/blog/rut-tien-mat-tu-the-tin-dung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61" s="20"/>
      <c r="E161" s="20"/>
      <c r="F161" s="20"/>
      <c r="G161" s="20"/>
      <c r="H161" s="20"/>
      <c r="I161" s="20"/>
      <c r="J161" s="20"/>
      <c r="K161" s="20"/>
      <c r="L161" s="20"/>
      <c r="M161" s="20"/>
      <c r="N161" s="20"/>
      <c r="O161" s="20"/>
      <c r="P161" s="20"/>
      <c r="Q161" s="20"/>
      <c r="R161" s="20"/>
      <c r="S161" s="20"/>
      <c r="T161" s="20"/>
      <c r="U161" s="20"/>
      <c r="V161" s="20"/>
      <c r="W161" s="20"/>
      <c r="X161" s="20"/>
    </row>
    <row r="162">
      <c r="A162" s="27" t="str">
        <f>IFERROR(__xludf.DUMMYFUNCTION("""COMPUTED_VALUE"""),"https://techcombank.com/thong-tin/blog/mm-yy-la-gi")</f>
        <v>https://techcombank.com/thong-tin/blog/mm-yy-la-gi</v>
      </c>
      <c r="B162" s="28">
        <f>IFERROR(__xludf.DUMMYFUNCTION("""COMPUTED_VALUE"""),7.0)</f>
        <v>7</v>
      </c>
      <c r="C162" s="20" t="str">
        <f>IFERROR(__xludf.DUMMYFUNCTION("IF(A162="""","""",TEXTJOIN(CHAR(10),TRUE,FILTER('Tổng hợp 75 trang đích'!$B$2:$B$3400,'Tổng hợp 75 trang đích'!$I$2:$I$3400=A162)))"),"https://techcombank.com/thong-tin/blog/rut-tien-bang-ma-qr-la-gi-cach-thuc-hien-nhu-the-nao
https://techcombank.com/thong-tin/blog/cic-la-gi
https://techcombank.com/thong-tin/blog/lam-the-tin-dung
https://techcombank.com/khach-hang-ca-nhan/chi-tieu/the/th"&amp;"e-tin-dung/techcombank-everyday
https://techcombank.com/thong-tin/blog/the-tin-dung-hoan-tien
https://techcombank.com/thong-tin/blog/cach-huy-the-tin-dung
https://techcombank.com/thong-tin/blog/cach-thanh-toan-the-tin-dung")</f>
        <v>https://techcombank.com/thong-tin/blog/rut-tien-bang-ma-qr-la-gi-cach-thuc-hien-nhu-the-nao
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62" s="20"/>
      <c r="E162" s="20"/>
      <c r="F162" s="20"/>
      <c r="G162" s="20"/>
      <c r="H162" s="20"/>
      <c r="I162" s="20"/>
      <c r="J162" s="20"/>
      <c r="K162" s="20"/>
      <c r="L162" s="20"/>
      <c r="M162" s="20"/>
      <c r="N162" s="20"/>
      <c r="O162" s="20"/>
      <c r="P162" s="20"/>
      <c r="Q162" s="20"/>
      <c r="R162" s="20"/>
      <c r="S162" s="20"/>
      <c r="T162" s="20"/>
      <c r="U162" s="20"/>
      <c r="V162" s="20"/>
      <c r="W162" s="20"/>
      <c r="X162" s="20"/>
    </row>
    <row r="163">
      <c r="A163" s="27" t="str">
        <f>IFERROR(__xludf.DUMMYFUNCTION("""COMPUTED_VALUE"""),"https://techcombank.com/thong-tin/blog/mo-so-tiet-kiem-can-bao-nhieu-tien")</f>
        <v>https://techcombank.com/thong-tin/blog/mo-so-tiet-kiem-can-bao-nhieu-tien</v>
      </c>
      <c r="B163" s="28">
        <f>IFERROR(__xludf.DUMMYFUNCTION("""COMPUTED_VALUE"""),7.0)</f>
        <v>7</v>
      </c>
      <c r="C163" s="20" t="str">
        <f>IFERROR(__xludf.DUMMYFUNCTION("IF(A163="""","""",TEXTJOIN(CHAR(10),TRUE,FILTER('Tổng hợp 75 trang đích'!$B$2:$B$3400,'Tổng hợp 75 trang đích'!$I$2:$I$3400=A163)))"),"https://techcombank.com/thong-tin/blog/xep-hang-tin-dung
https://techcombank.com/thong-tin/blog/chung-chi-tien-gui-la-gi
https://techcombank.com/thong-tin/blog/cach-tinh-lai-suat-tien-gui-tiet-kiem
https://techcombank.com/thong-tin/blog/rut-tien-tiet-kiem"&amp;"-truoc-thoi-han
https://techcombank.com/thong-tin/blog/so-tiet-kiem-ngan-hang
https://techcombank.com/cong-cu-tien-ich/cong-cu-tinh-toan/bang-tinh-lai-suat-vay
https://techcombank.com/cong-cu-tien-ich/cong-cu-tinh-toan/bang-tinh-lai-suat-tiet-kiem")</f>
        <v>https://techcombank.com/thong-tin/blog/xep-hang-tin-dung
https://techcombank.com/thong-tin/blog/chung-chi-tien-gui-la-gi
https://techcombank.com/thong-tin/blog/cach-tinh-lai-suat-tien-gui-tiet-kiem
https://techcombank.com/thong-tin/blog/rut-tien-tiet-kiem-truoc-thoi-han
https://techcombank.com/thong-tin/blog/so-tiet-kiem-ngan-hang
https://techcombank.com/cong-cu-tien-ich/cong-cu-tinh-toan/bang-tinh-lai-suat-vay
https://techcombank.com/cong-cu-tien-ich/cong-cu-tinh-toan/bang-tinh-lai-suat-tiet-kiem</v>
      </c>
      <c r="D163" s="20"/>
      <c r="E163" s="20"/>
      <c r="F163" s="20"/>
      <c r="G163" s="20"/>
      <c r="H163" s="20"/>
      <c r="I163" s="20"/>
      <c r="J163" s="20"/>
      <c r="K163" s="20"/>
      <c r="L163" s="20"/>
      <c r="M163" s="20"/>
      <c r="N163" s="20"/>
      <c r="O163" s="20"/>
      <c r="P163" s="20"/>
      <c r="Q163" s="20"/>
      <c r="R163" s="20"/>
      <c r="S163" s="20"/>
      <c r="T163" s="20"/>
      <c r="U163" s="20"/>
      <c r="V163" s="20"/>
      <c r="W163" s="20"/>
      <c r="X163" s="20"/>
    </row>
    <row r="164">
      <c r="A164" s="27" t="str">
        <f>IFERROR(__xludf.DUMMYFUNCTION("""COMPUTED_VALUE"""),"https://techcombank.com/thong-tin/blog/mo-the-tin-dung-co-loi-ich-gi")</f>
        <v>https://techcombank.com/thong-tin/blog/mo-the-tin-dung-co-loi-ich-gi</v>
      </c>
      <c r="B164" s="28">
        <f>IFERROR(__xludf.DUMMYFUNCTION("""COMPUTED_VALUE"""),7.0)</f>
        <v>7</v>
      </c>
      <c r="C164" s="20" t="str">
        <f>IFERROR(__xludf.DUMMYFUNCTION("IF(A164="""","""",TEXTJOIN(CHAR(10),TRUE,FILTER('Tổng hợp 75 trang đích'!$B$2:$B$3400,'Tổng hợp 75 trang đích'!$I$2:$I$3400=A164)))"),"https://techcombank.com/thong-tin/blog/lai-suat-vay-mua-o-to
https://techcombank.com/thong-tin/blog/cic-la-gi
https://techcombank.com/thong-tin/blog/rut-tien-mat-tu-the-tin-dung
https://techcombank.com/khach-hang-ca-nhan/chi-tieu/the/the-tin-dung/techcomb"&amp;"ank-everyday
https://techcombank.com/thong-tin/blog/cach-huy-the-tin-dung
https://techcombank.com/thong-tin/blog/doi-tien-do-o-dau
https://techcombank.com/thong-tin/blog/lai-suat-tiet-kiem")</f>
        <v>https://techcombank.com/thong-tin/blog/lai-suat-vay-mua-o-to
https://techcombank.com/thong-tin/blog/cic-la-gi
https://techcombank.com/thong-tin/blog/rut-tien-mat-tu-the-tin-dung
https://techcombank.com/khach-hang-ca-nhan/chi-tieu/the/the-tin-dung/techcombank-everyday
https://techcombank.com/thong-tin/blog/cach-huy-the-tin-dung
https://techcombank.com/thong-tin/blog/doi-tien-do-o-dau
https://techcombank.com/thong-tin/blog/lai-suat-tiet-kiem</v>
      </c>
      <c r="D164" s="20"/>
      <c r="E164" s="20"/>
      <c r="F164" s="20"/>
      <c r="G164" s="20"/>
      <c r="H164" s="20"/>
      <c r="I164" s="20"/>
      <c r="J164" s="20"/>
      <c r="K164" s="20"/>
      <c r="L164" s="20"/>
      <c r="M164" s="20"/>
      <c r="N164" s="20"/>
      <c r="O164" s="20"/>
      <c r="P164" s="20"/>
      <c r="Q164" s="20"/>
      <c r="R164" s="20"/>
      <c r="S164" s="20"/>
      <c r="T164" s="20"/>
      <c r="U164" s="20"/>
      <c r="V164" s="20"/>
      <c r="W164" s="20"/>
      <c r="X164" s="20"/>
    </row>
    <row r="165">
      <c r="A165" s="27" t="str">
        <f>IFERROR(__xludf.DUMMYFUNCTION("""COMPUTED_VALUE"""),"https://techcombank.com/thong-tin/blog/mua-truoc-tra-sau")</f>
        <v>https://techcombank.com/thong-tin/blog/mua-truoc-tra-sau</v>
      </c>
      <c r="B165" s="28">
        <f>IFERROR(__xludf.DUMMYFUNCTION("""COMPUTED_VALUE"""),7.0)</f>
        <v>7</v>
      </c>
      <c r="C165" s="20" t="str">
        <f>IFERROR(__xludf.DUMMYFUNCTION("IF(A165="""","""",TEXTJOIN(CHAR(10),TRUE,FILTER('Tổng hợp 75 trang đích'!$B$2:$B$3400,'Tổng hợp 75 trang đích'!$I$2:$I$3400=A165)))"),"https://techcombank.com/thong-tin/blog/cic-la-gi
https://techcombank.com/thong-tin/blog/lam-the-tin-dung
https://techcombank.com/khach-hang-ca-nhan/chi-tieu/the/the-tin-dung/techcombank-everyday
https://techcombank.com/thong-tin/blog/the-tin-dung-hoan-tie"&amp;"n
https://techcombank.com/thong-tin/blog/cach-huy-the-tin-dung
https://techcombank.com/thong-tin/blog/cach-thanh-toan-the-tin-dung
https://techcombank.com/cong-cu-tien-ich/cong-cu-tinh-toan/bang-tinh-lai-suat-vay")</f>
        <v>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https://techcombank.com/cong-cu-tien-ich/cong-cu-tinh-toan/bang-tinh-lai-suat-vay</v>
      </c>
      <c r="D165" s="20"/>
      <c r="E165" s="20"/>
      <c r="F165" s="20"/>
      <c r="G165" s="20"/>
      <c r="H165" s="20"/>
      <c r="I165" s="20"/>
      <c r="J165" s="20"/>
      <c r="K165" s="20"/>
      <c r="L165" s="20"/>
      <c r="M165" s="20"/>
      <c r="N165" s="20"/>
      <c r="O165" s="20"/>
      <c r="P165" s="20"/>
      <c r="Q165" s="20"/>
      <c r="R165" s="20"/>
      <c r="S165" s="20"/>
      <c r="T165" s="20"/>
      <c r="U165" s="20"/>
      <c r="V165" s="20"/>
      <c r="W165" s="20"/>
      <c r="X165" s="20"/>
    </row>
    <row r="166">
      <c r="A166" s="27" t="str">
        <f>IFERROR(__xludf.DUMMYFUNCTION("""COMPUTED_VALUE"""),"https://techcombank.com/thong-tin/blog/nen-gui-tiet-kiem-6-thang-hay-1-nam")</f>
        <v>https://techcombank.com/thong-tin/blog/nen-gui-tiet-kiem-6-thang-hay-1-nam</v>
      </c>
      <c r="B166" s="28">
        <f>IFERROR(__xludf.DUMMYFUNCTION("""COMPUTED_VALUE"""),7.0)</f>
        <v>7</v>
      </c>
      <c r="C166" s="20" t="str">
        <f>IFERROR(__xludf.DUMMYFUNCTION("IF(A166="""","""",TEXTJOIN(CHAR(10),TRUE,FILTER('Tổng hợp 75 trang đích'!$B$2:$B$3400,'Tổng hợp 75 trang đích'!$I$2:$I$3400=A166)))"),"https://techcombank.com/thong-tin/blog/lai-suat-chung-chi-tien-gui-cac-ngan-hang
https://techcombank.com/thong-tin/blog/cach-tinh-lai-vay-ngan-hang
https://techcombank.com/thong-tin/blog/cach-tinh-lai-suat-tien-gui-tiet-kiem
https://techcombank.com/thong-"&amp;"tin/blog/rut-tien-tiet-kiem-truoc-thoi-han
https://techcombank.com/thong-tin/blog/so-tiet-kiem-ngan-hang
https://techcombank.com/cong-cu-tien-ich/cong-cu-tinh-toan/bang-tinh-lai-suat-tiet-kiem
https://techcombank.com/thong-tin/blog/app-vay-tien-nhanh")</f>
        <v>https://techcombank.com/thong-tin/blog/lai-suat-chung-chi-tien-gui-cac-ngan-hang
https://techcombank.com/thong-tin/blog/cach-tinh-lai-vay-ngan-hang
https://techcombank.com/thong-tin/blog/cach-tinh-lai-suat-tien-gui-tiet-kiem
https://techcombank.com/thong-tin/blog/rut-tien-tiet-kiem-truoc-thoi-han
https://techcombank.com/thong-tin/blog/so-tiet-kiem-ngan-hang
https://techcombank.com/cong-cu-tien-ich/cong-cu-tinh-toan/bang-tinh-lai-suat-tiet-kiem
https://techcombank.com/thong-tin/blog/app-vay-tien-nhanh</v>
      </c>
      <c r="D166" s="20"/>
      <c r="E166" s="20"/>
      <c r="F166" s="20"/>
      <c r="G166" s="20"/>
      <c r="H166" s="20"/>
      <c r="I166" s="20"/>
      <c r="J166" s="20"/>
      <c r="K166" s="20"/>
      <c r="L166" s="20"/>
      <c r="M166" s="20"/>
      <c r="N166" s="20"/>
      <c r="O166" s="20"/>
      <c r="P166" s="20"/>
      <c r="Q166" s="20"/>
      <c r="R166" s="20"/>
      <c r="S166" s="20"/>
      <c r="T166" s="20"/>
      <c r="U166" s="20"/>
      <c r="V166" s="20"/>
      <c r="W166" s="20"/>
      <c r="X166" s="20"/>
    </row>
    <row r="167">
      <c r="A167" s="27" t="str">
        <f>IFERROR(__xludf.DUMMYFUNCTION("""COMPUTED_VALUE"""),"https://techcombank.com/thong-tin/blog/no-xau-co-lam-the-visa-duoc-khong")</f>
        <v>https://techcombank.com/thong-tin/blog/no-xau-co-lam-the-visa-duoc-khong</v>
      </c>
      <c r="B167" s="28">
        <f>IFERROR(__xludf.DUMMYFUNCTION("""COMPUTED_VALUE"""),7.0)</f>
        <v>7</v>
      </c>
      <c r="C167" s="20" t="str">
        <f>IFERROR(__xludf.DUMMYFUNCTION("IF(A167="""","""",TEXTJOIN(CHAR(10),TRUE,FILTER('Tổng hợp 75 trang đích'!$B$2:$B$3400,'Tổng hợp 75 trang đích'!$I$2:$I$3400=A167)))"),"https://techcombank.com/thong-tin/blog/cic-la-gi
https://techcombank.com/thong-tin/blog/lam-the-tin-dung
https://techcombank.com/thong-tin/blog/xep-hang-tin-dung
https://techcombank.com/thong-tin/blog/lai-suat-tiet-kiem
https://techcombank.com/thong-tin/b"&amp;"log/app-vay-tien-nhanh
https://techcombank.com/thong-tin/blog/no-xau-la-gi
https://techcombank.com/thong-tin/blog/vay-tin-chap-khong-tra-duoc-co-sao-khong")</f>
        <v>https://techcombank.com/thong-tin/blog/cic-la-gi
https://techcombank.com/thong-tin/blog/lam-the-tin-dung
https://techcombank.com/thong-tin/blog/xep-hang-tin-dung
https://techcombank.com/thong-tin/blog/lai-suat-tiet-kiem
https://techcombank.com/thong-tin/blog/app-vay-tien-nhanh
https://techcombank.com/thong-tin/blog/no-xau-la-gi
https://techcombank.com/thong-tin/blog/vay-tin-chap-khong-tra-duoc-co-sao-khong</v>
      </c>
      <c r="D167" s="20"/>
      <c r="E167" s="20"/>
      <c r="F167" s="20"/>
      <c r="G167" s="20"/>
      <c r="H167" s="20"/>
      <c r="I167" s="20"/>
      <c r="J167" s="20"/>
      <c r="K167" s="20"/>
      <c r="L167" s="20"/>
      <c r="M167" s="20"/>
      <c r="N167" s="20"/>
      <c r="O167" s="20"/>
      <c r="P167" s="20"/>
      <c r="Q167" s="20"/>
      <c r="R167" s="20"/>
      <c r="S167" s="20"/>
      <c r="T167" s="20"/>
      <c r="U167" s="20"/>
      <c r="V167" s="20"/>
      <c r="W167" s="20"/>
      <c r="X167" s="20"/>
    </row>
    <row r="168">
      <c r="A168" s="27" t="str">
        <f>IFERROR(__xludf.DUMMYFUNCTION("""COMPUTED_VALUE"""),"https://techcombank.com/thong-tin/blog/quan-ly-tai-chinh-cho-dan-van-phong")</f>
        <v>https://techcombank.com/thong-tin/blog/quan-ly-tai-chinh-cho-dan-van-phong</v>
      </c>
      <c r="B168" s="28">
        <f>IFERROR(__xludf.DUMMYFUNCTION("""COMPUTED_VALUE"""),7.0)</f>
        <v>7</v>
      </c>
      <c r="C168" s="20" t="str">
        <f>IFERROR(__xludf.DUMMYFUNCTION("IF(A168="""","""",TEXTJOIN(CHAR(10),TRUE,FILTER('Tổng hợp 75 trang đích'!$B$2:$B$3400,'Tổng hợp 75 trang đích'!$I$2:$I$3400=A168)))"),"https://techcombank.com/thong-tin/blog/cach-tinh-tien-dien-sinh-hoat
https://techcombank.com/thong-tin/blog/chung-chi-tien-gui-la-gi
https://techcombank.com/thong-tin/blog/doi-tien-do-o-dau
https://techcombank.com/thong-tin/blog/lai-suat-tiet-kiem
https:/"&amp;"/techcombank.com/thong-tin/blog/cach-tinh-lai-suat-tien-gui-tiet-kiem
https://techcombank.com/thong-tin/blog/cach-tiet-kiem-tien
https://techcombank.com/cong-cu-tien-ich/cong-cu-tinh-toan/bang-tinh-lai-suat-tiet-kiem")</f>
        <v>https://techcombank.com/thong-tin/blog/cach-tinh-tien-dien-sinh-hoat
https://techcombank.com/thong-tin/blog/chung-chi-tien-gui-la-gi
https://techcombank.com/thong-tin/blog/doi-tien-do-o-dau
https://techcombank.com/thong-tin/blog/lai-suat-tiet-kiem
https://techcombank.com/thong-tin/blog/cach-tinh-lai-suat-tien-gui-tiet-kiem
https://techcombank.com/thong-tin/blog/cach-tiet-kiem-tien
https://techcombank.com/cong-cu-tien-ich/cong-cu-tinh-toan/bang-tinh-lai-suat-tiet-kiem</v>
      </c>
      <c r="D168" s="20"/>
      <c r="E168" s="20"/>
      <c r="F168" s="20"/>
      <c r="G168" s="20"/>
      <c r="H168" s="20"/>
      <c r="I168" s="20"/>
      <c r="J168" s="20"/>
      <c r="K168" s="20"/>
      <c r="L168" s="20"/>
      <c r="M168" s="20"/>
      <c r="N168" s="20"/>
      <c r="O168" s="20"/>
      <c r="P168" s="20"/>
      <c r="Q168" s="20"/>
      <c r="R168" s="20"/>
      <c r="S168" s="20"/>
      <c r="T168" s="20"/>
      <c r="U168" s="20"/>
      <c r="V168" s="20"/>
      <c r="W168" s="20"/>
      <c r="X168" s="20"/>
    </row>
    <row r="169">
      <c r="A169" s="27" t="str">
        <f>IFERROR(__xludf.DUMMYFUNCTION("""COMPUTED_VALUE"""),"https://techcombank.com/thong-tin/blog/rui-ro-khi-gui-tiet-kiem-ngan-hang")</f>
        <v>https://techcombank.com/thong-tin/blog/rui-ro-khi-gui-tiet-kiem-ngan-hang</v>
      </c>
      <c r="B169" s="28">
        <f>IFERROR(__xludf.DUMMYFUNCTION("""COMPUTED_VALUE"""),7.0)</f>
        <v>7</v>
      </c>
      <c r="C169" s="20" t="str">
        <f>IFERROR(__xludf.DUMMYFUNCTION("IF(A169="""","""",TEXTJOIN(CHAR(10),TRUE,FILTER('Tổng hợp 75 trang đích'!$B$2:$B$3400,'Tổng hợp 75 trang đích'!$I$2:$I$3400=A169)))"),"https://techcombank.com/thong-tin/blog/ngan-hang-uy-tin
https://techcombank.com/thong-tin/blog/ten-dang-nhap-tai-khoan-ngan-hang-la-gi
https://techcombank.com/thong-tin/blog/lai-suat-tiet-kiem
https://techcombank.com/thong-tin/blog/cach-tinh-lai-suat-tien"&amp;"-gui-tiet-kiem
https://techcombank.com/thong-tin/blog/so-tiet-kiem-ngan-hang
https://techcombank.com/thong-tin/blog/rui-ro-khi-gui-tiet-kiem-online
https://techcombank.com/cong-cu-tien-ich/cong-cu-tinh-toan/bang-tinh-lai-suat-tiet-kiem")</f>
        <v>https://techcombank.com/thong-tin/blog/ngan-hang-uy-tin
https://techcombank.com/thong-tin/blog/ten-dang-nhap-tai-khoan-ngan-hang-la-gi
https://techcombank.com/thong-tin/blog/lai-suat-tiet-kiem
https://techcombank.com/thong-tin/blog/cach-tinh-lai-suat-tien-gui-tiet-kiem
https://techcombank.com/thong-tin/blog/so-tiet-kiem-ngan-hang
https://techcombank.com/thong-tin/blog/rui-ro-khi-gui-tiet-kiem-online
https://techcombank.com/cong-cu-tien-ich/cong-cu-tinh-toan/bang-tinh-lai-suat-tiet-kiem</v>
      </c>
      <c r="D169" s="20"/>
      <c r="E169" s="20"/>
      <c r="F169" s="20"/>
      <c r="G169" s="20"/>
      <c r="H169" s="20"/>
      <c r="I169" s="20"/>
      <c r="J169" s="20"/>
      <c r="K169" s="20"/>
      <c r="L169" s="20"/>
      <c r="M169" s="20"/>
      <c r="N169" s="20"/>
      <c r="O169" s="20"/>
      <c r="P169" s="20"/>
      <c r="Q169" s="20"/>
      <c r="R169" s="20"/>
      <c r="S169" s="20"/>
      <c r="T169" s="20"/>
      <c r="U169" s="20"/>
      <c r="V169" s="20"/>
      <c r="W169" s="20"/>
      <c r="X169" s="20"/>
    </row>
    <row r="170">
      <c r="A170" s="27" t="str">
        <f>IFERROR(__xludf.DUMMYFUNCTION("""COMPUTED_VALUE"""),"https://techcombank.com/thong-tin/blog/rut-tien-mat-tu-the-tin-dung")</f>
        <v>https://techcombank.com/thong-tin/blog/rut-tien-mat-tu-the-tin-dung</v>
      </c>
      <c r="B170" s="28">
        <f>IFERROR(__xludf.DUMMYFUNCTION("""COMPUTED_VALUE"""),7.0)</f>
        <v>7</v>
      </c>
      <c r="C170" s="20" t="str">
        <f>IFERROR(__xludf.DUMMYFUNCTION("IF(A170="""","""",TEXTJOIN(CHAR(10),TRUE,FILTER('Tổng hợp 75 trang đích'!$B$2:$B$3400,'Tổng hợp 75 trang đích'!$I$2:$I$3400=A170)))"),"https://techcombank.com/thong-tin/blog/cic-la-gi
https://techcombank.com/khach-hang-ca-nhan/chi-tieu/the/the-tin-dung/techcombank-everyday
https://techcombank.com/thong-tin/blog/tien-thai-lan
https://techcombank.com/thong-tin/blog/lai-suat-tiet-kiem
https"&amp;"://techcombank.com/thong-tin/blog/cach-tinh-lai-suat-tien-gui-tiet-kiem
https://techcombank.com/cong-cu-tien-ich/cong-cu-tinh-toan/bang-tinh-lai-suat-vay
https://techcombank.com/thong-tin/blog/app-vay-tien-nhanh")</f>
        <v>https://techcombank.com/thong-tin/blog/cic-la-gi
https://techcombank.com/khach-hang-ca-nhan/chi-tieu/the/the-tin-dung/techcombank-everyday
https://techcombank.com/thong-tin/blog/tien-thai-lan
https://techcombank.com/thong-tin/blog/lai-suat-tiet-kiem
https://techcombank.com/thong-tin/blog/cach-tinh-lai-suat-tien-gui-tiet-kiem
https://techcombank.com/cong-cu-tien-ich/cong-cu-tinh-toan/bang-tinh-lai-suat-vay
https://techcombank.com/thong-tin/blog/app-vay-tien-nhanh</v>
      </c>
      <c r="D170" s="20"/>
      <c r="E170" s="20"/>
      <c r="F170" s="20"/>
      <c r="G170" s="20"/>
      <c r="H170" s="20"/>
      <c r="I170" s="20"/>
      <c r="J170" s="20"/>
      <c r="K170" s="20"/>
      <c r="L170" s="20"/>
      <c r="M170" s="20"/>
      <c r="N170" s="20"/>
      <c r="O170" s="20"/>
      <c r="P170" s="20"/>
      <c r="Q170" s="20"/>
      <c r="R170" s="20"/>
      <c r="S170" s="20"/>
      <c r="T170" s="20"/>
      <c r="U170" s="20"/>
      <c r="V170" s="20"/>
      <c r="W170" s="20"/>
      <c r="X170" s="20"/>
    </row>
    <row r="171">
      <c r="A171" s="27" t="str">
        <f>IFERROR(__xludf.DUMMYFUNCTION("""COMPUTED_VALUE"""),"https://techcombank.com/thong-tin/blog/tai-khoan-doanh-nghiep-co-the-khong")</f>
        <v>https://techcombank.com/thong-tin/blog/tai-khoan-doanh-nghiep-co-the-khong</v>
      </c>
      <c r="B171" s="28">
        <f>IFERROR(__xludf.DUMMYFUNCTION("""COMPUTED_VALUE"""),7.0)</f>
        <v>7</v>
      </c>
      <c r="C171" s="20" t="str">
        <f>IFERROR(__xludf.DUMMYFUNCTION("IF(A171="""","""",TEXTJOIN(CHAR(10),TRUE,FILTER('Tổng hợp 75 trang đích'!$B$2:$B$3400,'Tổng hợp 75 trang đích'!$I$2:$I$3400=A171)))"),"https://techcombank.com/thong-tin/blog/cong-ty-su-dung-tai-khoan-ca-nhan
https://techcombank.com/thong-tin/blog/day-so-phat-tai-phat-loc
https://techcombank.com/thong-tin/blog/lam-the-tin-dung
https://techcombank.com/khach-hang-ca-nhan/chi-tieu/the/the-ti"&amp;"n-dung/techcombank-everyday
https://techcombank.com/thong-tin/blog/the-tin-dung-hoan-tien
https://techcombank.com/thong-tin/blog/cach-huy-the-tin-dung
https://techcombank.com/thong-tin/blog/cach-thanh-toan-the-tin-dung")</f>
        <v>https://techcombank.com/thong-tin/blog/cong-ty-su-dung-tai-khoan-ca-nhan
https://techcombank.com/thong-tin/blog/day-so-phat-tai-phat-loc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71" s="20"/>
      <c r="E171" s="20"/>
      <c r="F171" s="20"/>
      <c r="G171" s="20"/>
      <c r="H171" s="20"/>
      <c r="I171" s="20"/>
      <c r="J171" s="20"/>
      <c r="K171" s="20"/>
      <c r="L171" s="20"/>
      <c r="M171" s="20"/>
      <c r="N171" s="20"/>
      <c r="O171" s="20"/>
      <c r="P171" s="20"/>
      <c r="Q171" s="20"/>
      <c r="R171" s="20"/>
      <c r="S171" s="20"/>
      <c r="T171" s="20"/>
      <c r="U171" s="20"/>
      <c r="V171" s="20"/>
      <c r="W171" s="20"/>
      <c r="X171" s="20"/>
    </row>
    <row r="172">
      <c r="A172" s="27" t="str">
        <f>IFERROR(__xludf.DUMMYFUNCTION("""COMPUTED_VALUE"""),"https://techcombank.com/thong-tin/blog/tai-sao-gui-tiet-kiem-online-lai-suat-cao-hon")</f>
        <v>https://techcombank.com/thong-tin/blog/tai-sao-gui-tiet-kiem-online-lai-suat-cao-hon</v>
      </c>
      <c r="B172" s="28">
        <f>IFERROR(__xludf.DUMMYFUNCTION("""COMPUTED_VALUE"""),7.0)</f>
        <v>7</v>
      </c>
      <c r="C172" s="20" t="str">
        <f>IFERROR(__xludf.DUMMYFUNCTION("IF(A172="""","""",TEXTJOIN(CHAR(10),TRUE,FILTER('Tổng hợp 75 trang đích'!$B$2:$B$3400,'Tổng hợp 75 trang đích'!$I$2:$I$3400=A172)))"),"https://techcombank.com/thong-tin/blog/chung-chi-tien-gui-la-gi
https://techcombank.com/thong-tin/blog/lai-suat-tiet-kiem
https://techcombank.com/thong-tin/blog/cach-tinh-lai-suat-tien-gui-tiet-kiem
https://techcombank.com/thong-tin/blog/rut-tien-tiet-kie"&amp;"m-truoc-thoi-han
https://techcombank.com/thong-tin/blog/so-tiet-kiem-ngan-hang
https://techcombank.com/thong-tin/blog/rui-ro-khi-gui-tiet-kiem-online
https://techcombank.com/cong-cu-tien-ich/cong-cu-tinh-toan/bang-tinh-lai-suat-tiet-kiem")</f>
        <v>https://techcombank.com/thong-tin/blog/chung-chi-tien-gui-la-gi
https://techcombank.com/thong-tin/blog/lai-suat-tiet-kiem
https://techcombank.com/thong-tin/blog/cach-tinh-lai-suat-tien-gui-tiet-kiem
https://techcombank.com/thong-tin/blog/rut-tien-tiet-kiem-truoc-thoi-han
https://techcombank.com/thong-tin/blog/so-tiet-kiem-ngan-hang
https://techcombank.com/thong-tin/blog/rui-ro-khi-gui-tiet-kiem-online
https://techcombank.com/cong-cu-tien-ich/cong-cu-tinh-toan/bang-tinh-lai-suat-tiet-kiem</v>
      </c>
      <c r="D172" s="20"/>
      <c r="E172" s="20"/>
      <c r="F172" s="20"/>
      <c r="G172" s="20"/>
      <c r="H172" s="20"/>
      <c r="I172" s="20"/>
      <c r="J172" s="20"/>
      <c r="K172" s="20"/>
      <c r="L172" s="20"/>
      <c r="M172" s="20"/>
      <c r="N172" s="20"/>
      <c r="O172" s="20"/>
      <c r="P172" s="20"/>
      <c r="Q172" s="20"/>
      <c r="R172" s="20"/>
      <c r="S172" s="20"/>
      <c r="T172" s="20"/>
      <c r="U172" s="20"/>
      <c r="V172" s="20"/>
      <c r="W172" s="20"/>
      <c r="X172" s="20"/>
    </row>
    <row r="173">
      <c r="A173" s="27" t="str">
        <f>IFERROR(__xludf.DUMMYFUNCTION("""COMPUTED_VALUE"""),"https://techcombank.com/thong-tin/blog/thanh-toan-tien-dien-bang-the-tin-dung")</f>
        <v>https://techcombank.com/thong-tin/blog/thanh-toan-tien-dien-bang-the-tin-dung</v>
      </c>
      <c r="B173" s="28">
        <f>IFERROR(__xludf.DUMMYFUNCTION("""COMPUTED_VALUE"""),7.0)</f>
        <v>7</v>
      </c>
      <c r="C173" s="20" t="str">
        <f>IFERROR(__xludf.DUMMYFUNCTION("IF(A173="""","""",TEXTJOIN(CHAR(10),TRUE,FILTER('Tổng hợp 75 trang đích'!$B$2:$B$3400,'Tổng hợp 75 trang đích'!$I$2:$I$3400=A173)))"),"https://techcombank.com/thong-tin/blog/cong-ty-su-dung-tai-khoan-ca-nhan
https://techcombank.com/thong-tin/blog/cach-tinh-tien-dien-sinh-hoat
https://techcombank.com/thong-tin/blog/ten-dang-nhap-tai-khoan-ngan-hang-la-gi
https://techcombank.com/thong-tin/"&amp;"blog/cic-la-gi
https://techcombank.com/thong-tin/blog/the-tin-dung-hoan-tien
https://techcombank.com/thong-tin/blog/cach-huy-the-tin-dung
https://techcombank.com/thong-tin/blog/cach-tinh-lai-suat-tien-gui-tiet-kiem")</f>
        <v>https://techcombank.com/thong-tin/blog/cong-ty-su-dung-tai-khoan-ca-nhan
https://techcombank.com/thong-tin/blog/cach-tinh-tien-dien-sinh-hoat
https://techcombank.com/thong-tin/blog/ten-dang-nhap-tai-khoan-ngan-hang-la-gi
https://techcombank.com/thong-tin/blog/cic-la-gi
https://techcombank.com/thong-tin/blog/the-tin-dung-hoan-tien
https://techcombank.com/thong-tin/blog/cach-huy-the-tin-dung
https://techcombank.com/thong-tin/blog/cach-tinh-lai-suat-tien-gui-tiet-kiem</v>
      </c>
      <c r="D173" s="20"/>
      <c r="E173" s="20"/>
      <c r="F173" s="20"/>
      <c r="G173" s="20"/>
      <c r="H173" s="20"/>
      <c r="I173" s="20"/>
      <c r="J173" s="20"/>
      <c r="K173" s="20"/>
      <c r="L173" s="20"/>
      <c r="M173" s="20"/>
      <c r="N173" s="20"/>
      <c r="O173" s="20"/>
      <c r="P173" s="20"/>
      <c r="Q173" s="20"/>
      <c r="R173" s="20"/>
      <c r="S173" s="20"/>
      <c r="T173" s="20"/>
      <c r="U173" s="20"/>
      <c r="V173" s="20"/>
      <c r="W173" s="20"/>
      <c r="X173" s="20"/>
    </row>
    <row r="174">
      <c r="A174" s="27" t="str">
        <f>IFERROR(__xludf.DUMMYFUNCTION("""COMPUTED_VALUE"""),"https://techcombank.com/thong-tin/blog/thanh-toan-toi-thieu-the-tin-dung")</f>
        <v>https://techcombank.com/thong-tin/blog/thanh-toan-toi-thieu-the-tin-dung</v>
      </c>
      <c r="B174" s="28">
        <f>IFERROR(__xludf.DUMMYFUNCTION("""COMPUTED_VALUE"""),7.0)</f>
        <v>7</v>
      </c>
      <c r="C174" s="20" t="str">
        <f>IFERROR(__xludf.DUMMYFUNCTION("IF(A174="""","""",TEXTJOIN(CHAR(10),TRUE,FILTER('Tổng hợp 75 trang đích'!$B$2:$B$3400,'Tổng hợp 75 trang đích'!$I$2:$I$3400=A174)))"),"https://techcombank.com/thong-tin/blog/cic-la-gi
https://techcombank.com/thong-tin/blog/cach-huy-the-tin-dung
https://techcombank.com/thong-tin/blog/lai-suat-tiet-kiem
https://techcombank.com/thong-tin/blog/app-vay-tien-nhanh
https://techcombank.com/thong"&amp;"-tin/blog/kiem-tra-no-xau
https://techcombank.com/thong-tin/blog/no-xau-la-gi
https://techcombank.com/thong-tin/blog/vay-tin-chap-khong-tra-duoc-co-sao-khong")</f>
        <v>https://techcombank.com/thong-tin/blog/cic-la-gi
https://techcombank.com/thong-tin/blog/cach-huy-the-tin-dung
https://techcombank.com/thong-tin/blog/lai-suat-tiet-kiem
https://techcombank.com/thong-tin/blog/app-vay-tien-nhanh
https://techcombank.com/thong-tin/blog/kiem-tra-no-xau
https://techcombank.com/thong-tin/blog/no-xau-la-gi
https://techcombank.com/thong-tin/blog/vay-tin-chap-khong-tra-duoc-co-sao-khong</v>
      </c>
      <c r="D174" s="20"/>
      <c r="E174" s="20"/>
      <c r="F174" s="20"/>
      <c r="G174" s="20"/>
      <c r="H174" s="20"/>
      <c r="I174" s="20"/>
      <c r="J174" s="20"/>
      <c r="K174" s="20"/>
      <c r="L174" s="20"/>
      <c r="M174" s="20"/>
      <c r="N174" s="20"/>
      <c r="O174" s="20"/>
      <c r="P174" s="20"/>
      <c r="Q174" s="20"/>
      <c r="R174" s="20"/>
      <c r="S174" s="20"/>
      <c r="T174" s="20"/>
      <c r="U174" s="20"/>
      <c r="V174" s="20"/>
      <c r="W174" s="20"/>
      <c r="X174" s="20"/>
    </row>
    <row r="175">
      <c r="A175" s="27" t="str">
        <f>IFERROR(__xludf.DUMMYFUNCTION("""COMPUTED_VALUE"""),"https://techcombank.com/thong-tin/blog/the-tin-dung-nao-nhieu-uu-dai-nhat")</f>
        <v>https://techcombank.com/thong-tin/blog/the-tin-dung-nao-nhieu-uu-dai-nhat</v>
      </c>
      <c r="B175" s="28">
        <f>IFERROR(__xludf.DUMMYFUNCTION("""COMPUTED_VALUE"""),7.0)</f>
        <v>7</v>
      </c>
      <c r="C175" s="20" t="str">
        <f>IFERROR(__xludf.DUMMYFUNCTION("IF(A175="""","""",TEXTJOIN(CHAR(10),TRUE,FILTER('Tổng hợp 75 trang đích'!$B$2:$B$3400,'Tổng hợp 75 trang đích'!$I$2:$I$3400=A175)))"),"https://techcombank.com/thong-tin/blog/eco-card
https://techcombank.com/thong-tin/blog/lam-the-tin-dung
https://techcombank.com/thong-tin/blog/the-tin-dung-hoan-tien
https://techcombank.com/thong-tin/blog/cach-huy-the-tin-dung
https://techcombank.com/thon"&amp;"g-tin/blog/cach-thanh-toan-the-tin-dung
https://techcombank.com/thong-tin/blog/1-man-bang-bao-nhieu-tien-viet
https://techcombank.com/thong-tin/blog/1000-won-bang-bao-nhieu-tien-viet")</f>
        <v>https://techcombank.com/thong-tin/blog/eco-card
https://techcombank.com/thong-tin/blog/lam-the-tin-dung
https://techcombank.com/thong-tin/blog/the-tin-dung-hoan-tien
https://techcombank.com/thong-tin/blog/cach-huy-the-tin-dung
https://techcombank.com/thong-tin/blog/cach-thanh-toan-the-tin-dung
https://techcombank.com/thong-tin/blog/1-man-bang-bao-nhieu-tien-viet
https://techcombank.com/thong-tin/blog/1000-won-bang-bao-nhieu-tien-viet</v>
      </c>
      <c r="D175" s="20"/>
      <c r="E175" s="20"/>
      <c r="F175" s="20"/>
      <c r="G175" s="20"/>
      <c r="H175" s="20"/>
      <c r="I175" s="20"/>
      <c r="J175" s="20"/>
      <c r="K175" s="20"/>
      <c r="L175" s="20"/>
      <c r="M175" s="20"/>
      <c r="N175" s="20"/>
      <c r="O175" s="20"/>
      <c r="P175" s="20"/>
      <c r="Q175" s="20"/>
      <c r="R175" s="20"/>
      <c r="S175" s="20"/>
      <c r="T175" s="20"/>
      <c r="U175" s="20"/>
      <c r="V175" s="20"/>
      <c r="W175" s="20"/>
      <c r="X175" s="20"/>
    </row>
    <row r="176">
      <c r="A176" s="27" t="str">
        <f>IFERROR(__xludf.DUMMYFUNCTION("""COMPUTED_VALUE"""),"https://techcombank.com/thong-tin/blog/tien-chuyen-vao-tai-khoan-co-bi-tinh-thue-khong")</f>
        <v>https://techcombank.com/thong-tin/blog/tien-chuyen-vao-tai-khoan-co-bi-tinh-thue-khong</v>
      </c>
      <c r="B176" s="28">
        <f>IFERROR(__xludf.DUMMYFUNCTION("""COMPUTED_VALUE"""),7.0)</f>
        <v>7</v>
      </c>
      <c r="C176" s="20" t="str">
        <f>IFERROR(__xludf.DUMMYFUNCTION("IF(A176="""","""",TEXTJOIN(CHAR(10),TRUE,FILTER('Tổng hợp 75 trang đích'!$B$2:$B$3400,'Tổng hợp 75 trang đích'!$I$2:$I$3400=A176)))"),"https://techcombank.com/thong-tin/blog/nop-thue-dat-qua-ngan-hang
https://techcombank.com/thong-tin/blog/cach-nop-thue-dien-tu
https://techcombank.com/thong-tin/blog/cong-ty-su-dung-tai-khoan-ca-nhan
https://techcombank.com/thong-tin/blog/cach-tinh-thue-t"&amp;"hu-nhap-ca-nhan-2025
https://techcombank.com/thong-tin/blog/cach-sao-ke-tai-khoan-ngan-hang
https://techcombank.com/thong-tin/blog/kiem-tra-thue-thu-nhap-ca-nhan
https://techcombank.com/thong-tin/blog/thue-thu-nhap-ca-nhan")</f>
        <v>https://techcombank.com/thong-tin/blog/nop-thue-dat-qua-ngan-hang
https://techcombank.com/thong-tin/blog/cach-nop-thue-dien-tu
https://techcombank.com/thong-tin/blog/cong-ty-su-dung-tai-khoan-ca-nhan
https://techcombank.com/thong-tin/blog/cach-tinh-thue-thu-nhap-ca-nhan-2025
https://techcombank.com/thong-tin/blog/cach-sao-ke-tai-khoan-ngan-hang
https://techcombank.com/thong-tin/blog/kiem-tra-thue-thu-nhap-ca-nhan
https://techcombank.com/thong-tin/blog/thue-thu-nhap-ca-nhan</v>
      </c>
      <c r="D176" s="20"/>
      <c r="E176" s="20"/>
      <c r="F176" s="20"/>
      <c r="G176" s="20"/>
      <c r="H176" s="20"/>
      <c r="I176" s="20"/>
      <c r="J176" s="20"/>
      <c r="K176" s="20"/>
      <c r="L176" s="20"/>
      <c r="M176" s="20"/>
      <c r="N176" s="20"/>
      <c r="O176" s="20"/>
      <c r="P176" s="20"/>
      <c r="Q176" s="20"/>
      <c r="R176" s="20"/>
      <c r="S176" s="20"/>
      <c r="T176" s="20"/>
      <c r="U176" s="20"/>
      <c r="V176" s="20"/>
      <c r="W176" s="20"/>
      <c r="X176" s="20"/>
    </row>
    <row r="177">
      <c r="A177" s="27" t="str">
        <f>IFERROR(__xludf.DUMMYFUNCTION("""COMPUTED_VALUE"""),"https://techcombank.com/thong-tin/blog/tien-gui-co-ky-han")</f>
        <v>https://techcombank.com/thong-tin/blog/tien-gui-co-ky-han</v>
      </c>
      <c r="B177" s="28">
        <f>IFERROR(__xludf.DUMMYFUNCTION("""COMPUTED_VALUE"""),7.0)</f>
        <v>7</v>
      </c>
      <c r="C177" s="20" t="str">
        <f>IFERROR(__xludf.DUMMYFUNCTION("IF(A177="""","""",TEXTJOIN(CHAR(10),TRUE,FILTER('Tổng hợp 75 trang đích'!$B$2:$B$3400,'Tổng hợp 75 trang đích'!$I$2:$I$3400=A177)))"),"https://techcombank.com/thong-tin/blog/rut-tien-mat-tu-the-tin-dung
https://techcombank.com/thong-tin/blog/lai-suat-chung-chi-tien-gui-cac-ngan-hang
https://techcombank.com/thong-tin/blog/cach-tinh-lai-suat-tien-gui-tiet-kiem
https://techcombank.com/thong"&amp;"-tin/blog/rut-tien-tiet-kiem-truoc-thoi-han
https://techcombank.com/cong-cu-tien-ich/cong-cu-tinh-toan/bang-tinh-lai-suat-vay
https://techcombank.com/cong-cu-tien-ich/cong-cu-tinh-toan/bang-tinh-lai-suat-tiet-kiem
https://techcombank.com/thong-tin/blog/ap"&amp;"p-vay-tien-nhanh")</f>
        <v>https://techcombank.com/thong-tin/blog/rut-tien-mat-tu-the-tin-dung
https://techcombank.com/thong-tin/blog/lai-suat-chung-chi-tien-gui-cac-ngan-hang
https://techcombank.com/thong-tin/blog/cach-tinh-lai-suat-tien-gui-tiet-kiem
https://techcombank.com/thong-tin/blog/rut-tien-tiet-kiem-truoc-thoi-han
https://techcombank.com/cong-cu-tien-ich/cong-cu-tinh-toan/bang-tinh-lai-suat-vay
https://techcombank.com/cong-cu-tien-ich/cong-cu-tinh-toan/bang-tinh-lai-suat-tiet-kiem
https://techcombank.com/thong-tin/blog/app-vay-tien-nhanh</v>
      </c>
      <c r="D177" s="20"/>
      <c r="E177" s="20"/>
      <c r="F177" s="20"/>
      <c r="G177" s="20"/>
      <c r="H177" s="20"/>
      <c r="I177" s="20"/>
      <c r="J177" s="20"/>
      <c r="K177" s="20"/>
      <c r="L177" s="20"/>
      <c r="M177" s="20"/>
      <c r="N177" s="20"/>
      <c r="O177" s="20"/>
      <c r="P177" s="20"/>
      <c r="Q177" s="20"/>
      <c r="R177" s="20"/>
      <c r="S177" s="20"/>
      <c r="T177" s="20"/>
      <c r="U177" s="20"/>
      <c r="V177" s="20"/>
      <c r="W177" s="20"/>
      <c r="X177" s="20"/>
    </row>
    <row r="178">
      <c r="A178" s="27" t="str">
        <f>IFERROR(__xludf.DUMMYFUNCTION("""COMPUTED_VALUE"""),"https://techcombank.com/thong-tin/blog/tien-gui-khong-ky-han")</f>
        <v>https://techcombank.com/thong-tin/blog/tien-gui-khong-ky-han</v>
      </c>
      <c r="B178" s="28">
        <f>IFERROR(__xludf.DUMMYFUNCTION("""COMPUTED_VALUE"""),7.0)</f>
        <v>7</v>
      </c>
      <c r="C178" s="20" t="str">
        <f>IFERROR(__xludf.DUMMYFUNCTION("IF(A178="""","""",TEXTJOIN(CHAR(10),TRUE,FILTER('Tổng hợp 75 trang đích'!$B$2:$B$3400,'Tổng hợp 75 trang đích'!$I$2:$I$3400=A178)))"),"https://techcombank.com/thong-tin/blog/rut-tien-mat-tu-the-tin-dung
https://techcombank.com/thong-tin/blog/lai-suat-chung-chi-tien-gui-cac-ngan-hang
https://techcombank.com/thong-tin/blog/lai-suat-tiet-kiem
https://techcombank.com/thong-tin/blog/cach-tinh"&amp;"-lai-suat-tien-gui-tiet-kiem
https://techcombank.com/cong-cu-tien-ich/cong-cu-tinh-toan/bang-tinh-lai-suat-vay
https://techcombank.com/cong-cu-tien-ich/cong-cu-tinh-toan/bang-tinh-lai-suat-tiet-kiem
https://techcombank.com/thong-tin/blog/app-vay-tien-nhan"&amp;"h")</f>
        <v>https://techcombank.com/thong-tin/blog/rut-tien-mat-tu-the-tin-dung
https://techcombank.com/thong-tin/blog/lai-suat-chung-chi-tien-gui-cac-ngan-hang
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v>
      </c>
      <c r="D178" s="20"/>
      <c r="E178" s="20"/>
      <c r="F178" s="20"/>
      <c r="G178" s="20"/>
      <c r="H178" s="20"/>
      <c r="I178" s="20"/>
      <c r="J178" s="20"/>
      <c r="K178" s="20"/>
      <c r="L178" s="20"/>
      <c r="M178" s="20"/>
      <c r="N178" s="20"/>
      <c r="O178" s="20"/>
      <c r="P178" s="20"/>
      <c r="Q178" s="20"/>
      <c r="R178" s="20"/>
      <c r="S178" s="20"/>
      <c r="T178" s="20"/>
      <c r="U178" s="20"/>
      <c r="V178" s="20"/>
      <c r="W178" s="20"/>
      <c r="X178" s="20"/>
    </row>
    <row r="179">
      <c r="A179" s="27" t="str">
        <f>IFERROR(__xludf.DUMMYFUNCTION("""COMPUTED_VALUE"""),"https://techcombank.com/thong-tin/blog/tien-nhat")</f>
        <v>https://techcombank.com/thong-tin/blog/tien-nhat</v>
      </c>
      <c r="B179" s="28">
        <f>IFERROR(__xludf.DUMMYFUNCTION("""COMPUTED_VALUE"""),7.0)</f>
        <v>7</v>
      </c>
      <c r="C179" s="20" t="str">
        <f>IFERROR(__xludf.DUMMYFUNCTION("IF(A179="""","""",TEXTJOIN(CHAR(10),TRUE,FILTER('Tổng hợp 75 trang đích'!$B$2:$B$3400,'Tổng hợp 75 trang đích'!$I$2:$I$3400=A179)))"),"https://techcombank.com/thong-tin/blog/1-dong-do-la-my-bang-bao-nhieu-tien-viet-nam
https://techcombank.com/thong-tin/blog/1-yen-bang-bao-nhieu-tien-viet-nam
https://techcombank.com/thong-tin/blog/1-won-bang-bao-nhieu-tien-viet
https://techcombank.com/tho"&amp;"ng-tin/blog/tien-dai-loan
https://techcombank.com/thong-tin/blog/1-man-bang-bao-nhieu-tien-viet
https://techcombank.com/thong-tin/blog/1-trieu-do-bang-bao-nhieu-tien-viet
https://techcombank.com/thong-tin/blog/1000-won-bang-bao-nhieu-tien-viet")</f>
        <v>https://techcombank.com/thong-tin/blog/1-dong-do-la-my-bang-bao-nhieu-tien-viet-nam
https://techcombank.com/thong-tin/blog/1-yen-bang-bao-nhieu-tien-viet-nam
https://techcombank.com/thong-tin/blog/1-won-bang-bao-nhieu-tien-viet
https://techcombank.com/thong-tin/blog/tien-dai-loan
https://techcombank.com/thong-tin/blog/1-man-bang-bao-nhieu-tien-viet
https://techcombank.com/thong-tin/blog/1-trieu-do-bang-bao-nhieu-tien-viet
https://techcombank.com/thong-tin/blog/1000-won-bang-bao-nhieu-tien-viet</v>
      </c>
      <c r="D179" s="20"/>
      <c r="E179" s="20"/>
      <c r="F179" s="20"/>
      <c r="G179" s="20"/>
      <c r="H179" s="20"/>
      <c r="I179" s="20"/>
      <c r="J179" s="20"/>
      <c r="K179" s="20"/>
      <c r="L179" s="20"/>
      <c r="M179" s="20"/>
      <c r="N179" s="20"/>
      <c r="O179" s="20"/>
      <c r="P179" s="20"/>
      <c r="Q179" s="20"/>
      <c r="R179" s="20"/>
      <c r="S179" s="20"/>
      <c r="T179" s="20"/>
      <c r="U179" s="20"/>
      <c r="V179" s="20"/>
      <c r="W179" s="20"/>
      <c r="X179" s="20"/>
    </row>
    <row r="180">
      <c r="A180" s="27" t="str">
        <f>IFERROR(__xludf.DUMMYFUNCTION("""COMPUTED_VALUE"""),"https://techcombank.com/thong-tin/blog/tra-cuu-no-thue-hai-quan")</f>
        <v>https://techcombank.com/thong-tin/blog/tra-cuu-no-thue-hai-quan</v>
      </c>
      <c r="B180" s="28">
        <f>IFERROR(__xludf.DUMMYFUNCTION("""COMPUTED_VALUE"""),7.0)</f>
        <v>7</v>
      </c>
      <c r="C180" s="20" t="str">
        <f>IFERROR(__xludf.DUMMYFUNCTION("IF(A180="""","""",TEXTJOIN(CHAR(10),TRUE,FILTER('Tổng hợp 75 trang đích'!$B$2:$B$3400,'Tổng hợp 75 trang đích'!$I$2:$I$3400=A180)))"),"https://techcombank.com/thong-tin/blog/nop-thue-dat-qua-ngan-hang
https://techcombank.com/thong-tin/blog/cach-nop-thue-dien-tu
https://techcombank.com/thong-tin/blog/thue-thu-nhap-doanh-nghiep
https://techcombank.com/thong-tin/blog/tra-cuu-no-thue-doanh-n"&amp;"ghiep
https://techcombank.com/thong-tin/blog/thue-doanh-nghiep
https://techcombank.com/thong-tin/blog/kiem-tra-thue-thu-nhap-ca-nhan
https://techcombank.com/thong-tin/blog/ho-kinh-doanh-dong-thue-nhu-nao")</f>
        <v>https://techcombank.com/thong-tin/blog/nop-thue-dat-qua-ngan-hang
https://techcombank.com/thong-tin/blog/cach-nop-thue-dien-tu
https://techcombank.com/thong-tin/blog/thue-thu-nhap-doanh-nghiep
https://techcombank.com/thong-tin/blog/tra-cuu-no-thue-doanh-nghiep
https://techcombank.com/thong-tin/blog/thue-doanh-nghiep
https://techcombank.com/thong-tin/blog/kiem-tra-thue-thu-nhap-ca-nhan
https://techcombank.com/thong-tin/blog/ho-kinh-doanh-dong-thue-nhu-nao</v>
      </c>
      <c r="D180" s="20"/>
      <c r="E180" s="20"/>
      <c r="F180" s="20"/>
      <c r="G180" s="20"/>
      <c r="H180" s="20"/>
      <c r="I180" s="20"/>
      <c r="J180" s="20"/>
      <c r="K180" s="20"/>
      <c r="L180" s="20"/>
      <c r="M180" s="20"/>
      <c r="N180" s="20"/>
      <c r="O180" s="20"/>
      <c r="P180" s="20"/>
      <c r="Q180" s="20"/>
      <c r="R180" s="20"/>
      <c r="S180" s="20"/>
      <c r="T180" s="20"/>
      <c r="U180" s="20"/>
      <c r="V180" s="20"/>
      <c r="W180" s="20"/>
      <c r="X180" s="20"/>
    </row>
    <row r="181">
      <c r="A181" s="27" t="str">
        <f>IFERROR(__xludf.DUMMYFUNCTION("""COMPUTED_VALUE"""),"https://techcombank.com/thong-tin/blog/tra-cuu-no-thue-ho-kinh-doanh")</f>
        <v>https://techcombank.com/thong-tin/blog/tra-cuu-no-thue-ho-kinh-doanh</v>
      </c>
      <c r="B181" s="28">
        <f>IFERROR(__xludf.DUMMYFUNCTION("""COMPUTED_VALUE"""),7.0)</f>
        <v>7</v>
      </c>
      <c r="C181" s="20" t="str">
        <f>IFERROR(__xludf.DUMMYFUNCTION("IF(A181="""","""",TEXTJOIN(CHAR(10),TRUE,FILTER('Tổng hợp 75 trang đích'!$B$2:$B$3400,'Tổng hợp 75 trang đích'!$I$2:$I$3400=A181)))"),"https://techcombank.com/thong-tin/blog/nop-thue-dat-qua-ngan-hang
https://techcombank.com/thong-tin/blog/cach-nop-thue-dien-tu
https://techcombank.com/thong-tin/blog/tra-cuu-no-thue-doanh-nghiep
https://techcombank.com/thong-tin/blog/kiem-tra-thue-thu-nha"&amp;"p-ca-nhan
https://techcombank.com/thong-tin/blog/ho-kinh-doanh-dong-thue-nhu-nao
https://techcombank.com/thong-tin/blog/mo-tai-khoan-ho-kinh-doanh
https://techcombank.com/thong-tin/blog/cach-tinh-thue-ho-kinh-doanh-nho-le")</f>
        <v>https://techcombank.com/thong-tin/blog/nop-thue-dat-qua-ngan-hang
https://techcombank.com/thong-tin/blog/cach-nop-thue-dien-tu
https://techcombank.com/thong-tin/blog/tra-cuu-no-thue-doanh-nghiep
https://techcombank.com/thong-tin/blog/kiem-tra-thue-thu-nhap-ca-nhan
https://techcombank.com/thong-tin/blog/ho-kinh-doanh-dong-thue-nhu-nao
https://techcombank.com/thong-tin/blog/mo-tai-khoan-ho-kinh-doanh
https://techcombank.com/thong-tin/blog/cach-tinh-thue-ho-kinh-doanh-nho-le</v>
      </c>
      <c r="D181" s="20"/>
      <c r="E181" s="20"/>
      <c r="F181" s="20"/>
      <c r="G181" s="20"/>
      <c r="H181" s="20"/>
      <c r="I181" s="20"/>
      <c r="J181" s="20"/>
      <c r="K181" s="20"/>
      <c r="L181" s="20"/>
      <c r="M181" s="20"/>
      <c r="N181" s="20"/>
      <c r="O181" s="20"/>
      <c r="P181" s="20"/>
      <c r="Q181" s="20"/>
      <c r="R181" s="20"/>
      <c r="S181" s="20"/>
      <c r="T181" s="20"/>
      <c r="U181" s="20"/>
      <c r="V181" s="20"/>
      <c r="W181" s="20"/>
      <c r="X181" s="20"/>
    </row>
    <row r="182">
      <c r="A182" s="27" t="str">
        <f>IFERROR(__xludf.DUMMYFUNCTION("""COMPUTED_VALUE"""),"https://techcombank.com/thong-tin/blog/tra-gop-hoc-phi")</f>
        <v>https://techcombank.com/thong-tin/blog/tra-gop-hoc-phi</v>
      </c>
      <c r="B182" s="28">
        <f>IFERROR(__xludf.DUMMYFUNCTION("""COMPUTED_VALUE"""),7.0)</f>
        <v>7</v>
      </c>
      <c r="C182" s="20" t="str">
        <f>IFERROR(__xludf.DUMMYFUNCTION("IF(A182="""","""",TEXTJOIN(CHAR(10),TRUE,FILTER('Tổng hợp 75 trang đích'!$B$2:$B$3400,'Tổng hợp 75 trang đích'!$I$2:$I$3400=A182)))"),"https://techcombank.com/thong-tin/blog/eco-card
https://techcombank.com/thong-tin/blog/cach-tinh-lai-vay-ngan-hang
https://techcombank.com/thong-tin/blog/lai-suat-tiet-kiem
https://techcombank.com/thong-tin/blog/cach-tinh-lai-suat-tien-gui-tiet-kiem
https"&amp;"://techcombank.com/thong-tin/blog/app-vay-tien-nhanh
https://techcombank.com/thong-tin/blog/lai-suat-vay-ngan-hang
https://techcombank.com/thong-tin/blog/kiem-tra-no-xau")</f>
        <v>https://techcombank.com/thong-tin/blog/eco-card
https://techcombank.com/thong-tin/blog/cach-tinh-lai-vay-ngan-hang
https://techcombank.com/thong-tin/blog/lai-suat-tiet-kiem
https://techcombank.com/thong-tin/blog/cach-tinh-lai-suat-tien-gui-tiet-kiem
https://techcombank.com/thong-tin/blog/app-vay-tien-nhanh
https://techcombank.com/thong-tin/blog/lai-suat-vay-ngan-hang
https://techcombank.com/thong-tin/blog/kiem-tra-no-xau</v>
      </c>
      <c r="D182" s="20"/>
      <c r="E182" s="20"/>
      <c r="F182" s="20"/>
      <c r="G182" s="20"/>
      <c r="H182" s="20"/>
      <c r="I182" s="20"/>
      <c r="J182" s="20"/>
      <c r="K182" s="20"/>
      <c r="L182" s="20"/>
      <c r="M182" s="20"/>
      <c r="N182" s="20"/>
      <c r="O182" s="20"/>
      <c r="P182" s="20"/>
      <c r="Q182" s="20"/>
      <c r="R182" s="20"/>
      <c r="S182" s="20"/>
      <c r="T182" s="20"/>
      <c r="U182" s="20"/>
      <c r="V182" s="20"/>
      <c r="W182" s="20"/>
      <c r="X182" s="20"/>
    </row>
    <row r="183">
      <c r="A183" s="27" t="str">
        <f>IFERROR(__xludf.DUMMYFUNCTION("""COMPUTED_VALUE"""),"https://techcombank.com/thong-tin/blog/tra-gop-lazada")</f>
        <v>https://techcombank.com/thong-tin/blog/tra-gop-lazada</v>
      </c>
      <c r="B183" s="28">
        <f>IFERROR(__xludf.DUMMYFUNCTION("""COMPUTED_VALUE"""),7.0)</f>
        <v>7</v>
      </c>
      <c r="C183" s="20" t="str">
        <f>IFERROR(__xludf.DUMMYFUNCTION("IF(A183="""","""",TEXTJOIN(CHAR(10),TRUE,FILTER('Tổng hợp 75 trang đích'!$B$2:$B$3400,'Tổng hợp 75 trang đích'!$I$2:$I$3400=A183)))"),"https://techcombank.com/thong-tin/blog/cic-la-gi
https://techcombank.com/thong-tin/blog/rut-tien-mat-tu-the-tin-dung
https://techcombank.com/thong-tin/blog/cach-huy-the-tin-dung
https://techcombank.com/thong-tin/blog/cach-tinh-lai-vay-ngan-hang
https://te"&amp;"chcombank.com/thong-tin/blog/lai-suat-tiet-kiem
https://techcombank.com/thong-tin/blog/cach-tinh-lai-suat-tien-gui-tiet-kiem
https://techcombank.com/cong-cu-tien-ich/cong-cu-tinh-toan/bang-tinh-lai-suat-vay")</f>
        <v>https://techcombank.com/thong-tin/blog/cic-la-gi
https://techcombank.com/thong-tin/blog/rut-tien-mat-tu-the-tin-dung
https://techcombank.com/thong-tin/blog/cach-huy-the-tin-dung
https://techcombank.com/thong-tin/blog/cach-tinh-lai-vay-ngan-hang
https://techcombank.com/thong-tin/blog/lai-suat-tiet-kiem
https://techcombank.com/thong-tin/blog/cach-tinh-lai-suat-tien-gui-tiet-kiem
https://techcombank.com/cong-cu-tien-ich/cong-cu-tinh-toan/bang-tinh-lai-suat-vay</v>
      </c>
      <c r="D183" s="20"/>
      <c r="E183" s="20"/>
      <c r="F183" s="20"/>
      <c r="G183" s="20"/>
      <c r="H183" s="20"/>
      <c r="I183" s="20"/>
      <c r="J183" s="20"/>
      <c r="K183" s="20"/>
      <c r="L183" s="20"/>
      <c r="M183" s="20"/>
      <c r="N183" s="20"/>
      <c r="O183" s="20"/>
      <c r="P183" s="20"/>
      <c r="Q183" s="20"/>
      <c r="R183" s="20"/>
      <c r="S183" s="20"/>
      <c r="T183" s="20"/>
      <c r="U183" s="20"/>
      <c r="V183" s="20"/>
      <c r="W183" s="20"/>
      <c r="X183" s="20"/>
    </row>
    <row r="184">
      <c r="A184" s="27" t="str">
        <f>IFERROR(__xludf.DUMMYFUNCTION("""COMPUTED_VALUE"""),"https://techcombank.com/thong-tin/blog/truy-thu-thue-ho-kinh-doanh")</f>
        <v>https://techcombank.com/thong-tin/blog/truy-thu-thue-ho-kinh-doanh</v>
      </c>
      <c r="B184" s="28">
        <f>IFERROR(__xludf.DUMMYFUNCTION("""COMPUTED_VALUE"""),7.0)</f>
        <v>7</v>
      </c>
      <c r="C184" s="20" t="str">
        <f>IFERROR(__xludf.DUMMYFUNCTION("IF(A184="""","""",TEXTJOIN(CHAR(10),TRUE,FILTER('Tổng hợp 75 trang đích'!$B$2:$B$3400,'Tổng hợp 75 trang đích'!$I$2:$I$3400=A184)))"),"https://techcombank.com/thong-tin/blog/nop-thue-dat-qua-ngan-hang
https://techcombank.com/thong-tin/blog/cach-nop-thue-dien-tu
https://techcombank.com/thong-tin/blog/cach-tinh-thue-thu-nhap-ca-nhan-2025
https://techcombank.com/thong-tin/blog/cic-la-gi
htt"&amp;"ps://techcombank.com/thong-tin/blog/ho-kinh-doanh-dong-thue-nhu-nao
https://techcombank.com/thong-tin/blog/mo-tai-khoan-ho-kinh-doanh
https://techcombank.com/thong-tin/blog/cach-tinh-thue-ho-kinh-doanh-nho-le")</f>
        <v>https://techcombank.com/thong-tin/blog/nop-thue-dat-qua-ngan-hang
https://techcombank.com/thong-tin/blog/cach-nop-thue-dien-tu
https://techcombank.com/thong-tin/blog/cach-tinh-thue-thu-nhap-ca-nhan-2025
https://techcombank.com/thong-tin/blog/cic-la-gi
https://techcombank.com/thong-tin/blog/ho-kinh-doanh-dong-thue-nhu-nao
https://techcombank.com/thong-tin/blog/mo-tai-khoan-ho-kinh-doanh
https://techcombank.com/thong-tin/blog/cach-tinh-thue-ho-kinh-doanh-nho-le</v>
      </c>
      <c r="D184" s="20"/>
      <c r="E184" s="20"/>
      <c r="F184" s="20"/>
      <c r="G184" s="20"/>
      <c r="H184" s="20"/>
      <c r="I184" s="20"/>
      <c r="J184" s="20"/>
      <c r="K184" s="20"/>
      <c r="L184" s="20"/>
      <c r="M184" s="20"/>
      <c r="N184" s="20"/>
      <c r="O184" s="20"/>
      <c r="P184" s="20"/>
      <c r="Q184" s="20"/>
      <c r="R184" s="20"/>
      <c r="S184" s="20"/>
      <c r="T184" s="20"/>
      <c r="U184" s="20"/>
      <c r="V184" s="20"/>
      <c r="W184" s="20"/>
      <c r="X184" s="20"/>
    </row>
    <row r="185">
      <c r="A185" s="27" t="str">
        <f>IFERROR(__xludf.DUMMYFUNCTION("""COMPUTED_VALUE"""),"https://techcombank.com/thong-tin/blog/uu-dai-mua-ve-may-bay-bang-the-tin-dung")</f>
        <v>https://techcombank.com/thong-tin/blog/uu-dai-mua-ve-may-bay-bang-the-tin-dung</v>
      </c>
      <c r="B185" s="28">
        <f>IFERROR(__xludf.DUMMYFUNCTION("""COMPUTED_VALUE"""),7.0)</f>
        <v>7</v>
      </c>
      <c r="C185" s="20" t="str">
        <f>IFERROR(__xludf.DUMMYFUNCTION("IF(A185="""","""",TEXTJOIN(CHAR(10),TRUE,FILTER('Tổng hợp 75 trang đích'!$B$2:$B$3400,'Tổng hợp 75 trang đích'!$I$2:$I$3400=A185)))"),"https://techcombank.com/thong-tin/blog/lam-the-tin-dung
https://techcombank.com/khach-hang-ca-nhan/chi-tieu/the/the-tin-dung/techcombank-everyday
https://techcombank.com/thong-tin/blog/the-tin-dung-hoan-tien
https://techcombank.com/thong-tin/blog/cach-huy"&amp;"-the-tin-dung
https://techcombank.com/thong-tin/blog/xep-hang-tin-dung
https://techcombank.com/thong-tin/blog/cach-thanh-toan-the-tin-dung
https://techcombank.com/thong-tin/blog/traveloka-voucher")</f>
        <v>https://techcombank.com/thong-tin/blog/lam-the-tin-dung
https://techcombank.com/khach-hang-ca-nhan/chi-tieu/the/the-tin-dung/techcombank-everyday
https://techcombank.com/thong-tin/blog/the-tin-dung-hoan-tien
https://techcombank.com/thong-tin/blog/cach-huy-the-tin-dung
https://techcombank.com/thong-tin/blog/xep-hang-tin-dung
https://techcombank.com/thong-tin/blog/cach-thanh-toan-the-tin-dung
https://techcombank.com/thong-tin/blog/traveloka-voucher</v>
      </c>
      <c r="D185" s="20"/>
      <c r="E185" s="20"/>
      <c r="F185" s="20"/>
      <c r="G185" s="20"/>
      <c r="H185" s="20"/>
      <c r="I185" s="20"/>
      <c r="J185" s="20"/>
      <c r="K185" s="20"/>
      <c r="L185" s="20"/>
      <c r="M185" s="20"/>
      <c r="N185" s="20"/>
      <c r="O185" s="20"/>
      <c r="P185" s="20"/>
      <c r="Q185" s="20"/>
      <c r="R185" s="20"/>
      <c r="S185" s="20"/>
      <c r="T185" s="20"/>
      <c r="U185" s="20"/>
      <c r="V185" s="20"/>
      <c r="W185" s="20"/>
      <c r="X185" s="20"/>
    </row>
    <row r="186">
      <c r="A186" s="27" t="str">
        <f>IFERROR(__xludf.DUMMYFUNCTION("""COMPUTED_VALUE"""),"https://techcombank.com/thong-tin/blog/vay-15-trieu")</f>
        <v>https://techcombank.com/thong-tin/blog/vay-15-trieu</v>
      </c>
      <c r="B186" s="28">
        <f>IFERROR(__xludf.DUMMYFUNCTION("""COMPUTED_VALUE"""),7.0)</f>
        <v>7</v>
      </c>
      <c r="C186" s="20" t="str">
        <f>IFERROR(__xludf.DUMMYFUNCTION("IF(A186="""","""",TEXTJOIN(CHAR(10),TRUE,FILTER('Tổng hợp 75 trang đích'!$B$2:$B$3400,'Tổng hợp 75 trang đích'!$I$2:$I$3400=A186)))"),"https://techcombank.com/thong-tin/blog/cic-la-gi
https://techcombank.com/thong-tin/blog/cach-tinh-lai-vay-ngan-hang
https://techcombank.com/thong-tin/blog/lai-suat-tiet-kiem
https://techcombank.com/thong-tin/blog/cach-tinh-lai-suat-tien-gui-tiet-kiem
http"&amp;"s://techcombank.com/cong-cu-tien-ich/cong-cu-tinh-toan/bang-tinh-lai-suat-vay
https://techcombank.com/thong-tin/blog/app-vay-tien-nhanh
https://techcombank.com/thong-tin/blog/lai-suat-vay-ngan-hang")</f>
        <v>https://techcombank.com/thong-tin/blog/cic-la-gi
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v>
      </c>
      <c r="D186" s="20"/>
      <c r="E186" s="20"/>
      <c r="F186" s="20"/>
      <c r="G186" s="20"/>
      <c r="H186" s="20"/>
      <c r="I186" s="20"/>
      <c r="J186" s="20"/>
      <c r="K186" s="20"/>
      <c r="L186" s="20"/>
      <c r="M186" s="20"/>
      <c r="N186" s="20"/>
      <c r="O186" s="20"/>
      <c r="P186" s="20"/>
      <c r="Q186" s="20"/>
      <c r="R186" s="20"/>
      <c r="S186" s="20"/>
      <c r="T186" s="20"/>
      <c r="U186" s="20"/>
      <c r="V186" s="20"/>
      <c r="W186" s="20"/>
      <c r="X186" s="20"/>
    </row>
    <row r="187">
      <c r="A187" s="27" t="str">
        <f>IFERROR(__xludf.DUMMYFUNCTION("""COMPUTED_VALUE"""),"https://techcombank.com/thong-tin/blog/vay-20-trieu")</f>
        <v>https://techcombank.com/thong-tin/blog/vay-20-trieu</v>
      </c>
      <c r="B187" s="28">
        <f>IFERROR(__xludf.DUMMYFUNCTION("""COMPUTED_VALUE"""),7.0)</f>
        <v>7</v>
      </c>
      <c r="C187" s="20" t="str">
        <f>IFERROR(__xludf.DUMMYFUNCTION("IF(A187="""","""",TEXTJOIN(CHAR(10),TRUE,FILTER('Tổng hợp 75 trang đích'!$B$2:$B$3400,'Tổng hợp 75 trang đích'!$I$2:$I$3400=A187)))"),"https://techcombank.com/thong-tin/blog/vay-ngan-hang-1-ty-moi-thang-tra-bao-nhieu
https://techcombank.com/thong-tin/blog/cach-tinh-lai-suat-tien-gui-tiet-kiem
https://techcombank.com/cong-cu-tien-ich/cong-cu-tinh-toan/bang-tinh-lai-suat-vay
https://techco"&amp;"mbank.com/thong-tin/blog/app-vay-tien-nhanh
https://techcombank.com/thong-tin/blog/lai-suat-vay-ngan-hang
https://techcombank.com/thong-tin/blog/nen-vay-tin-chap-o-dau
https://techcombank.com/thong-tin/blog/vay-tin-chap-khong-tra-duoc-co-sao-khong")</f>
        <v>https://techcombank.com/thong-tin/blog/vay-ngan-hang-1-ty-moi-thang-tra-bao-nhieu
https://techcombank.com/thong-tin/blog/cach-tinh-lai-suat-tien-gui-tiet-kiem
https://techcombank.com/cong-cu-tien-ich/cong-cu-tinh-toan/bang-tinh-lai-suat-vay
https://techcombank.com/thong-tin/blog/app-vay-tien-nhanh
https://techcombank.com/thong-tin/blog/lai-suat-vay-ngan-hang
https://techcombank.com/thong-tin/blog/nen-vay-tin-chap-o-dau
https://techcombank.com/thong-tin/blog/vay-tin-chap-khong-tra-duoc-co-sao-khong</v>
      </c>
      <c r="D187" s="20"/>
      <c r="E187" s="20"/>
      <c r="F187" s="20"/>
      <c r="G187" s="20"/>
      <c r="H187" s="20"/>
      <c r="I187" s="20"/>
      <c r="J187" s="20"/>
      <c r="K187" s="20"/>
      <c r="L187" s="20"/>
      <c r="M187" s="20"/>
      <c r="N187" s="20"/>
      <c r="O187" s="20"/>
      <c r="P187" s="20"/>
      <c r="Q187" s="20"/>
      <c r="R187" s="20"/>
      <c r="S187" s="20"/>
      <c r="T187" s="20"/>
      <c r="U187" s="20"/>
      <c r="V187" s="20"/>
      <c r="W187" s="20"/>
      <c r="X187" s="20"/>
    </row>
    <row r="188">
      <c r="A188" s="27" t="str">
        <f>IFERROR(__xludf.DUMMYFUNCTION("""COMPUTED_VALUE"""),"https://techcombank.com/thong-tin/blog/vay-200-trieu")</f>
        <v>https://techcombank.com/thong-tin/blog/vay-200-trieu</v>
      </c>
      <c r="B188" s="28">
        <f>IFERROR(__xludf.DUMMYFUNCTION("""COMPUTED_VALUE"""),7.0)</f>
        <v>7</v>
      </c>
      <c r="C188" s="20" t="str">
        <f>IFERROR(__xludf.DUMMYFUNCTION("IF(A188="""","""",TEXTJOIN(CHAR(10),TRUE,FILTER('Tổng hợp 75 trang đích'!$B$2:$B$3400,'Tổng hợp 75 trang đích'!$I$2:$I$3400=A188)))"),"https://techcombank.com/thong-tin/blog/lai-suat-vay-mua-o-to
https://techcombank.com/thong-tin/blog/cach-tinh-lai-vay-ngan-hang
https://techcombank.com/thong-tin/blog/ho-so-thu-tuc-xoa-the-chap
https://techcombank.com/thong-tin/blog/app-vay-tien-nhanh
htt"&amp;"ps://techcombank.com/thong-tin/blog/lai-suat-vay-ngan-hang
https://techcombank.com/thong-tin/blog/vay-thau-chi-la-gi
https://techcombank.com/thong-tin/blog/vay-tin-chap-khong-tra-duoc-co-sao-khong")</f>
        <v>https://techcombank.com/thong-tin/blog/lai-suat-vay-mua-o-to
https://techcombank.com/thong-tin/blog/cach-tinh-lai-vay-ngan-hang
https://techcombank.com/thong-tin/blog/ho-so-thu-tuc-xoa-the-chap
https://techcombank.com/thong-tin/blog/app-vay-tien-nhanh
https://techcombank.com/thong-tin/blog/lai-suat-vay-ngan-hang
https://techcombank.com/thong-tin/blog/vay-thau-chi-la-gi
https://techcombank.com/thong-tin/blog/vay-tin-chap-khong-tra-duoc-co-sao-khong</v>
      </c>
      <c r="D188" s="20"/>
      <c r="E188" s="20"/>
      <c r="F188" s="20"/>
      <c r="G188" s="20"/>
      <c r="H188" s="20"/>
      <c r="I188" s="20"/>
      <c r="J188" s="20"/>
      <c r="K188" s="20"/>
      <c r="L188" s="20"/>
      <c r="M188" s="20"/>
      <c r="N188" s="20"/>
      <c r="O188" s="20"/>
      <c r="P188" s="20"/>
      <c r="Q188" s="20"/>
      <c r="R188" s="20"/>
      <c r="S188" s="20"/>
      <c r="T188" s="20"/>
      <c r="U188" s="20"/>
      <c r="V188" s="20"/>
      <c r="W188" s="20"/>
      <c r="X188" s="20"/>
    </row>
    <row r="189">
      <c r="A189" s="27" t="str">
        <f>IFERROR(__xludf.DUMMYFUNCTION("""COMPUTED_VALUE"""),"https://techcombank.com/thong-tin/blog/vay-bo-sung-von-luu-dong")</f>
        <v>https://techcombank.com/thong-tin/blog/vay-bo-sung-von-luu-dong</v>
      </c>
      <c r="B189" s="28">
        <f>IFERROR(__xludf.DUMMYFUNCTION("""COMPUTED_VALUE"""),7.0)</f>
        <v>7</v>
      </c>
      <c r="C189" s="20" t="str">
        <f>IFERROR(__xludf.DUMMYFUNCTION("IF(A189="""","""",TEXTJOIN(CHAR(10),TRUE,FILTER('Tổng hợp 75 trang đích'!$B$2:$B$3400,'Tổng hợp 75 trang đích'!$I$2:$I$3400=A189)))"),"https://techcombank.com/thong-tin/blog/nop-thue-dat-qua-ngan-hang
https://techcombank.com/thong-tin/blog/lai-suat-tiet-kiem
https://techcombank.com/thong-tin/blog/cach-tinh-lai-suat-tien-gui-tiet-kiem
https://techcombank.com/cong-cu-tien-ich/cong-cu-tinh-"&amp;"toan/bang-tinh-lai-suat-vay
https://techcombank.com/cong-cu-tien-ich/cong-cu-tinh-toan/bang-tinh-lai-suat-tiet-kiem
https://techcombank.com/thong-tin/blog/app-vay-tien-nhanh
https://techcombank.com/thong-tin/blog/lai-suat-vay-ngan-hang")</f>
        <v>https://techcombank.com/thong-tin/blog/nop-thue-dat-qua-ngan-hang
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
https://techcombank.com/thong-tin/blog/lai-suat-vay-ngan-hang</v>
      </c>
      <c r="D189" s="20"/>
      <c r="E189" s="20"/>
      <c r="F189" s="20"/>
      <c r="G189" s="20"/>
      <c r="H189" s="20"/>
      <c r="I189" s="20"/>
      <c r="J189" s="20"/>
      <c r="K189" s="20"/>
      <c r="L189" s="20"/>
      <c r="M189" s="20"/>
      <c r="N189" s="20"/>
      <c r="O189" s="20"/>
      <c r="P189" s="20"/>
      <c r="Q189" s="20"/>
      <c r="R189" s="20"/>
      <c r="S189" s="20"/>
      <c r="T189" s="20"/>
      <c r="U189" s="20"/>
      <c r="V189" s="20"/>
      <c r="W189" s="20"/>
      <c r="X189" s="20"/>
    </row>
    <row r="190">
      <c r="A190" s="27" t="str">
        <f>IFERROR(__xludf.DUMMYFUNCTION("""COMPUTED_VALUE"""),"https://techcombank.com/thong-tin/blog/vay-mua-nha-tra-gop")</f>
        <v>https://techcombank.com/thong-tin/blog/vay-mua-nha-tra-gop</v>
      </c>
      <c r="B190" s="28">
        <f>IFERROR(__xludf.DUMMYFUNCTION("""COMPUTED_VALUE"""),7.0)</f>
        <v>7</v>
      </c>
      <c r="C190" s="20" t="str">
        <f>IFERROR(__xludf.DUMMYFUNCTION("IF(A190="""","""",TEXTJOIN(CHAR(10),TRUE,FILTER('Tổng hợp 75 trang đích'!$B$2:$B$3400,'Tổng hợp 75 trang đích'!$I$2:$I$3400=A190)))"),"https://techcombank.com/thong-tin/blog/vay-ngan-hang-1-ty-moi-thang-tra-bao-nhieu
https://techcombank.com/thong-tin/blog/cach-tinh-lai-vay-ngan-hang
https://techcombank.com/thong-tin/blog/lai-suat-tiet-kiem
https://techcombank.com/cong-cu-tien-ich/cong-cu"&amp;"-tinh-toan/bang-tinh-lai-suat-vay
https://techcombank.com/thong-tin/blog/app-vay-tien-nhanh
https://techcombank.com/thong-tin/blog/lai-suat-vay-ngan-hang
https://techcombank.com/thong-tin/blog/vay-thau-chi-la-gi")</f>
        <v>https://techcombank.com/thong-tin/blog/vay-ngan-hang-1-ty-moi-thang-tra-bao-nhieu
https://techcombank.com/thong-tin/blog/cach-tinh-lai-vay-ngan-hang
https://techcombank.com/thong-tin/blog/lai-suat-tiet-kiem
https://techcombank.com/cong-cu-tien-ich/cong-cu-tinh-toan/bang-tinh-lai-suat-vay
https://techcombank.com/thong-tin/blog/app-vay-tien-nhanh
https://techcombank.com/thong-tin/blog/lai-suat-vay-ngan-hang
https://techcombank.com/thong-tin/blog/vay-thau-chi-la-gi</v>
      </c>
      <c r="D190" s="20"/>
      <c r="E190" s="20"/>
      <c r="F190" s="20"/>
      <c r="G190" s="20"/>
      <c r="H190" s="20"/>
      <c r="I190" s="20"/>
      <c r="J190" s="20"/>
      <c r="K190" s="20"/>
      <c r="L190" s="20"/>
      <c r="M190" s="20"/>
      <c r="N190" s="20"/>
      <c r="O190" s="20"/>
      <c r="P190" s="20"/>
      <c r="Q190" s="20"/>
      <c r="R190" s="20"/>
      <c r="S190" s="20"/>
      <c r="T190" s="20"/>
      <c r="U190" s="20"/>
      <c r="V190" s="20"/>
      <c r="W190" s="20"/>
      <c r="X190" s="20"/>
    </row>
    <row r="191">
      <c r="A191" s="27" t="str">
        <f>IFERROR(__xludf.DUMMYFUNCTION("""COMPUTED_VALUE"""),"https://techcombank.com/thong-tin/blog/vay-ngan-han")</f>
        <v>https://techcombank.com/thong-tin/blog/vay-ngan-han</v>
      </c>
      <c r="B191" s="28">
        <f>IFERROR(__xludf.DUMMYFUNCTION("""COMPUTED_VALUE"""),7.0)</f>
        <v>7</v>
      </c>
      <c r="C191" s="20" t="str">
        <f>IFERROR(__xludf.DUMMYFUNCTION("IF(A191="""","""",TEXTJOIN(CHAR(10),TRUE,FILTER('Tổng hợp 75 trang đích'!$B$2:$B$3400,'Tổng hợp 75 trang đích'!$I$2:$I$3400=A191)))"),"https://techcombank.com/thong-tin/blog/mo-hinh-kinh-doanh-la-gi
https://techcombank.com/thong-tin/blog/lai-suat-tiet-kiem
https://techcombank.com/thong-tin/blog/cach-tinh-lai-suat-tien-gui-tiet-kiem
https://techcombank.com/cong-cu-tien-ich/cong-cu-tinh-to"&amp;"an/bang-tinh-lai-suat-vay
https://techcombank.com/thong-tin/blog/app-vay-tien-nhanh
https://techcombank.com/thong-tin/blog/lai-suat-vay-ngan-hang
https://techcombank.com/thong-tin/blog/vay-thau-chi-la-gi")</f>
        <v>https://techcombank.com/thong-tin/blog/mo-hinh-kinh-doanh-la-gi
https://techcombank.com/thong-tin/blog/lai-suat-tiet-kiem
https://techcombank.com/thong-tin/blog/cach-tinh-lai-suat-tien-gui-tiet-kiem
https://techcombank.com/cong-cu-tien-ich/cong-cu-tinh-toan/bang-tinh-lai-suat-vay
https://techcombank.com/thong-tin/blog/app-vay-tien-nhanh
https://techcombank.com/thong-tin/blog/lai-suat-vay-ngan-hang
https://techcombank.com/thong-tin/blog/vay-thau-chi-la-gi</v>
      </c>
      <c r="D191" s="20"/>
      <c r="E191" s="20"/>
      <c r="F191" s="20"/>
      <c r="G191" s="20"/>
      <c r="H191" s="20"/>
      <c r="I191" s="20"/>
      <c r="J191" s="20"/>
      <c r="K191" s="20"/>
      <c r="L191" s="20"/>
      <c r="M191" s="20"/>
      <c r="N191" s="20"/>
      <c r="O191" s="20"/>
      <c r="P191" s="20"/>
      <c r="Q191" s="20"/>
      <c r="R191" s="20"/>
      <c r="S191" s="20"/>
      <c r="T191" s="20"/>
      <c r="U191" s="20"/>
      <c r="V191" s="20"/>
      <c r="W191" s="20"/>
      <c r="X191" s="20"/>
    </row>
    <row r="192">
      <c r="A192" s="27" t="str">
        <f>IFERROR(__xludf.DUMMYFUNCTION("""COMPUTED_VALUE"""),"https://techcombank.com/thong-tin/blog/vay-san-xuat-kinh-doanh")</f>
        <v>https://techcombank.com/thong-tin/blog/vay-san-xuat-kinh-doanh</v>
      </c>
      <c r="B192" s="28">
        <f>IFERROR(__xludf.DUMMYFUNCTION("""COMPUTED_VALUE"""),7.0)</f>
        <v>7</v>
      </c>
      <c r="C192" s="20" t="str">
        <f>IFERROR(__xludf.DUMMYFUNCTION("IF(A192="""","""",TEXTJOIN(CHAR(10),TRUE,FILTER('Tổng hợp 75 trang đích'!$B$2:$B$3400,'Tổng hợp 75 trang đích'!$I$2:$I$3400=A192)))"),"https://techcombank.com/thong-tin/blog/lai-suat-vay-the-chap-so-do
https://techcombank.com/thong-tin/blog/ho-so-thu-tuc-xoa-the-chap
https://techcombank.com/cong-cu-tien-ich/cong-cu-tinh-toan/bang-tinh-lai-suat-vay
https://techcombank.com/thong-tin/blog/a"&amp;"pp-vay-tien-nhanh
https://techcombank.com/thong-tin/blog/lai-suat-vay-ngan-hang
https://techcombank.com/thong-tin/blog/vay-thau-chi-la-gi
https://techcombank.com/thong-tin/blog/vay-tin-chap-khong-tra-duoc-co-sao-khong")</f>
        <v>https://techcombank.com/thong-tin/blog/lai-suat-vay-the-chap-so-do
https://techcombank.com/thong-tin/blog/ho-so-thu-tuc-xoa-the-chap
https://techcombank.com/cong-cu-tien-ich/cong-cu-tinh-toan/bang-tinh-lai-suat-vay
https://techcombank.com/thong-tin/blog/app-vay-tien-nhanh
https://techcombank.com/thong-tin/blog/lai-suat-vay-ngan-hang
https://techcombank.com/thong-tin/blog/vay-thau-chi-la-gi
https://techcombank.com/thong-tin/blog/vay-tin-chap-khong-tra-duoc-co-sao-khong</v>
      </c>
      <c r="D192" s="20"/>
      <c r="E192" s="20"/>
      <c r="F192" s="20"/>
      <c r="G192" s="20"/>
      <c r="H192" s="20"/>
      <c r="I192" s="20"/>
      <c r="J192" s="20"/>
      <c r="K192" s="20"/>
      <c r="L192" s="20"/>
      <c r="M192" s="20"/>
      <c r="N192" s="20"/>
      <c r="O192" s="20"/>
      <c r="P192" s="20"/>
      <c r="Q192" s="20"/>
      <c r="R192" s="20"/>
      <c r="S192" s="20"/>
      <c r="T192" s="20"/>
      <c r="U192" s="20"/>
      <c r="V192" s="20"/>
      <c r="W192" s="20"/>
      <c r="X192" s="20"/>
    </row>
    <row r="193">
      <c r="A193" s="27" t="str">
        <f>IFERROR(__xludf.DUMMYFUNCTION("""COMPUTED_VALUE"""),"https://techcombank.com/thong-tin/blog/vay-the-chap-khong-tra-duoc")</f>
        <v>https://techcombank.com/thong-tin/blog/vay-the-chap-khong-tra-duoc</v>
      </c>
      <c r="B193" s="28">
        <f>IFERROR(__xludf.DUMMYFUNCTION("""COMPUTED_VALUE"""),7.0)</f>
        <v>7</v>
      </c>
      <c r="C193" s="20" t="str">
        <f>IFERROR(__xludf.DUMMYFUNCTION("IF(A193="""","""",TEXTJOIN(CHAR(10),TRUE,FILTER('Tổng hợp 75 trang đích'!$B$2:$B$3400,'Tổng hợp 75 trang đích'!$I$2:$I$3400=A193)))"),"https://techcombank.com/thong-tin/blog/xep-hang-tin-dung
https://techcombank.com/thong-tin/blog/vay-ngan-hang-1-ty-moi-thang-tra-bao-nhieu
https://techcombank.com/thong-tin/blog/lai-suat-vay-the-chap-so-do
https://techcombank.com/cong-cu-tien-ich/cong-cu-"&amp;"tinh-toan/bang-tinh-lai-suat-vay
https://techcombank.com/thong-tin/blog/app-vay-tien-nhanh
https://techcombank.com/thong-tin/blog/no-xau-la-gi
https://techcombank.com/thong-tin/blog/vay-tin-chap-khong-tra-duoc-co-sao-khong")</f>
        <v>https://techcombank.com/thong-tin/blog/xep-hang-tin-dung
https://techcombank.com/thong-tin/blog/vay-ngan-hang-1-ty-moi-thang-tra-bao-nhieu
https://techcombank.com/thong-tin/blog/lai-suat-vay-the-chap-so-do
https://techcombank.com/cong-cu-tien-ich/cong-cu-tinh-toan/bang-tinh-lai-suat-vay
https://techcombank.com/thong-tin/blog/app-vay-tien-nhanh
https://techcombank.com/thong-tin/blog/no-xau-la-gi
https://techcombank.com/thong-tin/blog/vay-tin-chap-khong-tra-duoc-co-sao-khong</v>
      </c>
      <c r="D193" s="20"/>
      <c r="E193" s="20"/>
      <c r="F193" s="20"/>
      <c r="G193" s="20"/>
      <c r="H193" s="20"/>
      <c r="I193" s="20"/>
      <c r="J193" s="20"/>
      <c r="K193" s="20"/>
      <c r="L193" s="20"/>
      <c r="M193" s="20"/>
      <c r="N193" s="20"/>
      <c r="O193" s="20"/>
      <c r="P193" s="20"/>
      <c r="Q193" s="20"/>
      <c r="R193" s="20"/>
      <c r="S193" s="20"/>
      <c r="T193" s="20"/>
      <c r="U193" s="20"/>
      <c r="V193" s="20"/>
      <c r="W193" s="20"/>
      <c r="X193" s="20"/>
    </row>
    <row r="194">
      <c r="A194" s="27" t="str">
        <f>IFERROR(__xludf.DUMMYFUNCTION("""COMPUTED_VALUE"""),"https://techcombank.com/thong-tin/blog/vay-the-chap-la-gi")</f>
        <v>https://techcombank.com/thong-tin/blog/vay-the-chap-la-gi</v>
      </c>
      <c r="B194" s="28">
        <f>IFERROR(__xludf.DUMMYFUNCTION("""COMPUTED_VALUE"""),7.0)</f>
        <v>7</v>
      </c>
      <c r="C194" s="20" t="str">
        <f>IFERROR(__xludf.DUMMYFUNCTION("IF(A194="""","""",TEXTJOIN(CHAR(10),TRUE,FILTER('Tổng hợp 75 trang đích'!$B$2:$B$3400,'Tổng hợp 75 trang đích'!$I$2:$I$3400=A194)))"),"https://techcombank.com/thong-tin/blog/vay-ngan-hang-1-ty-moi-thang-tra-bao-nhieu
https://techcombank.com/thong-tin/blog/lai-suat-vay-the-chap-so-do
https://techcombank.com/thong-tin/blog/ho-so-thu-tuc-xoa-the-chap
https://techcombank.com/cong-cu-tien-ich"&amp;"/cong-cu-tinh-toan/bang-tinh-lai-suat-vay
https://techcombank.com/thong-tin/blog/app-vay-tien-nhanh
https://techcombank.com/thong-tin/blog/lai-suat-vay-ngan-hang
https://techcombank.com/thong-tin/blog/nen-vay-tin-chap-o-dau")</f>
        <v>https://techcombank.com/thong-tin/blog/vay-ngan-hang-1-ty-moi-thang-tra-bao-nhieu
https://techcombank.com/thong-tin/blog/lai-suat-vay-the-chap-so-do
https://techcombank.com/thong-tin/blog/ho-so-thu-tuc-xoa-the-chap
https://techcombank.com/cong-cu-tien-ich/cong-cu-tinh-toan/bang-tinh-lai-suat-vay
https://techcombank.com/thong-tin/blog/app-vay-tien-nhanh
https://techcombank.com/thong-tin/blog/lai-suat-vay-ngan-hang
https://techcombank.com/thong-tin/blog/nen-vay-tin-chap-o-dau</v>
      </c>
      <c r="D194" s="20"/>
      <c r="E194" s="20"/>
      <c r="F194" s="20"/>
      <c r="G194" s="20"/>
      <c r="H194" s="20"/>
      <c r="I194" s="20"/>
      <c r="J194" s="20"/>
      <c r="K194" s="20"/>
      <c r="L194" s="20"/>
      <c r="M194" s="20"/>
      <c r="N194" s="20"/>
      <c r="O194" s="20"/>
      <c r="P194" s="20"/>
      <c r="Q194" s="20"/>
      <c r="R194" s="20"/>
      <c r="S194" s="20"/>
      <c r="T194" s="20"/>
      <c r="U194" s="20"/>
      <c r="V194" s="20"/>
      <c r="W194" s="20"/>
      <c r="X194" s="20"/>
    </row>
    <row r="195">
      <c r="A195" s="27" t="str">
        <f>IFERROR(__xludf.DUMMYFUNCTION("""COMPUTED_VALUE"""),"https://techcombank.com/thong-tin/blog/vay-the-chap-toi-da-duoc-bao-nhieu")</f>
        <v>https://techcombank.com/thong-tin/blog/vay-the-chap-toi-da-duoc-bao-nhieu</v>
      </c>
      <c r="B195" s="28">
        <f>IFERROR(__xludf.DUMMYFUNCTION("""COMPUTED_VALUE"""),7.0)</f>
        <v>7</v>
      </c>
      <c r="C195" s="20" t="str">
        <f>IFERROR(__xludf.DUMMYFUNCTION("IF(A195="""","""",TEXTJOIN(CHAR(10),TRUE,FILTER('Tổng hợp 75 trang đích'!$B$2:$B$3400,'Tổng hợp 75 trang đích'!$I$2:$I$3400=A195)))"),"https://techcombank.com/thong-tin/blog/chung-chi-tien-gui-la-gi
https://techcombank.com/thong-tin/blog/lai-suat-vay-the-chap-so-do
https://techcombank.com/thong-tin/blog/ho-so-thu-tuc-xoa-the-chap
https://techcombank.com/cong-cu-tien-ich/cong-cu-tinh-toan"&amp;"/bang-tinh-lai-suat-vay
https://techcombank.com/thong-tin/blog/app-vay-tien-nhanh
https://techcombank.com/thong-tin/blog/lai-suat-vay-ngan-hang
https://techcombank.com/thong-tin/blog/vay-thau-chi-la-gi")</f>
        <v>https://techcombank.com/thong-tin/blog/chung-chi-tien-gui-la-gi
https://techcombank.com/thong-tin/blog/lai-suat-vay-the-chap-so-do
https://techcombank.com/thong-tin/blog/ho-so-thu-tuc-xoa-the-chap
https://techcombank.com/cong-cu-tien-ich/cong-cu-tinh-toan/bang-tinh-lai-suat-vay
https://techcombank.com/thong-tin/blog/app-vay-tien-nhanh
https://techcombank.com/thong-tin/blog/lai-suat-vay-ngan-hang
https://techcombank.com/thong-tin/blog/vay-thau-chi-la-gi</v>
      </c>
      <c r="D195" s="20"/>
      <c r="E195" s="20"/>
      <c r="F195" s="20"/>
      <c r="G195" s="20"/>
      <c r="H195" s="20"/>
      <c r="I195" s="20"/>
      <c r="J195" s="20"/>
      <c r="K195" s="20"/>
      <c r="L195" s="20"/>
      <c r="M195" s="20"/>
      <c r="N195" s="20"/>
      <c r="O195" s="20"/>
      <c r="P195" s="20"/>
      <c r="Q195" s="20"/>
      <c r="R195" s="20"/>
      <c r="S195" s="20"/>
      <c r="T195" s="20"/>
      <c r="U195" s="20"/>
      <c r="V195" s="20"/>
      <c r="W195" s="20"/>
      <c r="X195" s="20"/>
    </row>
    <row r="196">
      <c r="A196" s="27" t="str">
        <f>IFERROR(__xludf.DUMMYFUNCTION("""COMPUTED_VALUE"""),"https://techcombank.com/thong-tin/blog/vay-tin-chap-cho-doanh-nghiep-moi-thanh-lap")</f>
        <v>https://techcombank.com/thong-tin/blog/vay-tin-chap-cho-doanh-nghiep-moi-thanh-lap</v>
      </c>
      <c r="B196" s="28">
        <f>IFERROR(__xludf.DUMMYFUNCTION("""COMPUTED_VALUE"""),7.0)</f>
        <v>7</v>
      </c>
      <c r="C196" s="20" t="str">
        <f>IFERROR(__xludf.DUMMYFUNCTION("IF(A196="""","""",TEXTJOIN(CHAR(10),TRUE,FILTER('Tổng hợp 75 trang đích'!$B$2:$B$3400,'Tổng hợp 75 trang đích'!$I$2:$I$3400=A196)))"),"https://techcombank.com/thong-tin/blog/nop-thue-dat-qua-ngan-hang
https://techcombank.com/thong-tin/blog/bao-nhieu-tuoi-duoc-mo-tai-khoan-ngan-hang
https://techcombank.com/thong-tin/blog/lai-suat-tiet-kiem
https://techcombank.com/cong-cu-tien-ich/cong-cu-"&amp;"tinh-toan/bang-tinh-lai-suat-vay
https://techcombank.com/thong-tin/blog/app-vay-tien-nhanh
https://techcombank.com/thong-tin/blog/lai-suat-vay-ngan-hang
https://techcombank.com/thong-tin/blog/vay-tin-chap-khong-tra-duoc-co-sao-khong")</f>
        <v>https://techcombank.com/thong-tin/blog/nop-thue-dat-qua-ngan-hang
https://techcombank.com/thong-tin/blog/bao-nhieu-tuoi-duoc-mo-tai-khoan-ngan-hang
https://techcombank.com/thong-tin/blog/lai-suat-tiet-kiem
https://techcombank.com/cong-cu-tien-ich/cong-cu-tinh-toan/bang-tinh-lai-suat-vay
https://techcombank.com/thong-tin/blog/app-vay-tien-nhanh
https://techcombank.com/thong-tin/blog/lai-suat-vay-ngan-hang
https://techcombank.com/thong-tin/blog/vay-tin-chap-khong-tra-duoc-co-sao-khong</v>
      </c>
      <c r="D196" s="20"/>
      <c r="E196" s="20"/>
      <c r="F196" s="20"/>
      <c r="G196" s="20"/>
      <c r="H196" s="20"/>
      <c r="I196" s="20"/>
      <c r="J196" s="20"/>
      <c r="K196" s="20"/>
      <c r="L196" s="20"/>
      <c r="M196" s="20"/>
      <c r="N196" s="20"/>
      <c r="O196" s="20"/>
      <c r="P196" s="20"/>
      <c r="Q196" s="20"/>
      <c r="R196" s="20"/>
      <c r="S196" s="20"/>
      <c r="T196" s="20"/>
      <c r="U196" s="20"/>
      <c r="V196" s="20"/>
      <c r="W196" s="20"/>
      <c r="X196" s="20"/>
    </row>
    <row r="197">
      <c r="A197" s="27" t="str">
        <f>IFERROR(__xludf.DUMMYFUNCTION("""COMPUTED_VALUE"""),"https://techcombank.com/thong-tin/blog/vay-von-doanh-nghiep-khong-the-chap")</f>
        <v>https://techcombank.com/thong-tin/blog/vay-von-doanh-nghiep-khong-the-chap</v>
      </c>
      <c r="B197" s="28">
        <f>IFERROR(__xludf.DUMMYFUNCTION("""COMPUTED_VALUE"""),7.0)</f>
        <v>7</v>
      </c>
      <c r="C197" s="20" t="str">
        <f>IFERROR(__xludf.DUMMYFUNCTION("IF(A197="""","""",TEXTJOIN(CHAR(10),TRUE,FILTER('Tổng hợp 75 trang đích'!$B$2:$B$3400,'Tổng hợp 75 trang đích'!$I$2:$I$3400=A197)))"),"https://techcombank.com/thong-tin/blog/cic-la-gi
https://techcombank.com/thong-tin/blog/lai-suat-vay-the-chap-so-do
https://techcombank.com/thong-tin/blog/ho-so-thu-tuc-xoa-the-chap
https://techcombank.com/cong-cu-tien-ich/cong-cu-tinh-toan/bang-tinh-lai-"&amp;"suat-vay
https://techcombank.com/thong-tin/blog/app-vay-tien-nhanh
https://techcombank.com/thong-tin/blog/lai-suat-vay-ngan-hang
https://techcombank.com/thong-tin/blog/nen-vay-tin-chap-o-dau")</f>
        <v>https://techcombank.com/thong-tin/blog/cic-la-gi
https://techcombank.com/thong-tin/blog/lai-suat-vay-the-chap-so-do
https://techcombank.com/thong-tin/blog/ho-so-thu-tuc-xoa-the-chap
https://techcombank.com/cong-cu-tien-ich/cong-cu-tinh-toan/bang-tinh-lai-suat-vay
https://techcombank.com/thong-tin/blog/app-vay-tien-nhanh
https://techcombank.com/thong-tin/blog/lai-suat-vay-ngan-hang
https://techcombank.com/thong-tin/blog/nen-vay-tin-chap-o-dau</v>
      </c>
      <c r="D197" s="20"/>
      <c r="E197" s="20"/>
      <c r="F197" s="20"/>
      <c r="G197" s="20"/>
      <c r="H197" s="20"/>
      <c r="I197" s="20"/>
      <c r="J197" s="20"/>
      <c r="K197" s="20"/>
      <c r="L197" s="20"/>
      <c r="M197" s="20"/>
      <c r="N197" s="20"/>
      <c r="O197" s="20"/>
      <c r="P197" s="20"/>
      <c r="Q197" s="20"/>
      <c r="R197" s="20"/>
      <c r="S197" s="20"/>
      <c r="T197" s="20"/>
      <c r="U197" s="20"/>
      <c r="V197" s="20"/>
      <c r="W197" s="20"/>
      <c r="X197" s="20"/>
    </row>
    <row r="198">
      <c r="A198" s="27" t="str">
        <f>IFERROR(__xludf.DUMMYFUNCTION("""COMPUTED_VALUE"""),"https://techcombank.com/thong-tin/blog/1-cmnd-dang-ky-duoc-may-tai-khoan-ngan-hang")</f>
        <v>https://techcombank.com/thong-tin/blog/1-cmnd-dang-ky-duoc-may-tai-khoan-ngan-hang</v>
      </c>
      <c r="B198" s="28">
        <f>IFERROR(__xludf.DUMMYFUNCTION("""COMPUTED_VALUE"""),6.0)</f>
        <v>6</v>
      </c>
      <c r="C198" s="20" t="str">
        <f>IFERROR(__xludf.DUMMYFUNCTION("IF(A198="""","""",TEXTJOIN(CHAR(10),TRUE,FILTER('Tổng hợp 75 trang đích'!$B$2:$B$3400,'Tổng hợp 75 trang đích'!$I$2:$I$3400=A198)))"),"https://techcombank.com/thong-tin/blog/cach-kiem-tra-tai-khoan-ngan-hang
https://techcombank.com/thong-tin/blog/cach-mo-tai-khoan
https://techcombank.com/thong-tin/blog/nap-tien-vao-tai-khoan-ngan-hang
https://techcombank.com/thong-tin/blog/cach-quet-nfc-"&amp;"cccd-tren-iphone
https://techcombank.com/thong-tin/blog/lai-suat-tiet-kiem
https://techcombank.com/thong-tin/blog/cach-tiet-kiem-tien")</f>
        <v>https://techcombank.com/thong-tin/blog/cach-kiem-tra-tai-khoan-ngan-hang
https://techcombank.com/thong-tin/blog/cach-mo-tai-khoan
https://techcombank.com/thong-tin/blog/nap-tien-vao-tai-khoan-ngan-hang
https://techcombank.com/thong-tin/blog/cach-quet-nfc-cccd-tren-iphone
https://techcombank.com/thong-tin/blog/lai-suat-tiet-kiem
https://techcombank.com/thong-tin/blog/cach-tiet-kiem-tien</v>
      </c>
      <c r="D198" s="20"/>
      <c r="E198" s="20"/>
      <c r="F198" s="20"/>
      <c r="G198" s="20"/>
      <c r="H198" s="20"/>
      <c r="I198" s="20"/>
      <c r="J198" s="20"/>
      <c r="K198" s="20"/>
      <c r="L198" s="20"/>
      <c r="M198" s="20"/>
      <c r="N198" s="20"/>
      <c r="O198" s="20"/>
      <c r="P198" s="20"/>
      <c r="Q198" s="20"/>
      <c r="R198" s="20"/>
      <c r="S198" s="20"/>
      <c r="T198" s="20"/>
      <c r="U198" s="20"/>
      <c r="V198" s="20"/>
      <c r="W198" s="20"/>
      <c r="X198" s="20"/>
    </row>
    <row r="199">
      <c r="A199" s="27" t="str">
        <f>IFERROR(__xludf.DUMMYFUNCTION("""COMPUTED_VALUE"""),"https://techcombank.com/thong-tin/blog/1-man-bang-bao-nhieu-tien-viet")</f>
        <v>https://techcombank.com/thong-tin/blog/1-man-bang-bao-nhieu-tien-viet</v>
      </c>
      <c r="B199" s="28">
        <f>IFERROR(__xludf.DUMMYFUNCTION("""COMPUTED_VALUE"""),6.0)</f>
        <v>6</v>
      </c>
      <c r="C199" s="20" t="str">
        <f>IFERROR(__xludf.DUMMYFUNCTION("IF(A199="""","""",TEXTJOIN(CHAR(10),TRUE,FILTER('Tổng hợp 75 trang đích'!$B$2:$B$3400,'Tổng hợp 75 trang đích'!$I$2:$I$3400=A199)))"),"https://techcombank.com/thong-tin/blog/1-te-bang-bao-nhieu-tien-viet-nam
https://techcombank.com/thong-tin/blog/tien-nhat
https://techcombank.com/thong-tin/blog/1-yen-bang-bao-nhieu-tien-viet-nam
https://techcombank.com/thong-tin/blog/1-won-bang-bao-nhieu"&amp;"-tien-viet
https://techcombank.com/thong-tin/blog/1-trieu-do-bang-bao-nhieu-tien-viet
https://techcombank.com/thong-tin/blog/cach-nhan-tien-tu-nuoc-ngoai-ve-viet-nam")</f>
        <v>https://techcombank.com/thong-tin/blog/1-te-bang-bao-nhieu-tien-viet-nam
https://techcombank.com/thong-tin/blog/tien-nhat
https://techcombank.com/thong-tin/blog/1-yen-bang-bao-nhieu-tien-viet-nam
https://techcombank.com/thong-tin/blog/1-won-bang-bao-nhieu-tien-viet
https://techcombank.com/thong-tin/blog/1-trieu-do-bang-bao-nhieu-tien-viet
https://techcombank.com/thong-tin/blog/cach-nhan-tien-tu-nuoc-ngoai-ve-viet-nam</v>
      </c>
      <c r="D199" s="20"/>
      <c r="E199" s="20"/>
      <c r="F199" s="20"/>
      <c r="G199" s="20"/>
      <c r="H199" s="20"/>
      <c r="I199" s="20"/>
      <c r="J199" s="20"/>
      <c r="K199" s="20"/>
      <c r="L199" s="20"/>
      <c r="M199" s="20"/>
      <c r="N199" s="20"/>
      <c r="O199" s="20"/>
      <c r="P199" s="20"/>
      <c r="Q199" s="20"/>
      <c r="R199" s="20"/>
      <c r="S199" s="20"/>
      <c r="T199" s="20"/>
      <c r="U199" s="20"/>
      <c r="V199" s="20"/>
      <c r="W199" s="20"/>
      <c r="X199" s="20"/>
    </row>
    <row r="200">
      <c r="A200" s="27" t="str">
        <f>IFERROR(__xludf.DUMMYFUNCTION("""COMPUTED_VALUE"""),"https://techcombank.com/thong-tin/blog/cach-kiem-tra-tai-khoan-ngan-hang-cua-cong-ty")</f>
        <v>https://techcombank.com/thong-tin/blog/cach-kiem-tra-tai-khoan-ngan-hang-cua-cong-ty</v>
      </c>
      <c r="B200" s="28">
        <f>IFERROR(__xludf.DUMMYFUNCTION("""COMPUTED_VALUE"""),6.0)</f>
        <v>6</v>
      </c>
      <c r="C200" s="20" t="str">
        <f>IFERROR(__xludf.DUMMYFUNCTION("IF(A200="""","""",TEXTJOIN(CHAR(10),TRUE,FILTER('Tổng hợp 75 trang đích'!$B$2:$B$3400,'Tổng hợp 75 trang đích'!$I$2:$I$3400=A200)))"),"https://techcombank.com/thong-tin/blog/nop-thue-dat-qua-ngan-hang
https://techcombank.com/thong-tin/blog/tra-cuu-no-thue-doanh-nghiep
https://techcombank.com/thong-tin/blog/cong-ty-su-dung-tai-khoan-ca-nhan
https://techcombank.com/thong-tin/blog/cach-kiem"&amp;"-tra-tai-khoan-ngan-hang
https://techcombank.com/thong-tin/blog/cach-mo-tai-khoan
https://techcombank.com/thong-tin/blog/ten-dang-nhap-tai-khoan-ngan-hang-la-gi")</f>
        <v>https://techcombank.com/thong-tin/blog/nop-thue-dat-qua-ngan-hang
https://techcombank.com/thong-tin/blog/tra-cuu-no-thue-doanh-nghiep
https://techcombank.com/thong-tin/blog/cong-ty-su-dung-tai-khoan-ca-nhan
https://techcombank.com/thong-tin/blog/cach-kiem-tra-tai-khoan-ngan-hang
https://techcombank.com/thong-tin/blog/cach-mo-tai-khoan
https://techcombank.com/thong-tin/blog/ten-dang-nhap-tai-khoan-ngan-hang-la-gi</v>
      </c>
      <c r="D200" s="20"/>
      <c r="E200" s="20"/>
      <c r="F200" s="20"/>
      <c r="G200" s="20"/>
      <c r="H200" s="20"/>
      <c r="I200" s="20"/>
      <c r="J200" s="20"/>
      <c r="K200" s="20"/>
      <c r="L200" s="20"/>
      <c r="M200" s="20"/>
      <c r="N200" s="20"/>
      <c r="O200" s="20"/>
      <c r="P200" s="20"/>
      <c r="Q200" s="20"/>
      <c r="R200" s="20"/>
      <c r="S200" s="20"/>
      <c r="T200" s="20"/>
      <c r="U200" s="20"/>
      <c r="V200" s="20"/>
      <c r="W200" s="20"/>
      <c r="X200" s="20"/>
    </row>
    <row r="201">
      <c r="A201" s="27" t="str">
        <f>IFERROR(__xludf.DUMMYFUNCTION("""COMPUTED_VALUE"""),"https://techcombank.com/thong-tin/blog/cach-tiet-kiem-tien-cua-nguoi-nhat")</f>
        <v>https://techcombank.com/thong-tin/blog/cach-tiet-kiem-tien-cua-nguoi-nhat</v>
      </c>
      <c r="B201" s="28">
        <f>IFERROR(__xludf.DUMMYFUNCTION("""COMPUTED_VALUE"""),6.0)</f>
        <v>6</v>
      </c>
      <c r="C201" s="20" t="str">
        <f>IFERROR(__xludf.DUMMYFUNCTION("IF(A201="""","""",TEXTJOIN(CHAR(10),TRUE,FILTER('Tổng hợp 75 trang đích'!$B$2:$B$3400,'Tổng hợp 75 trang đích'!$I$2:$I$3400=A201)))"),"https://techcombank.com/thong-tin/blog/cach-tinh-tien-dien-sinh-hoat
https://techcombank.com/thong-tin/blog/rut-tien-mat-tu-the-tin-dung
https://techcombank.com/thong-tin/blog/tien-nhat
https://techcombank.com/thong-tin/blog/lai-suat-tiet-kiem
https://tec"&amp;"hcombank.com/thong-tin/blog/cach-tinh-lai-suat-tien-gui-tiet-kiem
https://techcombank.com/thong-tin/blog/cach-tiet-kiem-tien")</f>
        <v>https://techcombank.com/thong-tin/blog/cach-tinh-tien-dien-sinh-hoat
https://techcombank.com/thong-tin/blog/rut-tien-mat-tu-the-tin-dung
https://techcombank.com/thong-tin/blog/tien-nhat
https://techcombank.com/thong-tin/blog/lai-suat-tiet-kiem
https://techcombank.com/thong-tin/blog/cach-tinh-lai-suat-tien-gui-tiet-kiem
https://techcombank.com/thong-tin/blog/cach-tiet-kiem-tien</v>
      </c>
      <c r="D201" s="20"/>
      <c r="E201" s="20"/>
      <c r="F201" s="20"/>
      <c r="G201" s="20"/>
      <c r="H201" s="20"/>
      <c r="I201" s="20"/>
      <c r="J201" s="20"/>
      <c r="K201" s="20"/>
      <c r="L201" s="20"/>
      <c r="M201" s="20"/>
      <c r="N201" s="20"/>
      <c r="O201" s="20"/>
      <c r="P201" s="20"/>
      <c r="Q201" s="20"/>
      <c r="R201" s="20"/>
      <c r="S201" s="20"/>
      <c r="T201" s="20"/>
      <c r="U201" s="20"/>
      <c r="V201" s="20"/>
      <c r="W201" s="20"/>
      <c r="X201" s="20"/>
    </row>
    <row r="202">
      <c r="A202" s="27" t="str">
        <f>IFERROR(__xludf.DUMMYFUNCTION("""COMPUTED_VALUE"""),"https://techcombank.com/thong-tin/blog/cach-tiet-kiem-tien-hieu-qua-cho-gia-dinh")</f>
        <v>https://techcombank.com/thong-tin/blog/cach-tiet-kiem-tien-hieu-qua-cho-gia-dinh</v>
      </c>
      <c r="B202" s="28">
        <f>IFERROR(__xludf.DUMMYFUNCTION("""COMPUTED_VALUE"""),6.0)</f>
        <v>6</v>
      </c>
      <c r="C202" s="20" t="str">
        <f>IFERROR(__xludf.DUMMYFUNCTION("IF(A202="""","""",TEXTJOIN(CHAR(10),TRUE,FILTER('Tổng hợp 75 trang đích'!$B$2:$B$3400,'Tổng hợp 75 trang đích'!$I$2:$I$3400=A202)))"),"https://techcombank.com/thong-tin/blog/cach-sao-ke-tai-khoan-ngan-hang
https://techcombank.com/thong-tin/blog/eco-card
https://techcombank.com/thong-tin/blog/tien-thai-lan
https://techcombank.com/thong-tin/blog/lai-suat-tiet-kiem
https://techcombank.com/t"&amp;"hong-tin/blog/cach-tiet-kiem-tien
https://techcombank.com/cong-cu-tien-ich/cong-cu-tinh-toan/bang-tinh-lai-suat-tiet-kiem")</f>
        <v>https://techcombank.com/thong-tin/blog/cach-sao-ke-tai-khoan-ngan-hang
https://techcombank.com/thong-tin/blog/eco-card
https://techcombank.com/thong-tin/blog/tien-thai-lan
https://techcombank.com/thong-tin/blog/lai-suat-tiet-kiem
https://techcombank.com/thong-tin/blog/cach-tiet-kiem-tien
https://techcombank.com/cong-cu-tien-ich/cong-cu-tinh-toan/bang-tinh-lai-suat-tiet-kiem</v>
      </c>
      <c r="D202" s="20"/>
      <c r="E202" s="20"/>
      <c r="F202" s="20"/>
      <c r="G202" s="20"/>
      <c r="H202" s="20"/>
      <c r="I202" s="20"/>
      <c r="J202" s="20"/>
      <c r="K202" s="20"/>
      <c r="L202" s="20"/>
      <c r="M202" s="20"/>
      <c r="N202" s="20"/>
      <c r="O202" s="20"/>
      <c r="P202" s="20"/>
      <c r="Q202" s="20"/>
      <c r="R202" s="20"/>
      <c r="S202" s="20"/>
      <c r="T202" s="20"/>
      <c r="U202" s="20"/>
      <c r="V202" s="20"/>
      <c r="W202" s="20"/>
      <c r="X202" s="20"/>
    </row>
    <row r="203">
      <c r="A203" s="27" t="str">
        <f>IFERROR(__xludf.DUMMYFUNCTION("""COMPUTED_VALUE"""),"https://techcombank.com/thong-tin/blog/cach-tinh-lai-vay-ngan-hang")</f>
        <v>https://techcombank.com/thong-tin/blog/cach-tinh-lai-vay-ngan-hang</v>
      </c>
      <c r="B203" s="28">
        <f>IFERROR(__xludf.DUMMYFUNCTION("""COMPUTED_VALUE"""),6.0)</f>
        <v>6</v>
      </c>
      <c r="C203" s="20" t="str">
        <f>IFERROR(__xludf.DUMMYFUNCTION("IF(A203="""","""",TEXTJOIN(CHAR(10),TRUE,FILTER('Tổng hợp 75 trang đích'!$B$2:$B$3400,'Tổng hợp 75 trang đích'!$I$2:$I$3400=A203)))"),"https://techcombank.com/thong-tin/blog/lai-suat-vay-mua-o-to
https://techcombank.com/thong-tin/blog/lai-suat-tiet-kiem
https://techcombank.com/thong-tin/blog/cach-tinh-lai-suat-tien-gui-tiet-kiem
https://techcombank.com/cong-cu-tien-ich/cong-cu-tinh-toan/"&amp;"bang-tinh-lai-suat-tiet-kiem
https://techcombank.com/thong-tin/blog/app-vay-tien-nhanh
https://techcombank.com/thong-tin/blog/lai-suat-vay-ngan-hang")</f>
        <v>https://techcombank.com/thong-tin/blog/lai-suat-vay-mua-o-to
https://techcombank.com/thong-tin/blog/lai-suat-tiet-kiem
https://techcombank.com/thong-tin/blog/cach-tinh-lai-suat-tien-gui-tiet-kiem
https://techcombank.com/cong-cu-tien-ich/cong-cu-tinh-toan/bang-tinh-lai-suat-tiet-kiem
https://techcombank.com/thong-tin/blog/app-vay-tien-nhanh
https://techcombank.com/thong-tin/blog/lai-suat-vay-ngan-hang</v>
      </c>
      <c r="D203" s="20"/>
      <c r="E203" s="20"/>
      <c r="F203" s="20"/>
      <c r="G203" s="20"/>
      <c r="H203" s="20"/>
      <c r="I203" s="20"/>
      <c r="J203" s="20"/>
      <c r="K203" s="20"/>
      <c r="L203" s="20"/>
      <c r="M203" s="20"/>
      <c r="N203" s="20"/>
      <c r="O203" s="20"/>
      <c r="P203" s="20"/>
      <c r="Q203" s="20"/>
      <c r="R203" s="20"/>
      <c r="S203" s="20"/>
      <c r="T203" s="20"/>
      <c r="U203" s="20"/>
      <c r="V203" s="20"/>
      <c r="W203" s="20"/>
      <c r="X203" s="20"/>
    </row>
    <row r="204">
      <c r="A204" s="27" t="str">
        <f>IFERROR(__xludf.DUMMYFUNCTION("""COMPUTED_VALUE"""),"https://techcombank.com/thong-tin/blog/cach-tra-cuu-hoa-don-dien-tu")</f>
        <v>https://techcombank.com/thong-tin/blog/cach-tra-cuu-hoa-don-dien-tu</v>
      </c>
      <c r="B204" s="28">
        <f>IFERROR(__xludf.DUMMYFUNCTION("""COMPUTED_VALUE"""),6.0)</f>
        <v>6</v>
      </c>
      <c r="C204" s="20" t="str">
        <f>IFERROR(__xludf.DUMMYFUNCTION("IF(A204="""","""",TEXTJOIN(CHAR(10),TRUE,FILTER('Tổng hợp 75 trang đích'!$B$2:$B$3400,'Tổng hợp 75 trang đích'!$I$2:$I$3400=A204)))"),"https://techcombank.com/thong-tin/blog/nop-thue-dat-qua-ngan-hang
https://techcombank.com/thong-tin/blog/tra-cuu-no-thue-doanh-nghiep
https://techcombank.com/thong-tin/blog/cach-tinh-thue-thu-nhap-doanh-nghiep
https://techcombank.com/thong-tin/blog/kiem-t"&amp;"ra-thue-thu-nhap-ca-nhan
https://techcombank.com/thong-tin/blog/cic-la-gi
https://techcombank.com/thong-tin/blog/ho-kinh-doanh-dong-thue-nhu-nao")</f>
        <v>https://techcombank.com/thong-tin/blog/nop-thue-dat-qua-ngan-hang
https://techcombank.com/thong-tin/blog/tra-cuu-no-thue-doanh-nghiep
https://techcombank.com/thong-tin/blog/cach-tinh-thue-thu-nhap-doanh-nghiep
https://techcombank.com/thong-tin/blog/kiem-tra-thue-thu-nhap-ca-nhan
https://techcombank.com/thong-tin/blog/cic-la-gi
https://techcombank.com/thong-tin/blog/ho-kinh-doanh-dong-thue-nhu-nao</v>
      </c>
      <c r="D204" s="20"/>
      <c r="E204" s="20"/>
      <c r="F204" s="20"/>
      <c r="G204" s="20"/>
      <c r="H204" s="20"/>
      <c r="I204" s="20"/>
      <c r="J204" s="20"/>
      <c r="K204" s="20"/>
      <c r="L204" s="20"/>
      <c r="M204" s="20"/>
      <c r="N204" s="20"/>
      <c r="O204" s="20"/>
      <c r="P204" s="20"/>
      <c r="Q204" s="20"/>
      <c r="R204" s="20"/>
      <c r="S204" s="20"/>
      <c r="T204" s="20"/>
      <c r="U204" s="20"/>
      <c r="V204" s="20"/>
      <c r="W204" s="20"/>
      <c r="X204" s="20"/>
    </row>
    <row r="205">
      <c r="A205" s="27" t="str">
        <f>IFERROR(__xludf.DUMMYFUNCTION("""COMPUTED_VALUE"""),"https://techcombank.com/thong-tin/blog/cho-vay-tieu-dung-la-gi")</f>
        <v>https://techcombank.com/thong-tin/blog/cho-vay-tieu-dung-la-gi</v>
      </c>
      <c r="B205" s="28">
        <f>IFERROR(__xludf.DUMMYFUNCTION("""COMPUTED_VALUE"""),6.0)</f>
        <v>6</v>
      </c>
      <c r="C205" s="20" t="str">
        <f>IFERROR(__xludf.DUMMYFUNCTION("IF(A205="""","""",TEXTJOIN(CHAR(10),TRUE,FILTER('Tổng hợp 75 trang đích'!$B$2:$B$3400,'Tổng hợp 75 trang đích'!$I$2:$I$3400=A205)))"),"https://techcombank.com/thong-tin/blog/cach-sao-ke-tai-khoan-ngan-hang
https://techcombank.com/thong-tin/blog/lai-suat-tiet-kiem
https://techcombank.com/thong-tin/blog/cach-tinh-lai-suat-tien-gui-tiet-kiem
https://techcombank.com/cong-cu-tien-ich/cong-cu-"&amp;"tinh-toan/bang-tinh-lai-suat-vay
https://techcombank.com/thong-tin/blog/app-vay-tien-nhanh
https://techcombank.com/thong-tin/blog/lai-suat-vay-ngan-hang")</f>
        <v>https://techcombank.com/thong-tin/blog/cach-sao-ke-tai-khoan-ngan-hang
https://techcombank.com/thong-tin/blog/lai-suat-tiet-kiem
https://techcombank.com/thong-tin/blog/cach-tinh-lai-suat-tien-gui-tiet-kiem
https://techcombank.com/cong-cu-tien-ich/cong-cu-tinh-toan/bang-tinh-lai-suat-vay
https://techcombank.com/thong-tin/blog/app-vay-tien-nhanh
https://techcombank.com/thong-tin/blog/lai-suat-vay-ngan-hang</v>
      </c>
      <c r="D205" s="20"/>
      <c r="E205" s="20"/>
      <c r="F205" s="20"/>
      <c r="G205" s="20"/>
      <c r="H205" s="20"/>
      <c r="I205" s="20"/>
      <c r="J205" s="20"/>
      <c r="K205" s="20"/>
      <c r="L205" s="20"/>
      <c r="M205" s="20"/>
      <c r="N205" s="20"/>
      <c r="O205" s="20"/>
      <c r="P205" s="20"/>
      <c r="Q205" s="20"/>
      <c r="R205" s="20"/>
      <c r="S205" s="20"/>
      <c r="T205" s="20"/>
      <c r="U205" s="20"/>
      <c r="V205" s="20"/>
      <c r="W205" s="20"/>
      <c r="X205" s="20"/>
    </row>
    <row r="206">
      <c r="A206" s="27" t="str">
        <f>IFERROR(__xludf.DUMMYFUNCTION("""COMPUTED_VALUE"""),"https://techcombank.com/thong-tin/blog/co-nen-gui-tiet-kiem-ngan-hang")</f>
        <v>https://techcombank.com/thong-tin/blog/co-nen-gui-tiet-kiem-ngan-hang</v>
      </c>
      <c r="B206" s="28">
        <f>IFERROR(__xludf.DUMMYFUNCTION("""COMPUTED_VALUE"""),6.0)</f>
        <v>6</v>
      </c>
      <c r="C206" s="20" t="str">
        <f>IFERROR(__xludf.DUMMYFUNCTION("IF(A206="""","""",TEXTJOIN(CHAR(10),TRUE,FILTER('Tổng hợp 75 trang đích'!$B$2:$B$3400,'Tổng hợp 75 trang đích'!$I$2:$I$3400=A206)))"),"https://techcombank.com/thong-tin/blog/cong-ty-su-dung-tai-khoan-ca-nhan
https://techcombank.com/thong-tin/blog/ngan-hang-uy-tin
https://techcombank.com/thong-tin/blog/chung-chi-tien-gui-la-gi
https://techcombank.com/thong-tin/blog/cach-tinh-lai-suat-tien"&amp;"-gui-tiet-kiem
https://techcombank.com/thong-tin/blog/so-tiet-kiem-ngan-hang
https://techcombank.com/cong-cu-tien-ich/cong-cu-tinh-toan/bang-tinh-lai-suat-tiet-kiem")</f>
        <v>https://techcombank.com/thong-tin/blog/cong-ty-su-dung-tai-khoan-ca-nhan
https://techcombank.com/thong-tin/blog/ngan-hang-uy-tin
https://techcombank.com/thong-tin/blog/chung-chi-tien-gui-la-gi
https://techcombank.com/thong-tin/blog/cach-tinh-lai-suat-tien-gui-tiet-kiem
https://techcombank.com/thong-tin/blog/so-tiet-kiem-ngan-hang
https://techcombank.com/cong-cu-tien-ich/cong-cu-tinh-toan/bang-tinh-lai-suat-tiet-kiem</v>
      </c>
      <c r="D206" s="20"/>
      <c r="E206" s="20"/>
      <c r="F206" s="20"/>
      <c r="G206" s="20"/>
      <c r="H206" s="20"/>
      <c r="I206" s="20"/>
      <c r="J206" s="20"/>
      <c r="K206" s="20"/>
      <c r="L206" s="20"/>
      <c r="M206" s="20"/>
      <c r="N206" s="20"/>
      <c r="O206" s="20"/>
      <c r="P206" s="20"/>
      <c r="Q206" s="20"/>
      <c r="R206" s="20"/>
      <c r="S206" s="20"/>
      <c r="T206" s="20"/>
      <c r="U206" s="20"/>
      <c r="V206" s="20"/>
      <c r="W206" s="20"/>
      <c r="X206" s="20"/>
    </row>
    <row r="207">
      <c r="A207" s="27" t="str">
        <f>IFERROR(__xludf.DUMMYFUNCTION("""COMPUTED_VALUE"""),"https://techcombank.com/thong-tin/blog/co-nen-vay-ngan-hang-mua-nha")</f>
        <v>https://techcombank.com/thong-tin/blog/co-nen-vay-ngan-hang-mua-nha</v>
      </c>
      <c r="B207" s="28">
        <f>IFERROR(__xludf.DUMMYFUNCTION("""COMPUTED_VALUE"""),6.0)</f>
        <v>6</v>
      </c>
      <c r="C207" s="20" t="str">
        <f>IFERROR(__xludf.DUMMYFUNCTION("IF(A207="""","""",TEXTJOIN(CHAR(10),TRUE,FILTER('Tổng hợp 75 trang đích'!$B$2:$B$3400,'Tổng hợp 75 trang đích'!$I$2:$I$3400=A207)))"),"https://techcombank.com/thong-tin/blog/vay-ngan-hang-1-ty-moi-thang-tra-bao-nhieu
https://techcombank.com/thong-tin/blog/lai-suat-tiet-kiem
https://techcombank.com/cong-cu-tien-ich/cong-cu-tinh-toan/bang-tinh-lai-suat-vay
https://techcombank.com/cong-cu-t"&amp;"ien-ich/cong-cu-tinh-toan/bang-tinh-lai-suat-tiet-kiem
https://techcombank.com/thong-tin/blog/app-vay-tien-nhanh
https://techcombank.com/thong-tin/blog/lai-suat-vay-ngan-hang")</f>
        <v>https://techcombank.com/thong-tin/blog/vay-ngan-hang-1-ty-moi-thang-tra-bao-nhieu
https://techcombank.com/thong-tin/blog/lai-suat-tiet-kiem
https://techcombank.com/cong-cu-tien-ich/cong-cu-tinh-toan/bang-tinh-lai-suat-vay
https://techcombank.com/cong-cu-tien-ich/cong-cu-tinh-toan/bang-tinh-lai-suat-tiet-kiem
https://techcombank.com/thong-tin/blog/app-vay-tien-nhanh
https://techcombank.com/thong-tin/blog/lai-suat-vay-ngan-hang</v>
      </c>
      <c r="D207" s="20"/>
      <c r="E207" s="20"/>
      <c r="F207" s="20"/>
      <c r="G207" s="20"/>
      <c r="H207" s="20"/>
      <c r="I207" s="20"/>
      <c r="J207" s="20"/>
      <c r="K207" s="20"/>
      <c r="L207" s="20"/>
      <c r="M207" s="20"/>
      <c r="N207" s="20"/>
      <c r="O207" s="20"/>
      <c r="P207" s="20"/>
      <c r="Q207" s="20"/>
      <c r="R207" s="20"/>
      <c r="S207" s="20"/>
      <c r="T207" s="20"/>
      <c r="U207" s="20"/>
      <c r="V207" s="20"/>
      <c r="W207" s="20"/>
      <c r="X207" s="20"/>
    </row>
    <row r="208">
      <c r="A208" s="27" t="str">
        <f>IFERROR(__xludf.DUMMYFUNCTION("""COMPUTED_VALUE"""),"https://techcombank.com/thong-tin/blog/cong-thuc-tinh-lai-suat-thuc")</f>
        <v>https://techcombank.com/thong-tin/blog/cong-thuc-tinh-lai-suat-thuc</v>
      </c>
      <c r="B208" s="28">
        <f>IFERROR(__xludf.DUMMYFUNCTION("""COMPUTED_VALUE"""),6.0)</f>
        <v>6</v>
      </c>
      <c r="C208" s="20" t="str">
        <f>IFERROR(__xludf.DUMMYFUNCTION("IF(A208="""","""",TEXTJOIN(CHAR(10),TRUE,FILTER('Tổng hợp 75 trang đích'!$B$2:$B$3400,'Tổng hợp 75 trang đích'!$I$2:$I$3400=A208)))"),"https://techcombank.com/thong-tin/blog/cach-tinh-lai-vay-ngan-hang
https://techcombank.com/thong-tin/blog/lai-suat-tiet-kiem
https://techcombank.com/thong-tin/blog/cach-tinh-lai-suat-tien-gui-tiet-kiem
https://techcombank.com/cong-cu-tien-ich/cong-cu-tinh"&amp;"-toan/bang-tinh-lai-suat-vay
https://techcombank.com/cong-cu-tien-ich/cong-cu-tinh-toan/bang-tinh-lai-suat-tiet-kiem
https://techcombank.com/thong-tin/blog/app-vay-tien-nhanh")</f>
        <v>https://techcombank.com/thong-tin/blog/cach-tinh-lai-vay-ngan-hang
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v>
      </c>
      <c r="D208" s="20"/>
      <c r="E208" s="20"/>
      <c r="F208" s="20"/>
      <c r="G208" s="20"/>
      <c r="H208" s="20"/>
      <c r="I208" s="20"/>
      <c r="J208" s="20"/>
      <c r="K208" s="20"/>
      <c r="L208" s="20"/>
      <c r="M208" s="20"/>
      <c r="N208" s="20"/>
      <c r="O208" s="20"/>
      <c r="P208" s="20"/>
      <c r="Q208" s="20"/>
      <c r="R208" s="20"/>
      <c r="S208" s="20"/>
      <c r="T208" s="20"/>
      <c r="U208" s="20"/>
      <c r="V208" s="20"/>
      <c r="W208" s="20"/>
      <c r="X208" s="20"/>
    </row>
    <row r="209">
      <c r="A209" s="27" t="str">
        <f>IFERROR(__xludf.DUMMYFUNCTION("""COMPUTED_VALUE"""),"https://techcombank.com/thong-tin/blog/dang-ky-kinh-doanh-la-gi")</f>
        <v>https://techcombank.com/thong-tin/blog/dang-ky-kinh-doanh-la-gi</v>
      </c>
      <c r="B209" s="28">
        <f>IFERROR(__xludf.DUMMYFUNCTION("""COMPUTED_VALUE"""),6.0)</f>
        <v>6</v>
      </c>
      <c r="C209" s="20" t="str">
        <f>IFERROR(__xludf.DUMMYFUNCTION("IF(A209="""","""",TEXTJOIN(CHAR(10),TRUE,FILTER('Tổng hợp 75 trang đích'!$B$2:$B$3400,'Tổng hợp 75 trang đích'!$I$2:$I$3400=A209)))"),"https://techcombank.com/thong-tin/blog/nop-thue-dat-qua-ngan-hang
https://techcombank.com/thong-tin/blog/ho-kinh-doanh-dong-thue-nhu-nao
https://techcombank.com/thong-tin/blog/mo-hinh-kinh-doanh-la-gi
https://techcombank.com/thong-tin/blog/mo-tai-khoan-ho"&amp;"-kinh-doanh
https://techcombank.com/thong-tin/blog/cach-tinh-thue-ho-kinh-doanh-nho-le
https://techcombank.com/thong-tin/blog/app-vay-tien-nhanh")</f>
        <v>https://techcombank.com/thong-tin/blog/nop-thue-dat-qua-ngan-hang
https://techcombank.com/thong-tin/blog/ho-kinh-doanh-dong-thue-nhu-nao
https://techcombank.com/thong-tin/blog/mo-hinh-kinh-doanh-la-gi
https://techcombank.com/thong-tin/blog/mo-tai-khoan-ho-kinh-doanh
https://techcombank.com/thong-tin/blog/cach-tinh-thue-ho-kinh-doanh-nho-le
https://techcombank.com/thong-tin/blog/app-vay-tien-nhanh</v>
      </c>
      <c r="D209" s="20"/>
      <c r="E209" s="20"/>
      <c r="F209" s="20"/>
      <c r="G209" s="20"/>
      <c r="H209" s="20"/>
      <c r="I209" s="20"/>
      <c r="J209" s="20"/>
      <c r="K209" s="20"/>
      <c r="L209" s="20"/>
      <c r="M209" s="20"/>
      <c r="N209" s="20"/>
      <c r="O209" s="20"/>
      <c r="P209" s="20"/>
      <c r="Q209" s="20"/>
      <c r="R209" s="20"/>
      <c r="S209" s="20"/>
      <c r="T209" s="20"/>
      <c r="U209" s="20"/>
      <c r="V209" s="20"/>
      <c r="W209" s="20"/>
      <c r="X209" s="20"/>
    </row>
    <row r="210">
      <c r="A210" s="27" t="str">
        <f>IFERROR(__xludf.DUMMYFUNCTION("""COMPUTED_VALUE"""),"https://techcombank.com/thong-tin/blog/doanh-nghiep-moi-thanh-lap-duoc-uu-dai-gi")</f>
        <v>https://techcombank.com/thong-tin/blog/doanh-nghiep-moi-thanh-lap-duoc-uu-dai-gi</v>
      </c>
      <c r="B210" s="28">
        <f>IFERROR(__xludf.DUMMYFUNCTION("""COMPUTED_VALUE"""),6.0)</f>
        <v>6</v>
      </c>
      <c r="C210" s="20" t="str">
        <f>IFERROR(__xludf.DUMMYFUNCTION("IF(A210="""","""",TEXTJOIN(CHAR(10),TRUE,FILTER('Tổng hợp 75 trang đích'!$B$2:$B$3400,'Tổng hợp 75 trang đích'!$I$2:$I$3400=A210)))"),"https://techcombank.com/thong-tin/blog/nop-thue-dat-qua-ngan-hang
https://techcombank.com/thong-tin/blog/cach-nop-thue-dien-tu
https://techcombank.com/thong-tin/blog/thue-thu-nhap-doanh-nghiep
https://techcombank.com/thong-tin/blog/thue-doanh-nghiep
https"&amp;"://techcombank.com/thong-tin/blog/cach-tinh-thue-thu-nhap-doanh-nghiep
https://techcombank.com/thong-tin/blog/app-vay-tien-nhanh")</f>
        <v>https://techcombank.com/thong-tin/blog/nop-thue-dat-qua-ngan-hang
https://techcombank.com/thong-tin/blog/cach-nop-thue-dien-tu
https://techcombank.com/thong-tin/blog/thue-thu-nhap-doanh-nghiep
https://techcombank.com/thong-tin/blog/thue-doanh-nghiep
https://techcombank.com/thong-tin/blog/cach-tinh-thue-thu-nhap-doanh-nghiep
https://techcombank.com/thong-tin/blog/app-vay-tien-nhanh</v>
      </c>
      <c r="D210" s="20"/>
      <c r="E210" s="20"/>
      <c r="F210" s="20"/>
      <c r="G210" s="20"/>
      <c r="H210" s="20"/>
      <c r="I210" s="20"/>
      <c r="J210" s="20"/>
      <c r="K210" s="20"/>
      <c r="L210" s="20"/>
      <c r="M210" s="20"/>
      <c r="N210" s="20"/>
      <c r="O210" s="20"/>
      <c r="P210" s="20"/>
      <c r="Q210" s="20"/>
      <c r="R210" s="20"/>
      <c r="S210" s="20"/>
      <c r="T210" s="20"/>
      <c r="U210" s="20"/>
      <c r="V210" s="20"/>
      <c r="W210" s="20"/>
      <c r="X210" s="20"/>
    </row>
    <row r="211">
      <c r="A211" s="27" t="str">
        <f>IFERROR(__xludf.DUMMYFUNCTION("""COMPUTED_VALUE"""),"https://techcombank.com/thong-tin/blog/ebitda-la-gi")</f>
        <v>https://techcombank.com/thong-tin/blog/ebitda-la-gi</v>
      </c>
      <c r="B211" s="28">
        <f>IFERROR(__xludf.DUMMYFUNCTION("""COMPUTED_VALUE"""),6.0)</f>
        <v>6</v>
      </c>
      <c r="C211" s="20" t="str">
        <f>IFERROR(__xludf.DUMMYFUNCTION("IF(A211="""","""",TEXTJOIN(CHAR(10),TRUE,FILTER('Tổng hợp 75 trang đích'!$B$2:$B$3400,'Tổng hợp 75 trang đích'!$I$2:$I$3400=A211)))"),"https://techcombank.com/thong-tin/blog/nop-thue-dat-qua-ngan-hang
https://techcombank.com/thong-tin/blog/thue-thu-nhap-doanh-nghiep
https://techcombank.com/thong-tin/blog/cach-tinh-thue-thu-nhap-doanh-nghiep
https://techcombank.com/thong-tin/blog/cach-tin"&amp;"h-tien-dien-sinh-hoat
https://techcombank.com/thong-tin/blog/tien-thai-lan
https://techcombank.com/thong-tin/blog/app-vay-tien-nhanh")</f>
        <v>https://techcombank.com/thong-tin/blog/nop-thue-dat-qua-ngan-hang
https://techcombank.com/thong-tin/blog/thue-thu-nhap-doanh-nghiep
https://techcombank.com/thong-tin/blog/cach-tinh-thue-thu-nhap-doanh-nghiep
https://techcombank.com/thong-tin/blog/cach-tinh-tien-dien-sinh-hoat
https://techcombank.com/thong-tin/blog/tien-thai-lan
https://techcombank.com/thong-tin/blog/app-vay-tien-nhanh</v>
      </c>
      <c r="D211" s="20"/>
      <c r="E211" s="20"/>
      <c r="F211" s="20"/>
      <c r="G211" s="20"/>
      <c r="H211" s="20"/>
      <c r="I211" s="20"/>
      <c r="J211" s="20"/>
      <c r="K211" s="20"/>
      <c r="L211" s="20"/>
      <c r="M211" s="20"/>
      <c r="N211" s="20"/>
      <c r="O211" s="20"/>
      <c r="P211" s="20"/>
      <c r="Q211" s="20"/>
      <c r="R211" s="20"/>
      <c r="S211" s="20"/>
      <c r="T211" s="20"/>
      <c r="U211" s="20"/>
      <c r="V211" s="20"/>
      <c r="W211" s="20"/>
      <c r="X211" s="20"/>
    </row>
    <row r="212">
      <c r="A212" s="27" t="str">
        <f>IFERROR(__xludf.DUMMYFUNCTION("""COMPUTED_VALUE"""),"https://techcombank.com/thong-tin/blog/gia-chung-chi-quy-la-gi")</f>
        <v>https://techcombank.com/thong-tin/blog/gia-chung-chi-quy-la-gi</v>
      </c>
      <c r="B212" s="28">
        <f>IFERROR(__xludf.DUMMYFUNCTION("""COMPUTED_VALUE"""),6.0)</f>
        <v>6</v>
      </c>
      <c r="C212" s="20" t="str">
        <f>IFERROR(__xludf.DUMMYFUNCTION("IF(A212="""","""",TEXTJOIN(CHAR(10),TRUE,FILTER('Tổng hợp 75 trang đích'!$B$2:$B$3400,'Tổng hợp 75 trang đích'!$I$2:$I$3400=A212)))"),"https://techcombank.com/thong-tin/blog/thue-thu-nhap-doanh-nghiep
https://techcombank.com/thong-tin/blog/cach-tinh-thue-thu-nhap-doanh-nghiep
https://techcombank.com/thong-tin/blog/cach-tinh-tien-dien-sinh-hoat
https://techcombank.com/thong-tin/blog/cach-"&amp;"tinh-thue-thu-nhap-ca-nhan-2025
https://techcombank.com/thong-tin/blog/thue-thu-nhap-ca-nhan
https://techcombank.com/thong-tin/blog/phuong-phap-dau-tu-chung-chi-quy")</f>
        <v>https://techcombank.com/thong-tin/blog/thue-thu-nhap-doanh-nghiep
https://techcombank.com/thong-tin/blog/cach-tinh-thue-thu-nhap-doanh-nghiep
https://techcombank.com/thong-tin/blog/cach-tinh-tien-dien-sinh-hoat
https://techcombank.com/thong-tin/blog/cach-tinh-thue-thu-nhap-ca-nhan-2025
https://techcombank.com/thong-tin/blog/thue-thu-nhap-ca-nhan
https://techcombank.com/thong-tin/blog/phuong-phap-dau-tu-chung-chi-quy</v>
      </c>
      <c r="D212" s="20"/>
      <c r="E212" s="20"/>
      <c r="F212" s="20"/>
      <c r="G212" s="20"/>
      <c r="H212" s="20"/>
      <c r="I212" s="20"/>
      <c r="J212" s="20"/>
      <c r="K212" s="20"/>
      <c r="L212" s="20"/>
      <c r="M212" s="20"/>
      <c r="N212" s="20"/>
      <c r="O212" s="20"/>
      <c r="P212" s="20"/>
      <c r="Q212" s="20"/>
      <c r="R212" s="20"/>
      <c r="S212" s="20"/>
      <c r="T212" s="20"/>
      <c r="U212" s="20"/>
      <c r="V212" s="20"/>
      <c r="W212" s="20"/>
      <c r="X212" s="20"/>
    </row>
    <row r="213">
      <c r="A213" s="27" t="str">
        <f>IFERROR(__xludf.DUMMYFUNCTION("""COMPUTED_VALUE"""),"https://techcombank.com/thong-tin/blog/giai-ngan-vay-the-chap")</f>
        <v>https://techcombank.com/thong-tin/blog/giai-ngan-vay-the-chap</v>
      </c>
      <c r="B213" s="28">
        <f>IFERROR(__xludf.DUMMYFUNCTION("""COMPUTED_VALUE"""),6.0)</f>
        <v>6</v>
      </c>
      <c r="C213" s="20" t="str">
        <f>IFERROR(__xludf.DUMMYFUNCTION("IF(A213="""","""",TEXTJOIN(CHAR(10),TRUE,FILTER('Tổng hợp 75 trang đích'!$B$2:$B$3400,'Tổng hợp 75 trang đích'!$I$2:$I$3400=A213)))"),"https://techcombank.com/thong-tin/blog/lai-suat-vay-the-chap-so-do
https://techcombank.com/thong-tin/blog/ho-so-thu-tuc-xoa-the-chap
https://techcombank.com/cong-cu-tien-ich/cong-cu-tinh-toan/bang-tinh-lai-suat-vay
https://techcombank.com/thong-tin/blog/a"&amp;"pp-vay-tien-nhanh
https://techcombank.com/thong-tin/blog/lai-suat-vay-ngan-hang
https://techcombank.com/thong-tin/blog/vay-thau-chi-la-gi")</f>
        <v>https://techcombank.com/thong-tin/blog/lai-suat-vay-the-chap-so-do
https://techcombank.com/thong-tin/blog/ho-so-thu-tuc-xoa-the-chap
https://techcombank.com/cong-cu-tien-ich/cong-cu-tinh-toan/bang-tinh-lai-suat-vay
https://techcombank.com/thong-tin/blog/app-vay-tien-nhanh
https://techcombank.com/thong-tin/blog/lai-suat-vay-ngan-hang
https://techcombank.com/thong-tin/blog/vay-thau-chi-la-gi</v>
      </c>
      <c r="D213" s="20"/>
      <c r="E213" s="20"/>
      <c r="F213" s="20"/>
      <c r="G213" s="20"/>
      <c r="H213" s="20"/>
      <c r="I213" s="20"/>
      <c r="J213" s="20"/>
      <c r="K213" s="20"/>
      <c r="L213" s="20"/>
      <c r="M213" s="20"/>
      <c r="N213" s="20"/>
      <c r="O213" s="20"/>
      <c r="P213" s="20"/>
      <c r="Q213" s="20"/>
      <c r="R213" s="20"/>
      <c r="S213" s="20"/>
      <c r="T213" s="20"/>
      <c r="U213" s="20"/>
      <c r="V213" s="20"/>
      <c r="W213" s="20"/>
      <c r="X213" s="20"/>
    </row>
    <row r="214">
      <c r="A214" s="27" t="str">
        <f>IFERROR(__xludf.DUMMYFUNCTION("""COMPUTED_VALUE"""),"https://techcombank.com/thong-tin/blog/gui-tiet-kiem-ngan-hang-van-la-lua-chon-an-toan-trong-thoi-ky-kinh-te-con-nhieu-bien-dong")</f>
        <v>https://techcombank.com/thong-tin/blog/gui-tiet-kiem-ngan-hang-van-la-lua-chon-an-toan-trong-thoi-ky-kinh-te-con-nhieu-bien-dong</v>
      </c>
      <c r="B214" s="28">
        <f>IFERROR(__xludf.DUMMYFUNCTION("""COMPUTED_VALUE"""),6.0)</f>
        <v>6</v>
      </c>
      <c r="C214" s="20" t="str">
        <f>IFERROR(__xludf.DUMMYFUNCTION("IF(A214="""","""",TEXTJOIN(CHAR(10),TRUE,FILTER('Tổng hợp 75 trang đích'!$B$2:$B$3400,'Tổng hợp 75 trang đích'!$I$2:$I$3400=A214)))"),"https://techcombank.com/thong-tin/blog/chung-chi-tien-gui-la-gi
https://techcombank.com/thong-tin/blog/tien-thai-lan
https://techcombank.com/thong-tin/blog/lai-suat-tiet-kiem
https://techcombank.com/thong-tin/blog/cach-tinh-lai-suat-tien-gui-tiet-kiem
htt"&amp;"ps://techcombank.com/thong-tin/blog/rui-ro-khi-gui-tiet-kiem-online
https://techcombank.com/cong-cu-tien-ich/cong-cu-tinh-toan/bang-tinh-lai-suat-vay")</f>
        <v>https://techcombank.com/thong-tin/blog/chung-chi-tien-gui-la-gi
https://techcombank.com/thong-tin/blog/tien-thai-lan
https://techcombank.com/thong-tin/blog/lai-suat-tiet-kiem
https://techcombank.com/thong-tin/blog/cach-tinh-lai-suat-tien-gui-tiet-kiem
https://techcombank.com/thong-tin/blog/rui-ro-khi-gui-tiet-kiem-online
https://techcombank.com/cong-cu-tien-ich/cong-cu-tinh-toan/bang-tinh-lai-suat-vay</v>
      </c>
      <c r="D214" s="20"/>
      <c r="E214" s="20"/>
      <c r="F214" s="20"/>
      <c r="G214" s="20"/>
      <c r="H214" s="20"/>
      <c r="I214" s="20"/>
      <c r="J214" s="20"/>
      <c r="K214" s="20"/>
      <c r="L214" s="20"/>
      <c r="M214" s="20"/>
      <c r="N214" s="20"/>
      <c r="O214" s="20"/>
      <c r="P214" s="20"/>
      <c r="Q214" s="20"/>
      <c r="R214" s="20"/>
      <c r="S214" s="20"/>
      <c r="T214" s="20"/>
      <c r="U214" s="20"/>
      <c r="V214" s="20"/>
      <c r="W214" s="20"/>
      <c r="X214" s="20"/>
    </row>
    <row r="215">
      <c r="A215" s="27" t="str">
        <f>IFERROR(__xludf.DUMMYFUNCTION("""COMPUTED_VALUE"""),"https://techcombank.com/thong-tin/blog/gui-tiet-kiem-online-co-rut-truoc-han-duoc-khong")</f>
        <v>https://techcombank.com/thong-tin/blog/gui-tiet-kiem-online-co-rut-truoc-han-duoc-khong</v>
      </c>
      <c r="B215" s="28">
        <f>IFERROR(__xludf.DUMMYFUNCTION("""COMPUTED_VALUE"""),6.0)</f>
        <v>6</v>
      </c>
      <c r="C215" s="20" t="str">
        <f>IFERROR(__xludf.DUMMYFUNCTION("IF(A215="""","""",TEXTJOIN(CHAR(10),TRUE,FILTER('Tổng hợp 75 trang đích'!$B$2:$B$3400,'Tổng hợp 75 trang đích'!$I$2:$I$3400=A215)))"),"https://techcombank.com/thong-tin/blog/lai-suat-tiet-kiem
https://techcombank.com/thong-tin/blog/cach-tinh-lai-suat-tien-gui-tiet-kiem
https://techcombank.com/cong-cu-tien-ich/cong-cu-tinh-toan/bang-tinh-lai-suat-vay
https://techcombank.com/cong-cu-tien-i"&amp;"ch/cong-cu-tinh-toan/bang-tinh-lai-suat-tiet-kiem
https://techcombank.com/thong-tin/blog/app-vay-tien-nhanh
https://techcombank.com/thong-tin/blog/vay-thau-chi-la-gi")</f>
        <v>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
https://techcombank.com/thong-tin/blog/vay-thau-chi-la-gi</v>
      </c>
      <c r="D215" s="20"/>
      <c r="E215" s="20"/>
      <c r="F215" s="20"/>
      <c r="G215" s="20"/>
      <c r="H215" s="20"/>
      <c r="I215" s="20"/>
      <c r="J215" s="20"/>
      <c r="K215" s="20"/>
      <c r="L215" s="20"/>
      <c r="M215" s="20"/>
      <c r="N215" s="20"/>
      <c r="O215" s="20"/>
      <c r="P215" s="20"/>
      <c r="Q215" s="20"/>
      <c r="R215" s="20"/>
      <c r="S215" s="20"/>
      <c r="T215" s="20"/>
      <c r="U215" s="20"/>
      <c r="V215" s="20"/>
      <c r="W215" s="20"/>
      <c r="X215" s="20"/>
    </row>
    <row r="216">
      <c r="A216" s="27" t="str">
        <f>IFERROR(__xludf.DUMMYFUNCTION("""COMPUTED_VALUE"""),"https://techcombank.com/thong-tin/blog/gui-tiet-kiem-theo-ngay")</f>
        <v>https://techcombank.com/thong-tin/blog/gui-tiet-kiem-theo-ngay</v>
      </c>
      <c r="B216" s="28">
        <f>IFERROR(__xludf.DUMMYFUNCTION("""COMPUTED_VALUE"""),6.0)</f>
        <v>6</v>
      </c>
      <c r="C216" s="20" t="str">
        <f>IFERROR(__xludf.DUMMYFUNCTION("IF(A216="""","""",TEXTJOIN(CHAR(10),TRUE,FILTER('Tổng hợp 75 trang đích'!$B$2:$B$3400,'Tổng hợp 75 trang đích'!$I$2:$I$3400=A216)))"),"https://techcombank.com/thong-tin/blog/lai-suat-chung-chi-tien-gui-cac-ngan-hang
https://techcombank.com/thong-tin/blog/lai-suat-tiet-kiem
https://techcombank.com/thong-tin/blog/cach-tinh-lai-suat-tien-gui-tiet-kiem
https://techcombank.com/thong-tin/blog/"&amp;"rut-tien-tiet-kiem-truoc-thoi-han
https://techcombank.com/cong-cu-tien-ich/cong-cu-tinh-toan/bang-tinh-lai-suat-tiet-kiem
https://techcombank.com/thong-tin/blog/app-vay-tien-nhanh")</f>
        <v>https://techcombank.com/thong-tin/blog/lai-suat-chung-chi-tien-gui-cac-ngan-hang
https://techcombank.com/thong-tin/blog/lai-suat-tiet-kiem
https://techcombank.com/thong-tin/blog/cach-tinh-lai-suat-tien-gui-tiet-kiem
https://techcombank.com/thong-tin/blog/rut-tien-tiet-kiem-truoc-thoi-han
https://techcombank.com/cong-cu-tien-ich/cong-cu-tinh-toan/bang-tinh-lai-suat-tiet-kiem
https://techcombank.com/thong-tin/blog/app-vay-tien-nhanh</v>
      </c>
      <c r="D216" s="20"/>
      <c r="E216" s="20"/>
      <c r="F216" s="20"/>
      <c r="G216" s="20"/>
      <c r="H216" s="20"/>
      <c r="I216" s="20"/>
      <c r="J216" s="20"/>
      <c r="K216" s="20"/>
      <c r="L216" s="20"/>
      <c r="M216" s="20"/>
      <c r="N216" s="20"/>
      <c r="O216" s="20"/>
      <c r="P216" s="20"/>
      <c r="Q216" s="20"/>
      <c r="R216" s="20"/>
      <c r="S216" s="20"/>
      <c r="T216" s="20"/>
      <c r="U216" s="20"/>
      <c r="V216" s="20"/>
      <c r="W216" s="20"/>
      <c r="X216" s="20"/>
    </row>
    <row r="217">
      <c r="A217" s="27" t="str">
        <f>IFERROR(__xludf.DUMMYFUNCTION("""COMPUTED_VALUE"""),"https://techcombank.com/thong-tin/blog/han-muc-thau-chi-la-gi")</f>
        <v>https://techcombank.com/thong-tin/blog/han-muc-thau-chi-la-gi</v>
      </c>
      <c r="B217" s="28">
        <f>IFERROR(__xludf.DUMMYFUNCTION("""COMPUTED_VALUE"""),6.0)</f>
        <v>6</v>
      </c>
      <c r="C217" s="20" t="str">
        <f>IFERROR(__xludf.DUMMYFUNCTION("IF(A217="""","""",TEXTJOIN(CHAR(10),TRUE,FILTER('Tổng hợp 75 trang đích'!$B$2:$B$3400,'Tổng hợp 75 trang đích'!$I$2:$I$3400=A217)))"),"https://techcombank.com/thong-tin/blog/cach-sao-ke-tai-khoan-ngan-hang
https://techcombank.com/thong-tin/blog/eco-card
https://techcombank.com/thong-tin/blog/cic-la-gi
https://techcombank.com/cong-cu-tien-ich/cong-cu-tinh-toan/bang-tinh-lai-suat-vay
https"&amp;"://techcombank.com/thong-tin/blog/app-vay-tien-nhanh
https://techcombank.com/thong-tin/blog/lai-suat-vay-ngan-hang")</f>
        <v>https://techcombank.com/thong-tin/blog/cach-sao-ke-tai-khoan-ngan-hang
https://techcombank.com/thong-tin/blog/eco-card
https://techcombank.com/thong-tin/blog/cic-la-gi
https://techcombank.com/cong-cu-tien-ich/cong-cu-tinh-toan/bang-tinh-lai-suat-vay
https://techcombank.com/thong-tin/blog/app-vay-tien-nhanh
https://techcombank.com/thong-tin/blog/lai-suat-vay-ngan-hang</v>
      </c>
      <c r="D217" s="20"/>
      <c r="E217" s="20"/>
      <c r="F217" s="20"/>
      <c r="G217" s="20"/>
      <c r="H217" s="20"/>
      <c r="I217" s="20"/>
      <c r="J217" s="20"/>
      <c r="K217" s="20"/>
      <c r="L217" s="20"/>
      <c r="M217" s="20"/>
      <c r="N217" s="20"/>
      <c r="O217" s="20"/>
      <c r="P217" s="20"/>
      <c r="Q217" s="20"/>
      <c r="R217" s="20"/>
      <c r="S217" s="20"/>
      <c r="T217" s="20"/>
      <c r="U217" s="20"/>
      <c r="V217" s="20"/>
      <c r="W217" s="20"/>
      <c r="X217" s="20"/>
    </row>
    <row r="218">
      <c r="A218" s="27" t="str">
        <f>IFERROR(__xludf.DUMMYFUNCTION("""COMPUTED_VALUE"""),"https://techcombank.com/thong-tin/blog/ho-kinh-doanh-dong-thue-nhu-nao")</f>
        <v>https://techcombank.com/thong-tin/blog/ho-kinh-doanh-dong-thue-nhu-nao</v>
      </c>
      <c r="B218" s="28">
        <f>IFERROR(__xludf.DUMMYFUNCTION("""COMPUTED_VALUE"""),6.0)</f>
        <v>6</v>
      </c>
      <c r="C218" s="20" t="str">
        <f>IFERROR(__xludf.DUMMYFUNCTION("IF(A218="""","""",TEXTJOIN(CHAR(10),TRUE,FILTER('Tổng hợp 75 trang đích'!$B$2:$B$3400,'Tổng hợp 75 trang đích'!$I$2:$I$3400=A218)))"),"https://techcombank.com/thong-tin/blog/nop-thue-dat-qua-ngan-hang
https://techcombank.com/thong-tin/blog/cach-nop-thue-dien-tu
https://techcombank.com/thong-tin/blog/thue-thu-nhap-doanh-nghiep
https://techcombank.com/thong-tin/blog/cach-tinh-thue-thu-nhap"&amp;"-ca-nhan-2025
https://techcombank.com/thong-tin/blog/kiem-tra-thue-thu-nhap-ca-nhan
https://techcombank.com/thong-tin/blog/cach-tinh-thue-ho-kinh-doanh-nho-le")</f>
        <v>https://techcombank.com/thong-tin/blog/nop-thue-dat-qua-ngan-hang
https://techcombank.com/thong-tin/blog/cach-nop-thue-dien-tu
https://techcombank.com/thong-tin/blog/thue-thu-nhap-doanh-nghiep
https://techcombank.com/thong-tin/blog/cach-tinh-thue-thu-nhap-ca-nhan-2025
https://techcombank.com/thong-tin/blog/kiem-tra-thue-thu-nhap-ca-nhan
https://techcombank.com/thong-tin/blog/cach-tinh-thue-ho-kinh-doanh-nho-le</v>
      </c>
      <c r="D218" s="20"/>
      <c r="E218" s="20"/>
      <c r="F218" s="20"/>
      <c r="G218" s="20"/>
      <c r="H218" s="20"/>
      <c r="I218" s="20"/>
      <c r="J218" s="20"/>
      <c r="K218" s="20"/>
      <c r="L218" s="20"/>
      <c r="M218" s="20"/>
      <c r="N218" s="20"/>
      <c r="O218" s="20"/>
      <c r="P218" s="20"/>
      <c r="Q218" s="20"/>
      <c r="R218" s="20"/>
      <c r="S218" s="20"/>
      <c r="T218" s="20"/>
      <c r="U218" s="20"/>
      <c r="V218" s="20"/>
      <c r="W218" s="20"/>
      <c r="X218" s="20"/>
    </row>
    <row r="219">
      <c r="A219" s="27" t="str">
        <f>IFERROR(__xludf.DUMMYFUNCTION("""COMPUTED_VALUE"""),"https://techcombank.com/thong-tin/blog/ho-so-vay-tin-chap")</f>
        <v>https://techcombank.com/thong-tin/blog/ho-so-vay-tin-chap</v>
      </c>
      <c r="B219" s="28">
        <f>IFERROR(__xludf.DUMMYFUNCTION("""COMPUTED_VALUE"""),6.0)</f>
        <v>6</v>
      </c>
      <c r="C219" s="20" t="str">
        <f>IFERROR(__xludf.DUMMYFUNCTION("IF(A219="""","""",TEXTJOIN(CHAR(10),TRUE,FILTER('Tổng hợp 75 trang đích'!$B$2:$B$3400,'Tổng hợp 75 trang đích'!$I$2:$I$3400=A219)))"),"https://techcombank.com/thong-tin/blog/ho-so-thu-tuc-xoa-the-chap
https://techcombank.com/cong-cu-tien-ich/cong-cu-tinh-toan/bang-tinh-lai-suat-vay
https://techcombank.com/thong-tin/blog/app-vay-tien-nhanh
https://techcombank.com/thong-tin/blog/lai-suat-v"&amp;"ay-ngan-hang
https://techcombank.com/thong-tin/blog/no-xau-la-gi
https://techcombank.com/thong-tin/blog/vay-tin-chap-khong-tra-duoc-co-sao-khong")</f>
        <v>https://techcombank.com/thong-tin/blog/ho-so-thu-tuc-xoa-the-chap
https://techcombank.com/cong-cu-tien-ich/cong-cu-tinh-toan/bang-tinh-lai-suat-vay
https://techcombank.com/thong-tin/blog/app-vay-tien-nhanh
https://techcombank.com/thong-tin/blog/lai-suat-vay-ngan-hang
https://techcombank.com/thong-tin/blog/no-xau-la-gi
https://techcombank.com/thong-tin/blog/vay-tin-chap-khong-tra-duoc-co-sao-khong</v>
      </c>
      <c r="D219" s="20"/>
      <c r="E219" s="20"/>
      <c r="F219" s="20"/>
      <c r="G219" s="20"/>
      <c r="H219" s="20"/>
      <c r="I219" s="20"/>
      <c r="J219" s="20"/>
      <c r="K219" s="20"/>
      <c r="L219" s="20"/>
      <c r="M219" s="20"/>
      <c r="N219" s="20"/>
      <c r="O219" s="20"/>
      <c r="P219" s="20"/>
      <c r="Q219" s="20"/>
      <c r="R219" s="20"/>
      <c r="S219" s="20"/>
      <c r="T219" s="20"/>
      <c r="U219" s="20"/>
      <c r="V219" s="20"/>
      <c r="W219" s="20"/>
      <c r="X219" s="20"/>
    </row>
    <row r="220">
      <c r="A220" s="27" t="str">
        <f>IFERROR(__xludf.DUMMYFUNCTION("""COMPUTED_VALUE"""),"https://techcombank.com/thong-tin/blog/hoa-don-dien-tu")</f>
        <v>https://techcombank.com/thong-tin/blog/hoa-don-dien-tu</v>
      </c>
      <c r="B220" s="28">
        <f>IFERROR(__xludf.DUMMYFUNCTION("""COMPUTED_VALUE"""),6.0)</f>
        <v>6</v>
      </c>
      <c r="C220" s="20" t="str">
        <f>IFERROR(__xludf.DUMMYFUNCTION("IF(A220="""","""",TEXTJOIN(CHAR(10),TRUE,FILTER('Tổng hợp 75 trang đích'!$B$2:$B$3400,'Tổng hợp 75 trang đích'!$I$2:$I$3400=A220)))"),"https://techcombank.com/thong-tin/blog/nop-thue-dat-qua-ngan-hang
https://techcombank.com/thong-tin/blog/cach-nop-thue-dien-tu
https://techcombank.com/thong-tin/blog/thue-vat-la-gi
https://techcombank.com/thong-tin/blog/cach-tinh-thue-thu-nhap-ca-nhan-202"&amp;"5
https://techcombank.com/thong-tin/blog/ho-kinh-doanh-dong-thue-nhu-nao
https://techcombank.com/thong-tin/blog/cach-tinh-thue-ho-kinh-doanh-nho-le")</f>
        <v>https://techcombank.com/thong-tin/blog/nop-thue-dat-qua-ngan-hang
https://techcombank.com/thong-tin/blog/cach-nop-thue-dien-tu
https://techcombank.com/thong-tin/blog/thue-vat-la-gi
https://techcombank.com/thong-tin/blog/cach-tinh-thue-thu-nhap-ca-nhan-2025
https://techcombank.com/thong-tin/blog/ho-kinh-doanh-dong-thue-nhu-nao
https://techcombank.com/thong-tin/blog/cach-tinh-thue-ho-kinh-doanh-nho-le</v>
      </c>
      <c r="D220" s="20"/>
      <c r="E220" s="20"/>
      <c r="F220" s="20"/>
      <c r="G220" s="20"/>
      <c r="H220" s="20"/>
      <c r="I220" s="20"/>
      <c r="J220" s="20"/>
      <c r="K220" s="20"/>
      <c r="L220" s="20"/>
      <c r="M220" s="20"/>
      <c r="N220" s="20"/>
      <c r="O220" s="20"/>
      <c r="P220" s="20"/>
      <c r="Q220" s="20"/>
      <c r="R220" s="20"/>
      <c r="S220" s="20"/>
      <c r="T220" s="20"/>
      <c r="U220" s="20"/>
      <c r="V220" s="20"/>
      <c r="W220" s="20"/>
      <c r="X220" s="20"/>
    </row>
    <row r="221">
      <c r="A221" s="27" t="str">
        <f>IFERROR(__xludf.DUMMYFUNCTION("""COMPUTED_VALUE"""),"https://techcombank.com/thong-tin/blog/hoc-cach-tiet-kiem-tien-luong")</f>
        <v>https://techcombank.com/thong-tin/blog/hoc-cach-tiet-kiem-tien-luong</v>
      </c>
      <c r="B221" s="28">
        <f>IFERROR(__xludf.DUMMYFUNCTION("""COMPUTED_VALUE"""),6.0)</f>
        <v>6</v>
      </c>
      <c r="C221" s="20" t="str">
        <f>IFERROR(__xludf.DUMMYFUNCTION("IF(A221="""","""",TEXTJOIN(CHAR(10),TRUE,FILTER('Tổng hợp 75 trang đích'!$B$2:$B$3400,'Tổng hợp 75 trang đích'!$I$2:$I$3400=A221)))"),"https://techcombank.com/thong-tin/blog/cach-tinh-thue-thu-nhap-ca-nhan-2025
https://techcombank.com/thong-tin/blog/thue-thu-nhap-ca-nhan
https://techcombank.com/thong-tin/blog/doi-tien-do-o-dau
https://techcombank.com/thong-tin/blog/lai-suat-tiet-kiem
htt"&amp;"ps://techcombank.com/thong-tin/blog/cach-tiet-kiem-tien
https://techcombank.com/thong-tin/blog/app-vay-tien-nhanh")</f>
        <v>https://techcombank.com/thong-tin/blog/cach-tinh-thue-thu-nhap-ca-nhan-2025
https://techcombank.com/thong-tin/blog/thue-thu-nhap-ca-nhan
https://techcombank.com/thong-tin/blog/doi-tien-do-o-dau
https://techcombank.com/thong-tin/blog/lai-suat-tiet-kiem
https://techcombank.com/thong-tin/blog/cach-tiet-kiem-tien
https://techcombank.com/thong-tin/blog/app-vay-tien-nhanh</v>
      </c>
      <c r="D221" s="20"/>
      <c r="E221" s="20"/>
      <c r="F221" s="20"/>
      <c r="G221" s="20"/>
      <c r="H221" s="20"/>
      <c r="I221" s="20"/>
      <c r="J221" s="20"/>
      <c r="K221" s="20"/>
      <c r="L221" s="20"/>
      <c r="M221" s="20"/>
      <c r="N221" s="20"/>
      <c r="O221" s="20"/>
      <c r="P221" s="20"/>
      <c r="Q221" s="20"/>
      <c r="R221" s="20"/>
      <c r="S221" s="20"/>
      <c r="T221" s="20"/>
      <c r="U221" s="20"/>
      <c r="V221" s="20"/>
      <c r="W221" s="20"/>
      <c r="X221" s="20"/>
    </row>
    <row r="222">
      <c r="A222" s="27" t="str">
        <f>IFERROR(__xludf.DUMMYFUNCTION("""COMPUTED_VALUE"""),"https://techcombank.com/thong-tin/blog/kiem-tra-thue-thu-nhap-ca-nhan")</f>
        <v>https://techcombank.com/thong-tin/blog/kiem-tra-thue-thu-nhap-ca-nhan</v>
      </c>
      <c r="B222" s="28">
        <f>IFERROR(__xludf.DUMMYFUNCTION("""COMPUTED_VALUE"""),6.0)</f>
        <v>6</v>
      </c>
      <c r="C222" s="20" t="str">
        <f>IFERROR(__xludf.DUMMYFUNCTION("IF(A222="""","""",TEXTJOIN(CHAR(10),TRUE,FILTER('Tổng hợp 75 trang đích'!$B$2:$B$3400,'Tổng hợp 75 trang đích'!$I$2:$I$3400=A222)))"),"https://techcombank.com/thong-tin/blog/nop-thue-dat-qua-ngan-hang
https://techcombank.com/thong-tin/blog/tra-cuu-no-thue-doanh-nghiep
https://techcombank.com/thong-tin/blog/cach-tinh-thue-thu-nhap-ca-nhan-2025
https://techcombank.com/thong-tin/blog/cic-la"&amp;"-gi
https://techcombank.com/thong-tin/blog/ho-kinh-doanh-dong-thue-nhu-nao
https://techcombank.com/thong-tin/blog/kiem-tra-no-xau")</f>
        <v>https://techcombank.com/thong-tin/blog/nop-thue-dat-qua-ngan-hang
https://techcombank.com/thong-tin/blog/tra-cuu-no-thue-doanh-nghiep
https://techcombank.com/thong-tin/blog/cach-tinh-thue-thu-nhap-ca-nhan-2025
https://techcombank.com/thong-tin/blog/cic-la-gi
https://techcombank.com/thong-tin/blog/ho-kinh-doanh-dong-thue-nhu-nao
https://techcombank.com/thong-tin/blog/kiem-tra-no-xau</v>
      </c>
      <c r="D222" s="20"/>
      <c r="E222" s="20"/>
      <c r="F222" s="20"/>
      <c r="G222" s="20"/>
      <c r="H222" s="20"/>
      <c r="I222" s="20"/>
      <c r="J222" s="20"/>
      <c r="K222" s="20"/>
      <c r="L222" s="20"/>
      <c r="M222" s="20"/>
      <c r="N222" s="20"/>
      <c r="O222" s="20"/>
      <c r="P222" s="20"/>
      <c r="Q222" s="20"/>
      <c r="R222" s="20"/>
      <c r="S222" s="20"/>
      <c r="T222" s="20"/>
      <c r="U222" s="20"/>
      <c r="V222" s="20"/>
      <c r="W222" s="20"/>
      <c r="X222" s="20"/>
    </row>
    <row r="223">
      <c r="A223" s="27" t="str">
        <f>IFERROR(__xludf.DUMMYFUNCTION("""COMPUTED_VALUE"""),"https://techcombank.com/thong-tin/blog/kinh-nghiem-vay-tien-mua-nha")</f>
        <v>https://techcombank.com/thong-tin/blog/kinh-nghiem-vay-tien-mua-nha</v>
      </c>
      <c r="B223" s="28">
        <f>IFERROR(__xludf.DUMMYFUNCTION("""COMPUTED_VALUE"""),6.0)</f>
        <v>6</v>
      </c>
      <c r="C223" s="20" t="str">
        <f>IFERROR(__xludf.DUMMYFUNCTION("IF(A223="""","""",TEXTJOIN(CHAR(10),TRUE,FILTER('Tổng hợp 75 trang đích'!$B$2:$B$3400,'Tổng hợp 75 trang đích'!$I$2:$I$3400=A223)))"),"https://techcombank.com/thong-tin/blog/cic-la-gi
https://techcombank.com/thong-tin/blog/xep-hang-tin-dung
https://techcombank.com/thong-tin/blog/app-vay-tien-nhanh
https://techcombank.com/thong-tin/blog/lai-suat-vay-ngan-hang
https://techcombank.com/thong"&amp;"-tin/blog/vay-thau-chi-la-gi
https://techcombank.com/thong-tin/blog/nen-vay-tin-chap-o-dau")</f>
        <v>https://techcombank.com/thong-tin/blog/cic-la-gi
https://techcombank.com/thong-tin/blog/xep-hang-tin-dung
https://techcombank.com/thong-tin/blog/app-vay-tien-nhanh
https://techcombank.com/thong-tin/blog/lai-suat-vay-ngan-hang
https://techcombank.com/thong-tin/blog/vay-thau-chi-la-gi
https://techcombank.com/thong-tin/blog/nen-vay-tin-chap-o-dau</v>
      </c>
      <c r="D223" s="20"/>
      <c r="E223" s="20"/>
      <c r="F223" s="20"/>
      <c r="G223" s="20"/>
      <c r="H223" s="20"/>
      <c r="I223" s="20"/>
      <c r="J223" s="20"/>
      <c r="K223" s="20"/>
      <c r="L223" s="20"/>
      <c r="M223" s="20"/>
      <c r="N223" s="20"/>
      <c r="O223" s="20"/>
      <c r="P223" s="20"/>
      <c r="Q223" s="20"/>
      <c r="R223" s="20"/>
      <c r="S223" s="20"/>
      <c r="T223" s="20"/>
      <c r="U223" s="20"/>
      <c r="V223" s="20"/>
      <c r="W223" s="20"/>
      <c r="X223" s="20"/>
    </row>
    <row r="224">
      <c r="A224" s="27" t="str">
        <f>IFERROR(__xludf.DUMMYFUNCTION("""COMPUTED_VALUE"""),"https://techcombank.com/thong-tin/blog/lai-suat-ngan-hang-cho-vay-xay-nha")</f>
        <v>https://techcombank.com/thong-tin/blog/lai-suat-ngan-hang-cho-vay-xay-nha</v>
      </c>
      <c r="B224" s="28">
        <f>IFERROR(__xludf.DUMMYFUNCTION("""COMPUTED_VALUE"""),6.0)</f>
        <v>6</v>
      </c>
      <c r="C224" s="20" t="str">
        <f>IFERROR(__xludf.DUMMYFUNCTION("IF(A224="""","""",TEXTJOIN(CHAR(10),TRUE,FILTER('Tổng hợp 75 trang đích'!$B$2:$B$3400,'Tổng hợp 75 trang đích'!$I$2:$I$3400=A224)))"),"https://techcombank.com/thong-tin/blog/cach-tinh-lai-vay-ngan-hang
https://techcombank.com/thong-tin/blog/lai-suat-tiet-kiem
https://techcombank.com/thong-tin/blog/cach-tinh-lai-suat-tien-gui-tiet-kiem
https://techcombank.com/cong-cu-tien-ich/cong-cu-tinh"&amp;"-toan/bang-tinh-lai-suat-vay
https://techcombank.com/thong-tin/blog/app-vay-tien-nhanh
https://techcombank.com/thong-tin/blog/lai-suat-vay-ngan-hang")</f>
        <v>https://techcombank.com/thong-tin/blog/cach-tinh-lai-vay-ngan-hang
https://techcombank.com/thong-tin/blog/lai-suat-tiet-kiem
https://techcombank.com/thong-tin/blog/cach-tinh-lai-suat-tien-gui-tiet-kiem
https://techcombank.com/cong-cu-tien-ich/cong-cu-tinh-toan/bang-tinh-lai-suat-vay
https://techcombank.com/thong-tin/blog/app-vay-tien-nhanh
https://techcombank.com/thong-tin/blog/lai-suat-vay-ngan-hang</v>
      </c>
      <c r="D224" s="20"/>
      <c r="E224" s="20"/>
      <c r="F224" s="20"/>
      <c r="G224" s="20"/>
      <c r="H224" s="20"/>
      <c r="I224" s="20"/>
      <c r="J224" s="20"/>
      <c r="K224" s="20"/>
      <c r="L224" s="20"/>
      <c r="M224" s="20"/>
      <c r="N224" s="20"/>
      <c r="O224" s="20"/>
      <c r="P224" s="20"/>
      <c r="Q224" s="20"/>
      <c r="R224" s="20"/>
      <c r="S224" s="20"/>
      <c r="T224" s="20"/>
      <c r="U224" s="20"/>
      <c r="V224" s="20"/>
      <c r="W224" s="20"/>
      <c r="X224" s="20"/>
    </row>
    <row r="225">
      <c r="A225" s="27" t="str">
        <f>IFERROR(__xludf.DUMMYFUNCTION("""COMPUTED_VALUE"""),"https://techcombank.com/thong-tin/blog/lai-suat-the-tin-dung")</f>
        <v>https://techcombank.com/thong-tin/blog/lai-suat-the-tin-dung</v>
      </c>
      <c r="B225" s="28">
        <f>IFERROR(__xludf.DUMMYFUNCTION("""COMPUTED_VALUE"""),6.0)</f>
        <v>6</v>
      </c>
      <c r="C225" s="20" t="str">
        <f>IFERROR(__xludf.DUMMYFUNCTION("IF(A225="""","""",TEXTJOIN(CHAR(10),TRUE,FILTER('Tổng hợp 75 trang đích'!$B$2:$B$3400,'Tổng hợp 75 trang đích'!$I$2:$I$3400=A225)))"),"https://techcombank.com/thong-tin/blog/cach-huy-the-tin-dung
https://techcombank.com/thong-tin/blog/vay-ngan-hang-1-ty-moi-thang-tra-bao-nhieu
https://techcombank.com/thong-tin/blog/lai-suat-tiet-kiem
https://techcombank.com/thong-tin/blog/cach-tinh-lai-s"&amp;"uat-tien-gui-tiet-kiem
https://techcombank.com/cong-cu-tien-ich/cong-cu-tinh-toan/bang-tinh-lai-suat-vay
https://techcombank.com/thong-tin/blog/app-vay-tien-nhanh")</f>
        <v>https://techcombank.com/thong-tin/blog/cach-huy-the-tin-dung
https://techcombank.com/thong-tin/blog/vay-ngan-hang-1-ty-moi-thang-tra-bao-nhieu
https://techcombank.com/thong-tin/blog/lai-suat-tiet-kiem
https://techcombank.com/thong-tin/blog/cach-tinh-lai-suat-tien-gui-tiet-kiem
https://techcombank.com/cong-cu-tien-ich/cong-cu-tinh-toan/bang-tinh-lai-suat-vay
https://techcombank.com/thong-tin/blog/app-vay-tien-nhanh</v>
      </c>
      <c r="D225" s="20"/>
      <c r="E225" s="20"/>
      <c r="F225" s="20"/>
      <c r="G225" s="20"/>
      <c r="H225" s="20"/>
      <c r="I225" s="20"/>
      <c r="J225" s="20"/>
      <c r="K225" s="20"/>
      <c r="L225" s="20"/>
      <c r="M225" s="20"/>
      <c r="N225" s="20"/>
      <c r="O225" s="20"/>
      <c r="P225" s="20"/>
      <c r="Q225" s="20"/>
      <c r="R225" s="20"/>
      <c r="S225" s="20"/>
      <c r="T225" s="20"/>
      <c r="U225" s="20"/>
      <c r="V225" s="20"/>
      <c r="W225" s="20"/>
      <c r="X225" s="20"/>
    </row>
    <row r="226">
      <c r="A226" s="27" t="str">
        <f>IFERROR(__xludf.DUMMYFUNCTION("""COMPUTED_VALUE"""),"https://techcombank.com/thong-tin/blog/luu-y-khi-chuyen-doi-tu-ho-kinh-doanh-len-doanh-nghiep")</f>
        <v>https://techcombank.com/thong-tin/blog/luu-y-khi-chuyen-doi-tu-ho-kinh-doanh-len-doanh-nghiep</v>
      </c>
      <c r="B226" s="28">
        <f>IFERROR(__xludf.DUMMYFUNCTION("""COMPUTED_VALUE"""),6.0)</f>
        <v>6</v>
      </c>
      <c r="C226" s="20" t="str">
        <f>IFERROR(__xludf.DUMMYFUNCTION("IF(A226="""","""",TEXTJOIN(CHAR(10),TRUE,FILTER('Tổng hợp 75 trang đích'!$B$2:$B$3400,'Tổng hợp 75 trang đích'!$I$2:$I$3400=A226)))"),"https://techcombank.com/thong-tin/blog/nop-thue-dat-qua-ngan-hang
https://techcombank.com/thong-tin/blog/thue-thu-nhap-doanh-nghiep
https://techcombank.com/thong-tin/blog/cach-tinh-thue-thu-nhap-ca-nhan-2025
https://techcombank.com/thong-tin/blog/ho-kinh-"&amp;"doanh-dong-thue-nhu-nao
https://techcombank.com/thong-tin/blog/mo-tai-khoan-ho-kinh-doanh
https://techcombank.com/thong-tin/blog/cach-tinh-thue-ho-kinh-doanh-nho-le")</f>
        <v>https://techcombank.com/thong-tin/blog/nop-thue-dat-qua-ngan-hang
https://techcombank.com/thong-tin/blog/thue-thu-nhap-doanh-nghiep
https://techcombank.com/thong-tin/blog/cach-tinh-thue-thu-nhap-ca-nhan-2025
https://techcombank.com/thong-tin/blog/ho-kinh-doanh-dong-thue-nhu-nao
https://techcombank.com/thong-tin/blog/mo-tai-khoan-ho-kinh-doanh
https://techcombank.com/thong-tin/blog/cach-tinh-thue-ho-kinh-doanh-nho-le</v>
      </c>
      <c r="D226" s="20"/>
      <c r="E226" s="20"/>
      <c r="F226" s="20"/>
      <c r="G226" s="20"/>
      <c r="H226" s="20"/>
      <c r="I226" s="20"/>
      <c r="J226" s="20"/>
      <c r="K226" s="20"/>
      <c r="L226" s="20"/>
      <c r="M226" s="20"/>
      <c r="N226" s="20"/>
      <c r="O226" s="20"/>
      <c r="P226" s="20"/>
      <c r="Q226" s="20"/>
      <c r="R226" s="20"/>
      <c r="S226" s="20"/>
      <c r="T226" s="20"/>
      <c r="U226" s="20"/>
      <c r="V226" s="20"/>
      <c r="W226" s="20"/>
      <c r="X226" s="20"/>
    </row>
    <row r="227">
      <c r="A227" s="27" t="str">
        <f>IFERROR(__xludf.DUMMYFUNCTION("""COMPUTED_VALUE"""),"https://techcombank.com/thong-tin/blog/ma-buu-chinh-the-tin-dung")</f>
        <v>https://techcombank.com/thong-tin/blog/ma-buu-chinh-the-tin-dung</v>
      </c>
      <c r="B227" s="28">
        <f>IFERROR(__xludf.DUMMYFUNCTION("""COMPUTED_VALUE"""),6.0)</f>
        <v>6</v>
      </c>
      <c r="C227" s="20" t="str">
        <f>IFERROR(__xludf.DUMMYFUNCTION("IF(A227="""","""",TEXTJOIN(CHAR(10),TRUE,FILTER('Tổng hợp 75 trang đích'!$B$2:$B$3400,'Tổng hợp 75 trang đích'!$I$2:$I$3400=A227)))"),"https://techcombank.com/thong-tin/blog/cic-la-gi
https://techcombank.com/thong-tin/blog/lam-the-tin-dung
https://techcombank.com/khach-hang-ca-nhan/chi-tieu/the/the-tin-dung/techcombank-everyday
https://techcombank.com/thong-tin/blog/the-tin-dung-hoan-tie"&amp;"n
https://techcombank.com/thong-tin/blog/cach-huy-the-tin-dung
https://techcombank.com/thong-tin/blog/cach-thanh-toan-the-tin-dung")</f>
        <v>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227" s="20"/>
      <c r="E227" s="20"/>
      <c r="F227" s="20"/>
      <c r="G227" s="20"/>
      <c r="H227" s="20"/>
      <c r="I227" s="20"/>
      <c r="J227" s="20"/>
      <c r="K227" s="20"/>
      <c r="L227" s="20"/>
      <c r="M227" s="20"/>
      <c r="N227" s="20"/>
      <c r="O227" s="20"/>
      <c r="P227" s="20"/>
      <c r="Q227" s="20"/>
      <c r="R227" s="20"/>
      <c r="S227" s="20"/>
      <c r="T227" s="20"/>
      <c r="U227" s="20"/>
      <c r="V227" s="20"/>
      <c r="W227" s="20"/>
      <c r="X227" s="20"/>
    </row>
    <row r="228">
      <c r="A228" s="27" t="str">
        <f>IFERROR(__xludf.DUMMYFUNCTION("""COMPUTED_VALUE"""),"https://techcombank.com/thong-tin/blog/mat-so-dien-thoai-dang-ky-tai-khoan-ngan-hang")</f>
        <v>https://techcombank.com/thong-tin/blog/mat-so-dien-thoai-dang-ky-tai-khoan-ngan-hang</v>
      </c>
      <c r="B228" s="28">
        <f>IFERROR(__xludf.DUMMYFUNCTION("""COMPUTED_VALUE"""),6.0)</f>
        <v>6</v>
      </c>
      <c r="C228" s="20" t="str">
        <f>IFERROR(__xludf.DUMMYFUNCTION("IF(A228="""","""",TEXTJOIN(CHAR(10),TRUE,FILTER('Tổng hợp 75 trang đích'!$B$2:$B$3400,'Tổng hợp 75 trang đích'!$I$2:$I$3400=A228)))"),"https://techcombank.com/thong-tin/blog/cong-ty-su-dung-tai-khoan-ca-nhan
https://techcombank.com/thong-tin/blog/cach-nap-the-viettel
https://techcombank.com/thong-tin/blog/cach-mo-tai-khoan
https://techcombank.com/thong-tin/blog/bao-nhieu-tuoi-duoc-mo-tai"&amp;"-khoan-ngan-hang
https://techcombank.com/thong-tin/blog/ten-dang-nhap-tai-khoan-ngan-hang-la-gi
https://techcombank.com/thong-tin/blog/cic-la-gi")</f>
        <v>https://techcombank.com/thong-tin/blog/cong-ty-su-dung-tai-khoan-ca-nhan
https://techcombank.com/thong-tin/blog/cach-nap-the-viettel
https://techcombank.com/thong-tin/blog/cach-mo-tai-khoan
https://techcombank.com/thong-tin/blog/bao-nhieu-tuoi-duoc-mo-tai-khoan-ngan-hang
https://techcombank.com/thong-tin/blog/ten-dang-nhap-tai-khoan-ngan-hang-la-gi
https://techcombank.com/thong-tin/blog/cic-la-gi</v>
      </c>
      <c r="D228" s="20"/>
      <c r="E228" s="20"/>
      <c r="F228" s="20"/>
      <c r="G228" s="20"/>
      <c r="H228" s="20"/>
      <c r="I228" s="20"/>
      <c r="J228" s="20"/>
      <c r="K228" s="20"/>
      <c r="L228" s="20"/>
      <c r="M228" s="20"/>
      <c r="N228" s="20"/>
      <c r="O228" s="20"/>
      <c r="P228" s="20"/>
      <c r="Q228" s="20"/>
      <c r="R228" s="20"/>
      <c r="S228" s="20"/>
      <c r="T228" s="20"/>
      <c r="U228" s="20"/>
      <c r="V228" s="20"/>
      <c r="W228" s="20"/>
      <c r="X228" s="20"/>
    </row>
    <row r="229">
      <c r="A229" s="27" t="str">
        <f>IFERROR(__xludf.DUMMYFUNCTION("""COMPUTED_VALUE"""),"https://techcombank.com/thong-tin/blog/merchant-la-gi")</f>
        <v>https://techcombank.com/thong-tin/blog/merchant-la-gi</v>
      </c>
      <c r="B229" s="28">
        <f>IFERROR(__xludf.DUMMYFUNCTION("""COMPUTED_VALUE"""),6.0)</f>
        <v>6</v>
      </c>
      <c r="C229" s="20" t="str">
        <f>IFERROR(__xludf.DUMMYFUNCTION("IF(A229="""","""",TEXTJOIN(CHAR(10),TRUE,FILTER('Tổng hợp 75 trang đích'!$B$2:$B$3400,'Tổng hợp 75 trang đích'!$I$2:$I$3400=A229)))"),"https://techcombank.com/thong-tin/blog/cic-la-gi
https://techcombank.com/thong-tin/blog/rut-tien-mat-tu-the-tin-dung
https://techcombank.com/thong-tin/blog/ho-kinh-doanh-dong-thue-nhu-nao
https://techcombank.com/thong-tin/blog/gui-ma-qr-ngan-hang
https://"&amp;"techcombank.com/thong-tin/blog/ho-so-thu-tuc-xoa-the-chap
https://techcombank.com/cong-cu-tien-ich/cong-cu-tinh-toan/bang-tinh-lai-suat-tiet-kiem")</f>
        <v>https://techcombank.com/thong-tin/blog/cic-la-gi
https://techcombank.com/thong-tin/blog/rut-tien-mat-tu-the-tin-dung
https://techcombank.com/thong-tin/blog/ho-kinh-doanh-dong-thue-nhu-nao
https://techcombank.com/thong-tin/blog/gui-ma-qr-ngan-hang
https://techcombank.com/thong-tin/blog/ho-so-thu-tuc-xoa-the-chap
https://techcombank.com/cong-cu-tien-ich/cong-cu-tinh-toan/bang-tinh-lai-suat-tiet-kiem</v>
      </c>
      <c r="D229" s="20"/>
      <c r="E229" s="20"/>
      <c r="F229" s="20"/>
      <c r="G229" s="20"/>
      <c r="H229" s="20"/>
      <c r="I229" s="20"/>
      <c r="J229" s="20"/>
      <c r="K229" s="20"/>
      <c r="L229" s="20"/>
      <c r="M229" s="20"/>
      <c r="N229" s="20"/>
      <c r="O229" s="20"/>
      <c r="P229" s="20"/>
      <c r="Q229" s="20"/>
      <c r="R229" s="20"/>
      <c r="S229" s="20"/>
      <c r="T229" s="20"/>
      <c r="U229" s="20"/>
      <c r="V229" s="20"/>
      <c r="W229" s="20"/>
      <c r="X229" s="20"/>
    </row>
    <row r="230">
      <c r="A230" s="27" t="str">
        <f>IFERROR(__xludf.DUMMYFUNCTION("""COMPUTED_VALUE"""),"https://techcombank.com/thong-tin/blog/mua-nha-tra-gop-dua-truoc-100-trieu")</f>
        <v>https://techcombank.com/thong-tin/blog/mua-nha-tra-gop-dua-truoc-100-trieu</v>
      </c>
      <c r="B230" s="28">
        <f>IFERROR(__xludf.DUMMYFUNCTION("""COMPUTED_VALUE"""),6.0)</f>
        <v>6</v>
      </c>
      <c r="C230" s="20" t="str">
        <f>IFERROR(__xludf.DUMMYFUNCTION("IF(A230="""","""",TEXTJOIN(CHAR(10),TRUE,FILTER('Tổng hợp 75 trang đích'!$B$2:$B$3400,'Tổng hợp 75 trang đích'!$I$2:$I$3400=A230)))"),"https://techcombank.com/thong-tin/blog/lai-suat-vay-mua-o-to
https://techcombank.com/thong-tin/blog/cic-la-gi
https://techcombank.com/cong-cu-tien-ich/cong-cu-tinh-toan/bang-tinh-lai-suat-vay
https://techcombank.com/thong-tin/blog/app-vay-tien-nhanh
https"&amp;"://techcombank.com/thong-tin/blog/lai-suat-vay-ngan-hang
https://techcombank.com/thong-tin/blog/vay-thau-chi-la-gi")</f>
        <v>https://techcombank.com/thong-tin/blog/lai-suat-vay-mua-o-to
https://techcombank.com/thong-tin/blog/cic-la-gi
https://techcombank.com/cong-cu-tien-ich/cong-cu-tinh-toan/bang-tinh-lai-suat-vay
https://techcombank.com/thong-tin/blog/app-vay-tien-nhanh
https://techcombank.com/thong-tin/blog/lai-suat-vay-ngan-hang
https://techcombank.com/thong-tin/blog/vay-thau-chi-la-gi</v>
      </c>
      <c r="D230" s="20"/>
      <c r="E230" s="20"/>
      <c r="F230" s="20"/>
      <c r="G230" s="20"/>
      <c r="H230" s="20"/>
      <c r="I230" s="20"/>
      <c r="J230" s="20"/>
      <c r="K230" s="20"/>
      <c r="L230" s="20"/>
      <c r="M230" s="20"/>
      <c r="N230" s="20"/>
      <c r="O230" s="20"/>
      <c r="P230" s="20"/>
      <c r="Q230" s="20"/>
      <c r="R230" s="20"/>
      <c r="S230" s="20"/>
      <c r="T230" s="20"/>
      <c r="U230" s="20"/>
      <c r="V230" s="20"/>
      <c r="W230" s="20"/>
      <c r="X230" s="20"/>
    </row>
    <row r="231">
      <c r="A231" s="27" t="str">
        <f>IFERROR(__xludf.DUMMYFUNCTION("""COMPUTED_VALUE"""),"https://techcombank.com/thong-tin/blog/nen-lam-the-visa-hay-noi-dia")</f>
        <v>https://techcombank.com/thong-tin/blog/nen-lam-the-visa-hay-noi-dia</v>
      </c>
      <c r="B231" s="28">
        <f>IFERROR(__xludf.DUMMYFUNCTION("""COMPUTED_VALUE"""),6.0)</f>
        <v>6</v>
      </c>
      <c r="C231" s="20" t="str">
        <f>IFERROR(__xludf.DUMMYFUNCTION("IF(A231="""","""",TEXTJOIN(CHAR(10),TRUE,FILTER('Tổng hợp 75 trang đích'!$B$2:$B$3400,'Tổng hợp 75 trang đích'!$I$2:$I$3400=A231)))"),"https://techcombank.com/thong-tin/blog/cach-nap-the-viettel
https://techcombank.com/thong-tin/blog/cach-nhan-tien-tu-nuoc-ngoai-ve-viet-nam
https://techcombank.com/thong-tin/blog/doi-tien-do-o-dau
https://techcombank.com/thong-tin/blog/lai-suat-tiet-kiem
"&amp;"https://techcombank.com/thong-tin/blog/cach-tinh-lai-suat-tien-gui-tiet-kiem
https://techcombank.com/cong-cu-tien-ich/cong-cu-tinh-toan/bang-tinh-lai-suat-tiet-kiem")</f>
        <v>https://techcombank.com/thong-tin/blog/cach-nap-the-viettel
https://techcombank.com/thong-tin/blog/cach-nhan-tien-tu-nuoc-ngoai-ve-viet-nam
https://techcombank.com/thong-tin/blog/doi-tien-do-o-dau
https://techcombank.com/thong-tin/blog/lai-suat-tiet-kiem
https://techcombank.com/thong-tin/blog/cach-tinh-lai-suat-tien-gui-tiet-kiem
https://techcombank.com/cong-cu-tien-ich/cong-cu-tinh-toan/bang-tinh-lai-suat-tiet-kiem</v>
      </c>
      <c r="D231" s="20"/>
      <c r="E231" s="20"/>
      <c r="F231" s="20"/>
      <c r="G231" s="20"/>
      <c r="H231" s="20"/>
      <c r="I231" s="20"/>
      <c r="J231" s="20"/>
      <c r="K231" s="20"/>
      <c r="L231" s="20"/>
      <c r="M231" s="20"/>
      <c r="N231" s="20"/>
      <c r="O231" s="20"/>
      <c r="P231" s="20"/>
      <c r="Q231" s="20"/>
      <c r="R231" s="20"/>
      <c r="S231" s="20"/>
      <c r="T231" s="20"/>
      <c r="U231" s="20"/>
      <c r="V231" s="20"/>
      <c r="W231" s="20"/>
      <c r="X231" s="20"/>
    </row>
    <row r="232">
      <c r="A232" s="27" t="str">
        <f>IFERROR(__xludf.DUMMYFUNCTION("""COMPUTED_VALUE"""),"https://techcombank.com/thong-tin/blog/no-chu-y-la-gi")</f>
        <v>https://techcombank.com/thong-tin/blog/no-chu-y-la-gi</v>
      </c>
      <c r="B232" s="28">
        <f>IFERROR(__xludf.DUMMYFUNCTION("""COMPUTED_VALUE"""),6.0)</f>
        <v>6</v>
      </c>
      <c r="C232" s="20" t="str">
        <f>IFERROR(__xludf.DUMMYFUNCTION("IF(A232="""","""",TEXTJOIN(CHAR(10),TRUE,FILTER('Tổng hợp 75 trang đích'!$B$2:$B$3400,'Tổng hợp 75 trang đích'!$I$2:$I$3400=A232)))"),"https://techcombank.com/thong-tin/blog/cic-la-gi
https://techcombank.com/cong-cu-tien-ich/cong-cu-tinh-toan/bang-tinh-lai-suat-vay
https://techcombank.com/thong-tin/blog/app-vay-tien-nhanh
https://techcombank.com/thong-tin/blog/vay-thau-chi-la-gi
https://"&amp;"techcombank.com/thong-tin/blog/kiem-tra-no-xau
https://techcombank.com/thong-tin/blog/vay-tin-chap-khong-tra-duoc-co-sao-khong")</f>
        <v>https://techcombank.com/thong-tin/blog/cic-la-gi
https://techcombank.com/cong-cu-tien-ich/cong-cu-tinh-toan/bang-tinh-lai-suat-vay
https://techcombank.com/thong-tin/blog/app-vay-tien-nhanh
https://techcombank.com/thong-tin/blog/vay-thau-chi-la-gi
https://techcombank.com/thong-tin/blog/kiem-tra-no-xau
https://techcombank.com/thong-tin/blog/vay-tin-chap-khong-tra-duoc-co-sao-khong</v>
      </c>
      <c r="D232" s="20"/>
      <c r="E232" s="20"/>
      <c r="F232" s="20"/>
      <c r="G232" s="20"/>
      <c r="H232" s="20"/>
      <c r="I232" s="20"/>
      <c r="J232" s="20"/>
      <c r="K232" s="20"/>
      <c r="L232" s="20"/>
      <c r="M232" s="20"/>
      <c r="N232" s="20"/>
      <c r="O232" s="20"/>
      <c r="P232" s="20"/>
      <c r="Q232" s="20"/>
      <c r="R232" s="20"/>
      <c r="S232" s="20"/>
      <c r="T232" s="20"/>
      <c r="U232" s="20"/>
      <c r="V232" s="20"/>
      <c r="W232" s="20"/>
      <c r="X232" s="20"/>
    </row>
    <row r="233">
      <c r="A233" s="27" t="str">
        <f>IFERROR(__xludf.DUMMYFUNCTION("""COMPUTED_VALUE"""),"https://techcombank.com/thong-tin/blog/no-xau")</f>
        <v>https://techcombank.com/thong-tin/blog/no-xau</v>
      </c>
      <c r="B233" s="28">
        <f>IFERROR(__xludf.DUMMYFUNCTION("""COMPUTED_VALUE"""),6.0)</f>
        <v>6</v>
      </c>
      <c r="C233" s="20" t="str">
        <f>IFERROR(__xludf.DUMMYFUNCTION("IF(A233="""","""",TEXTJOIN(CHAR(10),TRUE,FILTER('Tổng hợp 75 trang đích'!$B$2:$B$3400,'Tổng hợp 75 trang đích'!$I$2:$I$3400=A233)))"),"https://techcombank.com/thong-tin/blog/cic-la-gi
https://techcombank.com/thong-tin/blog/xep-hang-tin-dung
https://techcombank.com/thong-tin/blog/app-vay-tien-nhanh
https://techcombank.com/thong-tin/blog/kiem-tra-no-xau
https://techcombank.com/thong-tin/bl"&amp;"og/no-xau-la-gi
https://techcombank.com/thong-tin/blog/vay-tin-chap-khong-tra-duoc-co-sao-khong")</f>
        <v>https://techcombank.com/thong-tin/blog/cic-la-gi
https://techcombank.com/thong-tin/blog/xep-hang-tin-dung
https://techcombank.com/thong-tin/blog/app-vay-tien-nhanh
https://techcombank.com/thong-tin/blog/kiem-tra-no-xau
https://techcombank.com/thong-tin/blog/no-xau-la-gi
https://techcombank.com/thong-tin/blog/vay-tin-chap-khong-tra-duoc-co-sao-khong</v>
      </c>
      <c r="D233" s="20"/>
      <c r="E233" s="20"/>
      <c r="F233" s="20"/>
      <c r="G233" s="20"/>
      <c r="H233" s="20"/>
      <c r="I233" s="20"/>
      <c r="J233" s="20"/>
      <c r="K233" s="20"/>
      <c r="L233" s="20"/>
      <c r="M233" s="20"/>
      <c r="N233" s="20"/>
      <c r="O233" s="20"/>
      <c r="P233" s="20"/>
      <c r="Q233" s="20"/>
      <c r="R233" s="20"/>
      <c r="S233" s="20"/>
      <c r="T233" s="20"/>
      <c r="U233" s="20"/>
      <c r="V233" s="20"/>
      <c r="W233" s="20"/>
      <c r="X233" s="20"/>
    </row>
    <row r="234">
      <c r="A234" s="27" t="str">
        <f>IFERROR(__xludf.DUMMYFUNCTION("""COMPUTED_VALUE"""),"https://techcombank.com/thong-tin/blog/no-xau-la-gi")</f>
        <v>https://techcombank.com/thong-tin/blog/no-xau-la-gi</v>
      </c>
      <c r="B234" s="28">
        <f>IFERROR(__xludf.DUMMYFUNCTION("""COMPUTED_VALUE"""),6.0)</f>
        <v>6</v>
      </c>
      <c r="C234" s="20" t="str">
        <f>IFERROR(__xludf.DUMMYFUNCTION("IF(A234="""","""",TEXTJOIN(CHAR(10),TRUE,FILTER('Tổng hợp 75 trang đích'!$B$2:$B$3400,'Tổng hợp 75 trang đích'!$I$2:$I$3400=A234)))"),"https://techcombank.com/thong-tin/blog/cic-la-gi
https://techcombank.com/thong-tin/blog/xep-hang-tin-dung
https://techcombank.com/cong-cu-tien-ich/cong-cu-tinh-toan/bang-tinh-lai-suat-vay
https://techcombank.com/thong-tin/blog/app-vay-tien-nhanh
https://t"&amp;"echcombank.com/thong-tin/blog/kiem-tra-no-xau
https://techcombank.com/thong-tin/blog/vay-tin-chap-khong-tra-duoc-co-sao-khong")</f>
        <v>https://techcombank.com/thong-tin/blog/cic-la-gi
https://techcombank.com/thong-tin/blog/xep-hang-tin-dung
https://techcombank.com/cong-cu-tien-ich/cong-cu-tinh-toan/bang-tinh-lai-suat-vay
https://techcombank.com/thong-tin/blog/app-vay-tien-nhanh
https://techcombank.com/thong-tin/blog/kiem-tra-no-xau
https://techcombank.com/thong-tin/blog/vay-tin-chap-khong-tra-duoc-co-sao-khong</v>
      </c>
      <c r="D234" s="20"/>
      <c r="E234" s="20"/>
      <c r="F234" s="20"/>
      <c r="G234" s="20"/>
      <c r="H234" s="20"/>
      <c r="I234" s="20"/>
      <c r="J234" s="20"/>
      <c r="K234" s="20"/>
      <c r="L234" s="20"/>
      <c r="M234" s="20"/>
      <c r="N234" s="20"/>
      <c r="O234" s="20"/>
      <c r="P234" s="20"/>
      <c r="Q234" s="20"/>
      <c r="R234" s="20"/>
      <c r="S234" s="20"/>
      <c r="T234" s="20"/>
      <c r="U234" s="20"/>
      <c r="V234" s="20"/>
      <c r="W234" s="20"/>
      <c r="X234" s="20"/>
    </row>
    <row r="235">
      <c r="A235" s="27" t="str">
        <f>IFERROR(__xludf.DUMMYFUNCTION("""COMPUTED_VALUE"""),"https://techcombank.com/thong-tin/blog/one-stop-shop")</f>
        <v>https://techcombank.com/thong-tin/blog/one-stop-shop</v>
      </c>
      <c r="B235" s="28">
        <f>IFERROR(__xludf.DUMMYFUNCTION("""COMPUTED_VALUE"""),6.0)</f>
        <v>6</v>
      </c>
      <c r="C235" s="20" t="str">
        <f>IFERROR(__xludf.DUMMYFUNCTION("IF(A235="""","""",TEXTJOIN(CHAR(10),TRUE,FILTER('Tổng hợp 75 trang đích'!$B$2:$B$3400,'Tổng hợp 75 trang đích'!$I$2:$I$3400=A235)))"),"https://techcombank.com/thong-tin/blog/nop-thue-dat-qua-ngan-hang
https://techcombank.com/thong-tin/blog/cach-nop-thue-dien-tu
https://techcombank.com/thong-tin/blog/thue-vat-la-gi
https://techcombank.com/thong-tin/blog/mo-hinh-kinh-doanh-la-gi
https://te"&amp;"chcombank.com/thong-tin/blog/gui-ma-qr-ngan-hang
https://techcombank.com/thong-tin/blog/app-vay-tien-nhanh")</f>
        <v>https://techcombank.com/thong-tin/blog/nop-thue-dat-qua-ngan-hang
https://techcombank.com/thong-tin/blog/cach-nop-thue-dien-tu
https://techcombank.com/thong-tin/blog/thue-vat-la-gi
https://techcombank.com/thong-tin/blog/mo-hinh-kinh-doanh-la-gi
https://techcombank.com/thong-tin/blog/gui-ma-qr-ngan-hang
https://techcombank.com/thong-tin/blog/app-vay-tien-nhanh</v>
      </c>
      <c r="D235" s="20"/>
      <c r="E235" s="20"/>
      <c r="F235" s="20"/>
      <c r="G235" s="20"/>
      <c r="H235" s="20"/>
      <c r="I235" s="20"/>
      <c r="J235" s="20"/>
      <c r="K235" s="20"/>
      <c r="L235" s="20"/>
      <c r="M235" s="20"/>
      <c r="N235" s="20"/>
      <c r="O235" s="20"/>
      <c r="P235" s="20"/>
      <c r="Q235" s="20"/>
      <c r="R235" s="20"/>
      <c r="S235" s="20"/>
      <c r="T235" s="20"/>
      <c r="U235" s="20"/>
      <c r="V235" s="20"/>
      <c r="W235" s="20"/>
      <c r="X235" s="20"/>
    </row>
    <row r="236">
      <c r="A236" s="27" t="str">
        <f>IFERROR(__xludf.DUMMYFUNCTION("""COMPUTED_VALUE"""),"https://techcombank.com/thong-tin/blog/quy-trinh-cho-vay-tieu-dung")</f>
        <v>https://techcombank.com/thong-tin/blog/quy-trinh-cho-vay-tieu-dung</v>
      </c>
      <c r="B236" s="28">
        <f>IFERROR(__xludf.DUMMYFUNCTION("""COMPUTED_VALUE"""),6.0)</f>
        <v>6</v>
      </c>
      <c r="C236" s="20" t="str">
        <f>IFERROR(__xludf.DUMMYFUNCTION("IF(A236="""","""",TEXTJOIN(CHAR(10),TRUE,FILTER('Tổng hợp 75 trang đích'!$B$2:$B$3400,'Tổng hợp 75 trang đích'!$I$2:$I$3400=A236)))"),"https://techcombank.com/thong-tin/blog/cic-la-gi
https://techcombank.com/thong-tin/blog/lai-suat-tiet-kiem
https://techcombank.com/cong-cu-tien-ich/cong-cu-tinh-toan/bang-tinh-lai-suat-vay
https://techcombank.com/thong-tin/blog/app-vay-tien-nhanh
https://"&amp;"techcombank.com/thong-tin/blog/lai-suat-vay-ngan-hang
https://techcombank.com/thong-tin/blog/nen-vay-tin-chap-o-dau")</f>
        <v>https://techcombank.com/thong-tin/blog/cic-la-gi
https://techcombank.com/thong-tin/blog/lai-suat-tiet-kiem
https://techcombank.com/cong-cu-tien-ich/cong-cu-tinh-toan/bang-tinh-lai-suat-vay
https://techcombank.com/thong-tin/blog/app-vay-tien-nhanh
https://techcombank.com/thong-tin/blog/lai-suat-vay-ngan-hang
https://techcombank.com/thong-tin/blog/nen-vay-tin-chap-o-dau</v>
      </c>
      <c r="D236" s="20"/>
      <c r="E236" s="20"/>
      <c r="F236" s="20"/>
      <c r="G236" s="20"/>
      <c r="H236" s="20"/>
      <c r="I236" s="20"/>
      <c r="J236" s="20"/>
      <c r="K236" s="20"/>
      <c r="L236" s="20"/>
      <c r="M236" s="20"/>
      <c r="N236" s="20"/>
      <c r="O236" s="20"/>
      <c r="P236" s="20"/>
      <c r="Q236" s="20"/>
      <c r="R236" s="20"/>
      <c r="S236" s="20"/>
      <c r="T236" s="20"/>
      <c r="U236" s="20"/>
      <c r="V236" s="20"/>
      <c r="W236" s="20"/>
      <c r="X236" s="20"/>
    </row>
    <row r="237">
      <c r="A237" s="27" t="str">
        <f>IFERROR(__xludf.DUMMYFUNCTION("""COMPUTED_VALUE"""),"https://techcombank.com/thong-tin/blog/quy-trinh-gui-tien-tiet-kiem")</f>
        <v>https://techcombank.com/thong-tin/blog/quy-trinh-gui-tien-tiet-kiem</v>
      </c>
      <c r="B237" s="28">
        <f>IFERROR(__xludf.DUMMYFUNCTION("""COMPUTED_VALUE"""),6.0)</f>
        <v>6</v>
      </c>
      <c r="C237" s="20" t="str">
        <f>IFERROR(__xludf.DUMMYFUNCTION("IF(A237="""","""",TEXTJOIN(CHAR(10),TRUE,FILTER('Tổng hợp 75 trang đích'!$B$2:$B$3400,'Tổng hợp 75 trang đích'!$I$2:$I$3400=A237)))"),"https://techcombank.com/thong-tin/blog/cach-quet-nfc-cccd-tren-iphone
https://techcombank.com/thong-tin/blog/cic-la-gi
https://techcombank.com/thong-tin/blog/cach-tinh-lai-suat-tien-gui-tiet-kiem
https://techcombank.com/thong-tin/blog/so-tiet-kiem-ngan-ha"&amp;"ng
https://techcombank.com/thong-tin/blog/rui-ro-khi-gui-tiet-kiem-online
https://techcombank.com/cong-cu-tien-ich/cong-cu-tinh-toan/bang-tinh-lai-suat-tiet-kiem")</f>
        <v>https://techcombank.com/thong-tin/blog/cach-quet-nfc-cccd-tren-iphone
https://techcombank.com/thong-tin/blog/cic-la-gi
https://techcombank.com/thong-tin/blog/cach-tinh-lai-suat-tien-gui-tiet-kiem
https://techcombank.com/thong-tin/blog/so-tiet-kiem-ngan-hang
https://techcombank.com/thong-tin/blog/rui-ro-khi-gui-tiet-kiem-online
https://techcombank.com/cong-cu-tien-ich/cong-cu-tinh-toan/bang-tinh-lai-suat-tiet-kiem</v>
      </c>
      <c r="D237" s="20"/>
      <c r="E237" s="20"/>
      <c r="F237" s="20"/>
      <c r="G237" s="20"/>
      <c r="H237" s="20"/>
      <c r="I237" s="20"/>
      <c r="J237" s="20"/>
      <c r="K237" s="20"/>
      <c r="L237" s="20"/>
      <c r="M237" s="20"/>
      <c r="N237" s="20"/>
      <c r="O237" s="20"/>
      <c r="P237" s="20"/>
      <c r="Q237" s="20"/>
      <c r="R237" s="20"/>
      <c r="S237" s="20"/>
      <c r="T237" s="20"/>
      <c r="U237" s="20"/>
      <c r="V237" s="20"/>
      <c r="W237" s="20"/>
      <c r="X237" s="20"/>
    </row>
    <row r="238">
      <c r="A238" s="27" t="str">
        <f>IFERROR(__xludf.DUMMYFUNCTION("""COMPUTED_VALUE"""),"https://techcombank.com/thong-tin/blog/quyet-toan-thue-doanh-nghiep")</f>
        <v>https://techcombank.com/thong-tin/blog/quyet-toan-thue-doanh-nghiep</v>
      </c>
      <c r="B238" s="28">
        <f>IFERROR(__xludf.DUMMYFUNCTION("""COMPUTED_VALUE"""),6.0)</f>
        <v>6</v>
      </c>
      <c r="C238" s="20" t="str">
        <f>IFERROR(__xludf.DUMMYFUNCTION("IF(A238="""","""",TEXTJOIN(CHAR(10),TRUE,FILTER('Tổng hợp 75 trang đích'!$B$2:$B$3400,'Tổng hợp 75 trang đích'!$I$2:$I$3400=A238)))"),"https://techcombank.com/thong-tin/blog/nop-thue-dat-qua-ngan-hang
https://techcombank.com/thong-tin/blog/cach-nop-thue-dien-tu
https://techcombank.com/thong-tin/blog/thue-thu-nhap-doanh-nghiep
https://techcombank.com/thong-tin/blog/tra-cuu-no-thue-doanh-n"&amp;"ghiep
https://techcombank.com/thong-tin/blog/thue-doanh-nghiep
https://techcombank.com/thong-tin/blog/cach-tinh-thue-thu-nhap-doanh-nghiep")</f>
        <v>https://techcombank.com/thong-tin/blog/nop-thue-dat-qua-ngan-hang
https://techcombank.com/thong-tin/blog/cach-nop-thue-dien-tu
https://techcombank.com/thong-tin/blog/thue-thu-nhap-doanh-nghiep
https://techcombank.com/thong-tin/blog/tra-cuu-no-thue-doanh-nghiep
https://techcombank.com/thong-tin/blog/thue-doanh-nghiep
https://techcombank.com/thong-tin/blog/cach-tinh-thue-thu-nhap-doanh-nghiep</v>
      </c>
      <c r="D238" s="20"/>
      <c r="E238" s="20"/>
      <c r="F238" s="20"/>
      <c r="G238" s="20"/>
      <c r="H238" s="20"/>
      <c r="I238" s="20"/>
      <c r="J238" s="20"/>
      <c r="K238" s="20"/>
      <c r="L238" s="20"/>
      <c r="M238" s="20"/>
      <c r="N238" s="20"/>
      <c r="O238" s="20"/>
      <c r="P238" s="20"/>
      <c r="Q238" s="20"/>
      <c r="R238" s="20"/>
      <c r="S238" s="20"/>
      <c r="T238" s="20"/>
      <c r="U238" s="20"/>
      <c r="V238" s="20"/>
      <c r="W238" s="20"/>
      <c r="X238" s="20"/>
    </row>
    <row r="239">
      <c r="A239" s="27" t="str">
        <f>IFERROR(__xludf.DUMMYFUNCTION("""COMPUTED_VALUE"""),"https://techcombank.com/thong-tin/blog/rut-tien-tiet-kiem-truoc-thoi-han")</f>
        <v>https://techcombank.com/thong-tin/blog/rut-tien-tiet-kiem-truoc-thoi-han</v>
      </c>
      <c r="B239" s="28">
        <f>IFERROR(__xludf.DUMMYFUNCTION("""COMPUTED_VALUE"""),6.0)</f>
        <v>6</v>
      </c>
      <c r="C239" s="20" t="str">
        <f>IFERROR(__xludf.DUMMYFUNCTION("IF(A239="""","""",TEXTJOIN(CHAR(10),TRUE,FILTER('Tổng hợp 75 trang đích'!$B$2:$B$3400,'Tổng hợp 75 trang đích'!$I$2:$I$3400=A239)))"),"https://techcombank.com/thong-tin/blog/eco-card
https://techcombank.com/thong-tin/blog/rut-tien-mat-tu-the-tin-dung
https://techcombank.com/thong-tin/blog/lai-suat-tiet-kiem
https://techcombank.com/thong-tin/blog/cach-tinh-lai-suat-tien-gui-tiet-kiem
http"&amp;"s://techcombank.com/thong-tin/blog/so-tiet-kiem-ngan-hang
https://techcombank.com/cong-cu-tien-ich/cong-cu-tinh-toan/bang-tinh-lai-suat-tiet-kiem")</f>
        <v>https://techcombank.com/thong-tin/blog/eco-card
https://techcombank.com/thong-tin/blog/rut-tien-mat-tu-the-tin-dung
https://techcombank.com/thong-tin/blog/lai-suat-tiet-kiem
https://techcombank.com/thong-tin/blog/cach-tinh-lai-suat-tien-gui-tiet-kiem
https://techcombank.com/thong-tin/blog/so-tiet-kiem-ngan-hang
https://techcombank.com/cong-cu-tien-ich/cong-cu-tinh-toan/bang-tinh-lai-suat-tiet-kiem</v>
      </c>
      <c r="D239" s="20"/>
      <c r="E239" s="20"/>
      <c r="F239" s="20"/>
      <c r="G239" s="20"/>
      <c r="H239" s="20"/>
      <c r="I239" s="20"/>
      <c r="J239" s="20"/>
      <c r="K239" s="20"/>
      <c r="L239" s="20"/>
      <c r="M239" s="20"/>
      <c r="N239" s="20"/>
      <c r="O239" s="20"/>
      <c r="P239" s="20"/>
      <c r="Q239" s="20"/>
      <c r="R239" s="20"/>
      <c r="S239" s="20"/>
      <c r="T239" s="20"/>
      <c r="U239" s="20"/>
      <c r="V239" s="20"/>
      <c r="W239" s="20"/>
      <c r="X239" s="20"/>
    </row>
    <row r="240">
      <c r="A240" s="27" t="str">
        <f>IFERROR(__xludf.DUMMYFUNCTION("""COMPUTED_VALUE"""),"https://techcombank.com/thong-tin/blog/shopeepay-la-gi")</f>
        <v>https://techcombank.com/thong-tin/blog/shopeepay-la-gi</v>
      </c>
      <c r="B240" s="28">
        <f>IFERROR(__xludf.DUMMYFUNCTION("""COMPUTED_VALUE"""),6.0)</f>
        <v>6</v>
      </c>
      <c r="C240" s="20" t="str">
        <f>IFERROR(__xludf.DUMMYFUNCTION("IF(A240="""","""",TEXTJOIN(CHAR(10),TRUE,FILTER('Tổng hợp 75 trang đích'!$B$2:$B$3400,'Tổng hợp 75 trang đích'!$I$2:$I$3400=A240)))"),"https://techcombank.com/thong-tin/blog/cach-nap-the-viettel
https://techcombank.com/thong-tin/blog/bao-nhieu-tuoi-duoc-mo-tai-khoan-ngan-hang
https://techcombank.com/thong-tin/blog/mo-tai-khoan-ngan-hang-duoi-18-tuoi
https://techcombank.com/thong-tin/blog"&amp;"/1-yen-bang-bao-nhieu-tien-viet-nam
https://techcombank.com/thong-tin/blog/1-man-bang-bao-nhieu-tien-viet
https://techcombank.com/thong-tin/blog/1-trieu-do-bang-bao-nhieu-tien-viet")</f>
        <v>https://techcombank.com/thong-tin/blog/cach-nap-the-viettel
https://techcombank.com/thong-tin/blog/bao-nhieu-tuoi-duoc-mo-tai-khoan-ngan-hang
https://techcombank.com/thong-tin/blog/mo-tai-khoan-ngan-hang-duoi-18-tuoi
https://techcombank.com/thong-tin/blog/1-yen-bang-bao-nhieu-tien-viet-nam
https://techcombank.com/thong-tin/blog/1-man-bang-bao-nhieu-tien-viet
https://techcombank.com/thong-tin/blog/1-trieu-do-bang-bao-nhieu-tien-viet</v>
      </c>
      <c r="D240" s="20"/>
      <c r="E240" s="20"/>
      <c r="F240" s="20"/>
      <c r="G240" s="20"/>
      <c r="H240" s="20"/>
      <c r="I240" s="20"/>
      <c r="J240" s="20"/>
      <c r="K240" s="20"/>
      <c r="L240" s="20"/>
      <c r="M240" s="20"/>
      <c r="N240" s="20"/>
      <c r="O240" s="20"/>
      <c r="P240" s="20"/>
      <c r="Q240" s="20"/>
      <c r="R240" s="20"/>
      <c r="S240" s="20"/>
      <c r="T240" s="20"/>
      <c r="U240" s="20"/>
      <c r="V240" s="20"/>
      <c r="W240" s="20"/>
      <c r="X240" s="20"/>
    </row>
    <row r="241">
      <c r="A241" s="27" t="str">
        <f>IFERROR(__xludf.DUMMYFUNCTION("""COMPUTED_VALUE"""),"https://techcombank.com/thong-tin/blog/so-tiet-kiem-ngan-hang")</f>
        <v>https://techcombank.com/thong-tin/blog/so-tiet-kiem-ngan-hang</v>
      </c>
      <c r="B241" s="28">
        <f>IFERROR(__xludf.DUMMYFUNCTION("""COMPUTED_VALUE"""),6.0)</f>
        <v>6</v>
      </c>
      <c r="C241" s="20" t="str">
        <f>IFERROR(__xludf.DUMMYFUNCTION("IF(A241="""","""",TEXTJOIN(CHAR(10),TRUE,FILTER('Tổng hợp 75 trang đích'!$B$2:$B$3400,'Tổng hợp 75 trang đích'!$I$2:$I$3400=A241)))"),"https://techcombank.com/thong-tin/blog/lai-suat-chung-chi-tien-gui-cac-ngan-hang
https://techcombank.com/thong-tin/blog/lai-suat-tiet-kiem
https://techcombank.com/thong-tin/blog/cach-tinh-lai-suat-tien-gui-tiet-kiem
https://techcombank.com/thong-tin/blog/"&amp;"rut-tien-tiet-kiem-truoc-thoi-han
https://techcombank.com/cong-cu-tien-ich/cong-cu-tinh-toan/bang-tinh-lai-suat-tiet-kiem
https://techcombank.com/thong-tin/blog/app-vay-tien-nhanh")</f>
        <v>https://techcombank.com/thong-tin/blog/lai-suat-chung-chi-tien-gui-cac-ngan-hang
https://techcombank.com/thong-tin/blog/lai-suat-tiet-kiem
https://techcombank.com/thong-tin/blog/cach-tinh-lai-suat-tien-gui-tiet-kiem
https://techcombank.com/thong-tin/blog/rut-tien-tiet-kiem-truoc-thoi-han
https://techcombank.com/cong-cu-tien-ich/cong-cu-tinh-toan/bang-tinh-lai-suat-tiet-kiem
https://techcombank.com/thong-tin/blog/app-vay-tien-nhanh</v>
      </c>
      <c r="D241" s="20"/>
      <c r="E241" s="20"/>
      <c r="F241" s="20"/>
      <c r="G241" s="20"/>
      <c r="H241" s="20"/>
      <c r="I241" s="20"/>
      <c r="J241" s="20"/>
      <c r="K241" s="20"/>
      <c r="L241" s="20"/>
      <c r="M241" s="20"/>
      <c r="N241" s="20"/>
      <c r="O241" s="20"/>
      <c r="P241" s="20"/>
      <c r="Q241" s="20"/>
      <c r="R241" s="20"/>
      <c r="S241" s="20"/>
      <c r="T241" s="20"/>
      <c r="U241" s="20"/>
      <c r="V241" s="20"/>
      <c r="W241" s="20"/>
      <c r="X241" s="20"/>
    </row>
    <row r="242">
      <c r="A242" s="27" t="str">
        <f>IFERROR(__xludf.DUMMYFUNCTION("""COMPUTED_VALUE"""),"https://techcombank.com/thong-tin/blog/thanh-toan-bang-ma-qr")</f>
        <v>https://techcombank.com/thong-tin/blog/thanh-toan-bang-ma-qr</v>
      </c>
      <c r="B242" s="28">
        <f>IFERROR(__xludf.DUMMYFUNCTION("""COMPUTED_VALUE"""),6.0)</f>
        <v>6</v>
      </c>
      <c r="C242" s="20" t="str">
        <f>IFERROR(__xludf.DUMMYFUNCTION("IF(A242="""","""",TEXTJOIN(CHAR(10),TRUE,FILTER('Tổng hợp 75 trang đích'!$B$2:$B$3400,'Tổng hợp 75 trang đích'!$I$2:$I$3400=A242)))"),"https://techcombank.com/thong-tin/blog/rut-tien-bang-ma-qr-la-gi-cach-thuc-hien-nhu-the-nao
https://techcombank.com/thong-tin/blog/cic-la-gi
https://techcombank.com/thong-tin/blog/tien-thai-lan
https://techcombank.com/thong-tin/blog/mo-hinh-kinh-doanh-la-"&amp;"gi
https://techcombank.com/thong-tin/blog/gui-ma-qr-ngan-hang
https://techcombank.com/thong-tin/blog/vay-thau-chi-la-gi")</f>
        <v>https://techcombank.com/thong-tin/blog/rut-tien-bang-ma-qr-la-gi-cach-thuc-hien-nhu-the-nao
https://techcombank.com/thong-tin/blog/cic-la-gi
https://techcombank.com/thong-tin/blog/tien-thai-lan
https://techcombank.com/thong-tin/blog/mo-hinh-kinh-doanh-la-gi
https://techcombank.com/thong-tin/blog/gui-ma-qr-ngan-hang
https://techcombank.com/thong-tin/blog/vay-thau-chi-la-gi</v>
      </c>
      <c r="D242" s="20"/>
      <c r="E242" s="20"/>
      <c r="F242" s="20"/>
      <c r="G242" s="20"/>
      <c r="H242" s="20"/>
      <c r="I242" s="20"/>
      <c r="J242" s="20"/>
      <c r="K242" s="20"/>
      <c r="L242" s="20"/>
      <c r="M242" s="20"/>
      <c r="N242" s="20"/>
      <c r="O242" s="20"/>
      <c r="P242" s="20"/>
      <c r="Q242" s="20"/>
      <c r="R242" s="20"/>
      <c r="S242" s="20"/>
      <c r="T242" s="20"/>
      <c r="U242" s="20"/>
      <c r="V242" s="20"/>
      <c r="W242" s="20"/>
      <c r="X242" s="20"/>
    </row>
    <row r="243">
      <c r="A243" s="27" t="str">
        <f>IFERROR(__xludf.DUMMYFUNCTION("""COMPUTED_VALUE"""),"https://techcombank.com/thong-tin/blog/thanh-toan-tra-gop-qua-the-tin-dung")</f>
        <v>https://techcombank.com/thong-tin/blog/thanh-toan-tra-gop-qua-the-tin-dung</v>
      </c>
      <c r="B243" s="28">
        <f>IFERROR(__xludf.DUMMYFUNCTION("""COMPUTED_VALUE"""),6.0)</f>
        <v>6</v>
      </c>
      <c r="C243" s="20" t="str">
        <f>IFERROR(__xludf.DUMMYFUNCTION("IF(A243="""","""",TEXTJOIN(CHAR(10),TRUE,FILTER('Tổng hợp 75 trang đích'!$B$2:$B$3400,'Tổng hợp 75 trang đích'!$I$2:$I$3400=A243)))"),"https://techcombank.com/thong-tin/blog/cic-la-gi
https://techcombank.com/khach-hang-ca-nhan/chi-tieu/the/the-tin-dung/techcombank-everyday
https://techcombank.com/thong-tin/blog/cach-huy-the-tin-dung
https://techcombank.com/cong-cu-tien-ich/cong-cu-tinh-t"&amp;"oan/bang-tinh-lai-suat-vay
https://techcombank.com/cong-cu-tien-ich/cong-cu-tinh-toan/bang-tinh-lai-suat-tiet-kiem
https://techcombank.com/thong-tin/blog/kiem-tra-no-xau")</f>
        <v>https://techcombank.com/thong-tin/blog/cic-la-gi
https://techcombank.com/khach-hang-ca-nhan/chi-tieu/the/the-tin-dung/techcombank-everyday
https://techcombank.com/thong-tin/blog/cach-huy-the-tin-dung
https://techcombank.com/cong-cu-tien-ich/cong-cu-tinh-toan/bang-tinh-lai-suat-vay
https://techcombank.com/cong-cu-tien-ich/cong-cu-tinh-toan/bang-tinh-lai-suat-tiet-kiem
https://techcombank.com/thong-tin/blog/kiem-tra-no-xau</v>
      </c>
      <c r="D243" s="20"/>
      <c r="E243" s="20"/>
      <c r="F243" s="20"/>
      <c r="G243" s="20"/>
      <c r="H243" s="20"/>
      <c r="I243" s="20"/>
      <c r="J243" s="20"/>
      <c r="K243" s="20"/>
      <c r="L243" s="20"/>
      <c r="M243" s="20"/>
      <c r="N243" s="20"/>
      <c r="O243" s="20"/>
      <c r="P243" s="20"/>
      <c r="Q243" s="20"/>
      <c r="R243" s="20"/>
      <c r="S243" s="20"/>
      <c r="T243" s="20"/>
      <c r="U243" s="20"/>
      <c r="V243" s="20"/>
      <c r="W243" s="20"/>
      <c r="X243" s="20"/>
    </row>
    <row r="244">
      <c r="A244" s="27" t="str">
        <f>IFERROR(__xludf.DUMMYFUNCTION("""COMPUTED_VALUE"""),"https://techcombank.com/thong-tin/blog/the-chap-la-gi")</f>
        <v>https://techcombank.com/thong-tin/blog/the-chap-la-gi</v>
      </c>
      <c r="B244" s="28">
        <f>IFERROR(__xludf.DUMMYFUNCTION("""COMPUTED_VALUE"""),6.0)</f>
        <v>6</v>
      </c>
      <c r="C244" s="20" t="str">
        <f>IFERROR(__xludf.DUMMYFUNCTION("IF(A244="""","""",TEXTJOIN(CHAR(10),TRUE,FILTER('Tổng hợp 75 trang đích'!$B$2:$B$3400,'Tổng hợp 75 trang đích'!$I$2:$I$3400=A244)))"),"https://techcombank.com/thong-tin/blog/cic-la-gi
https://techcombank.com/thong-tin/blog/lai-suat-vay-the-chap-so-do
https://techcombank.com/thong-tin/blog/ho-so-thu-tuc-xoa-the-chap
https://techcombank.com/cong-cu-tien-ich/cong-cu-tinh-toan/bang-tinh-lai-"&amp;"suat-vay
https://techcombank.com/thong-tin/blog/app-vay-tien-nhanh
https://techcombank.com/thong-tin/blog/lai-suat-vay-ngan-hang")</f>
        <v>https://techcombank.com/thong-tin/blog/cic-la-gi
https://techcombank.com/thong-tin/blog/lai-suat-vay-the-chap-so-do
https://techcombank.com/thong-tin/blog/ho-so-thu-tuc-xoa-the-chap
https://techcombank.com/cong-cu-tien-ich/cong-cu-tinh-toan/bang-tinh-lai-suat-vay
https://techcombank.com/thong-tin/blog/app-vay-tien-nhanh
https://techcombank.com/thong-tin/blog/lai-suat-vay-ngan-hang</v>
      </c>
      <c r="D244" s="20"/>
      <c r="E244" s="20"/>
      <c r="F244" s="20"/>
      <c r="G244" s="20"/>
      <c r="H244" s="20"/>
      <c r="I244" s="20"/>
      <c r="J244" s="20"/>
      <c r="K244" s="20"/>
      <c r="L244" s="20"/>
      <c r="M244" s="20"/>
      <c r="N244" s="20"/>
      <c r="O244" s="20"/>
      <c r="P244" s="20"/>
      <c r="Q244" s="20"/>
      <c r="R244" s="20"/>
      <c r="S244" s="20"/>
      <c r="T244" s="20"/>
      <c r="U244" s="20"/>
      <c r="V244" s="20"/>
      <c r="W244" s="20"/>
      <c r="X244" s="20"/>
    </row>
    <row r="245">
      <c r="A245" s="27" t="str">
        <f>IFERROR(__xludf.DUMMYFUNCTION("""COMPUTED_VALUE"""),"https://techcombank.com/thong-tin/blog/the-ghi-no-visa-la-gi")</f>
        <v>https://techcombank.com/thong-tin/blog/the-ghi-no-visa-la-gi</v>
      </c>
      <c r="B245" s="28">
        <f>IFERROR(__xludf.DUMMYFUNCTION("""COMPUTED_VALUE"""),6.0)</f>
        <v>6</v>
      </c>
      <c r="C245" s="20" t="str">
        <f>IFERROR(__xludf.DUMMYFUNCTION("IF(A245="""","""",TEXTJOIN(CHAR(10),TRUE,FILTER('Tổng hợp 75 trang đích'!$B$2:$B$3400,'Tổng hợp 75 trang đích'!$I$2:$I$3400=A245)))"),"https://techcombank.com/thong-tin/blog/nap-tien-vao-tai-khoan-ngan-hang
https://techcombank.com/thong-tin/blog/cic-la-gi
https://techcombank.com/thong-tin/blog/rut-tien-mat-tu-the-tin-dung
https://techcombank.com/thong-tin/blog/cach-nhan-tien-tu-nuoc-ngoa"&amp;"i-ve-viet-nam
https://techcombank.com/thong-tin/blog/cach-tiet-kiem-tien
https://techcombank.com/cong-cu-tien-ich/cong-cu-tinh-toan/bang-tinh-lai-suat-tiet-kiem")</f>
        <v>https://techcombank.com/thong-tin/blog/nap-tien-vao-tai-khoan-ngan-hang
https://techcombank.com/thong-tin/blog/cic-la-gi
https://techcombank.com/thong-tin/blog/rut-tien-mat-tu-the-tin-dung
https://techcombank.com/thong-tin/blog/cach-nhan-tien-tu-nuoc-ngoai-ve-viet-nam
https://techcombank.com/thong-tin/blog/cach-tiet-kiem-tien
https://techcombank.com/cong-cu-tien-ich/cong-cu-tinh-toan/bang-tinh-lai-suat-tiet-kiem</v>
      </c>
      <c r="D245" s="20"/>
      <c r="E245" s="20"/>
      <c r="F245" s="20"/>
      <c r="G245" s="20"/>
      <c r="H245" s="20"/>
      <c r="I245" s="20"/>
      <c r="J245" s="20"/>
      <c r="K245" s="20"/>
      <c r="L245" s="20"/>
      <c r="M245" s="20"/>
      <c r="N245" s="20"/>
      <c r="O245" s="20"/>
      <c r="P245" s="20"/>
      <c r="Q245" s="20"/>
      <c r="R245" s="20"/>
      <c r="S245" s="20"/>
      <c r="T245" s="20"/>
      <c r="U245" s="20"/>
      <c r="V245" s="20"/>
      <c r="W245" s="20"/>
      <c r="X245" s="20"/>
    </row>
    <row r="246">
      <c r="A246" s="27" t="str">
        <f>IFERROR(__xludf.DUMMYFUNCTION("""COMPUTED_VALUE"""),"https://techcombank.com/thong-tin/blog/the-visa-co-can-mat-khau-khong")</f>
        <v>https://techcombank.com/thong-tin/blog/the-visa-co-can-mat-khau-khong</v>
      </c>
      <c r="B246" s="28">
        <f>IFERROR(__xludf.DUMMYFUNCTION("""COMPUTED_VALUE"""),6.0)</f>
        <v>6</v>
      </c>
      <c r="C246" s="20" t="str">
        <f>IFERROR(__xludf.DUMMYFUNCTION("IF(A246="""","""",TEXTJOIN(CHAR(10),TRUE,FILTER('Tổng hợp 75 trang đích'!$B$2:$B$3400,'Tổng hợp 75 trang đích'!$I$2:$I$3400=A246)))"),"https://techcombank.com/thong-tin/blog/cic-la-gi
https://techcombank.com/thong-tin/blog/lam-the-tin-dung
https://techcombank.com/khach-hang-ca-nhan/chi-tieu/the/the-tin-dung/techcombank-everyday
https://techcombank.com/thong-tin/blog/the-tin-dung-hoan-tie"&amp;"n
https://techcombank.com/thong-tin/blog/cach-huy-the-tin-dung
https://techcombank.com/thong-tin/blog/cach-thanh-toan-the-tin-dung")</f>
        <v>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246" s="20"/>
      <c r="E246" s="20"/>
      <c r="F246" s="20"/>
      <c r="G246" s="20"/>
      <c r="H246" s="20"/>
      <c r="I246" s="20"/>
      <c r="J246" s="20"/>
      <c r="K246" s="20"/>
      <c r="L246" s="20"/>
      <c r="M246" s="20"/>
      <c r="N246" s="20"/>
      <c r="O246" s="20"/>
      <c r="P246" s="20"/>
      <c r="Q246" s="20"/>
      <c r="R246" s="20"/>
      <c r="S246" s="20"/>
      <c r="T246" s="20"/>
      <c r="U246" s="20"/>
      <c r="V246" s="20"/>
      <c r="W246" s="20"/>
      <c r="X246" s="20"/>
    </row>
    <row r="247">
      <c r="A247" s="27" t="str">
        <f>IFERROR(__xludf.DUMMYFUNCTION("""COMPUTED_VALUE"""),"https://techcombank.com/thong-tin/blog/the-visa-co-may-loai")</f>
        <v>https://techcombank.com/thong-tin/blog/the-visa-co-may-loai</v>
      </c>
      <c r="B247" s="28">
        <f>IFERROR(__xludf.DUMMYFUNCTION("""COMPUTED_VALUE"""),6.0)</f>
        <v>6</v>
      </c>
      <c r="C247" s="20" t="str">
        <f>IFERROR(__xludf.DUMMYFUNCTION("IF(A247="""","""",TEXTJOIN(CHAR(10),TRUE,FILTER('Tổng hợp 75 trang đích'!$B$2:$B$3400,'Tổng hợp 75 trang đích'!$I$2:$I$3400=A247)))"),"https://techcombank.com/thong-tin/blog/cach-nap-the-viettel
https://techcombank.com/thong-tin/blog/cach-sao-ke-tai-khoan-ngan-hang
https://techcombank.com/thong-tin/blog/1000-won-bang-bao-nhieu-tien-viet
https://techcombank.com/thong-tin/blog/lai-suat-tie"&amp;"t-kiem
https://techcombank.com/thong-tin/blog/cach-tinh-lai-suat-tien-gui-tiet-kiem
https://techcombank.com/cong-cu-tien-ich/cong-cu-tinh-toan/bang-tinh-lai-suat-vay")</f>
        <v>https://techcombank.com/thong-tin/blog/cach-nap-the-viettel
https://techcombank.com/thong-tin/blog/cach-sao-ke-tai-khoan-ngan-hang
https://techcombank.com/thong-tin/blog/1000-won-bang-bao-nhieu-tien-viet
https://techcombank.com/thong-tin/blog/lai-suat-tiet-kiem
https://techcombank.com/thong-tin/blog/cach-tinh-lai-suat-tien-gui-tiet-kiem
https://techcombank.com/cong-cu-tien-ich/cong-cu-tinh-toan/bang-tinh-lai-suat-vay</v>
      </c>
      <c r="D247" s="20"/>
      <c r="E247" s="20"/>
      <c r="F247" s="20"/>
      <c r="G247" s="20"/>
      <c r="H247" s="20"/>
      <c r="I247" s="20"/>
      <c r="J247" s="20"/>
      <c r="K247" s="20"/>
      <c r="L247" s="20"/>
      <c r="M247" s="20"/>
      <c r="N247" s="20"/>
      <c r="O247" s="20"/>
      <c r="P247" s="20"/>
      <c r="Q247" s="20"/>
      <c r="R247" s="20"/>
      <c r="S247" s="20"/>
      <c r="T247" s="20"/>
      <c r="U247" s="20"/>
      <c r="V247" s="20"/>
      <c r="W247" s="20"/>
      <c r="X247" s="20"/>
    </row>
    <row r="248">
      <c r="A248" s="27" t="str">
        <f>IFERROR(__xludf.DUMMYFUNCTION("""COMPUTED_VALUE"""),"https://techcombank.com/thong-tin/blog/thi-truong-trai-phieu-co-hoi-dau-tu-trai-phieu-vang-du-lai-suat-thap")</f>
        <v>https://techcombank.com/thong-tin/blog/thi-truong-trai-phieu-co-hoi-dau-tu-trai-phieu-vang-du-lai-suat-thap</v>
      </c>
      <c r="B248" s="28">
        <f>IFERROR(__xludf.DUMMYFUNCTION("""COMPUTED_VALUE"""),6.0)</f>
        <v>6</v>
      </c>
      <c r="C248" s="20" t="str">
        <f>IFERROR(__xludf.DUMMYFUNCTION("IF(A248="""","""",TEXTJOIN(CHAR(10),TRUE,FILTER('Tổng hợp 75 trang đích'!$B$2:$B$3400,'Tổng hợp 75 trang đích'!$I$2:$I$3400=A248)))"),"https://techcombank.com/thong-tin/blog/xep-hang-tin-dung
https://techcombank.com/thong-tin/blog/lai-suat-chung-chi-tien-gui-cac-ngan-hang
https://techcombank.com/thong-tin/blog/lai-suat-tiet-kiem
https://techcombank.com/thong-tin/blog/cach-tinh-lai-suat-t"&amp;"ien-gui-tiet-kiem
https://techcombank.com/cong-cu-tien-ich/cong-cu-tinh-toan/bang-tinh-lai-suat-tiet-kiem
https://techcombank.com/thong-tin/blog/phuong-phap-dau-tu-chung-chi-quy")</f>
        <v>https://techcombank.com/thong-tin/blog/xep-hang-tin-dung
https://techcombank.com/thong-tin/blog/lai-suat-chung-chi-tien-gui-cac-ngan-hang
https://techcombank.com/thong-tin/blog/lai-suat-tiet-kiem
https://techcombank.com/thong-tin/blog/cach-tinh-lai-suat-tien-gui-tiet-kiem
https://techcombank.com/cong-cu-tien-ich/cong-cu-tinh-toan/bang-tinh-lai-suat-tiet-kiem
https://techcombank.com/thong-tin/blog/phuong-phap-dau-tu-chung-chi-quy</v>
      </c>
      <c r="D248" s="20"/>
      <c r="E248" s="20"/>
      <c r="F248" s="20"/>
      <c r="G248" s="20"/>
      <c r="H248" s="20"/>
      <c r="I248" s="20"/>
      <c r="J248" s="20"/>
      <c r="K248" s="20"/>
      <c r="L248" s="20"/>
      <c r="M248" s="20"/>
      <c r="N248" s="20"/>
      <c r="O248" s="20"/>
      <c r="P248" s="20"/>
      <c r="Q248" s="20"/>
      <c r="R248" s="20"/>
      <c r="S248" s="20"/>
      <c r="T248" s="20"/>
      <c r="U248" s="20"/>
      <c r="V248" s="20"/>
      <c r="W248" s="20"/>
      <c r="X248" s="20"/>
    </row>
    <row r="249">
      <c r="A249" s="27" t="str">
        <f>IFERROR(__xludf.DUMMYFUNCTION("""COMPUTED_VALUE"""),"https://techcombank.com/thong-tin/blog/thu-tuc-vay-von-ngan-hang-de-xay-nha")</f>
        <v>https://techcombank.com/thong-tin/blog/thu-tuc-vay-von-ngan-hang-de-xay-nha</v>
      </c>
      <c r="B249" s="28">
        <f>IFERROR(__xludf.DUMMYFUNCTION("""COMPUTED_VALUE"""),6.0)</f>
        <v>6</v>
      </c>
      <c r="C249" s="20" t="str">
        <f>IFERROR(__xludf.DUMMYFUNCTION("IF(A249="""","""",TEXTJOIN(CHAR(10),TRUE,FILTER('Tổng hợp 75 trang đích'!$B$2:$B$3400,'Tổng hợp 75 trang đích'!$I$2:$I$3400=A249)))"),"https://techcombank.com/thong-tin/blog/cic-la-gi
https://techcombank.com/thong-tin/blog/cach-tinh-lai-vay-ngan-hang
https://techcombank.com/thong-tin/blog/lai-suat-tiet-kiem
https://techcombank.com/cong-cu-tien-ich/cong-cu-tinh-toan/bang-tinh-lai-suat-vay"&amp;"
https://techcombank.com/thong-tin/blog/app-vay-tien-nhanh
https://techcombank.com/thong-tin/blog/lai-suat-vay-ngan-hang")</f>
        <v>https://techcombank.com/thong-tin/blog/cic-la-gi
https://techcombank.com/thong-tin/blog/cach-tinh-lai-vay-ngan-hang
https://techcombank.com/thong-tin/blog/lai-suat-tiet-kiem
https://techcombank.com/cong-cu-tien-ich/cong-cu-tinh-toan/bang-tinh-lai-suat-vay
https://techcombank.com/thong-tin/blog/app-vay-tien-nhanh
https://techcombank.com/thong-tin/blog/lai-suat-vay-ngan-hang</v>
      </c>
      <c r="D249" s="20"/>
      <c r="E249" s="20"/>
      <c r="F249" s="20"/>
      <c r="G249" s="20"/>
      <c r="H249" s="20"/>
      <c r="I249" s="20"/>
      <c r="J249" s="20"/>
      <c r="K249" s="20"/>
      <c r="L249" s="20"/>
      <c r="M249" s="20"/>
      <c r="N249" s="20"/>
      <c r="O249" s="20"/>
      <c r="P249" s="20"/>
      <c r="Q249" s="20"/>
      <c r="R249" s="20"/>
      <c r="S249" s="20"/>
      <c r="T249" s="20"/>
      <c r="U249" s="20"/>
      <c r="V249" s="20"/>
      <c r="W249" s="20"/>
      <c r="X249" s="20"/>
    </row>
    <row r="250">
      <c r="A250" s="27" t="str">
        <f>IFERROR(__xludf.DUMMYFUNCTION("""COMPUTED_VALUE"""),"https://techcombank.com/thong-tin/blog/thue-doanh-nghiep-2025")</f>
        <v>https://techcombank.com/thong-tin/blog/thue-doanh-nghiep-2025</v>
      </c>
      <c r="B250" s="28">
        <f>IFERROR(__xludf.DUMMYFUNCTION("""COMPUTED_VALUE"""),6.0)</f>
        <v>6</v>
      </c>
      <c r="C250" s="20" t="str">
        <f>IFERROR(__xludf.DUMMYFUNCTION("IF(A250="""","""",TEXTJOIN(CHAR(10),TRUE,FILTER('Tổng hợp 75 trang đích'!$B$2:$B$3400,'Tổng hợp 75 trang đích'!$I$2:$I$3400=A250)))"),"https://techcombank.com/thong-tin/blog/nop-thue-dat-qua-ngan-hang
https://techcombank.com/thong-tin/blog/cach-nop-thue-dien-tu
https://techcombank.com/thong-tin/blog/thue-thu-nhap-doanh-nghiep
https://techcombank.com/thong-tin/blog/thue-doanh-nghiep
https"&amp;"://techcombank.com/thong-tin/blog/cach-tinh-thue-thu-nhap-doanh-nghiep
https://techcombank.com/thong-tin/blog/ho-kinh-doanh-dong-thue-nhu-nao")</f>
        <v>https://techcombank.com/thong-tin/blog/nop-thue-dat-qua-ngan-hang
https://techcombank.com/thong-tin/blog/cach-nop-thue-dien-tu
https://techcombank.com/thong-tin/blog/thue-thu-nhap-doanh-nghiep
https://techcombank.com/thong-tin/blog/thue-doanh-nghiep
https://techcombank.com/thong-tin/blog/cach-tinh-thue-thu-nhap-doanh-nghiep
https://techcombank.com/thong-tin/blog/ho-kinh-doanh-dong-thue-nhu-nao</v>
      </c>
      <c r="D250" s="20"/>
      <c r="E250" s="20"/>
      <c r="F250" s="20"/>
      <c r="G250" s="20"/>
      <c r="H250" s="20"/>
      <c r="I250" s="20"/>
      <c r="J250" s="20"/>
      <c r="K250" s="20"/>
      <c r="L250" s="20"/>
      <c r="M250" s="20"/>
      <c r="N250" s="20"/>
      <c r="O250" s="20"/>
      <c r="P250" s="20"/>
      <c r="Q250" s="20"/>
      <c r="R250" s="20"/>
      <c r="S250" s="20"/>
      <c r="T250" s="20"/>
      <c r="U250" s="20"/>
      <c r="V250" s="20"/>
      <c r="W250" s="20"/>
      <c r="X250" s="20"/>
    </row>
    <row r="251">
      <c r="A251" s="27" t="str">
        <f>IFERROR(__xludf.DUMMYFUNCTION("""COMPUTED_VALUE"""),"https://techcombank.com/thong-tin/blog/tra-gop-shopee")</f>
        <v>https://techcombank.com/thong-tin/blog/tra-gop-shopee</v>
      </c>
      <c r="B251" s="28">
        <f>IFERROR(__xludf.DUMMYFUNCTION("""COMPUTED_VALUE"""),6.0)</f>
        <v>6</v>
      </c>
      <c r="C251" s="20" t="str">
        <f>IFERROR(__xludf.DUMMYFUNCTION("IF(A251="""","""",TEXTJOIN(CHAR(10),TRUE,FILTER('Tổng hợp 75 trang đích'!$B$2:$B$3400,'Tổng hợp 75 trang đích'!$I$2:$I$3400=A251)))"),"https://techcombank.com/thong-tin/blog/cic-la-gi
https://techcombank.com/thong-tin/blog/rut-tien-mat-tu-the-tin-dung
https://techcombank.com/thong-tin/blog/cach-huy-the-tin-dung
https://techcombank.com/thong-tin/blog/lai-suat-tiet-kiem
https://techcombank"&amp;".com/thong-tin/blog/cach-tinh-lai-suat-tien-gui-tiet-kiem
https://techcombank.com/cong-cu-tien-ich/cong-cu-tinh-toan/bang-tinh-lai-suat-vay")</f>
        <v>https://techcombank.com/thong-tin/blog/cic-la-gi
https://techcombank.com/thong-tin/blog/rut-tien-mat-tu-the-tin-dung
https://techcombank.com/thong-tin/blog/cach-huy-the-tin-dung
https://techcombank.com/thong-tin/blog/lai-suat-tiet-kiem
https://techcombank.com/thong-tin/blog/cach-tinh-lai-suat-tien-gui-tiet-kiem
https://techcombank.com/cong-cu-tien-ich/cong-cu-tinh-toan/bang-tinh-lai-suat-vay</v>
      </c>
      <c r="D251" s="20"/>
      <c r="E251" s="20"/>
      <c r="F251" s="20"/>
      <c r="G251" s="20"/>
      <c r="H251" s="20"/>
      <c r="I251" s="20"/>
      <c r="J251" s="20"/>
      <c r="K251" s="20"/>
      <c r="L251" s="20"/>
      <c r="M251" s="20"/>
      <c r="N251" s="20"/>
      <c r="O251" s="20"/>
      <c r="P251" s="20"/>
      <c r="Q251" s="20"/>
      <c r="R251" s="20"/>
      <c r="S251" s="20"/>
      <c r="T251" s="20"/>
      <c r="U251" s="20"/>
      <c r="V251" s="20"/>
      <c r="W251" s="20"/>
      <c r="X251" s="20"/>
    </row>
    <row r="252">
      <c r="A252" s="27" t="str">
        <f>IFERROR(__xludf.DUMMYFUNCTION("""COMPUTED_VALUE"""),"https://techcombank.com/thong-tin/blog/uu-dai-mo-the-tin-dung")</f>
        <v>https://techcombank.com/thong-tin/blog/uu-dai-mo-the-tin-dung</v>
      </c>
      <c r="B252" s="28">
        <f>IFERROR(__xludf.DUMMYFUNCTION("""COMPUTED_VALUE"""),6.0)</f>
        <v>6</v>
      </c>
      <c r="C252" s="20" t="str">
        <f>IFERROR(__xludf.DUMMYFUNCTION("IF(A252="""","""",TEXTJOIN(CHAR(10),TRUE,FILTER('Tổng hợp 75 trang đích'!$B$2:$B$3400,'Tổng hợp 75 trang đích'!$I$2:$I$3400=A252)))"),"https://techcombank.com/thong-tin/blog/ngan-hang-uy-tin
https://techcombank.com/thong-tin/blog/cic-la-gi
https://techcombank.com/thong-tin/blog/lam-the-tin-dung
https://techcombank.com/thong-tin/blog/the-tin-dung-hoan-tien
https://techcombank.com/thong-ti"&amp;"n/blog/cach-huy-the-tin-dung
https://techcombank.com/thong-tin/blog/lai-suat-tiet-kiem")</f>
        <v>https://techcombank.com/thong-tin/blog/ngan-hang-uy-tin
https://techcombank.com/thong-tin/blog/cic-la-gi
https://techcombank.com/thong-tin/blog/lam-the-tin-dung
https://techcombank.com/thong-tin/blog/the-tin-dung-hoan-tien
https://techcombank.com/thong-tin/blog/cach-huy-the-tin-dung
https://techcombank.com/thong-tin/blog/lai-suat-tiet-kiem</v>
      </c>
      <c r="D252" s="20"/>
      <c r="E252" s="20"/>
      <c r="F252" s="20"/>
      <c r="G252" s="20"/>
      <c r="H252" s="20"/>
      <c r="I252" s="20"/>
      <c r="J252" s="20"/>
      <c r="K252" s="20"/>
      <c r="L252" s="20"/>
      <c r="M252" s="20"/>
      <c r="N252" s="20"/>
      <c r="O252" s="20"/>
      <c r="P252" s="20"/>
      <c r="Q252" s="20"/>
      <c r="R252" s="20"/>
      <c r="S252" s="20"/>
      <c r="T252" s="20"/>
      <c r="U252" s="20"/>
      <c r="V252" s="20"/>
      <c r="W252" s="20"/>
      <c r="X252" s="20"/>
    </row>
    <row r="253">
      <c r="A253" s="27" t="str">
        <f>IFERROR(__xludf.DUMMYFUNCTION("""COMPUTED_VALUE"""),"https://techcombank.com/thong-tin/blog/vay-mua-chung-cu")</f>
        <v>https://techcombank.com/thong-tin/blog/vay-mua-chung-cu</v>
      </c>
      <c r="B253" s="28">
        <f>IFERROR(__xludf.DUMMYFUNCTION("""COMPUTED_VALUE"""),6.0)</f>
        <v>6</v>
      </c>
      <c r="C253" s="20" t="str">
        <f>IFERROR(__xludf.DUMMYFUNCTION("IF(A253="""","""",TEXTJOIN(CHAR(10),TRUE,FILTER('Tổng hợp 75 trang đích'!$B$2:$B$3400,'Tổng hợp 75 trang đích'!$I$2:$I$3400=A253)))"),"https://techcombank.com/thong-tin/blog/lai-suat-tiet-kiem
https://techcombank.com/thong-tin/blog/cach-tinh-lai-suat-tien-gui-tiet-kiem
https://techcombank.com/cong-cu-tien-ich/cong-cu-tinh-toan/bang-tinh-lai-suat-vay
https://techcombank.com/cong-cu-tien-i"&amp;"ch/cong-cu-tinh-toan/bang-tinh-lai-suat-tiet-kiem
https://techcombank.com/thong-tin/blog/app-vay-tien-nhanh
https://techcombank.com/thong-tin/blog/lai-suat-vay-ngan-hang")</f>
        <v>https://techcombank.com/thong-tin/blog/lai-suat-tiet-kiem
https://techcombank.com/thong-tin/blog/cach-tinh-lai-suat-tien-gui-tiet-kiem
https://techcombank.com/cong-cu-tien-ich/cong-cu-tinh-toan/bang-tinh-lai-suat-vay
https://techcombank.com/cong-cu-tien-ich/cong-cu-tinh-toan/bang-tinh-lai-suat-tiet-kiem
https://techcombank.com/thong-tin/blog/app-vay-tien-nhanh
https://techcombank.com/thong-tin/blog/lai-suat-vay-ngan-hang</v>
      </c>
      <c r="D253" s="20"/>
      <c r="E253" s="20"/>
      <c r="F253" s="20"/>
      <c r="G253" s="20"/>
      <c r="H253" s="20"/>
      <c r="I253" s="20"/>
      <c r="J253" s="20"/>
      <c r="K253" s="20"/>
      <c r="L253" s="20"/>
      <c r="M253" s="20"/>
      <c r="N253" s="20"/>
      <c r="O253" s="20"/>
      <c r="P253" s="20"/>
      <c r="Q253" s="20"/>
      <c r="R253" s="20"/>
      <c r="S253" s="20"/>
      <c r="T253" s="20"/>
      <c r="U253" s="20"/>
      <c r="V253" s="20"/>
      <c r="W253" s="20"/>
      <c r="X253" s="20"/>
    </row>
    <row r="254">
      <c r="A254" s="27" t="str">
        <f>IFERROR(__xludf.DUMMYFUNCTION("""COMPUTED_VALUE"""),"https://techcombank.com/thong-tin/blog/vay-mua-dien-thoai")</f>
        <v>https://techcombank.com/thong-tin/blog/vay-mua-dien-thoai</v>
      </c>
      <c r="B254" s="28">
        <f>IFERROR(__xludf.DUMMYFUNCTION("""COMPUTED_VALUE"""),6.0)</f>
        <v>6</v>
      </c>
      <c r="C254" s="20" t="str">
        <f>IFERROR(__xludf.DUMMYFUNCTION("IF(A254="""","""",TEXTJOIN(CHAR(10),TRUE,FILTER('Tổng hợp 75 trang đích'!$B$2:$B$3400,'Tổng hợp 75 trang đích'!$I$2:$I$3400=A254)))"),"https://techcombank.com/thong-tin/blog/cic-la-gi
https://techcombank.com/thong-tin/blog/lai-suat-tiet-kiem
https://techcombank.com/thong-tin/blog/cach-tinh-lai-suat-tien-gui-tiet-kiem
https://techcombank.com/cong-cu-tien-ich/cong-cu-tinh-toan/bang-tinh-la"&amp;"i-suat-vay
https://techcombank.com/thong-tin/blog/lai-suat-vay-ngan-hang
https://techcombank.com/thong-tin/blog/vay-thau-chi-la-gi")</f>
        <v>https://techcombank.com/thong-tin/blog/cic-la-gi
https://techcombank.com/thong-tin/blog/lai-suat-tiet-kiem
https://techcombank.com/thong-tin/blog/cach-tinh-lai-suat-tien-gui-tiet-kiem
https://techcombank.com/cong-cu-tien-ich/cong-cu-tinh-toan/bang-tinh-lai-suat-vay
https://techcombank.com/thong-tin/blog/lai-suat-vay-ngan-hang
https://techcombank.com/thong-tin/blog/vay-thau-chi-la-gi</v>
      </c>
      <c r="D254" s="20"/>
      <c r="E254" s="20"/>
      <c r="F254" s="20"/>
      <c r="G254" s="20"/>
      <c r="H254" s="20"/>
      <c r="I254" s="20"/>
      <c r="J254" s="20"/>
      <c r="K254" s="20"/>
      <c r="L254" s="20"/>
      <c r="M254" s="20"/>
      <c r="N254" s="20"/>
      <c r="O254" s="20"/>
      <c r="P254" s="20"/>
      <c r="Q254" s="20"/>
      <c r="R254" s="20"/>
      <c r="S254" s="20"/>
      <c r="T254" s="20"/>
      <c r="U254" s="20"/>
      <c r="V254" s="20"/>
      <c r="W254" s="20"/>
      <c r="X254" s="20"/>
    </row>
    <row r="255">
      <c r="A255" s="27" t="str">
        <f>IFERROR(__xludf.DUMMYFUNCTION("""COMPUTED_VALUE"""),"https://techcombank.com/thong-tin/blog/vay-the-chap-hop-dong-mua-ban-can-ho")</f>
        <v>https://techcombank.com/thong-tin/blog/vay-the-chap-hop-dong-mua-ban-can-ho</v>
      </c>
      <c r="B255" s="28">
        <f>IFERROR(__xludf.DUMMYFUNCTION("""COMPUTED_VALUE"""),6.0)</f>
        <v>6</v>
      </c>
      <c r="C255" s="20" t="str">
        <f>IFERROR(__xludf.DUMMYFUNCTION("IF(A255="""","""",TEXTJOIN(CHAR(10),TRUE,FILTER('Tổng hợp 75 trang đích'!$B$2:$B$3400,'Tổng hợp 75 trang đích'!$I$2:$I$3400=A255)))"),"https://techcombank.com/thong-tin/blog/tien-dai-loan
https://techcombank.com/thong-tin/blog/lai-suat-tiet-kiem
https://techcombank.com/cong-cu-tien-ich/cong-cu-tinh-toan/bang-tinh-lai-suat-vay
https://techcombank.com/thong-tin/blog/app-vay-tien-nhanh
http"&amp;"s://techcombank.com/thong-tin/blog/lai-suat-vay-ngan-hang
https://techcombank.com/thong-tin/blog/vay-thau-chi-la-gi")</f>
        <v>https://techcombank.com/thong-tin/blog/tien-dai-loan
https://techcombank.com/thong-tin/blog/lai-suat-tiet-kiem
https://techcombank.com/cong-cu-tien-ich/cong-cu-tinh-toan/bang-tinh-lai-suat-vay
https://techcombank.com/thong-tin/blog/app-vay-tien-nhanh
https://techcombank.com/thong-tin/blog/lai-suat-vay-ngan-hang
https://techcombank.com/thong-tin/blog/vay-thau-chi-la-gi</v>
      </c>
      <c r="D255" s="20"/>
      <c r="E255" s="20"/>
      <c r="F255" s="20"/>
      <c r="G255" s="20"/>
      <c r="H255" s="20"/>
      <c r="I255" s="20"/>
      <c r="J255" s="20"/>
      <c r="K255" s="20"/>
      <c r="L255" s="20"/>
      <c r="M255" s="20"/>
      <c r="N255" s="20"/>
      <c r="O255" s="20"/>
      <c r="P255" s="20"/>
      <c r="Q255" s="20"/>
      <c r="R255" s="20"/>
      <c r="S255" s="20"/>
      <c r="T255" s="20"/>
      <c r="U255" s="20"/>
      <c r="V255" s="20"/>
      <c r="W255" s="20"/>
      <c r="X255" s="20"/>
    </row>
    <row r="256">
      <c r="A256" s="27" t="str">
        <f>IFERROR(__xludf.DUMMYFUNCTION("""COMPUTED_VALUE"""),"https://techcombank.com/thong-tin/blog/vay-the-chap-qua-luong")</f>
        <v>https://techcombank.com/thong-tin/blog/vay-the-chap-qua-luong</v>
      </c>
      <c r="B256" s="28">
        <f>IFERROR(__xludf.DUMMYFUNCTION("""COMPUTED_VALUE"""),6.0)</f>
        <v>6</v>
      </c>
      <c r="C256" s="20" t="str">
        <f>IFERROR(__xludf.DUMMYFUNCTION("IF(A256="""","""",TEXTJOIN(CHAR(10),TRUE,FILTER('Tổng hợp 75 trang đích'!$B$2:$B$3400,'Tổng hợp 75 trang đích'!$I$2:$I$3400=A256)))"),"https://techcombank.com/thong-tin/blog/cach-sao-ke-tai-khoan-ngan-hang
https://techcombank.com/thong-tin/blog/lai-suat-vay-the-chap-so-do
https://techcombank.com/cong-cu-tien-ich/cong-cu-tinh-toan/bang-tinh-lai-suat-vay
https://techcombank.com/thong-tin/b"&amp;"log/app-vay-tien-nhanh
https://techcombank.com/thong-tin/blog/vay-thau-chi-la-gi
https://techcombank.com/thong-tin/blog/nen-vay-tin-chap-o-dau")</f>
        <v>https://techcombank.com/thong-tin/blog/cach-sao-ke-tai-khoan-ngan-hang
https://techcombank.com/thong-tin/blog/lai-suat-vay-the-chap-so-do
https://techcombank.com/cong-cu-tien-ich/cong-cu-tinh-toan/bang-tinh-lai-suat-vay
https://techcombank.com/thong-tin/blog/app-vay-tien-nhanh
https://techcombank.com/thong-tin/blog/vay-thau-chi-la-gi
https://techcombank.com/thong-tin/blog/nen-vay-tin-chap-o-dau</v>
      </c>
      <c r="D256" s="20"/>
      <c r="E256" s="20"/>
      <c r="F256" s="20"/>
      <c r="G256" s="20"/>
      <c r="H256" s="20"/>
      <c r="I256" s="20"/>
      <c r="J256" s="20"/>
      <c r="K256" s="20"/>
      <c r="L256" s="20"/>
      <c r="M256" s="20"/>
      <c r="N256" s="20"/>
      <c r="O256" s="20"/>
      <c r="P256" s="20"/>
      <c r="Q256" s="20"/>
      <c r="R256" s="20"/>
      <c r="S256" s="20"/>
      <c r="T256" s="20"/>
      <c r="U256" s="20"/>
      <c r="V256" s="20"/>
      <c r="W256" s="20"/>
      <c r="X256" s="20"/>
    </row>
    <row r="257">
      <c r="A257" s="27" t="str">
        <f>IFERROR(__xludf.DUMMYFUNCTION("""COMPUTED_VALUE"""),"https://techcombank.com/thong-tin/blog/1-van-tien-dai-loan-bang-bao-nhieu-tien-viet")</f>
        <v>https://techcombank.com/thong-tin/blog/1-van-tien-dai-loan-bang-bao-nhieu-tien-viet</v>
      </c>
      <c r="B257" s="28">
        <f>IFERROR(__xludf.DUMMYFUNCTION("""COMPUTED_VALUE"""),5.0)</f>
        <v>5</v>
      </c>
      <c r="C257" s="20" t="str">
        <f>IFERROR(__xludf.DUMMYFUNCTION("IF(A257="""","""",TEXTJOIN(CHAR(10),TRUE,FILTER('Tổng hợp 75 trang đích'!$B$2:$B$3400,'Tổng hợp 75 trang đích'!$I$2:$I$3400=A257)))"),"https://techcombank.com/thong-tin/blog/1-yen-bang-bao-nhieu-tien-viet-nam
https://techcombank.com/thong-tin/blog/1-won-bang-bao-nhieu-tien-viet
https://techcombank.com/thong-tin/blog/tien-dai-loan
https://techcombank.com/thong-tin/blog/1-man-bang-bao-nhie"&amp;"u-tien-viet
https://techcombank.com/thong-tin/blog/1-trieu-do-bang-bao-nhieu-tien-viet")</f>
        <v>https://techcombank.com/thong-tin/blog/1-yen-bang-bao-nhieu-tien-viet-nam
https://techcombank.com/thong-tin/blog/1-won-bang-bao-nhieu-tien-viet
https://techcombank.com/thong-tin/blog/tien-dai-loan
https://techcombank.com/thong-tin/blog/1-man-bang-bao-nhieu-tien-viet
https://techcombank.com/thong-tin/blog/1-trieu-do-bang-bao-nhieu-tien-viet</v>
      </c>
      <c r="D257" s="20"/>
      <c r="E257" s="20"/>
      <c r="F257" s="20"/>
      <c r="G257" s="20"/>
      <c r="H257" s="20"/>
      <c r="I257" s="20"/>
      <c r="J257" s="20"/>
      <c r="K257" s="20"/>
      <c r="L257" s="20"/>
      <c r="M257" s="20"/>
      <c r="N257" s="20"/>
      <c r="O257" s="20"/>
      <c r="P257" s="20"/>
      <c r="Q257" s="20"/>
      <c r="R257" s="20"/>
      <c r="S257" s="20"/>
      <c r="T257" s="20"/>
      <c r="U257" s="20"/>
      <c r="V257" s="20"/>
      <c r="W257" s="20"/>
      <c r="X257" s="20"/>
    </row>
    <row r="258">
      <c r="A258" s="27" t="str">
        <f>IFERROR(__xludf.DUMMYFUNCTION("""COMPUTED_VALUE"""),"https://techcombank.com/thong-tin/blog/6-chiec-lo-tai-chinh-ca-nhan")</f>
        <v>https://techcombank.com/thong-tin/blog/6-chiec-lo-tai-chinh-ca-nhan</v>
      </c>
      <c r="B258" s="28">
        <f>IFERROR(__xludf.DUMMYFUNCTION("""COMPUTED_VALUE"""),5.0)</f>
        <v>5</v>
      </c>
      <c r="C258" s="20" t="str">
        <f>IFERROR(__xludf.DUMMYFUNCTION("IF(A258="""","""",TEXTJOIN(CHAR(10),TRUE,FILTER('Tổng hợp 75 trang đích'!$B$2:$B$3400,'Tổng hợp 75 trang đích'!$I$2:$I$3400=A258)))"),"https://techcombank.com/thong-tin/blog/cach-sao-ke-tai-khoan-ngan-hang
https://techcombank.com/thong-tin/blog/cic-la-gi
https://techcombank.com/thong-tin/blog/chung-chi-tien-gui-la-gi
https://techcombank.com/thong-tin/blog/lai-suat-tiet-kiem
https://techc"&amp;"ombank.com/thong-tin/blog/phuong-phap-dau-tu-chung-chi-quy")</f>
        <v>https://techcombank.com/thong-tin/blog/cach-sao-ke-tai-khoan-ngan-hang
https://techcombank.com/thong-tin/blog/cic-la-gi
https://techcombank.com/thong-tin/blog/chung-chi-tien-gui-la-gi
https://techcombank.com/thong-tin/blog/lai-suat-tiet-kiem
https://techcombank.com/thong-tin/blog/phuong-phap-dau-tu-chung-chi-quy</v>
      </c>
      <c r="D258" s="20"/>
      <c r="E258" s="20"/>
      <c r="F258" s="20"/>
      <c r="G258" s="20"/>
      <c r="H258" s="20"/>
      <c r="I258" s="20"/>
      <c r="J258" s="20"/>
      <c r="K258" s="20"/>
      <c r="L258" s="20"/>
      <c r="M258" s="20"/>
      <c r="N258" s="20"/>
      <c r="O258" s="20"/>
      <c r="P258" s="20"/>
      <c r="Q258" s="20"/>
      <c r="R258" s="20"/>
      <c r="S258" s="20"/>
      <c r="T258" s="20"/>
      <c r="U258" s="20"/>
      <c r="V258" s="20"/>
      <c r="W258" s="20"/>
      <c r="X258" s="20"/>
    </row>
    <row r="259">
      <c r="A259" s="27" t="str">
        <f>IFERROR(__xludf.DUMMYFUNCTION("""COMPUTED_VALUE"""),"https://techcombank.com/thong-tin/blog/app-gui-tien-tiet-kiem")</f>
        <v>https://techcombank.com/thong-tin/blog/app-gui-tien-tiet-kiem</v>
      </c>
      <c r="B259" s="28">
        <f>IFERROR(__xludf.DUMMYFUNCTION("""COMPUTED_VALUE"""),5.0)</f>
        <v>5</v>
      </c>
      <c r="C259" s="20" t="str">
        <f>IFERROR(__xludf.DUMMYFUNCTION("IF(A259="""","""",TEXTJOIN(CHAR(10),TRUE,FILTER('Tổng hợp 75 trang đích'!$B$2:$B$3400,'Tổng hợp 75 trang đích'!$I$2:$I$3400=A259)))"),"https://techcombank.com/thong-tin/blog/lai-suat-tiet-kiem
https://techcombank.com/thong-tin/blog/cach-tinh-lai-suat-tien-gui-tiet-kiem
https://techcombank.com/thong-tin/blog/rut-tien-tiet-kiem-truoc-thoi-han
https://techcombank.com/cong-cu-tien-ich/cong-c"&amp;"u-tinh-toan/bang-tinh-lai-suat-tiet-kiem
https://techcombank.com/thong-tin/blog/phuong-phap-dau-tu-chung-chi-quy")</f>
        <v>https://techcombank.com/thong-tin/blog/lai-suat-tiet-kiem
https://techcombank.com/thong-tin/blog/cach-tinh-lai-suat-tien-gui-tiet-kiem
https://techcombank.com/thong-tin/blog/rut-tien-tiet-kiem-truoc-thoi-han
https://techcombank.com/cong-cu-tien-ich/cong-cu-tinh-toan/bang-tinh-lai-suat-tiet-kiem
https://techcombank.com/thong-tin/blog/phuong-phap-dau-tu-chung-chi-quy</v>
      </c>
      <c r="D259" s="20"/>
      <c r="E259" s="20"/>
      <c r="F259" s="20"/>
      <c r="G259" s="20"/>
      <c r="H259" s="20"/>
      <c r="I259" s="20"/>
      <c r="J259" s="20"/>
      <c r="K259" s="20"/>
      <c r="L259" s="20"/>
      <c r="M259" s="20"/>
      <c r="N259" s="20"/>
      <c r="O259" s="20"/>
      <c r="P259" s="20"/>
      <c r="Q259" s="20"/>
      <c r="R259" s="20"/>
      <c r="S259" s="20"/>
      <c r="T259" s="20"/>
      <c r="U259" s="20"/>
      <c r="V259" s="20"/>
      <c r="W259" s="20"/>
      <c r="X259" s="20"/>
    </row>
    <row r="260">
      <c r="A260" s="27" t="str">
        <f>IFERROR(__xludf.DUMMYFUNCTION("""COMPUTED_VALUE"""),"https://techcombank.com/thong-tin/blog/cac-chung-chi-quy-o-viet-nam")</f>
        <v>https://techcombank.com/thong-tin/blog/cac-chung-chi-quy-o-viet-nam</v>
      </c>
      <c r="B260" s="28">
        <f>IFERROR(__xludf.DUMMYFUNCTION("""COMPUTED_VALUE"""),5.0)</f>
        <v>5</v>
      </c>
      <c r="C260" s="20" t="str">
        <f>IFERROR(__xludf.DUMMYFUNCTION("IF(A260="""","""",TEXTJOIN(CHAR(10),TRUE,FILTER('Tổng hợp 75 trang đích'!$B$2:$B$3400,'Tổng hợp 75 trang đích'!$I$2:$I$3400=A260)))"),"https://techcombank.com/thong-tin/blog/chung-chi-tien-gui-la-gi
https://techcombank.com/thong-tin/blog/cach-tinh-lai-suat-tien-gui-tiet-kiem
https://techcombank.com/thong-tin/blog/rui-ro-khi-gui-tiet-kiem-online
https://techcombank.com/cong-cu-tien-ich/co"&amp;"ng-cu-tinh-toan/bang-tinh-lai-suat-tiet-kiem
https://techcombank.com/thong-tin/blog/phuong-phap-dau-tu-chung-chi-quy")</f>
        <v>https://techcombank.com/thong-tin/blog/chung-chi-tien-gui-la-gi
https://techcombank.com/thong-tin/blog/cach-tinh-lai-suat-tien-gui-tiet-kiem
https://techcombank.com/thong-tin/blog/rui-ro-khi-gui-tiet-kiem-online
https://techcombank.com/cong-cu-tien-ich/cong-cu-tinh-toan/bang-tinh-lai-suat-tiet-kiem
https://techcombank.com/thong-tin/blog/phuong-phap-dau-tu-chung-chi-quy</v>
      </c>
      <c r="D260" s="20"/>
      <c r="E260" s="20"/>
      <c r="F260" s="20"/>
      <c r="G260" s="20"/>
      <c r="H260" s="20"/>
      <c r="I260" s="20"/>
      <c r="J260" s="20"/>
      <c r="K260" s="20"/>
      <c r="L260" s="20"/>
      <c r="M260" s="20"/>
      <c r="N260" s="20"/>
      <c r="O260" s="20"/>
      <c r="P260" s="20"/>
      <c r="Q260" s="20"/>
      <c r="R260" s="20"/>
      <c r="S260" s="20"/>
      <c r="T260" s="20"/>
      <c r="U260" s="20"/>
      <c r="V260" s="20"/>
      <c r="W260" s="20"/>
      <c r="X260" s="20"/>
    </row>
    <row r="261">
      <c r="A261" s="27" t="str">
        <f>IFERROR(__xludf.DUMMYFUNCTION("""COMPUTED_VALUE"""),"https://techcombank.com/thong-tin/blog/cac-loai-the-tin-dung")</f>
        <v>https://techcombank.com/thong-tin/blog/cac-loai-the-tin-dung</v>
      </c>
      <c r="B261" s="28">
        <f>IFERROR(__xludf.DUMMYFUNCTION("""COMPUTED_VALUE"""),5.0)</f>
        <v>5</v>
      </c>
      <c r="C261" s="20" t="str">
        <f>IFERROR(__xludf.DUMMYFUNCTION("IF(A261="""","""",TEXTJOIN(CHAR(10),TRUE,FILTER('Tổng hợp 75 trang đích'!$B$2:$B$3400,'Tổng hợp 75 trang đích'!$I$2:$I$3400=A261)))"),"https://techcombank.com/thong-tin/blog/eco-card
https://techcombank.com/thong-tin/blog/cic-la-gi
https://techcombank.com/thong-tin/blog/the-tin-dung-hoan-tien
https://techcombank.com/thong-tin/blog/cach-huy-the-tin-dung
https://techcombank.com/thong-tin/b"&amp;"log/cach-thanh-toan-the-tin-dung")</f>
        <v>https://techcombank.com/thong-tin/blog/eco-card
https://techcombank.com/thong-tin/blog/cic-la-gi
https://techcombank.com/thong-tin/blog/the-tin-dung-hoan-tien
https://techcombank.com/thong-tin/blog/cach-huy-the-tin-dung
https://techcombank.com/thong-tin/blog/cach-thanh-toan-the-tin-dung</v>
      </c>
      <c r="D261" s="20"/>
      <c r="E261" s="20"/>
      <c r="F261" s="20"/>
      <c r="G261" s="20"/>
      <c r="H261" s="20"/>
      <c r="I261" s="20"/>
      <c r="J261" s="20"/>
      <c r="K261" s="20"/>
      <c r="L261" s="20"/>
      <c r="M261" s="20"/>
      <c r="N261" s="20"/>
      <c r="O261" s="20"/>
      <c r="P261" s="20"/>
      <c r="Q261" s="20"/>
      <c r="R261" s="20"/>
      <c r="S261" s="20"/>
      <c r="T261" s="20"/>
      <c r="U261" s="20"/>
      <c r="V261" s="20"/>
      <c r="W261" s="20"/>
      <c r="X261" s="20"/>
    </row>
    <row r="262">
      <c r="A262" s="27" t="str">
        <f>IFERROR(__xludf.DUMMYFUNCTION("""COMPUTED_VALUE"""),"https://techcombank.com/thong-tin/blog/cach-chon-so-tai-khoan-dep")</f>
        <v>https://techcombank.com/thong-tin/blog/cach-chon-so-tai-khoan-dep</v>
      </c>
      <c r="B262" s="28">
        <f>IFERROR(__xludf.DUMMYFUNCTION("""COMPUTED_VALUE"""),5.0)</f>
        <v>5</v>
      </c>
      <c r="C262" s="20" t="str">
        <f>IFERROR(__xludf.DUMMYFUNCTION("IF(A262="""","""",TEXTJOIN(CHAR(10),TRUE,FILTER('Tổng hợp 75 trang đích'!$B$2:$B$3400,'Tổng hợp 75 trang đích'!$I$2:$I$3400=A262)))"),"https://techcombank.com/thong-tin/blog/cach-kiem-tra-tai-khoan-ngan-hang
https://techcombank.com/thong-tin/blog/bao-nhieu-tuoi-duoc-mo-tai-khoan-ngan-hang
https://techcombank.com/thong-tin/blog/mo-tai-khoan-ngan-hang-duoi-18-tuoi
https://techcombank.com/t"&amp;"hong-tin/blog/day-so-phat-tai-phat-loc
https://techcombank.com/thong-tin/blog/cach-quet-nfc-cccd-tren-iphone")</f>
        <v>https://techcombank.com/thong-tin/blog/cach-kiem-tra-tai-khoan-ngan-hang
https://techcombank.com/thong-tin/blog/bao-nhieu-tuoi-duoc-mo-tai-khoan-ngan-hang
https://techcombank.com/thong-tin/blog/mo-tai-khoan-ngan-hang-duoi-18-tuoi
https://techcombank.com/thong-tin/blog/day-so-phat-tai-phat-loc
https://techcombank.com/thong-tin/blog/cach-quet-nfc-cccd-tren-iphone</v>
      </c>
      <c r="D262" s="20"/>
      <c r="E262" s="20"/>
      <c r="F262" s="20"/>
      <c r="G262" s="20"/>
      <c r="H262" s="20"/>
      <c r="I262" s="20"/>
      <c r="J262" s="20"/>
      <c r="K262" s="20"/>
      <c r="L262" s="20"/>
      <c r="M262" s="20"/>
      <c r="N262" s="20"/>
      <c r="O262" s="20"/>
      <c r="P262" s="20"/>
      <c r="Q262" s="20"/>
      <c r="R262" s="20"/>
      <c r="S262" s="20"/>
      <c r="T262" s="20"/>
      <c r="U262" s="20"/>
      <c r="V262" s="20"/>
      <c r="W262" s="20"/>
      <c r="X262" s="20"/>
    </row>
    <row r="263">
      <c r="A263" s="27" t="str">
        <f>IFERROR(__xludf.DUMMYFUNCTION("""COMPUTED_VALUE"""),"https://techcombank.com/thong-tin/blog/cach-chuyen-khoan-bang-dien-thoai")</f>
        <v>https://techcombank.com/thong-tin/blog/cach-chuyen-khoan-bang-dien-thoai</v>
      </c>
      <c r="B263" s="28">
        <f>IFERROR(__xludf.DUMMYFUNCTION("""COMPUTED_VALUE"""),5.0)</f>
        <v>5</v>
      </c>
      <c r="C263" s="20" t="str">
        <f>IFERROR(__xludf.DUMMYFUNCTION("IF(A263="""","""",TEXTJOIN(CHAR(10),TRUE,FILTER('Tổng hợp 75 trang đích'!$B$2:$B$3400,'Tổng hợp 75 trang đích'!$I$2:$I$3400=A263)))"),"https://techcombank.com/thong-tin/blog/cach-nap-the-viettel
https://techcombank.com/thong-tin/blog/cach-kiem-tra-tai-khoan-ngan-hang
https://techcombank.com/thong-tin/blog/chuyen-khoan-thanh-cong-nhung-khong-nhan-duoc-tien
https://techcombank.com/thong-ti"&amp;"n/blog/cach-quet-nfc-cccd-tren-iphone
https://techcombank.com/thong-tin/blog/gui-ma-qr-ngan-hang")</f>
        <v>https://techcombank.com/thong-tin/blog/cach-nap-the-viettel
https://techcombank.com/thong-tin/blog/cach-kiem-tra-tai-khoan-ngan-hang
https://techcombank.com/thong-tin/blog/chuyen-khoan-thanh-cong-nhung-khong-nhan-duoc-tien
https://techcombank.com/thong-tin/blog/cach-quet-nfc-cccd-tren-iphone
https://techcombank.com/thong-tin/blog/gui-ma-qr-ngan-hang</v>
      </c>
      <c r="D263" s="20"/>
      <c r="E263" s="20"/>
      <c r="F263" s="20"/>
      <c r="G263" s="20"/>
      <c r="H263" s="20"/>
      <c r="I263" s="20"/>
      <c r="J263" s="20"/>
      <c r="K263" s="20"/>
      <c r="L263" s="20"/>
      <c r="M263" s="20"/>
      <c r="N263" s="20"/>
      <c r="O263" s="20"/>
      <c r="P263" s="20"/>
      <c r="Q263" s="20"/>
      <c r="R263" s="20"/>
      <c r="S263" s="20"/>
      <c r="T263" s="20"/>
      <c r="U263" s="20"/>
      <c r="V263" s="20"/>
      <c r="W263" s="20"/>
      <c r="X263" s="20"/>
    </row>
    <row r="264">
      <c r="A264" s="27" t="str">
        <f>IFERROR(__xludf.DUMMYFUNCTION("""COMPUTED_VALUE"""),"https://techcombank.com/thong-tin/blog/cach-dau-tu")</f>
        <v>https://techcombank.com/thong-tin/blog/cach-dau-tu</v>
      </c>
      <c r="B264" s="28">
        <f>IFERROR(__xludf.DUMMYFUNCTION("""COMPUTED_VALUE"""),5.0)</f>
        <v>5</v>
      </c>
      <c r="C264" s="20" t="str">
        <f>IFERROR(__xludf.DUMMYFUNCTION("IF(A264="""","""",TEXTJOIN(CHAR(10),TRUE,FILTER('Tổng hợp 75 trang đích'!$B$2:$B$3400,'Tổng hợp 75 trang đích'!$I$2:$I$3400=A264)))"),"https://techcombank.com/thong-tin/blog/nop-thue-dat-qua-ngan-hang
https://techcombank.com/thong-tin/blog/lai-suat-tiet-kiem
https://techcombank.com/thong-tin/blog/cach-tinh-lai-suat-tien-gui-tiet-kiem
https://techcombank.com/cong-cu-tien-ich/cong-cu-tinh-"&amp;"toan/bang-tinh-lai-suat-tiet-kiem
https://techcombank.com/thong-tin/blog/phuong-phap-dau-tu-chung-chi-quy")</f>
        <v>https://techcombank.com/thong-tin/blog/nop-thue-dat-qua-ngan-hang
https://techcombank.com/thong-tin/blog/lai-suat-tiet-kiem
https://techcombank.com/thong-tin/blog/cach-tinh-lai-suat-tien-gui-tiet-kiem
https://techcombank.com/cong-cu-tien-ich/cong-cu-tinh-toan/bang-tinh-lai-suat-tiet-kiem
https://techcombank.com/thong-tin/blog/phuong-phap-dau-tu-chung-chi-quy</v>
      </c>
      <c r="D264" s="20"/>
      <c r="E264" s="20"/>
      <c r="F264" s="20"/>
      <c r="G264" s="20"/>
      <c r="H264" s="20"/>
      <c r="I264" s="20"/>
      <c r="J264" s="20"/>
      <c r="K264" s="20"/>
      <c r="L264" s="20"/>
      <c r="M264" s="20"/>
      <c r="N264" s="20"/>
      <c r="O264" s="20"/>
      <c r="P264" s="20"/>
      <c r="Q264" s="20"/>
      <c r="R264" s="20"/>
      <c r="S264" s="20"/>
      <c r="T264" s="20"/>
      <c r="U264" s="20"/>
      <c r="V264" s="20"/>
      <c r="W264" s="20"/>
      <c r="X264" s="20"/>
    </row>
    <row r="265">
      <c r="A265" s="27" t="str">
        <f>IFERROR(__xludf.DUMMYFUNCTION("""COMPUTED_VALUE"""),"https://techcombank.com/thong-tin/blog/cach-huy-the-tin-dung")</f>
        <v>https://techcombank.com/thong-tin/blog/cach-huy-the-tin-dung</v>
      </c>
      <c r="B265" s="28">
        <f>IFERROR(__xludf.DUMMYFUNCTION("""COMPUTED_VALUE"""),5.0)</f>
        <v>5</v>
      </c>
      <c r="C265" s="20" t="str">
        <f>IFERROR(__xludf.DUMMYFUNCTION("IF(A265="""","""",TEXTJOIN(CHAR(10),TRUE,FILTER('Tổng hợp 75 trang đích'!$B$2:$B$3400,'Tổng hợp 75 trang đích'!$I$2:$I$3400=A265)))"),"https://techcombank.com/thong-tin/blog/cic-la-gi
https://techcombank.com/khach-hang-ca-nhan/chi-tieu/the/the-tin-dung/techcombank-everyday
https://techcombank.com/thong-tin/blog/the-tin-dung-hoan-tien
https://techcombank.com/thong-tin/blog/cach-thanh-toan"&amp;"-the-tin-dung
https://techcombank.com/thong-tin/blog/kiem-tra-no-xau")</f>
        <v>https://techcombank.com/thong-tin/blog/cic-la-gi
https://techcombank.com/khach-hang-ca-nhan/chi-tieu/the/the-tin-dung/techcombank-everyday
https://techcombank.com/thong-tin/blog/the-tin-dung-hoan-tien
https://techcombank.com/thong-tin/blog/cach-thanh-toan-the-tin-dung
https://techcombank.com/thong-tin/blog/kiem-tra-no-xau</v>
      </c>
      <c r="D265" s="20"/>
      <c r="E265" s="20"/>
      <c r="F265" s="20"/>
      <c r="G265" s="20"/>
      <c r="H265" s="20"/>
      <c r="I265" s="20"/>
      <c r="J265" s="20"/>
      <c r="K265" s="20"/>
      <c r="L265" s="20"/>
      <c r="M265" s="20"/>
      <c r="N265" s="20"/>
      <c r="O265" s="20"/>
      <c r="P265" s="20"/>
      <c r="Q265" s="20"/>
      <c r="R265" s="20"/>
      <c r="S265" s="20"/>
      <c r="T265" s="20"/>
      <c r="U265" s="20"/>
      <c r="V265" s="20"/>
      <c r="W265" s="20"/>
      <c r="X265" s="20"/>
    </row>
    <row r="266">
      <c r="A266" s="27" t="str">
        <f>IFERROR(__xludf.DUMMYFUNCTION("""COMPUTED_VALUE"""),"https://techcombank.com/thong-tin/blog/cach-nap-tien-vao-the-ghi-no")</f>
        <v>https://techcombank.com/thong-tin/blog/cach-nap-tien-vao-the-ghi-no</v>
      </c>
      <c r="B266" s="28">
        <f>IFERROR(__xludf.DUMMYFUNCTION("""COMPUTED_VALUE"""),5.0)</f>
        <v>5</v>
      </c>
      <c r="C266" s="20" t="str">
        <f>IFERROR(__xludf.DUMMYFUNCTION("IF(A266="""","""",TEXTJOIN(CHAR(10),TRUE,FILTER('Tổng hợp 75 trang đích'!$B$2:$B$3400,'Tổng hợp 75 trang đích'!$I$2:$I$3400=A266)))"),"https://techcombank.com/thong-tin/blog/cach-nap-the-viettel
https://techcombank.com/thong-tin/blog/chuyen-khoan-thanh-cong-nhung-khong-nhan-duoc-tien
https://techcombank.com/thong-tin/blog/nap-tien-vao-tai-khoan-ngan-hang
https://techcombank.com/thong-tin"&amp;"/blog/ten-dang-nhap-tai-khoan-ngan-hang-la-gi
https://techcombank.com/thong-tin/blog/eco-card")</f>
        <v>https://techcombank.com/thong-tin/blog/cach-nap-the-viettel
https://techcombank.com/thong-tin/blog/chuyen-khoan-thanh-cong-nhung-khong-nhan-duoc-tien
https://techcombank.com/thong-tin/blog/nap-tien-vao-tai-khoan-ngan-hang
https://techcombank.com/thong-tin/blog/ten-dang-nhap-tai-khoan-ngan-hang-la-gi
https://techcombank.com/thong-tin/blog/eco-card</v>
      </c>
      <c r="D266" s="20"/>
      <c r="E266" s="20"/>
      <c r="F266" s="20"/>
      <c r="G266" s="20"/>
      <c r="H266" s="20"/>
      <c r="I266" s="20"/>
      <c r="J266" s="20"/>
      <c r="K266" s="20"/>
      <c r="L266" s="20"/>
      <c r="M266" s="20"/>
      <c r="N266" s="20"/>
      <c r="O266" s="20"/>
      <c r="P266" s="20"/>
      <c r="Q266" s="20"/>
      <c r="R266" s="20"/>
      <c r="S266" s="20"/>
      <c r="T266" s="20"/>
      <c r="U266" s="20"/>
      <c r="V266" s="20"/>
      <c r="W266" s="20"/>
      <c r="X266" s="20"/>
    </row>
    <row r="267">
      <c r="A267" s="27" t="str">
        <f>IFERROR(__xludf.DUMMYFUNCTION("""COMPUTED_VALUE"""),"https://techcombank.com/thong-tin/blog/cdm")</f>
        <v>https://techcombank.com/thong-tin/blog/cdm</v>
      </c>
      <c r="B267" s="28">
        <f>IFERROR(__xludf.DUMMYFUNCTION("""COMPUTED_VALUE"""),5.0)</f>
        <v>5</v>
      </c>
      <c r="C267" s="20" t="str">
        <f>IFERROR(__xludf.DUMMYFUNCTION("IF(A267="""","""",TEXTJOIN(CHAR(10),TRUE,FILTER('Tổng hợp 75 trang đích'!$B$2:$B$3400,'Tổng hợp 75 trang đích'!$I$2:$I$3400=A267)))"),"https://techcombank.com/thong-tin/blog/cach-kiem-tra-tai-khoan-ngan-hang
https://techcombank.com/thong-tin/blog/chuyen-khoan-thanh-cong-nhung-khong-nhan-duoc-tien
https://techcombank.com/thong-tin/blog/nap-tien-vao-tai-khoan-ngan-hang
https://techcombank."&amp;"com/thong-tin/blog/rut-tien-bang-ma-qr-la-gi-cach-thuc-hien-nhu-the-nao
https://techcombank.com/thong-tin/blog/rut-tien-mat-tu-the-tin-dung")</f>
        <v>https://techcombank.com/thong-tin/blog/cach-kiem-tra-tai-khoan-ngan-hang
https://techcombank.com/thong-tin/blog/chuyen-khoan-thanh-cong-nhung-khong-nhan-duoc-tien
https://techcombank.com/thong-tin/blog/nap-tien-vao-tai-khoan-ngan-hang
https://techcombank.com/thong-tin/blog/rut-tien-bang-ma-qr-la-gi-cach-thuc-hien-nhu-the-nao
https://techcombank.com/thong-tin/blog/rut-tien-mat-tu-the-tin-dung</v>
      </c>
      <c r="D267" s="20"/>
      <c r="E267" s="20"/>
      <c r="F267" s="20"/>
      <c r="G267" s="20"/>
      <c r="H267" s="20"/>
      <c r="I267" s="20"/>
      <c r="J267" s="20"/>
      <c r="K267" s="20"/>
      <c r="L267" s="20"/>
      <c r="M267" s="20"/>
      <c r="N267" s="20"/>
      <c r="O267" s="20"/>
      <c r="P267" s="20"/>
      <c r="Q267" s="20"/>
      <c r="R267" s="20"/>
      <c r="S267" s="20"/>
      <c r="T267" s="20"/>
      <c r="U267" s="20"/>
      <c r="V267" s="20"/>
      <c r="W267" s="20"/>
      <c r="X267" s="20"/>
    </row>
    <row r="268">
      <c r="A268" s="27" t="str">
        <f>IFERROR(__xludf.DUMMYFUNCTION("""COMPUTED_VALUE"""),"https://techcombank.com/thong-tin/blog/chi-phi-mo-tai-khoan-ngan-hang-cho-cong-ty")</f>
        <v>https://techcombank.com/thong-tin/blog/chi-phi-mo-tai-khoan-ngan-hang-cho-cong-ty</v>
      </c>
      <c r="B268" s="28">
        <f>IFERROR(__xludf.DUMMYFUNCTION("""COMPUTED_VALUE"""),5.0)</f>
        <v>5</v>
      </c>
      <c r="C268" s="20" t="str">
        <f>IFERROR(__xludf.DUMMYFUNCTION("IF(A268="""","""",TEXTJOIN(CHAR(10),TRUE,FILTER('Tổng hợp 75 trang đích'!$B$2:$B$3400,'Tổng hợp 75 trang đích'!$I$2:$I$3400=A268)))"),"https://techcombank.com/thong-tin/blog/nop-thue-dat-qua-ngan-hang
https://techcombank.com/thong-tin/blog/thue-thu-nhap-doanh-nghiep
https://techcombank.com/thong-tin/blog/cong-ty-su-dung-tai-khoan-ca-nhan
https://techcombank.com/thong-tin/blog/day-so-phat"&amp;"-tai-phat-loc
https://techcombank.com/thong-tin/blog/cach-nhan-tien-tu-nuoc-ngoai-ve-viet-nam")</f>
        <v>https://techcombank.com/thong-tin/blog/nop-thue-dat-qua-ngan-hang
https://techcombank.com/thong-tin/blog/thue-thu-nhap-doanh-nghiep
https://techcombank.com/thong-tin/blog/cong-ty-su-dung-tai-khoan-ca-nhan
https://techcombank.com/thong-tin/blog/day-so-phat-tai-phat-loc
https://techcombank.com/thong-tin/blog/cach-nhan-tien-tu-nuoc-ngoai-ve-viet-nam</v>
      </c>
      <c r="D268" s="20"/>
      <c r="E268" s="20"/>
      <c r="F268" s="20"/>
      <c r="G268" s="20"/>
      <c r="H268" s="20"/>
      <c r="I268" s="20"/>
      <c r="J268" s="20"/>
      <c r="K268" s="20"/>
      <c r="L268" s="20"/>
      <c r="M268" s="20"/>
      <c r="N268" s="20"/>
      <c r="O268" s="20"/>
      <c r="P268" s="20"/>
      <c r="Q268" s="20"/>
      <c r="R268" s="20"/>
      <c r="S268" s="20"/>
      <c r="T268" s="20"/>
      <c r="U268" s="20"/>
      <c r="V268" s="20"/>
      <c r="W268" s="20"/>
      <c r="X268" s="20"/>
    </row>
    <row r="269">
      <c r="A269" s="27" t="str">
        <f>IFERROR(__xludf.DUMMYFUNCTION("""COMPUTED_VALUE"""),"https://techcombank.com/thong-tin/blog/chinh-sach-thue-moi")</f>
        <v>https://techcombank.com/thong-tin/blog/chinh-sach-thue-moi</v>
      </c>
      <c r="B269" s="28">
        <f>IFERROR(__xludf.DUMMYFUNCTION("""COMPUTED_VALUE"""),5.0)</f>
        <v>5</v>
      </c>
      <c r="C269" s="20" t="str">
        <f>IFERROR(__xludf.DUMMYFUNCTION("IF(A269="""","""",TEXTJOIN(CHAR(10),TRUE,FILTER('Tổng hợp 75 trang đích'!$B$2:$B$3400,'Tổng hợp 75 trang đích'!$I$2:$I$3400=A269)))"),"https://techcombank.com/thong-tin/blog/nop-thue-dat-qua-ngan-hang
https://techcombank.com/thong-tin/blog/thue-thu-nhap-doanh-nghiep
https://techcombank.com/thong-tin/blog/thue-doanh-nghiep
https://techcombank.com/thong-tin/blog/ho-kinh-doanh-dong-thue-nhu"&amp;"-nao
https://techcombank.com/thong-tin/blog/cach-tinh-thue-ho-kinh-doanh-nho-le")</f>
        <v>https://techcombank.com/thong-tin/blog/nop-thue-dat-qua-ngan-hang
https://techcombank.com/thong-tin/blog/thue-thu-nhap-doanh-nghiep
https://techcombank.com/thong-tin/blog/thue-doanh-nghiep
https://techcombank.com/thong-tin/blog/ho-kinh-doanh-dong-thue-nhu-nao
https://techcombank.com/thong-tin/blog/cach-tinh-thue-ho-kinh-doanh-nho-le</v>
      </c>
      <c r="D269" s="20"/>
      <c r="E269" s="20"/>
      <c r="F269" s="20"/>
      <c r="G269" s="20"/>
      <c r="H269" s="20"/>
      <c r="I269" s="20"/>
      <c r="J269" s="20"/>
      <c r="K269" s="20"/>
      <c r="L269" s="20"/>
      <c r="M269" s="20"/>
      <c r="N269" s="20"/>
      <c r="O269" s="20"/>
      <c r="P269" s="20"/>
      <c r="Q269" s="20"/>
      <c r="R269" s="20"/>
      <c r="S269" s="20"/>
      <c r="T269" s="20"/>
      <c r="U269" s="20"/>
      <c r="V269" s="20"/>
      <c r="W269" s="20"/>
      <c r="X269" s="20"/>
    </row>
    <row r="270">
      <c r="A270" s="27" t="str">
        <f>IFERROR(__xludf.DUMMYFUNCTION("""COMPUTED_VALUE"""),"https://techcombank.com/thong-tin/blog/cho-vay-tung-lan")</f>
        <v>https://techcombank.com/thong-tin/blog/cho-vay-tung-lan</v>
      </c>
      <c r="B270" s="28">
        <f>IFERROR(__xludf.DUMMYFUNCTION("""COMPUTED_VALUE"""),5.0)</f>
        <v>5</v>
      </c>
      <c r="C270" s="20" t="str">
        <f>IFERROR(__xludf.DUMMYFUNCTION("IF(A270="""","""",TEXTJOIN(CHAR(10),TRUE,FILTER('Tổng hợp 75 trang đích'!$B$2:$B$3400,'Tổng hợp 75 trang đích'!$I$2:$I$3400=A270)))"),"https://techcombank.com/thong-tin/blog/lai-suat-vay-mua-o-to
https://techcombank.com/thong-tin/blog/vay-ngan-hang-1-ty-moi-thang-tra-bao-nhieu
https://techcombank.com/thong-tin/blog/lai-suat-tiet-kiem
https://techcombank.com/cong-cu-tien-ich/cong-cu-tinh-"&amp;"toan/bang-tinh-lai-suat-vay
https://techcombank.com/thong-tin/blog/app-vay-tien-nhanh")</f>
        <v>https://techcombank.com/thong-tin/blog/lai-suat-vay-mua-o-to
https://techcombank.com/thong-tin/blog/vay-ngan-hang-1-ty-moi-thang-tra-bao-nhieu
https://techcombank.com/thong-tin/blog/lai-suat-tiet-kiem
https://techcombank.com/cong-cu-tien-ich/cong-cu-tinh-toan/bang-tinh-lai-suat-vay
https://techcombank.com/thong-tin/blog/app-vay-tien-nhanh</v>
      </c>
      <c r="D270" s="20"/>
      <c r="E270" s="20"/>
      <c r="F270" s="20"/>
      <c r="G270" s="20"/>
      <c r="H270" s="20"/>
      <c r="I270" s="20"/>
      <c r="J270" s="20"/>
      <c r="K270" s="20"/>
      <c r="L270" s="20"/>
      <c r="M270" s="20"/>
      <c r="N270" s="20"/>
      <c r="O270" s="20"/>
      <c r="P270" s="20"/>
      <c r="Q270" s="20"/>
      <c r="R270" s="20"/>
      <c r="S270" s="20"/>
      <c r="T270" s="20"/>
      <c r="U270" s="20"/>
      <c r="V270" s="20"/>
      <c r="W270" s="20"/>
      <c r="X270" s="20"/>
    </row>
    <row r="271">
      <c r="A271" s="27" t="str">
        <f>IFERROR(__xludf.DUMMYFUNCTION("""COMPUTED_VALUE"""),"https://techcombank.com/thong-tin/blog/chung-chi-tien-gui-khac-gi-so-tiet-kiem")</f>
        <v>https://techcombank.com/thong-tin/blog/chung-chi-tien-gui-khac-gi-so-tiet-kiem</v>
      </c>
      <c r="B271" s="28">
        <f>IFERROR(__xludf.DUMMYFUNCTION("""COMPUTED_VALUE"""),5.0)</f>
        <v>5</v>
      </c>
      <c r="C271" s="20" t="str">
        <f>IFERROR(__xludf.DUMMYFUNCTION("IF(A271="""","""",TEXTJOIN(CHAR(10),TRUE,FILTER('Tổng hợp 75 trang đích'!$B$2:$B$3400,'Tổng hợp 75 trang đích'!$I$2:$I$3400=A271)))"),"https://techcombank.com/thong-tin/blog/chung-chi-tien-gui-la-gi
https://techcombank.com/thong-tin/blog/cach-tinh-lai-suat-tien-gui-tiet-kiem
https://techcombank.com/thong-tin/blog/rut-tien-tiet-kiem-truoc-thoi-han
https://techcombank.com/cong-cu-tien-ich/"&amp;"cong-cu-tinh-toan/bang-tinh-lai-suat-tiet-kiem
https://techcombank.com/thong-tin/blog/app-vay-tien-nhanh")</f>
        <v>https://techcombank.com/thong-tin/blog/chung-chi-tien-gui-la-gi
https://techcombank.com/thong-tin/blog/cach-tinh-lai-suat-tien-gui-tiet-kiem
https://techcombank.com/thong-tin/blog/rut-tien-tiet-kiem-truoc-thoi-han
https://techcombank.com/cong-cu-tien-ich/cong-cu-tinh-toan/bang-tinh-lai-suat-tiet-kiem
https://techcombank.com/thong-tin/blog/app-vay-tien-nhanh</v>
      </c>
      <c r="D271" s="20"/>
      <c r="E271" s="20"/>
      <c r="F271" s="20"/>
      <c r="G271" s="20"/>
      <c r="H271" s="20"/>
      <c r="I271" s="20"/>
      <c r="J271" s="20"/>
      <c r="K271" s="20"/>
      <c r="L271" s="20"/>
      <c r="M271" s="20"/>
      <c r="N271" s="20"/>
      <c r="O271" s="20"/>
      <c r="P271" s="20"/>
      <c r="Q271" s="20"/>
      <c r="R271" s="20"/>
      <c r="S271" s="20"/>
      <c r="T271" s="20"/>
      <c r="U271" s="20"/>
      <c r="V271" s="20"/>
      <c r="W271" s="20"/>
      <c r="X271" s="20"/>
    </row>
    <row r="272">
      <c r="A272" s="27" t="str">
        <f>IFERROR(__xludf.DUMMYFUNCTION("""COMPUTED_VALUE"""),"https://techcombank.com/thong-tin/blog/chuyen-tien-tu-han-sang-viet-nam")</f>
        <v>https://techcombank.com/thong-tin/blog/chuyen-tien-tu-han-sang-viet-nam</v>
      </c>
      <c r="B272" s="28">
        <f>IFERROR(__xludf.DUMMYFUNCTION("""COMPUTED_VALUE"""),5.0)</f>
        <v>5</v>
      </c>
      <c r="C272" s="20" t="str">
        <f>IFERROR(__xludf.DUMMYFUNCTION("IF(A272="""","""",TEXTJOIN(CHAR(10),TRUE,FILTER('Tổng hợp 75 trang đích'!$B$2:$B$3400,'Tổng hợp 75 trang đích'!$I$2:$I$3400=A272)))"),"https://techcombank.com/thong-tin/blog/cic-la-gi
https://techcombank.com/thong-tin/blog/tien-nhat
https://techcombank.com/thong-tin/blog/1-won-bang-bao-nhieu-tien-viet
https://techcombank.com/thong-tin/blog/1000-won-bang-bao-nhieu-tien-viet
https://techco"&amp;"mbank.com/thong-tin/blog/rui-ro-khi-gui-tiet-kiem-online")</f>
        <v>https://techcombank.com/thong-tin/blog/cic-la-gi
https://techcombank.com/thong-tin/blog/tien-nhat
https://techcombank.com/thong-tin/blog/1-won-bang-bao-nhieu-tien-viet
https://techcombank.com/thong-tin/blog/1000-won-bang-bao-nhieu-tien-viet
https://techcombank.com/thong-tin/blog/rui-ro-khi-gui-tiet-kiem-online</v>
      </c>
      <c r="D272" s="20"/>
      <c r="E272" s="20"/>
      <c r="F272" s="20"/>
      <c r="G272" s="20"/>
      <c r="H272" s="20"/>
      <c r="I272" s="20"/>
      <c r="J272" s="20"/>
      <c r="K272" s="20"/>
      <c r="L272" s="20"/>
      <c r="M272" s="20"/>
      <c r="N272" s="20"/>
      <c r="O272" s="20"/>
      <c r="P272" s="20"/>
      <c r="Q272" s="20"/>
      <c r="R272" s="20"/>
      <c r="S272" s="20"/>
      <c r="T272" s="20"/>
      <c r="U272" s="20"/>
      <c r="V272" s="20"/>
      <c r="W272" s="20"/>
      <c r="X272" s="20"/>
    </row>
    <row r="273">
      <c r="A273" s="27" t="str">
        <f>IFERROR(__xludf.DUMMYFUNCTION("""COMPUTED_VALUE"""),"https://techcombank.com/thong-tin/blog/dang-ky-thue-ho-kinh-doanh-ca-the-online")</f>
        <v>https://techcombank.com/thong-tin/blog/dang-ky-thue-ho-kinh-doanh-ca-the-online</v>
      </c>
      <c r="B273" s="28">
        <f>IFERROR(__xludf.DUMMYFUNCTION("""COMPUTED_VALUE"""),5.0)</f>
        <v>5</v>
      </c>
      <c r="C273" s="20" t="str">
        <f>IFERROR(__xludf.DUMMYFUNCTION("IF(A273="""","""",TEXTJOIN(CHAR(10),TRUE,FILTER('Tổng hợp 75 trang đích'!$B$2:$B$3400,'Tổng hợp 75 trang đích'!$I$2:$I$3400=A273)))"),"https://techcombank.com/thong-tin/blog/nop-thue-dat-qua-ngan-hang
https://techcombank.com/thong-tin/blog/cach-nop-thue-dien-tu
https://techcombank.com/thong-tin/blog/ho-kinh-doanh-dong-thue-nhu-nao
https://techcombank.com/thong-tin/blog/mo-hinh-kinh-doanh"&amp;"-la-gi
https://techcombank.com/thong-tin/blog/app-vay-tien-nhanh")</f>
        <v>https://techcombank.com/thong-tin/blog/nop-thue-dat-qua-ngan-hang
https://techcombank.com/thong-tin/blog/cach-nop-thue-dien-tu
https://techcombank.com/thong-tin/blog/ho-kinh-doanh-dong-thue-nhu-nao
https://techcombank.com/thong-tin/blog/mo-hinh-kinh-doanh-la-gi
https://techcombank.com/thong-tin/blog/app-vay-tien-nhanh</v>
      </c>
      <c r="D273" s="20"/>
      <c r="E273" s="20"/>
      <c r="F273" s="20"/>
      <c r="G273" s="20"/>
      <c r="H273" s="20"/>
      <c r="I273" s="20"/>
      <c r="J273" s="20"/>
      <c r="K273" s="20"/>
      <c r="L273" s="20"/>
      <c r="M273" s="20"/>
      <c r="N273" s="20"/>
      <c r="O273" s="20"/>
      <c r="P273" s="20"/>
      <c r="Q273" s="20"/>
      <c r="R273" s="20"/>
      <c r="S273" s="20"/>
      <c r="T273" s="20"/>
      <c r="U273" s="20"/>
      <c r="V273" s="20"/>
      <c r="W273" s="20"/>
      <c r="X273" s="20"/>
    </row>
    <row r="274">
      <c r="A274" s="27" t="str">
        <f>IFERROR(__xludf.DUMMYFUNCTION("""COMPUTED_VALUE"""),"https://techcombank.com/thong-tin/blog/dau-tu-ngan-han")</f>
        <v>https://techcombank.com/thong-tin/blog/dau-tu-ngan-han</v>
      </c>
      <c r="B274" s="28">
        <f>IFERROR(__xludf.DUMMYFUNCTION("""COMPUTED_VALUE"""),5.0)</f>
        <v>5</v>
      </c>
      <c r="C274" s="20" t="str">
        <f>IFERROR(__xludf.DUMMYFUNCTION("IF(A274="""","""",TEXTJOIN(CHAR(10),TRUE,FILTER('Tổng hợp 75 trang đích'!$B$2:$B$3400,'Tổng hợp 75 trang đích'!$I$2:$I$3400=A274)))"),"https://techcombank.com/thong-tin/blog/lai-suat-tiet-kiem
https://techcombank.com/thong-tin/blog/cach-tinh-lai-suat-tien-gui-tiet-kiem
https://techcombank.com/thong-tin/blog/rut-tien-tiet-kiem-truoc-thoi-han
https://techcombank.com/cong-cu-tien-ich/cong-c"&amp;"u-tinh-toan/bang-tinh-lai-suat-tiet-kiem
https://techcombank.com/thong-tin/blog/phuong-phap-dau-tu-chung-chi-quy")</f>
        <v>https://techcombank.com/thong-tin/blog/lai-suat-tiet-kiem
https://techcombank.com/thong-tin/blog/cach-tinh-lai-suat-tien-gui-tiet-kiem
https://techcombank.com/thong-tin/blog/rut-tien-tiet-kiem-truoc-thoi-han
https://techcombank.com/cong-cu-tien-ich/cong-cu-tinh-toan/bang-tinh-lai-suat-tiet-kiem
https://techcombank.com/thong-tin/blog/phuong-phap-dau-tu-chung-chi-quy</v>
      </c>
      <c r="D274" s="20"/>
      <c r="E274" s="20"/>
      <c r="F274" s="20"/>
      <c r="G274" s="20"/>
      <c r="H274" s="20"/>
      <c r="I274" s="20"/>
      <c r="J274" s="20"/>
      <c r="K274" s="20"/>
      <c r="L274" s="20"/>
      <c r="M274" s="20"/>
      <c r="N274" s="20"/>
      <c r="O274" s="20"/>
      <c r="P274" s="20"/>
      <c r="Q274" s="20"/>
      <c r="R274" s="20"/>
      <c r="S274" s="20"/>
      <c r="T274" s="20"/>
      <c r="U274" s="20"/>
      <c r="V274" s="20"/>
      <c r="W274" s="20"/>
      <c r="X274" s="20"/>
    </row>
    <row r="275">
      <c r="A275" s="27" t="str">
        <f>IFERROR(__xludf.DUMMYFUNCTION("""COMPUTED_VALUE"""),"https://techcombank.com/thong-tin/blog/dau-tu-trai-phieu-doanh-nghiep-dung-ham-lai-suat-cao")</f>
        <v>https://techcombank.com/thong-tin/blog/dau-tu-trai-phieu-doanh-nghiep-dung-ham-lai-suat-cao</v>
      </c>
      <c r="B275" s="28">
        <f>IFERROR(__xludf.DUMMYFUNCTION("""COMPUTED_VALUE"""),5.0)</f>
        <v>5</v>
      </c>
      <c r="C275" s="20" t="str">
        <f>IFERROR(__xludf.DUMMYFUNCTION("IF(A275="""","""",TEXTJOIN(CHAR(10),TRUE,FILTER('Tổng hợp 75 trang đích'!$B$2:$B$3400,'Tổng hợp 75 trang đích'!$I$2:$I$3400=A275)))"),"https://techcombank.com/thong-tin/blog/chung-chi-tien-gui-la-gi
https://techcombank.com/thong-tin/blog/lai-suat-chung-chi-tien-gui-cac-ngan-hang
https://techcombank.com/thong-tin/blog/lai-suat-tiet-kiem
https://techcombank.com/thong-tin/blog/cach-tinh-lai"&amp;"-suat-tien-gui-tiet-kiem
https://techcombank.com/cong-cu-tien-ich/cong-cu-tinh-toan/bang-tinh-lai-suat-tiet-kiem")</f>
        <v>https://techcombank.com/thong-tin/blog/chung-chi-tien-gui-la-gi
https://techcombank.com/thong-tin/blog/lai-suat-chung-chi-tien-gui-cac-ngan-hang
https://techcombank.com/thong-tin/blog/lai-suat-tiet-kiem
https://techcombank.com/thong-tin/blog/cach-tinh-lai-suat-tien-gui-tiet-kiem
https://techcombank.com/cong-cu-tien-ich/cong-cu-tinh-toan/bang-tinh-lai-suat-tiet-kiem</v>
      </c>
      <c r="D275" s="20"/>
      <c r="E275" s="20"/>
      <c r="F275" s="20"/>
      <c r="G275" s="20"/>
      <c r="H275" s="20"/>
      <c r="I275" s="20"/>
      <c r="J275" s="20"/>
      <c r="K275" s="20"/>
      <c r="L275" s="20"/>
      <c r="M275" s="20"/>
      <c r="N275" s="20"/>
      <c r="O275" s="20"/>
      <c r="P275" s="20"/>
      <c r="Q275" s="20"/>
      <c r="R275" s="20"/>
      <c r="S275" s="20"/>
      <c r="T275" s="20"/>
      <c r="U275" s="20"/>
      <c r="V275" s="20"/>
      <c r="W275" s="20"/>
      <c r="X275" s="20"/>
    </row>
    <row r="276">
      <c r="A276" s="27" t="str">
        <f>IFERROR(__xludf.DUMMYFUNCTION("""COMPUTED_VALUE"""),"https://techcombank.com/thong-tin/blog/dieu-kien-thanh-lap-doanh-nghiep")</f>
        <v>https://techcombank.com/thong-tin/blog/dieu-kien-thanh-lap-doanh-nghiep</v>
      </c>
      <c r="B276" s="28">
        <f>IFERROR(__xludf.DUMMYFUNCTION("""COMPUTED_VALUE"""),5.0)</f>
        <v>5</v>
      </c>
      <c r="C276" s="20" t="str">
        <f>IFERROR(__xludf.DUMMYFUNCTION("IF(A276="""","""",TEXTJOIN(CHAR(10),TRUE,FILTER('Tổng hợp 75 trang đích'!$B$2:$B$3400,'Tổng hợp 75 trang đích'!$I$2:$I$3400=A276)))"),"https://techcombank.com/thong-tin/blog/nop-thue-dat-qua-ngan-hang
https://techcombank.com/thong-tin/blog/thue-thu-nhap-doanh-nghiep
https://techcombank.com/thong-tin/blog/thue-doanh-nghiep
https://techcombank.com/thong-tin/blog/cic-la-gi
https://techcomba"&amp;"nk.com/thong-tin/blog/tien-thai-lan")</f>
        <v>https://techcombank.com/thong-tin/blog/nop-thue-dat-qua-ngan-hang
https://techcombank.com/thong-tin/blog/thue-thu-nhap-doanh-nghiep
https://techcombank.com/thong-tin/blog/thue-doanh-nghiep
https://techcombank.com/thong-tin/blog/cic-la-gi
https://techcombank.com/thong-tin/blog/tien-thai-lan</v>
      </c>
      <c r="D276" s="20"/>
      <c r="E276" s="20"/>
      <c r="F276" s="20"/>
      <c r="G276" s="20"/>
      <c r="H276" s="20"/>
      <c r="I276" s="20"/>
      <c r="J276" s="20"/>
      <c r="K276" s="20"/>
      <c r="L276" s="20"/>
      <c r="M276" s="20"/>
      <c r="N276" s="20"/>
      <c r="O276" s="20"/>
      <c r="P276" s="20"/>
      <c r="Q276" s="20"/>
      <c r="R276" s="20"/>
      <c r="S276" s="20"/>
      <c r="T276" s="20"/>
      <c r="U276" s="20"/>
      <c r="V276" s="20"/>
      <c r="W276" s="20"/>
      <c r="X276" s="20"/>
    </row>
    <row r="277">
      <c r="A277" s="27" t="str">
        <f>IFERROR(__xludf.DUMMYFUNCTION("""COMPUTED_VALUE"""),"https://techcombank.com/thong-tin/blog/dieu-kien-vay-the-chap")</f>
        <v>https://techcombank.com/thong-tin/blog/dieu-kien-vay-the-chap</v>
      </c>
      <c r="B277" s="28">
        <f>IFERROR(__xludf.DUMMYFUNCTION("""COMPUTED_VALUE"""),5.0)</f>
        <v>5</v>
      </c>
      <c r="C277" s="20" t="str">
        <f>IFERROR(__xludf.DUMMYFUNCTION("IF(A277="""","""",TEXTJOIN(CHAR(10),TRUE,FILTER('Tổng hợp 75 trang đích'!$B$2:$B$3400,'Tổng hợp 75 trang đích'!$I$2:$I$3400=A277)))"),"https://techcombank.com/thong-tin/blog/lai-suat-vay-the-chap-so-do
https://techcombank.com/thong-tin/blog/lai-suat-tiet-kiem
https://techcombank.com/thong-tin/blog/cach-tinh-lai-suat-tien-gui-tiet-kiem
https://techcombank.com/thong-tin/blog/app-vay-tien-n"&amp;"hanh
https://techcombank.com/thong-tin/blog/no-xau-la-gi")</f>
        <v>https://techcombank.com/thong-tin/blog/lai-suat-vay-the-chap-so-do
https://techcombank.com/thong-tin/blog/lai-suat-tiet-kiem
https://techcombank.com/thong-tin/blog/cach-tinh-lai-suat-tien-gui-tiet-kiem
https://techcombank.com/thong-tin/blog/app-vay-tien-nhanh
https://techcombank.com/thong-tin/blog/no-xau-la-gi</v>
      </c>
      <c r="D277" s="20"/>
      <c r="E277" s="20"/>
      <c r="F277" s="20"/>
      <c r="G277" s="20"/>
      <c r="H277" s="20"/>
      <c r="I277" s="20"/>
      <c r="J277" s="20"/>
      <c r="K277" s="20"/>
      <c r="L277" s="20"/>
      <c r="M277" s="20"/>
      <c r="N277" s="20"/>
      <c r="O277" s="20"/>
      <c r="P277" s="20"/>
      <c r="Q277" s="20"/>
      <c r="R277" s="20"/>
      <c r="S277" s="20"/>
      <c r="T277" s="20"/>
      <c r="U277" s="20"/>
      <c r="V277" s="20"/>
      <c r="W277" s="20"/>
      <c r="X277" s="20"/>
    </row>
    <row r="278">
      <c r="A278" s="27" t="str">
        <f>IFERROR(__xludf.DUMMYFUNCTION("""COMPUTED_VALUE"""),"https://techcombank.com/thong-tin/blog/dong-ma-so-thue-ho-kinh-doanh")</f>
        <v>https://techcombank.com/thong-tin/blog/dong-ma-so-thue-ho-kinh-doanh</v>
      </c>
      <c r="B278" s="28">
        <f>IFERROR(__xludf.DUMMYFUNCTION("""COMPUTED_VALUE"""),5.0)</f>
        <v>5</v>
      </c>
      <c r="C278" s="20" t="str">
        <f>IFERROR(__xludf.DUMMYFUNCTION("IF(A278="""","""",TEXTJOIN(CHAR(10),TRUE,FILTER('Tổng hợp 75 trang đích'!$B$2:$B$3400,'Tổng hợp 75 trang đích'!$I$2:$I$3400=A278)))"),"https://techcombank.com/thong-tin/blog/nop-thue-dat-qua-ngan-hang
https://techcombank.com/thong-tin/blog/cach-nop-thue-dien-tu
https://techcombank.com/thong-tin/blog/tra-cuu-no-thue-doanh-nghiep
https://techcombank.com/thong-tin/blog/cach-tinh-thue-thu-nh"&amp;"ap-ca-nhan-2025
https://techcombank.com/thong-tin/blog/ho-kinh-doanh-dong-thue-nhu-nao")</f>
        <v>https://techcombank.com/thong-tin/blog/nop-thue-dat-qua-ngan-hang
https://techcombank.com/thong-tin/blog/cach-nop-thue-dien-tu
https://techcombank.com/thong-tin/blog/tra-cuu-no-thue-doanh-nghiep
https://techcombank.com/thong-tin/blog/cach-tinh-thue-thu-nhap-ca-nhan-2025
https://techcombank.com/thong-tin/blog/ho-kinh-doanh-dong-thue-nhu-nao</v>
      </c>
      <c r="D278" s="20"/>
      <c r="E278" s="20"/>
      <c r="F278" s="20"/>
      <c r="G278" s="20"/>
      <c r="H278" s="20"/>
      <c r="I278" s="20"/>
      <c r="J278" s="20"/>
      <c r="K278" s="20"/>
      <c r="L278" s="20"/>
      <c r="M278" s="20"/>
      <c r="N278" s="20"/>
      <c r="O278" s="20"/>
      <c r="P278" s="20"/>
      <c r="Q278" s="20"/>
      <c r="R278" s="20"/>
      <c r="S278" s="20"/>
      <c r="T278" s="20"/>
      <c r="U278" s="20"/>
      <c r="V278" s="20"/>
      <c r="W278" s="20"/>
      <c r="X278" s="20"/>
    </row>
    <row r="279">
      <c r="A279" s="27" t="str">
        <f>IFERROR(__xludf.DUMMYFUNCTION("""COMPUTED_VALUE"""),"https://techcombank.com/thong-tin/blog/giai-ngan-la-gi")</f>
        <v>https://techcombank.com/thong-tin/blog/giai-ngan-la-gi</v>
      </c>
      <c r="B279" s="28">
        <f>IFERROR(__xludf.DUMMYFUNCTION("""COMPUTED_VALUE"""),5.0)</f>
        <v>5</v>
      </c>
      <c r="C279" s="20" t="str">
        <f>IFERROR(__xludf.DUMMYFUNCTION("IF(A279="""","""",TEXTJOIN(CHAR(10),TRUE,FILTER('Tổng hợp 75 trang đích'!$B$2:$B$3400,'Tổng hợp 75 trang đích'!$I$2:$I$3400=A279)))"),"https://techcombank.com/thong-tin/blog/cach-sao-ke-tai-khoan-ngan-hang
https://techcombank.com/thong-tin/blog/cic-la-gi
https://techcombank.com/thong-tin/blog/cach-tinh-lai-suat-tien-gui-tiet-kiem
https://techcombank.com/cong-cu-tien-ich/cong-cu-tinh-toan"&amp;"/bang-tinh-lai-suat-vay
https://techcombank.com/cong-cu-tien-ich/cong-cu-tinh-toan/bang-tinh-lai-suat-tiet-kiem")</f>
        <v>https://techcombank.com/thong-tin/blog/cach-sao-ke-tai-khoan-ngan-hang
https://techcombank.com/thong-tin/blog/cic-la-gi
https://techcombank.com/thong-tin/blog/cach-tinh-lai-suat-tien-gui-tiet-kiem
https://techcombank.com/cong-cu-tien-ich/cong-cu-tinh-toan/bang-tinh-lai-suat-vay
https://techcombank.com/cong-cu-tien-ich/cong-cu-tinh-toan/bang-tinh-lai-suat-tiet-kiem</v>
      </c>
      <c r="D279" s="20"/>
      <c r="E279" s="20"/>
      <c r="F279" s="20"/>
      <c r="G279" s="20"/>
      <c r="H279" s="20"/>
      <c r="I279" s="20"/>
      <c r="J279" s="20"/>
      <c r="K279" s="20"/>
      <c r="L279" s="20"/>
      <c r="M279" s="20"/>
      <c r="N279" s="20"/>
      <c r="O279" s="20"/>
      <c r="P279" s="20"/>
      <c r="Q279" s="20"/>
      <c r="R279" s="20"/>
      <c r="S279" s="20"/>
      <c r="T279" s="20"/>
      <c r="U279" s="20"/>
      <c r="V279" s="20"/>
      <c r="W279" s="20"/>
      <c r="X279" s="20"/>
    </row>
    <row r="280">
      <c r="A280" s="27" t="str">
        <f>IFERROR(__xludf.DUMMYFUNCTION("""COMPUTED_VALUE"""),"https://techcombank.com/thong-tin/blog/gui-tiet-kiem-tich-luy-la-gi")</f>
        <v>https://techcombank.com/thong-tin/blog/gui-tiet-kiem-tich-luy-la-gi</v>
      </c>
      <c r="B280" s="28">
        <f>IFERROR(__xludf.DUMMYFUNCTION("""COMPUTED_VALUE"""),5.0)</f>
        <v>5</v>
      </c>
      <c r="C280" s="20" t="str">
        <f>IFERROR(__xludf.DUMMYFUNCTION("IF(A280="""","""",TEXTJOIN(CHAR(10),TRUE,FILTER('Tổng hợp 75 trang đích'!$B$2:$B$3400,'Tổng hợp 75 trang đích'!$I$2:$I$3400=A280)))"),"https://techcombank.com/thong-tin/blog/nap-tien-vao-tai-khoan-ngan-hang
https://techcombank.com/thong-tin/blog/lai-suat-tiet-kiem
https://techcombank.com/thong-tin/blog/cach-tinh-lai-suat-tien-gui-tiet-kiem
https://techcombank.com/thong-tin/blog/so-tiet-k"&amp;"iem-ngan-hang
https://techcombank.com/cong-cu-tien-ich/cong-cu-tinh-toan/bang-tinh-lai-suat-tiet-kiem")</f>
        <v>https://techcombank.com/thong-tin/blog/nap-tien-vao-tai-khoan-ngan-hang
https://techcombank.com/thong-tin/blog/lai-suat-tiet-kiem
https://techcombank.com/thong-tin/blog/cach-tinh-lai-suat-tien-gui-tiet-kiem
https://techcombank.com/thong-tin/blog/so-tiet-kiem-ngan-hang
https://techcombank.com/cong-cu-tien-ich/cong-cu-tinh-toan/bang-tinh-lai-suat-tiet-kiem</v>
      </c>
      <c r="D280" s="20"/>
      <c r="E280" s="20"/>
      <c r="F280" s="20"/>
      <c r="G280" s="20"/>
      <c r="H280" s="20"/>
      <c r="I280" s="20"/>
      <c r="J280" s="20"/>
      <c r="K280" s="20"/>
      <c r="L280" s="20"/>
      <c r="M280" s="20"/>
      <c r="N280" s="20"/>
      <c r="O280" s="20"/>
      <c r="P280" s="20"/>
      <c r="Q280" s="20"/>
      <c r="R280" s="20"/>
      <c r="S280" s="20"/>
      <c r="T280" s="20"/>
      <c r="U280" s="20"/>
      <c r="V280" s="20"/>
      <c r="W280" s="20"/>
      <c r="X280" s="20"/>
    </row>
    <row r="281">
      <c r="A281" s="27" t="str">
        <f>IFERROR(__xludf.DUMMYFUNCTION("""COMPUTED_VALUE"""),"https://techcombank.com/thong-tin/blog/ho-kinh-doanh-can-gi-o-tai-khoan-ngan-hang")</f>
        <v>https://techcombank.com/thong-tin/blog/ho-kinh-doanh-can-gi-o-tai-khoan-ngan-hang</v>
      </c>
      <c r="B281" s="28">
        <f>IFERROR(__xludf.DUMMYFUNCTION("""COMPUTED_VALUE"""),5.0)</f>
        <v>5</v>
      </c>
      <c r="C281" s="20" t="str">
        <f>IFERROR(__xludf.DUMMYFUNCTION("IF(A281="""","""",TEXTJOIN(CHAR(10),TRUE,FILTER('Tổng hợp 75 trang đích'!$B$2:$B$3400,'Tổng hợp 75 trang đích'!$I$2:$I$3400=A281)))"),"https://techcombank.com/thong-tin/blog/cach-tinh-tien-dien-sinh-hoat
https://techcombank.com/thong-tin/blog/chuyen-khoan-thanh-cong-nhung-khong-nhan-duoc-tien
https://techcombank.com/thong-tin/blog/doi-tien-do-o-dau
https://techcombank.com/thong-tin/blog/"&amp;"mo-tai-khoan-ho-kinh-doanh
https://techcombank.com/thong-tin/blog/lai-suat-tiet-kiem")</f>
        <v>https://techcombank.com/thong-tin/blog/cach-tinh-tien-dien-sinh-hoat
https://techcombank.com/thong-tin/blog/chuyen-khoan-thanh-cong-nhung-khong-nhan-duoc-tien
https://techcombank.com/thong-tin/blog/doi-tien-do-o-dau
https://techcombank.com/thong-tin/blog/mo-tai-khoan-ho-kinh-doanh
https://techcombank.com/thong-tin/blog/lai-suat-tiet-kiem</v>
      </c>
      <c r="D281" s="20"/>
      <c r="E281" s="20"/>
      <c r="F281" s="20"/>
      <c r="G281" s="20"/>
      <c r="H281" s="20"/>
      <c r="I281" s="20"/>
      <c r="J281" s="20"/>
      <c r="K281" s="20"/>
      <c r="L281" s="20"/>
      <c r="M281" s="20"/>
      <c r="N281" s="20"/>
      <c r="O281" s="20"/>
      <c r="P281" s="20"/>
      <c r="Q281" s="20"/>
      <c r="R281" s="20"/>
      <c r="S281" s="20"/>
      <c r="T281" s="20"/>
      <c r="U281" s="20"/>
      <c r="V281" s="20"/>
      <c r="W281" s="20"/>
      <c r="X281" s="20"/>
    </row>
    <row r="282">
      <c r="A282" s="27" t="str">
        <f>IFERROR(__xludf.DUMMYFUNCTION("""COMPUTED_VALUE"""),"https://techcombank.com/thong-tin/blog/lai-suat-chung-chi-tien-gui-cac-ngan-hang")</f>
        <v>https://techcombank.com/thong-tin/blog/lai-suat-chung-chi-tien-gui-cac-ngan-hang</v>
      </c>
      <c r="B282" s="28">
        <f>IFERROR(__xludf.DUMMYFUNCTION("""COMPUTED_VALUE"""),5.0)</f>
        <v>5</v>
      </c>
      <c r="C282" s="20" t="str">
        <f>IFERROR(__xludf.DUMMYFUNCTION("IF(A282="""","""",TEXTJOIN(CHAR(10),TRUE,FILTER('Tổng hợp 75 trang đích'!$B$2:$B$3400,'Tổng hợp 75 trang đích'!$I$2:$I$3400=A282)))"),"https://techcombank.com/thong-tin/blog/ngan-hang-uy-tin
https://techcombank.com/thong-tin/blog/chung-chi-tien-gui-la-gi
https://techcombank.com/thong-tin/blog/lai-suat-tiet-kiem
https://techcombank.com/thong-tin/blog/cach-tinh-lai-suat-tien-gui-tiet-kiem
"&amp;"https://techcombank.com/thong-tin/blog/rut-tien-tiet-kiem-truoc-thoi-han")</f>
        <v>https://techcombank.com/thong-tin/blog/ngan-hang-uy-tin
https://techcombank.com/thong-tin/blog/chung-chi-tien-gui-la-gi
https://techcombank.com/thong-tin/blog/lai-suat-tiet-kiem
https://techcombank.com/thong-tin/blog/cach-tinh-lai-suat-tien-gui-tiet-kiem
https://techcombank.com/thong-tin/blog/rut-tien-tiet-kiem-truoc-thoi-han</v>
      </c>
      <c r="D282" s="20"/>
      <c r="E282" s="20"/>
      <c r="F282" s="20"/>
      <c r="G282" s="20"/>
      <c r="H282" s="20"/>
      <c r="I282" s="20"/>
      <c r="J282" s="20"/>
      <c r="K282" s="20"/>
      <c r="L282" s="20"/>
      <c r="M282" s="20"/>
      <c r="N282" s="20"/>
      <c r="O282" s="20"/>
      <c r="P282" s="20"/>
      <c r="Q282" s="20"/>
      <c r="R282" s="20"/>
      <c r="S282" s="20"/>
      <c r="T282" s="20"/>
      <c r="U282" s="20"/>
      <c r="V282" s="20"/>
      <c r="W282" s="20"/>
      <c r="X282" s="20"/>
    </row>
    <row r="283">
      <c r="A283" s="27" t="str">
        <f>IFERROR(__xludf.DUMMYFUNCTION("""COMPUTED_VALUE"""),"https://techcombank.com/thong-tin/blog/lai-suat-gui-tiet-kiem-usd")</f>
        <v>https://techcombank.com/thong-tin/blog/lai-suat-gui-tiet-kiem-usd</v>
      </c>
      <c r="B283" s="28">
        <f>IFERROR(__xludf.DUMMYFUNCTION("""COMPUTED_VALUE"""),5.0)</f>
        <v>5</v>
      </c>
      <c r="C283" s="20" t="str">
        <f>IFERROR(__xludf.DUMMYFUNCTION("IF(A283="""","""",TEXTJOIN(CHAR(10),TRUE,FILTER('Tổng hợp 75 trang đích'!$B$2:$B$3400,'Tổng hợp 75 trang đích'!$I$2:$I$3400=A283)))"),"https://techcombank.com/thong-tin/blog/1-dong-do-la-my-bang-bao-nhieu-tien-viet-nam
https://techcombank.com/thong-tin/blog/lai-suat-tiet-kiem
https://techcombank.com/thong-tin/blog/cach-tinh-lai-suat-tien-gui-tiet-kiem
https://techcombank.com/cong-cu-tien"&amp;"-ich/cong-cu-tinh-toan/bang-tinh-lai-suat-tiet-kiem
https://techcombank.com/thong-tin/blog/app-vay-tien-nhanh")</f>
        <v>https://techcombank.com/thong-tin/blog/1-dong-do-la-my-bang-bao-nhieu-tien-viet-nam
https://techcombank.com/thong-tin/blog/lai-suat-tiet-kiem
https://techcombank.com/thong-tin/blog/cach-tinh-lai-suat-tien-gui-tiet-kiem
https://techcombank.com/cong-cu-tien-ich/cong-cu-tinh-toan/bang-tinh-lai-suat-tiet-kiem
https://techcombank.com/thong-tin/blog/app-vay-tien-nhanh</v>
      </c>
      <c r="D283" s="20"/>
      <c r="E283" s="20"/>
      <c r="F283" s="20"/>
      <c r="G283" s="20"/>
      <c r="H283" s="20"/>
      <c r="I283" s="20"/>
      <c r="J283" s="20"/>
      <c r="K283" s="20"/>
      <c r="L283" s="20"/>
      <c r="M283" s="20"/>
      <c r="N283" s="20"/>
      <c r="O283" s="20"/>
      <c r="P283" s="20"/>
      <c r="Q283" s="20"/>
      <c r="R283" s="20"/>
      <c r="S283" s="20"/>
      <c r="T283" s="20"/>
      <c r="U283" s="20"/>
      <c r="V283" s="20"/>
      <c r="W283" s="20"/>
      <c r="X283" s="20"/>
    </row>
    <row r="284">
      <c r="A284" s="27" t="str">
        <f>IFERROR(__xludf.DUMMYFUNCTION("""COMPUTED_VALUE"""),"https://techcombank.com/thong-tin/blog/lam-the-tin-dung")</f>
        <v>https://techcombank.com/thong-tin/blog/lam-the-tin-dung</v>
      </c>
      <c r="B284" s="28">
        <f>IFERROR(__xludf.DUMMYFUNCTION("""COMPUTED_VALUE"""),5.0)</f>
        <v>5</v>
      </c>
      <c r="C284" s="20" t="str">
        <f>IFERROR(__xludf.DUMMYFUNCTION("IF(A284="""","""",TEXTJOIN(CHAR(10),TRUE,FILTER('Tổng hợp 75 trang đích'!$B$2:$B$3400,'Tổng hợp 75 trang đích'!$I$2:$I$3400=A284)))"),"https://techcombank.com/thong-tin/blog/bao-nhieu-tuoi-duoc-mo-tai-khoan-ngan-hang
https://techcombank.com/thong-tin/blog/cic-la-gi
https://techcombank.com/thong-tin/blog/cach-huy-the-tin-dung
https://techcombank.com/thong-tin/blog/nen-vay-tin-chap-o-dau
h"&amp;"ttps://techcombank.com/thong-tin/blog/no-xau-la-gi")</f>
        <v>https://techcombank.com/thong-tin/blog/bao-nhieu-tuoi-duoc-mo-tai-khoan-ngan-hang
https://techcombank.com/thong-tin/blog/cic-la-gi
https://techcombank.com/thong-tin/blog/cach-huy-the-tin-dung
https://techcombank.com/thong-tin/blog/nen-vay-tin-chap-o-dau
https://techcombank.com/thong-tin/blog/no-xau-la-gi</v>
      </c>
      <c r="D284" s="20"/>
      <c r="E284" s="20"/>
      <c r="F284" s="20"/>
      <c r="G284" s="20"/>
      <c r="H284" s="20"/>
      <c r="I284" s="20"/>
      <c r="J284" s="20"/>
      <c r="K284" s="20"/>
      <c r="L284" s="20"/>
      <c r="M284" s="20"/>
      <c r="N284" s="20"/>
      <c r="O284" s="20"/>
      <c r="P284" s="20"/>
      <c r="Q284" s="20"/>
      <c r="R284" s="20"/>
      <c r="S284" s="20"/>
      <c r="T284" s="20"/>
      <c r="U284" s="20"/>
      <c r="V284" s="20"/>
      <c r="W284" s="20"/>
      <c r="X284" s="20"/>
    </row>
    <row r="285">
      <c r="A285" s="27" t="str">
        <f>IFERROR(__xludf.DUMMYFUNCTION("""COMPUTED_VALUE"""),"https://techcombank.com/thong-tin/blog/lien-ket-tai-khoan-ngan-hang-voi-etax-mobile")</f>
        <v>https://techcombank.com/thong-tin/blog/lien-ket-tai-khoan-ngan-hang-voi-etax-mobile</v>
      </c>
      <c r="B285" s="28">
        <f>IFERROR(__xludf.DUMMYFUNCTION("""COMPUTED_VALUE"""),5.0)</f>
        <v>5</v>
      </c>
      <c r="C285" s="20" t="str">
        <f>IFERROR(__xludf.DUMMYFUNCTION("IF(A285="""","""",TEXTJOIN(CHAR(10),TRUE,FILTER('Tổng hợp 75 trang đích'!$B$2:$B$3400,'Tổng hợp 75 trang đích'!$I$2:$I$3400=A285)))"),"https://techcombank.com/thong-tin/blog/cach-nop-thue-dien-tu
https://techcombank.com/thong-tin/blog/cach-mo-tai-khoan
https://techcombank.com/thong-tin/blog/kiem-tra-thue-thu-nhap-ca-nhan
https://techcombank.com/thong-tin/blog/ho-kinh-doanh-dong-thue-nhu-"&amp;"nao
https://techcombank.com/thong-tin/blog/cach-tinh-thue-ho-kinh-doanh-nho-le")</f>
        <v>https://techcombank.com/thong-tin/blog/cach-nop-thue-dien-tu
https://techcombank.com/thong-tin/blog/cach-mo-tai-khoan
https://techcombank.com/thong-tin/blog/kiem-tra-thue-thu-nhap-ca-nhan
https://techcombank.com/thong-tin/blog/ho-kinh-doanh-dong-thue-nhu-nao
https://techcombank.com/thong-tin/blog/cach-tinh-thue-ho-kinh-doanh-nho-le</v>
      </c>
      <c r="D285" s="20"/>
      <c r="E285" s="20"/>
      <c r="F285" s="20"/>
      <c r="G285" s="20"/>
      <c r="H285" s="20"/>
      <c r="I285" s="20"/>
      <c r="J285" s="20"/>
      <c r="K285" s="20"/>
      <c r="L285" s="20"/>
      <c r="M285" s="20"/>
      <c r="N285" s="20"/>
      <c r="O285" s="20"/>
      <c r="P285" s="20"/>
      <c r="Q285" s="20"/>
      <c r="R285" s="20"/>
      <c r="S285" s="20"/>
      <c r="T285" s="20"/>
      <c r="U285" s="20"/>
      <c r="V285" s="20"/>
      <c r="W285" s="20"/>
      <c r="X285" s="20"/>
    </row>
    <row r="286">
      <c r="A286" s="37" t="str">
        <f>IFERROR(__xludf.DUMMYFUNCTION("""COMPUTED_VALUE"""),"https://techcombank.com/thong-tin/blog/loi-ich-khi-ho-kinh-doanh-chuyen-len-doanh-nghiep")</f>
        <v>https://techcombank.com/thong-tin/blog/loi-ich-khi-ho-kinh-doanh-chuyen-len-doanh-nghiep</v>
      </c>
      <c r="B286" s="28">
        <f>IFERROR(__xludf.DUMMYFUNCTION("""COMPUTED_VALUE"""),5.0)</f>
        <v>5</v>
      </c>
      <c r="C286" s="20" t="str">
        <f>IFERROR(__xludf.DUMMYFUNCTION("IF(A286="""","""",TEXTJOIN(CHAR(10),TRUE,FILTER('Tổng hợp 75 trang đích'!$B$2:$B$3400,'Tổng hợp 75 trang đích'!$I$2:$I$3400=A286)))"),"https://techcombank.com/thong-tin/blog/nop-thue-dat-qua-ngan-hang
https://techcombank.com/thong-tin/blog/thue-thu-nhap-doanh-nghiep
https://techcombank.com/thong-tin/blog/ho-kinh-doanh-dong-thue-nhu-nao
https://techcombank.com/thong-tin/blog/mo-tai-khoan-"&amp;"ho-kinh-doanh
https://techcombank.com/thong-tin/blog/cach-tinh-thue-ho-kinh-doanh-nho-le")</f>
        <v>https://techcombank.com/thong-tin/blog/nop-thue-dat-qua-ngan-hang
https://techcombank.com/thong-tin/blog/thue-thu-nhap-doanh-nghiep
https://techcombank.com/thong-tin/blog/ho-kinh-doanh-dong-thue-nhu-nao
https://techcombank.com/thong-tin/blog/mo-tai-khoan-ho-kinh-doanh
https://techcombank.com/thong-tin/blog/cach-tinh-thue-ho-kinh-doanh-nho-le</v>
      </c>
      <c r="D286" s="20"/>
      <c r="E286" s="20"/>
      <c r="F286" s="20"/>
      <c r="G286" s="20"/>
      <c r="H286" s="20"/>
      <c r="I286" s="20"/>
      <c r="J286" s="20"/>
      <c r="K286" s="20"/>
      <c r="L286" s="20"/>
      <c r="M286" s="20"/>
      <c r="N286" s="20"/>
      <c r="O286" s="20"/>
      <c r="P286" s="20"/>
      <c r="Q286" s="20"/>
      <c r="R286" s="20"/>
      <c r="S286" s="20"/>
      <c r="T286" s="20"/>
      <c r="U286" s="20"/>
      <c r="V286" s="20"/>
      <c r="W286" s="20"/>
      <c r="X286" s="20"/>
    </row>
    <row r="287">
      <c r="A287" s="37" t="str">
        <f>IFERROR(__xludf.DUMMYFUNCTION("""COMPUTED_VALUE"""),"https://techcombank.com/thong-tin/blog/luat-thuong-mai-dien-tu")</f>
        <v>https://techcombank.com/thong-tin/blog/luat-thuong-mai-dien-tu</v>
      </c>
      <c r="B287" s="28">
        <f>IFERROR(__xludf.DUMMYFUNCTION("""COMPUTED_VALUE"""),5.0)</f>
        <v>5</v>
      </c>
      <c r="C287" s="20" t="str">
        <f>IFERROR(__xludf.DUMMYFUNCTION("IF(A287="""","""",TEXTJOIN(CHAR(10),TRUE,FILTER('Tổng hợp 75 trang đích'!$B$2:$B$3400,'Tổng hợp 75 trang đích'!$I$2:$I$3400=A287)))"),"https://techcombank.com/thong-tin/blog/nop-thue-dat-qua-ngan-hang
https://techcombank.com/thong-tin/blog/cach-nop-thue-dien-tu
https://techcombank.com/thong-tin/blog/thue-thu-nhap-doanh-nghiep
https://techcombank.com/thong-tin/blog/cic-la-gi
https://techc"&amp;"ombank.com/thong-tin/blog/ho-kinh-doanh-dong-thue-nhu-nao")</f>
        <v>https://techcombank.com/thong-tin/blog/nop-thue-dat-qua-ngan-hang
https://techcombank.com/thong-tin/blog/cach-nop-thue-dien-tu
https://techcombank.com/thong-tin/blog/thue-thu-nhap-doanh-nghiep
https://techcombank.com/thong-tin/blog/cic-la-gi
https://techcombank.com/thong-tin/blog/ho-kinh-doanh-dong-thue-nhu-nao</v>
      </c>
      <c r="D287" s="20"/>
      <c r="E287" s="20"/>
      <c r="F287" s="20"/>
      <c r="G287" s="20"/>
      <c r="H287" s="20"/>
      <c r="I287" s="20"/>
      <c r="J287" s="20"/>
      <c r="K287" s="20"/>
      <c r="L287" s="20"/>
      <c r="M287" s="20"/>
      <c r="N287" s="20"/>
      <c r="O287" s="20"/>
      <c r="P287" s="20"/>
      <c r="Q287" s="20"/>
      <c r="R287" s="20"/>
      <c r="S287" s="20"/>
      <c r="T287" s="20"/>
      <c r="U287" s="20"/>
      <c r="V287" s="20"/>
      <c r="W287" s="20"/>
      <c r="X287" s="20"/>
    </row>
    <row r="288">
      <c r="A288" s="37" t="str">
        <f>IFERROR(__xludf.DUMMYFUNCTION("""COMPUTED_VALUE"""),"https://techcombank.com/thong-tin/blog/luu-y-khi-chuyen-tien-vao-tai-khoan-cong-ty")</f>
        <v>https://techcombank.com/thong-tin/blog/luu-y-khi-chuyen-tien-vao-tai-khoan-cong-ty</v>
      </c>
      <c r="B288" s="28">
        <f>IFERROR(__xludf.DUMMYFUNCTION("""COMPUTED_VALUE"""),5.0)</f>
        <v>5</v>
      </c>
      <c r="C288" s="20" t="str">
        <f>IFERROR(__xludf.DUMMYFUNCTION("IF(A288="""","""",TEXTJOIN(CHAR(10),TRUE,FILTER('Tổng hợp 75 trang đích'!$B$2:$B$3400,'Tổng hợp 75 trang đích'!$I$2:$I$3400=A288)))"),"https://techcombank.com/thong-tin/blog/nop-thue-dat-qua-ngan-hang
https://techcombank.com/thong-tin/blog/thue-thu-nhap-doanh-nghiep
https://techcombank.com/thong-tin/blog/cong-ty-su-dung-tai-khoan-ca-nhan
https://techcombank.com/thong-tin/blog/cach-tinh-t"&amp;"hue-thu-nhap-doanh-nghiep
https://techcombank.com/thong-tin/blog/chuyen-khoan-thanh-cong-nhung-khong-nhan-duoc-tien")</f>
        <v>https://techcombank.com/thong-tin/blog/nop-thue-dat-qua-ngan-hang
https://techcombank.com/thong-tin/blog/thue-thu-nhap-doanh-nghiep
https://techcombank.com/thong-tin/blog/cong-ty-su-dung-tai-khoan-ca-nhan
https://techcombank.com/thong-tin/blog/cach-tinh-thue-thu-nhap-doanh-nghiep
https://techcombank.com/thong-tin/blog/chuyen-khoan-thanh-cong-nhung-khong-nhan-duoc-tien</v>
      </c>
      <c r="D288" s="20"/>
      <c r="E288" s="20"/>
      <c r="F288" s="20"/>
      <c r="G288" s="20"/>
      <c r="H288" s="20"/>
      <c r="I288" s="20"/>
      <c r="J288" s="20"/>
      <c r="K288" s="20"/>
      <c r="L288" s="20"/>
      <c r="M288" s="20"/>
      <c r="N288" s="20"/>
      <c r="O288" s="20"/>
      <c r="P288" s="20"/>
      <c r="Q288" s="20"/>
      <c r="R288" s="20"/>
      <c r="S288" s="20"/>
      <c r="T288" s="20"/>
      <c r="U288" s="20"/>
      <c r="V288" s="20"/>
      <c r="W288" s="20"/>
      <c r="X288" s="20"/>
    </row>
    <row r="289">
      <c r="A289" s="37" t="str">
        <f>IFERROR(__xludf.DUMMYFUNCTION("""COMPUTED_VALUE"""),"https://techcombank.com/thong-tin/blog/mat-so-tiet-kiem")</f>
        <v>https://techcombank.com/thong-tin/blog/mat-so-tiet-kiem</v>
      </c>
      <c r="B289" s="28">
        <f>IFERROR(__xludf.DUMMYFUNCTION("""COMPUTED_VALUE"""),5.0)</f>
        <v>5</v>
      </c>
      <c r="C289" s="20" t="str">
        <f>IFERROR(__xludf.DUMMYFUNCTION("IF(A289="""","""",TEXTJOIN(CHAR(10),TRUE,FILTER('Tổng hợp 75 trang đích'!$B$2:$B$3400,'Tổng hợp 75 trang đích'!$I$2:$I$3400=A289)))"),"https://techcombank.com/thong-tin/blog/lai-suat-tiet-kiem
https://techcombank.com/thong-tin/blog/cach-tinh-lai-suat-tien-gui-tiet-kiem
https://techcombank.com/thong-tin/blog/rut-tien-tiet-kiem-truoc-thoi-han
https://techcombank.com/thong-tin/blog/so-tiet-"&amp;"kiem-ngan-hang
https://techcombank.com/thong-tin/blog/rui-ro-khi-gui-tiet-kiem-online")</f>
        <v>https://techcombank.com/thong-tin/blog/lai-suat-tiet-kiem
https://techcombank.com/thong-tin/blog/cach-tinh-lai-suat-tien-gui-tiet-kiem
https://techcombank.com/thong-tin/blog/rut-tien-tiet-kiem-truoc-thoi-han
https://techcombank.com/thong-tin/blog/so-tiet-kiem-ngan-hang
https://techcombank.com/thong-tin/blog/rui-ro-khi-gui-tiet-kiem-online</v>
      </c>
      <c r="D289" s="20"/>
      <c r="E289" s="20"/>
      <c r="F289" s="20"/>
      <c r="G289" s="20"/>
      <c r="H289" s="20"/>
      <c r="I289" s="20"/>
      <c r="J289" s="20"/>
      <c r="K289" s="20"/>
      <c r="L289" s="20"/>
      <c r="M289" s="20"/>
      <c r="N289" s="20"/>
      <c r="O289" s="20"/>
      <c r="P289" s="20"/>
      <c r="Q289" s="20"/>
      <c r="R289" s="20"/>
      <c r="S289" s="20"/>
      <c r="T289" s="20"/>
      <c r="U289" s="20"/>
      <c r="V289" s="20"/>
      <c r="W289" s="20"/>
      <c r="X289" s="20"/>
    </row>
    <row r="290">
      <c r="A290" s="37" t="str">
        <f>IFERROR(__xludf.DUMMYFUNCTION("""COMPUTED_VALUE"""),"https://techcombank.com/thong-tin/blog/mo-tai-khoan-doanh-nghiep")</f>
        <v>https://techcombank.com/thong-tin/blog/mo-tai-khoan-doanh-nghiep</v>
      </c>
      <c r="B290" s="28">
        <f>IFERROR(__xludf.DUMMYFUNCTION("""COMPUTED_VALUE"""),5.0)</f>
        <v>5</v>
      </c>
      <c r="C290" s="20" t="str">
        <f>IFERROR(__xludf.DUMMYFUNCTION("IF(A290="""","""",TEXTJOIN(CHAR(10),TRUE,FILTER('Tổng hợp 75 trang đích'!$B$2:$B$3400,'Tổng hợp 75 trang đích'!$I$2:$I$3400=A290)))"),"https://techcombank.com/thong-tin/blog/nop-thue-dat-qua-ngan-hang
https://techcombank.com/thong-tin/blog/thue-thu-nhap-doanh-nghiep
https://techcombank.com/thong-tin/blog/cong-ty-su-dung-tai-khoan-ca-nhan
https://techcombank.com/thong-tin/blog/cach-mo-tai"&amp;"-khoan
https://techcombank.com/thong-tin/blog/day-so-phat-tai-phat-loc")</f>
        <v>https://techcombank.com/thong-tin/blog/nop-thue-dat-qua-ngan-hang
https://techcombank.com/thong-tin/blog/thue-thu-nhap-doanh-nghiep
https://techcombank.com/thong-tin/blog/cong-ty-su-dung-tai-khoan-ca-nhan
https://techcombank.com/thong-tin/blog/cach-mo-tai-khoan
https://techcombank.com/thong-tin/blog/day-so-phat-tai-phat-loc</v>
      </c>
      <c r="D290" s="20"/>
      <c r="E290" s="20"/>
      <c r="F290" s="20"/>
      <c r="G290" s="20"/>
      <c r="H290" s="20"/>
      <c r="I290" s="20"/>
      <c r="J290" s="20"/>
      <c r="K290" s="20"/>
      <c r="L290" s="20"/>
      <c r="M290" s="20"/>
      <c r="N290" s="20"/>
      <c r="O290" s="20"/>
      <c r="P290" s="20"/>
      <c r="Q290" s="20"/>
      <c r="R290" s="20"/>
      <c r="S290" s="20"/>
      <c r="T290" s="20"/>
      <c r="U290" s="20"/>
      <c r="V290" s="20"/>
      <c r="W290" s="20"/>
      <c r="X290" s="20"/>
    </row>
    <row r="291">
      <c r="A291" s="37" t="str">
        <f>IFERROR(__xludf.DUMMYFUNCTION("""COMPUTED_VALUE"""),"https://techcombank.com/thong-tin/blog/mo-tai-khoan-ngan-hang-online-co-an-toan-khong")</f>
        <v>https://techcombank.com/thong-tin/blog/mo-tai-khoan-ngan-hang-online-co-an-toan-khong</v>
      </c>
      <c r="B291" s="28">
        <f>IFERROR(__xludf.DUMMYFUNCTION("""COMPUTED_VALUE"""),5.0)</f>
        <v>5</v>
      </c>
      <c r="C291" s="20" t="str">
        <f>IFERROR(__xludf.DUMMYFUNCTION("IF(A291="""","""",TEXTJOIN(CHAR(10),TRUE,FILTER('Tổng hợp 75 trang đích'!$B$2:$B$3400,'Tổng hợp 75 trang đích'!$I$2:$I$3400=A291)))"),"https://techcombank.com/thong-tin/blog/cach-tinh-tien-dien-sinh-hoat
https://techcombank.com/thong-tin/blog/cach-kiem-tra-tai-khoan-ngan-hang
https://techcombank.com/thong-tin/blog/cach-mo-tai-khoan
https://techcombank.com/thong-tin/blog/mo-tai-khoan-ngan"&amp;"-hang-duoi-18-tuoi
https://techcombank.com/thong-tin/blog/cach-quet-nfc-cccd-tren-iphone")</f>
        <v>https://techcombank.com/thong-tin/blog/cach-tinh-tien-dien-sinh-hoat
https://techcombank.com/thong-tin/blog/cach-kiem-tra-tai-khoan-ngan-hang
https://techcombank.com/thong-tin/blog/cach-mo-tai-khoan
https://techcombank.com/thong-tin/blog/mo-tai-khoan-ngan-hang-duoi-18-tuoi
https://techcombank.com/thong-tin/blog/cach-quet-nfc-cccd-tren-iphone</v>
      </c>
      <c r="D291" s="20"/>
      <c r="E291" s="20"/>
      <c r="F291" s="20"/>
      <c r="G291" s="20"/>
      <c r="H291" s="20"/>
      <c r="I291" s="20"/>
      <c r="J291" s="20"/>
      <c r="K291" s="20"/>
      <c r="L291" s="20"/>
      <c r="M291" s="20"/>
      <c r="N291" s="20"/>
      <c r="O291" s="20"/>
      <c r="P291" s="20"/>
      <c r="Q291" s="20"/>
      <c r="R291" s="20"/>
      <c r="S291" s="20"/>
      <c r="T291" s="20"/>
      <c r="U291" s="20"/>
      <c r="V291" s="20"/>
      <c r="W291" s="20"/>
      <c r="X291" s="20"/>
    </row>
    <row r="292">
      <c r="A292" s="37" t="str">
        <f>IFERROR(__xludf.DUMMYFUNCTION("""COMPUTED_VALUE"""),"https://techcombank.com/thong-tin/blog/mo-them-tai-khoan-ngan-hang-cho-cong-ty")</f>
        <v>https://techcombank.com/thong-tin/blog/mo-them-tai-khoan-ngan-hang-cho-cong-ty</v>
      </c>
      <c r="B292" s="28">
        <f>IFERROR(__xludf.DUMMYFUNCTION("""COMPUTED_VALUE"""),5.0)</f>
        <v>5</v>
      </c>
      <c r="C292" s="20" t="str">
        <f>IFERROR(__xludf.DUMMYFUNCTION("IF(A292="""","""",TEXTJOIN(CHAR(10),TRUE,FILTER('Tổng hợp 75 trang đích'!$B$2:$B$3400,'Tổng hợp 75 trang đích'!$I$2:$I$3400=A292)))"),"https://techcombank.com/thong-tin/blog/tra-cuu-no-thue-doanh-nghiep
https://techcombank.com/thong-tin/blog/cach-mo-tai-khoan
https://techcombank.com/thong-tin/blog/day-so-phat-tai-phat-loc
https://techcombank.com/thong-tin/blog/app-vay-tien-nhanh
https://"&amp;"techcombank.com/thong-tin/blog/nen-vay-tin-chap-o-dau")</f>
        <v>https://techcombank.com/thong-tin/blog/tra-cuu-no-thue-doanh-nghiep
https://techcombank.com/thong-tin/blog/cach-mo-tai-khoan
https://techcombank.com/thong-tin/blog/day-so-phat-tai-phat-loc
https://techcombank.com/thong-tin/blog/app-vay-tien-nhanh
https://techcombank.com/thong-tin/blog/nen-vay-tin-chap-o-dau</v>
      </c>
      <c r="D292" s="20"/>
      <c r="E292" s="20"/>
      <c r="F292" s="20"/>
      <c r="G292" s="20"/>
      <c r="H292" s="20"/>
      <c r="I292" s="20"/>
      <c r="J292" s="20"/>
      <c r="K292" s="20"/>
      <c r="L292" s="20"/>
      <c r="M292" s="20"/>
      <c r="N292" s="20"/>
      <c r="O292" s="20"/>
      <c r="P292" s="20"/>
      <c r="Q292" s="20"/>
      <c r="R292" s="20"/>
      <c r="S292" s="20"/>
      <c r="T292" s="20"/>
      <c r="U292" s="20"/>
      <c r="V292" s="20"/>
      <c r="W292" s="20"/>
      <c r="X292" s="20"/>
    </row>
    <row r="293">
      <c r="A293" s="37" t="str">
        <f>IFERROR(__xludf.DUMMYFUNCTION("""COMPUTED_VALUE"""),"https://techcombank.com/thong-tin/blog/mua-iphone-17")</f>
        <v>https://techcombank.com/thong-tin/blog/mua-iphone-17</v>
      </c>
      <c r="B293" s="28">
        <f>IFERROR(__xludf.DUMMYFUNCTION("""COMPUTED_VALUE"""),5.0)</f>
        <v>5</v>
      </c>
      <c r="C293" s="20" t="str">
        <f>IFERROR(__xludf.DUMMYFUNCTION("IF(A293="""","""",TEXTJOIN(CHAR(10),TRUE,FILTER('Tổng hợp 75 trang đích'!$B$2:$B$3400,'Tổng hợp 75 trang đích'!$I$2:$I$3400=A293)))"),"https://techcombank.com/thong-tin/blog/lam-the-tin-dung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293" s="20"/>
      <c r="E293" s="20"/>
      <c r="F293" s="20"/>
      <c r="G293" s="20"/>
      <c r="H293" s="20"/>
      <c r="I293" s="20"/>
      <c r="J293" s="20"/>
      <c r="K293" s="20"/>
      <c r="L293" s="20"/>
      <c r="M293" s="20"/>
      <c r="N293" s="20"/>
      <c r="O293" s="20"/>
      <c r="P293" s="20"/>
      <c r="Q293" s="20"/>
      <c r="R293" s="20"/>
      <c r="S293" s="20"/>
      <c r="T293" s="20"/>
      <c r="U293" s="20"/>
      <c r="V293" s="20"/>
      <c r="W293" s="20"/>
      <c r="X293" s="20"/>
    </row>
    <row r="294">
      <c r="A294" s="37" t="str">
        <f>IFERROR(__xludf.DUMMYFUNCTION("""COMPUTED_VALUE"""),"https://techcombank.com/thong-tin/blog/nen-gui-tiet-kiem-thong-thuong-hay-tich-luy")</f>
        <v>https://techcombank.com/thong-tin/blog/nen-gui-tiet-kiem-thong-thuong-hay-tich-luy</v>
      </c>
      <c r="B294" s="28">
        <f>IFERROR(__xludf.DUMMYFUNCTION("""COMPUTED_VALUE"""),5.0)</f>
        <v>5</v>
      </c>
      <c r="C294" s="20" t="str">
        <f>IFERROR(__xludf.DUMMYFUNCTION("IF(A294="""","""",TEXTJOIN(CHAR(10),TRUE,FILTER('Tổng hợp 75 trang đích'!$B$2:$B$3400,'Tổng hợp 75 trang đích'!$I$2:$I$3400=A294)))"),"https://techcombank.com/thong-tin/blog/chung-chi-tien-gui-la-gi
https://techcombank.com/thong-tin/blog/lai-suat-tiet-kiem
https://techcombank.com/thong-tin/blog/cach-tinh-lai-suat-tien-gui-tiet-kiem
https://techcombank.com/thong-tin/blog/so-tiet-kiem-ngan"&amp;"-hang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https://techcombank.com/cong-cu-tien-ich/cong-cu-tinh-toan/bang-tinh-lai-suat-tiet-kiem</v>
      </c>
      <c r="D294" s="20"/>
      <c r="E294" s="20"/>
      <c r="F294" s="20"/>
      <c r="G294" s="20"/>
      <c r="H294" s="20"/>
      <c r="I294" s="20"/>
      <c r="J294" s="20"/>
      <c r="K294" s="20"/>
      <c r="L294" s="20"/>
      <c r="M294" s="20"/>
      <c r="N294" s="20"/>
      <c r="O294" s="20"/>
      <c r="P294" s="20"/>
      <c r="Q294" s="20"/>
      <c r="R294" s="20"/>
      <c r="S294" s="20"/>
      <c r="T294" s="20"/>
      <c r="U294" s="20"/>
      <c r="V294" s="20"/>
      <c r="W294" s="20"/>
      <c r="X294" s="20"/>
    </row>
    <row r="295">
      <c r="A295" s="37" t="str">
        <f>IFERROR(__xludf.DUMMYFUNCTION("""COMPUTED_VALUE"""),"https://techcombank.com/thong-tin/blog/nen-vay-the-chap-ngan-hang-nao")</f>
        <v>https://techcombank.com/thong-tin/blog/nen-vay-the-chap-ngan-hang-nao</v>
      </c>
      <c r="B295" s="28">
        <f>IFERROR(__xludf.DUMMYFUNCTION("""COMPUTED_VALUE"""),5.0)</f>
        <v>5</v>
      </c>
      <c r="C295" s="20" t="str">
        <f>IFERROR(__xludf.DUMMYFUNCTION("IF(A295="""","""",TEXTJOIN(CHAR(10),TRUE,FILTER('Tổng hợp 75 trang đích'!$B$2:$B$3400,'Tổng hợp 75 trang đích'!$I$2:$I$3400=A295)))"),"https://techcombank.com/thong-tin/blog/ngan-hang-uy-tin
https://techcombank.com/thong-tin/blog/lai-suat-vay-the-chap-so-do
https://techcombank.com/cong-cu-tien-ich/cong-cu-tinh-toan/bang-tinh-lai-suat-vay
https://techcombank.com/thong-tin/blog/app-vay-tie"&amp;"n-nhanh
https://techcombank.com/thong-tin/blog/lai-suat-vay-ngan-hang")</f>
        <v>https://techcombank.com/thong-tin/blog/ngan-hang-uy-tin
https://techcombank.com/thong-tin/blog/lai-suat-vay-the-chap-so-do
https://techcombank.com/cong-cu-tien-ich/cong-cu-tinh-toan/bang-tinh-lai-suat-vay
https://techcombank.com/thong-tin/blog/app-vay-tien-nhanh
https://techcombank.com/thong-tin/blog/lai-suat-vay-ngan-hang</v>
      </c>
      <c r="D295" s="20"/>
      <c r="E295" s="20"/>
      <c r="F295" s="20"/>
      <c r="G295" s="20"/>
      <c r="H295" s="20"/>
      <c r="I295" s="20"/>
      <c r="J295" s="20"/>
      <c r="K295" s="20"/>
      <c r="L295" s="20"/>
      <c r="M295" s="20"/>
      <c r="N295" s="20"/>
      <c r="O295" s="20"/>
      <c r="P295" s="20"/>
      <c r="Q295" s="20"/>
      <c r="R295" s="20"/>
      <c r="S295" s="20"/>
      <c r="T295" s="20"/>
      <c r="U295" s="20"/>
      <c r="V295" s="20"/>
      <c r="W295" s="20"/>
      <c r="X295" s="20"/>
    </row>
    <row r="296">
      <c r="A296" s="37" t="str">
        <f>IFERROR(__xludf.DUMMYFUNCTION("""COMPUTED_VALUE"""),"https://techcombank.com/thong-tin/blog/ngan-hang-so-cho-doanh-nghiep")</f>
        <v>https://techcombank.com/thong-tin/blog/ngan-hang-so-cho-doanh-nghiep</v>
      </c>
      <c r="B296" s="28">
        <f>IFERROR(__xludf.DUMMYFUNCTION("""COMPUTED_VALUE"""),5.0)</f>
        <v>5</v>
      </c>
      <c r="C296" s="20" t="str">
        <f>IFERROR(__xludf.DUMMYFUNCTION("IF(A296="""","""",TEXTJOIN(CHAR(10),TRUE,FILTER('Tổng hợp 75 trang đích'!$B$2:$B$3400,'Tổng hợp 75 trang đích'!$I$2:$I$3400=A296)))"),"https://techcombank.com/thong-tin/blog/bao-nhieu-tuoi-duoc-mo-tai-khoan-ngan-hang
https://techcombank.com/thong-tin/blog/mo-tai-khoan-ngan-hang-duoi-18-tuoi
https://techcombank.com/thong-tin/blog/day-so-phat-tai-phat-loc
https://techcombank.com/thong-tin/"&amp;"blog/cic-la-gi
https://techcombank.com/cong-cu-tien-ich/cong-cu-tinh-toan/bang-tinh-lai-suat-tiet-kiem")</f>
        <v>https://techcombank.com/thong-tin/blog/bao-nhieu-tuoi-duoc-mo-tai-khoan-ngan-hang
https://techcombank.com/thong-tin/blog/mo-tai-khoan-ngan-hang-duoi-18-tuoi
https://techcombank.com/thong-tin/blog/day-so-phat-tai-phat-loc
https://techcombank.com/thong-tin/blog/cic-la-gi
https://techcombank.com/cong-cu-tien-ich/cong-cu-tinh-toan/bang-tinh-lai-suat-tiet-kiem</v>
      </c>
      <c r="D296" s="20"/>
      <c r="E296" s="20"/>
      <c r="F296" s="20"/>
      <c r="G296" s="20"/>
      <c r="H296" s="20"/>
      <c r="I296" s="20"/>
      <c r="J296" s="20"/>
      <c r="K296" s="20"/>
      <c r="L296" s="20"/>
      <c r="M296" s="20"/>
      <c r="N296" s="20"/>
      <c r="O296" s="20"/>
      <c r="P296" s="20"/>
      <c r="Q296" s="20"/>
      <c r="R296" s="20"/>
      <c r="S296" s="20"/>
      <c r="T296" s="20"/>
      <c r="U296" s="20"/>
      <c r="V296" s="20"/>
      <c r="W296" s="20"/>
      <c r="X296" s="20"/>
    </row>
    <row r="297">
      <c r="A297" s="37" t="str">
        <f>IFERROR(__xludf.DUMMYFUNCTION("""COMPUTED_VALUE"""),"https://techcombank.com/thong-tin/blog/ngan-hang-thu-huong-la-gi")</f>
        <v>https://techcombank.com/thong-tin/blog/ngan-hang-thu-huong-la-gi</v>
      </c>
      <c r="B297" s="28">
        <f>IFERROR(__xludf.DUMMYFUNCTION("""COMPUTED_VALUE"""),5.0)</f>
        <v>5</v>
      </c>
      <c r="C297" s="20" t="str">
        <f>IFERROR(__xludf.DUMMYFUNCTION("IF(A297="""","""",TEXTJOIN(CHAR(10),TRUE,FILTER('Tổng hợp 75 trang đích'!$B$2:$B$3400,'Tổng hợp 75 trang đích'!$I$2:$I$3400=A297)))"),"https://techcombank.com/thong-tin/blog/chuyen-khoan-thanh-cong-nhung-khong-nhan-duoc-tien
https://techcombank.com/thong-tin/blog/mo-tai-khoan-ngan-hang-duoi-18-tuoi
https://techcombank.com/thong-tin/blog/ten-dang-nhap-tai-khoan-ngan-hang-la-gi
https://tec"&amp;"hcombank.com/thong-tin/blog/cach-quet-nfc-cccd-tren-iphone
https://techcombank.com/thong-tin/blog/cic-la-gi")</f>
        <v>https://techcombank.com/thong-tin/blog/chuyen-khoan-thanh-cong-nhung-khong-nhan-duoc-tien
https://techcombank.com/thong-tin/blog/mo-tai-khoan-ngan-hang-duoi-18-tuoi
https://techcombank.com/thong-tin/blog/ten-dang-nhap-tai-khoan-ngan-hang-la-gi
https://techcombank.com/thong-tin/blog/cach-quet-nfc-cccd-tren-iphone
https://techcombank.com/thong-tin/blog/cic-la-gi</v>
      </c>
      <c r="D297" s="20"/>
      <c r="E297" s="20"/>
      <c r="F297" s="20"/>
      <c r="G297" s="20"/>
      <c r="H297" s="20"/>
      <c r="I297" s="20"/>
      <c r="J297" s="20"/>
      <c r="K297" s="20"/>
      <c r="L297" s="20"/>
      <c r="M297" s="20"/>
      <c r="N297" s="20"/>
      <c r="O297" s="20"/>
      <c r="P297" s="20"/>
      <c r="Q297" s="20"/>
      <c r="R297" s="20"/>
      <c r="S297" s="20"/>
      <c r="T297" s="20"/>
      <c r="U297" s="20"/>
      <c r="V297" s="20"/>
      <c r="W297" s="20"/>
      <c r="X297" s="20"/>
    </row>
    <row r="298">
      <c r="A298" s="37" t="str">
        <f>IFERROR(__xludf.DUMMYFUNCTION("""COMPUTED_VALUE"""),"https://techcombank.com/thong-tin/blog/no-the-tin-dung-qua-han")</f>
        <v>https://techcombank.com/thong-tin/blog/no-the-tin-dung-qua-han</v>
      </c>
      <c r="B298" s="28">
        <f>IFERROR(__xludf.DUMMYFUNCTION("""COMPUTED_VALUE"""),5.0)</f>
        <v>5</v>
      </c>
      <c r="C298" s="20" t="str">
        <f>IFERROR(__xludf.DUMMYFUNCTION("IF(A298="""","""",TEXTJOIN(CHAR(10),TRUE,FILTER('Tổng hợp 75 trang đích'!$B$2:$B$3400,'Tổng hợp 75 trang đích'!$I$2:$I$3400=A298)))"),"https://techcombank.com/thong-tin/blog/cic-la-gi
https://techcombank.com/thong-tin/blog/xep-hang-tin-dung
https://techcombank.com/thong-tin/blog/app-vay-tien-nhanh
https://techcombank.com/thong-tin/blog/no-xau-la-gi
https://techcombank.com/thong-tin/blog/"&amp;"vay-tin-chap-khong-tra-duoc-co-sao-khong")</f>
        <v>https://techcombank.com/thong-tin/blog/cic-la-gi
https://techcombank.com/thong-tin/blog/xep-hang-tin-dung
https://techcombank.com/thong-tin/blog/app-vay-tien-nhanh
https://techcombank.com/thong-tin/blog/no-xau-la-gi
https://techcombank.com/thong-tin/blog/vay-tin-chap-khong-tra-duoc-co-sao-khong</v>
      </c>
      <c r="D298" s="20"/>
      <c r="E298" s="20"/>
      <c r="F298" s="20"/>
      <c r="G298" s="20"/>
      <c r="H298" s="20"/>
      <c r="I298" s="20"/>
      <c r="J298" s="20"/>
      <c r="K298" s="20"/>
      <c r="L298" s="20"/>
      <c r="M298" s="20"/>
      <c r="N298" s="20"/>
      <c r="O298" s="20"/>
      <c r="P298" s="20"/>
      <c r="Q298" s="20"/>
      <c r="R298" s="20"/>
      <c r="S298" s="20"/>
      <c r="T298" s="20"/>
      <c r="U298" s="20"/>
      <c r="V298" s="20"/>
      <c r="W298" s="20"/>
      <c r="X298" s="20"/>
    </row>
    <row r="299">
      <c r="A299" s="37" t="str">
        <f>IFERROR(__xludf.DUMMYFUNCTION("""COMPUTED_VALUE"""),"https://techcombank.com/thong-tin/blog/nop-thue-dat-qua-ngan-hang")</f>
        <v>https://techcombank.com/thong-tin/blog/nop-thue-dat-qua-ngan-hang</v>
      </c>
      <c r="B299" s="28">
        <f>IFERROR(__xludf.DUMMYFUNCTION("""COMPUTED_VALUE"""),5.0)</f>
        <v>5</v>
      </c>
      <c r="C299" s="20" t="str">
        <f>IFERROR(__xludf.DUMMYFUNCTION("IF(A299="""","""",TEXTJOIN(CHAR(10),TRUE,FILTER('Tổng hợp 75 trang đích'!$B$2:$B$3400,'Tổng hợp 75 trang đích'!$I$2:$I$3400=A299)))"),"https://techcombank.com/thong-tin/blog/cach-nop-thue-dien-tu
https://techcombank.com/thong-tin/blog/cach-tinh-thue-thu-nhap-ca-nhan-2025
https://techcombank.com/thong-tin/blog/kiem-tra-thue-thu-nhap-ca-nhan
https://techcombank.com/thong-tin/blog/cic-la-gi"&amp;"
https://techcombank.com/thong-tin/blog/ho-kinh-doanh-dong-thue-nhu-nao")</f>
        <v>https://techcombank.com/thong-tin/blog/cach-nop-thue-dien-tu
https://techcombank.com/thong-tin/blog/cach-tinh-thue-thu-nhap-ca-nhan-2025
https://techcombank.com/thong-tin/blog/kiem-tra-thue-thu-nhap-ca-nhan
https://techcombank.com/thong-tin/blog/cic-la-gi
https://techcombank.com/thong-tin/blog/ho-kinh-doanh-dong-thue-nhu-nao</v>
      </c>
      <c r="D299" s="20"/>
      <c r="E299" s="20"/>
      <c r="F299" s="20"/>
      <c r="G299" s="20"/>
      <c r="H299" s="20"/>
      <c r="I299" s="20"/>
      <c r="J299" s="20"/>
      <c r="K299" s="20"/>
      <c r="L299" s="20"/>
      <c r="M299" s="20"/>
      <c r="N299" s="20"/>
      <c r="O299" s="20"/>
      <c r="P299" s="20"/>
      <c r="Q299" s="20"/>
      <c r="R299" s="20"/>
      <c r="S299" s="20"/>
      <c r="T299" s="20"/>
      <c r="U299" s="20"/>
      <c r="V299" s="20"/>
      <c r="W299" s="20"/>
      <c r="X299" s="20"/>
    </row>
    <row r="300">
      <c r="A300" s="37" t="str">
        <f>IFERROR(__xludf.DUMMYFUNCTION("""COMPUTED_VALUE"""),"https://techcombank.com/thong-tin/blog/phan-mem-lap-ke-hoach-tai-chinh-ca-nhan")</f>
        <v>https://techcombank.com/thong-tin/blog/phan-mem-lap-ke-hoach-tai-chinh-ca-nhan</v>
      </c>
      <c r="B300" s="28">
        <f>IFERROR(__xludf.DUMMYFUNCTION("""COMPUTED_VALUE"""),5.0)</f>
        <v>5</v>
      </c>
      <c r="C300" s="20" t="str">
        <f>IFERROR(__xludf.DUMMYFUNCTION("IF(A300="""","""",TEXTJOIN(CHAR(10),TRUE,FILTER('Tổng hợp 75 trang đích'!$B$2:$B$3400,'Tổng hợp 75 trang đích'!$I$2:$I$3400=A300)))"),"https://techcombank.com/thong-tin/blog/cach-sao-ke-tai-khoan-ngan-hang
https://techcombank.com/thong-tin/blog/kiem-tra-thue-thu-nhap-ca-nhan
https://techcombank.com/thong-tin/blog/lai-suat-tiet-kiem
https://techcombank.com/thong-tin/blog/cach-tinh-lai-sua"&amp;"t-tien-gui-tiet-kiem
https://techcombank.com/thong-tin/blog/phuong-phap-dau-tu-chung-chi-quy")</f>
        <v>https://techcombank.com/thong-tin/blog/cach-sao-ke-tai-khoan-ngan-hang
https://techcombank.com/thong-tin/blog/kiem-tra-thue-thu-nhap-ca-nhan
https://techcombank.com/thong-tin/blog/lai-suat-tiet-kiem
https://techcombank.com/thong-tin/blog/cach-tinh-lai-suat-tien-gui-tiet-kiem
https://techcombank.com/thong-tin/blog/phuong-phap-dau-tu-chung-chi-quy</v>
      </c>
      <c r="D300" s="20"/>
      <c r="E300" s="20"/>
      <c r="F300" s="20"/>
      <c r="G300" s="20"/>
      <c r="H300" s="20"/>
      <c r="I300" s="20"/>
      <c r="J300" s="20"/>
      <c r="K300" s="20"/>
      <c r="L300" s="20"/>
      <c r="M300" s="20"/>
      <c r="N300" s="20"/>
      <c r="O300" s="20"/>
      <c r="P300" s="20"/>
      <c r="Q300" s="20"/>
      <c r="R300" s="20"/>
      <c r="S300" s="20"/>
      <c r="T300" s="20"/>
      <c r="U300" s="20"/>
      <c r="V300" s="20"/>
      <c r="W300" s="20"/>
      <c r="X300" s="20"/>
    </row>
    <row r="301">
      <c r="A301" s="37" t="str">
        <f>IFERROR(__xludf.DUMMYFUNCTION("""COMPUTED_VALUE"""),"https://techcombank.com/thong-tin/blog/phi-vay-the-chap")</f>
        <v>https://techcombank.com/thong-tin/blog/phi-vay-the-chap</v>
      </c>
      <c r="B301" s="28">
        <f>IFERROR(__xludf.DUMMYFUNCTION("""COMPUTED_VALUE"""),5.0)</f>
        <v>5</v>
      </c>
      <c r="C301" s="20" t="str">
        <f>IFERROR(__xludf.DUMMYFUNCTION("IF(A301="""","""",TEXTJOIN(CHAR(10),TRUE,FILTER('Tổng hợp 75 trang đích'!$B$2:$B$3400,'Tổng hợp 75 trang đích'!$I$2:$I$3400=A301)))"),"https://techcombank.com/thong-tin/blog/cach-tinh-lai-vay-ngan-hang
https://techcombank.com/thong-tin/blog/lai-suat-vay-the-chap-so-do
https://techcombank.com/cong-cu-tien-ich/cong-cu-tinh-toan/bang-tinh-lai-suat-vay
https://techcombank.com/thong-tin/blog/"&amp;"app-vay-tien-nhanh
https://techcombank.com/thong-tin/blog/lai-suat-vay-ngan-hang")</f>
        <v>https://techcombank.com/thong-tin/blog/cach-tinh-lai-vay-ngan-hang
https://techcombank.com/thong-tin/blog/lai-suat-vay-the-chap-so-do
https://techcombank.com/cong-cu-tien-ich/cong-cu-tinh-toan/bang-tinh-lai-suat-vay
https://techcombank.com/thong-tin/blog/app-vay-tien-nhanh
https://techcombank.com/thong-tin/blog/lai-suat-vay-ngan-hang</v>
      </c>
      <c r="D301" s="20"/>
      <c r="E301" s="20"/>
      <c r="F301" s="20"/>
      <c r="G301" s="20"/>
      <c r="H301" s="20"/>
      <c r="I301" s="20"/>
      <c r="J301" s="20"/>
      <c r="K301" s="20"/>
      <c r="L301" s="20"/>
      <c r="M301" s="20"/>
      <c r="N301" s="20"/>
      <c r="O301" s="20"/>
      <c r="P301" s="20"/>
      <c r="Q301" s="20"/>
      <c r="R301" s="20"/>
      <c r="S301" s="20"/>
      <c r="T301" s="20"/>
      <c r="U301" s="20"/>
      <c r="V301" s="20"/>
      <c r="W301" s="20"/>
      <c r="X301" s="20"/>
    </row>
    <row r="302">
      <c r="A302" s="37" t="str">
        <f>IFERROR(__xludf.DUMMYFUNCTION("""COMPUTED_VALUE"""),"https://techcombank.com/thong-tin/blog/quan-ly-chuoi-cua-hang")</f>
        <v>https://techcombank.com/thong-tin/blog/quan-ly-chuoi-cua-hang</v>
      </c>
      <c r="B302" s="28">
        <f>IFERROR(__xludf.DUMMYFUNCTION("""COMPUTED_VALUE"""),5.0)</f>
        <v>5</v>
      </c>
      <c r="C302" s="20" t="str">
        <f>IFERROR(__xludf.DUMMYFUNCTION("IF(A302="""","""",TEXTJOIN(CHAR(10),TRUE,FILTER('Tổng hợp 75 trang đích'!$B$2:$B$3400,'Tổng hợp 75 trang đích'!$I$2:$I$3400=A302)))"),"https://techcombank.com/thong-tin/blog/bao-nhieu-tuoi-duoc-mo-tai-khoan-ngan-hang
https://techcombank.com/thong-tin/blog/mo-hinh-kinh-doanh-la-gi
https://techcombank.com/thong-tin/blog/mo-tai-khoan-ho-kinh-doanh
https://techcombank.com/thong-tin/blog/lai-"&amp;"suat-tiet-kiem
https://techcombank.com/thong-tin/blog/cach-tinh-lai-suat-tien-gui-tiet-kiem")</f>
        <v>https://techcombank.com/thong-tin/blog/bao-nhieu-tuoi-duoc-mo-tai-khoan-ngan-hang
https://techcombank.com/thong-tin/blog/mo-hinh-kinh-doanh-la-gi
https://techcombank.com/thong-tin/blog/mo-tai-khoan-ho-kinh-doanh
https://techcombank.com/thong-tin/blog/lai-suat-tiet-kiem
https://techcombank.com/thong-tin/blog/cach-tinh-lai-suat-tien-gui-tiet-kiem</v>
      </c>
      <c r="D302" s="20"/>
      <c r="E302" s="20"/>
      <c r="F302" s="20"/>
      <c r="G302" s="20"/>
      <c r="H302" s="20"/>
      <c r="I302" s="20"/>
      <c r="J302" s="20"/>
      <c r="K302" s="20"/>
      <c r="L302" s="20"/>
      <c r="M302" s="20"/>
      <c r="N302" s="20"/>
      <c r="O302" s="20"/>
      <c r="P302" s="20"/>
      <c r="Q302" s="20"/>
      <c r="R302" s="20"/>
      <c r="S302" s="20"/>
      <c r="T302" s="20"/>
      <c r="U302" s="20"/>
      <c r="V302" s="20"/>
      <c r="W302" s="20"/>
      <c r="X302" s="20"/>
    </row>
    <row r="303">
      <c r="A303" s="37" t="str">
        <f>IFERROR(__xludf.DUMMYFUNCTION("""COMPUTED_VALUE"""),"https://techcombank.com/thong-tin/blog/quyet-toan-thue-thu-nhap-ca-nhan")</f>
        <v>https://techcombank.com/thong-tin/blog/quyet-toan-thue-thu-nhap-ca-nhan</v>
      </c>
      <c r="B303" s="28">
        <f>IFERROR(__xludf.DUMMYFUNCTION("""COMPUTED_VALUE"""),5.0)</f>
        <v>5</v>
      </c>
      <c r="C303" s="20" t="str">
        <f>IFERROR(__xludf.DUMMYFUNCTION("IF(A303="""","""",TEXTJOIN(CHAR(10),TRUE,FILTER('Tổng hợp 75 trang đích'!$B$2:$B$3400,'Tổng hợp 75 trang đích'!$I$2:$I$3400=A303)))"),"https://techcombank.com/thong-tin/blog/cach-nop-thue-dien-tu
https://techcombank.com/thong-tin/blog/tra-cuu-no-thue-doanh-nghiep
https://techcombank.com/thong-tin/blog/cach-tinh-thue-thu-nhap-ca-nhan-2025
https://techcombank.com/thong-tin/blog/kiem-tra-th"&amp;"ue-thu-nhap-ca-nhan
https://techcombank.com/thong-tin/blog/thue-thu-nhap-ca-nhan")</f>
        <v>https://techcombank.com/thong-tin/blog/cach-nop-thue-dien-tu
https://techcombank.com/thong-tin/blog/tra-cuu-no-thue-doanh-nghiep
https://techcombank.com/thong-tin/blog/cach-tinh-thue-thu-nhap-ca-nhan-2025
https://techcombank.com/thong-tin/blog/kiem-tra-thue-thu-nhap-ca-nhan
https://techcombank.com/thong-tin/blog/thue-thu-nhap-ca-nhan</v>
      </c>
      <c r="D303" s="20"/>
      <c r="E303" s="20"/>
      <c r="F303" s="20"/>
      <c r="G303" s="20"/>
      <c r="H303" s="20"/>
      <c r="I303" s="20"/>
      <c r="J303" s="20"/>
      <c r="K303" s="20"/>
      <c r="L303" s="20"/>
      <c r="M303" s="20"/>
      <c r="N303" s="20"/>
      <c r="O303" s="20"/>
      <c r="P303" s="20"/>
      <c r="Q303" s="20"/>
      <c r="R303" s="20"/>
      <c r="S303" s="20"/>
      <c r="T303" s="20"/>
      <c r="U303" s="20"/>
      <c r="V303" s="20"/>
      <c r="W303" s="20"/>
      <c r="X303" s="20"/>
    </row>
    <row r="304">
      <c r="A304" s="37" t="str">
        <f>IFERROR(__xludf.DUMMYFUNCTION("""COMPUTED_VALUE"""),"https://techcombank.com/thong-tin/blog/rut-tien-mat-tu-tai-khoan-doanh-nghiep")</f>
        <v>https://techcombank.com/thong-tin/blog/rut-tien-mat-tu-tai-khoan-doanh-nghiep</v>
      </c>
      <c r="B304" s="28">
        <f>IFERROR(__xludf.DUMMYFUNCTION("""COMPUTED_VALUE"""),5.0)</f>
        <v>5</v>
      </c>
      <c r="C304" s="20" t="str">
        <f>IFERROR(__xludf.DUMMYFUNCTION("IF(A304="""","""",TEXTJOIN(CHAR(10),TRUE,FILTER('Tổng hợp 75 trang đích'!$B$2:$B$3400,'Tổng hợp 75 trang đích'!$I$2:$I$3400=A304)))"),"https://techcombank.com/thong-tin/blog/cach-tinh-tien-dien-sinh-hoat
https://techcombank.com/thong-tin/blog/rut-tien-bang-ma-qr-la-gi-cach-thuc-hien-nhu-the-nao
https://techcombank.com/thong-tin/blog/cic-la-gi
https://techcombank.com/thong-tin/blog/rut-ti"&amp;"en-mat-tu-the-tin-dung
https://techcombank.com/thong-tin/blog/doi-tien-do-o-dau")</f>
        <v>https://techcombank.com/thong-tin/blog/cach-tinh-tien-dien-sinh-hoat
https://techcombank.com/thong-tin/blog/rut-tien-bang-ma-qr-la-gi-cach-thuc-hien-nhu-the-nao
https://techcombank.com/thong-tin/blog/cic-la-gi
https://techcombank.com/thong-tin/blog/rut-tien-mat-tu-the-tin-dung
https://techcombank.com/thong-tin/blog/doi-tien-do-o-dau</v>
      </c>
      <c r="D304" s="20"/>
      <c r="E304" s="20"/>
      <c r="F304" s="20"/>
      <c r="G304" s="20"/>
      <c r="H304" s="20"/>
      <c r="I304" s="20"/>
      <c r="J304" s="20"/>
      <c r="K304" s="20"/>
      <c r="L304" s="20"/>
      <c r="M304" s="20"/>
      <c r="N304" s="20"/>
      <c r="O304" s="20"/>
      <c r="P304" s="20"/>
      <c r="Q304" s="20"/>
      <c r="R304" s="20"/>
      <c r="S304" s="20"/>
      <c r="T304" s="20"/>
      <c r="U304" s="20"/>
      <c r="V304" s="20"/>
      <c r="W304" s="20"/>
      <c r="X304" s="20"/>
    </row>
    <row r="305">
      <c r="A305" s="37" t="str">
        <f>IFERROR(__xludf.DUMMYFUNCTION("""COMPUTED_VALUE"""),"https://techcombank.com/thong-tin/blog/sao-ke-the-tin-dung-la-gi")</f>
        <v>https://techcombank.com/thong-tin/blog/sao-ke-the-tin-dung-la-gi</v>
      </c>
      <c r="B305" s="28">
        <f>IFERROR(__xludf.DUMMYFUNCTION("""COMPUTED_VALUE"""),5.0)</f>
        <v>5</v>
      </c>
      <c r="C305" s="20" t="str">
        <f>IFERROR(__xludf.DUMMYFUNCTION("IF(A305="""","""",TEXTJOIN(CHAR(10),TRUE,FILTER('Tổng hợp 75 trang đích'!$B$2:$B$3400,'Tổng hợp 75 trang đích'!$I$2:$I$3400=A305)))"),"https://techcombank.com/thong-tin/blog/cach-sao-ke-tai-khoan-ngan-hang
https://techcombank.com/thong-tin/blog/cic-la-gi
https://techcombank.com/thong-tin/blog/rut-tien-mat-tu-the-tin-dung
https://techcombank.com/thong-tin/blog/cach-huy-the-tin-dung
https:"&amp;"//techcombank.com/thong-tin/blog/cach-tinh-lai-vay-ngan-hang")</f>
        <v>https://techcombank.com/thong-tin/blog/cach-sao-ke-tai-khoan-ngan-hang
https://techcombank.com/thong-tin/blog/cic-la-gi
https://techcombank.com/thong-tin/blog/rut-tien-mat-tu-the-tin-dung
https://techcombank.com/thong-tin/blog/cach-huy-the-tin-dung
https://techcombank.com/thong-tin/blog/cach-tinh-lai-vay-ngan-hang</v>
      </c>
      <c r="D305" s="20"/>
      <c r="E305" s="20"/>
      <c r="F305" s="20"/>
      <c r="G305" s="20"/>
      <c r="H305" s="20"/>
      <c r="I305" s="20"/>
      <c r="J305" s="20"/>
      <c r="K305" s="20"/>
      <c r="L305" s="20"/>
      <c r="M305" s="20"/>
      <c r="N305" s="20"/>
      <c r="O305" s="20"/>
      <c r="P305" s="20"/>
      <c r="Q305" s="20"/>
      <c r="R305" s="20"/>
      <c r="S305" s="20"/>
      <c r="T305" s="20"/>
      <c r="U305" s="20"/>
      <c r="V305" s="20"/>
      <c r="W305" s="20"/>
      <c r="X305" s="20"/>
    </row>
    <row r="306">
      <c r="A306" s="37" t="str">
        <f>IFERROR(__xludf.DUMMYFUNCTION("""COMPUTED_VALUE"""),"https://techcombank.com/thong-tin/blog/so-cvv-la-gi")</f>
        <v>https://techcombank.com/thong-tin/blog/so-cvv-la-gi</v>
      </c>
      <c r="B306" s="28">
        <f>IFERROR(__xludf.DUMMYFUNCTION("""COMPUTED_VALUE"""),5.0)</f>
        <v>5</v>
      </c>
      <c r="C306" s="20" t="str">
        <f>IFERROR(__xludf.DUMMYFUNCTION("IF(A306="""","""",TEXTJOIN(CHAR(10),TRUE,FILTER('Tổng hợp 75 trang đích'!$B$2:$B$3400,'Tổng hợp 75 trang đích'!$I$2:$I$3400=A306)))"),"https://techcombank.com/thong-tin/blog/cic-la-gi
https://techcombank.com/khach-hang-ca-nhan/chi-tieu/the/the-tin-dung/techcombank-everyday
https://techcombank.com/thong-tin/blog/the-tin-dung-hoan-tien
https://techcombank.com/thong-tin/blog/cach-huy-the-ti"&amp;"n-dung
https://techcombank.com/thong-tin/blog/cach-thanh-toan-the-tin-dung")</f>
        <v>https://techcombank.com/thong-tin/blog/cic-la-gi
https://techcombank.com/khach-hang-ca-nhan/chi-tieu/the/the-tin-dung/techcombank-everyday
https://techcombank.com/thong-tin/blog/the-tin-dung-hoan-tien
https://techcombank.com/thong-tin/blog/cach-huy-the-tin-dung
https://techcombank.com/thong-tin/blog/cach-thanh-toan-the-tin-dung</v>
      </c>
      <c r="D306" s="20"/>
      <c r="E306" s="20"/>
      <c r="F306" s="20"/>
      <c r="G306" s="20"/>
      <c r="H306" s="20"/>
      <c r="I306" s="20"/>
      <c r="J306" s="20"/>
      <c r="K306" s="20"/>
      <c r="L306" s="20"/>
      <c r="M306" s="20"/>
      <c r="N306" s="20"/>
      <c r="O306" s="20"/>
      <c r="P306" s="20"/>
      <c r="Q306" s="20"/>
      <c r="R306" s="20"/>
      <c r="S306" s="20"/>
      <c r="T306" s="20"/>
      <c r="U306" s="20"/>
      <c r="V306" s="20"/>
      <c r="W306" s="20"/>
      <c r="X306" s="20"/>
    </row>
    <row r="307">
      <c r="A307" s="37" t="str">
        <f>IFERROR(__xludf.DUMMYFUNCTION("""COMPUTED_VALUE"""),"https://techcombank.com/thong-tin/blog/tai-khoan-ngan-hang-la-gi")</f>
        <v>https://techcombank.com/thong-tin/blog/tai-khoan-ngan-hang-la-gi</v>
      </c>
      <c r="B307" s="28">
        <f>IFERROR(__xludf.DUMMYFUNCTION("""COMPUTED_VALUE"""),5.0)</f>
        <v>5</v>
      </c>
      <c r="C307" s="20" t="str">
        <f>IFERROR(__xludf.DUMMYFUNCTION("IF(A307="""","""",TEXTJOIN(CHAR(10),TRUE,FILTER('Tổng hợp 75 trang đích'!$B$2:$B$3400,'Tổng hợp 75 trang đích'!$I$2:$I$3400=A307)))"),"https://techcombank.com/thong-tin/blog/lai-suat-vay-mua-o-to
https://techcombank.com/thong-tin/blog/cach-mo-tai-khoan
https://techcombank.com/thong-tin/blog/1-te-bang-bao-nhieu-tien-viet-nam
https://techcombank.com/thong-tin/blog/lai-suat-tiet-kiem
https:"&amp;"//techcombank.com/cong-cu-tien-ich/cong-cu-tinh-toan/bang-tinh-lai-suat-vay")</f>
        <v>https://techcombank.com/thong-tin/blog/lai-suat-vay-mua-o-to
https://techcombank.com/thong-tin/blog/cach-mo-tai-khoan
https://techcombank.com/thong-tin/blog/1-te-bang-bao-nhieu-tien-viet-nam
https://techcombank.com/thong-tin/blog/lai-suat-tiet-kiem
https://techcombank.com/cong-cu-tien-ich/cong-cu-tinh-toan/bang-tinh-lai-suat-vay</v>
      </c>
      <c r="D307" s="20"/>
      <c r="E307" s="20"/>
      <c r="F307" s="20"/>
      <c r="G307" s="20"/>
      <c r="H307" s="20"/>
      <c r="I307" s="20"/>
      <c r="J307" s="20"/>
      <c r="K307" s="20"/>
      <c r="L307" s="20"/>
      <c r="M307" s="20"/>
      <c r="N307" s="20"/>
      <c r="O307" s="20"/>
      <c r="P307" s="20"/>
      <c r="Q307" s="20"/>
      <c r="R307" s="20"/>
      <c r="S307" s="20"/>
      <c r="T307" s="20"/>
      <c r="U307" s="20"/>
      <c r="V307" s="20"/>
      <c r="W307" s="20"/>
      <c r="X307" s="20"/>
    </row>
    <row r="308">
      <c r="A308" s="37" t="str">
        <f>IFERROR(__xludf.DUMMYFUNCTION("""COMPUTED_VALUE"""),"https://techcombank.com/thong-tin/blog/tai-khoan-thanh-toan-la-gi")</f>
        <v>https://techcombank.com/thong-tin/blog/tai-khoan-thanh-toan-la-gi</v>
      </c>
      <c r="B308" s="28">
        <f>IFERROR(__xludf.DUMMYFUNCTION("""COMPUTED_VALUE"""),5.0)</f>
        <v>5</v>
      </c>
      <c r="C308" s="20" t="str">
        <f>IFERROR(__xludf.DUMMYFUNCTION("IF(A308="""","""",TEXTJOIN(CHAR(10),TRUE,FILTER('Tổng hợp 75 trang đích'!$B$2:$B$3400,'Tổng hợp 75 trang đích'!$I$2:$I$3400=A308)))"),"https://techcombank.com/thong-tin/blog/cic-la-gi
https://techcombank.com/thong-tin/blog/lai-suat-tiet-kiem
https://techcombank.com/thong-tin/blog/cach-tinh-lai-suat-tien-gui-tiet-kiem
https://techcombank.com/thong-tin/blog/so-tiet-kiem-ngan-hang
https://t"&amp;"echcombank.com/cong-cu-tien-ich/cong-cu-tinh-toan/bang-tinh-lai-suat-tiet-kiem")</f>
        <v>https://techcombank.com/thong-tin/blog/cic-la-gi
https://techcombank.com/thong-tin/blog/lai-suat-tiet-kiem
https://techcombank.com/thong-tin/blog/cach-tinh-lai-suat-tien-gui-tiet-kiem
https://techcombank.com/thong-tin/blog/so-tiet-kiem-ngan-hang
https://techcombank.com/cong-cu-tien-ich/cong-cu-tinh-toan/bang-tinh-lai-suat-tiet-kiem</v>
      </c>
      <c r="D308" s="20"/>
      <c r="E308" s="20"/>
      <c r="F308" s="20"/>
      <c r="G308" s="20"/>
      <c r="H308" s="20"/>
      <c r="I308" s="20"/>
      <c r="J308" s="20"/>
      <c r="K308" s="20"/>
      <c r="L308" s="20"/>
      <c r="M308" s="20"/>
      <c r="N308" s="20"/>
      <c r="O308" s="20"/>
      <c r="P308" s="20"/>
      <c r="Q308" s="20"/>
      <c r="R308" s="20"/>
      <c r="S308" s="20"/>
      <c r="T308" s="20"/>
      <c r="U308" s="20"/>
      <c r="V308" s="20"/>
      <c r="W308" s="20"/>
      <c r="X308" s="20"/>
    </row>
    <row r="309">
      <c r="A309" s="37" t="str">
        <f>IFERROR(__xludf.DUMMYFUNCTION("""COMPUTED_VALUE"""),"https://techcombank.com/thong-tin/blog/tao-ma-qr-thanh-toan-cho-cua-hang")</f>
        <v>https://techcombank.com/thong-tin/blog/tao-ma-qr-thanh-toan-cho-cua-hang</v>
      </c>
      <c r="B309" s="28">
        <f>IFERROR(__xludf.DUMMYFUNCTION("""COMPUTED_VALUE"""),5.0)</f>
        <v>5</v>
      </c>
      <c r="C309" s="20" t="str">
        <f>IFERROR(__xludf.DUMMYFUNCTION("IF(A309="""","""",TEXTJOIN(CHAR(10),TRUE,FILTER('Tổng hợp 75 trang đích'!$B$2:$B$3400,'Tổng hợp 75 trang đích'!$I$2:$I$3400=A309)))"),"https://techcombank.com/thong-tin/blog/cach-tinh-tien-dien-sinh-hoat
https://techcombank.com/thong-tin/blog/rut-tien-bang-ma-qr-la-gi-cach-thuc-hien-nhu-the-nao
https://techcombank.com/thong-tin/blog/cach-quet-nfc-cccd-tren-iphone
https://techcombank.com/"&amp;"thong-tin/blog/gui-ma-qr-ngan-hang
https://techcombank.com/thong-tin/blog/rui-ro-khi-gui-tiet-kiem-online")</f>
        <v>https://techcombank.com/thong-tin/blog/cach-tinh-tien-dien-sinh-hoat
https://techcombank.com/thong-tin/blog/rut-tien-bang-ma-qr-la-gi-cach-thuc-hien-nhu-the-nao
https://techcombank.com/thong-tin/blog/cach-quet-nfc-cccd-tren-iphone
https://techcombank.com/thong-tin/blog/gui-ma-qr-ngan-hang
https://techcombank.com/thong-tin/blog/rui-ro-khi-gui-tiet-kiem-online</v>
      </c>
      <c r="D309" s="20"/>
      <c r="E309" s="20"/>
      <c r="F309" s="20"/>
      <c r="G309" s="20"/>
      <c r="H309" s="20"/>
      <c r="I309" s="20"/>
      <c r="J309" s="20"/>
      <c r="K309" s="20"/>
      <c r="L309" s="20"/>
      <c r="M309" s="20"/>
      <c r="N309" s="20"/>
      <c r="O309" s="20"/>
      <c r="P309" s="20"/>
      <c r="Q309" s="20"/>
      <c r="R309" s="20"/>
      <c r="S309" s="20"/>
      <c r="T309" s="20"/>
      <c r="U309" s="20"/>
      <c r="V309" s="20"/>
      <c r="W309" s="20"/>
      <c r="X309" s="20"/>
    </row>
    <row r="310">
      <c r="A310" s="37" t="str">
        <f>IFERROR(__xludf.DUMMYFUNCTION("""COMPUTED_VALUE"""),"https://techcombank.com/thong-tin/blog/techcombank-sinh-loi-tu-dong")</f>
        <v>https://techcombank.com/thong-tin/blog/techcombank-sinh-loi-tu-dong</v>
      </c>
      <c r="B310" s="28">
        <f>IFERROR(__xludf.DUMMYFUNCTION("""COMPUTED_VALUE"""),5.0)</f>
        <v>5</v>
      </c>
      <c r="C310" s="20" t="str">
        <f>IFERROR(__xludf.DUMMYFUNCTION("IF(A310="""","""",TEXTJOIN(CHAR(10),TRUE,FILTER('Tổng hợp 75 trang đích'!$B$2:$B$3400,'Tổng hợp 75 trang đích'!$I$2:$I$3400=A310)))"),"https://techcombank.com/thong-tin/blog/cach-tinh-tien-dien-sinh-hoat
https://techcombank.com/thong-tin/blog/cach-mo-tai-khoan
https://techcombank.com/thong-tin/blog/doi-tien-do-o-dau
https://techcombank.com/thong-tin/blog/lai-suat-tiet-kiem
https://techco"&amp;"mbank.com/thong-tin/blog/cach-tinh-lai-suat-tien-gui-tiet-kiem")</f>
        <v>https://techcombank.com/thong-tin/blog/cach-tinh-tien-dien-sinh-hoat
https://techcombank.com/thong-tin/blog/cach-mo-tai-khoan
https://techcombank.com/thong-tin/blog/doi-tien-do-o-dau
https://techcombank.com/thong-tin/blog/lai-suat-tiet-kiem
https://techcombank.com/thong-tin/blog/cach-tinh-lai-suat-tien-gui-tiet-kiem</v>
      </c>
      <c r="D310" s="20"/>
      <c r="E310" s="20"/>
      <c r="F310" s="20"/>
      <c r="G310" s="20"/>
      <c r="H310" s="20"/>
      <c r="I310" s="20"/>
      <c r="J310" s="20"/>
      <c r="K310" s="20"/>
      <c r="L310" s="20"/>
      <c r="M310" s="20"/>
      <c r="N310" s="20"/>
      <c r="O310" s="20"/>
      <c r="P310" s="20"/>
      <c r="Q310" s="20"/>
      <c r="R310" s="20"/>
      <c r="S310" s="20"/>
      <c r="T310" s="20"/>
      <c r="U310" s="20"/>
      <c r="V310" s="20"/>
      <c r="W310" s="20"/>
      <c r="X310" s="20"/>
    </row>
    <row r="311">
      <c r="A311" s="37" t="str">
        <f>IFERROR(__xludf.DUMMYFUNCTION("""COMPUTED_VALUE"""),"https://techcombank.com/thong-tin/blog/thanh-toan-khi-du-lich-han-quoc")</f>
        <v>https://techcombank.com/thong-tin/blog/thanh-toan-khi-du-lich-han-quoc</v>
      </c>
      <c r="B311" s="28">
        <f>IFERROR(__xludf.DUMMYFUNCTION("""COMPUTED_VALUE"""),5.0)</f>
        <v>5</v>
      </c>
      <c r="C311" s="20" t="str">
        <f>IFERROR(__xludf.DUMMYFUNCTION("IF(A311="""","""",TEXTJOIN(CHAR(10),TRUE,FILTER('Tổng hợp 75 trang đích'!$B$2:$B$3400,'Tổng hợp 75 trang đích'!$I$2:$I$3400=A311)))"),"https://techcombank.com/thong-tin/blog/cic-la-gi
https://techcombank.com/thong-tin/blog/1-won-bang-bao-nhieu-tien-viet
https://techcombank.com/thong-tin/blog/1000-won-bang-bao-nhieu-tien-viet
https://techcombank.com/thong-tin/blog/lai-suat-tiet-kiem
https"&amp;"://techcombank.com/thong-tin/blog/cach-tinh-lai-suat-tien-gui-tiet-kiem")</f>
        <v>https://techcombank.com/thong-tin/blog/cic-la-gi
https://techcombank.com/thong-tin/blog/1-won-bang-bao-nhieu-tien-viet
https://techcombank.com/thong-tin/blog/1000-won-bang-bao-nhieu-tien-viet
https://techcombank.com/thong-tin/blog/lai-suat-tiet-kiem
https://techcombank.com/thong-tin/blog/cach-tinh-lai-suat-tien-gui-tiet-kiem</v>
      </c>
      <c r="D311" s="20"/>
      <c r="E311" s="20"/>
      <c r="F311" s="20"/>
      <c r="G311" s="20"/>
      <c r="H311" s="20"/>
      <c r="I311" s="20"/>
      <c r="J311" s="20"/>
      <c r="K311" s="20"/>
      <c r="L311" s="20"/>
      <c r="M311" s="20"/>
      <c r="N311" s="20"/>
      <c r="O311" s="20"/>
      <c r="P311" s="20"/>
      <c r="Q311" s="20"/>
      <c r="R311" s="20"/>
      <c r="S311" s="20"/>
      <c r="T311" s="20"/>
      <c r="U311" s="20"/>
      <c r="V311" s="20"/>
      <c r="W311" s="20"/>
      <c r="X311" s="20"/>
    </row>
    <row r="312">
      <c r="A312" s="37" t="str">
        <f>IFERROR(__xludf.DUMMYFUNCTION("""COMPUTED_VALUE"""),"https://techcombank.com/thong-tin/blog/the-ghi-no-co-rut-tien-duoc-khong")</f>
        <v>https://techcombank.com/thong-tin/blog/the-ghi-no-co-rut-tien-duoc-khong</v>
      </c>
      <c r="B312" s="28">
        <f>IFERROR(__xludf.DUMMYFUNCTION("""COMPUTED_VALUE"""),5.0)</f>
        <v>5</v>
      </c>
      <c r="C312" s="20" t="str">
        <f>IFERROR(__xludf.DUMMYFUNCTION("IF(A312="""","""",TEXTJOIN(CHAR(10),TRUE,FILTER('Tổng hợp 75 trang đích'!$B$2:$B$3400,'Tổng hợp 75 trang đích'!$I$2:$I$3400=A312)))"),"https://techcombank.com/thong-tin/blog/cach-sao-ke-tai-khoan-ngan-hang
https://techcombank.com/thong-tin/blog/rut-tien-bang-ma-qr-la-gi-cach-thuc-hien-nhu-the-nao
https://techcombank.com/thong-tin/blog/cic-la-gi
https://techcombank.com/thong-tin/blog/rut-"&amp;"tien-mat-tu-the-tin-dung
https://techcombank.com/thong-tin/blog/kiem-tra-no-xau")</f>
        <v>https://techcombank.com/thong-tin/blog/cach-sao-ke-tai-khoan-ngan-hang
https://techcombank.com/thong-tin/blog/rut-tien-bang-ma-qr-la-gi-cach-thuc-hien-nhu-the-nao
https://techcombank.com/thong-tin/blog/cic-la-gi
https://techcombank.com/thong-tin/blog/rut-tien-mat-tu-the-tin-dung
https://techcombank.com/thong-tin/blog/kiem-tra-no-xau</v>
      </c>
      <c r="D312" s="20"/>
      <c r="E312" s="20"/>
      <c r="F312" s="20"/>
      <c r="G312" s="20"/>
      <c r="H312" s="20"/>
      <c r="I312" s="20"/>
      <c r="J312" s="20"/>
      <c r="K312" s="20"/>
      <c r="L312" s="20"/>
      <c r="M312" s="20"/>
      <c r="N312" s="20"/>
      <c r="O312" s="20"/>
      <c r="P312" s="20"/>
      <c r="Q312" s="20"/>
      <c r="R312" s="20"/>
      <c r="S312" s="20"/>
      <c r="T312" s="20"/>
      <c r="U312" s="20"/>
      <c r="V312" s="20"/>
      <c r="W312" s="20"/>
      <c r="X312" s="20"/>
    </row>
    <row r="313">
      <c r="A313" s="37" t="str">
        <f>IFERROR(__xludf.DUMMYFUNCTION("""COMPUTED_VALUE"""),"https://techcombank.com/thong-tin/blog/the-tin-dung-den")</f>
        <v>https://techcombank.com/thong-tin/blog/the-tin-dung-den</v>
      </c>
      <c r="B313" s="28">
        <f>IFERROR(__xludf.DUMMYFUNCTION("""COMPUTED_VALUE"""),5.0)</f>
        <v>5</v>
      </c>
      <c r="C313" s="20" t="str">
        <f>IFERROR(__xludf.DUMMYFUNCTION("IF(A313="""","""",TEXTJOIN(CHAR(10),TRUE,FILTER('Tổng hợp 75 trang đích'!$B$2:$B$3400,'Tổng hợp 75 trang đích'!$I$2:$I$3400=A313)))"),"https://techcombank.com/thong-tin/blog/cach-sao-ke-tai-khoan-ngan-hang
https://techcombank.com/khach-hang-ca-nhan/chi-tieu/the/the-tin-dung/techcombank-everyday
https://techcombank.com/thong-tin/blog/the-tin-dung-hoan-tien
https://techcombank.com/thong-ti"&amp;"n/blog/cach-huy-the-tin-dung
https://techcombank.com/thong-tin/blog/cach-thanh-toan-the-tin-dung")</f>
        <v>https://techcombank.com/thong-tin/blog/cach-sao-ke-tai-khoan-ngan-hang
https://techcombank.com/khach-hang-ca-nhan/chi-tieu/the/the-tin-dung/techcombank-everyday
https://techcombank.com/thong-tin/blog/the-tin-dung-hoan-tien
https://techcombank.com/thong-tin/blog/cach-huy-the-tin-dung
https://techcombank.com/thong-tin/blog/cach-thanh-toan-the-tin-dung</v>
      </c>
      <c r="D313" s="20"/>
      <c r="E313" s="20"/>
      <c r="F313" s="20"/>
      <c r="G313" s="20"/>
      <c r="H313" s="20"/>
      <c r="I313" s="20"/>
      <c r="J313" s="20"/>
      <c r="K313" s="20"/>
      <c r="L313" s="20"/>
      <c r="M313" s="20"/>
      <c r="N313" s="20"/>
      <c r="O313" s="20"/>
      <c r="P313" s="20"/>
      <c r="Q313" s="20"/>
      <c r="R313" s="20"/>
      <c r="S313" s="20"/>
      <c r="T313" s="20"/>
      <c r="U313" s="20"/>
      <c r="V313" s="20"/>
      <c r="W313" s="20"/>
      <c r="X313" s="20"/>
    </row>
    <row r="314">
      <c r="A314" s="37" t="str">
        <f>IFERROR(__xludf.DUMMYFUNCTION("""COMPUTED_VALUE"""),"https://techcombank.com/thong-tin/blog/the-tin-dung-het-han")</f>
        <v>https://techcombank.com/thong-tin/blog/the-tin-dung-het-han</v>
      </c>
      <c r="B314" s="28">
        <f>IFERROR(__xludf.DUMMYFUNCTION("""COMPUTED_VALUE"""),5.0)</f>
        <v>5</v>
      </c>
      <c r="C314" s="20" t="str">
        <f>IFERROR(__xludf.DUMMYFUNCTION("IF(A314="""","""",TEXTJOIN(CHAR(10),TRUE,FILTER('Tổng hợp 75 trang đích'!$B$2:$B$3400,'Tổng hợp 75 trang đích'!$I$2:$I$3400=A314)))"),"https://techcombank.com/thong-tin/blog/lam-the-tin-dung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314" s="20"/>
      <c r="E314" s="20"/>
      <c r="F314" s="20"/>
      <c r="G314" s="20"/>
      <c r="H314" s="20"/>
      <c r="I314" s="20"/>
      <c r="J314" s="20"/>
      <c r="K314" s="20"/>
      <c r="L314" s="20"/>
      <c r="M314" s="20"/>
      <c r="N314" s="20"/>
      <c r="O314" s="20"/>
      <c r="P314" s="20"/>
      <c r="Q314" s="20"/>
      <c r="R314" s="20"/>
      <c r="S314" s="20"/>
      <c r="T314" s="20"/>
      <c r="U314" s="20"/>
      <c r="V314" s="20"/>
      <c r="W314" s="20"/>
      <c r="X314" s="20"/>
    </row>
    <row r="315">
      <c r="A315" s="37" t="str">
        <f>IFERROR(__xludf.DUMMYFUNCTION("""COMPUTED_VALUE"""),"https://techcombank.com/thong-tin/blog/the-tin-dung-mien-phi-thuong-nien")</f>
        <v>https://techcombank.com/thong-tin/blog/the-tin-dung-mien-phi-thuong-nien</v>
      </c>
      <c r="B315" s="28">
        <f>IFERROR(__xludf.DUMMYFUNCTION("""COMPUTED_VALUE"""),5.0)</f>
        <v>5</v>
      </c>
      <c r="C315" s="20" t="str">
        <f>IFERROR(__xludf.DUMMYFUNCTION("IF(A315="""","""",TEXTJOIN(CHAR(10),TRUE,FILTER('Tổng hợp 75 trang đích'!$B$2:$B$3400,'Tổng hợp 75 trang đích'!$I$2:$I$3400=A315)))"),"https://techcombank.com/thong-tin/blog/eco-card
https://techcombank.com/thong-tin/blog/lam-the-tin-dung
https://techcombank.com/thong-tin/blog/the-tin-dung-hoan-tien
https://techcombank.com/thong-tin/blog/cach-huy-the-tin-dung
https://techcombank.com/thon"&amp;"g-tin/blog/cach-thanh-toan-the-tin-dung")</f>
        <v>https://techcombank.com/thong-tin/blog/eco-card
https://techcombank.com/thong-tin/blog/lam-the-tin-dung
https://techcombank.com/thong-tin/blog/the-tin-dung-hoan-tien
https://techcombank.com/thong-tin/blog/cach-huy-the-tin-dung
https://techcombank.com/thong-tin/blog/cach-thanh-toan-the-tin-dung</v>
      </c>
      <c r="D315" s="20"/>
      <c r="E315" s="20"/>
      <c r="F315" s="20"/>
      <c r="G315" s="20"/>
      <c r="H315" s="20"/>
      <c r="I315" s="20"/>
      <c r="J315" s="20"/>
      <c r="K315" s="20"/>
      <c r="L315" s="20"/>
      <c r="M315" s="20"/>
      <c r="N315" s="20"/>
      <c r="O315" s="20"/>
      <c r="P315" s="20"/>
      <c r="Q315" s="20"/>
      <c r="R315" s="20"/>
      <c r="S315" s="20"/>
      <c r="T315" s="20"/>
      <c r="U315" s="20"/>
      <c r="V315" s="20"/>
      <c r="W315" s="20"/>
      <c r="X315" s="20"/>
    </row>
    <row r="316">
      <c r="A316" s="37" t="str">
        <f>IFERROR(__xludf.DUMMYFUNCTION("""COMPUTED_VALUE"""),"https://techcombank.com/thong-tin/blog/thu-tuc-thanh-lap-doanh-nghiep")</f>
        <v>https://techcombank.com/thong-tin/blog/thu-tuc-thanh-lap-doanh-nghiep</v>
      </c>
      <c r="B316" s="28">
        <f>IFERROR(__xludf.DUMMYFUNCTION("""COMPUTED_VALUE"""),5.0)</f>
        <v>5</v>
      </c>
      <c r="C316" s="20" t="str">
        <f>IFERROR(__xludf.DUMMYFUNCTION("IF(A316="""","""",TEXTJOIN(CHAR(10),TRUE,FILTER('Tổng hợp 75 trang đích'!$B$2:$B$3400,'Tổng hợp 75 trang đích'!$I$2:$I$3400=A316)))"),"https://techcombank.com/thong-tin/blog/nop-thue-dat-qua-ngan-hang
https://techcombank.com/thong-tin/blog/cach-nop-thue-dien-tu
https://techcombank.com/thong-tin/blog/thue-thu-nhap-doanh-nghiep
https://techcombank.com/thong-tin/blog/thue-doanh-nghiep
https"&amp;"://techcombank.com/thong-tin/blog/cong-ty-su-dung-tai-khoan-ca-nhan")</f>
        <v>https://techcombank.com/thong-tin/blog/nop-thue-dat-qua-ngan-hang
https://techcombank.com/thong-tin/blog/cach-nop-thue-dien-tu
https://techcombank.com/thong-tin/blog/thue-thu-nhap-doanh-nghiep
https://techcombank.com/thong-tin/blog/thue-doanh-nghiep
https://techcombank.com/thong-tin/blog/cong-ty-su-dung-tai-khoan-ca-nhan</v>
      </c>
      <c r="D316" s="20"/>
      <c r="E316" s="20"/>
      <c r="F316" s="20"/>
      <c r="G316" s="20"/>
      <c r="H316" s="20"/>
      <c r="I316" s="20"/>
      <c r="J316" s="20"/>
      <c r="K316" s="20"/>
      <c r="L316" s="20"/>
      <c r="M316" s="20"/>
      <c r="N316" s="20"/>
      <c r="O316" s="20"/>
      <c r="P316" s="20"/>
      <c r="Q316" s="20"/>
      <c r="R316" s="20"/>
      <c r="S316" s="20"/>
      <c r="T316" s="20"/>
      <c r="U316" s="20"/>
      <c r="V316" s="20"/>
      <c r="W316" s="20"/>
      <c r="X316" s="20"/>
    </row>
    <row r="317">
      <c r="A317" s="37" t="str">
        <f>IFERROR(__xludf.DUMMYFUNCTION("""COMPUTED_VALUE"""),"https://techcombank.com/thong-tin/blog/thue-doanh-nghiep")</f>
        <v>https://techcombank.com/thong-tin/blog/thue-doanh-nghiep</v>
      </c>
      <c r="B317" s="28">
        <f>IFERROR(__xludf.DUMMYFUNCTION("""COMPUTED_VALUE"""),5.0)</f>
        <v>5</v>
      </c>
      <c r="C317" s="20" t="str">
        <f>IFERROR(__xludf.DUMMYFUNCTION("IF(A317="""","""",TEXTJOIN(CHAR(10),TRUE,FILTER('Tổng hợp 75 trang đích'!$B$2:$B$3400,'Tổng hợp 75 trang đích'!$I$2:$I$3400=A317)))"),"https://techcombank.com/thong-tin/blog/nop-thue-dat-qua-ngan-hang
https://techcombank.com/thong-tin/blog/thue-thu-nhap-doanh-nghiep
https://techcombank.com/thong-tin/blog/thue-vat-la-gi
https://techcombank.com/thong-tin/blog/tra-cuu-no-thue-doanh-nghiep
h"&amp;"ttps://techcombank.com/thong-tin/blog/cach-tinh-thue-thu-nhap-doanh-nghiep")</f>
        <v>https://techcombank.com/thong-tin/blog/nop-thue-dat-qua-ngan-hang
https://techcombank.com/thong-tin/blog/thue-thu-nhap-doanh-nghiep
https://techcombank.com/thong-tin/blog/thue-vat-la-gi
https://techcombank.com/thong-tin/blog/tra-cuu-no-thue-doanh-nghiep
https://techcombank.com/thong-tin/blog/cach-tinh-thue-thu-nhap-doanh-nghiep</v>
      </c>
      <c r="D317" s="20"/>
      <c r="E317" s="20"/>
      <c r="F317" s="20"/>
      <c r="G317" s="20"/>
      <c r="H317" s="20"/>
      <c r="I317" s="20"/>
      <c r="J317" s="20"/>
      <c r="K317" s="20"/>
      <c r="L317" s="20"/>
      <c r="M317" s="20"/>
      <c r="N317" s="20"/>
      <c r="O317" s="20"/>
      <c r="P317" s="20"/>
      <c r="Q317" s="20"/>
      <c r="R317" s="20"/>
      <c r="S317" s="20"/>
      <c r="T317" s="20"/>
      <c r="U317" s="20"/>
      <c r="V317" s="20"/>
      <c r="W317" s="20"/>
      <c r="X317" s="20"/>
    </row>
    <row r="318">
      <c r="A318" s="37" t="str">
        <f>IFERROR(__xludf.DUMMYFUNCTION("""COMPUTED_VALUE"""),"https://techcombank.com/thong-tin/blog/thue-thu-nhap-ca-nhan")</f>
        <v>https://techcombank.com/thong-tin/blog/thue-thu-nhap-ca-nhan</v>
      </c>
      <c r="B318" s="28">
        <f>IFERROR(__xludf.DUMMYFUNCTION("""COMPUTED_VALUE"""),5.0)</f>
        <v>5</v>
      </c>
      <c r="C318" s="20" t="str">
        <f>IFERROR(__xludf.DUMMYFUNCTION("IF(A318="""","""",TEXTJOIN(CHAR(10),TRUE,FILTER('Tổng hợp 75 trang đích'!$B$2:$B$3400,'Tổng hợp 75 trang đích'!$I$2:$I$3400=A318)))"),"https://techcombank.com/thong-tin/blog/nop-thue-dat-qua-ngan-hang
https://techcombank.com/thong-tin/blog/cach-nop-thue-dien-tu
https://techcombank.com/thong-tin/blog/cach-tinh-thue-thu-nhap-doanh-nghiep
https://techcombank.com/thong-tin/blog/cach-mo-tai-k"&amp;"hoan
https://techcombank.com/thong-tin/blog/kiem-tra-thue-thu-nhap-ca-nhan")</f>
        <v>https://techcombank.com/thong-tin/blog/nop-thue-dat-qua-ngan-hang
https://techcombank.com/thong-tin/blog/cach-nop-thue-dien-tu
https://techcombank.com/thong-tin/blog/cach-tinh-thue-thu-nhap-doanh-nghiep
https://techcombank.com/thong-tin/blog/cach-mo-tai-khoan
https://techcombank.com/thong-tin/blog/kiem-tra-thue-thu-nhap-ca-nhan</v>
      </c>
      <c r="D318" s="20"/>
      <c r="E318" s="20"/>
      <c r="F318" s="20"/>
      <c r="G318" s="20"/>
      <c r="H318" s="20"/>
      <c r="I318" s="20"/>
      <c r="J318" s="20"/>
      <c r="K318" s="20"/>
      <c r="L318" s="20"/>
      <c r="M318" s="20"/>
      <c r="N318" s="20"/>
      <c r="O318" s="20"/>
      <c r="P318" s="20"/>
      <c r="Q318" s="20"/>
      <c r="R318" s="20"/>
      <c r="S318" s="20"/>
      <c r="T318" s="20"/>
      <c r="U318" s="20"/>
      <c r="V318" s="20"/>
      <c r="W318" s="20"/>
      <c r="X318" s="20"/>
    </row>
    <row r="319">
      <c r="A319" s="37" t="str">
        <f>IFERROR(__xludf.DUMMYFUNCTION("""COMPUTED_VALUE"""),"https://techcombank.com/thong-tin/blog/tin-dung-doanh-nghiep")</f>
        <v>https://techcombank.com/thong-tin/blog/tin-dung-doanh-nghiep</v>
      </c>
      <c r="B319" s="28">
        <f>IFERROR(__xludf.DUMMYFUNCTION("""COMPUTED_VALUE"""),5.0)</f>
        <v>5</v>
      </c>
      <c r="C319" s="20" t="str">
        <f>IFERROR(__xludf.DUMMYFUNCTION("IF(A319="""","""",TEXTJOIN(CHAR(10),TRUE,FILTER('Tổng hợp 75 trang đích'!$B$2:$B$3400,'Tổng hợp 75 trang đích'!$I$2:$I$3400=A319)))"),"https://techcombank.com/thong-tin/blog/nop-thue-dat-qua-ngan-hang
https://techcombank.com/thong-tin/blog/cic-la-gi
https://techcombank.com/thong-tin/blog/cach-tinh-lai-suat-tien-gui-tiet-kiem
https://techcombank.com/cong-cu-tien-ich/cong-cu-tinh-toan/bang"&amp;"-tinh-lai-suat-vay
https://techcombank.com/thong-tin/blog/app-vay-tien-nhanh")</f>
        <v>https://techcombank.com/thong-tin/blog/nop-thue-dat-qua-ngan-hang
https://techcombank.com/thong-tin/blog/cic-la-gi
https://techcombank.com/thong-tin/blog/cach-tinh-lai-suat-tien-gui-tiet-kiem
https://techcombank.com/cong-cu-tien-ich/cong-cu-tinh-toan/bang-tinh-lai-suat-vay
https://techcombank.com/thong-tin/blog/app-vay-tien-nhanh</v>
      </c>
      <c r="D319" s="20"/>
      <c r="E319" s="20"/>
      <c r="F319" s="20"/>
      <c r="G319" s="20"/>
      <c r="H319" s="20"/>
      <c r="I319" s="20"/>
      <c r="J319" s="20"/>
      <c r="K319" s="20"/>
      <c r="L319" s="20"/>
      <c r="M319" s="20"/>
      <c r="N319" s="20"/>
      <c r="O319" s="20"/>
      <c r="P319" s="20"/>
      <c r="Q319" s="20"/>
      <c r="R319" s="20"/>
      <c r="S319" s="20"/>
      <c r="T319" s="20"/>
      <c r="U319" s="20"/>
      <c r="V319" s="20"/>
      <c r="W319" s="20"/>
      <c r="X319" s="20"/>
    </row>
    <row r="320">
      <c r="A320" s="37" t="str">
        <f>IFERROR(__xludf.DUMMYFUNCTION("""COMPUTED_VALUE"""),"https://techcombank.com/thong-tin/blog/tin-dung-la-gi")</f>
        <v>https://techcombank.com/thong-tin/blog/tin-dung-la-gi</v>
      </c>
      <c r="B320" s="28">
        <f>IFERROR(__xludf.DUMMYFUNCTION("""COMPUTED_VALUE"""),5.0)</f>
        <v>5</v>
      </c>
      <c r="C320" s="20" t="str">
        <f>IFERROR(__xludf.DUMMYFUNCTION("IF(A320="""","""",TEXTJOIN(CHAR(10),TRUE,FILTER('Tổng hợp 75 trang đích'!$B$2:$B$3400,'Tổng hợp 75 trang đích'!$I$2:$I$3400=A320)))"),"https://techcombank.com/thong-tin/blog/rut-tien-mat-tu-the-tin-dung
https://techcombank.com/thong-tin/blog/xep-hang-tin-dung
https://techcombank.com/thong-tin/blog/lai-suat-tiet-kiem
https://techcombank.com/cong-cu-tien-ich/cong-cu-tinh-toan/bang-tinh-lai"&amp;"-suat-vay
https://techcombank.com/thong-tin/blog/app-vay-tien-nhanh")</f>
        <v>https://techcombank.com/thong-tin/blog/rut-tien-mat-tu-the-tin-dung
https://techcombank.com/thong-tin/blog/xep-hang-tin-dung
https://techcombank.com/thong-tin/blog/lai-suat-tiet-kiem
https://techcombank.com/cong-cu-tien-ich/cong-cu-tinh-toan/bang-tinh-lai-suat-vay
https://techcombank.com/thong-tin/blog/app-vay-tien-nhanh</v>
      </c>
      <c r="D320" s="20"/>
      <c r="E320" s="20"/>
      <c r="F320" s="20"/>
      <c r="G320" s="20"/>
      <c r="H320" s="20"/>
      <c r="I320" s="20"/>
      <c r="J320" s="20"/>
      <c r="K320" s="20"/>
      <c r="L320" s="20"/>
      <c r="M320" s="20"/>
      <c r="N320" s="20"/>
      <c r="O320" s="20"/>
      <c r="P320" s="20"/>
      <c r="Q320" s="20"/>
      <c r="R320" s="20"/>
      <c r="S320" s="20"/>
      <c r="T320" s="20"/>
      <c r="U320" s="20"/>
      <c r="V320" s="20"/>
      <c r="W320" s="20"/>
      <c r="X320" s="20"/>
    </row>
    <row r="321">
      <c r="A321" s="37" t="str">
        <f>IFERROR(__xludf.DUMMYFUNCTION("""COMPUTED_VALUE"""),"https://techcombank.com/thong-tin/blog/top-phan-mem-ban-hang")</f>
        <v>https://techcombank.com/thong-tin/blog/top-phan-mem-ban-hang</v>
      </c>
      <c r="B321" s="28">
        <f>IFERROR(__xludf.DUMMYFUNCTION("""COMPUTED_VALUE"""),5.0)</f>
        <v>5</v>
      </c>
      <c r="C321" s="20" t="str">
        <f>IFERROR(__xludf.DUMMYFUNCTION("IF(A321="""","""",TEXTJOIN(CHAR(10),TRUE,FILTER('Tổng hợp 75 trang đích'!$B$2:$B$3400,'Tổng hợp 75 trang đích'!$I$2:$I$3400=A321)))"),"https://techcombank.com/thong-tin/blog/nop-thue-dat-qua-ngan-hang
https://techcombank.com/thong-tin/blog/cach-nop-thue-dien-tu
https://techcombank.com/thong-tin/blog/thue-thu-nhap-doanh-nghiep
https://techcombank.com/thong-tin/blog/mo-hinh-kinh-doanh-la-g"&amp;"i
https://techcombank.com/thong-tin/blog/gui-ma-qr-ngan-hang")</f>
        <v>https://techcombank.com/thong-tin/blog/nop-thue-dat-qua-ngan-hang
https://techcombank.com/thong-tin/blog/cach-nop-thue-dien-tu
https://techcombank.com/thong-tin/blog/thue-thu-nhap-doanh-nghiep
https://techcombank.com/thong-tin/blog/mo-hinh-kinh-doanh-la-gi
https://techcombank.com/thong-tin/blog/gui-ma-qr-ngan-hang</v>
      </c>
      <c r="D321" s="20"/>
      <c r="E321" s="20"/>
      <c r="F321" s="20"/>
      <c r="G321" s="20"/>
      <c r="H321" s="20"/>
      <c r="I321" s="20"/>
      <c r="J321" s="20"/>
      <c r="K321" s="20"/>
      <c r="L321" s="20"/>
      <c r="M321" s="20"/>
      <c r="N321" s="20"/>
      <c r="O321" s="20"/>
      <c r="P321" s="20"/>
      <c r="Q321" s="20"/>
      <c r="R321" s="20"/>
      <c r="S321" s="20"/>
      <c r="T321" s="20"/>
      <c r="U321" s="20"/>
      <c r="V321" s="20"/>
      <c r="W321" s="20"/>
      <c r="X321" s="20"/>
    </row>
    <row r="322">
      <c r="A322" s="37" t="str">
        <f>IFERROR(__xludf.DUMMYFUNCTION("""COMPUTED_VALUE"""),"https://techcombank.com/thong-tin/blog/tra-gop-qua-the-tin-dung")</f>
        <v>https://techcombank.com/thong-tin/blog/tra-gop-qua-the-tin-dung</v>
      </c>
      <c r="B322" s="28">
        <f>IFERROR(__xludf.DUMMYFUNCTION("""COMPUTED_VALUE"""),5.0)</f>
        <v>5</v>
      </c>
      <c r="C322" s="20" t="str">
        <f>IFERROR(__xludf.DUMMYFUNCTION("IF(A322="""","""",TEXTJOIN(CHAR(10),TRUE,FILTER('Tổng hợp 75 trang đích'!$B$2:$B$3400,'Tổng hợp 75 trang đích'!$I$2:$I$3400=A322)))"),"https://techcombank.com/thong-tin/blog/rut-tien-mat-tu-the-tin-dung
https://techcombank.com/thong-tin/blog/vay-ngan-hang-1-ty-moi-thang-tra-bao-nhieu
https://techcombank.com/thong-tin/blog/cach-tinh-lai-vay-ngan-hang
https://techcombank.com/cong-cu-tien-i"&amp;"ch/cong-cu-tinh-toan/bang-tinh-lai-suat-vay
https://techcombank.com/thong-tin/blog/app-vay-tien-nhanh")</f>
        <v>https://techcombank.com/thong-tin/blog/rut-tien-mat-tu-the-tin-dung
https://techcombank.com/thong-tin/blog/vay-ngan-hang-1-ty-moi-thang-tra-bao-nhieu
https://techcombank.com/thong-tin/blog/cach-tinh-lai-vay-ngan-hang
https://techcombank.com/cong-cu-tien-ich/cong-cu-tinh-toan/bang-tinh-lai-suat-vay
https://techcombank.com/thong-tin/blog/app-vay-tien-nhanh</v>
      </c>
      <c r="D322" s="20"/>
      <c r="E322" s="20"/>
      <c r="F322" s="20"/>
      <c r="G322" s="20"/>
      <c r="H322" s="20"/>
      <c r="I322" s="20"/>
      <c r="J322" s="20"/>
      <c r="K322" s="20"/>
      <c r="L322" s="20"/>
      <c r="M322" s="20"/>
      <c r="N322" s="20"/>
      <c r="O322" s="20"/>
      <c r="P322" s="20"/>
      <c r="Q322" s="20"/>
      <c r="R322" s="20"/>
      <c r="S322" s="20"/>
      <c r="T322" s="20"/>
      <c r="U322" s="20"/>
      <c r="V322" s="20"/>
      <c r="W322" s="20"/>
      <c r="X322" s="20"/>
    </row>
    <row r="323">
      <c r="A323" s="37" t="str">
        <f>IFERROR(__xludf.DUMMYFUNCTION("""COMPUTED_VALUE"""),"https://techcombank.com/thong-tin/blog/vay-40-trieu")</f>
        <v>https://techcombank.com/thong-tin/blog/vay-40-trieu</v>
      </c>
      <c r="B323" s="28">
        <f>IFERROR(__xludf.DUMMYFUNCTION("""COMPUTED_VALUE"""),5.0)</f>
        <v>5</v>
      </c>
      <c r="C323" s="20" t="str">
        <f>IFERROR(__xludf.DUMMYFUNCTION("IF(A323="""","""",TEXTJOIN(CHAR(10),TRUE,FILTER('Tổng hợp 75 trang đích'!$B$2:$B$3400,'Tổng hợp 75 trang đích'!$I$2:$I$3400=A323)))"),"https://techcombank.com/thong-tin/blog/vay-ngan-hang-1-ty-moi-thang-tra-bao-nhieu
https://techcombank.com/thong-tin/blog/cach-tinh-lai-vay-ngan-hang
https://techcombank.com/cong-cu-tien-ich/cong-cu-tinh-toan/bang-tinh-lai-suat-vay
https://techcombank.com/"&amp;"thong-tin/blog/app-vay-tien-nhanh
https://techcombank.com/thong-tin/blog/lai-suat-vay-ngan-hang")</f>
        <v>https://techcombank.com/thong-tin/blog/vay-ngan-hang-1-ty-moi-thang-tra-bao-nhieu
https://techcombank.com/thong-tin/blog/cach-tinh-lai-vay-ngan-hang
https://techcombank.com/cong-cu-tien-ich/cong-cu-tinh-toan/bang-tinh-lai-suat-vay
https://techcombank.com/thong-tin/blog/app-vay-tien-nhanh
https://techcombank.com/thong-tin/blog/lai-suat-vay-ngan-hang</v>
      </c>
      <c r="D323" s="20"/>
      <c r="E323" s="20"/>
      <c r="F323" s="20"/>
      <c r="G323" s="20"/>
      <c r="H323" s="20"/>
      <c r="I323" s="20"/>
      <c r="J323" s="20"/>
      <c r="K323" s="20"/>
      <c r="L323" s="20"/>
      <c r="M323" s="20"/>
      <c r="N323" s="20"/>
      <c r="O323" s="20"/>
      <c r="P323" s="20"/>
      <c r="Q323" s="20"/>
      <c r="R323" s="20"/>
      <c r="S323" s="20"/>
      <c r="T323" s="20"/>
      <c r="U323" s="20"/>
      <c r="V323" s="20"/>
      <c r="W323" s="20"/>
      <c r="X323" s="20"/>
    </row>
    <row r="324">
      <c r="A324" s="37" t="str">
        <f>IFERROR(__xludf.DUMMYFUNCTION("""COMPUTED_VALUE"""),"https://techcombank.com/thong-tin/blog/vay-50-trieu")</f>
        <v>https://techcombank.com/thong-tin/blog/vay-50-trieu</v>
      </c>
      <c r="B324" s="28">
        <f>IFERROR(__xludf.DUMMYFUNCTION("""COMPUTED_VALUE"""),5.0)</f>
        <v>5</v>
      </c>
      <c r="C324" s="20" t="str">
        <f>IFERROR(__xludf.DUMMYFUNCTION("IF(A324="""","""",TEXTJOIN(CHAR(10),TRUE,FILTER('Tổng hợp 75 trang đích'!$B$2:$B$3400,'Tổng hợp 75 trang đích'!$I$2:$I$3400=A324)))"),"https://techcombank.com/thong-tin/blog/lai-suat-tiet-kiem
https://techcombank.com/thong-tin/blog/cach-tinh-lai-suat-tien-gui-tiet-kiem
https://techcombank.com/cong-cu-tien-ich/cong-cu-tinh-toan/bang-tinh-lai-suat-vay
https://techcombank.com/thong-tin/blog"&amp;"/app-vay-tien-nhanh
https://techcombank.com/thong-tin/blog/lai-suat-vay-ngan-hang")</f>
        <v>https://techcombank.com/thong-tin/blog/lai-suat-tiet-kiem
https://techcombank.com/thong-tin/blog/cach-tinh-lai-suat-tien-gui-tiet-kiem
https://techcombank.com/cong-cu-tien-ich/cong-cu-tinh-toan/bang-tinh-lai-suat-vay
https://techcombank.com/thong-tin/blog/app-vay-tien-nhanh
https://techcombank.com/thong-tin/blog/lai-suat-vay-ngan-hang</v>
      </c>
      <c r="D324" s="20"/>
      <c r="E324" s="20"/>
      <c r="F324" s="20"/>
      <c r="G324" s="20"/>
      <c r="H324" s="20"/>
      <c r="I324" s="20"/>
      <c r="J324" s="20"/>
      <c r="K324" s="20"/>
      <c r="L324" s="20"/>
      <c r="M324" s="20"/>
      <c r="N324" s="20"/>
      <c r="O324" s="20"/>
      <c r="P324" s="20"/>
      <c r="Q324" s="20"/>
      <c r="R324" s="20"/>
      <c r="S324" s="20"/>
      <c r="T324" s="20"/>
      <c r="U324" s="20"/>
      <c r="V324" s="20"/>
      <c r="W324" s="20"/>
      <c r="X324" s="20"/>
    </row>
    <row r="325">
      <c r="A325" s="37" t="str">
        <f>IFERROR(__xludf.DUMMYFUNCTION("""COMPUTED_VALUE"""),"https://techcombank.com/thong-tin/blog/vay-han-muc-la-gi")</f>
        <v>https://techcombank.com/thong-tin/blog/vay-han-muc-la-gi</v>
      </c>
      <c r="B325" s="28">
        <f>IFERROR(__xludf.DUMMYFUNCTION("""COMPUTED_VALUE"""),5.0)</f>
        <v>5</v>
      </c>
      <c r="C325" s="20" t="str">
        <f>IFERROR(__xludf.DUMMYFUNCTION("IF(A325="""","""",TEXTJOIN(CHAR(10),TRUE,FILTER('Tổng hợp 75 trang đích'!$B$2:$B$3400,'Tổng hợp 75 trang đích'!$I$2:$I$3400=A325)))"),"https://techcombank.com/thong-tin/blog/cic-la-gi
https://techcombank.com/cong-cu-tien-ich/cong-cu-tinh-toan/bang-tinh-lai-suat-vay
https://techcombank.com/thong-tin/blog/app-vay-tien-nhanh
https://techcombank.com/thong-tin/blog/lai-suat-vay-ngan-hang
http"&amp;"s://techcombank.com/thong-tin/blog/vay-thau-chi-la-gi")</f>
        <v>https://techcombank.com/thong-tin/blog/cic-la-gi
https://techcombank.com/cong-cu-tien-ich/cong-cu-tinh-toan/bang-tinh-lai-suat-vay
https://techcombank.com/thong-tin/blog/app-vay-tien-nhanh
https://techcombank.com/thong-tin/blog/lai-suat-vay-ngan-hang
https://techcombank.com/thong-tin/blog/vay-thau-chi-la-gi</v>
      </c>
      <c r="D325" s="20"/>
      <c r="E325" s="20"/>
      <c r="F325" s="20"/>
      <c r="G325" s="20"/>
      <c r="H325" s="20"/>
      <c r="I325" s="20"/>
      <c r="J325" s="20"/>
      <c r="K325" s="20"/>
      <c r="L325" s="20"/>
      <c r="M325" s="20"/>
      <c r="N325" s="20"/>
      <c r="O325" s="20"/>
      <c r="P325" s="20"/>
      <c r="Q325" s="20"/>
      <c r="R325" s="20"/>
      <c r="S325" s="20"/>
      <c r="T325" s="20"/>
      <c r="U325" s="20"/>
      <c r="V325" s="20"/>
      <c r="W325" s="20"/>
      <c r="X325" s="20"/>
    </row>
    <row r="326">
      <c r="A326" s="37" t="str">
        <f>IFERROR(__xludf.DUMMYFUNCTION("""COMPUTED_VALUE"""),"https://techcombank.com/thong-tin/blog/vay-kinh-doanh-online")</f>
        <v>https://techcombank.com/thong-tin/blog/vay-kinh-doanh-online</v>
      </c>
      <c r="B326" s="28">
        <f>IFERROR(__xludf.DUMMYFUNCTION("""COMPUTED_VALUE"""),5.0)</f>
        <v>5</v>
      </c>
      <c r="C326" s="20" t="str">
        <f>IFERROR(__xludf.DUMMYFUNCTION("IF(A326="""","""",TEXTJOIN(CHAR(10),TRUE,FILTER('Tổng hợp 75 trang đích'!$B$2:$B$3400,'Tổng hợp 75 trang đích'!$I$2:$I$3400=A326)))"),"https://techcombank.com/thong-tin/blog/lai-suat-tiet-kiem
https://techcombank.com/thong-tin/blog/cach-tinh-lai-suat-tien-gui-tiet-kiem
https://techcombank.com/cong-cu-tien-ich/cong-cu-tinh-toan/bang-tinh-lai-suat-vay
https://techcombank.com/thong-tin/blog"&amp;"/app-vay-tien-nhanh
https://techcombank.com/thong-tin/blog/lai-suat-vay-ngan-hang")</f>
        <v>https://techcombank.com/thong-tin/blog/lai-suat-tiet-kiem
https://techcombank.com/thong-tin/blog/cach-tinh-lai-suat-tien-gui-tiet-kiem
https://techcombank.com/cong-cu-tien-ich/cong-cu-tinh-toan/bang-tinh-lai-suat-vay
https://techcombank.com/thong-tin/blog/app-vay-tien-nhanh
https://techcombank.com/thong-tin/blog/lai-suat-vay-ngan-hang</v>
      </c>
      <c r="D326" s="20"/>
      <c r="E326" s="20"/>
      <c r="F326" s="20"/>
      <c r="G326" s="20"/>
      <c r="H326" s="20"/>
      <c r="I326" s="20"/>
      <c r="J326" s="20"/>
      <c r="K326" s="20"/>
      <c r="L326" s="20"/>
      <c r="M326" s="20"/>
      <c r="N326" s="20"/>
      <c r="O326" s="20"/>
      <c r="P326" s="20"/>
      <c r="Q326" s="20"/>
      <c r="R326" s="20"/>
      <c r="S326" s="20"/>
      <c r="T326" s="20"/>
      <c r="U326" s="20"/>
      <c r="V326" s="20"/>
      <c r="W326" s="20"/>
      <c r="X326" s="20"/>
    </row>
    <row r="327">
      <c r="A327" s="37" t="str">
        <f>IFERROR(__xludf.DUMMYFUNCTION("""COMPUTED_VALUE"""),"https://techcombank.com/thong-tin/blog/vay-thau-chi-la-gi")</f>
        <v>https://techcombank.com/thong-tin/blog/vay-thau-chi-la-gi</v>
      </c>
      <c r="B327" s="28">
        <f>IFERROR(__xludf.DUMMYFUNCTION("""COMPUTED_VALUE"""),5.0)</f>
        <v>5</v>
      </c>
      <c r="C327" s="20" t="str">
        <f>IFERROR(__xludf.DUMMYFUNCTION("IF(A327="""","""",TEXTJOIN(CHAR(10),TRUE,FILTER('Tổng hợp 75 trang đích'!$B$2:$B$3400,'Tổng hợp 75 trang đích'!$I$2:$I$3400=A327)))"),"https://techcombank.com/thong-tin/blog/so-tiet-kiem-ngan-hang
https://techcombank.com/cong-cu-tien-ich/cong-cu-tinh-toan/bang-tinh-lai-suat-vay
https://techcombank.com/thong-tin/blog/app-vay-tien-nhanh
https://techcombank.com/thong-tin/blog/lai-suat-vay-n"&amp;"gan-hang
https://techcombank.com/thong-tin/blog/no-xau-la-gi")</f>
        <v>https://techcombank.com/thong-tin/blog/so-tiet-kiem-ngan-hang
https://techcombank.com/cong-cu-tien-ich/cong-cu-tinh-toan/bang-tinh-lai-suat-vay
https://techcombank.com/thong-tin/blog/app-vay-tien-nhanh
https://techcombank.com/thong-tin/blog/lai-suat-vay-ngan-hang
https://techcombank.com/thong-tin/blog/no-xau-la-gi</v>
      </c>
      <c r="D327" s="20"/>
      <c r="E327" s="20"/>
      <c r="F327" s="20"/>
      <c r="G327" s="20"/>
      <c r="H327" s="20"/>
      <c r="I327" s="20"/>
      <c r="J327" s="20"/>
      <c r="K327" s="20"/>
      <c r="L327" s="20"/>
      <c r="M327" s="20"/>
      <c r="N327" s="20"/>
      <c r="O327" s="20"/>
      <c r="P327" s="20"/>
      <c r="Q327" s="20"/>
      <c r="R327" s="20"/>
      <c r="S327" s="20"/>
      <c r="T327" s="20"/>
      <c r="U327" s="20"/>
      <c r="V327" s="20"/>
      <c r="W327" s="20"/>
      <c r="X327" s="20"/>
    </row>
    <row r="328">
      <c r="A328" s="37" t="str">
        <f>IFERROR(__xludf.DUMMYFUNCTION("""COMPUTED_VALUE"""),"https://techcombank.com/thong-tin/blog/vay-the-chap-khong-chung-minh-thu-nhap")</f>
        <v>https://techcombank.com/thong-tin/blog/vay-the-chap-khong-chung-minh-thu-nhap</v>
      </c>
      <c r="B328" s="28">
        <f>IFERROR(__xludf.DUMMYFUNCTION("""COMPUTED_VALUE"""),5.0)</f>
        <v>5</v>
      </c>
      <c r="C328" s="20" t="str">
        <f>IFERROR(__xludf.DUMMYFUNCTION("IF(A328="""","""",TEXTJOIN(CHAR(10),TRUE,FILTER('Tổng hợp 75 trang đích'!$B$2:$B$3400,'Tổng hợp 75 trang đích'!$I$2:$I$3400=A328)))"),"https://techcombank.com/thong-tin/blog/lai-suat-vay-the-chap-so-do
https://techcombank.com/cong-cu-tien-ich/cong-cu-tinh-toan/bang-tinh-lai-suat-vay
https://techcombank.com/thong-tin/blog/app-vay-tien-nhanh
https://techcombank.com/thong-tin/blog/lai-suat-"&amp;"vay-ngan-hang
https://techcombank.com/thong-tin/blog/nen-vay-tin-chap-o-dau")</f>
        <v>https://techcombank.com/thong-tin/blog/lai-suat-vay-the-chap-so-do
https://techcombank.com/cong-cu-tien-ich/cong-cu-tinh-toan/bang-tinh-lai-suat-vay
https://techcombank.com/thong-tin/blog/app-vay-tien-nhanh
https://techcombank.com/thong-tin/blog/lai-suat-vay-ngan-hang
https://techcombank.com/thong-tin/blog/nen-vay-tin-chap-o-dau</v>
      </c>
      <c r="D328" s="20"/>
      <c r="E328" s="20"/>
      <c r="F328" s="20"/>
      <c r="G328" s="20"/>
      <c r="H328" s="20"/>
      <c r="I328" s="20"/>
      <c r="J328" s="20"/>
      <c r="K328" s="20"/>
      <c r="L328" s="20"/>
      <c r="M328" s="20"/>
      <c r="N328" s="20"/>
      <c r="O328" s="20"/>
      <c r="P328" s="20"/>
      <c r="Q328" s="20"/>
      <c r="R328" s="20"/>
      <c r="S328" s="20"/>
      <c r="T328" s="20"/>
      <c r="U328" s="20"/>
      <c r="V328" s="20"/>
      <c r="W328" s="20"/>
      <c r="X328" s="20"/>
    </row>
    <row r="329">
      <c r="A329" s="37" t="str">
        <f>IFERROR(__xludf.DUMMYFUNCTION("""COMPUTED_VALUE"""),"https://techcombank.com/thong-tin/blog/vay-the-chap-so-bao-hiem-xa-hoi")</f>
        <v>https://techcombank.com/thong-tin/blog/vay-the-chap-so-bao-hiem-xa-hoi</v>
      </c>
      <c r="B329" s="28">
        <f>IFERROR(__xludf.DUMMYFUNCTION("""COMPUTED_VALUE"""),5.0)</f>
        <v>5</v>
      </c>
      <c r="C329" s="20" t="str">
        <f>IFERROR(__xludf.DUMMYFUNCTION("IF(A329="""","""",TEXTJOIN(CHAR(10),TRUE,FILTER('Tổng hợp 75 trang đích'!$B$2:$B$3400,'Tổng hợp 75 trang đích'!$I$2:$I$3400=A329)))"),"https://techcombank.com/thong-tin/blog/lai-suat-vay-the-chap-so-do
https://techcombank.com/thong-tin/blog/ho-so-thu-tuc-xoa-the-chap
https://techcombank.com/cong-cu-tien-ich/cong-cu-tinh-toan/bang-tinh-lai-suat-vay
https://techcombank.com/thong-tin/blog/a"&amp;"pp-vay-tien-nhanh
https://techcombank.com/thong-tin/blog/lai-suat-vay-ngan-hang")</f>
        <v>https://techcombank.com/thong-tin/blog/lai-suat-vay-the-chap-so-do
https://techcombank.com/thong-tin/blog/ho-so-thu-tuc-xoa-the-chap
https://techcombank.com/cong-cu-tien-ich/cong-cu-tinh-toan/bang-tinh-lai-suat-vay
https://techcombank.com/thong-tin/blog/app-vay-tien-nhanh
https://techcombank.com/thong-tin/blog/lai-suat-vay-ngan-hang</v>
      </c>
      <c r="D329" s="20"/>
      <c r="E329" s="20"/>
      <c r="F329" s="20"/>
      <c r="G329" s="20"/>
      <c r="H329" s="20"/>
      <c r="I329" s="20"/>
      <c r="J329" s="20"/>
      <c r="K329" s="20"/>
      <c r="L329" s="20"/>
      <c r="M329" s="20"/>
      <c r="N329" s="20"/>
      <c r="O329" s="20"/>
      <c r="P329" s="20"/>
      <c r="Q329" s="20"/>
      <c r="R329" s="20"/>
      <c r="S329" s="20"/>
      <c r="T329" s="20"/>
      <c r="U329" s="20"/>
      <c r="V329" s="20"/>
      <c r="W329" s="20"/>
      <c r="X329" s="20"/>
    </row>
    <row r="330">
      <c r="A330" s="37" t="str">
        <f>IFERROR(__xludf.DUMMYFUNCTION("""COMPUTED_VALUE"""),"https://techcombank.com/thong-tin/blog/vay-tin-chap-khong-tra-duoc-co-sao-khong")</f>
        <v>https://techcombank.com/thong-tin/blog/vay-tin-chap-khong-tra-duoc-co-sao-khong</v>
      </c>
      <c r="B330" s="28">
        <f>IFERROR(__xludf.DUMMYFUNCTION("""COMPUTED_VALUE"""),5.0)</f>
        <v>5</v>
      </c>
      <c r="C330" s="20" t="str">
        <f>IFERROR(__xludf.DUMMYFUNCTION("IF(A330="""","""",TEXTJOIN(CHAR(10),TRUE,FILTER('Tổng hợp 75 trang đích'!$B$2:$B$3400,'Tổng hợp 75 trang đích'!$I$2:$I$3400=A330)))"),"https://techcombank.com/thong-tin/blog/cic-la-gi
https://techcombank.com/cong-cu-tien-ich/cong-cu-tinh-toan/bang-tinh-lai-suat-vay
https://techcombank.com/thong-tin/blog/app-vay-tien-nhanh
https://techcombank.com/thong-tin/blog/lai-suat-vay-ngan-hang
http"&amp;"s://techcombank.com/thong-tin/blog/nen-vay-tin-chap-o-dau")</f>
        <v>https://techcombank.com/thong-tin/blog/cic-la-gi
https://techcombank.com/cong-cu-tien-ich/cong-cu-tinh-toan/bang-tinh-lai-suat-vay
https://techcombank.com/thong-tin/blog/app-vay-tien-nhanh
https://techcombank.com/thong-tin/blog/lai-suat-vay-ngan-hang
https://techcombank.com/thong-tin/blog/nen-vay-tin-chap-o-dau</v>
      </c>
      <c r="D330" s="20"/>
      <c r="E330" s="20"/>
      <c r="F330" s="20"/>
      <c r="G330" s="20"/>
      <c r="H330" s="20"/>
      <c r="I330" s="20"/>
      <c r="J330" s="20"/>
      <c r="K330" s="20"/>
      <c r="L330" s="20"/>
      <c r="M330" s="20"/>
      <c r="N330" s="20"/>
      <c r="O330" s="20"/>
      <c r="P330" s="20"/>
      <c r="Q330" s="20"/>
      <c r="R330" s="20"/>
      <c r="S330" s="20"/>
      <c r="T330" s="20"/>
      <c r="U330" s="20"/>
      <c r="V330" s="20"/>
      <c r="W330" s="20"/>
      <c r="X330" s="20"/>
    </row>
    <row r="331">
      <c r="A331" s="37" t="str">
        <f>IFERROR(__xludf.DUMMYFUNCTION("""COMPUTED_VALUE"""),"https://techcombank.com/thong-tin/blog/vi-dien-tu-la-gi")</f>
        <v>https://techcombank.com/thong-tin/blog/vi-dien-tu-la-gi</v>
      </c>
      <c r="B331" s="28">
        <f>IFERROR(__xludf.DUMMYFUNCTION("""COMPUTED_VALUE"""),5.0)</f>
        <v>5</v>
      </c>
      <c r="C331" s="20" t="str">
        <f>IFERROR(__xludf.DUMMYFUNCTION("IF(A331="""","""",TEXTJOIN(CHAR(10),TRUE,FILTER('Tổng hợp 75 trang đích'!$B$2:$B$3400,'Tổng hợp 75 trang đích'!$I$2:$I$3400=A331)))"),"https://techcombank.com/thong-tin/blog/cach-nap-the-viettel
https://techcombank.com/thong-tin/blog/chuyen-khoan-thanh-cong-nhung-khong-nhan-duoc-tien
https://techcombank.com/thong-tin/blog/1-yen-bang-bao-nhieu-tien-viet-nam
https://techcombank.com/thong-t"&amp;"in/blog/1-man-bang-bao-nhieu-tien-viet
https://techcombank.com/thong-tin/blog/1-trieu-do-bang-bao-nhieu-tien-viet")</f>
        <v>https://techcombank.com/thong-tin/blog/cach-nap-the-viettel
https://techcombank.com/thong-tin/blog/chuyen-khoan-thanh-cong-nhung-khong-nhan-duoc-tien
https://techcombank.com/thong-tin/blog/1-yen-bang-bao-nhieu-tien-viet-nam
https://techcombank.com/thong-tin/blog/1-man-bang-bao-nhieu-tien-viet
https://techcombank.com/thong-tin/blog/1-trieu-do-bang-bao-nhieu-tien-viet</v>
      </c>
      <c r="D331" s="20"/>
      <c r="E331" s="20"/>
      <c r="F331" s="20"/>
      <c r="G331" s="20"/>
      <c r="H331" s="20"/>
      <c r="I331" s="20"/>
      <c r="J331" s="20"/>
      <c r="K331" s="20"/>
      <c r="L331" s="20"/>
      <c r="M331" s="20"/>
      <c r="N331" s="20"/>
      <c r="O331" s="20"/>
      <c r="P331" s="20"/>
      <c r="Q331" s="20"/>
      <c r="R331" s="20"/>
      <c r="S331" s="20"/>
      <c r="T331" s="20"/>
      <c r="U331" s="20"/>
      <c r="V331" s="20"/>
      <c r="W331" s="20"/>
      <c r="X331" s="20"/>
    </row>
    <row r="332">
      <c r="A332" s="37" t="str">
        <f>IFERROR(__xludf.DUMMYFUNCTION("""COMPUTED_VALUE"""),"https://techcombank.com/thong-tin/blog/1-trieu-won-bang-bao-nhieu-tien-viet")</f>
        <v>https://techcombank.com/thong-tin/blog/1-trieu-won-bang-bao-nhieu-tien-viet</v>
      </c>
      <c r="B332" s="28">
        <f>IFERROR(__xludf.DUMMYFUNCTION("""COMPUTED_VALUE"""),4.0)</f>
        <v>4</v>
      </c>
      <c r="C332" s="20" t="str">
        <f>IFERROR(__xludf.DUMMYFUNCTION("IF(A332="""","""",TEXTJOIN(CHAR(10),TRUE,FILTER('Tổng hợp 75 trang đích'!$B$2:$B$3400,'Tổng hợp 75 trang đích'!$I$2:$I$3400=A332)))"),"https://techcombank.com/thong-tin/blog/1-won-bang-bao-nhieu-tien-viet
https://techcombank.com/thong-tin/blog/1-man-bang-bao-nhieu-tien-viet
https://techcombank.com/thong-tin/blog/1-trieu-do-bang-bao-nhieu-tien-viet
https://techcombank.com/thong-tin/blog/1"&amp;"000-won-bang-bao-nhieu-tien-viet")</f>
        <v>https://techcombank.com/thong-tin/blog/1-won-bang-bao-nhieu-tien-viet
https://techcombank.com/thong-tin/blog/1-man-bang-bao-nhieu-tien-viet
https://techcombank.com/thong-tin/blog/1-trieu-do-bang-bao-nhieu-tien-viet
https://techcombank.com/thong-tin/blog/1000-won-bang-bao-nhieu-tien-viet</v>
      </c>
      <c r="D332" s="20"/>
      <c r="E332" s="20"/>
      <c r="F332" s="20"/>
      <c r="G332" s="20"/>
      <c r="H332" s="20"/>
      <c r="I332" s="20"/>
      <c r="J332" s="20"/>
      <c r="K332" s="20"/>
      <c r="L332" s="20"/>
      <c r="M332" s="20"/>
      <c r="N332" s="20"/>
      <c r="O332" s="20"/>
      <c r="P332" s="20"/>
      <c r="Q332" s="20"/>
      <c r="R332" s="20"/>
      <c r="S332" s="20"/>
      <c r="T332" s="20"/>
      <c r="U332" s="20"/>
      <c r="V332" s="20"/>
      <c r="W332" s="20"/>
      <c r="X332" s="20"/>
    </row>
    <row r="333">
      <c r="A333" s="37" t="str">
        <f>IFERROR(__xludf.DUMMYFUNCTION("""COMPUTED_VALUE"""),"https://techcombank.com/thong-tin/blog/atm-la-gi")</f>
        <v>https://techcombank.com/thong-tin/blog/atm-la-gi</v>
      </c>
      <c r="B333" s="28">
        <f>IFERROR(__xludf.DUMMYFUNCTION("""COMPUTED_VALUE"""),4.0)</f>
        <v>4</v>
      </c>
      <c r="C333" s="20" t="str">
        <f>IFERROR(__xludf.DUMMYFUNCTION("IF(A333="""","""",TEXTJOIN(CHAR(10),TRUE,FILTER('Tổng hợp 75 trang đích'!$B$2:$B$3400,'Tổng hợp 75 trang đích'!$I$2:$I$3400=A333)))"),"https://techcombank.com/thong-tin/blog/nap-tien-vao-tai-khoan-ngan-hang
https://techcombank.com/thong-tin/blog/cic-la-gi
https://techcombank.com/thong-tin/blog/1-man-bang-bao-nhieu-tien-viet
https://techcombank.com/thong-tin/blog/tien-thai-lan")</f>
        <v>https://techcombank.com/thong-tin/blog/nap-tien-vao-tai-khoan-ngan-hang
https://techcombank.com/thong-tin/blog/cic-la-gi
https://techcombank.com/thong-tin/blog/1-man-bang-bao-nhieu-tien-viet
https://techcombank.com/thong-tin/blog/tien-thai-lan</v>
      </c>
      <c r="D333" s="20"/>
      <c r="E333" s="20"/>
      <c r="F333" s="20"/>
      <c r="G333" s="20"/>
      <c r="H333" s="20"/>
      <c r="I333" s="20"/>
      <c r="J333" s="20"/>
      <c r="K333" s="20"/>
      <c r="L333" s="20"/>
      <c r="M333" s="20"/>
      <c r="N333" s="20"/>
      <c r="O333" s="20"/>
      <c r="P333" s="20"/>
      <c r="Q333" s="20"/>
      <c r="R333" s="20"/>
      <c r="S333" s="20"/>
      <c r="T333" s="20"/>
      <c r="U333" s="20"/>
      <c r="V333" s="20"/>
      <c r="W333" s="20"/>
      <c r="X333" s="20"/>
    </row>
    <row r="334">
      <c r="A334" s="37" t="str">
        <f>IFERROR(__xludf.DUMMYFUNCTION("""COMPUTED_VALUE"""),"https://techcombank.com/thong-tin/blog/cach-chuyen-tien-qua-ma-qr-techcombank")</f>
        <v>https://techcombank.com/thong-tin/blog/cach-chuyen-tien-qua-ma-qr-techcombank</v>
      </c>
      <c r="B334" s="28">
        <f>IFERROR(__xludf.DUMMYFUNCTION("""COMPUTED_VALUE"""),4.0)</f>
        <v>4</v>
      </c>
      <c r="C334" s="20" t="str">
        <f>IFERROR(__xludf.DUMMYFUNCTION("IF(A334="""","""",TEXTJOIN(CHAR(10),TRUE,FILTER('Tổng hợp 75 trang đích'!$B$2:$B$3400,'Tổng hợp 75 trang đích'!$I$2:$I$3400=A334)))"),"https://techcombank.com/thong-tin/blog/chuyen-khoan-thanh-cong-nhung-khong-nhan-duoc-tien
https://techcombank.com/thong-tin/blog/bao-nhieu-tuoi-duoc-mo-tai-khoan-ngan-hang
https://techcombank.com/thong-tin/blog/cach-quet-nfc-cccd-tren-iphone
https://techc"&amp;"ombank.com/thong-tin/blog/gui-ma-qr-ngan-hang")</f>
        <v>https://techcombank.com/thong-tin/blog/chuyen-khoan-thanh-cong-nhung-khong-nhan-duoc-tien
https://techcombank.com/thong-tin/blog/bao-nhieu-tuoi-duoc-mo-tai-khoan-ngan-hang
https://techcombank.com/thong-tin/blog/cach-quet-nfc-cccd-tren-iphone
https://techcombank.com/thong-tin/blog/gui-ma-qr-ngan-hang</v>
      </c>
      <c r="D334" s="20"/>
      <c r="E334" s="20"/>
      <c r="F334" s="20"/>
      <c r="G334" s="20"/>
      <c r="H334" s="20"/>
      <c r="I334" s="20"/>
      <c r="J334" s="20"/>
      <c r="K334" s="20"/>
      <c r="L334" s="20"/>
      <c r="M334" s="20"/>
      <c r="N334" s="20"/>
      <c r="O334" s="20"/>
      <c r="P334" s="20"/>
      <c r="Q334" s="20"/>
      <c r="R334" s="20"/>
      <c r="S334" s="20"/>
      <c r="T334" s="20"/>
      <c r="U334" s="20"/>
      <c r="V334" s="20"/>
      <c r="W334" s="20"/>
      <c r="X334" s="20"/>
    </row>
    <row r="335">
      <c r="A335" s="37" t="str">
        <f>IFERROR(__xludf.DUMMYFUNCTION("""COMPUTED_VALUE"""),"https://techcombank.com/thong-tin/blog/cach-doi-mat-khau-tai-khoan-ngan-hang")</f>
        <v>https://techcombank.com/thong-tin/blog/cach-doi-mat-khau-tai-khoan-ngan-hang</v>
      </c>
      <c r="B335" s="28">
        <f>IFERROR(__xludf.DUMMYFUNCTION("""COMPUTED_VALUE"""),4.0)</f>
        <v>4</v>
      </c>
      <c r="C335" s="20" t="str">
        <f>IFERROR(__xludf.DUMMYFUNCTION("IF(A335="""","""",TEXTJOIN(CHAR(10),TRUE,FILTER('Tổng hợp 75 trang đích'!$B$2:$B$3400,'Tổng hợp 75 trang đích'!$I$2:$I$3400=A335)))"),"https://techcombank.com/thong-tin/blog/cach-tinh-tien-dien-sinh-hoat
https://techcombank.com/thong-tin/blog/cach-kiem-tra-tai-khoan-ngan-hang
https://techcombank.com/thong-tin/blog/cach-mo-tai-khoan
https://techcombank.com/thong-tin/blog/ten-dang-nhap-tai"&amp;"-khoan-ngan-hang-la-gi")</f>
        <v>https://techcombank.com/thong-tin/blog/cach-tinh-tien-dien-sinh-hoat
https://techcombank.com/thong-tin/blog/cach-kiem-tra-tai-khoan-ngan-hang
https://techcombank.com/thong-tin/blog/cach-mo-tai-khoan
https://techcombank.com/thong-tin/blog/ten-dang-nhap-tai-khoan-ngan-hang-la-gi</v>
      </c>
      <c r="D335" s="20"/>
      <c r="E335" s="20"/>
      <c r="F335" s="20"/>
      <c r="G335" s="20"/>
      <c r="H335" s="20"/>
      <c r="I335" s="20"/>
      <c r="J335" s="20"/>
      <c r="K335" s="20"/>
      <c r="L335" s="20"/>
      <c r="M335" s="20"/>
      <c r="N335" s="20"/>
      <c r="O335" s="20"/>
      <c r="P335" s="20"/>
      <c r="Q335" s="20"/>
      <c r="R335" s="20"/>
      <c r="S335" s="20"/>
      <c r="T335" s="20"/>
      <c r="U335" s="20"/>
      <c r="V335" s="20"/>
      <c r="W335" s="20"/>
      <c r="X335" s="20"/>
    </row>
    <row r="336">
      <c r="A336" s="37" t="str">
        <f>IFERROR(__xludf.DUMMYFUNCTION("""COMPUTED_VALUE"""),"https://techcombank.com/thong-tin/blog/cach-kich-hoat-the-atm")</f>
        <v>https://techcombank.com/thong-tin/blog/cach-kich-hoat-the-atm</v>
      </c>
      <c r="B336" s="28">
        <f>IFERROR(__xludf.DUMMYFUNCTION("""COMPUTED_VALUE"""),4.0)</f>
        <v>4</v>
      </c>
      <c r="C336" s="20" t="str">
        <f>IFERROR(__xludf.DUMMYFUNCTION("IF(A336="""","""",TEXTJOIN(CHAR(10),TRUE,FILTER('Tổng hợp 75 trang đích'!$B$2:$B$3400,'Tổng hợp 75 trang đích'!$I$2:$I$3400=A336)))"),"https://techcombank.com/thong-tin/blog/nap-tien-vao-tai-khoan-ngan-hang
https://techcombank.com/thong-tin/blog/ten-dang-nhap-tai-khoan-ngan-hang-la-gi
https://techcombank.com/thong-tin/blog/rut-tien-bang-ma-qr-la-gi-cach-thuc-hien-nhu-the-nao
https://tech"&amp;"combank.com/thong-tin/blog/cic-la-gi")</f>
        <v>https://techcombank.com/thong-tin/blog/nap-tien-vao-tai-khoan-ngan-hang
https://techcombank.com/thong-tin/blog/ten-dang-nhap-tai-khoan-ngan-hang-la-gi
https://techcombank.com/thong-tin/blog/rut-tien-bang-ma-qr-la-gi-cach-thuc-hien-nhu-the-nao
https://techcombank.com/thong-tin/blog/cic-la-gi</v>
      </c>
      <c r="D336" s="20"/>
      <c r="E336" s="20"/>
      <c r="F336" s="20"/>
      <c r="G336" s="20"/>
      <c r="H336" s="20"/>
      <c r="I336" s="20"/>
      <c r="J336" s="20"/>
      <c r="K336" s="20"/>
      <c r="L336" s="20"/>
      <c r="M336" s="20"/>
      <c r="N336" s="20"/>
      <c r="O336" s="20"/>
      <c r="P336" s="20"/>
      <c r="Q336" s="20"/>
      <c r="R336" s="20"/>
      <c r="S336" s="20"/>
      <c r="T336" s="20"/>
      <c r="U336" s="20"/>
      <c r="V336" s="20"/>
      <c r="W336" s="20"/>
      <c r="X336" s="20"/>
    </row>
    <row r="337">
      <c r="A337" s="37" t="str">
        <f>IFERROR(__xludf.DUMMYFUNCTION("""COMPUTED_VALUE"""),"https://techcombank.com/thong-tin/blog/cach-lam-the-atm")</f>
        <v>https://techcombank.com/thong-tin/blog/cach-lam-the-atm</v>
      </c>
      <c r="B337" s="28">
        <f>IFERROR(__xludf.DUMMYFUNCTION("""COMPUTED_VALUE"""),4.0)</f>
        <v>4</v>
      </c>
      <c r="C337" s="20" t="str">
        <f>IFERROR(__xludf.DUMMYFUNCTION("IF(A337="""","""",TEXTJOIN(CHAR(10),TRUE,FILTER('Tổng hợp 75 trang đích'!$B$2:$B$3400,'Tổng hợp 75 trang đích'!$I$2:$I$3400=A337)))"),"https://techcombank.com/thong-tin/blog/bao-nhieu-tuoi-duoc-mo-tai-khoan-ngan-hang
https://techcombank.com/thong-tin/blog/nap-tien-vao-tai-khoan-ngan-hang
https://techcombank.com/thong-tin/blog/ten-dang-nhap-tai-khoan-ngan-hang-la-gi
https://techcombank.co"&amp;"m/thong-tin/blog/lam-the-tin-dung")</f>
        <v>https://techcombank.com/thong-tin/blog/bao-nhieu-tuoi-duoc-mo-tai-khoan-ngan-hang
https://techcombank.com/thong-tin/blog/nap-tien-vao-tai-khoan-ngan-hang
https://techcombank.com/thong-tin/blog/ten-dang-nhap-tai-khoan-ngan-hang-la-gi
https://techcombank.com/thong-tin/blog/lam-the-tin-dung</v>
      </c>
      <c r="D337" s="20"/>
      <c r="E337" s="20"/>
      <c r="F337" s="20"/>
      <c r="G337" s="20"/>
      <c r="H337" s="20"/>
      <c r="I337" s="20"/>
      <c r="J337" s="20"/>
      <c r="K337" s="20"/>
      <c r="L337" s="20"/>
      <c r="M337" s="20"/>
      <c r="N337" s="20"/>
      <c r="O337" s="20"/>
      <c r="P337" s="20"/>
      <c r="Q337" s="20"/>
      <c r="R337" s="20"/>
      <c r="S337" s="20"/>
      <c r="T337" s="20"/>
      <c r="U337" s="20"/>
      <c r="V337" s="20"/>
      <c r="W337" s="20"/>
      <c r="X337" s="20"/>
    </row>
    <row r="338">
      <c r="A338" s="37" t="str">
        <f>IFERROR(__xludf.DUMMYFUNCTION("""COMPUTED_VALUE"""),"https://techcombank.com/thong-tin/blog/cach-tiet-kiem-100-trieu-1-nam")</f>
        <v>https://techcombank.com/thong-tin/blog/cach-tiet-kiem-100-trieu-1-nam</v>
      </c>
      <c r="B338" s="28">
        <f>IFERROR(__xludf.DUMMYFUNCTION("""COMPUTED_VALUE"""),4.0)</f>
        <v>4</v>
      </c>
      <c r="C338" s="20" t="str">
        <f>IFERROR(__xludf.DUMMYFUNCTION("IF(A338="""","""",TEXTJOIN(CHAR(10),TRUE,FILTER('Tổng hợp 75 trang đích'!$B$2:$B$3400,'Tổng hợp 75 trang đích'!$I$2:$I$3400=A338)))"),"https://techcombank.com/thong-tin/blog/cach-tinh-tien-dien-sinh-hoat
https://techcombank.com/thong-tin/blog/lai-suat-tiet-kiem
https://techcombank.com/thong-tin/blog/cach-tinh-lai-suat-tien-gui-tiet-kiem
https://techcombank.com/cong-cu-tien-ich/cong-cu-ti"&amp;"nh-toan/bang-tinh-lai-suat-tiet-kiem")</f>
        <v>https://techcombank.com/thong-tin/blog/cach-tinh-tien-dien-sinh-hoat
https://techcombank.com/thong-tin/blog/lai-suat-tiet-kiem
https://techcombank.com/thong-tin/blog/cach-tinh-lai-suat-tien-gui-tiet-kiem
https://techcombank.com/cong-cu-tien-ich/cong-cu-tinh-toan/bang-tinh-lai-suat-tiet-kiem</v>
      </c>
      <c r="D338" s="20"/>
      <c r="E338" s="20"/>
      <c r="F338" s="20"/>
      <c r="G338" s="20"/>
      <c r="H338" s="20"/>
      <c r="I338" s="20"/>
      <c r="J338" s="20"/>
      <c r="K338" s="20"/>
      <c r="L338" s="20"/>
      <c r="M338" s="20"/>
      <c r="N338" s="20"/>
      <c r="O338" s="20"/>
      <c r="P338" s="20"/>
      <c r="Q338" s="20"/>
      <c r="R338" s="20"/>
      <c r="S338" s="20"/>
      <c r="T338" s="20"/>
      <c r="U338" s="20"/>
      <c r="V338" s="20"/>
      <c r="W338" s="20"/>
      <c r="X338" s="20"/>
    </row>
    <row r="339">
      <c r="A339" s="37" t="str">
        <f>IFERROR(__xludf.DUMMYFUNCTION("""COMPUTED_VALUE"""),"https://techcombank.com/thong-tin/blog/cach-tiet-kiem-tien")</f>
        <v>https://techcombank.com/thong-tin/blog/cach-tiet-kiem-tien</v>
      </c>
      <c r="B339" s="28">
        <f>IFERROR(__xludf.DUMMYFUNCTION("""COMPUTED_VALUE"""),4.0)</f>
        <v>4</v>
      </c>
      <c r="C339" s="20" t="str">
        <f>IFERROR(__xludf.DUMMYFUNCTION("IF(A339="""","""",TEXTJOIN(CHAR(10),TRUE,FILTER('Tổng hợp 75 trang đích'!$B$2:$B$3400,'Tổng hợp 75 trang đích'!$I$2:$I$3400=A339)))"),"https://techcombank.com/thong-tin/blog/cach-sao-ke-tai-khoan-ngan-hang
https://techcombank.com/thong-tin/blog/cach-tinh-lai-suat-tien-gui-tiet-kiem
https://techcombank.com/cong-cu-tien-ich/cong-cu-tinh-toan/bang-tinh-lai-suat-vay
https://techcombank.com/c"&amp;"ong-cu-tien-ich/cong-cu-tinh-toan/bang-tinh-lai-suat-tiet-kiem")</f>
        <v>https://techcombank.com/thong-tin/blog/cach-sao-ke-tai-khoan-ngan-hang
https://techcombank.com/thong-tin/blog/cach-tinh-lai-suat-tien-gui-tiet-kiem
https://techcombank.com/cong-cu-tien-ich/cong-cu-tinh-toan/bang-tinh-lai-suat-vay
https://techcombank.com/cong-cu-tien-ich/cong-cu-tinh-toan/bang-tinh-lai-suat-tiet-kiem</v>
      </c>
      <c r="D339" s="20"/>
      <c r="E339" s="20"/>
      <c r="F339" s="20"/>
      <c r="G339" s="20"/>
      <c r="H339" s="20"/>
      <c r="I339" s="20"/>
      <c r="J339" s="20"/>
      <c r="K339" s="20"/>
      <c r="L339" s="20"/>
      <c r="M339" s="20"/>
      <c r="N339" s="20"/>
      <c r="O339" s="20"/>
      <c r="P339" s="20"/>
      <c r="Q339" s="20"/>
      <c r="R339" s="20"/>
      <c r="S339" s="20"/>
      <c r="T339" s="20"/>
      <c r="U339" s="20"/>
      <c r="V339" s="20"/>
      <c r="W339" s="20"/>
      <c r="X339" s="20"/>
    </row>
    <row r="340">
      <c r="A340" s="37" t="str">
        <f>IFERROR(__xludf.DUMMYFUNCTION("""COMPUTED_VALUE"""),"https://techcombank.com/thong-tin/blog/cach-tiet-kiem-tien-theo-tuan")</f>
        <v>https://techcombank.com/thong-tin/blog/cach-tiet-kiem-tien-theo-tuan</v>
      </c>
      <c r="B340" s="28">
        <f>IFERROR(__xludf.DUMMYFUNCTION("""COMPUTED_VALUE"""),4.0)</f>
        <v>4</v>
      </c>
      <c r="C340" s="20" t="str">
        <f>IFERROR(__xludf.DUMMYFUNCTION("IF(A340="""","""",TEXTJOIN(CHAR(10),TRUE,FILTER('Tổng hợp 75 trang đích'!$B$2:$B$3400,'Tổng hợp 75 trang đích'!$I$2:$I$3400=A340)))"),"https://techcombank.com/thong-tin/blog/doi-tien-do-o-dau
https://techcombank.com/thong-tin/blog/lai-suat-tiet-kiem
https://techcombank.com/thong-tin/blog/cach-tinh-lai-suat-tien-gui-tiet-kiem
https://techcombank.com/thong-tin/blog/cach-tiet-kiem-tien")</f>
        <v>https://techcombank.com/thong-tin/blog/doi-tien-do-o-dau
https://techcombank.com/thong-tin/blog/lai-suat-tiet-kiem
https://techcombank.com/thong-tin/blog/cach-tinh-lai-suat-tien-gui-tiet-kiem
https://techcombank.com/thong-tin/blog/cach-tiet-kiem-tien</v>
      </c>
      <c r="D340" s="20"/>
      <c r="E340" s="20"/>
      <c r="F340" s="20"/>
      <c r="G340" s="20"/>
      <c r="H340" s="20"/>
      <c r="I340" s="20"/>
      <c r="J340" s="20"/>
      <c r="K340" s="20"/>
      <c r="L340" s="20"/>
      <c r="M340" s="20"/>
      <c r="N340" s="20"/>
      <c r="O340" s="20"/>
      <c r="P340" s="20"/>
      <c r="Q340" s="20"/>
      <c r="R340" s="20"/>
      <c r="S340" s="20"/>
      <c r="T340" s="20"/>
      <c r="U340" s="20"/>
      <c r="V340" s="20"/>
      <c r="W340" s="20"/>
      <c r="X340" s="20"/>
    </row>
    <row r="341">
      <c r="A341" s="37" t="str">
        <f>IFERROR(__xludf.DUMMYFUNCTION("""COMPUTED_VALUE"""),"https://techcombank.com/thong-tin/blog/chon-kenh-dau-tu-an-toan-trong-boi-canh-thi-truong-bien-dong")</f>
        <v>https://techcombank.com/thong-tin/blog/chon-kenh-dau-tu-an-toan-trong-boi-canh-thi-truong-bien-dong</v>
      </c>
      <c r="B341" s="28">
        <f>IFERROR(__xludf.DUMMYFUNCTION("""COMPUTED_VALUE"""),4.0)</f>
        <v>4</v>
      </c>
      <c r="C341" s="20" t="str">
        <f>IFERROR(__xludf.DUMMYFUNCTION("IF(A341="""","""",TEXTJOIN(CHAR(10),TRUE,FILTER('Tổng hợp 75 trang đích'!$B$2:$B$3400,'Tổng hợp 75 trang đích'!$I$2:$I$3400=A341)))"),"https://techcombank.com/thong-tin/blog/lai-suat-chung-chi-tien-gui-cac-ngan-hang
https://techcombank.com/thong-tin/blog/lai-suat-tiet-kiem
https://techcombank.com/thong-tin/blog/cach-tinh-lai-suat-tien-gui-tiet-kiem
https://techcombank.com/cong-cu-tien-ic"&amp;"h/cong-cu-tinh-toan/bang-tinh-lai-suat-tiet-kiem")</f>
        <v>https://techcombank.com/thong-tin/blog/lai-suat-chung-chi-tien-gui-cac-ngan-hang
https://techcombank.com/thong-tin/blog/lai-suat-tiet-kiem
https://techcombank.com/thong-tin/blog/cach-tinh-lai-suat-tien-gui-tiet-kiem
https://techcombank.com/cong-cu-tien-ich/cong-cu-tinh-toan/bang-tinh-lai-suat-tiet-kiem</v>
      </c>
      <c r="D341" s="20"/>
      <c r="E341" s="20"/>
      <c r="F341" s="20"/>
      <c r="G341" s="20"/>
      <c r="H341" s="20"/>
      <c r="I341" s="20"/>
      <c r="J341" s="20"/>
      <c r="K341" s="20"/>
      <c r="L341" s="20"/>
      <c r="M341" s="20"/>
      <c r="N341" s="20"/>
      <c r="O341" s="20"/>
      <c r="P341" s="20"/>
      <c r="Q341" s="20"/>
      <c r="R341" s="20"/>
      <c r="S341" s="20"/>
      <c r="T341" s="20"/>
      <c r="U341" s="20"/>
      <c r="V341" s="20"/>
      <c r="W341" s="20"/>
      <c r="X341" s="20"/>
    </row>
    <row r="342">
      <c r="A342" s="37" t="str">
        <f>IFERROR(__xludf.DUMMYFUNCTION("""COMPUTED_VALUE"""),"https://techcombank.com/thong-tin/blog/chuan-bi-cho-doanh-nghiep-khoi-nghiep-truoc-nhung-thay-doi-ve-thue")</f>
        <v>https://techcombank.com/thong-tin/blog/chuan-bi-cho-doanh-nghiep-khoi-nghiep-truoc-nhung-thay-doi-ve-thue</v>
      </c>
      <c r="B342" s="28">
        <f>IFERROR(__xludf.DUMMYFUNCTION("""COMPUTED_VALUE"""),4.0)</f>
        <v>4</v>
      </c>
      <c r="C342" s="20" t="str">
        <f>IFERROR(__xludf.DUMMYFUNCTION("IF(A342="""","""",TEXTJOIN(CHAR(10),TRUE,FILTER('Tổng hợp 75 trang đích'!$B$2:$B$3400,'Tổng hợp 75 trang đích'!$I$2:$I$3400=A342)))"),"https://techcombank.com/thong-tin/blog/nop-thue-dat-qua-ngan-hang
https://techcombank.com/thong-tin/blog/thue-doanh-nghiep
https://techcombank.com/thong-tin/blog/cach-tinh-thue-thu-nhap-doanh-nghiep
https://techcombank.com/cong-cu-tien-ich/cong-cu-tinh-to"&amp;"an/bang-tinh-lai-suat-tiet-kiem")</f>
        <v>https://techcombank.com/thong-tin/blog/nop-thue-dat-qua-ngan-hang
https://techcombank.com/thong-tin/blog/thue-doanh-nghiep
https://techcombank.com/thong-tin/blog/cach-tinh-thue-thu-nhap-doanh-nghiep
https://techcombank.com/cong-cu-tien-ich/cong-cu-tinh-toan/bang-tinh-lai-suat-tiet-kiem</v>
      </c>
      <c r="D342" s="20"/>
      <c r="E342" s="20"/>
      <c r="F342" s="20"/>
      <c r="G342" s="20"/>
      <c r="H342" s="20"/>
      <c r="I342" s="20"/>
      <c r="J342" s="20"/>
      <c r="K342" s="20"/>
      <c r="L342" s="20"/>
      <c r="M342" s="20"/>
      <c r="N342" s="20"/>
      <c r="O342" s="20"/>
      <c r="P342" s="20"/>
      <c r="Q342" s="20"/>
      <c r="R342" s="20"/>
      <c r="S342" s="20"/>
      <c r="T342" s="20"/>
      <c r="U342" s="20"/>
      <c r="V342" s="20"/>
      <c r="W342" s="20"/>
      <c r="X342" s="20"/>
    </row>
    <row r="343">
      <c r="A343" s="37" t="str">
        <f>IFERROR(__xludf.DUMMYFUNCTION("""COMPUTED_VALUE"""),"https://techcombank.com/thong-tin/blog/chung-chi-tien-gui-co-duoc-bao-hiem-khong")</f>
        <v>https://techcombank.com/thong-tin/blog/chung-chi-tien-gui-co-duoc-bao-hiem-khong</v>
      </c>
      <c r="B343" s="28">
        <f>IFERROR(__xludf.DUMMYFUNCTION("""COMPUTED_VALUE"""),4.0)</f>
        <v>4</v>
      </c>
      <c r="C343" s="20" t="str">
        <f>IFERROR(__xludf.DUMMYFUNCTION("IF(A343="""","""",TEXTJOIN(CHAR(10),TRUE,FILTER('Tổng hợp 75 trang đích'!$B$2:$B$3400,'Tổng hợp 75 trang đích'!$I$2:$I$3400=A343)))"),"https://techcombank.com/thong-tin/blog/chung-chi-tien-gui-la-gi
https://techcombank.com/thong-tin/blog/lai-suat-chung-chi-tien-gui-cac-ngan-hang
https://techcombank.com/thong-tin/blog/lai-suat-tiet-kiem
https://techcombank.com/thong-tin/blog/rui-ro-khi-gu"&amp;"i-tiet-kiem-online")</f>
        <v>https://techcombank.com/thong-tin/blog/chung-chi-tien-gui-la-gi
https://techcombank.com/thong-tin/blog/lai-suat-chung-chi-tien-gui-cac-ngan-hang
https://techcombank.com/thong-tin/blog/lai-suat-tiet-kiem
https://techcombank.com/thong-tin/blog/rui-ro-khi-gui-tiet-kiem-online</v>
      </c>
      <c r="D343" s="20"/>
      <c r="E343" s="20"/>
      <c r="F343" s="20"/>
      <c r="G343" s="20"/>
      <c r="H343" s="20"/>
      <c r="I343" s="20"/>
      <c r="J343" s="20"/>
      <c r="K343" s="20"/>
      <c r="L343" s="20"/>
      <c r="M343" s="20"/>
      <c r="N343" s="20"/>
      <c r="O343" s="20"/>
      <c r="P343" s="20"/>
      <c r="Q343" s="20"/>
      <c r="R343" s="20"/>
      <c r="S343" s="20"/>
      <c r="T343" s="20"/>
      <c r="U343" s="20"/>
      <c r="V343" s="20"/>
      <c r="W343" s="20"/>
      <c r="X343" s="20"/>
    </row>
    <row r="344">
      <c r="A344" s="37" t="str">
        <f>IFERROR(__xludf.DUMMYFUNCTION("""COMPUTED_VALUE"""),"https://techcombank.com/thong-tin/blog/chung-chi-tien-gui-co-duoc-rut-truoc-han")</f>
        <v>https://techcombank.com/thong-tin/blog/chung-chi-tien-gui-co-duoc-rut-truoc-han</v>
      </c>
      <c r="B344" s="28">
        <f>IFERROR(__xludf.DUMMYFUNCTION("""COMPUTED_VALUE"""),4.0)</f>
        <v>4</v>
      </c>
      <c r="C344" s="20" t="str">
        <f>IFERROR(__xludf.DUMMYFUNCTION("IF(A344="""","""",TEXTJOIN(CHAR(10),TRUE,FILTER('Tổng hợp 75 trang đích'!$B$2:$B$3400,'Tổng hợp 75 trang đích'!$I$2:$I$3400=A344)))"),"https://techcombank.com/thong-tin/blog/lai-suat-chung-chi-tien-gui-cac-ngan-hang
https://techcombank.com/thong-tin/blog/lai-suat-tiet-kiem
https://techcombank.com/thong-tin/blog/cach-tinh-lai-suat-tien-gui-tiet-kiem
https://techcombank.com/thong-tin/blog/"&amp;"rut-tien-tiet-kiem-truoc-thoi-han")</f>
        <v>https://techcombank.com/thong-tin/blog/lai-suat-chung-chi-tien-gui-cac-ngan-hang
https://techcombank.com/thong-tin/blog/lai-suat-tiet-kiem
https://techcombank.com/thong-tin/blog/cach-tinh-lai-suat-tien-gui-tiet-kiem
https://techcombank.com/thong-tin/blog/rut-tien-tiet-kiem-truoc-thoi-han</v>
      </c>
      <c r="D344" s="20"/>
      <c r="E344" s="20"/>
      <c r="F344" s="20"/>
      <c r="G344" s="20"/>
      <c r="H344" s="20"/>
      <c r="I344" s="20"/>
      <c r="J344" s="20"/>
      <c r="K344" s="20"/>
      <c r="L344" s="20"/>
      <c r="M344" s="20"/>
      <c r="N344" s="20"/>
      <c r="O344" s="20"/>
      <c r="P344" s="20"/>
      <c r="Q344" s="20"/>
      <c r="R344" s="20"/>
      <c r="S344" s="20"/>
      <c r="T344" s="20"/>
      <c r="U344" s="20"/>
      <c r="V344" s="20"/>
      <c r="W344" s="20"/>
      <c r="X344" s="20"/>
    </row>
    <row r="345">
      <c r="A345" s="37" t="str">
        <f>IFERROR(__xludf.DUMMYFUNCTION("""COMPUTED_VALUE"""),"https://techcombank.com/thong-tin/blog/chung-chi-tien-gui-co-phai-la-trai-phieu-khong")</f>
        <v>https://techcombank.com/thong-tin/blog/chung-chi-tien-gui-co-phai-la-trai-phieu-khong</v>
      </c>
      <c r="B345" s="28">
        <f>IFERROR(__xludf.DUMMYFUNCTION("""COMPUTED_VALUE"""),4.0)</f>
        <v>4</v>
      </c>
      <c r="C345" s="20" t="str">
        <f>IFERROR(__xludf.DUMMYFUNCTION("IF(A345="""","""",TEXTJOIN(CHAR(10),TRUE,FILTER('Tổng hợp 75 trang đích'!$B$2:$B$3400,'Tổng hợp 75 trang đích'!$I$2:$I$3400=A345)))"),"https://techcombank.com/thong-tin/blog/lai-suat-chung-chi-tien-gui-cac-ngan-hang
https://techcombank.com/thong-tin/blog/lai-suat-tiet-kiem
https://techcombank.com/thong-tin/blog/rui-ro-khi-gui-tiet-kiem-online
https://techcombank.com/cong-cu-tien-ich/cong"&amp;"-cu-tinh-toan/bang-tinh-lai-suat-tiet-kiem")</f>
        <v>https://techcombank.com/thong-tin/blog/lai-suat-chung-chi-tien-gui-cac-ngan-hang
https://techcombank.com/thong-tin/blog/lai-suat-tiet-kiem
https://techcombank.com/thong-tin/blog/rui-ro-khi-gui-tiet-kiem-online
https://techcombank.com/cong-cu-tien-ich/cong-cu-tinh-toan/bang-tinh-lai-suat-tiet-kiem</v>
      </c>
      <c r="D345" s="20"/>
      <c r="E345" s="20"/>
      <c r="F345" s="20"/>
      <c r="G345" s="20"/>
      <c r="H345" s="20"/>
      <c r="I345" s="20"/>
      <c r="J345" s="20"/>
      <c r="K345" s="20"/>
      <c r="L345" s="20"/>
      <c r="M345" s="20"/>
      <c r="N345" s="20"/>
      <c r="O345" s="20"/>
      <c r="P345" s="20"/>
      <c r="Q345" s="20"/>
      <c r="R345" s="20"/>
      <c r="S345" s="20"/>
      <c r="T345" s="20"/>
      <c r="U345" s="20"/>
      <c r="V345" s="20"/>
      <c r="W345" s="20"/>
      <c r="X345" s="20"/>
    </row>
    <row r="346">
      <c r="A346" s="37" t="str">
        <f>IFERROR(__xludf.DUMMYFUNCTION("""COMPUTED_VALUE"""),"https://techcombank.com/thong-tin/blog/chuyen-doi-hoa-don-dien-tu")</f>
        <v>https://techcombank.com/thong-tin/blog/chuyen-doi-hoa-don-dien-tu</v>
      </c>
      <c r="B346" s="28">
        <f>IFERROR(__xludf.DUMMYFUNCTION("""COMPUTED_VALUE"""),4.0)</f>
        <v>4</v>
      </c>
      <c r="C346" s="20" t="str">
        <f>IFERROR(__xludf.DUMMYFUNCTION("IF(A346="""","""",TEXTJOIN(CHAR(10),TRUE,FILTER('Tổng hợp 75 trang đích'!$B$2:$B$3400,'Tổng hợp 75 trang đích'!$I$2:$I$3400=A346)))"),"https://techcombank.com/thong-tin/blog/nop-thue-dat-qua-ngan-hang
https://techcombank.com/thong-tin/blog/ho-kinh-doanh-dong-thue-nhu-nao
https://techcombank.com/thong-tin/blog/mo-tai-khoan-ho-kinh-doanh
https://techcombank.com/thong-tin/blog/cach-tinh-thu"&amp;"e-ho-kinh-doanh-nho-le")</f>
        <v>https://techcombank.com/thong-tin/blog/nop-thue-dat-qua-ngan-hang
https://techcombank.com/thong-tin/blog/ho-kinh-doanh-dong-thue-nhu-nao
https://techcombank.com/thong-tin/blog/mo-tai-khoan-ho-kinh-doanh
https://techcombank.com/thong-tin/blog/cach-tinh-thue-ho-kinh-doanh-nho-le</v>
      </c>
      <c r="D346" s="20"/>
      <c r="E346" s="20"/>
      <c r="F346" s="20"/>
      <c r="G346" s="20"/>
      <c r="H346" s="20"/>
      <c r="I346" s="20"/>
      <c r="J346" s="20"/>
      <c r="K346" s="20"/>
      <c r="L346" s="20"/>
      <c r="M346" s="20"/>
      <c r="N346" s="20"/>
      <c r="O346" s="20"/>
      <c r="P346" s="20"/>
      <c r="Q346" s="20"/>
      <c r="R346" s="20"/>
      <c r="S346" s="20"/>
      <c r="T346" s="20"/>
      <c r="U346" s="20"/>
      <c r="V346" s="20"/>
      <c r="W346" s="20"/>
      <c r="X346" s="20"/>
    </row>
    <row r="347">
      <c r="A347" s="37" t="str">
        <f>IFERROR(__xludf.DUMMYFUNCTION("""COMPUTED_VALUE"""),"https://techcombank.com/thong-tin/blog/chuyen-tien-dinh-cu")</f>
        <v>https://techcombank.com/thong-tin/blog/chuyen-tien-dinh-cu</v>
      </c>
      <c r="B347" s="28">
        <f>IFERROR(__xludf.DUMMYFUNCTION("""COMPUTED_VALUE"""),4.0)</f>
        <v>4</v>
      </c>
      <c r="C347" s="20" t="str">
        <f>IFERROR(__xludf.DUMMYFUNCTION("IF(A347="""","""",TEXTJOIN(CHAR(10),TRUE,FILTER('Tổng hợp 75 trang đích'!$B$2:$B$3400,'Tổng hợp 75 trang đích'!$I$2:$I$3400=A347)))"),"https://techcombank.com/thong-tin/blog/chuyen-khoan-thanh-cong-nhung-khong-nhan-duoc-tien
https://techcombank.com/thong-tin/blog/1-won-bang-bao-nhieu-tien-viet
https://techcombank.com/thong-tin/blog/1-trieu-do-bang-bao-nhieu-tien-viet
https://techcombank."&amp;"com/thong-tin/blog/cach-nhan-tien-tu-nuoc-ngoai-ve-viet-nam")</f>
        <v>https://techcombank.com/thong-tin/blog/chuyen-khoan-thanh-cong-nhung-khong-nhan-duoc-tien
https://techcombank.com/thong-tin/blog/1-won-bang-bao-nhieu-tien-viet
https://techcombank.com/thong-tin/blog/1-trieu-do-bang-bao-nhieu-tien-viet
https://techcombank.com/thong-tin/blog/cach-nhan-tien-tu-nuoc-ngoai-ve-viet-nam</v>
      </c>
      <c r="D347" s="20"/>
      <c r="E347" s="20"/>
      <c r="F347" s="20"/>
      <c r="G347" s="20"/>
      <c r="H347" s="20"/>
      <c r="I347" s="20"/>
      <c r="J347" s="20"/>
      <c r="K347" s="20"/>
      <c r="L347" s="20"/>
      <c r="M347" s="20"/>
      <c r="N347" s="20"/>
      <c r="O347" s="20"/>
      <c r="P347" s="20"/>
      <c r="Q347" s="20"/>
      <c r="R347" s="20"/>
      <c r="S347" s="20"/>
      <c r="T347" s="20"/>
      <c r="U347" s="20"/>
      <c r="V347" s="20"/>
      <c r="W347" s="20"/>
      <c r="X347" s="20"/>
    </row>
    <row r="348">
      <c r="A348" s="37" t="str">
        <f>IFERROR(__xludf.DUMMYFUNCTION("""COMPUTED_VALUE"""),"https://techcombank.com/thong-tin/blog/co-nen-gui-chung-chi-tien-gui")</f>
        <v>https://techcombank.com/thong-tin/blog/co-nen-gui-chung-chi-tien-gui</v>
      </c>
      <c r="B348" s="28">
        <f>IFERROR(__xludf.DUMMYFUNCTION("""COMPUTED_VALUE"""),4.0)</f>
        <v>4</v>
      </c>
      <c r="C348" s="20" t="str">
        <f>IFERROR(__xludf.DUMMYFUNCTION("IF(A348="""","""",TEXTJOIN(CHAR(10),TRUE,FILTER('Tổng hợp 75 trang đích'!$B$2:$B$3400,'Tổng hợp 75 trang đích'!$I$2:$I$3400=A348)))"),"https://techcombank.com/thong-tin/blog/chung-chi-tien-gui-la-gi
https://techcombank.com/thong-tin/blog/lai-suat-chung-chi-tien-gui-cac-ngan-hang
https://techcombank.com/thong-tin/blog/lai-suat-tiet-kiem
https://techcombank.com/thong-tin/blog/phuong-phap-d"&amp;"au-tu-chung-chi-quy")</f>
        <v>https://techcombank.com/thong-tin/blog/chung-chi-tien-gui-la-gi
https://techcombank.com/thong-tin/blog/lai-suat-chung-chi-tien-gui-cac-ngan-hang
https://techcombank.com/thong-tin/blog/lai-suat-tiet-kiem
https://techcombank.com/thong-tin/blog/phuong-phap-dau-tu-chung-chi-quy</v>
      </c>
      <c r="D348" s="20"/>
      <c r="E348" s="20"/>
      <c r="F348" s="20"/>
      <c r="G348" s="20"/>
      <c r="H348" s="20"/>
      <c r="I348" s="20"/>
      <c r="J348" s="20"/>
      <c r="K348" s="20"/>
      <c r="L348" s="20"/>
      <c r="M348" s="20"/>
      <c r="N348" s="20"/>
      <c r="O348" s="20"/>
      <c r="P348" s="20"/>
      <c r="Q348" s="20"/>
      <c r="R348" s="20"/>
      <c r="S348" s="20"/>
      <c r="T348" s="20"/>
      <c r="U348" s="20"/>
      <c r="V348" s="20"/>
      <c r="W348" s="20"/>
      <c r="X348" s="20"/>
    </row>
    <row r="349">
      <c r="A349" s="37" t="str">
        <f>IFERROR(__xludf.DUMMYFUNCTION("""COMPUTED_VALUE"""),"https://techcombank.com/thong-tin/blog/co-nen-mua-o-to-tra-gop")</f>
        <v>https://techcombank.com/thong-tin/blog/co-nen-mua-o-to-tra-gop</v>
      </c>
      <c r="B349" s="28">
        <f>IFERROR(__xludf.DUMMYFUNCTION("""COMPUTED_VALUE"""),4.0)</f>
        <v>4</v>
      </c>
      <c r="C349" s="20" t="str">
        <f>IFERROR(__xludf.DUMMYFUNCTION("IF(A349="""","""",TEXTJOIN(CHAR(10),TRUE,FILTER('Tổng hợp 75 trang đích'!$B$2:$B$3400,'Tổng hợp 75 trang đích'!$I$2:$I$3400=A349)))"),"https://techcombank.com/thong-tin/blog/cach-tinh-lai-vay-ngan-hang
https://techcombank.com/cong-cu-tien-ich/cong-cu-tinh-toan/bang-tinh-lai-suat-vay
https://techcombank.com/thong-tin/blog/app-vay-tien-nhanh
https://techcombank.com/thong-tin/blog/lai-suat-"&amp;"vay-ngan-hang")</f>
        <v>https://techcombank.com/thong-tin/blog/cach-tinh-lai-vay-ngan-hang
https://techcombank.com/cong-cu-tien-ich/cong-cu-tinh-toan/bang-tinh-lai-suat-vay
https://techcombank.com/thong-tin/blog/app-vay-tien-nhanh
https://techcombank.com/thong-tin/blog/lai-suat-vay-ngan-hang</v>
      </c>
      <c r="D349" s="20"/>
      <c r="E349" s="20"/>
      <c r="F349" s="20"/>
      <c r="G349" s="20"/>
      <c r="H349" s="20"/>
      <c r="I349" s="20"/>
      <c r="J349" s="20"/>
      <c r="K349" s="20"/>
      <c r="L349" s="20"/>
      <c r="M349" s="20"/>
      <c r="N349" s="20"/>
      <c r="O349" s="20"/>
      <c r="P349" s="20"/>
      <c r="Q349" s="20"/>
      <c r="R349" s="20"/>
      <c r="S349" s="20"/>
      <c r="T349" s="20"/>
      <c r="U349" s="20"/>
      <c r="V349" s="20"/>
      <c r="W349" s="20"/>
      <c r="X349" s="20"/>
    </row>
    <row r="350">
      <c r="A350" s="37" t="str">
        <f>IFERROR(__xludf.DUMMYFUNCTION("""COMPUTED_VALUE"""),"https://techcombank.com/thong-tin/blog/co-nen-mua-so-tai-khoan-ngan-hang-dep")</f>
        <v>https://techcombank.com/thong-tin/blog/co-nen-mua-so-tai-khoan-ngan-hang-dep</v>
      </c>
      <c r="B350" s="28">
        <f>IFERROR(__xludf.DUMMYFUNCTION("""COMPUTED_VALUE"""),4.0)</f>
        <v>4</v>
      </c>
      <c r="C350" s="20" t="str">
        <f>IFERROR(__xludf.DUMMYFUNCTION("IF(A350="""","""",TEXTJOIN(CHAR(10),TRUE,FILTER('Tổng hợp 75 trang đích'!$B$2:$B$3400,'Tổng hợp 75 trang đích'!$I$2:$I$3400=A350)))"),"https://techcombank.com/thong-tin/blog/cach-tinh-tien-dien-sinh-hoat
https://techcombank.com/thong-tin/blog/cach-kiem-tra-tai-khoan-ngan-hang
https://techcombank.com/thong-tin/blog/cach-mo-tai-khoan
https://techcombank.com/thong-tin/blog/day-so-phat-tai-p"&amp;"hat-loc")</f>
        <v>https://techcombank.com/thong-tin/blog/cach-tinh-tien-dien-sinh-hoat
https://techcombank.com/thong-tin/blog/cach-kiem-tra-tai-khoan-ngan-hang
https://techcombank.com/thong-tin/blog/cach-mo-tai-khoan
https://techcombank.com/thong-tin/blog/day-so-phat-tai-phat-loc</v>
      </c>
      <c r="D350" s="20"/>
      <c r="E350" s="20"/>
      <c r="F350" s="20"/>
      <c r="G350" s="20"/>
      <c r="H350" s="20"/>
      <c r="I350" s="20"/>
      <c r="J350" s="20"/>
      <c r="K350" s="20"/>
      <c r="L350" s="20"/>
      <c r="M350" s="20"/>
      <c r="N350" s="20"/>
      <c r="O350" s="20"/>
      <c r="P350" s="20"/>
      <c r="Q350" s="20"/>
      <c r="R350" s="20"/>
      <c r="S350" s="20"/>
      <c r="T350" s="20"/>
      <c r="U350" s="20"/>
      <c r="V350" s="20"/>
      <c r="W350" s="20"/>
      <c r="X350" s="20"/>
    </row>
    <row r="351">
      <c r="A351" s="37" t="str">
        <f>IFERROR(__xludf.DUMMYFUNCTION("""COMPUTED_VALUE"""),"https://techcombank.com/thong-tin/blog/dau-tu-tai-chinh-ca-nhan")</f>
        <v>https://techcombank.com/thong-tin/blog/dau-tu-tai-chinh-ca-nhan</v>
      </c>
      <c r="B351" s="28">
        <f>IFERROR(__xludf.DUMMYFUNCTION("""COMPUTED_VALUE"""),4.0)</f>
        <v>4</v>
      </c>
      <c r="C351" s="20" t="str">
        <f>IFERROR(__xludf.DUMMYFUNCTION("IF(A351="""","""",TEXTJOIN(CHAR(10),TRUE,FILTER('Tổng hợp 75 trang đích'!$B$2:$B$3400,'Tổng hợp 75 trang đích'!$I$2:$I$3400=A351)))"),"https://techcombank.com/thong-tin/blog/cach-tinh-tien-dien-sinh-hoat
https://techcombank.com/thong-tin/blog/chung-chi-tien-gui-la-gi
https://techcombank.com/thong-tin/blog/cach-tinh-lai-suat-tien-gui-tiet-kiem
https://techcombank.com/thong-tin/blog/phuong"&amp;"-phap-dau-tu-chung-chi-quy")</f>
        <v>https://techcombank.com/thong-tin/blog/cach-tinh-tien-dien-sinh-hoat
https://techcombank.com/thong-tin/blog/chung-chi-tien-gui-la-gi
https://techcombank.com/thong-tin/blog/cach-tinh-lai-suat-tien-gui-tiet-kiem
https://techcombank.com/thong-tin/blog/phuong-phap-dau-tu-chung-chi-quy</v>
      </c>
      <c r="D351" s="20"/>
      <c r="E351" s="20"/>
      <c r="F351" s="20"/>
      <c r="G351" s="20"/>
      <c r="H351" s="20"/>
      <c r="I351" s="20"/>
      <c r="J351" s="20"/>
      <c r="K351" s="20"/>
      <c r="L351" s="20"/>
      <c r="M351" s="20"/>
      <c r="N351" s="20"/>
      <c r="O351" s="20"/>
      <c r="P351" s="20"/>
      <c r="Q351" s="20"/>
      <c r="R351" s="20"/>
      <c r="S351" s="20"/>
      <c r="T351" s="20"/>
      <c r="U351" s="20"/>
      <c r="V351" s="20"/>
      <c r="W351" s="20"/>
      <c r="X351" s="20"/>
    </row>
    <row r="352">
      <c r="A352" s="37" t="str">
        <f>IFERROR(__xludf.DUMMYFUNCTION("""COMPUTED_VALUE"""),"https://techcombank.com/thong-tin/blog/dieu-kien-mua-usd-tu-ngan-hang")</f>
        <v>https://techcombank.com/thong-tin/blog/dieu-kien-mua-usd-tu-ngan-hang</v>
      </c>
      <c r="B352" s="28">
        <f>IFERROR(__xludf.DUMMYFUNCTION("""COMPUTED_VALUE"""),4.0)</f>
        <v>4</v>
      </c>
      <c r="C352" s="20" t="str">
        <f>IFERROR(__xludf.DUMMYFUNCTION("IF(A352="""","""",TEXTJOIN(CHAR(10),TRUE,FILTER('Tổng hợp 75 trang đích'!$B$2:$B$3400,'Tổng hợp 75 trang đích'!$I$2:$I$3400=A352)))"),"https://techcombank.com/thong-tin/blog/cic-la-gi
https://techcombank.com/thong-tin/blog/1-dong-do-la-my-bang-bao-nhieu-tien-viet-nam
https://techcombank.com/thong-tin/blog/1-won-bang-bao-nhieu-tien-viet
https://techcombank.com/thong-tin/blog/tien-dai-loan")</f>
        <v>https://techcombank.com/thong-tin/blog/cic-la-gi
https://techcombank.com/thong-tin/blog/1-dong-do-la-my-bang-bao-nhieu-tien-viet-nam
https://techcombank.com/thong-tin/blog/1-won-bang-bao-nhieu-tien-viet
https://techcombank.com/thong-tin/blog/tien-dai-loan</v>
      </c>
      <c r="D352" s="20"/>
      <c r="E352" s="20"/>
      <c r="F352" s="20"/>
      <c r="G352" s="20"/>
      <c r="H352" s="20"/>
      <c r="I352" s="20"/>
      <c r="J352" s="20"/>
      <c r="K352" s="20"/>
      <c r="L352" s="20"/>
      <c r="M352" s="20"/>
      <c r="N352" s="20"/>
      <c r="O352" s="20"/>
      <c r="P352" s="20"/>
      <c r="Q352" s="20"/>
      <c r="R352" s="20"/>
      <c r="S352" s="20"/>
      <c r="T352" s="20"/>
      <c r="U352" s="20"/>
      <c r="V352" s="20"/>
      <c r="W352" s="20"/>
      <c r="X352" s="20"/>
    </row>
    <row r="353">
      <c r="A353" s="37" t="str">
        <f>IFERROR(__xludf.DUMMYFUNCTION("""COMPUTED_VALUE"""),"https://techcombank.com/thong-tin/blog/doi-tien-do-o-dau")</f>
        <v>https://techcombank.com/thong-tin/blog/doi-tien-do-o-dau</v>
      </c>
      <c r="B353" s="28">
        <f>IFERROR(__xludf.DUMMYFUNCTION("""COMPUTED_VALUE"""),4.0)</f>
        <v>4</v>
      </c>
      <c r="C353" s="20" t="str">
        <f>IFERROR(__xludf.DUMMYFUNCTION("IF(A353="""","""",TEXTJOIN(CHAR(10),TRUE,FILTER('Tổng hợp 75 trang đích'!$B$2:$B$3400,'Tổng hợp 75 trang đích'!$I$2:$I$3400=A353)))"),"https://techcombank.com/thong-tin/blog/1-te-bang-bao-nhieu-tien-viet-nam
https://techcombank.com/thong-tin/blog/1-yen-bang-bao-nhieu-tien-viet-nam
https://techcombank.com/thong-tin/blog/1-won-bang-bao-nhieu-tien-viet
https://techcombank.com/thong-tin/blog"&amp;"/tien-dai-loan")</f>
        <v>https://techcombank.com/thong-tin/blog/1-te-bang-bao-nhieu-tien-viet-nam
https://techcombank.com/thong-tin/blog/1-yen-bang-bao-nhieu-tien-viet-nam
https://techcombank.com/thong-tin/blog/1-won-bang-bao-nhieu-tien-viet
https://techcombank.com/thong-tin/blog/tien-dai-loan</v>
      </c>
      <c r="D353" s="20"/>
      <c r="E353" s="20"/>
      <c r="F353" s="20"/>
      <c r="G353" s="20"/>
      <c r="H353" s="20"/>
      <c r="I353" s="20"/>
      <c r="J353" s="20"/>
      <c r="K353" s="20"/>
      <c r="L353" s="20"/>
      <c r="M353" s="20"/>
      <c r="N353" s="20"/>
      <c r="O353" s="20"/>
      <c r="P353" s="20"/>
      <c r="Q353" s="20"/>
      <c r="R353" s="20"/>
      <c r="S353" s="20"/>
      <c r="T353" s="20"/>
      <c r="U353" s="20"/>
      <c r="V353" s="20"/>
      <c r="W353" s="20"/>
      <c r="X353" s="20"/>
    </row>
    <row r="354">
      <c r="A354" s="37" t="str">
        <f>IFERROR(__xludf.DUMMYFUNCTION("""COMPUTED_VALUE"""),"https://techcombank.com/thong-tin/blog/dong-tai-khoan-ngan-hang-cong-ty")</f>
        <v>https://techcombank.com/thong-tin/blog/dong-tai-khoan-ngan-hang-cong-ty</v>
      </c>
      <c r="B354" s="28">
        <f>IFERROR(__xludf.DUMMYFUNCTION("""COMPUTED_VALUE"""),4.0)</f>
        <v>4</v>
      </c>
      <c r="C354" s="20" t="str">
        <f>IFERROR(__xludf.DUMMYFUNCTION("IF(A354="""","""",TEXTJOIN(CHAR(10),TRUE,FILTER('Tổng hợp 75 trang đích'!$B$2:$B$3400,'Tổng hợp 75 trang đích'!$I$2:$I$3400=A354)))"),"https://techcombank.com/thong-tin/blog/nop-thue-dat-qua-ngan-hang
https://techcombank.com/thong-tin/blog/thue-thu-nhap-doanh-nghiep
https://techcombank.com/thong-tin/blog/cong-ty-su-dung-tai-khoan-ca-nhan
https://techcombank.com/thong-tin/blog/cach-mo-tai"&amp;"-khoan")</f>
        <v>https://techcombank.com/thong-tin/blog/nop-thue-dat-qua-ngan-hang
https://techcombank.com/thong-tin/blog/thue-thu-nhap-doanh-nghiep
https://techcombank.com/thong-tin/blog/cong-ty-su-dung-tai-khoan-ca-nhan
https://techcombank.com/thong-tin/blog/cach-mo-tai-khoan</v>
      </c>
      <c r="D354" s="20"/>
      <c r="E354" s="20"/>
      <c r="F354" s="20"/>
      <c r="G354" s="20"/>
      <c r="H354" s="20"/>
      <c r="I354" s="20"/>
      <c r="J354" s="20"/>
      <c r="K354" s="20"/>
      <c r="L354" s="20"/>
      <c r="M354" s="20"/>
      <c r="N354" s="20"/>
      <c r="O354" s="20"/>
      <c r="P354" s="20"/>
      <c r="Q354" s="20"/>
      <c r="R354" s="20"/>
      <c r="S354" s="20"/>
      <c r="T354" s="20"/>
      <c r="U354" s="20"/>
      <c r="V354" s="20"/>
      <c r="W354" s="20"/>
      <c r="X354" s="20"/>
    </row>
    <row r="355">
      <c r="A355" s="37" t="str">
        <f>IFERROR(__xludf.DUMMYFUNCTION("""COMPUTED_VALUE"""),"https://techcombank.com/thong-tin/blog/ghi-chep-chi-tieu")</f>
        <v>https://techcombank.com/thong-tin/blog/ghi-chep-chi-tieu</v>
      </c>
      <c r="B355" s="28">
        <f>IFERROR(__xludf.DUMMYFUNCTION("""COMPUTED_VALUE"""),4.0)</f>
        <v>4</v>
      </c>
      <c r="C355" s="20" t="str">
        <f>IFERROR(__xludf.DUMMYFUNCTION("IF(A355="""","""",TEXTJOIN(CHAR(10),TRUE,FILTER('Tổng hợp 75 trang đích'!$B$2:$B$3400,'Tổng hợp 75 trang đích'!$I$2:$I$3400=A355)))"),"https://techcombank.com/thong-tin/blog/cong-ty-su-dung-tai-khoan-ca-nhan
https://techcombank.com/thong-tin/blog/cach-sao-ke-tai-khoan-ngan-hang
https://techcombank.com/thong-tin/blog/cic-la-gi
https://techcombank.com/thong-tin/blog/cach-tiet-kiem-tien")</f>
        <v>https://techcombank.com/thong-tin/blog/cong-ty-su-dung-tai-khoan-ca-nhan
https://techcombank.com/thong-tin/blog/cach-sao-ke-tai-khoan-ngan-hang
https://techcombank.com/thong-tin/blog/cic-la-gi
https://techcombank.com/thong-tin/blog/cach-tiet-kiem-tien</v>
      </c>
      <c r="D355" s="20"/>
      <c r="E355" s="20"/>
      <c r="F355" s="20"/>
      <c r="G355" s="20"/>
      <c r="H355" s="20"/>
      <c r="I355" s="20"/>
      <c r="J355" s="20"/>
      <c r="K355" s="20"/>
      <c r="L355" s="20"/>
      <c r="M355" s="20"/>
      <c r="N355" s="20"/>
      <c r="O355" s="20"/>
      <c r="P355" s="20"/>
      <c r="Q355" s="20"/>
      <c r="R355" s="20"/>
      <c r="S355" s="20"/>
      <c r="T355" s="20"/>
      <c r="U355" s="20"/>
      <c r="V355" s="20"/>
      <c r="W355" s="20"/>
      <c r="X355" s="20"/>
    </row>
    <row r="356">
      <c r="A356" s="37" t="str">
        <f>IFERROR(__xludf.DUMMYFUNCTION("""COMPUTED_VALUE"""),"https://techcombank.com/thong-tin/blog/giay-phep-kinh-doanh")</f>
        <v>https://techcombank.com/thong-tin/blog/giay-phep-kinh-doanh</v>
      </c>
      <c r="B356" s="28">
        <f>IFERROR(__xludf.DUMMYFUNCTION("""COMPUTED_VALUE"""),4.0)</f>
        <v>4</v>
      </c>
      <c r="C356" s="20" t="str">
        <f>IFERROR(__xludf.DUMMYFUNCTION("IF(A356="""","""",TEXTJOIN(CHAR(10),TRUE,FILTER('Tổng hợp 75 trang đích'!$B$2:$B$3400,'Tổng hợp 75 trang đích'!$I$2:$I$3400=A356)))"),"https://techcombank.com/thong-tin/blog/nop-thue-dat-qua-ngan-hang
https://techcombank.com/thong-tin/blog/ho-kinh-doanh-dong-thue-nhu-nao
https://techcombank.com/thong-tin/blog/mo-hinh-kinh-doanh-la-gi
https://techcombank.com/thong-tin/blog/mo-tai-khoan-ho"&amp;"-kinh-doanh")</f>
        <v>https://techcombank.com/thong-tin/blog/nop-thue-dat-qua-ngan-hang
https://techcombank.com/thong-tin/blog/ho-kinh-doanh-dong-thue-nhu-nao
https://techcombank.com/thong-tin/blog/mo-hinh-kinh-doanh-la-gi
https://techcombank.com/thong-tin/blog/mo-tai-khoan-ho-kinh-doanh</v>
      </c>
      <c r="D356" s="20"/>
      <c r="E356" s="20"/>
      <c r="F356" s="20"/>
      <c r="G356" s="20"/>
      <c r="H356" s="20"/>
      <c r="I356" s="20"/>
      <c r="J356" s="20"/>
      <c r="K356" s="20"/>
      <c r="L356" s="20"/>
      <c r="M356" s="20"/>
      <c r="N356" s="20"/>
      <c r="O356" s="20"/>
      <c r="P356" s="20"/>
      <c r="Q356" s="20"/>
      <c r="R356" s="20"/>
      <c r="S356" s="20"/>
      <c r="T356" s="20"/>
      <c r="U356" s="20"/>
      <c r="V356" s="20"/>
      <c r="W356" s="20"/>
      <c r="X356" s="20"/>
    </row>
    <row r="357">
      <c r="A357" s="37" t="str">
        <f>IFERROR(__xludf.DUMMYFUNCTION("""COMPUTED_VALUE"""),"https://techcombank.com/thong-tin/blog/gui-them-tien-vao-so-tiet-kiem")</f>
        <v>https://techcombank.com/thong-tin/blog/gui-them-tien-vao-so-tiet-kiem</v>
      </c>
      <c r="B357" s="28">
        <f>IFERROR(__xludf.DUMMYFUNCTION("""COMPUTED_VALUE"""),4.0)</f>
        <v>4</v>
      </c>
      <c r="C357" s="20" t="str">
        <f>IFERROR(__xludf.DUMMYFUNCTION("IF(A357="""","""",TEXTJOIN(CHAR(10),TRUE,FILTER('Tổng hợp 75 trang đích'!$B$2:$B$3400,'Tổng hợp 75 trang đích'!$I$2:$I$3400=A357)))"),"https://techcombank.com/thong-tin/blog/lai-suat-tiet-kiem
https://techcombank.com/thong-tin/blog/cach-tinh-lai-suat-tien-gui-tiet-kiem
https://techcombank.com/thong-tin/blog/rut-tien-tiet-kiem-truoc-thoi-han
https://techcombank.com/thong-tin/blog/so-tiet-"&amp;"kiem-ngan-hang")</f>
        <v>https://techcombank.com/thong-tin/blog/lai-suat-tiet-kiem
https://techcombank.com/thong-tin/blog/cach-tinh-lai-suat-tien-gui-tiet-kiem
https://techcombank.com/thong-tin/blog/rut-tien-tiet-kiem-truoc-thoi-han
https://techcombank.com/thong-tin/blog/so-tiet-kiem-ngan-hang</v>
      </c>
      <c r="D357" s="20"/>
      <c r="E357" s="20"/>
      <c r="F357" s="20"/>
      <c r="G357" s="20"/>
      <c r="H357" s="20"/>
      <c r="I357" s="20"/>
      <c r="J357" s="20"/>
      <c r="K357" s="20"/>
      <c r="L357" s="20"/>
      <c r="M357" s="20"/>
      <c r="N357" s="20"/>
      <c r="O357" s="20"/>
      <c r="P357" s="20"/>
      <c r="Q357" s="20"/>
      <c r="R357" s="20"/>
      <c r="S357" s="20"/>
      <c r="T357" s="20"/>
      <c r="U357" s="20"/>
      <c r="V357" s="20"/>
      <c r="W357" s="20"/>
      <c r="X357" s="20"/>
    </row>
    <row r="358">
      <c r="A358" s="37" t="str">
        <f>IFERROR(__xludf.DUMMYFUNCTION("""COMPUTED_VALUE"""),"https://techcombank.com/thong-tin/blog/gui-tiet-kiem-online-bi-mat-tien")</f>
        <v>https://techcombank.com/thong-tin/blog/gui-tiet-kiem-online-bi-mat-tien</v>
      </c>
      <c r="B358" s="28">
        <f>IFERROR(__xludf.DUMMYFUNCTION("""COMPUTED_VALUE"""),4.0)</f>
        <v>4</v>
      </c>
      <c r="C358" s="20" t="str">
        <f>IFERROR(__xludf.DUMMYFUNCTION("IF(A358="""","""",TEXTJOIN(CHAR(10),TRUE,FILTER('Tổng hợp 75 trang đích'!$B$2:$B$3400,'Tổng hợp 75 trang đích'!$I$2:$I$3400=A358)))"),"https://techcombank.com/thong-tin/blog/lai-suat-tiet-kiem
https://techcombank.com/thong-tin/blog/cach-tinh-lai-suat-tien-gui-tiet-kiem
https://techcombank.com/thong-tin/blog/so-tiet-kiem-ngan-hang
https://techcombank.com/cong-cu-tien-ich/cong-cu-tinh-toan"&amp;"/bang-tinh-lai-suat-tiet-kiem")</f>
        <v>https://techcombank.com/thong-tin/blog/lai-suat-tiet-kiem
https://techcombank.com/thong-tin/blog/cach-tinh-lai-suat-tien-gui-tiet-kiem
https://techcombank.com/thong-tin/blog/so-tiet-kiem-ngan-hang
https://techcombank.com/cong-cu-tien-ich/cong-cu-tinh-toan/bang-tinh-lai-suat-tiet-kiem</v>
      </c>
      <c r="D358" s="20"/>
      <c r="E358" s="20"/>
      <c r="F358" s="20"/>
      <c r="G358" s="20"/>
      <c r="H358" s="20"/>
      <c r="I358" s="20"/>
      <c r="J358" s="20"/>
      <c r="K358" s="20"/>
      <c r="L358" s="20"/>
      <c r="M358" s="20"/>
      <c r="N358" s="20"/>
      <c r="O358" s="20"/>
      <c r="P358" s="20"/>
      <c r="Q358" s="20"/>
      <c r="R358" s="20"/>
      <c r="S358" s="20"/>
      <c r="T358" s="20"/>
      <c r="U358" s="20"/>
      <c r="V358" s="20"/>
      <c r="W358" s="20"/>
      <c r="X358" s="20"/>
    </row>
    <row r="359">
      <c r="A359" s="37" t="str">
        <f>IFERROR(__xludf.DUMMYFUNCTION("""COMPUTED_VALUE"""),"https://techcombank.com/thong-tin/blog/gui-tiet-kiem-usd")</f>
        <v>https://techcombank.com/thong-tin/blog/gui-tiet-kiem-usd</v>
      </c>
      <c r="B359" s="28">
        <f>IFERROR(__xludf.DUMMYFUNCTION("""COMPUTED_VALUE"""),4.0)</f>
        <v>4</v>
      </c>
      <c r="C359" s="20" t="str">
        <f>IFERROR(__xludf.DUMMYFUNCTION("IF(A359="""","""",TEXTJOIN(CHAR(10),TRUE,FILTER('Tổng hợp 75 trang đích'!$B$2:$B$3400,'Tổng hợp 75 trang đích'!$I$2:$I$3400=A359)))"),"https://techcombank.com/thong-tin/blog/1-dong-do-la-my-bang-bao-nhieu-tien-viet-nam
https://techcombank.com/thong-tin/blog/lai-suat-tiet-kiem
https://techcombank.com/thong-tin/blog/cach-tinh-lai-suat-tien-gui-tiet-kiem
https://techcombank.com/cong-cu-tien"&amp;"-ich/cong-cu-tinh-toan/bang-tinh-lai-suat-tiet-kiem")</f>
        <v>https://techcombank.com/thong-tin/blog/1-dong-do-la-my-bang-bao-nhieu-tien-viet-nam
https://techcombank.com/thong-tin/blog/lai-suat-tiet-kiem
https://techcombank.com/thong-tin/blog/cach-tinh-lai-suat-tien-gui-tiet-kiem
https://techcombank.com/cong-cu-tien-ich/cong-cu-tinh-toan/bang-tinh-lai-suat-tiet-kiem</v>
      </c>
      <c r="D359" s="20"/>
      <c r="E359" s="20"/>
      <c r="F359" s="20"/>
      <c r="G359" s="20"/>
      <c r="H359" s="20"/>
      <c r="I359" s="20"/>
      <c r="J359" s="20"/>
      <c r="K359" s="20"/>
      <c r="L359" s="20"/>
      <c r="M359" s="20"/>
      <c r="N359" s="20"/>
      <c r="O359" s="20"/>
      <c r="P359" s="20"/>
      <c r="Q359" s="20"/>
      <c r="R359" s="20"/>
      <c r="S359" s="20"/>
      <c r="T359" s="20"/>
      <c r="U359" s="20"/>
      <c r="V359" s="20"/>
      <c r="W359" s="20"/>
      <c r="X359" s="20"/>
    </row>
    <row r="360">
      <c r="A360" s="37" t="str">
        <f>IFERROR(__xludf.DUMMYFUNCTION("""COMPUTED_VALUE"""),"https://techcombank.com/thong-tin/blog/in-ma-qr-ngan-hang")</f>
        <v>https://techcombank.com/thong-tin/blog/in-ma-qr-ngan-hang</v>
      </c>
      <c r="B360" s="28">
        <f>IFERROR(__xludf.DUMMYFUNCTION("""COMPUTED_VALUE"""),4.0)</f>
        <v>4</v>
      </c>
      <c r="C360" s="20" t="str">
        <f>IFERROR(__xludf.DUMMYFUNCTION("IF(A360="""","""",TEXTJOIN(CHAR(10),TRUE,FILTER('Tổng hợp 75 trang đích'!$B$2:$B$3400,'Tổng hợp 75 trang đích'!$I$2:$I$3400=A360)))"),"https://techcombank.com/thong-tin/blog/rut-tien-bang-ma-qr-la-gi-cach-thuc-hien-nhu-the-nao
https://techcombank.com/thong-tin/blog/cic-la-gi
https://techcombank.com/thong-tin/blog/rut-tien-mat-tu-the-tin-dung
https://techcombank.com/thong-tin/blog/gui-ma-"&amp;"qr-ngan-hang")</f>
        <v>https://techcombank.com/thong-tin/blog/rut-tien-bang-ma-qr-la-gi-cach-thuc-hien-nhu-the-nao
https://techcombank.com/thong-tin/blog/cic-la-gi
https://techcombank.com/thong-tin/blog/rut-tien-mat-tu-the-tin-dung
https://techcombank.com/thong-tin/blog/gui-ma-qr-ngan-hang</v>
      </c>
      <c r="D360" s="20"/>
      <c r="E360" s="20"/>
      <c r="F360" s="20"/>
      <c r="G360" s="20"/>
      <c r="H360" s="20"/>
      <c r="I360" s="20"/>
      <c r="J360" s="20"/>
      <c r="K360" s="20"/>
      <c r="L360" s="20"/>
      <c r="M360" s="20"/>
      <c r="N360" s="20"/>
      <c r="O360" s="20"/>
      <c r="P360" s="20"/>
      <c r="Q360" s="20"/>
      <c r="R360" s="20"/>
      <c r="S360" s="20"/>
      <c r="T360" s="20"/>
      <c r="U360" s="20"/>
      <c r="V360" s="20"/>
      <c r="W360" s="20"/>
      <c r="X360" s="20"/>
    </row>
    <row r="361">
      <c r="A361" s="37" t="str">
        <f>IFERROR(__xludf.DUMMYFUNCTION("""COMPUTED_VALUE"""),"https://techcombank.com/thong-tin/blog/khach-hang-vip-bat-dong-san")</f>
        <v>https://techcombank.com/thong-tin/blog/khach-hang-vip-bat-dong-san</v>
      </c>
      <c r="B361" s="28">
        <f>IFERROR(__xludf.DUMMYFUNCTION("""COMPUTED_VALUE"""),4.0)</f>
        <v>4</v>
      </c>
      <c r="C361" s="20" t="str">
        <f>IFERROR(__xludf.DUMMYFUNCTION("IF(A361="""","""",TEXTJOIN(CHAR(10),TRUE,FILTER('Tổng hợp 75 trang đích'!$B$2:$B$3400,'Tổng hợp 75 trang đích'!$I$2:$I$3400=A361)))"),"https://techcombank.com/thong-tin/blog/nop-thue-dat-qua-ngan-hang
https://techcombank.com/thong-tin/blog/cic-la-gi
https://techcombank.com/thong-tin/blog/lai-suat-tiet-kiem
https://techcombank.com/cong-cu-tien-ich/cong-cu-tinh-toan/bang-tinh-lai-suat-vay")</f>
        <v>https://techcombank.com/thong-tin/blog/nop-thue-dat-qua-ngan-hang
https://techcombank.com/thong-tin/blog/cic-la-gi
https://techcombank.com/thong-tin/blog/lai-suat-tiet-kiem
https://techcombank.com/cong-cu-tien-ich/cong-cu-tinh-toan/bang-tinh-lai-suat-vay</v>
      </c>
      <c r="D361" s="20"/>
      <c r="E361" s="20"/>
      <c r="F361" s="20"/>
      <c r="G361" s="20"/>
      <c r="H361" s="20"/>
      <c r="I361" s="20"/>
      <c r="J361" s="20"/>
      <c r="K361" s="20"/>
      <c r="L361" s="20"/>
      <c r="M361" s="20"/>
      <c r="N361" s="20"/>
      <c r="O361" s="20"/>
      <c r="P361" s="20"/>
      <c r="Q361" s="20"/>
      <c r="R361" s="20"/>
      <c r="S361" s="20"/>
      <c r="T361" s="20"/>
      <c r="U361" s="20"/>
      <c r="V361" s="20"/>
      <c r="W361" s="20"/>
      <c r="X361" s="20"/>
    </row>
    <row r="362">
      <c r="A362" s="37" t="str">
        <f>IFERROR(__xludf.DUMMYFUNCTION("""COMPUTED_VALUE"""),"https://techcombank.com/thong-tin/blog/kinh-doanh-online")</f>
        <v>https://techcombank.com/thong-tin/blog/kinh-doanh-online</v>
      </c>
      <c r="B362" s="28">
        <f>IFERROR(__xludf.DUMMYFUNCTION("""COMPUTED_VALUE"""),4.0)</f>
        <v>4</v>
      </c>
      <c r="C362" s="20" t="str">
        <f>IFERROR(__xludf.DUMMYFUNCTION("IF(A362="""","""",TEXTJOIN(CHAR(10),TRUE,FILTER('Tổng hợp 75 trang đích'!$B$2:$B$3400,'Tổng hợp 75 trang đích'!$I$2:$I$3400=A362)))"),"https://techcombank.com/thong-tin/blog/nop-thue-dat-qua-ngan-hang
https://techcombank.com/thong-tin/blog/cach-nop-thue-dien-tu
https://techcombank.com/thong-tin/blog/cach-tinh-tien-dien-sinh-hoat
https://techcombank.com/thong-tin/blog/mo-hinh-kinh-doanh-l"&amp;"a-gi")</f>
        <v>https://techcombank.com/thong-tin/blog/nop-thue-dat-qua-ngan-hang
https://techcombank.com/thong-tin/blog/cach-nop-thue-dien-tu
https://techcombank.com/thong-tin/blog/cach-tinh-tien-dien-sinh-hoat
https://techcombank.com/thong-tin/blog/mo-hinh-kinh-doanh-la-gi</v>
      </c>
      <c r="D362" s="20"/>
      <c r="E362" s="20"/>
      <c r="F362" s="20"/>
      <c r="G362" s="20"/>
      <c r="H362" s="20"/>
      <c r="I362" s="20"/>
      <c r="J362" s="20"/>
      <c r="K362" s="20"/>
      <c r="L362" s="20"/>
      <c r="M362" s="20"/>
      <c r="N362" s="20"/>
      <c r="O362" s="20"/>
      <c r="P362" s="20"/>
      <c r="Q362" s="20"/>
      <c r="R362" s="20"/>
      <c r="S362" s="20"/>
      <c r="T362" s="20"/>
      <c r="U362" s="20"/>
      <c r="V362" s="20"/>
      <c r="W362" s="20"/>
      <c r="X362" s="20"/>
    </row>
    <row r="363">
      <c r="A363" s="37" t="str">
        <f>IFERROR(__xludf.DUMMYFUNCTION("""COMPUTED_VALUE"""),"https://techcombank.com/thong-tin/blog/lai-kep-ngan-hang")</f>
        <v>https://techcombank.com/thong-tin/blog/lai-kep-ngan-hang</v>
      </c>
      <c r="B363" s="28">
        <f>IFERROR(__xludf.DUMMYFUNCTION("""COMPUTED_VALUE"""),4.0)</f>
        <v>4</v>
      </c>
      <c r="C363" s="20" t="str">
        <f>IFERROR(__xludf.DUMMYFUNCTION("IF(A363="""","""",TEXTJOIN(CHAR(10),TRUE,FILTER('Tổng hợp 75 trang đích'!$B$2:$B$3400,'Tổng hợp 75 trang đích'!$I$2:$I$3400=A363)))"),"https://techcombank.com/thong-tin/blog/lai-suat-chung-chi-tien-gui-cac-ngan-hang
https://techcombank.com/thong-tin/blog/rut-tien-tiet-kiem-truoc-thoi-han
https://techcombank.com/cong-cu-tien-ich/cong-cu-tinh-toan/bang-tinh-lai-suat-tiet-kiem
https://techc"&amp;"ombank.com/thong-tin/blog/app-vay-tien-nhanh")</f>
        <v>https://techcombank.com/thong-tin/blog/lai-suat-chung-chi-tien-gui-cac-ngan-hang
https://techcombank.com/thong-tin/blog/rut-tien-tiet-kiem-truoc-thoi-han
https://techcombank.com/cong-cu-tien-ich/cong-cu-tinh-toan/bang-tinh-lai-suat-tiet-kiem
https://techcombank.com/thong-tin/blog/app-vay-tien-nhanh</v>
      </c>
      <c r="D363" s="20"/>
      <c r="E363" s="20"/>
      <c r="F363" s="20"/>
      <c r="G363" s="20"/>
      <c r="H363" s="20"/>
      <c r="I363" s="20"/>
      <c r="J363" s="20"/>
      <c r="K363" s="20"/>
      <c r="L363" s="20"/>
      <c r="M363" s="20"/>
      <c r="N363" s="20"/>
      <c r="O363" s="20"/>
      <c r="P363" s="20"/>
      <c r="Q363" s="20"/>
      <c r="R363" s="20"/>
      <c r="S363" s="20"/>
      <c r="T363" s="20"/>
      <c r="U363" s="20"/>
      <c r="V363" s="20"/>
      <c r="W363" s="20"/>
      <c r="X363" s="20"/>
    </row>
    <row r="364">
      <c r="A364" s="37" t="str">
        <f>IFERROR(__xludf.DUMMYFUNCTION("""COMPUTED_VALUE"""),"https://techcombank.com/thong-tin/blog/lam-the-atm-co-mat-phi-khong")</f>
        <v>https://techcombank.com/thong-tin/blog/lam-the-atm-co-mat-phi-khong</v>
      </c>
      <c r="B364" s="28">
        <f>IFERROR(__xludf.DUMMYFUNCTION("""COMPUTED_VALUE"""),4.0)</f>
        <v>4</v>
      </c>
      <c r="C364" s="20" t="str">
        <f>IFERROR(__xludf.DUMMYFUNCTION("IF(A364="""","""",TEXTJOIN(CHAR(10),TRUE,FILTER('Tổng hợp 75 trang đích'!$B$2:$B$3400,'Tổng hợp 75 trang đích'!$I$2:$I$3400=A364)))"),"https://techcombank.com/thong-tin/blog/bao-nhieu-tuoi-duoc-mo-tai-khoan-ngan-hang
https://techcombank.com/thong-tin/blog/nap-tien-vao-tai-khoan-ngan-hang
https://techcombank.com/thong-tin/blog/rut-tien-bang-ma-qr-la-gi-cach-thuc-hien-nhu-the-nao
https://t"&amp;"echcombank.com/thong-tin/blog/lam-the-tin-dung")</f>
        <v>https://techcombank.com/thong-tin/blog/bao-nhieu-tuoi-duoc-mo-tai-khoan-ngan-hang
https://techcombank.com/thong-tin/blog/nap-tien-vao-tai-khoan-ngan-hang
https://techcombank.com/thong-tin/blog/rut-tien-bang-ma-qr-la-gi-cach-thuc-hien-nhu-the-nao
https://techcombank.com/thong-tin/blog/lam-the-tin-dung</v>
      </c>
      <c r="D364" s="20"/>
      <c r="E364" s="20"/>
      <c r="F364" s="20"/>
      <c r="G364" s="20"/>
      <c r="H364" s="20"/>
      <c r="I364" s="20"/>
      <c r="J364" s="20"/>
      <c r="K364" s="20"/>
      <c r="L364" s="20"/>
      <c r="M364" s="20"/>
      <c r="N364" s="20"/>
      <c r="O364" s="20"/>
      <c r="P364" s="20"/>
      <c r="Q364" s="20"/>
      <c r="R364" s="20"/>
      <c r="S364" s="20"/>
      <c r="T364" s="20"/>
      <c r="U364" s="20"/>
      <c r="V364" s="20"/>
      <c r="W364" s="20"/>
      <c r="X364" s="20"/>
    </row>
    <row r="365">
      <c r="A365" s="37" t="str">
        <f>IFERROR(__xludf.DUMMYFUNCTION("""COMPUTED_VALUE"""),"https://techcombank.com/thong-tin/blog/lo-ma-qr-ngan-hang-co-sao-khong")</f>
        <v>https://techcombank.com/thong-tin/blog/lo-ma-qr-ngan-hang-co-sao-khong</v>
      </c>
      <c r="B365" s="28">
        <f>IFERROR(__xludf.DUMMYFUNCTION("""COMPUTED_VALUE"""),4.0)</f>
        <v>4</v>
      </c>
      <c r="C365" s="20" t="str">
        <f>IFERROR(__xludf.DUMMYFUNCTION("IF(A365="""","""",TEXTJOIN(CHAR(10),TRUE,FILTER('Tổng hợp 75 trang đích'!$B$2:$B$3400,'Tổng hợp 75 trang đích'!$I$2:$I$3400=A365)))"),"https://techcombank.com/thong-tin/blog/cach-tinh-tien-dien-sinh-hoat
https://techcombank.com/thong-tin/blog/cach-kiem-tra-tai-khoan-ngan-hang
https://techcombank.com/thong-tin/blog/ten-dang-nhap-tai-khoan-ngan-hang-la-gi
https://techcombank.com/thong-tin/"&amp;"blog/gui-ma-qr-ngan-hang")</f>
        <v>https://techcombank.com/thong-tin/blog/cach-tinh-tien-dien-sinh-hoat
https://techcombank.com/thong-tin/blog/cach-kiem-tra-tai-khoan-ngan-hang
https://techcombank.com/thong-tin/blog/ten-dang-nhap-tai-khoan-ngan-hang-la-gi
https://techcombank.com/thong-tin/blog/gui-ma-qr-ngan-hang</v>
      </c>
      <c r="D365" s="20"/>
      <c r="E365" s="20"/>
      <c r="F365" s="20"/>
      <c r="G365" s="20"/>
      <c r="H365" s="20"/>
      <c r="I365" s="20"/>
      <c r="J365" s="20"/>
      <c r="K365" s="20"/>
      <c r="L365" s="20"/>
      <c r="M365" s="20"/>
      <c r="N365" s="20"/>
      <c r="O365" s="20"/>
      <c r="P365" s="20"/>
      <c r="Q365" s="20"/>
      <c r="R365" s="20"/>
      <c r="S365" s="20"/>
      <c r="T365" s="20"/>
      <c r="U365" s="20"/>
      <c r="V365" s="20"/>
      <c r="W365" s="20"/>
      <c r="X365" s="20"/>
    </row>
    <row r="366">
      <c r="A366" s="37" t="str">
        <f>IFERROR(__xludf.DUMMYFUNCTION("""COMPUTED_VALUE"""),"https://techcombank.com/thong-tin/blog/loi-ich-cua-viec-tiet-kiem-tien")</f>
        <v>https://techcombank.com/thong-tin/blog/loi-ich-cua-viec-tiet-kiem-tien</v>
      </c>
      <c r="B366" s="28">
        <f>IFERROR(__xludf.DUMMYFUNCTION("""COMPUTED_VALUE"""),4.0)</f>
        <v>4</v>
      </c>
      <c r="C366" s="20" t="str">
        <f>IFERROR(__xludf.DUMMYFUNCTION("IF(A366="""","""",TEXTJOIN(CHAR(10),TRUE,FILTER('Tổng hợp 75 trang đích'!$B$2:$B$3400,'Tổng hợp 75 trang đích'!$I$2:$I$3400=A366)))"),"https://techcombank.com/thong-tin/blog/cach-sao-ke-tai-khoan-ngan-hang
https://techcombank.com/thong-tin/blog/lai-suat-tiet-kiem
https://techcombank.com/thong-tin/blog/cach-tinh-lai-suat-tien-gui-tiet-kiem
https://techcombank.com/thong-tin/blog/cach-tiet-"&amp;"kiem-tien")</f>
        <v>https://techcombank.com/thong-tin/blog/cach-sao-ke-tai-khoan-ngan-hang
https://techcombank.com/thong-tin/blog/lai-suat-tiet-kiem
https://techcombank.com/thong-tin/blog/cach-tinh-lai-suat-tien-gui-tiet-kiem
https://techcombank.com/thong-tin/blog/cach-tiet-kiem-tien</v>
      </c>
      <c r="D366" s="20"/>
      <c r="E366" s="20"/>
      <c r="F366" s="20"/>
      <c r="G366" s="20"/>
      <c r="H366" s="20"/>
      <c r="I366" s="20"/>
      <c r="J366" s="20"/>
      <c r="K366" s="20"/>
      <c r="L366" s="20"/>
      <c r="M366" s="20"/>
      <c r="N366" s="20"/>
      <c r="O366" s="20"/>
      <c r="P366" s="20"/>
      <c r="Q366" s="20"/>
      <c r="R366" s="20"/>
      <c r="S366" s="20"/>
      <c r="T366" s="20"/>
      <c r="U366" s="20"/>
      <c r="V366" s="20"/>
      <c r="W366" s="20"/>
      <c r="X366" s="20"/>
    </row>
    <row r="367">
      <c r="A367" s="37" t="str">
        <f>IFERROR(__xludf.DUMMYFUNCTION("""COMPUTED_VALUE"""),"https://techcombank.com/thong-tin/blog/ma-qr-ngan-hang-khong-hop-le")</f>
        <v>https://techcombank.com/thong-tin/blog/ma-qr-ngan-hang-khong-hop-le</v>
      </c>
      <c r="B367" s="28">
        <f>IFERROR(__xludf.DUMMYFUNCTION("""COMPUTED_VALUE"""),4.0)</f>
        <v>4</v>
      </c>
      <c r="C367" s="20" t="str">
        <f>IFERROR(__xludf.DUMMYFUNCTION("IF(A367="""","""",TEXTJOIN(CHAR(10),TRUE,FILTER('Tổng hợp 75 trang đích'!$B$2:$B$3400,'Tổng hợp 75 trang đích'!$I$2:$I$3400=A367)))"),"https://techcombank.com/thong-tin/blog/cach-tinh-tien-dien-sinh-hoat
https://techcombank.com/thong-tin/blog/chuyen-khoan-thanh-cong-nhung-khong-nhan-duoc-tien
https://techcombank.com/thong-tin/blog/rut-tien-bang-ma-qr-la-gi-cach-thuc-hien-nhu-the-nao
http"&amp;"s://techcombank.com/thong-tin/blog/gui-ma-qr-ngan-hang")</f>
        <v>https://techcombank.com/thong-tin/blog/cach-tinh-tien-dien-sinh-hoat
https://techcombank.com/thong-tin/blog/chuyen-khoan-thanh-cong-nhung-khong-nhan-duoc-tien
https://techcombank.com/thong-tin/blog/rut-tien-bang-ma-qr-la-gi-cach-thuc-hien-nhu-the-nao
https://techcombank.com/thong-tin/blog/gui-ma-qr-ngan-hang</v>
      </c>
      <c r="D367" s="20"/>
      <c r="E367" s="20"/>
      <c r="F367" s="20"/>
      <c r="G367" s="20"/>
      <c r="H367" s="20"/>
      <c r="I367" s="20"/>
      <c r="J367" s="20"/>
      <c r="K367" s="20"/>
      <c r="L367" s="20"/>
      <c r="M367" s="20"/>
      <c r="N367" s="20"/>
      <c r="O367" s="20"/>
      <c r="P367" s="20"/>
      <c r="Q367" s="20"/>
      <c r="R367" s="20"/>
      <c r="S367" s="20"/>
      <c r="T367" s="20"/>
      <c r="U367" s="20"/>
      <c r="V367" s="20"/>
      <c r="W367" s="20"/>
      <c r="X367" s="20"/>
    </row>
    <row r="368">
      <c r="A368" s="37" t="str">
        <f>IFERROR(__xludf.DUMMYFUNCTION("""COMPUTED_VALUE"""),"https://techcombank.com/thong-tin/blog/mo-tai-khoan-tiet-kiem-cho-con")</f>
        <v>https://techcombank.com/thong-tin/blog/mo-tai-khoan-tiet-kiem-cho-con</v>
      </c>
      <c r="B368" s="28">
        <f>IFERROR(__xludf.DUMMYFUNCTION("""COMPUTED_VALUE"""),4.0)</f>
        <v>4</v>
      </c>
      <c r="C368" s="20" t="str">
        <f>IFERROR(__xludf.DUMMYFUNCTION("IF(A368="""","""",TEXTJOIN(CHAR(10),TRUE,FILTER('Tổng hợp 75 trang đích'!$B$2:$B$3400,'Tổng hợp 75 trang đích'!$I$2:$I$3400=A368)))"),"https://techcombank.com/thong-tin/blog/lai-suat-tiet-kiem
https://techcombank.com/thong-tin/blog/cach-tinh-lai-suat-tien-gui-tiet-kiem
https://techcombank.com/thong-tin/blog/so-tiet-kiem-ngan-hang
https://techcombank.com/cong-cu-tien-ich/cong-cu-tinh-toan"&amp;"/bang-tinh-lai-suat-tiet-kiem")</f>
        <v>https://techcombank.com/thong-tin/blog/lai-suat-tiet-kiem
https://techcombank.com/thong-tin/blog/cach-tinh-lai-suat-tien-gui-tiet-kiem
https://techcombank.com/thong-tin/blog/so-tiet-kiem-ngan-hang
https://techcombank.com/cong-cu-tien-ich/cong-cu-tinh-toan/bang-tinh-lai-suat-tiet-kiem</v>
      </c>
      <c r="D368" s="20"/>
      <c r="E368" s="20"/>
      <c r="F368" s="20"/>
      <c r="G368" s="20"/>
      <c r="H368" s="20"/>
      <c r="I368" s="20"/>
      <c r="J368" s="20"/>
      <c r="K368" s="20"/>
      <c r="L368" s="20"/>
      <c r="M368" s="20"/>
      <c r="N368" s="20"/>
      <c r="O368" s="20"/>
      <c r="P368" s="20"/>
      <c r="Q368" s="20"/>
      <c r="R368" s="20"/>
      <c r="S368" s="20"/>
      <c r="T368" s="20"/>
      <c r="U368" s="20"/>
      <c r="V368" s="20"/>
      <c r="W368" s="20"/>
      <c r="X368" s="20"/>
    </row>
    <row r="369">
      <c r="A369" s="37" t="str">
        <f>IFERROR(__xludf.DUMMYFUNCTION("""COMPUTED_VALUE"""),"https://techcombank.com/thong-tin/blog/mo-the-tin-dung-han-muc-cao")</f>
        <v>https://techcombank.com/thong-tin/blog/mo-the-tin-dung-han-muc-cao</v>
      </c>
      <c r="B369" s="28">
        <f>IFERROR(__xludf.DUMMYFUNCTION("""COMPUTED_VALUE"""),4.0)</f>
        <v>4</v>
      </c>
      <c r="C369" s="20" t="str">
        <f>IFERROR(__xludf.DUMMYFUNCTION("IF(A369="""","""",TEXTJOIN(CHAR(10),TRUE,FILTER('Tổng hợp 75 trang đích'!$B$2:$B$3400,'Tổng hợp 75 trang đích'!$I$2:$I$3400=A369)))"),"https://techcombank.com/thong-tin/blog/rut-tien-mat-tu-the-tin-dung
https://techcombank.com/thong-tin/blog/lam-the-tin-dung
https://techcombank.com/thong-tin/blog/cach-huy-the-tin-dung
https://techcombank.com/thong-tin/blog/app-vay-tien-nhanh")</f>
        <v>https://techcombank.com/thong-tin/blog/rut-tien-mat-tu-the-tin-dung
https://techcombank.com/thong-tin/blog/lam-the-tin-dung
https://techcombank.com/thong-tin/blog/cach-huy-the-tin-dung
https://techcombank.com/thong-tin/blog/app-vay-tien-nhanh</v>
      </c>
      <c r="D369" s="20"/>
      <c r="E369" s="20"/>
      <c r="F369" s="20"/>
      <c r="G369" s="20"/>
      <c r="H369" s="20"/>
      <c r="I369" s="20"/>
      <c r="J369" s="20"/>
      <c r="K369" s="20"/>
      <c r="L369" s="20"/>
      <c r="M369" s="20"/>
      <c r="N369" s="20"/>
      <c r="O369" s="20"/>
      <c r="P369" s="20"/>
      <c r="Q369" s="20"/>
      <c r="R369" s="20"/>
      <c r="S369" s="20"/>
      <c r="T369" s="20"/>
      <c r="U369" s="20"/>
      <c r="V369" s="20"/>
      <c r="W369" s="20"/>
      <c r="X369" s="20"/>
    </row>
    <row r="370">
      <c r="A370" s="37" t="str">
        <f>IFERROR(__xludf.DUMMYFUNCTION("""COMPUTED_VALUE"""),"https://techcombank.com/thong-tin/blog/mo-the-tin-dung-khong-can-chung-minh-thu-nhap")</f>
        <v>https://techcombank.com/thong-tin/blog/mo-the-tin-dung-khong-can-chung-minh-thu-nhap</v>
      </c>
      <c r="B370" s="28">
        <f>IFERROR(__xludf.DUMMYFUNCTION("""COMPUTED_VALUE"""),4.0)</f>
        <v>4</v>
      </c>
      <c r="C370" s="20" t="str">
        <f>IFERROR(__xludf.DUMMYFUNCTION("IF(A370="""","""",TEXTJOIN(CHAR(10),TRUE,FILTER('Tổng hợp 75 trang đích'!$B$2:$B$3400,'Tổng hợp 75 trang đích'!$I$2:$I$3400=A370)))"),"https://techcombank.com/thong-tin/blog/cach-tinh-thue-thu-nhap-ca-nhan-2025
https://techcombank.com/thong-tin/blog/lai-suat-tiet-kiem
https://techcombank.com/thong-tin/blog/rut-tien-tiet-kiem-truoc-thoi-han
https://techcombank.com/thong-tin/blog/so-tiet-k"&amp;"iem-ngan-hang")</f>
        <v>https://techcombank.com/thong-tin/blog/cach-tinh-thue-thu-nhap-ca-nhan-2025
https://techcombank.com/thong-tin/blog/lai-suat-tiet-kiem
https://techcombank.com/thong-tin/blog/rut-tien-tiet-kiem-truoc-thoi-han
https://techcombank.com/thong-tin/blog/so-tiet-kiem-ngan-hang</v>
      </c>
      <c r="D370" s="20"/>
      <c r="E370" s="20"/>
      <c r="F370" s="20"/>
      <c r="G370" s="20"/>
      <c r="H370" s="20"/>
      <c r="I370" s="20"/>
      <c r="J370" s="20"/>
      <c r="K370" s="20"/>
      <c r="L370" s="20"/>
      <c r="M370" s="20"/>
      <c r="N370" s="20"/>
      <c r="O370" s="20"/>
      <c r="P370" s="20"/>
      <c r="Q370" s="20"/>
      <c r="R370" s="20"/>
      <c r="S370" s="20"/>
      <c r="T370" s="20"/>
      <c r="U370" s="20"/>
      <c r="V370" s="20"/>
      <c r="W370" s="20"/>
      <c r="X370" s="20"/>
    </row>
    <row r="371">
      <c r="A371" s="37" t="str">
        <f>IFERROR(__xludf.DUMMYFUNCTION("""COMPUTED_VALUE"""),"https://techcombank.com/thong-tin/blog/nang-han-muc-tin-dung")</f>
        <v>https://techcombank.com/thong-tin/blog/nang-han-muc-tin-dung</v>
      </c>
      <c r="B371" s="28">
        <f>IFERROR(__xludf.DUMMYFUNCTION("""COMPUTED_VALUE"""),4.0)</f>
        <v>4</v>
      </c>
      <c r="C371" s="20" t="str">
        <f>IFERROR(__xludf.DUMMYFUNCTION("IF(A371="""","""",TEXTJOIN(CHAR(10),TRUE,FILTER('Tổng hợp 75 trang đích'!$B$2:$B$3400,'Tổng hợp 75 trang đích'!$I$2:$I$3400=A371)))"),"https://techcombank.com/thong-tin/blog/cach-sao-ke-tai-khoan-ngan-hang
https://techcombank.com/thong-tin/blog/xep-hang-tin-dung
https://techcombank.com/thong-tin/blog/app-vay-tien-nhanh
https://techcombank.com/thong-tin/blog/no-xau-la-gi")</f>
        <v>https://techcombank.com/thong-tin/blog/cach-sao-ke-tai-khoan-ngan-hang
https://techcombank.com/thong-tin/blog/xep-hang-tin-dung
https://techcombank.com/thong-tin/blog/app-vay-tien-nhanh
https://techcombank.com/thong-tin/blog/no-xau-la-gi</v>
      </c>
      <c r="D371" s="20"/>
      <c r="E371" s="20"/>
      <c r="F371" s="20"/>
      <c r="G371" s="20"/>
      <c r="H371" s="20"/>
      <c r="I371" s="20"/>
      <c r="J371" s="20"/>
      <c r="K371" s="20"/>
      <c r="L371" s="20"/>
      <c r="M371" s="20"/>
      <c r="N371" s="20"/>
      <c r="O371" s="20"/>
      <c r="P371" s="20"/>
      <c r="Q371" s="20"/>
      <c r="R371" s="20"/>
      <c r="S371" s="20"/>
      <c r="T371" s="20"/>
      <c r="U371" s="20"/>
      <c r="V371" s="20"/>
      <c r="W371" s="20"/>
      <c r="X371" s="20"/>
    </row>
    <row r="372">
      <c r="A372" s="37" t="str">
        <f>IFERROR(__xludf.DUMMYFUNCTION("""COMPUTED_VALUE"""),"https://techcombank.com/thong-tin/blog/nap-xu-tiktok")</f>
        <v>https://techcombank.com/thong-tin/blog/nap-xu-tiktok</v>
      </c>
      <c r="B372" s="28">
        <f>IFERROR(__xludf.DUMMYFUNCTION("""COMPUTED_VALUE"""),4.0)</f>
        <v>4</v>
      </c>
      <c r="C372" s="20" t="str">
        <f>IFERROR(__xludf.DUMMYFUNCTION("IF(A372="""","""",TEXTJOIN(CHAR(10),TRUE,FILTER('Tổng hợp 75 trang đích'!$B$2:$B$3400,'Tổng hợp 75 trang đích'!$I$2:$I$3400=A372)))"),"https://techcombank.com/thong-tin/blog/cach-nap-the-viettel
https://techcombank.com/thong-tin/blog/mo-tai-khoan-ngan-hang-duoi-18-tuoi
https://techcombank.com/thong-tin/blog/cic-la-gi
https://techcombank.com/thong-tin/blog/cach-tinh-lai-suat-tien-gui-tiet"&amp;"-kiem")</f>
        <v>https://techcombank.com/thong-tin/blog/cach-nap-the-viettel
https://techcombank.com/thong-tin/blog/mo-tai-khoan-ngan-hang-duoi-18-tuoi
https://techcombank.com/thong-tin/blog/cic-la-gi
https://techcombank.com/thong-tin/blog/cach-tinh-lai-suat-tien-gui-tiet-kiem</v>
      </c>
      <c r="D372" s="20"/>
      <c r="E372" s="20"/>
      <c r="F372" s="20"/>
      <c r="G372" s="20"/>
      <c r="H372" s="20"/>
      <c r="I372" s="20"/>
      <c r="J372" s="20"/>
      <c r="K372" s="20"/>
      <c r="L372" s="20"/>
      <c r="M372" s="20"/>
      <c r="N372" s="20"/>
      <c r="O372" s="20"/>
      <c r="P372" s="20"/>
      <c r="Q372" s="20"/>
      <c r="R372" s="20"/>
      <c r="S372" s="20"/>
      <c r="T372" s="20"/>
      <c r="U372" s="20"/>
      <c r="V372" s="20"/>
      <c r="W372" s="20"/>
      <c r="X372" s="20"/>
    </row>
    <row r="373">
      <c r="A373" s="37" t="str">
        <f>IFERROR(__xludf.DUMMYFUNCTION("""COMPUTED_VALUE"""),"https://techcombank.com/thong-tin/blog/nghich-ly-nha-dau-tu-che-trai-phieu-lai-suat-cao-ua-ma-an-toan-du-lai-suat-thap-hon-05-1")</f>
        <v>https://techcombank.com/thong-tin/blog/nghich-ly-nha-dau-tu-che-trai-phieu-lai-suat-cao-ua-ma-an-toan-du-lai-suat-thap-hon-05-1</v>
      </c>
      <c r="B373" s="28">
        <f>IFERROR(__xludf.DUMMYFUNCTION("""COMPUTED_VALUE"""),4.0)</f>
        <v>4</v>
      </c>
      <c r="C373" s="20" t="str">
        <f>IFERROR(__xludf.DUMMYFUNCTION("IF(A373="""","""",TEXTJOIN(CHAR(10),TRUE,FILTER('Tổng hợp 75 trang đích'!$B$2:$B$3400,'Tổng hợp 75 trang đích'!$I$2:$I$3400=A373)))"),"https://techcombank.com/thong-tin/blog/xep-hang-tin-dung
https://techcombank.com/thong-tin/blog/lai-suat-tiet-kiem
https://techcombank.com/thong-tin/blog/cach-tinh-lai-suat-tien-gui-tiet-kiem
https://techcombank.com/cong-cu-tien-ich/cong-cu-tinh-toan/bang"&amp;"-tinh-lai-suat-tiet-kiem")</f>
        <v>https://techcombank.com/thong-tin/blog/xep-hang-tin-dung
https://techcombank.com/thong-tin/blog/lai-suat-tiet-kiem
https://techcombank.com/thong-tin/blog/cach-tinh-lai-suat-tien-gui-tiet-kiem
https://techcombank.com/cong-cu-tien-ich/cong-cu-tinh-toan/bang-tinh-lai-suat-tiet-kiem</v>
      </c>
      <c r="D373" s="20"/>
      <c r="E373" s="20"/>
      <c r="F373" s="20"/>
      <c r="G373" s="20"/>
      <c r="H373" s="20"/>
      <c r="I373" s="20"/>
      <c r="J373" s="20"/>
      <c r="K373" s="20"/>
      <c r="L373" s="20"/>
      <c r="M373" s="20"/>
      <c r="N373" s="20"/>
      <c r="O373" s="20"/>
      <c r="P373" s="20"/>
      <c r="Q373" s="20"/>
      <c r="R373" s="20"/>
      <c r="S373" s="20"/>
      <c r="T373" s="20"/>
      <c r="U373" s="20"/>
      <c r="V373" s="20"/>
      <c r="W373" s="20"/>
      <c r="X373" s="20"/>
    </row>
    <row r="374">
      <c r="A374" s="37" t="str">
        <f>IFERROR(__xludf.DUMMYFUNCTION("""COMPUTED_VALUE"""),"https://techcombank.com/thong-tin/blog/ngoai-te-la-gi")</f>
        <v>https://techcombank.com/thong-tin/blog/ngoai-te-la-gi</v>
      </c>
      <c r="B374" s="28">
        <f>IFERROR(__xludf.DUMMYFUNCTION("""COMPUTED_VALUE"""),4.0)</f>
        <v>4</v>
      </c>
      <c r="C374" s="20" t="str">
        <f>IFERROR(__xludf.DUMMYFUNCTION("IF(A374="""","""",TEXTJOIN(CHAR(10),TRUE,FILTER('Tổng hợp 75 trang đích'!$B$2:$B$3400,'Tổng hợp 75 trang đích'!$I$2:$I$3400=A374)))"),"https://techcombank.com/thong-tin/blog/1-te-bang-bao-nhieu-tien-viet-nam
https://techcombank.com/thong-tin/blog/tien-dai-loan
https://techcombank.com/thong-tin/blog/cach-nhan-tien-tu-nuoc-ngoai-ve-viet-nam
https://techcombank.com/thong-tin/blog/lai-suat-t"&amp;"iet-kiem")</f>
        <v>https://techcombank.com/thong-tin/blog/1-te-bang-bao-nhieu-tien-viet-nam
https://techcombank.com/thong-tin/blog/tien-dai-loan
https://techcombank.com/thong-tin/blog/cach-nhan-tien-tu-nuoc-ngoai-ve-viet-nam
https://techcombank.com/thong-tin/blog/lai-suat-tiet-kiem</v>
      </c>
      <c r="D374" s="20"/>
      <c r="E374" s="20"/>
      <c r="F374" s="20"/>
      <c r="G374" s="20"/>
      <c r="H374" s="20"/>
      <c r="I374" s="20"/>
      <c r="J374" s="20"/>
      <c r="K374" s="20"/>
      <c r="L374" s="20"/>
      <c r="M374" s="20"/>
      <c r="N374" s="20"/>
      <c r="O374" s="20"/>
      <c r="P374" s="20"/>
      <c r="Q374" s="20"/>
      <c r="R374" s="20"/>
      <c r="S374" s="20"/>
      <c r="T374" s="20"/>
      <c r="U374" s="20"/>
      <c r="V374" s="20"/>
      <c r="W374" s="20"/>
      <c r="X374" s="20"/>
    </row>
    <row r="375">
      <c r="A375" s="37" t="str">
        <f>IFERROR(__xludf.DUMMYFUNCTION("""COMPUTED_VALUE"""),"https://techcombank.com/thong-tin/blog/nhu-cau-vay-tieu-dung-cua-nguoi-viet-du-kien-tang-manh-trong-thoi-gian-toi")</f>
        <v>https://techcombank.com/thong-tin/blog/nhu-cau-vay-tieu-dung-cua-nguoi-viet-du-kien-tang-manh-trong-thoi-gian-toi</v>
      </c>
      <c r="B375" s="28">
        <f>IFERROR(__xludf.DUMMYFUNCTION("""COMPUTED_VALUE"""),4.0)</f>
        <v>4</v>
      </c>
      <c r="C375" s="20" t="str">
        <f>IFERROR(__xludf.DUMMYFUNCTION("IF(A375="""","""",TEXTJOIN(CHAR(10),TRUE,FILTER('Tổng hợp 75 trang đích'!$B$2:$B$3400,'Tổng hợp 75 trang đích'!$I$2:$I$3400=A375)))"),"https://techcombank.com/thong-tin/blog/vay-ngan-hang-1-ty-moi-thang-tra-bao-nhieu
https://techcombank.com/cong-cu-tien-ich/cong-cu-tinh-toan/bang-tinh-lai-suat-vay
https://techcombank.com/thong-tin/blog/app-vay-tien-nhanh
https://techcombank.com/thong-tin"&amp;"/blog/vay-thau-chi-la-gi")</f>
        <v>https://techcombank.com/thong-tin/blog/vay-ngan-hang-1-ty-moi-thang-tra-bao-nhieu
https://techcombank.com/cong-cu-tien-ich/cong-cu-tinh-toan/bang-tinh-lai-suat-vay
https://techcombank.com/thong-tin/blog/app-vay-tien-nhanh
https://techcombank.com/thong-tin/blog/vay-thau-chi-la-gi</v>
      </c>
      <c r="D375" s="20"/>
      <c r="E375" s="20"/>
      <c r="F375" s="20"/>
      <c r="G375" s="20"/>
      <c r="H375" s="20"/>
      <c r="I375" s="20"/>
      <c r="J375" s="20"/>
      <c r="K375" s="20"/>
      <c r="L375" s="20"/>
      <c r="M375" s="20"/>
      <c r="N375" s="20"/>
      <c r="O375" s="20"/>
      <c r="P375" s="20"/>
      <c r="Q375" s="20"/>
      <c r="R375" s="20"/>
      <c r="S375" s="20"/>
      <c r="T375" s="20"/>
      <c r="U375" s="20"/>
      <c r="V375" s="20"/>
      <c r="W375" s="20"/>
      <c r="X375" s="20"/>
    </row>
    <row r="376">
      <c r="A376" s="37" t="str">
        <f>IFERROR(__xludf.DUMMYFUNCTION("""COMPUTED_VALUE"""),"https://techcombank.com/thong-tin/blog/phi-thuong-nien-la-gi")</f>
        <v>https://techcombank.com/thong-tin/blog/phi-thuong-nien-la-gi</v>
      </c>
      <c r="B376" s="28">
        <f>IFERROR(__xludf.DUMMYFUNCTION("""COMPUTED_VALUE"""),4.0)</f>
        <v>4</v>
      </c>
      <c r="C376" s="20" t="str">
        <f>IFERROR(__xludf.DUMMYFUNCTION("IF(A376="""","""",TEXTJOIN(CHAR(10),TRUE,FILTER('Tổng hợp 75 trang đích'!$B$2:$B$3400,'Tổng hợp 75 trang đích'!$I$2:$I$3400=A376)))"),"https://techcombank.com/thong-tin/blog/eco-card
https://techcombank.com/thong-tin/blog/cic-la-gi
https://techcombank.com/thong-tin/blog/cach-huy-the-tin-dung
https://techcombank.com/thong-tin/blog/vay-thau-chi-la-gi")</f>
        <v>https://techcombank.com/thong-tin/blog/eco-card
https://techcombank.com/thong-tin/blog/cic-la-gi
https://techcombank.com/thong-tin/blog/cach-huy-the-tin-dung
https://techcombank.com/thong-tin/blog/vay-thau-chi-la-gi</v>
      </c>
      <c r="D376" s="20"/>
      <c r="E376" s="20"/>
      <c r="F376" s="20"/>
      <c r="G376" s="20"/>
      <c r="H376" s="20"/>
      <c r="I376" s="20"/>
      <c r="J376" s="20"/>
      <c r="K376" s="20"/>
      <c r="L376" s="20"/>
      <c r="M376" s="20"/>
      <c r="N376" s="20"/>
      <c r="O376" s="20"/>
      <c r="P376" s="20"/>
      <c r="Q376" s="20"/>
      <c r="R376" s="20"/>
      <c r="S376" s="20"/>
      <c r="T376" s="20"/>
      <c r="U376" s="20"/>
      <c r="V376" s="20"/>
      <c r="W376" s="20"/>
      <c r="X376" s="20"/>
    </row>
    <row r="377">
      <c r="A377" s="37" t="str">
        <f>IFERROR(__xludf.DUMMYFUNCTION("""COMPUTED_VALUE"""),"https://techcombank.com/thong-tin/blog/quan-ly-tai-chinh-doanh-nghiep-la-gi")</f>
        <v>https://techcombank.com/thong-tin/blog/quan-ly-tai-chinh-doanh-nghiep-la-gi</v>
      </c>
      <c r="B377" s="28">
        <f>IFERROR(__xludf.DUMMYFUNCTION("""COMPUTED_VALUE"""),4.0)</f>
        <v>4</v>
      </c>
      <c r="C377" s="20" t="str">
        <f>IFERROR(__xludf.DUMMYFUNCTION("IF(A377="""","""",TEXTJOIN(CHAR(10),TRUE,FILTER('Tổng hợp 75 trang đích'!$B$2:$B$3400,'Tổng hợp 75 trang đích'!$I$2:$I$3400=A377)))"),"https://techcombank.com/thong-tin/blog/thue-thu-nhap-doanh-nghiep
https://techcombank.com/thong-tin/blog/tra-cuu-no-thue-doanh-nghiep
https://techcombank.com/thong-tin/blog/cach-tiet-kiem-tien
https://techcombank.com/thong-tin/blog/app-vay-tien-nhanh")</f>
        <v>https://techcombank.com/thong-tin/blog/thue-thu-nhap-doanh-nghiep
https://techcombank.com/thong-tin/blog/tra-cuu-no-thue-doanh-nghiep
https://techcombank.com/thong-tin/blog/cach-tiet-kiem-tien
https://techcombank.com/thong-tin/blog/app-vay-tien-nhanh</v>
      </c>
      <c r="D377" s="20"/>
      <c r="E377" s="20"/>
      <c r="F377" s="20"/>
      <c r="G377" s="20"/>
      <c r="H377" s="20"/>
      <c r="I377" s="20"/>
      <c r="J377" s="20"/>
      <c r="K377" s="20"/>
      <c r="L377" s="20"/>
      <c r="M377" s="20"/>
      <c r="N377" s="20"/>
      <c r="O377" s="20"/>
      <c r="P377" s="20"/>
      <c r="Q377" s="20"/>
      <c r="R377" s="20"/>
      <c r="S377" s="20"/>
      <c r="T377" s="20"/>
      <c r="U377" s="20"/>
      <c r="V377" s="20"/>
      <c r="W377" s="20"/>
      <c r="X377" s="20"/>
    </row>
    <row r="378">
      <c r="A378" s="37" t="str">
        <f>IFERROR(__xludf.DUMMYFUNCTION("""COMPUTED_VALUE"""),"https://techcombank.com/thong-tin/blog/quy-du-phong-tai-chinh-la-gi")</f>
        <v>https://techcombank.com/thong-tin/blog/quy-du-phong-tai-chinh-la-gi</v>
      </c>
      <c r="B378" s="28">
        <f>IFERROR(__xludf.DUMMYFUNCTION("""COMPUTED_VALUE"""),4.0)</f>
        <v>4</v>
      </c>
      <c r="C378" s="20" t="str">
        <f>IFERROR(__xludf.DUMMYFUNCTION("IF(A378="""","""",TEXTJOIN(CHAR(10),TRUE,FILTER('Tổng hợp 75 trang đích'!$B$2:$B$3400,'Tổng hợp 75 trang đích'!$I$2:$I$3400=A378)))"),"https://techcombank.com/thong-tin/blog/lai-suat-tiet-kiem
https://techcombank.com/thong-tin/blog/cach-tinh-lai-suat-tien-gui-tiet-kiem
https://techcombank.com/thong-tin/blog/rui-ro-khi-gui-tiet-kiem-online
https://techcombank.com/cong-cu-tien-ich/cong-cu-"&amp;"tinh-toan/bang-tinh-lai-suat-tiet-kiem")</f>
        <v>https://techcombank.com/thong-tin/blog/lai-suat-tiet-kiem
https://techcombank.com/thong-tin/blog/cach-tinh-lai-suat-tien-gui-tiet-kiem
https://techcombank.com/thong-tin/blog/rui-ro-khi-gui-tiet-kiem-online
https://techcombank.com/cong-cu-tien-ich/cong-cu-tinh-toan/bang-tinh-lai-suat-tiet-kiem</v>
      </c>
      <c r="D378" s="20"/>
      <c r="E378" s="20"/>
      <c r="F378" s="20"/>
      <c r="G378" s="20"/>
      <c r="H378" s="20"/>
      <c r="I378" s="20"/>
      <c r="J378" s="20"/>
      <c r="K378" s="20"/>
      <c r="L378" s="20"/>
      <c r="M378" s="20"/>
      <c r="N378" s="20"/>
      <c r="O378" s="20"/>
      <c r="P378" s="20"/>
      <c r="Q378" s="20"/>
      <c r="R378" s="20"/>
      <c r="S378" s="20"/>
      <c r="T378" s="20"/>
      <c r="U378" s="20"/>
      <c r="V378" s="20"/>
      <c r="W378" s="20"/>
      <c r="X378" s="20"/>
    </row>
    <row r="379">
      <c r="A379" s="37" t="str">
        <f>IFERROR(__xludf.DUMMYFUNCTION("""COMPUTED_VALUE"""),"https://techcombank.com/thong-tin/blog/remittance-la-gi")</f>
        <v>https://techcombank.com/thong-tin/blog/remittance-la-gi</v>
      </c>
      <c r="B379" s="28">
        <f>IFERROR(__xludf.DUMMYFUNCTION("""COMPUTED_VALUE"""),4.0)</f>
        <v>4</v>
      </c>
      <c r="C379" s="20" t="str">
        <f>IFERROR(__xludf.DUMMYFUNCTION("IF(A379="""","""",TEXTJOIN(CHAR(10),TRUE,FILTER('Tổng hợp 75 trang đích'!$B$2:$B$3400,'Tổng hợp 75 trang đích'!$I$2:$I$3400=A379)))"),"https://techcombank.com/thong-tin/blog/cach-tinh-tien-dien-sinh-hoat
https://techcombank.com/thong-tin/blog/chuyen-khoan-thanh-cong-nhung-khong-nhan-duoc-tien
https://techcombank.com/thong-tin/blog/cic-la-gi
https://techcombank.com/thong-tin/blog/cach-nha"&amp;"n-tien-tu-nuoc-ngoai-ve-viet-nam")</f>
        <v>https://techcombank.com/thong-tin/blog/cach-tinh-tien-dien-sinh-hoat
https://techcombank.com/thong-tin/blog/chuyen-khoan-thanh-cong-nhung-khong-nhan-duoc-tien
https://techcombank.com/thong-tin/blog/cic-la-gi
https://techcombank.com/thong-tin/blog/cach-nhan-tien-tu-nuoc-ngoai-ve-viet-nam</v>
      </c>
      <c r="D379" s="20"/>
      <c r="E379" s="20"/>
      <c r="F379" s="20"/>
      <c r="G379" s="20"/>
      <c r="H379" s="20"/>
      <c r="I379" s="20"/>
      <c r="J379" s="20"/>
      <c r="K379" s="20"/>
      <c r="L379" s="20"/>
      <c r="M379" s="20"/>
      <c r="N379" s="20"/>
      <c r="O379" s="20"/>
      <c r="P379" s="20"/>
      <c r="Q379" s="20"/>
      <c r="R379" s="20"/>
      <c r="S379" s="20"/>
      <c r="T379" s="20"/>
      <c r="U379" s="20"/>
      <c r="V379" s="20"/>
      <c r="W379" s="20"/>
      <c r="X379" s="20"/>
    </row>
    <row r="380">
      <c r="A380" s="37" t="str">
        <f>IFERROR(__xludf.DUMMYFUNCTION("""COMPUTED_VALUE"""),"https://techcombank.com/thong-tin/blog/rui-ro-khi-gui-tiet-kiem-online")</f>
        <v>https://techcombank.com/thong-tin/blog/rui-ro-khi-gui-tiet-kiem-online</v>
      </c>
      <c r="B380" s="28">
        <f>IFERROR(__xludf.DUMMYFUNCTION("""COMPUTED_VALUE"""),4.0)</f>
        <v>4</v>
      </c>
      <c r="C380" s="20" t="str">
        <f>IFERROR(__xludf.DUMMYFUNCTION("IF(A380="""","""",TEXTJOIN(CHAR(10),TRUE,FILTER('Tổng hợp 75 trang đích'!$B$2:$B$3400,'Tổng hợp 75 trang đích'!$I$2:$I$3400=A380)))"),"https://techcombank.com/thong-tin/blog/lai-suat-tiet-kiem
https://techcombank.com/thong-tin/blog/cach-tinh-lai-suat-tien-gui-tiet-kiem
https://techcombank.com/thong-tin/blog/so-tiet-kiem-ngan-hang
https://techcombank.com/cong-cu-tien-ich/cong-cu-tinh-toan"&amp;"/bang-tinh-lai-suat-tiet-kiem")</f>
        <v>https://techcombank.com/thong-tin/blog/lai-suat-tiet-kiem
https://techcombank.com/thong-tin/blog/cach-tinh-lai-suat-tien-gui-tiet-kiem
https://techcombank.com/thong-tin/blog/so-tiet-kiem-ngan-hang
https://techcombank.com/cong-cu-tien-ich/cong-cu-tinh-toan/bang-tinh-lai-suat-tiet-kiem</v>
      </c>
      <c r="D380" s="20"/>
      <c r="E380" s="20"/>
      <c r="F380" s="20"/>
      <c r="G380" s="20"/>
      <c r="H380" s="20"/>
      <c r="I380" s="20"/>
      <c r="J380" s="20"/>
      <c r="K380" s="20"/>
      <c r="L380" s="20"/>
      <c r="M380" s="20"/>
      <c r="N380" s="20"/>
      <c r="O380" s="20"/>
      <c r="P380" s="20"/>
      <c r="Q380" s="20"/>
      <c r="R380" s="20"/>
      <c r="S380" s="20"/>
      <c r="T380" s="20"/>
      <c r="U380" s="20"/>
      <c r="V380" s="20"/>
      <c r="W380" s="20"/>
      <c r="X380" s="20"/>
    </row>
    <row r="381">
      <c r="A381" s="37" t="str">
        <f>IFERROR(__xludf.DUMMYFUNCTION("""COMPUTED_VALUE"""),"https://techcombank.com/thong-tin/blog/rut-tien-bang-ma-qr-khac-ngan-hang-duoc-khong")</f>
        <v>https://techcombank.com/thong-tin/blog/rut-tien-bang-ma-qr-khac-ngan-hang-duoc-khong</v>
      </c>
      <c r="B381" s="28">
        <f>IFERROR(__xludf.DUMMYFUNCTION("""COMPUTED_VALUE"""),4.0)</f>
        <v>4</v>
      </c>
      <c r="C381" s="20" t="str">
        <f>IFERROR(__xludf.DUMMYFUNCTION("IF(A381="""","""",TEXTJOIN(CHAR(10),TRUE,FILTER('Tổng hợp 75 trang đích'!$B$2:$B$3400,'Tổng hợp 75 trang đích'!$I$2:$I$3400=A381)))"),"https://techcombank.com/thong-tin/blog/cach-tinh-tien-dien-sinh-hoat
https://techcombank.com/thong-tin/blog/nap-tien-vao-tai-khoan-ngan-hang
https://techcombank.com/thong-tin/blog/rut-tien-mat-tu-the-tin-dung
https://techcombank.com/thong-tin/blog/gui-ma-"&amp;"qr-ngan-hang")</f>
        <v>https://techcombank.com/thong-tin/blog/cach-tinh-tien-dien-sinh-hoat
https://techcombank.com/thong-tin/blog/nap-tien-vao-tai-khoan-ngan-hang
https://techcombank.com/thong-tin/blog/rut-tien-mat-tu-the-tin-dung
https://techcombank.com/thong-tin/blog/gui-ma-qr-ngan-hang</v>
      </c>
      <c r="D381" s="20"/>
      <c r="E381" s="20"/>
      <c r="F381" s="20"/>
      <c r="G381" s="20"/>
      <c r="H381" s="20"/>
      <c r="I381" s="20"/>
      <c r="J381" s="20"/>
      <c r="K381" s="20"/>
      <c r="L381" s="20"/>
      <c r="M381" s="20"/>
      <c r="N381" s="20"/>
      <c r="O381" s="20"/>
      <c r="P381" s="20"/>
      <c r="Q381" s="20"/>
      <c r="R381" s="20"/>
      <c r="S381" s="20"/>
      <c r="T381" s="20"/>
      <c r="U381" s="20"/>
      <c r="V381" s="20"/>
      <c r="W381" s="20"/>
      <c r="X381" s="20"/>
    </row>
    <row r="382">
      <c r="A382" s="37" t="str">
        <f>IFERROR(__xludf.DUMMYFUNCTION("""COMPUTED_VALUE"""),"https://techcombank.com/thong-tin/blog/so-du-tai-khoan-thanh-toan")</f>
        <v>https://techcombank.com/thong-tin/blog/so-du-tai-khoan-thanh-toan</v>
      </c>
      <c r="B382" s="28">
        <f>IFERROR(__xludf.DUMMYFUNCTION("""COMPUTED_VALUE"""),4.0)</f>
        <v>4</v>
      </c>
      <c r="C382" s="20" t="str">
        <f>IFERROR(__xludf.DUMMYFUNCTION("IF(A382="""","""",TEXTJOIN(CHAR(10),TRUE,FILTER('Tổng hợp 75 trang đích'!$B$2:$B$3400,'Tổng hợp 75 trang đích'!$I$2:$I$3400=A382)))"),"https://techcombank.com/thong-tin/blog/cach-tinh-tien-dien-sinh-hoat
https://techcombank.com/thong-tin/blog/cach-kiem-tra-tai-khoan-ngan-hang
https://techcombank.com/thong-tin/blog/lai-suat-tiet-kiem
https://techcombank.com/thong-tin/blog/cach-tinh-lai-su"&amp;"at-tien-gui-tiet-kiem")</f>
        <v>https://techcombank.com/thong-tin/blog/cach-tinh-tien-dien-sinh-hoat
https://techcombank.com/thong-tin/blog/cach-kiem-tra-tai-khoan-ngan-hang
https://techcombank.com/thong-tin/blog/lai-suat-tiet-kiem
https://techcombank.com/thong-tin/blog/cach-tinh-lai-suat-tien-gui-tiet-kiem</v>
      </c>
      <c r="D382" s="20"/>
      <c r="E382" s="20"/>
      <c r="F382" s="20"/>
      <c r="G382" s="20"/>
      <c r="H382" s="20"/>
      <c r="I382" s="20"/>
      <c r="J382" s="20"/>
      <c r="K382" s="20"/>
      <c r="L382" s="20"/>
      <c r="M382" s="20"/>
      <c r="N382" s="20"/>
      <c r="O382" s="20"/>
      <c r="P382" s="20"/>
      <c r="Q382" s="20"/>
      <c r="R382" s="20"/>
      <c r="S382" s="20"/>
      <c r="T382" s="20"/>
      <c r="U382" s="20"/>
      <c r="V382" s="20"/>
      <c r="W382" s="20"/>
      <c r="X382" s="20"/>
    </row>
    <row r="383">
      <c r="A383" s="37" t="str">
        <f>IFERROR(__xludf.DUMMYFUNCTION("""COMPUTED_VALUE"""),"https://techcombank.com/thong-tin/blog/so-tai-khoan-dep")</f>
        <v>https://techcombank.com/thong-tin/blog/so-tai-khoan-dep</v>
      </c>
      <c r="B383" s="28">
        <f>IFERROR(__xludf.DUMMYFUNCTION("""COMPUTED_VALUE"""),4.0)</f>
        <v>4</v>
      </c>
      <c r="C383" s="20" t="str">
        <f>IFERROR(__xludf.DUMMYFUNCTION("IF(A383="""","""",TEXTJOIN(CHAR(10),TRUE,FILTER('Tổng hợp 75 trang đích'!$B$2:$B$3400,'Tổng hợp 75 trang đích'!$I$2:$I$3400=A383)))"),"https://techcombank.com/thong-tin/blog/cach-kiem-tra-tai-khoan-ngan-hang
https://techcombank.com/thong-tin/blog/mo-tai-khoan-ngan-hang-duoi-18-tuoi
https://techcombank.com/thong-tin/blog/day-so-phat-tai-phat-loc
https://techcombank.com/thong-tin/blog/cach"&amp;"-tiet-kiem-tien")</f>
        <v>https://techcombank.com/thong-tin/blog/cach-kiem-tra-tai-khoan-ngan-hang
https://techcombank.com/thong-tin/blog/mo-tai-khoan-ngan-hang-duoi-18-tuoi
https://techcombank.com/thong-tin/blog/day-so-phat-tai-phat-loc
https://techcombank.com/thong-tin/blog/cach-tiet-kiem-tien</v>
      </c>
      <c r="D383" s="20"/>
      <c r="E383" s="20"/>
      <c r="F383" s="20"/>
      <c r="G383" s="20"/>
      <c r="H383" s="20"/>
      <c r="I383" s="20"/>
      <c r="J383" s="20"/>
      <c r="K383" s="20"/>
      <c r="L383" s="20"/>
      <c r="M383" s="20"/>
      <c r="N383" s="20"/>
      <c r="O383" s="20"/>
      <c r="P383" s="20"/>
      <c r="Q383" s="20"/>
      <c r="R383" s="20"/>
      <c r="S383" s="20"/>
      <c r="T383" s="20"/>
      <c r="U383" s="20"/>
      <c r="V383" s="20"/>
      <c r="W383" s="20"/>
      <c r="X383" s="20"/>
    </row>
    <row r="384">
      <c r="A384" s="37" t="str">
        <f>IFERROR(__xludf.DUMMYFUNCTION("""COMPUTED_VALUE"""),"https://techcombank.com/thong-tin/blog/softpos")</f>
        <v>https://techcombank.com/thong-tin/blog/softpos</v>
      </c>
      <c r="B384" s="28">
        <f>IFERROR(__xludf.DUMMYFUNCTION("""COMPUTED_VALUE"""),4.0)</f>
        <v>4</v>
      </c>
      <c r="C384" s="20" t="str">
        <f>IFERROR(__xludf.DUMMYFUNCTION("IF(A384="""","""",TEXTJOIN(CHAR(10),TRUE,FILTER('Tổng hợp 75 trang đích'!$B$2:$B$3400,'Tổng hợp 75 trang đích'!$I$2:$I$3400=A384)))"),"https://techcombank.com/thong-tin/blog/ten-dang-nhap-tai-khoan-ngan-hang-la-gi
https://techcombank.com/thong-tin/blog/rut-tien-bang-ma-qr-la-gi-cach-thuc-hien-nhu-the-nao
https://techcombank.com/thong-tin/blog/cic-la-gi
https://techcombank.com/thong-tin/b"&amp;"log/mo-hinh-kinh-doanh-la-gi")</f>
        <v>https://techcombank.com/thong-tin/blog/ten-dang-nhap-tai-khoan-ngan-hang-la-gi
https://techcombank.com/thong-tin/blog/rut-tien-bang-ma-qr-la-gi-cach-thuc-hien-nhu-the-nao
https://techcombank.com/thong-tin/blog/cic-la-gi
https://techcombank.com/thong-tin/blog/mo-hinh-kinh-doanh-la-gi</v>
      </c>
      <c r="D384" s="20"/>
      <c r="E384" s="20"/>
      <c r="F384" s="20"/>
      <c r="G384" s="20"/>
      <c r="H384" s="20"/>
      <c r="I384" s="20"/>
      <c r="J384" s="20"/>
      <c r="K384" s="20"/>
      <c r="L384" s="20"/>
      <c r="M384" s="20"/>
      <c r="N384" s="20"/>
      <c r="O384" s="20"/>
      <c r="P384" s="20"/>
      <c r="Q384" s="20"/>
      <c r="R384" s="20"/>
      <c r="S384" s="20"/>
      <c r="T384" s="20"/>
      <c r="U384" s="20"/>
      <c r="V384" s="20"/>
      <c r="W384" s="20"/>
      <c r="X384" s="20"/>
    </row>
    <row r="385">
      <c r="A385" s="37" t="str">
        <f>IFERROR(__xludf.DUMMYFUNCTION("""COMPUTED_VALUE"""),"https://techcombank.com/thong-tin/blog/spaylater")</f>
        <v>https://techcombank.com/thong-tin/blog/spaylater</v>
      </c>
      <c r="B385" s="28">
        <f>IFERROR(__xludf.DUMMYFUNCTION("""COMPUTED_VALUE"""),4.0)</f>
        <v>4</v>
      </c>
      <c r="C385" s="20" t="str">
        <f>IFERROR(__xludf.DUMMYFUNCTION("IF(A385="""","""",TEXTJOIN(CHAR(10),TRUE,FILTER('Tổng hợp 75 trang đích'!$B$2:$B$3400,'Tổng hợp 75 trang đích'!$I$2:$I$3400=A385)))"),"https://techcombank.com/thong-tin/blog/cach-quet-nfc-cccd-tren-iphone
https://techcombank.com/thong-tin/blog/cic-la-gi
https://techcombank.com/thong-tin/blog/xep-hang-tin-dung
https://techcombank.com/thong-tin/blog/app-vay-tien-nhanh")</f>
        <v>https://techcombank.com/thong-tin/blog/cach-quet-nfc-cccd-tren-iphone
https://techcombank.com/thong-tin/blog/cic-la-gi
https://techcombank.com/thong-tin/blog/xep-hang-tin-dung
https://techcombank.com/thong-tin/blog/app-vay-tien-nhanh</v>
      </c>
      <c r="D385" s="20"/>
      <c r="E385" s="20"/>
      <c r="F385" s="20"/>
      <c r="G385" s="20"/>
      <c r="H385" s="20"/>
      <c r="I385" s="20"/>
      <c r="J385" s="20"/>
      <c r="K385" s="20"/>
      <c r="L385" s="20"/>
      <c r="M385" s="20"/>
      <c r="N385" s="20"/>
      <c r="O385" s="20"/>
      <c r="P385" s="20"/>
      <c r="Q385" s="20"/>
      <c r="R385" s="20"/>
      <c r="S385" s="20"/>
      <c r="T385" s="20"/>
      <c r="U385" s="20"/>
      <c r="V385" s="20"/>
      <c r="W385" s="20"/>
      <c r="X385" s="20"/>
    </row>
    <row r="386">
      <c r="A386" s="37" t="str">
        <f>IFERROR(__xludf.DUMMYFUNCTION("""COMPUTED_VALUE"""),"https://techcombank.com/thong-tin/blog/tai-khoan-ngan-hang-bi-khoa")</f>
        <v>https://techcombank.com/thong-tin/blog/tai-khoan-ngan-hang-bi-khoa</v>
      </c>
      <c r="B386" s="28">
        <f>IFERROR(__xludf.DUMMYFUNCTION("""COMPUTED_VALUE"""),4.0)</f>
        <v>4</v>
      </c>
      <c r="C386" s="20" t="str">
        <f>IFERROR(__xludf.DUMMYFUNCTION("IF(A386="""","""",TEXTJOIN(CHAR(10),TRUE,FILTER('Tổng hợp 75 trang đích'!$B$2:$B$3400,'Tổng hợp 75 trang đích'!$I$2:$I$3400=A386)))"),"https://techcombank.com/thong-tin/blog/chuyen-khoan-thanh-cong-nhung-khong-nhan-duoc-tien
https://techcombank.com/thong-tin/blog/day-so-phat-tai-phat-loc
https://techcombank.com/thong-tin/blog/ten-dang-nhap-tai-khoan-ngan-hang-la-gi
https://techcombank.co"&amp;"m/thong-tin/blog/cic-la-gi")</f>
        <v>https://techcombank.com/thong-tin/blog/chuyen-khoan-thanh-cong-nhung-khong-nhan-duoc-tien
https://techcombank.com/thong-tin/blog/day-so-phat-tai-phat-loc
https://techcombank.com/thong-tin/blog/ten-dang-nhap-tai-khoan-ngan-hang-la-gi
https://techcombank.com/thong-tin/blog/cic-la-gi</v>
      </c>
      <c r="D386" s="20"/>
      <c r="E386" s="20"/>
      <c r="F386" s="20"/>
      <c r="G386" s="20"/>
      <c r="H386" s="20"/>
      <c r="I386" s="20"/>
      <c r="J386" s="20"/>
      <c r="K386" s="20"/>
      <c r="L386" s="20"/>
      <c r="M386" s="20"/>
      <c r="N386" s="20"/>
      <c r="O386" s="20"/>
      <c r="P386" s="20"/>
      <c r="Q386" s="20"/>
      <c r="R386" s="20"/>
      <c r="S386" s="20"/>
      <c r="T386" s="20"/>
      <c r="U386" s="20"/>
      <c r="V386" s="20"/>
      <c r="W386" s="20"/>
      <c r="X386" s="20"/>
    </row>
    <row r="387">
      <c r="A387" s="37" t="str">
        <f>IFERROR(__xludf.DUMMYFUNCTION("""COMPUTED_VALUE"""),"https://techcombank.com/thong-tin/blog/tai-khoan-ngan-hang-con-0-dong-co-sao-khong")</f>
        <v>https://techcombank.com/thong-tin/blog/tai-khoan-ngan-hang-con-0-dong-co-sao-khong</v>
      </c>
      <c r="B387" s="28">
        <f>IFERROR(__xludf.DUMMYFUNCTION("""COMPUTED_VALUE"""),4.0)</f>
        <v>4</v>
      </c>
      <c r="C387" s="20" t="str">
        <f>IFERROR(__xludf.DUMMYFUNCTION("IF(A387="""","""",TEXTJOIN(CHAR(10),TRUE,FILTER('Tổng hợp 75 trang đích'!$B$2:$B$3400,'Tổng hợp 75 trang đích'!$I$2:$I$3400=A387)))"),"https://techcombank.com/thong-tin/blog/chuyen-khoan-thanh-cong-nhung-khong-nhan-duoc-tien
https://techcombank.com/thong-tin/blog/bao-nhieu-tuoi-duoc-mo-tai-khoan-ngan-hang
https://techcombank.com/thong-tin/blog/mo-tai-khoan-ngan-hang-duoi-18-tuoi
https://"&amp;"techcombank.com/thong-tin/blog/nap-tien-vao-tai-khoan-ngan-hang")</f>
        <v>https://techcombank.com/thong-tin/blog/chuyen-khoan-thanh-cong-nhung-khong-nhan-duoc-tien
https://techcombank.com/thong-tin/blog/bao-nhieu-tuoi-duoc-mo-tai-khoan-ngan-hang
https://techcombank.com/thong-tin/blog/mo-tai-khoan-ngan-hang-duoi-18-tuoi
https://techcombank.com/thong-tin/blog/nap-tien-vao-tai-khoan-ngan-hang</v>
      </c>
      <c r="D387" s="20"/>
      <c r="E387" s="20"/>
      <c r="F387" s="20"/>
      <c r="G387" s="20"/>
      <c r="H387" s="20"/>
      <c r="I387" s="20"/>
      <c r="J387" s="20"/>
      <c r="K387" s="20"/>
      <c r="L387" s="20"/>
      <c r="M387" s="20"/>
      <c r="N387" s="20"/>
      <c r="O387" s="20"/>
      <c r="P387" s="20"/>
      <c r="Q387" s="20"/>
      <c r="R387" s="20"/>
      <c r="S387" s="20"/>
      <c r="T387" s="20"/>
      <c r="U387" s="20"/>
      <c r="V387" s="20"/>
      <c r="W387" s="20"/>
      <c r="X387" s="20"/>
    </row>
    <row r="388">
      <c r="A388" s="37" t="str">
        <f>IFERROR(__xludf.DUMMYFUNCTION("""COMPUTED_VALUE"""),"https://techcombank.com/thong-tin/blog/thanh-lap-ho-kinh-doanh-ca-the")</f>
        <v>https://techcombank.com/thong-tin/blog/thanh-lap-ho-kinh-doanh-ca-the</v>
      </c>
      <c r="B388" s="28">
        <f>IFERROR(__xludf.DUMMYFUNCTION("""COMPUTED_VALUE"""),4.0)</f>
        <v>4</v>
      </c>
      <c r="C388" s="20" t="str">
        <f>IFERROR(__xludf.DUMMYFUNCTION("IF(A388="""","""",TEXTJOIN(CHAR(10),TRUE,FILTER('Tổng hợp 75 trang đích'!$B$2:$B$3400,'Tổng hợp 75 trang đích'!$I$2:$I$3400=A388)))"),"https://techcombank.com/thong-tin/blog/nop-thue-dat-qua-ngan-hang
https://techcombank.com/thong-tin/blog/ho-kinh-doanh-dong-thue-nhu-nao
https://techcombank.com/thong-tin/blog/mo-tai-khoan-ho-kinh-doanh
https://techcombank.com/thong-tin/blog/cach-tinh-thu"&amp;"e-ho-kinh-doanh-nho-le")</f>
        <v>https://techcombank.com/thong-tin/blog/nop-thue-dat-qua-ngan-hang
https://techcombank.com/thong-tin/blog/ho-kinh-doanh-dong-thue-nhu-nao
https://techcombank.com/thong-tin/blog/mo-tai-khoan-ho-kinh-doanh
https://techcombank.com/thong-tin/blog/cach-tinh-thue-ho-kinh-doanh-nho-le</v>
      </c>
      <c r="D388" s="20"/>
      <c r="E388" s="20"/>
      <c r="F388" s="20"/>
      <c r="G388" s="20"/>
      <c r="H388" s="20"/>
      <c r="I388" s="20"/>
      <c r="J388" s="20"/>
      <c r="K388" s="20"/>
      <c r="L388" s="20"/>
      <c r="M388" s="20"/>
      <c r="N388" s="20"/>
      <c r="O388" s="20"/>
      <c r="P388" s="20"/>
      <c r="Q388" s="20"/>
      <c r="R388" s="20"/>
      <c r="S388" s="20"/>
      <c r="T388" s="20"/>
      <c r="U388" s="20"/>
      <c r="V388" s="20"/>
      <c r="W388" s="20"/>
      <c r="X388" s="20"/>
    </row>
    <row r="389">
      <c r="A389" s="37" t="str">
        <f>IFERROR(__xludf.DUMMYFUNCTION("""COMPUTED_VALUE"""),"https://techcombank.com/thong-tin/blog/thanh-toan-khoan-vay")</f>
        <v>https://techcombank.com/thong-tin/blog/thanh-toan-khoan-vay</v>
      </c>
      <c r="B389" s="28">
        <f>IFERROR(__xludf.DUMMYFUNCTION("""COMPUTED_VALUE"""),4.0)</f>
        <v>4</v>
      </c>
      <c r="C389" s="20" t="str">
        <f>IFERROR(__xludf.DUMMYFUNCTION("IF(A389="""","""",TEXTJOIN(CHAR(10),TRUE,FILTER('Tổng hợp 75 trang đích'!$B$2:$B$3400,'Tổng hợp 75 trang đích'!$I$2:$I$3400=A389)))"),"https://techcombank.com/thong-tin/blog/xep-hang-tin-dung
https://techcombank.com/cong-cu-tien-ich/cong-cu-tinh-toan/bang-tinh-lai-suat-vay
https://techcombank.com/thong-tin/blog/app-vay-tien-nhanh
https://techcombank.com/thong-tin/blog/lai-suat-vay-ngan-h"&amp;"ang")</f>
        <v>https://techcombank.com/thong-tin/blog/xep-hang-tin-dung
https://techcombank.com/cong-cu-tien-ich/cong-cu-tinh-toan/bang-tinh-lai-suat-vay
https://techcombank.com/thong-tin/blog/app-vay-tien-nhanh
https://techcombank.com/thong-tin/blog/lai-suat-vay-ngan-hang</v>
      </c>
      <c r="D389" s="20"/>
      <c r="E389" s="20"/>
      <c r="F389" s="20"/>
      <c r="G389" s="20"/>
      <c r="H389" s="20"/>
      <c r="I389" s="20"/>
      <c r="J389" s="20"/>
      <c r="K389" s="20"/>
      <c r="L389" s="20"/>
      <c r="M389" s="20"/>
      <c r="N389" s="20"/>
      <c r="O389" s="20"/>
      <c r="P389" s="20"/>
      <c r="Q389" s="20"/>
      <c r="R389" s="20"/>
      <c r="S389" s="20"/>
      <c r="T389" s="20"/>
      <c r="U389" s="20"/>
      <c r="V389" s="20"/>
      <c r="W389" s="20"/>
      <c r="X389" s="20"/>
    </row>
    <row r="390">
      <c r="A390" s="37" t="str">
        <f>IFERROR(__xludf.DUMMYFUNCTION("""COMPUTED_VALUE"""),"https://techcombank.com/thong-tin/blog/thanh-toan-tra-sau-viettel-bang-tai-khoan-ngan-hang")</f>
        <v>https://techcombank.com/thong-tin/blog/thanh-toan-tra-sau-viettel-bang-tai-khoan-ngan-hang</v>
      </c>
      <c r="B390" s="28">
        <f>IFERROR(__xludf.DUMMYFUNCTION("""COMPUTED_VALUE"""),4.0)</f>
        <v>4</v>
      </c>
      <c r="C390" s="20" t="str">
        <f>IFERROR(__xludf.DUMMYFUNCTION("IF(A390="""","""",TEXTJOIN(CHAR(10),TRUE,FILTER('Tổng hợp 75 trang đích'!$B$2:$B$3400,'Tổng hợp 75 trang đích'!$I$2:$I$3400=A390)))"),"https://techcombank.com/thong-tin/blog/cach-nap-the-viettel
https://techcombank.com/thong-tin/blog/cach-tinh-tien-dien-sinh-hoat
https://techcombank.com/thong-tin/blog/ten-dang-nhap-tai-khoan-ngan-hang-la-gi
https://techcombank.com/thong-tin/blog/cach-que"&amp;"t-nfc-cccd-tren-iphone")</f>
        <v>https://techcombank.com/thong-tin/blog/cach-nap-the-viettel
https://techcombank.com/thong-tin/blog/cach-tinh-tien-dien-sinh-hoat
https://techcombank.com/thong-tin/blog/ten-dang-nhap-tai-khoan-ngan-hang-la-gi
https://techcombank.com/thong-tin/blog/cach-quet-nfc-cccd-tren-iphone</v>
      </c>
      <c r="D390" s="20"/>
      <c r="E390" s="20"/>
      <c r="F390" s="20"/>
      <c r="G390" s="20"/>
      <c r="H390" s="20"/>
      <c r="I390" s="20"/>
      <c r="J390" s="20"/>
      <c r="K390" s="20"/>
      <c r="L390" s="20"/>
      <c r="M390" s="20"/>
      <c r="N390" s="20"/>
      <c r="O390" s="20"/>
      <c r="P390" s="20"/>
      <c r="Q390" s="20"/>
      <c r="R390" s="20"/>
      <c r="S390" s="20"/>
      <c r="T390" s="20"/>
      <c r="U390" s="20"/>
      <c r="V390" s="20"/>
      <c r="W390" s="20"/>
      <c r="X390" s="20"/>
    </row>
    <row r="391">
      <c r="A391" s="37" t="str">
        <f>IFERROR(__xludf.DUMMYFUNCTION("""COMPUTED_VALUE"""),"https://techcombank.com/thong-tin/blog/thanh-toan-ve-may-bay-online")</f>
        <v>https://techcombank.com/thong-tin/blog/thanh-toan-ve-may-bay-online</v>
      </c>
      <c r="B391" s="28">
        <f>IFERROR(__xludf.DUMMYFUNCTION("""COMPUTED_VALUE"""),4.0)</f>
        <v>4</v>
      </c>
      <c r="C391" s="20" t="str">
        <f>IFERROR(__xludf.DUMMYFUNCTION("IF(A391="""","""",TEXTJOIN(CHAR(10),TRUE,FILTER('Tổng hợp 75 trang đích'!$B$2:$B$3400,'Tổng hợp 75 trang đích'!$I$2:$I$3400=A391)))"),"https://techcombank.com/thong-tin/blog/ten-dang-nhap-tai-khoan-ngan-hang-la-gi
https://techcombank.com/thong-tin/blog/cic-la-gi
https://techcombank.com/thong-tin/blog/traveloka-voucher
https://techcombank.com/cong-cu-tien-ich/cong-cu-tinh-toan/bang-tinh-l"&amp;"ai-suat-tiet-kiem")</f>
        <v>https://techcombank.com/thong-tin/blog/ten-dang-nhap-tai-khoan-ngan-hang-la-gi
https://techcombank.com/thong-tin/blog/cic-la-gi
https://techcombank.com/thong-tin/blog/traveloka-voucher
https://techcombank.com/cong-cu-tien-ich/cong-cu-tinh-toan/bang-tinh-lai-suat-tiet-kiem</v>
      </c>
      <c r="D391" s="20"/>
      <c r="E391" s="20"/>
      <c r="F391" s="20"/>
      <c r="G391" s="20"/>
      <c r="H391" s="20"/>
      <c r="I391" s="20"/>
      <c r="J391" s="20"/>
      <c r="K391" s="20"/>
      <c r="L391" s="20"/>
      <c r="M391" s="20"/>
      <c r="N391" s="20"/>
      <c r="O391" s="20"/>
      <c r="P391" s="20"/>
      <c r="Q391" s="20"/>
      <c r="R391" s="20"/>
      <c r="S391" s="20"/>
      <c r="T391" s="20"/>
      <c r="U391" s="20"/>
      <c r="V391" s="20"/>
      <c r="W391" s="20"/>
      <c r="X391" s="20"/>
    </row>
    <row r="392">
      <c r="A392" s="37" t="str">
        <f>IFERROR(__xludf.DUMMYFUNCTION("""COMPUTED_VALUE"""),"https://techcombank.com/thong-tin/blog/the-ghi-no-co-chuyen-khoan-duoc-khong")</f>
        <v>https://techcombank.com/thong-tin/blog/the-ghi-no-co-chuyen-khoan-duoc-khong</v>
      </c>
      <c r="B392" s="28">
        <f>IFERROR(__xludf.DUMMYFUNCTION("""COMPUTED_VALUE"""),4.0)</f>
        <v>4</v>
      </c>
      <c r="C392" s="20" t="str">
        <f>IFERROR(__xludf.DUMMYFUNCTION("IF(A392="""","""",TEXTJOIN(CHAR(10),TRUE,FILTER('Tổng hợp 75 trang đích'!$B$2:$B$3400,'Tổng hợp 75 trang đích'!$I$2:$I$3400=A392)))"),"https://techcombank.com/thong-tin/blog/chuyen-khoan-thanh-cong-nhung-khong-nhan-duoc-tien
https://techcombank.com/thong-tin/blog/mo-tai-khoan-ngan-hang-duoi-18-tuoi
https://techcombank.com/thong-tin/blog/day-so-phat-tai-phat-loc
https://techcombank.com/th"&amp;"ong-tin/blog/cach-quet-nfc-cccd-tren-iphone")</f>
        <v>https://techcombank.com/thong-tin/blog/chuyen-khoan-thanh-cong-nhung-khong-nhan-duoc-tien
https://techcombank.com/thong-tin/blog/mo-tai-khoan-ngan-hang-duoi-18-tuoi
https://techcombank.com/thong-tin/blog/day-so-phat-tai-phat-loc
https://techcombank.com/thong-tin/blog/cach-quet-nfc-cccd-tren-iphone</v>
      </c>
      <c r="D392" s="20"/>
      <c r="E392" s="20"/>
      <c r="F392" s="20"/>
      <c r="G392" s="20"/>
      <c r="H392" s="20"/>
      <c r="I392" s="20"/>
      <c r="J392" s="20"/>
      <c r="K392" s="20"/>
      <c r="L392" s="20"/>
      <c r="M392" s="20"/>
      <c r="N392" s="20"/>
      <c r="O392" s="20"/>
      <c r="P392" s="20"/>
      <c r="Q392" s="20"/>
      <c r="R392" s="20"/>
      <c r="S392" s="20"/>
      <c r="T392" s="20"/>
      <c r="U392" s="20"/>
      <c r="V392" s="20"/>
      <c r="W392" s="20"/>
      <c r="X392" s="20"/>
    </row>
    <row r="393">
      <c r="A393" s="37" t="str">
        <f>IFERROR(__xludf.DUMMYFUNCTION("""COMPUTED_VALUE"""),"https://techcombank.com/thong-tin/blog/the-napas-la-gi")</f>
        <v>https://techcombank.com/thong-tin/blog/the-napas-la-gi</v>
      </c>
      <c r="B393" s="28">
        <f>IFERROR(__xludf.DUMMYFUNCTION("""COMPUTED_VALUE"""),4.0)</f>
        <v>4</v>
      </c>
      <c r="C393" s="20" t="str">
        <f>IFERROR(__xludf.DUMMYFUNCTION("IF(A393="""","""",TEXTJOIN(CHAR(10),TRUE,FILTER('Tổng hợp 75 trang đích'!$B$2:$B$3400,'Tổng hợp 75 trang đích'!$I$2:$I$3400=A393)))"),"https://techcombank.com/thong-tin/blog/cic-la-gi
https://techcombank.com/thong-tin/blog/lam-the-tin-dung
https://techcombank.com/thong-tin/blog/chung-chi-tien-gui-la-gi
https://techcombank.com/thong-tin/blog/rut-tien-tiet-kiem-truoc-thoi-han")</f>
        <v>https://techcombank.com/thong-tin/blog/cic-la-gi
https://techcombank.com/thong-tin/blog/lam-the-tin-dung
https://techcombank.com/thong-tin/blog/chung-chi-tien-gui-la-gi
https://techcombank.com/thong-tin/blog/rut-tien-tiet-kiem-truoc-thoi-han</v>
      </c>
      <c r="D393" s="20"/>
      <c r="E393" s="20"/>
      <c r="F393" s="20"/>
      <c r="G393" s="20"/>
      <c r="H393" s="20"/>
      <c r="I393" s="20"/>
      <c r="J393" s="20"/>
      <c r="K393" s="20"/>
      <c r="L393" s="20"/>
      <c r="M393" s="20"/>
      <c r="N393" s="20"/>
      <c r="O393" s="20"/>
      <c r="P393" s="20"/>
      <c r="Q393" s="20"/>
      <c r="R393" s="20"/>
      <c r="S393" s="20"/>
      <c r="T393" s="20"/>
      <c r="U393" s="20"/>
      <c r="V393" s="20"/>
      <c r="W393" s="20"/>
      <c r="X393" s="20"/>
    </row>
    <row r="394">
      <c r="A394" s="37" t="str">
        <f>IFERROR(__xludf.DUMMYFUNCTION("""COMPUTED_VALUE"""),"https://techcombank.com/thong-tin/blog/the-tin-dung-hoan-tien")</f>
        <v>https://techcombank.com/thong-tin/blog/the-tin-dung-hoan-tien</v>
      </c>
      <c r="B394" s="28">
        <f>IFERROR(__xludf.DUMMYFUNCTION("""COMPUTED_VALUE"""),4.0)</f>
        <v>4</v>
      </c>
      <c r="C394" s="20" t="str">
        <f>IFERROR(__xludf.DUMMYFUNCTION("IF(A394="""","""",TEXTJOIN(CHAR(10),TRUE,FILTER('Tổng hợp 75 trang đích'!$B$2:$B$3400,'Tổng hợp 75 trang đích'!$I$2:$I$3400=A394)))"),"https://techcombank.com/thong-tin/blog/eco-card
https://techcombank.com/thong-tin/blog/cic-la-gi
https://techcombank.com/thong-tin/blog/lai-suat-tiet-kiem
https://techcombank.com/thong-tin/blog/cach-tinh-lai-suat-tien-gui-tiet-kiem")</f>
        <v>https://techcombank.com/thong-tin/blog/eco-card
https://techcombank.com/thong-tin/blog/cic-la-gi
https://techcombank.com/thong-tin/blog/lai-suat-tiet-kiem
https://techcombank.com/thong-tin/blog/cach-tinh-lai-suat-tien-gui-tiet-kiem</v>
      </c>
      <c r="D394" s="20"/>
      <c r="E394" s="20"/>
      <c r="F394" s="20"/>
      <c r="G394" s="20"/>
      <c r="H394" s="20"/>
      <c r="I394" s="20"/>
      <c r="J394" s="20"/>
      <c r="K394" s="20"/>
      <c r="L394" s="20"/>
      <c r="M394" s="20"/>
      <c r="N394" s="20"/>
      <c r="O394" s="20"/>
      <c r="P394" s="20"/>
      <c r="Q394" s="20"/>
      <c r="R394" s="20"/>
      <c r="S394" s="20"/>
      <c r="T394" s="20"/>
      <c r="U394" s="20"/>
      <c r="V394" s="20"/>
      <c r="W394" s="20"/>
      <c r="X394" s="20"/>
    </row>
    <row r="395">
      <c r="A395" s="37" t="str">
        <f>IFERROR(__xludf.DUMMYFUNCTION("""COMPUTED_VALUE"""),"https://techcombank.com/thong-tin/blog/thu-tuc-chuyen-tien-ra-nuoc-ngoai")</f>
        <v>https://techcombank.com/thong-tin/blog/thu-tuc-chuyen-tien-ra-nuoc-ngoai</v>
      </c>
      <c r="B395" s="28">
        <f>IFERROR(__xludf.DUMMYFUNCTION("""COMPUTED_VALUE"""),4.0)</f>
        <v>4</v>
      </c>
      <c r="C395" s="20" t="str">
        <f>IFERROR(__xludf.DUMMYFUNCTION("IF(A395="""","""",TEXTJOIN(CHAR(10),TRUE,FILTER('Tổng hợp 75 trang đích'!$B$2:$B$3400,'Tổng hợp 75 trang đích'!$I$2:$I$3400=A395)))"),"https://techcombank.com/thong-tin/blog/cic-la-gi
https://techcombank.com/thong-tin/blog/tien-nhat
https://techcombank.com/thong-tin/blog/tien-dai-loan
https://techcombank.com/thong-tin/blog/cach-nhan-tien-tu-nuoc-ngoai-ve-viet-nam")</f>
        <v>https://techcombank.com/thong-tin/blog/cic-la-gi
https://techcombank.com/thong-tin/blog/tien-nhat
https://techcombank.com/thong-tin/blog/tien-dai-loan
https://techcombank.com/thong-tin/blog/cach-nhan-tien-tu-nuoc-ngoai-ve-viet-nam</v>
      </c>
      <c r="D395" s="20"/>
      <c r="E395" s="20"/>
      <c r="F395" s="20"/>
      <c r="G395" s="20"/>
      <c r="H395" s="20"/>
      <c r="I395" s="20"/>
      <c r="J395" s="20"/>
      <c r="K395" s="20"/>
      <c r="L395" s="20"/>
      <c r="M395" s="20"/>
      <c r="N395" s="20"/>
      <c r="O395" s="20"/>
      <c r="P395" s="20"/>
      <c r="Q395" s="20"/>
      <c r="R395" s="20"/>
      <c r="S395" s="20"/>
      <c r="T395" s="20"/>
      <c r="U395" s="20"/>
      <c r="V395" s="20"/>
      <c r="W395" s="20"/>
      <c r="X395" s="20"/>
    </row>
    <row r="396">
      <c r="A396" s="37" t="str">
        <f>IFERROR(__xludf.DUMMYFUNCTION("""COMPUTED_VALUE"""),"https://techcombank.com/thong-tin/blog/tieu-dung-ben-vung")</f>
        <v>https://techcombank.com/thong-tin/blog/tieu-dung-ben-vung</v>
      </c>
      <c r="B396" s="28">
        <f>IFERROR(__xludf.DUMMYFUNCTION("""COMPUTED_VALUE"""),4.0)</f>
        <v>4</v>
      </c>
      <c r="C396" s="20" t="str">
        <f>IFERROR(__xludf.DUMMYFUNCTION("IF(A396="""","""",TEXTJOIN(CHAR(10),TRUE,FILTER('Tổng hợp 75 trang đích'!$B$2:$B$3400,'Tổng hợp 75 trang đích'!$I$2:$I$3400=A396)))"),"https://techcombank.com/thong-tin/blog/eco-card
https://techcombank.com/thong-tin/blog/mo-hinh-kinh-doanh-la-gi
https://techcombank.com/thong-tin/blog/lai-suat-tiet-kiem
https://techcombank.com/cong-cu-tien-ich/cong-cu-tinh-toan/bang-tinh-lai-suat-vay")</f>
        <v>https://techcombank.com/thong-tin/blog/eco-card
https://techcombank.com/thong-tin/blog/mo-hinh-kinh-doanh-la-gi
https://techcombank.com/thong-tin/blog/lai-suat-tiet-kiem
https://techcombank.com/cong-cu-tien-ich/cong-cu-tinh-toan/bang-tinh-lai-suat-vay</v>
      </c>
      <c r="D396" s="20"/>
      <c r="E396" s="20"/>
      <c r="F396" s="20"/>
      <c r="G396" s="20"/>
      <c r="H396" s="20"/>
      <c r="I396" s="20"/>
      <c r="J396" s="20"/>
      <c r="K396" s="20"/>
      <c r="L396" s="20"/>
      <c r="M396" s="20"/>
      <c r="N396" s="20"/>
      <c r="O396" s="20"/>
      <c r="P396" s="20"/>
      <c r="Q396" s="20"/>
      <c r="R396" s="20"/>
      <c r="S396" s="20"/>
      <c r="T396" s="20"/>
      <c r="U396" s="20"/>
      <c r="V396" s="20"/>
      <c r="W396" s="20"/>
      <c r="X396" s="20"/>
    </row>
    <row r="397">
      <c r="A397" s="37" t="str">
        <f>IFERROR(__xludf.DUMMYFUNCTION("""COMPUTED_VALUE"""),"https://techcombank.com/thong-tin/blog/tin-dung-tieu-dung")</f>
        <v>https://techcombank.com/thong-tin/blog/tin-dung-tieu-dung</v>
      </c>
      <c r="B397" s="28">
        <f>IFERROR(__xludf.DUMMYFUNCTION("""COMPUTED_VALUE"""),4.0)</f>
        <v>4</v>
      </c>
      <c r="C397" s="20" t="str">
        <f>IFERROR(__xludf.DUMMYFUNCTION("IF(A397="""","""",TEXTJOIN(CHAR(10),TRUE,FILTER('Tổng hợp 75 trang đích'!$B$2:$B$3400,'Tổng hợp 75 trang đích'!$I$2:$I$3400=A397)))"),"https://techcombank.com/thong-tin/blog/cong-ty-su-dung-tai-khoan-ca-nhan
https://techcombank.com/thong-tin/blog/day-so-phat-tai-phat-loc
https://techcombank.com/cong-cu-tien-ich/cong-cu-tinh-toan/bang-tinh-lai-suat-vay
https://techcombank.com/thong-tin/bl"&amp;"og/app-vay-tien-nhanh")</f>
        <v>https://techcombank.com/thong-tin/blog/cong-ty-su-dung-tai-khoan-ca-nhan
https://techcombank.com/thong-tin/blog/day-so-phat-tai-phat-loc
https://techcombank.com/cong-cu-tien-ich/cong-cu-tinh-toan/bang-tinh-lai-suat-vay
https://techcombank.com/thong-tin/blog/app-vay-tien-nhanh</v>
      </c>
      <c r="D397" s="20"/>
      <c r="E397" s="20"/>
      <c r="F397" s="20"/>
      <c r="G397" s="20"/>
      <c r="H397" s="20"/>
      <c r="I397" s="20"/>
      <c r="J397" s="20"/>
      <c r="K397" s="20"/>
      <c r="L397" s="20"/>
      <c r="M397" s="20"/>
      <c r="N397" s="20"/>
      <c r="O397" s="20"/>
      <c r="P397" s="20"/>
      <c r="Q397" s="20"/>
      <c r="R397" s="20"/>
      <c r="S397" s="20"/>
      <c r="T397" s="20"/>
      <c r="U397" s="20"/>
      <c r="V397" s="20"/>
      <c r="W397" s="20"/>
      <c r="X397" s="20"/>
    </row>
    <row r="398">
      <c r="A398" s="37" t="str">
        <f>IFERROR(__xludf.DUMMYFUNCTION("""COMPUTED_VALUE"""),"https://techcombank.com/thong-tin/blog/tra-no-vay-thau-chi-nhu-the-nao")</f>
        <v>https://techcombank.com/thong-tin/blog/tra-no-vay-thau-chi-nhu-the-nao</v>
      </c>
      <c r="B398" s="28">
        <f>IFERROR(__xludf.DUMMYFUNCTION("""COMPUTED_VALUE"""),4.0)</f>
        <v>4</v>
      </c>
      <c r="C398" s="20" t="str">
        <f>IFERROR(__xludf.DUMMYFUNCTION("IF(A398="""","""",TEXTJOIN(CHAR(10),TRUE,FILTER('Tổng hợp 75 trang đích'!$B$2:$B$3400,'Tổng hợp 75 trang đích'!$I$2:$I$3400=A398)))"),"https://techcombank.com/cong-cu-tien-ich/cong-cu-tinh-toan/bang-tinh-lai-suat-vay
https://techcombank.com/thong-tin/blog/app-vay-tien-nhanh
https://techcombank.com/thong-tin/blog/lai-suat-vay-ngan-hang
https://techcombank.com/thong-tin/blog/vay-thau-chi-l"&amp;"a-gi")</f>
        <v>https://techcombank.com/cong-cu-tien-ich/cong-cu-tinh-toan/bang-tinh-lai-suat-vay
https://techcombank.com/thong-tin/blog/app-vay-tien-nhanh
https://techcombank.com/thong-tin/blog/lai-suat-vay-ngan-hang
https://techcombank.com/thong-tin/blog/vay-thau-chi-la-gi</v>
      </c>
      <c r="D398" s="20"/>
      <c r="E398" s="20"/>
      <c r="F398" s="20"/>
      <c r="G398" s="20"/>
      <c r="H398" s="20"/>
      <c r="I398" s="20"/>
      <c r="J398" s="20"/>
      <c r="K398" s="20"/>
      <c r="L398" s="20"/>
      <c r="M398" s="20"/>
      <c r="N398" s="20"/>
      <c r="O398" s="20"/>
      <c r="P398" s="20"/>
      <c r="Q398" s="20"/>
      <c r="R398" s="20"/>
      <c r="S398" s="20"/>
      <c r="T398" s="20"/>
      <c r="U398" s="20"/>
      <c r="V398" s="20"/>
      <c r="W398" s="20"/>
      <c r="X398" s="20"/>
    </row>
    <row r="399">
      <c r="A399" s="37" t="str">
        <f>IFERROR(__xludf.DUMMYFUNCTION("""COMPUTED_VALUE"""),"https://techcombank.com/thong-tin/blog/ty-gia-cac-ngan-hang")</f>
        <v>https://techcombank.com/thong-tin/blog/ty-gia-cac-ngan-hang</v>
      </c>
      <c r="B399" s="28">
        <f>IFERROR(__xludf.DUMMYFUNCTION("""COMPUTED_VALUE"""),4.0)</f>
        <v>4</v>
      </c>
      <c r="C399" s="20" t="str">
        <f>IFERROR(__xludf.DUMMYFUNCTION("IF(A399="""","""",TEXTJOIN(CHAR(10),TRUE,FILTER('Tổng hợp 75 trang đích'!$B$2:$B$3400,'Tổng hợp 75 trang đích'!$I$2:$I$3400=A399)))"),"https://techcombank.com/thong-tin/blog/ngan-hang-uy-tin
https://techcombank.com/thong-tin/blog/1-te-bang-bao-nhieu-tien-viet-nam
https://techcombank.com/thong-tin/blog/1-won-bang-bao-nhieu-tien-viet
https://techcombank.com/thong-tin/blog/tien-dai-loan")</f>
        <v>https://techcombank.com/thong-tin/blog/ngan-hang-uy-tin
https://techcombank.com/thong-tin/blog/1-te-bang-bao-nhieu-tien-viet-nam
https://techcombank.com/thong-tin/blog/1-won-bang-bao-nhieu-tien-viet
https://techcombank.com/thong-tin/blog/tien-dai-loan</v>
      </c>
      <c r="D399" s="20"/>
      <c r="E399" s="20"/>
      <c r="F399" s="20"/>
      <c r="G399" s="20"/>
      <c r="H399" s="20"/>
      <c r="I399" s="20"/>
      <c r="J399" s="20"/>
      <c r="K399" s="20"/>
      <c r="L399" s="20"/>
      <c r="M399" s="20"/>
      <c r="N399" s="20"/>
      <c r="O399" s="20"/>
      <c r="P399" s="20"/>
      <c r="Q399" s="20"/>
      <c r="R399" s="20"/>
      <c r="S399" s="20"/>
      <c r="T399" s="20"/>
      <c r="U399" s="20"/>
      <c r="V399" s="20"/>
      <c r="W399" s="20"/>
      <c r="X399" s="20"/>
    </row>
    <row r="400">
      <c r="A400" s="37" t="str">
        <f>IFERROR(__xludf.DUMMYFUNCTION("""COMPUTED_VALUE"""),"https://techcombank.com/thong-tin/blog/ty-gia-la-gi")</f>
        <v>https://techcombank.com/thong-tin/blog/ty-gia-la-gi</v>
      </c>
      <c r="B400" s="28">
        <f>IFERROR(__xludf.DUMMYFUNCTION("""COMPUTED_VALUE"""),4.0)</f>
        <v>4</v>
      </c>
      <c r="C400" s="20" t="str">
        <f>IFERROR(__xludf.DUMMYFUNCTION("IF(A400="""","""",TEXTJOIN(CHAR(10),TRUE,FILTER('Tổng hợp 75 trang đích'!$B$2:$B$3400,'Tổng hợp 75 trang đích'!$I$2:$I$3400=A400)))"),"https://techcombank.com/thong-tin/blog/ngan-hang-uy-tin
https://techcombank.com/thong-tin/blog/1-te-bang-bao-nhieu-tien-viet-nam
https://techcombank.com/thong-tin/blog/1-trieu-do-bang-bao-nhieu-tien-viet
https://techcombank.com/thong-tin/blog/lai-suat-tie"&amp;"t-kiem")</f>
        <v>https://techcombank.com/thong-tin/blog/ngan-hang-uy-tin
https://techcombank.com/thong-tin/blog/1-te-bang-bao-nhieu-tien-viet-nam
https://techcombank.com/thong-tin/blog/1-trieu-do-bang-bao-nhieu-tien-viet
https://techcombank.com/thong-tin/blog/lai-suat-tiet-kiem</v>
      </c>
      <c r="D400" s="20"/>
      <c r="E400" s="20"/>
      <c r="F400" s="20"/>
      <c r="G400" s="20"/>
      <c r="H400" s="20"/>
      <c r="I400" s="20"/>
      <c r="J400" s="20"/>
      <c r="K400" s="20"/>
      <c r="L400" s="20"/>
      <c r="M400" s="20"/>
      <c r="N400" s="20"/>
      <c r="O400" s="20"/>
      <c r="P400" s="20"/>
      <c r="Q400" s="20"/>
      <c r="R400" s="20"/>
      <c r="S400" s="20"/>
      <c r="T400" s="20"/>
      <c r="U400" s="20"/>
      <c r="V400" s="20"/>
      <c r="W400" s="20"/>
      <c r="X400" s="20"/>
    </row>
    <row r="401">
      <c r="A401" s="37" t="str">
        <f>IFERROR(__xludf.DUMMYFUNCTION("""COMPUTED_VALUE"""),"https://techcombank.com/thong-tin/blog/vay-ngan-hang-chi-can-cccd")</f>
        <v>https://techcombank.com/thong-tin/blog/vay-ngan-hang-chi-can-cccd</v>
      </c>
      <c r="B401" s="28">
        <f>IFERROR(__xludf.DUMMYFUNCTION("""COMPUTED_VALUE"""),4.0)</f>
        <v>4</v>
      </c>
      <c r="C401" s="20" t="str">
        <f>IFERROR(__xludf.DUMMYFUNCTION("IF(A401="""","""",TEXTJOIN(CHAR(10),TRUE,FILTER('Tổng hợp 75 trang đích'!$B$2:$B$3400,'Tổng hợp 75 trang đích'!$I$2:$I$3400=A401)))"),"https://techcombank.com/cong-cu-tien-ich/cong-cu-tinh-toan/bang-tinh-lai-suat-vay
https://techcombank.com/thong-tin/blog/app-vay-tien-nhanh
https://techcombank.com/thong-tin/blog/lai-suat-vay-ngan-hang
https://techcombank.com/thong-tin/blog/nen-vay-tin-ch"&amp;"ap-o-dau")</f>
        <v>https://techcombank.com/cong-cu-tien-ich/cong-cu-tinh-toan/bang-tinh-lai-suat-vay
https://techcombank.com/thong-tin/blog/app-vay-tien-nhanh
https://techcombank.com/thong-tin/blog/lai-suat-vay-ngan-hang
https://techcombank.com/thong-tin/blog/nen-vay-tin-chap-o-dau</v>
      </c>
      <c r="D401" s="20"/>
      <c r="E401" s="20"/>
      <c r="F401" s="20"/>
      <c r="G401" s="20"/>
      <c r="H401" s="20"/>
      <c r="I401" s="20"/>
      <c r="J401" s="20"/>
      <c r="K401" s="20"/>
      <c r="L401" s="20"/>
      <c r="M401" s="20"/>
      <c r="N401" s="20"/>
      <c r="O401" s="20"/>
      <c r="P401" s="20"/>
      <c r="Q401" s="20"/>
      <c r="R401" s="20"/>
      <c r="S401" s="20"/>
      <c r="T401" s="20"/>
      <c r="U401" s="20"/>
      <c r="V401" s="20"/>
      <c r="W401" s="20"/>
      <c r="X401" s="20"/>
    </row>
    <row r="402">
      <c r="A402" s="37" t="str">
        <f>IFERROR(__xludf.DUMMYFUNCTION("""COMPUTED_VALUE"""),"https://techcombank.com/thong-tin/blog/vay-tien-online")</f>
        <v>https://techcombank.com/thong-tin/blog/vay-tien-online</v>
      </c>
      <c r="B402" s="28">
        <f>IFERROR(__xludf.DUMMYFUNCTION("""COMPUTED_VALUE"""),4.0)</f>
        <v>4</v>
      </c>
      <c r="C402" s="20" t="str">
        <f>IFERROR(__xludf.DUMMYFUNCTION("IF(A402="""","""",TEXTJOIN(CHAR(10),TRUE,FILTER('Tổng hợp 75 trang đích'!$B$2:$B$3400,'Tổng hợp 75 trang đích'!$I$2:$I$3400=A402)))"),"https://techcombank.com/thong-tin/blog/cach-tinh-thue-thu-nhap-ca-nhan-2025
https://techcombank.com/thong-tin/blog/cach-sao-ke-tai-khoan-ngan-hang
https://techcombank.com/cong-cu-tien-ich/cong-cu-tinh-toan/bang-tinh-lai-suat-vay
https://techcombank.com/th"&amp;"ong-tin/blog/app-vay-tien-nhanh")</f>
        <v>https://techcombank.com/thong-tin/blog/cach-tinh-thue-thu-nhap-ca-nhan-2025
https://techcombank.com/thong-tin/blog/cach-sao-ke-tai-khoan-ngan-hang
https://techcombank.com/cong-cu-tien-ich/cong-cu-tinh-toan/bang-tinh-lai-suat-vay
https://techcombank.com/thong-tin/blog/app-vay-tien-nhanh</v>
      </c>
      <c r="D402" s="20"/>
      <c r="E402" s="20"/>
      <c r="F402" s="20"/>
      <c r="G402" s="20"/>
      <c r="H402" s="20"/>
      <c r="I402" s="20"/>
      <c r="J402" s="20"/>
      <c r="K402" s="20"/>
      <c r="L402" s="20"/>
      <c r="M402" s="20"/>
      <c r="N402" s="20"/>
      <c r="O402" s="20"/>
      <c r="P402" s="20"/>
      <c r="Q402" s="20"/>
      <c r="R402" s="20"/>
      <c r="S402" s="20"/>
      <c r="T402" s="20"/>
      <c r="U402" s="20"/>
      <c r="V402" s="20"/>
      <c r="W402" s="20"/>
      <c r="X402" s="20"/>
    </row>
    <row r="403">
      <c r="A403" s="37" t="str">
        <f>IFERROR(__xludf.DUMMYFUNCTION("""COMPUTED_VALUE"""),"https://techcombank.com/thong-tin/blog/vi-dien-tu")</f>
        <v>https://techcombank.com/thong-tin/blog/vi-dien-tu</v>
      </c>
      <c r="B403" s="28">
        <f>IFERROR(__xludf.DUMMYFUNCTION("""COMPUTED_VALUE"""),4.0)</f>
        <v>4</v>
      </c>
      <c r="C403" s="20" t="str">
        <f>IFERROR(__xludf.DUMMYFUNCTION("IF(A403="""","""",TEXTJOIN(CHAR(10),TRUE,FILTER('Tổng hợp 75 trang đích'!$B$2:$B$3400,'Tổng hợp 75 trang đích'!$I$2:$I$3400=A403)))"),"https://techcombank.com/thong-tin/blog/thue-vat-la-gi
https://techcombank.com/thong-tin/blog/rut-tien-mat-tu-the-tin-dung
https://techcombank.com/thong-tin/blog/cach-tiet-kiem-tien
https://techcombank.com/cong-cu-tien-ich/cong-cu-tinh-toan/bang-tinh-lai-s"&amp;"uat-tiet-kiem")</f>
        <v>https://techcombank.com/thong-tin/blog/thue-vat-la-gi
https://techcombank.com/thong-tin/blog/rut-tien-mat-tu-the-tin-dung
https://techcombank.com/thong-tin/blog/cach-tiet-kiem-tien
https://techcombank.com/cong-cu-tien-ich/cong-cu-tinh-toan/bang-tinh-lai-suat-tiet-kiem</v>
      </c>
      <c r="D403" s="20"/>
      <c r="E403" s="20"/>
      <c r="F403" s="20"/>
      <c r="G403" s="20"/>
      <c r="H403" s="20"/>
      <c r="I403" s="20"/>
      <c r="J403" s="20"/>
      <c r="K403" s="20"/>
      <c r="L403" s="20"/>
      <c r="M403" s="20"/>
      <c r="N403" s="20"/>
      <c r="O403" s="20"/>
      <c r="P403" s="20"/>
      <c r="Q403" s="20"/>
      <c r="R403" s="20"/>
      <c r="S403" s="20"/>
      <c r="T403" s="20"/>
      <c r="U403" s="20"/>
      <c r="V403" s="20"/>
      <c r="W403" s="20"/>
      <c r="X403" s="20"/>
    </row>
    <row r="404">
      <c r="A404" s="37" t="str">
        <f>IFERROR(__xludf.DUMMYFUNCTION("""COMPUTED_VALUE"""),"https://techcombank.com/thong-tin/blog/vnd-to-myr")</f>
        <v>https://techcombank.com/thong-tin/blog/vnd-to-myr</v>
      </c>
      <c r="B404" s="28">
        <f>IFERROR(__xludf.DUMMYFUNCTION("""COMPUTED_VALUE"""),4.0)</f>
        <v>4</v>
      </c>
      <c r="C404" s="20" t="str">
        <f>IFERROR(__xludf.DUMMYFUNCTION("IF(A404="""","""",TEXTJOIN(CHAR(10),TRUE,FILTER('Tổng hợp 75 trang đích'!$B$2:$B$3400,'Tổng hợp 75 trang đích'!$I$2:$I$3400=A404)))"),"https://techcombank.com/thong-tin/blog/tien-nhat
https://techcombank.com/thong-tin/blog/1-yen-bang-bao-nhieu-tien-viet-nam
https://techcombank.com/thong-tin/blog/doi-tien-do-o-dau
https://techcombank.com/thong-tin/blog/lai-suat-tiet-kiem")</f>
        <v>https://techcombank.com/thong-tin/blog/tien-nhat
https://techcombank.com/thong-tin/blog/1-yen-bang-bao-nhieu-tien-viet-nam
https://techcombank.com/thong-tin/blog/doi-tien-do-o-dau
https://techcombank.com/thong-tin/blog/lai-suat-tiet-kiem</v>
      </c>
      <c r="D404" s="20"/>
      <c r="E404" s="20"/>
      <c r="F404" s="20"/>
      <c r="G404" s="20"/>
      <c r="H404" s="20"/>
      <c r="I404" s="20"/>
      <c r="J404" s="20"/>
      <c r="K404" s="20"/>
      <c r="L404" s="20"/>
      <c r="M404" s="20"/>
      <c r="N404" s="20"/>
      <c r="O404" s="20"/>
      <c r="P404" s="20"/>
      <c r="Q404" s="20"/>
      <c r="R404" s="20"/>
      <c r="S404" s="20"/>
      <c r="T404" s="20"/>
      <c r="U404" s="20"/>
      <c r="V404" s="20"/>
      <c r="W404" s="20"/>
      <c r="X404" s="20"/>
    </row>
    <row r="405">
      <c r="A405" s="37" t="str">
        <f>IFERROR(__xludf.DUMMYFUNCTION("""COMPUTED_VALUE"""),"https://techcombank.com/thong-tin/blog/von-luu-dong-la-gi")</f>
        <v>https://techcombank.com/thong-tin/blog/von-luu-dong-la-gi</v>
      </c>
      <c r="B405" s="28">
        <f>IFERROR(__xludf.DUMMYFUNCTION("""COMPUTED_VALUE"""),4.0)</f>
        <v>4</v>
      </c>
      <c r="C405" s="20" t="str">
        <f>IFERROR(__xludf.DUMMYFUNCTION("IF(A405="""","""",TEXTJOIN(CHAR(10),TRUE,FILTER('Tổng hợp 75 trang đích'!$B$2:$B$3400,'Tổng hợp 75 trang đích'!$I$2:$I$3400=A405)))"),"https://techcombank.com/thong-tin/blog/nop-thue-dat-qua-ngan-hang
https://techcombank.com/thong-tin/blog/cach-tinh-tien-dien-sinh-hoat
https://techcombank.com/cong-cu-tien-ich/cong-cu-tinh-toan/bang-tinh-lai-suat-vay
https://techcombank.com/thong-tin/blog"&amp;"/app-vay-tien-nhanh")</f>
        <v>https://techcombank.com/thong-tin/blog/nop-thue-dat-qua-ngan-hang
https://techcombank.com/thong-tin/blog/cach-tinh-tien-dien-sinh-hoat
https://techcombank.com/cong-cu-tien-ich/cong-cu-tinh-toan/bang-tinh-lai-suat-vay
https://techcombank.com/thong-tin/blog/app-vay-tien-nhanh</v>
      </c>
      <c r="D405" s="20"/>
      <c r="E405" s="20"/>
      <c r="F405" s="20"/>
      <c r="G405" s="20"/>
      <c r="H405" s="20"/>
      <c r="I405" s="20"/>
      <c r="J405" s="20"/>
      <c r="K405" s="20"/>
      <c r="L405" s="20"/>
      <c r="M405" s="20"/>
      <c r="N405" s="20"/>
      <c r="O405" s="20"/>
      <c r="P405" s="20"/>
      <c r="Q405" s="20"/>
      <c r="R405" s="20"/>
      <c r="S405" s="20"/>
      <c r="T405" s="20"/>
      <c r="U405" s="20"/>
      <c r="V405" s="20"/>
      <c r="W405" s="20"/>
      <c r="X405" s="20"/>
    </row>
    <row r="406">
      <c r="A406" s="37" t="str">
        <f>IFERROR(__xludf.DUMMYFUNCTION("""COMPUTED_VALUE"""),"https://techcombank.com/thong-tin/blog/wacc-la-gi")</f>
        <v>https://techcombank.com/thong-tin/blog/wacc-la-gi</v>
      </c>
      <c r="B406" s="28">
        <f>IFERROR(__xludf.DUMMYFUNCTION("""COMPUTED_VALUE"""),4.0)</f>
        <v>4</v>
      </c>
      <c r="C406" s="20" t="str">
        <f>IFERROR(__xludf.DUMMYFUNCTION("IF(A406="""","""",TEXTJOIN(CHAR(10),TRUE,FILTER('Tổng hợp 75 trang đích'!$B$2:$B$3400,'Tổng hợp 75 trang đích'!$I$2:$I$3400=A406)))"),"https://techcombank.com/thong-tin/blog/thue-thu-nhap-doanh-nghiep
https://techcombank.com/thong-tin/blog/cach-tinh-thue-thu-nhap-doanh-nghiep
https://techcombank.com/thong-tin/blog/cic-la-gi
https://techcombank.com/thong-tin/blog/app-vay-tien-nhanh")</f>
        <v>https://techcombank.com/thong-tin/blog/thue-thu-nhap-doanh-nghiep
https://techcombank.com/thong-tin/blog/cach-tinh-thue-thu-nhap-doanh-nghiep
https://techcombank.com/thong-tin/blog/cic-la-gi
https://techcombank.com/thong-tin/blog/app-vay-tien-nhanh</v>
      </c>
      <c r="D406" s="20"/>
      <c r="E406" s="20"/>
      <c r="F406" s="20"/>
      <c r="G406" s="20"/>
      <c r="H406" s="20"/>
      <c r="I406" s="20"/>
      <c r="J406" s="20"/>
      <c r="K406" s="20"/>
      <c r="L406" s="20"/>
      <c r="M406" s="20"/>
      <c r="N406" s="20"/>
      <c r="O406" s="20"/>
      <c r="P406" s="20"/>
      <c r="Q406" s="20"/>
      <c r="R406" s="20"/>
      <c r="S406" s="20"/>
      <c r="T406" s="20"/>
      <c r="U406" s="20"/>
      <c r="V406" s="20"/>
      <c r="W406" s="20"/>
      <c r="X406" s="20"/>
    </row>
    <row r="407">
      <c r="A407" s="37" t="str">
        <f>IFERROR(__xludf.DUMMYFUNCTION("""COMPUTED_VALUE"""),"https://techcombank.com/thong-tin/blog/xac-thuc-sinh-trac-hoc-khi-chuyen-tien")</f>
        <v>https://techcombank.com/thong-tin/blog/xac-thuc-sinh-trac-hoc-khi-chuyen-tien</v>
      </c>
      <c r="B407" s="28">
        <f>IFERROR(__xludf.DUMMYFUNCTION("""COMPUTED_VALUE"""),4.0)</f>
        <v>4</v>
      </c>
      <c r="C407" s="20" t="str">
        <f>IFERROR(__xludf.DUMMYFUNCTION("IF(A407="""","""",TEXTJOIN(CHAR(10),TRUE,FILTER('Tổng hợp 75 trang đích'!$B$2:$B$3400,'Tổng hợp 75 trang đích'!$I$2:$I$3400=A407)))"),"https://techcombank.com/thong-tin/blog/cach-mo-tai-khoan
https://techcombank.com/thong-tin/blog/chuyen-khoan-thanh-cong-nhung-khong-nhan-duoc-tien
https://techcombank.com/thong-tin/blog/mo-tai-khoan-ngan-hang-duoi-18-tuoi
https://techcombank.com/thong-tin"&amp;"/blog/cach-quet-nfc-cccd-tren-iphone")</f>
        <v>https://techcombank.com/thong-tin/blog/cach-mo-tai-khoan
https://techcombank.com/thong-tin/blog/chuyen-khoan-thanh-cong-nhung-khong-nhan-duoc-tien
https://techcombank.com/thong-tin/blog/mo-tai-khoan-ngan-hang-duoi-18-tuoi
https://techcombank.com/thong-tin/blog/cach-quet-nfc-cccd-tren-iphone</v>
      </c>
      <c r="D407" s="20"/>
      <c r="E407" s="20"/>
      <c r="F407" s="20"/>
      <c r="G407" s="20"/>
      <c r="H407" s="20"/>
      <c r="I407" s="20"/>
      <c r="J407" s="20"/>
      <c r="K407" s="20"/>
      <c r="L407" s="20"/>
      <c r="M407" s="20"/>
      <c r="N407" s="20"/>
      <c r="O407" s="20"/>
      <c r="P407" s="20"/>
      <c r="Q407" s="20"/>
      <c r="R407" s="20"/>
      <c r="S407" s="20"/>
      <c r="T407" s="20"/>
      <c r="U407" s="20"/>
      <c r="V407" s="20"/>
      <c r="W407" s="20"/>
      <c r="X407" s="20"/>
    </row>
    <row r="408">
      <c r="A408" s="37" t="str">
        <f>IFERROR(__xludf.DUMMYFUNCTION("""COMPUTED_VALUE"""),"https://techcombank.com/thong-tin/blog/1-euro-bang-bao-nhieu-tien-viet")</f>
        <v>https://techcombank.com/thong-tin/blog/1-euro-bang-bao-nhieu-tien-viet</v>
      </c>
      <c r="B408" s="28">
        <f>IFERROR(__xludf.DUMMYFUNCTION("""COMPUTED_VALUE"""),3.0)</f>
        <v>3</v>
      </c>
      <c r="C408" s="20" t="str">
        <f>IFERROR(__xludf.DUMMYFUNCTION("IF(A408="""","""",TEXTJOIN(CHAR(10),TRUE,FILTER('Tổng hợp 75 trang đích'!$B$2:$B$3400,'Tổng hợp 75 trang đích'!$I$2:$I$3400=A408)))"),"https://techcombank.com/thong-tin/blog/1-man-bang-bao-nhieu-tien-viet
https://techcombank.com/thong-tin/blog/1-trieu-do-bang-bao-nhieu-tien-viet
https://techcombank.com/thong-tin/blog/cach-nhan-tien-tu-nuoc-ngoai-ve-viet-nam")</f>
        <v>https://techcombank.com/thong-tin/blog/1-man-bang-bao-nhieu-tien-viet
https://techcombank.com/thong-tin/blog/1-trieu-do-bang-bao-nhieu-tien-viet
https://techcombank.com/thong-tin/blog/cach-nhan-tien-tu-nuoc-ngoai-ve-viet-nam</v>
      </c>
      <c r="D408" s="20"/>
      <c r="E408" s="20"/>
      <c r="F408" s="20"/>
      <c r="G408" s="20"/>
      <c r="H408" s="20"/>
      <c r="I408" s="20"/>
      <c r="J408" s="20"/>
      <c r="K408" s="20"/>
      <c r="L408" s="20"/>
      <c r="M408" s="20"/>
      <c r="N408" s="20"/>
      <c r="O408" s="20"/>
      <c r="P408" s="20"/>
      <c r="Q408" s="20"/>
      <c r="R408" s="20"/>
      <c r="S408" s="20"/>
      <c r="T408" s="20"/>
      <c r="U408" s="20"/>
      <c r="V408" s="20"/>
      <c r="W408" s="20"/>
      <c r="X408" s="20"/>
    </row>
    <row r="409">
      <c r="A409" s="37" t="str">
        <f>IFERROR(__xludf.DUMMYFUNCTION("""COMPUTED_VALUE"""),"https://techcombank.com/thong-tin/blog/1-yen-bang-bao-nhieu-tien-viet-nam")</f>
        <v>https://techcombank.com/thong-tin/blog/1-yen-bang-bao-nhieu-tien-viet-nam</v>
      </c>
      <c r="B409" s="28">
        <f>IFERROR(__xludf.DUMMYFUNCTION("""COMPUTED_VALUE"""),3.0)</f>
        <v>3</v>
      </c>
      <c r="C409" s="20" t="str">
        <f>IFERROR(__xludf.DUMMYFUNCTION("IF(A409="""","""",TEXTJOIN(CHAR(10),TRUE,FILTER('Tổng hợp 75 trang đích'!$B$2:$B$3400,'Tổng hợp 75 trang đích'!$I$2:$I$3400=A409)))"),"https://techcombank.com/thong-tin/blog/cic-la-gi
https://techcombank.com/thong-tin/blog/1-man-bang-bao-nhieu-tien-viet
https://techcombank.com/thong-tin/blog/1-trieu-do-bang-bao-nhieu-tien-viet")</f>
        <v>https://techcombank.com/thong-tin/blog/cic-la-gi
https://techcombank.com/thong-tin/blog/1-man-bang-bao-nhieu-tien-viet
https://techcombank.com/thong-tin/blog/1-trieu-do-bang-bao-nhieu-tien-viet</v>
      </c>
      <c r="D409" s="20"/>
      <c r="E409" s="20"/>
      <c r="F409" s="20"/>
      <c r="G409" s="20"/>
      <c r="H409" s="20"/>
      <c r="I409" s="20"/>
      <c r="J409" s="20"/>
      <c r="K409" s="20"/>
      <c r="L409" s="20"/>
      <c r="M409" s="20"/>
      <c r="N409" s="20"/>
      <c r="O409" s="20"/>
      <c r="P409" s="20"/>
      <c r="Q409" s="20"/>
      <c r="R409" s="20"/>
      <c r="S409" s="20"/>
      <c r="T409" s="20"/>
      <c r="U409" s="20"/>
      <c r="V409" s="20"/>
      <c r="W409" s="20"/>
      <c r="X409" s="20"/>
    </row>
    <row r="410">
      <c r="A410" s="37" t="str">
        <f>IFERROR(__xludf.DUMMYFUNCTION("""COMPUTED_VALUE"""),"https://techcombank.com/thong-tin/blog/8868")</f>
        <v>https://techcombank.com/thong-tin/blog/8868</v>
      </c>
      <c r="B410" s="28">
        <f>IFERROR(__xludf.DUMMYFUNCTION("""COMPUTED_VALUE"""),3.0)</f>
        <v>3</v>
      </c>
      <c r="C410" s="20" t="str">
        <f>IFERROR(__xludf.DUMMYFUNCTION("IF(A410="""","""",TEXTJOIN(CHAR(10),TRUE,FILTER('Tổng hợp 75 trang đích'!$B$2:$B$3400,'Tổng hợp 75 trang đích'!$I$2:$I$3400=A410)))"),"https://techcombank.com/thong-tin/blog/cach-kiem-tra-tai-khoan-ngan-hang
https://techcombank.com/thong-tin/blog/mo-tai-khoan-ngan-hang-duoi-18-tuoi
https://techcombank.com/thong-tin/blog/day-so-phat-tai-phat-loc")</f>
        <v>https://techcombank.com/thong-tin/blog/cach-kiem-tra-tai-khoan-ngan-hang
https://techcombank.com/thong-tin/blog/mo-tai-khoan-ngan-hang-duoi-18-tuoi
https://techcombank.com/thong-tin/blog/day-so-phat-tai-phat-loc</v>
      </c>
      <c r="D410" s="20"/>
      <c r="E410" s="20"/>
      <c r="F410" s="20"/>
      <c r="G410" s="20"/>
      <c r="H410" s="20"/>
      <c r="I410" s="20"/>
      <c r="J410" s="20"/>
      <c r="K410" s="20"/>
      <c r="L410" s="20"/>
      <c r="M410" s="20"/>
      <c r="N410" s="20"/>
      <c r="O410" s="20"/>
      <c r="P410" s="20"/>
      <c r="Q410" s="20"/>
      <c r="R410" s="20"/>
      <c r="S410" s="20"/>
      <c r="T410" s="20"/>
      <c r="U410" s="20"/>
      <c r="V410" s="20"/>
      <c r="W410" s="20"/>
      <c r="X410" s="20"/>
    </row>
    <row r="411">
      <c r="A411" s="37" t="str">
        <f>IFERROR(__xludf.DUMMYFUNCTION("""COMPUTED_VALUE"""),"https://techcombank.com/thong-tin/blog/99999-co-y-nghia-gi")</f>
        <v>https://techcombank.com/thong-tin/blog/99999-co-y-nghia-gi</v>
      </c>
      <c r="B411" s="28">
        <f>IFERROR(__xludf.DUMMYFUNCTION("""COMPUTED_VALUE"""),3.0)</f>
        <v>3</v>
      </c>
      <c r="C411" s="20" t="str">
        <f>IFERROR(__xludf.DUMMYFUNCTION("IF(A411="""","""",TEXTJOIN(CHAR(10),TRUE,FILTER('Tổng hợp 75 trang đích'!$B$2:$B$3400,'Tổng hợp 75 trang đích'!$I$2:$I$3400=A411)))"),"https://techcombank.com/thong-tin/blog/cach-kiem-tra-tai-khoan-ngan-hang
https://techcombank.com/thong-tin/blog/day-so-phat-tai-phat-loc
https://techcombank.com/thong-tin/blog/cach-quet-nfc-cccd-tren-iphone")</f>
        <v>https://techcombank.com/thong-tin/blog/cach-kiem-tra-tai-khoan-ngan-hang
https://techcombank.com/thong-tin/blog/day-so-phat-tai-phat-loc
https://techcombank.com/thong-tin/blog/cach-quet-nfc-cccd-tren-iphone</v>
      </c>
      <c r="D411" s="20"/>
      <c r="E411" s="20"/>
      <c r="F411" s="20"/>
      <c r="G411" s="20"/>
      <c r="H411" s="20"/>
      <c r="I411" s="20"/>
      <c r="J411" s="20"/>
      <c r="K411" s="20"/>
      <c r="L411" s="20"/>
      <c r="M411" s="20"/>
      <c r="N411" s="20"/>
      <c r="O411" s="20"/>
      <c r="P411" s="20"/>
      <c r="Q411" s="20"/>
      <c r="R411" s="20"/>
      <c r="S411" s="20"/>
      <c r="T411" s="20"/>
      <c r="U411" s="20"/>
      <c r="V411" s="20"/>
      <c r="W411" s="20"/>
      <c r="X411" s="20"/>
    </row>
    <row r="412">
      <c r="A412" s="37" t="str">
        <f>IFERROR(__xludf.DUMMYFUNCTION("""COMPUTED_VALUE"""),"https://techcombank.com/thong-tin/blog/an-han-no-goc-la-gi")</f>
        <v>https://techcombank.com/thong-tin/blog/an-han-no-goc-la-gi</v>
      </c>
      <c r="B412" s="28">
        <f>IFERROR(__xludf.DUMMYFUNCTION("""COMPUTED_VALUE"""),3.0)</f>
        <v>3</v>
      </c>
      <c r="C412" s="20" t="str">
        <f>IFERROR(__xludf.DUMMYFUNCTION("IF(A412="""","""",TEXTJOIN(CHAR(10),TRUE,FILTER('Tổng hợp 75 trang đích'!$B$2:$B$3400,'Tổng hợp 75 trang đích'!$I$2:$I$3400=A412)))"),"https://techcombank.com/thong-tin/blog/cach-tinh-lai-vay-ngan-hang
https://techcombank.com/cong-cu-tien-ich/cong-cu-tinh-toan/bang-tinh-lai-suat-vay
https://techcombank.com/thong-tin/blog/app-vay-tien-nhanh")</f>
        <v>https://techcombank.com/thong-tin/blog/cach-tinh-lai-vay-ngan-hang
https://techcombank.com/cong-cu-tien-ich/cong-cu-tinh-toan/bang-tinh-lai-suat-vay
https://techcombank.com/thong-tin/blog/app-vay-tien-nhanh</v>
      </c>
      <c r="D412" s="20"/>
      <c r="E412" s="20"/>
      <c r="F412" s="20"/>
      <c r="G412" s="20"/>
      <c r="H412" s="20"/>
      <c r="I412" s="20"/>
      <c r="J412" s="20"/>
      <c r="K412" s="20"/>
      <c r="L412" s="20"/>
      <c r="M412" s="20"/>
      <c r="N412" s="20"/>
      <c r="O412" s="20"/>
      <c r="P412" s="20"/>
      <c r="Q412" s="20"/>
      <c r="R412" s="20"/>
      <c r="S412" s="20"/>
      <c r="T412" s="20"/>
      <c r="U412" s="20"/>
      <c r="V412" s="20"/>
      <c r="W412" s="20"/>
      <c r="X412" s="20"/>
    </row>
    <row r="413">
      <c r="A413" s="37" t="str">
        <f>IFERROR(__xludf.DUMMYFUNCTION("""COMPUTED_VALUE"""),"https://techcombank.com/thong-tin/blog/app-mua-truoc-tra-sau")</f>
        <v>https://techcombank.com/thong-tin/blog/app-mua-truoc-tra-sau</v>
      </c>
      <c r="B413" s="28">
        <f>IFERROR(__xludf.DUMMYFUNCTION("""COMPUTED_VALUE"""),3.0)</f>
        <v>3</v>
      </c>
      <c r="C413" s="20" t="str">
        <f>IFERROR(__xludf.DUMMYFUNCTION("IF(A413="""","""",TEXTJOIN(CHAR(10),TRUE,FILTER('Tổng hợp 75 trang đích'!$B$2:$B$3400,'Tổng hợp 75 trang đích'!$I$2:$I$3400=A413)))"),"https://techcombank.com/thong-tin/blog/cach-sao-ke-tai-khoan-ngan-hang
https://techcombank.com/thong-tin/blog/cic-la-gi
https://techcombank.com/thong-tin/blog/app-vay-tien-nhanh")</f>
        <v>https://techcombank.com/thong-tin/blog/cach-sao-ke-tai-khoan-ngan-hang
https://techcombank.com/thong-tin/blog/cic-la-gi
https://techcombank.com/thong-tin/blog/app-vay-tien-nhanh</v>
      </c>
      <c r="D413" s="20"/>
      <c r="E413" s="20"/>
      <c r="F413" s="20"/>
      <c r="G413" s="20"/>
      <c r="H413" s="20"/>
      <c r="I413" s="20"/>
      <c r="J413" s="20"/>
      <c r="K413" s="20"/>
      <c r="L413" s="20"/>
      <c r="M413" s="20"/>
      <c r="N413" s="20"/>
      <c r="O413" s="20"/>
      <c r="P413" s="20"/>
      <c r="Q413" s="20"/>
      <c r="R413" s="20"/>
      <c r="S413" s="20"/>
      <c r="T413" s="20"/>
      <c r="U413" s="20"/>
      <c r="V413" s="20"/>
      <c r="W413" s="20"/>
      <c r="X413" s="20"/>
    </row>
    <row r="414">
      <c r="A414" s="37" t="str">
        <f>IFERROR(__xludf.DUMMYFUNCTION("""COMPUTED_VALUE"""),"https://techcombank.com/thong-tin/blog/bao-hiem-suc-khoe-la-gi")</f>
        <v>https://techcombank.com/thong-tin/blog/bao-hiem-suc-khoe-la-gi</v>
      </c>
      <c r="B414" s="28">
        <f>IFERROR(__xludf.DUMMYFUNCTION("""COMPUTED_VALUE"""),3.0)</f>
        <v>3</v>
      </c>
      <c r="C414" s="20" t="str">
        <f>IFERROR(__xludf.DUMMYFUNCTION("IF(A414="""","""",TEXTJOIN(CHAR(10),TRUE,FILTER('Tổng hợp 75 trang đích'!$B$2:$B$3400,'Tổng hợp 75 trang đích'!$I$2:$I$3400=A414)))"),"https://techcombank.com/thong-tin/blog/cic-la-gi
https://techcombank.com/thong-tin/blog/doi-tien-do-o-dau
https://techcombank.com/thong-tin/blog/nen-vay-tin-chap-o-dau")</f>
        <v>https://techcombank.com/thong-tin/blog/cic-la-gi
https://techcombank.com/thong-tin/blog/doi-tien-do-o-dau
https://techcombank.com/thong-tin/blog/nen-vay-tin-chap-o-dau</v>
      </c>
      <c r="D414" s="20"/>
      <c r="E414" s="20"/>
      <c r="F414" s="20"/>
      <c r="G414" s="20"/>
      <c r="H414" s="20"/>
      <c r="I414" s="20"/>
      <c r="J414" s="20"/>
      <c r="K414" s="20"/>
      <c r="L414" s="20"/>
      <c r="M414" s="20"/>
      <c r="N414" s="20"/>
      <c r="O414" s="20"/>
      <c r="P414" s="20"/>
      <c r="Q414" s="20"/>
      <c r="R414" s="20"/>
      <c r="S414" s="20"/>
      <c r="T414" s="20"/>
      <c r="U414" s="20"/>
      <c r="V414" s="20"/>
      <c r="W414" s="20"/>
      <c r="X414" s="20"/>
    </row>
    <row r="415">
      <c r="A415" s="37" t="str">
        <f>IFERROR(__xludf.DUMMYFUNCTION("""COMPUTED_VALUE"""),"https://techcombank.com/thong-tin/blog/barcode-la-gi")</f>
        <v>https://techcombank.com/thong-tin/blog/barcode-la-gi</v>
      </c>
      <c r="B415" s="28">
        <f>IFERROR(__xludf.DUMMYFUNCTION("""COMPUTED_VALUE"""),3.0)</f>
        <v>3</v>
      </c>
      <c r="C415" s="20" t="str">
        <f>IFERROR(__xludf.DUMMYFUNCTION("IF(A415="""","""",TEXTJOIN(CHAR(10),TRUE,FILTER('Tổng hợp 75 trang đích'!$B$2:$B$3400,'Tổng hợp 75 trang đích'!$I$2:$I$3400=A415)))"),"https://techcombank.com/thong-tin/blog/ho-kinh-doanh-dong-thue-nhu-nao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415" s="20"/>
      <c r="E415" s="20"/>
      <c r="F415" s="20"/>
      <c r="G415" s="20"/>
      <c r="H415" s="20"/>
      <c r="I415" s="20"/>
      <c r="J415" s="20"/>
      <c r="K415" s="20"/>
      <c r="L415" s="20"/>
      <c r="M415" s="20"/>
      <c r="N415" s="20"/>
      <c r="O415" s="20"/>
      <c r="P415" s="20"/>
      <c r="Q415" s="20"/>
      <c r="R415" s="20"/>
      <c r="S415" s="20"/>
      <c r="T415" s="20"/>
      <c r="U415" s="20"/>
      <c r="V415" s="20"/>
      <c r="W415" s="20"/>
      <c r="X415" s="20"/>
    </row>
    <row r="416">
      <c r="A416" s="37" t="str">
        <f>IFERROR(__xludf.DUMMYFUNCTION("""COMPUTED_VALUE"""),"https://techcombank.com/thong-tin/blog/cach-khoa-the-ngan-hang")</f>
        <v>https://techcombank.com/thong-tin/blog/cach-khoa-the-ngan-hang</v>
      </c>
      <c r="B416" s="28">
        <f>IFERROR(__xludf.DUMMYFUNCTION("""COMPUTED_VALUE"""),3.0)</f>
        <v>3</v>
      </c>
      <c r="C416" s="20" t="str">
        <f>IFERROR(__xludf.DUMMYFUNCTION("IF(A416="""","""",TEXTJOIN(CHAR(10),TRUE,FILTER('Tổng hợp 75 trang đích'!$B$2:$B$3400,'Tổng hợp 75 trang đích'!$I$2:$I$3400=A416)))"),"https://techcombank.com/thong-tin/blog/ten-dang-nhap-tai-khoan-ngan-hang-la-gi
https://techcombank.com/thong-tin/blog/cach-quet-nfc-cccd-tren-iphone
https://techcombank.com/thong-tin/blog/cach-huy-the-tin-dung")</f>
        <v>https://techcombank.com/thong-tin/blog/ten-dang-nhap-tai-khoan-ngan-hang-la-gi
https://techcombank.com/thong-tin/blog/cach-quet-nfc-cccd-tren-iphone
https://techcombank.com/thong-tin/blog/cach-huy-the-tin-dung</v>
      </c>
      <c r="D416" s="20"/>
      <c r="E416" s="20"/>
      <c r="F416" s="20"/>
      <c r="G416" s="20"/>
      <c r="H416" s="20"/>
      <c r="I416" s="20"/>
      <c r="J416" s="20"/>
      <c r="K416" s="20"/>
      <c r="L416" s="20"/>
      <c r="M416" s="20"/>
      <c r="N416" s="20"/>
      <c r="O416" s="20"/>
      <c r="P416" s="20"/>
      <c r="Q416" s="20"/>
      <c r="R416" s="20"/>
      <c r="S416" s="20"/>
      <c r="T416" s="20"/>
      <c r="U416" s="20"/>
      <c r="V416" s="20"/>
      <c r="W416" s="20"/>
      <c r="X416" s="20"/>
    </row>
    <row r="417">
      <c r="A417" s="37" t="str">
        <f>IFERROR(__xludf.DUMMYFUNCTION("""COMPUTED_VALUE"""),"https://techcombank.com/thong-tin/blog/cach-kiem-tra-tai-khoan-ngan-hang")</f>
        <v>https://techcombank.com/thong-tin/blog/cach-kiem-tra-tai-khoan-ngan-hang</v>
      </c>
      <c r="B417" s="28">
        <f>IFERROR(__xludf.DUMMYFUNCTION("""COMPUTED_VALUE"""),3.0)</f>
        <v>3</v>
      </c>
      <c r="C417" s="20" t="str">
        <f>IFERROR(__xludf.DUMMYFUNCTION("IF(A417="""","""",TEXTJOIN(CHAR(10),TRUE,FILTER('Tổng hợp 75 trang đích'!$B$2:$B$3400,'Tổng hợp 75 trang đích'!$I$2:$I$3400=A417)))"),"https://techcombank.com/thong-tin/blog/day-so-phat-tai-phat-loc
https://techcombank.com/thong-tin/blog/cach-quet-nfc-cccd-tren-iphone
https://techcombank.com/thong-tin/blog/cic-la-gi")</f>
        <v>https://techcombank.com/thong-tin/blog/day-so-phat-tai-phat-loc
https://techcombank.com/thong-tin/blog/cach-quet-nfc-cccd-tren-iphone
https://techcombank.com/thong-tin/blog/cic-la-gi</v>
      </c>
      <c r="D417" s="20"/>
      <c r="E417" s="20"/>
      <c r="F417" s="20"/>
      <c r="G417" s="20"/>
      <c r="H417" s="20"/>
      <c r="I417" s="20"/>
      <c r="J417" s="20"/>
      <c r="K417" s="20"/>
      <c r="L417" s="20"/>
      <c r="M417" s="20"/>
      <c r="N417" s="20"/>
      <c r="O417" s="20"/>
      <c r="P417" s="20"/>
      <c r="Q417" s="20"/>
      <c r="R417" s="20"/>
      <c r="S417" s="20"/>
      <c r="T417" s="20"/>
      <c r="U417" s="20"/>
      <c r="V417" s="20"/>
      <c r="W417" s="20"/>
      <c r="X417" s="20"/>
    </row>
    <row r="418">
      <c r="A418" s="37" t="str">
        <f>IFERROR(__xludf.DUMMYFUNCTION("""COMPUTED_VALUE"""),"https://techcombank.com/thong-tin/blog/cach-lay-lai-tien-da-chuyen-khoan-khi-bi-lua")</f>
        <v>https://techcombank.com/thong-tin/blog/cach-lay-lai-tien-da-chuyen-khoan-khi-bi-lua</v>
      </c>
      <c r="B418" s="28">
        <f>IFERROR(__xludf.DUMMYFUNCTION("""COMPUTED_VALUE"""),3.0)</f>
        <v>3</v>
      </c>
      <c r="C418" s="20" t="str">
        <f>IFERROR(__xludf.DUMMYFUNCTION("IF(A418="""","""",TEXTJOIN(CHAR(10),TRUE,FILTER('Tổng hợp 75 trang đích'!$B$2:$B$3400,'Tổng hợp 75 trang đích'!$I$2:$I$3400=A418)))"),"https://techcombank.com/thong-tin/blog/cach-tinh-tien-dien-sinh-hoat
https://techcombank.com/thong-tin/blog/cach-kiem-tra-tai-khoan-ngan-hang
https://techcombank.com/thong-tin/blog/chuyen-khoan-thanh-cong-nhung-khong-nhan-duoc-tien")</f>
        <v>https://techcombank.com/thong-tin/blog/cach-tinh-tien-dien-sinh-hoat
https://techcombank.com/thong-tin/blog/cach-kiem-tra-tai-khoan-ngan-hang
https://techcombank.com/thong-tin/blog/chuyen-khoan-thanh-cong-nhung-khong-nhan-duoc-tien</v>
      </c>
      <c r="D418" s="20"/>
      <c r="E418" s="20"/>
      <c r="F418" s="20"/>
      <c r="G418" s="20"/>
      <c r="H418" s="20"/>
      <c r="I418" s="20"/>
      <c r="J418" s="20"/>
      <c r="K418" s="20"/>
      <c r="L418" s="20"/>
      <c r="M418" s="20"/>
      <c r="N418" s="20"/>
      <c r="O418" s="20"/>
      <c r="P418" s="20"/>
      <c r="Q418" s="20"/>
      <c r="R418" s="20"/>
      <c r="S418" s="20"/>
      <c r="T418" s="20"/>
      <c r="U418" s="20"/>
      <c r="V418" s="20"/>
      <c r="W418" s="20"/>
      <c r="X418" s="20"/>
    </row>
    <row r="419">
      <c r="A419" s="37" t="str">
        <f>IFERROR(__xludf.DUMMYFUNCTION("""COMPUTED_VALUE"""),"https://techcombank.com/thong-tin/blog/cach-mo-tai-khoan")</f>
        <v>https://techcombank.com/thong-tin/blog/cach-mo-tai-khoan</v>
      </c>
      <c r="B419" s="28">
        <f>IFERROR(__xludf.DUMMYFUNCTION("""COMPUTED_VALUE"""),3.0)</f>
        <v>3</v>
      </c>
      <c r="C419" s="20" t="str">
        <f>IFERROR(__xludf.DUMMYFUNCTION("IF(A419="""","""",TEXTJOIN(CHAR(10),TRUE,FILTER('Tổng hợp 75 trang đích'!$B$2:$B$3400,'Tổng hợp 75 trang đích'!$I$2:$I$3400=A419)))"),"https://techcombank.com/thong-tin/blog/ten-dang-nhap-tai-khoan-ngan-hang-la-gi
https://techcombank.com/thong-tin/blog/cach-quet-nfc-cccd-tren-iphone
https://techcombank.com/thong-tin/blog/cic-la-gi")</f>
        <v>https://techcombank.com/thong-tin/blog/ten-dang-nhap-tai-khoan-ngan-hang-la-gi
https://techcombank.com/thong-tin/blog/cach-quet-nfc-cccd-tren-iphone
https://techcombank.com/thong-tin/blog/cic-la-gi</v>
      </c>
      <c r="D419" s="20"/>
      <c r="E419" s="20"/>
      <c r="F419" s="20"/>
      <c r="G419" s="20"/>
      <c r="H419" s="20"/>
      <c r="I419" s="20"/>
      <c r="J419" s="20"/>
      <c r="K419" s="20"/>
      <c r="L419" s="20"/>
      <c r="M419" s="20"/>
      <c r="N419" s="20"/>
      <c r="O419" s="20"/>
      <c r="P419" s="20"/>
      <c r="Q419" s="20"/>
      <c r="R419" s="20"/>
      <c r="S419" s="20"/>
      <c r="T419" s="20"/>
      <c r="U419" s="20"/>
      <c r="V419" s="20"/>
      <c r="W419" s="20"/>
      <c r="X419" s="20"/>
    </row>
    <row r="420">
      <c r="A420" s="37" t="str">
        <f>IFERROR(__xludf.DUMMYFUNCTION("""COMPUTED_VALUE"""),"https://techcombank.com/thong-tin/blog/cach-nhan-tien-tu-nuoc-ngoai-ve-viet-nam")</f>
        <v>https://techcombank.com/thong-tin/blog/cach-nhan-tien-tu-nuoc-ngoai-ve-viet-nam</v>
      </c>
      <c r="B420" s="28">
        <f>IFERROR(__xludf.DUMMYFUNCTION("""COMPUTED_VALUE"""),3.0)</f>
        <v>3</v>
      </c>
      <c r="C420" s="20" t="str">
        <f>IFERROR(__xludf.DUMMYFUNCTION("IF(A420="""","""",TEXTJOIN(CHAR(10),TRUE,FILTER('Tổng hợp 75 trang đích'!$B$2:$B$3400,'Tổng hợp 75 trang đích'!$I$2:$I$3400=A420)))"),"https://techcombank.com/thong-tin/blog/1-te-bang-bao-nhieu-tien-viet-nam
https://techcombank.com/thong-tin/blog/tien-nhat
https://techcombank.com/thong-tin/blog/tien-dai-loan")</f>
        <v>https://techcombank.com/thong-tin/blog/1-te-bang-bao-nhieu-tien-viet-nam
https://techcombank.com/thong-tin/blog/tien-nhat
https://techcombank.com/thong-tin/blog/tien-dai-loan</v>
      </c>
      <c r="D420" s="20"/>
      <c r="E420" s="20"/>
      <c r="F420" s="20"/>
      <c r="G420" s="20"/>
      <c r="H420" s="20"/>
      <c r="I420" s="20"/>
      <c r="J420" s="20"/>
      <c r="K420" s="20"/>
      <c r="L420" s="20"/>
      <c r="M420" s="20"/>
      <c r="N420" s="20"/>
      <c r="O420" s="20"/>
      <c r="P420" s="20"/>
      <c r="Q420" s="20"/>
      <c r="R420" s="20"/>
      <c r="S420" s="20"/>
      <c r="T420" s="20"/>
      <c r="U420" s="20"/>
      <c r="V420" s="20"/>
      <c r="W420" s="20"/>
      <c r="X420" s="20"/>
    </row>
    <row r="421">
      <c r="A421" s="37" t="str">
        <f>IFERROR(__xludf.DUMMYFUNCTION("""COMPUTED_VALUE"""),"https://techcombank.com/thong-tin/blog/cach-su-dung-the-ghi-no")</f>
        <v>https://techcombank.com/thong-tin/blog/cach-su-dung-the-ghi-no</v>
      </c>
      <c r="B421" s="28">
        <f>IFERROR(__xludf.DUMMYFUNCTION("""COMPUTED_VALUE"""),3.0)</f>
        <v>3</v>
      </c>
      <c r="C421" s="20" t="str">
        <f>IFERROR(__xludf.DUMMYFUNCTION("IF(A421="""","""",TEXTJOIN(CHAR(10),TRUE,FILTER('Tổng hợp 75 trang đích'!$B$2:$B$3400,'Tổng hợp 75 trang đích'!$I$2:$I$3400=A421)))"),"https://techcombank.com/thong-tin/blog/rut-tien-bang-ma-qr-la-gi-cach-thuc-hien-nhu-the-nao
https://techcombank.com/thong-tin/blog/rut-tien-mat-tu-the-tin-dung
https://techcombank.com/thong-tin/blog/kiem-tra-no-xau")</f>
        <v>https://techcombank.com/thong-tin/blog/rut-tien-bang-ma-qr-la-gi-cach-thuc-hien-nhu-the-nao
https://techcombank.com/thong-tin/blog/rut-tien-mat-tu-the-tin-dung
https://techcombank.com/thong-tin/blog/kiem-tra-no-xau</v>
      </c>
      <c r="D421" s="20"/>
      <c r="E421" s="20"/>
      <c r="F421" s="20"/>
      <c r="G421" s="20"/>
      <c r="H421" s="20"/>
      <c r="I421" s="20"/>
      <c r="J421" s="20"/>
      <c r="K421" s="20"/>
      <c r="L421" s="20"/>
      <c r="M421" s="20"/>
      <c r="N421" s="20"/>
      <c r="O421" s="20"/>
      <c r="P421" s="20"/>
      <c r="Q421" s="20"/>
      <c r="R421" s="20"/>
      <c r="S421" s="20"/>
      <c r="T421" s="20"/>
      <c r="U421" s="20"/>
      <c r="V421" s="20"/>
      <c r="W421" s="20"/>
      <c r="X421" s="20"/>
    </row>
    <row r="422">
      <c r="A422" s="37" t="str">
        <f>IFERROR(__xludf.DUMMYFUNCTION("""COMPUTED_VALUE"""),"https://techcombank.com/thong-tin/blog/cach-tao-ma-qr-code-mien-phi")</f>
        <v>https://techcombank.com/thong-tin/blog/cach-tao-ma-qr-code-mien-phi</v>
      </c>
      <c r="B422" s="28">
        <f>IFERROR(__xludf.DUMMYFUNCTION("""COMPUTED_VALUE"""),3.0)</f>
        <v>3</v>
      </c>
      <c r="C422" s="20" t="str">
        <f>IFERROR(__xludf.DUMMYFUNCTION("IF(A422="""","""",TEXTJOIN(CHAR(10),TRUE,FILTER('Tổng hợp 75 trang đích'!$B$2:$B$3400,'Tổng hợp 75 trang đích'!$I$2:$I$3400=A422)))"),"https://techcombank.com/thong-tin/blog/cach-tinh-tien-dien-sinh-hoat
https://techcombank.com/thong-tin/blog/chuyen-khoan-thanh-cong-nhung-khong-nhan-duoc-tien
https://techcombank.com/thong-tin/blog/rut-tien-bang-ma-qr-la-gi-cach-thuc-hien-nhu-the-nao")</f>
        <v>https://techcombank.com/thong-tin/blog/cach-tinh-tien-dien-sinh-hoat
https://techcombank.com/thong-tin/blog/chuyen-khoan-thanh-cong-nhung-khong-nhan-duoc-tien
https://techcombank.com/thong-tin/blog/rut-tien-bang-ma-qr-la-gi-cach-thuc-hien-nhu-the-nao</v>
      </c>
      <c r="D422" s="20"/>
      <c r="E422" s="20"/>
      <c r="F422" s="20"/>
      <c r="G422" s="20"/>
      <c r="H422" s="20"/>
      <c r="I422" s="20"/>
      <c r="J422" s="20"/>
      <c r="K422" s="20"/>
      <c r="L422" s="20"/>
      <c r="M422" s="20"/>
      <c r="N422" s="20"/>
      <c r="O422" s="20"/>
      <c r="P422" s="20"/>
      <c r="Q422" s="20"/>
      <c r="R422" s="20"/>
      <c r="S422" s="20"/>
      <c r="T422" s="20"/>
      <c r="U422" s="20"/>
      <c r="V422" s="20"/>
      <c r="W422" s="20"/>
      <c r="X422" s="20"/>
    </row>
    <row r="423">
      <c r="A423" s="37" t="str">
        <f>IFERROR(__xludf.DUMMYFUNCTION("""COMPUTED_VALUE"""),"https://techcombank.com/thong-tin/blog/cach-tinh-loi-nhuan-chung-chi-tien-gui")</f>
        <v>https://techcombank.com/thong-tin/blog/cach-tinh-loi-nhuan-chung-chi-tien-gui</v>
      </c>
      <c r="B423" s="28">
        <f>IFERROR(__xludf.DUMMYFUNCTION("""COMPUTED_VALUE"""),3.0)</f>
        <v>3</v>
      </c>
      <c r="C423" s="20" t="str">
        <f>IFERROR(__xludf.DUMMYFUNCTION("IF(A423="""","""",TEXTJOIN(CHAR(10),TRUE,FILTER('Tổng hợp 75 trang đích'!$B$2:$B$3400,'Tổng hợp 75 trang đích'!$I$2:$I$3400=A423)))"),"https://techcombank.com/thong-tin/blog/chung-chi-tien-gui-la-gi
https://techcombank.com/thong-tin/blog/lai-suat-chung-chi-tien-gui-cac-ngan-hang
https://techcombank.com/thong-tin/blog/lai-suat-tiet-kiem")</f>
        <v>https://techcombank.com/thong-tin/blog/chung-chi-tien-gui-la-gi
https://techcombank.com/thong-tin/blog/lai-suat-chung-chi-tien-gui-cac-ngan-hang
https://techcombank.com/thong-tin/blog/lai-suat-tiet-kiem</v>
      </c>
      <c r="D423" s="20"/>
      <c r="E423" s="20"/>
      <c r="F423" s="20"/>
      <c r="G423" s="20"/>
      <c r="H423" s="20"/>
      <c r="I423" s="20"/>
      <c r="J423" s="20"/>
      <c r="K423" s="20"/>
      <c r="L423" s="20"/>
      <c r="M423" s="20"/>
      <c r="N423" s="20"/>
      <c r="O423" s="20"/>
      <c r="P423" s="20"/>
      <c r="Q423" s="20"/>
      <c r="R423" s="20"/>
      <c r="S423" s="20"/>
      <c r="T423" s="20"/>
      <c r="U423" s="20"/>
      <c r="V423" s="20"/>
      <c r="W423" s="20"/>
      <c r="X423" s="20"/>
    </row>
    <row r="424">
      <c r="A424" s="37" t="str">
        <f>IFERROR(__xludf.DUMMYFUNCTION("""COMPUTED_VALUE"""),"https://techcombank.com/thong-tin/blog/casa-la-gi")</f>
        <v>https://techcombank.com/thong-tin/blog/casa-la-gi</v>
      </c>
      <c r="B424" s="28">
        <f>IFERROR(__xludf.DUMMYFUNCTION("""COMPUTED_VALUE"""),3.0)</f>
        <v>3</v>
      </c>
      <c r="C424" s="20" t="str">
        <f>IFERROR(__xludf.DUMMYFUNCTION("IF(A424="""","""",TEXTJOIN(CHAR(10),TRUE,FILTER('Tổng hợp 75 trang đích'!$B$2:$B$3400,'Tổng hợp 75 trang đích'!$I$2:$I$3400=A424)))"),"https://techcombank.com/thong-tin/blog/chuyen-khoan-thanh-cong-nhung-khong-nhan-duoc-tien
https://techcombank.com/thong-tin/blog/lai-suat-tiet-kiem
https://techcombank.com/cong-cu-tien-ich/cong-cu-tinh-toan/bang-tinh-lai-suat-vay")</f>
        <v>https://techcombank.com/thong-tin/blog/chuyen-khoan-thanh-cong-nhung-khong-nhan-duoc-tien
https://techcombank.com/thong-tin/blog/lai-suat-tiet-kiem
https://techcombank.com/cong-cu-tien-ich/cong-cu-tinh-toan/bang-tinh-lai-suat-vay</v>
      </c>
      <c r="D424" s="20"/>
      <c r="E424" s="20"/>
      <c r="F424" s="20"/>
      <c r="G424" s="20"/>
      <c r="H424" s="20"/>
      <c r="I424" s="20"/>
      <c r="J424" s="20"/>
      <c r="K424" s="20"/>
      <c r="L424" s="20"/>
      <c r="M424" s="20"/>
      <c r="N424" s="20"/>
      <c r="O424" s="20"/>
      <c r="P424" s="20"/>
      <c r="Q424" s="20"/>
      <c r="R424" s="20"/>
      <c r="S424" s="20"/>
      <c r="T424" s="20"/>
      <c r="U424" s="20"/>
      <c r="V424" s="20"/>
      <c r="W424" s="20"/>
      <c r="X424" s="20"/>
    </row>
    <row r="425">
      <c r="A425" s="37" t="str">
        <f>IFERROR(__xludf.DUMMYFUNCTION("""COMPUTED_VALUE"""),"https://techcombank.com/thong-tin/blog/cashback-the-thanh-toan")</f>
        <v>https://techcombank.com/thong-tin/blog/cashback-the-thanh-toan</v>
      </c>
      <c r="B425" s="28">
        <f>IFERROR(__xludf.DUMMYFUNCTION("""COMPUTED_VALUE"""),3.0)</f>
        <v>3</v>
      </c>
      <c r="C425" s="20" t="str">
        <f>IFERROR(__xludf.DUMMYFUNCTION("IF(A425="""","""",TEXTJOIN(CHAR(10),TRUE,FILTER('Tổng hợp 75 trang đích'!$B$2:$B$3400,'Tổng hợp 75 trang đích'!$I$2:$I$3400=A425)))"),"https://techcombank.com/thong-tin/blog/cach-sao-ke-tai-khoan-ngan-hang
https://techcombank.com/thong-tin/blog/the-tin-dung-hoan-tien
https://techcombank.com/thong-tin/blog/lai-suat-tiet-kiem")</f>
        <v>https://techcombank.com/thong-tin/blog/cach-sao-ke-tai-khoan-ngan-hang
https://techcombank.com/thong-tin/blog/the-tin-dung-hoan-tien
https://techcombank.com/thong-tin/blog/lai-suat-tiet-kiem</v>
      </c>
      <c r="D425" s="20"/>
      <c r="E425" s="20"/>
      <c r="F425" s="20"/>
      <c r="G425" s="20"/>
      <c r="H425" s="20"/>
      <c r="I425" s="20"/>
      <c r="J425" s="20"/>
      <c r="K425" s="20"/>
      <c r="L425" s="20"/>
      <c r="M425" s="20"/>
      <c r="N425" s="20"/>
      <c r="O425" s="20"/>
      <c r="P425" s="20"/>
      <c r="Q425" s="20"/>
      <c r="R425" s="20"/>
      <c r="S425" s="20"/>
      <c r="T425" s="20"/>
      <c r="U425" s="20"/>
      <c r="V425" s="20"/>
      <c r="W425" s="20"/>
      <c r="X425" s="20"/>
    </row>
    <row r="426">
      <c r="A426" s="37" t="str">
        <f>IFERROR(__xludf.DUMMYFUNCTION("""COMPUTED_VALUE"""),"https://techcombank.com/thong-tin/blog/chinh-sach-tang-luong-huu")</f>
        <v>https://techcombank.com/thong-tin/blog/chinh-sach-tang-luong-huu</v>
      </c>
      <c r="B426" s="28">
        <f>IFERROR(__xludf.DUMMYFUNCTION("""COMPUTED_VALUE"""),3.0)</f>
        <v>3</v>
      </c>
      <c r="C426" s="20" t="str">
        <f>IFERROR(__xludf.DUMMYFUNCTION("IF(A426="""","""",TEXTJOIN(CHAR(10),TRUE,FILTER('Tổng hợp 75 trang đích'!$B$2:$B$3400,'Tổng hợp 75 trang đích'!$I$2:$I$3400=A426)))"),"https://techcombank.com/thong-tin/blog/cach-tinh-thue-thu-nhap-ca-nhan-2025
https://techcombank.com/thong-tin/blog/thue-thu-nhap-ca-nhan
https://techcombank.com/thong-tin/blog/cach-tiet-kiem-tien")</f>
        <v>https://techcombank.com/thong-tin/blog/cach-tinh-thue-thu-nhap-ca-nhan-2025
https://techcombank.com/thong-tin/blog/thue-thu-nhap-ca-nhan
https://techcombank.com/thong-tin/blog/cach-tiet-kiem-tien</v>
      </c>
      <c r="D426" s="20"/>
      <c r="E426" s="20"/>
      <c r="F426" s="20"/>
      <c r="G426" s="20"/>
      <c r="H426" s="20"/>
      <c r="I426" s="20"/>
      <c r="J426" s="20"/>
      <c r="K426" s="20"/>
      <c r="L426" s="20"/>
      <c r="M426" s="20"/>
      <c r="N426" s="20"/>
      <c r="O426" s="20"/>
      <c r="P426" s="20"/>
      <c r="Q426" s="20"/>
      <c r="R426" s="20"/>
      <c r="S426" s="20"/>
      <c r="T426" s="20"/>
      <c r="U426" s="20"/>
      <c r="V426" s="20"/>
      <c r="W426" s="20"/>
      <c r="X426" s="20"/>
    </row>
    <row r="427">
      <c r="A427" s="37" t="str">
        <f>IFERROR(__xludf.DUMMYFUNCTION("""COMPUTED_VALUE"""),"https://techcombank.com/thong-tin/blog/chung-chi-tien-gui-co-an-toan-khong")</f>
        <v>https://techcombank.com/thong-tin/blog/chung-chi-tien-gui-co-an-toan-khong</v>
      </c>
      <c r="B427" s="28">
        <f>IFERROR(__xludf.DUMMYFUNCTION("""COMPUTED_VALUE"""),3.0)</f>
        <v>3</v>
      </c>
      <c r="C427" s="20" t="str">
        <f>IFERROR(__xludf.DUMMYFUNCTION("IF(A427="""","""",TEXTJOIN(CHAR(10),TRUE,FILTER('Tổng hợp 75 trang đích'!$B$2:$B$3400,'Tổng hợp 75 trang đích'!$I$2:$I$3400=A427)))"),"https://techcombank.com/thong-tin/blog/lai-suat-tiet-kiem
https://techcombank.com/thong-tin/blog/cach-tinh-lai-suat-tien-gui-tiet-kiem
https://techcombank.com/cong-cu-tien-ich/cong-cu-tinh-toan/bang-tinh-lai-suat-tiet-kiem")</f>
        <v>https://techcombank.com/thong-tin/blog/lai-suat-tiet-kiem
https://techcombank.com/thong-tin/blog/cach-tinh-lai-suat-tien-gui-tiet-kiem
https://techcombank.com/cong-cu-tien-ich/cong-cu-tinh-toan/bang-tinh-lai-suat-tiet-kiem</v>
      </c>
      <c r="D427" s="20"/>
      <c r="E427" s="20"/>
      <c r="F427" s="20"/>
      <c r="G427" s="20"/>
      <c r="H427" s="20"/>
      <c r="I427" s="20"/>
      <c r="J427" s="20"/>
      <c r="K427" s="20"/>
      <c r="L427" s="20"/>
      <c r="M427" s="20"/>
      <c r="N427" s="20"/>
      <c r="O427" s="20"/>
      <c r="P427" s="20"/>
      <c r="Q427" s="20"/>
      <c r="R427" s="20"/>
      <c r="S427" s="20"/>
      <c r="T427" s="20"/>
      <c r="U427" s="20"/>
      <c r="V427" s="20"/>
      <c r="W427" s="20"/>
      <c r="X427" s="20"/>
    </row>
    <row r="428">
      <c r="A428" s="37" t="str">
        <f>IFERROR(__xludf.DUMMYFUNCTION("""COMPUTED_VALUE"""),"https://techcombank.com/thong-tin/blog/chung-chi-tien-gui-la-gi")</f>
        <v>https://techcombank.com/thong-tin/blog/chung-chi-tien-gui-la-gi</v>
      </c>
      <c r="B428" s="28">
        <f>IFERROR(__xludf.DUMMYFUNCTION("""COMPUTED_VALUE"""),3.0)</f>
        <v>3</v>
      </c>
      <c r="C428" s="20" t="str">
        <f>IFERROR(__xludf.DUMMYFUNCTION("IF(A428="""","""",TEXTJOIN(CHAR(10),TRUE,FILTER('Tổng hợp 75 trang đích'!$B$2:$B$3400,'Tổng hợp 75 trang đích'!$I$2:$I$3400=A428)))"),"https://techcombank.com/thong-tin/blog/lai-suat-chung-chi-tien-gui-cac-ngan-hang
https://techcombank.com/thong-tin/blog/lai-suat-tiet-kiem
https://techcombank.com/thong-tin/blog/cach-tinh-lai-suat-tien-gui-tiet-kiem")</f>
        <v>https://techcombank.com/thong-tin/blog/lai-suat-chung-chi-tien-gui-cac-ngan-hang
https://techcombank.com/thong-tin/blog/lai-suat-tiet-kiem
https://techcombank.com/thong-tin/blog/cach-tinh-lai-suat-tien-gui-tiet-kiem</v>
      </c>
      <c r="D428" s="20"/>
      <c r="E428" s="20"/>
      <c r="F428" s="20"/>
      <c r="G428" s="20"/>
      <c r="H428" s="20"/>
      <c r="I428" s="20"/>
      <c r="J428" s="20"/>
      <c r="K428" s="20"/>
      <c r="L428" s="20"/>
      <c r="M428" s="20"/>
      <c r="N428" s="20"/>
      <c r="O428" s="20"/>
      <c r="P428" s="20"/>
      <c r="Q428" s="20"/>
      <c r="R428" s="20"/>
      <c r="S428" s="20"/>
      <c r="T428" s="20"/>
      <c r="U428" s="20"/>
      <c r="V428" s="20"/>
      <c r="W428" s="20"/>
      <c r="X428" s="20"/>
    </row>
    <row r="429">
      <c r="A429" s="37" t="str">
        <f>IFERROR(__xludf.DUMMYFUNCTION("""COMPUTED_VALUE"""),"https://techcombank.com/thong-tin/blog/chuyen-doi-xanh")</f>
        <v>https://techcombank.com/thong-tin/blog/chuyen-doi-xanh</v>
      </c>
      <c r="B429" s="28">
        <f>IFERROR(__xludf.DUMMYFUNCTION("""COMPUTED_VALUE"""),3.0)</f>
        <v>3</v>
      </c>
      <c r="C429" s="20" t="str">
        <f>IFERROR(__xludf.DUMMYFUNCTION("IF(A429="""","""",TEXTJOIN(CHAR(10),TRUE,FILTER('Tổng hợp 75 trang đích'!$B$2:$B$3400,'Tổng hợp 75 trang đích'!$I$2:$I$3400=A429)))"),"https://techcombank.com/thong-tin/blog/mo-hinh-kinh-doanh-la-gi
https://techcombank.com/thong-tin/blog/lai-suat-tiet-kiem
https://techcombank.com/cong-cu-tien-ich/cong-cu-tinh-toan/bang-tinh-lai-suat-vay")</f>
        <v>https://techcombank.com/thong-tin/blog/mo-hinh-kinh-doanh-la-gi
https://techcombank.com/thong-tin/blog/lai-suat-tiet-kiem
https://techcombank.com/cong-cu-tien-ich/cong-cu-tinh-toan/bang-tinh-lai-suat-vay</v>
      </c>
      <c r="D429" s="20"/>
      <c r="E429" s="20"/>
      <c r="F429" s="20"/>
      <c r="G429" s="20"/>
      <c r="H429" s="20"/>
      <c r="I429" s="20"/>
      <c r="J429" s="20"/>
      <c r="K429" s="20"/>
      <c r="L429" s="20"/>
      <c r="M429" s="20"/>
      <c r="N429" s="20"/>
      <c r="O429" s="20"/>
      <c r="P429" s="20"/>
      <c r="Q429" s="20"/>
      <c r="R429" s="20"/>
      <c r="S429" s="20"/>
      <c r="T429" s="20"/>
      <c r="U429" s="20"/>
      <c r="V429" s="20"/>
      <c r="W429" s="20"/>
      <c r="X429" s="20"/>
    </row>
    <row r="430">
      <c r="A430" s="37" t="str">
        <f>IFERROR(__xludf.DUMMYFUNCTION("""COMPUTED_VALUE"""),"https://techcombank.com/thong-tin/blog/chuyen-gia-du-doan-gia-bat-dong-san-2025-va-cac-no-luc-tu-ngan-hang")</f>
        <v>https://techcombank.com/thong-tin/blog/chuyen-gia-du-doan-gia-bat-dong-san-2025-va-cac-no-luc-tu-ngan-hang</v>
      </c>
      <c r="B430" s="28">
        <f>IFERROR(__xludf.DUMMYFUNCTION("""COMPUTED_VALUE"""),3.0)</f>
        <v>3</v>
      </c>
      <c r="C430" s="20" t="str">
        <f>IFERROR(__xludf.DUMMYFUNCTION("IF(A430="""","""",TEXTJOIN(CHAR(10),TRUE,FILTER('Tổng hợp 75 trang đích'!$B$2:$B$3400,'Tổng hợp 75 trang đích'!$I$2:$I$3400=A430)))"),"https://techcombank.com/thong-tin/blog/nop-thue-dat-qua-ngan-hang
https://techcombank.com/cong-cu-tien-ich/cong-cu-tinh-toan/bang-tinh-lai-suat-vay
https://techcombank.com/thong-tin/blog/app-vay-tien-nhanh")</f>
        <v>https://techcombank.com/thong-tin/blog/nop-thue-dat-qua-ngan-hang
https://techcombank.com/cong-cu-tien-ich/cong-cu-tinh-toan/bang-tinh-lai-suat-vay
https://techcombank.com/thong-tin/blog/app-vay-tien-nhanh</v>
      </c>
      <c r="D430" s="20"/>
      <c r="E430" s="20"/>
      <c r="F430" s="20"/>
      <c r="G430" s="20"/>
      <c r="H430" s="20"/>
      <c r="I430" s="20"/>
      <c r="J430" s="20"/>
      <c r="K430" s="20"/>
      <c r="L430" s="20"/>
      <c r="M430" s="20"/>
      <c r="N430" s="20"/>
      <c r="O430" s="20"/>
      <c r="P430" s="20"/>
      <c r="Q430" s="20"/>
      <c r="R430" s="20"/>
      <c r="S430" s="20"/>
      <c r="T430" s="20"/>
      <c r="U430" s="20"/>
      <c r="V430" s="20"/>
      <c r="W430" s="20"/>
      <c r="X430" s="20"/>
    </row>
    <row r="431">
      <c r="A431" s="37" t="str">
        <f>IFERROR(__xludf.DUMMYFUNCTION("""COMPUTED_VALUE"""),"https://techcombank.com/thong-tin/blog/chuyen-khoan-lien-ngan-hang")</f>
        <v>https://techcombank.com/thong-tin/blog/chuyen-khoan-lien-ngan-hang</v>
      </c>
      <c r="B431" s="28">
        <f>IFERROR(__xludf.DUMMYFUNCTION("""COMPUTED_VALUE"""),3.0)</f>
        <v>3</v>
      </c>
      <c r="C431" s="20" t="str">
        <f>IFERROR(__xludf.DUMMYFUNCTION("IF(A431="""","""",TEXTJOIN(CHAR(10),TRUE,FILTER('Tổng hợp 75 trang đích'!$B$2:$B$3400,'Tổng hợp 75 trang đích'!$I$2:$I$3400=A431)))"),"https://techcombank.com/thong-tin/blog/day-so-phat-tai-phat-loc
https://techcombank.com/thong-tin/blog/cach-quet-nfc-cccd-tren-iphone
https://techcombank.com/thong-tin/blog/tien-thai-lan")</f>
        <v>https://techcombank.com/thong-tin/blog/day-so-phat-tai-phat-loc
https://techcombank.com/thong-tin/blog/cach-quet-nfc-cccd-tren-iphone
https://techcombank.com/thong-tin/blog/tien-thai-lan</v>
      </c>
      <c r="D431" s="20"/>
      <c r="E431" s="20"/>
      <c r="F431" s="20"/>
      <c r="G431" s="20"/>
      <c r="H431" s="20"/>
      <c r="I431" s="20"/>
      <c r="J431" s="20"/>
      <c r="K431" s="20"/>
      <c r="L431" s="20"/>
      <c r="M431" s="20"/>
      <c r="N431" s="20"/>
      <c r="O431" s="20"/>
      <c r="P431" s="20"/>
      <c r="Q431" s="20"/>
      <c r="R431" s="20"/>
      <c r="S431" s="20"/>
      <c r="T431" s="20"/>
      <c r="U431" s="20"/>
      <c r="V431" s="20"/>
      <c r="W431" s="20"/>
      <c r="X431" s="20"/>
    </row>
    <row r="432">
      <c r="A432" s="37" t="str">
        <f>IFERROR(__xludf.DUMMYFUNCTION("""COMPUTED_VALUE"""),"https://techcombank.com/thong-tin/blog/chuyen-nhuong-chung-chi-tien-gui")</f>
        <v>https://techcombank.com/thong-tin/blog/chuyen-nhuong-chung-chi-tien-gui</v>
      </c>
      <c r="B432" s="28">
        <f>IFERROR(__xludf.DUMMYFUNCTION("""COMPUTED_VALUE"""),3.0)</f>
        <v>3</v>
      </c>
      <c r="C432" s="20" t="str">
        <f>IFERROR(__xludf.DUMMYFUNCTION("IF(A432="""","""",TEXTJOIN(CHAR(10),TRUE,FILTER('Tổng hợp 75 trang đích'!$B$2:$B$3400,'Tổng hợp 75 trang đích'!$I$2:$I$3400=A432)))"),"https://techcombank.com/thong-tin/blog/cach-tinh-thue-thu-nhap-ca-nhan-2025
https://techcombank.com/thong-tin/blog/lai-suat-chung-chi-tien-gui-cac-ngan-hang
https://techcombank.com/thong-tin/blog/lai-suat-tiet-kiem")</f>
        <v>https://techcombank.com/thong-tin/blog/cach-tinh-thue-thu-nhap-ca-nhan-2025
https://techcombank.com/thong-tin/blog/lai-suat-chung-chi-tien-gui-cac-ngan-hang
https://techcombank.com/thong-tin/blog/lai-suat-tiet-kiem</v>
      </c>
      <c r="D432" s="20"/>
      <c r="E432" s="20"/>
      <c r="F432" s="20"/>
      <c r="G432" s="20"/>
      <c r="H432" s="20"/>
      <c r="I432" s="20"/>
      <c r="J432" s="20"/>
      <c r="K432" s="20"/>
      <c r="L432" s="20"/>
      <c r="M432" s="20"/>
      <c r="N432" s="20"/>
      <c r="O432" s="20"/>
      <c r="P432" s="20"/>
      <c r="Q432" s="20"/>
      <c r="R432" s="20"/>
      <c r="S432" s="20"/>
      <c r="T432" s="20"/>
      <c r="U432" s="20"/>
      <c r="V432" s="20"/>
      <c r="W432" s="20"/>
      <c r="X432" s="20"/>
    </row>
    <row r="433">
      <c r="A433" s="37" t="str">
        <f>IFERROR(__xludf.DUMMYFUNCTION("""COMPUTED_VALUE"""),"https://techcombank.com/thong-tin/blog/chuyen-tien-tu-duc-ve-viet-nam")</f>
        <v>https://techcombank.com/thong-tin/blog/chuyen-tien-tu-duc-ve-viet-nam</v>
      </c>
      <c r="B433" s="28">
        <f>IFERROR(__xludf.DUMMYFUNCTION("""COMPUTED_VALUE"""),3.0)</f>
        <v>3</v>
      </c>
      <c r="C433" s="20" t="str">
        <f>IFERROR(__xludf.DUMMYFUNCTION("IF(A433="""","""",TEXTJOIN(CHAR(10),TRUE,FILTER('Tổng hợp 75 trang đích'!$B$2:$B$3400,'Tổng hợp 75 trang đích'!$I$2:$I$3400=A433)))"),"https://techcombank.com/thong-tin/blog/cic-la-gi
https://techcombank.com/thong-tin/blog/1-te-bang-bao-nhieu-tien-viet-nam
https://techcombank.com/thong-tin/blog/tien-dai-loan")</f>
        <v>https://techcombank.com/thong-tin/blog/cic-la-gi
https://techcombank.com/thong-tin/blog/1-te-bang-bao-nhieu-tien-viet-nam
https://techcombank.com/thong-tin/blog/tien-dai-loan</v>
      </c>
      <c r="D433" s="20"/>
      <c r="E433" s="20"/>
      <c r="F433" s="20"/>
      <c r="G433" s="20"/>
      <c r="H433" s="20"/>
      <c r="I433" s="20"/>
      <c r="J433" s="20"/>
      <c r="K433" s="20"/>
      <c r="L433" s="20"/>
      <c r="M433" s="20"/>
      <c r="N433" s="20"/>
      <c r="O433" s="20"/>
      <c r="P433" s="20"/>
      <c r="Q433" s="20"/>
      <c r="R433" s="20"/>
      <c r="S433" s="20"/>
      <c r="T433" s="20"/>
      <c r="U433" s="20"/>
      <c r="V433" s="20"/>
      <c r="W433" s="20"/>
      <c r="X433" s="20"/>
    </row>
    <row r="434">
      <c r="A434" s="37" t="str">
        <f>IFERROR(__xludf.DUMMYFUNCTION("""COMPUTED_VALUE"""),"https://techcombank.com/thong-tin/blog/chuyen-tien-tu-my-ve-viet-nam")</f>
        <v>https://techcombank.com/thong-tin/blog/chuyen-tien-tu-my-ve-viet-nam</v>
      </c>
      <c r="B434" s="28">
        <f>IFERROR(__xludf.DUMMYFUNCTION("""COMPUTED_VALUE"""),3.0)</f>
        <v>3</v>
      </c>
      <c r="C434" s="20" t="str">
        <f>IFERROR(__xludf.DUMMYFUNCTION("IF(A434="""","""",TEXTJOIN(CHAR(10),TRUE,FILTER('Tổng hợp 75 trang đích'!$B$2:$B$3400,'Tổng hợp 75 trang đích'!$I$2:$I$3400=A434)))"),"https://techcombank.com/thong-tin/blog/cic-la-gi
https://techcombank.com/thong-tin/blog/1-dong-do-la-my-bang-bao-nhieu-tien-viet-nam
https://techcombank.com/thong-tin/blog/doi-tien-do-o-dau")</f>
        <v>https://techcombank.com/thong-tin/blog/cic-la-gi
https://techcombank.com/thong-tin/blog/1-dong-do-la-my-bang-bao-nhieu-tien-viet-nam
https://techcombank.com/thong-tin/blog/doi-tien-do-o-dau</v>
      </c>
      <c r="D434" s="20"/>
      <c r="E434" s="20"/>
      <c r="F434" s="20"/>
      <c r="G434" s="20"/>
      <c r="H434" s="20"/>
      <c r="I434" s="20"/>
      <c r="J434" s="20"/>
      <c r="K434" s="20"/>
      <c r="L434" s="20"/>
      <c r="M434" s="20"/>
      <c r="N434" s="20"/>
      <c r="O434" s="20"/>
      <c r="P434" s="20"/>
      <c r="Q434" s="20"/>
      <c r="R434" s="20"/>
      <c r="S434" s="20"/>
      <c r="T434" s="20"/>
      <c r="U434" s="20"/>
      <c r="V434" s="20"/>
      <c r="W434" s="20"/>
      <c r="X434" s="20"/>
    </row>
    <row r="435">
      <c r="A435" s="37" t="str">
        <f>IFERROR(__xludf.DUMMYFUNCTION("""COMPUTED_VALUE"""),"https://techcombank.com/thong-tin/blog/co-50-trieu-nen-mua-vang-hay-gui-tiet-kiem")</f>
        <v>https://techcombank.com/thong-tin/blog/co-50-trieu-nen-mua-vang-hay-gui-tiet-kiem</v>
      </c>
      <c r="B435" s="28">
        <f>IFERROR(__xludf.DUMMYFUNCTION("""COMPUTED_VALUE"""),3.0)</f>
        <v>3</v>
      </c>
      <c r="C435" s="20" t="str">
        <f>IFERROR(__xludf.DUMMYFUNCTION("IF(A435="""","""",TEXTJOIN(CHAR(10),TRUE,FILTER('Tổng hợp 75 trang đích'!$B$2:$B$3400,'Tổng hợp 75 trang đích'!$I$2:$I$3400=A435)))"),"https://techcombank.com/thong-tin/blog/cach-tinh-thue-thu-nhap-doanh-nghiep
https://techcombank.com/thong-tin/blog/cach-tinh-lai-suat-tien-gui-tiet-kiem
https://techcombank.com/cong-cu-tien-ich/cong-cu-tinh-toan/bang-tinh-lai-suat-tiet-kiem")</f>
        <v>https://techcombank.com/thong-tin/blog/cach-tinh-thue-thu-nhap-doanh-nghiep
https://techcombank.com/thong-tin/blog/cach-tinh-lai-suat-tien-gui-tiet-kiem
https://techcombank.com/cong-cu-tien-ich/cong-cu-tinh-toan/bang-tinh-lai-suat-tiet-kiem</v>
      </c>
      <c r="D435" s="20"/>
      <c r="E435" s="20"/>
      <c r="F435" s="20"/>
      <c r="G435" s="20"/>
      <c r="H435" s="20"/>
      <c r="I435" s="20"/>
      <c r="J435" s="20"/>
      <c r="K435" s="20"/>
      <c r="L435" s="20"/>
      <c r="M435" s="20"/>
      <c r="N435" s="20"/>
      <c r="O435" s="20"/>
      <c r="P435" s="20"/>
      <c r="Q435" s="20"/>
      <c r="R435" s="20"/>
      <c r="S435" s="20"/>
      <c r="T435" s="20"/>
      <c r="U435" s="20"/>
      <c r="V435" s="20"/>
      <c r="W435" s="20"/>
      <c r="X435" s="20"/>
    </row>
    <row r="436">
      <c r="A436" s="37" t="str">
        <f>IFERROR(__xludf.DUMMYFUNCTION("""COMPUTED_VALUE"""),"https://techcombank.com/thong-tin/blog/dinh-cu-chau-au")</f>
        <v>https://techcombank.com/thong-tin/blog/dinh-cu-chau-au</v>
      </c>
      <c r="B436" s="28">
        <f>IFERROR(__xludf.DUMMYFUNCTION("""COMPUTED_VALUE"""),3.0)</f>
        <v>3</v>
      </c>
      <c r="C436" s="20" t="str">
        <f>IFERROR(__xludf.DUMMYFUNCTION("IF(A436="""","""",TEXTJOIN(CHAR(10),TRUE,FILTER('Tổng hợp 75 trang đích'!$B$2:$B$3400,'Tổng hợp 75 trang đích'!$I$2:$I$3400=A436)))"),"https://techcombank.com/thong-tin/blog/chuyen-khoan-thanh-cong-nhung-khong-nhan-duoc-tien
https://techcombank.com/thong-tin/blog/cach-nhan-tien-tu-nuoc-ngoai-ve-viet-nam
https://techcombank.com/thong-tin/blog/phuong-phap-dau-tu-chung-chi-quy")</f>
        <v>https://techcombank.com/thong-tin/blog/chuyen-khoan-thanh-cong-nhung-khong-nhan-duoc-tien
https://techcombank.com/thong-tin/blog/cach-nhan-tien-tu-nuoc-ngoai-ve-viet-nam
https://techcombank.com/thong-tin/blog/phuong-phap-dau-tu-chung-chi-quy</v>
      </c>
      <c r="D436" s="20"/>
      <c r="E436" s="20"/>
      <c r="F436" s="20"/>
      <c r="G436" s="20"/>
      <c r="H436" s="20"/>
      <c r="I436" s="20"/>
      <c r="J436" s="20"/>
      <c r="K436" s="20"/>
      <c r="L436" s="20"/>
      <c r="M436" s="20"/>
      <c r="N436" s="20"/>
      <c r="O436" s="20"/>
      <c r="P436" s="20"/>
      <c r="Q436" s="20"/>
      <c r="R436" s="20"/>
      <c r="S436" s="20"/>
      <c r="T436" s="20"/>
      <c r="U436" s="20"/>
      <c r="V436" s="20"/>
      <c r="W436" s="20"/>
      <c r="X436" s="20"/>
    </row>
    <row r="437">
      <c r="A437" s="37" t="str">
        <f>IFERROR(__xludf.DUMMYFUNCTION("""COMPUTED_VALUE"""),"https://techcombank.com/thong-tin/blog/ekyc-la-gi")</f>
        <v>https://techcombank.com/thong-tin/blog/ekyc-la-gi</v>
      </c>
      <c r="B437" s="28">
        <f>IFERROR(__xludf.DUMMYFUNCTION("""COMPUTED_VALUE"""),3.0)</f>
        <v>3</v>
      </c>
      <c r="C437" s="20" t="str">
        <f>IFERROR(__xludf.DUMMYFUNCTION("IF(A437="""","""",TEXTJOIN(CHAR(10),TRUE,FILTER('Tổng hợp 75 trang đích'!$B$2:$B$3400,'Tổng hợp 75 trang đích'!$I$2:$I$3400=A437)))"),"https://techcombank.com/thong-tin/blog/cach-tinh-tien-dien-sinh-hoat
https://techcombank.com/thong-tin/blog/ten-dang-nhap-tai-khoan-ngan-hang-la-gi
https://techcombank.com/thong-tin/blog/cach-quet-nfc-cccd-tren-iphone")</f>
        <v>https://techcombank.com/thong-tin/blog/cach-tinh-tien-dien-sinh-hoat
https://techcombank.com/thong-tin/blog/ten-dang-nhap-tai-khoan-ngan-hang-la-gi
https://techcombank.com/thong-tin/blog/cach-quet-nfc-cccd-tren-iphone</v>
      </c>
      <c r="D437" s="20"/>
      <c r="E437" s="20"/>
      <c r="F437" s="20"/>
      <c r="G437" s="20"/>
      <c r="H437" s="20"/>
      <c r="I437" s="20"/>
      <c r="J437" s="20"/>
      <c r="K437" s="20"/>
      <c r="L437" s="20"/>
      <c r="M437" s="20"/>
      <c r="N437" s="20"/>
      <c r="O437" s="20"/>
      <c r="P437" s="20"/>
      <c r="Q437" s="20"/>
      <c r="R437" s="20"/>
      <c r="S437" s="20"/>
      <c r="T437" s="20"/>
      <c r="U437" s="20"/>
      <c r="V437" s="20"/>
      <c r="W437" s="20"/>
      <c r="X437" s="20"/>
    </row>
    <row r="438">
      <c r="A438" s="37" t="str">
        <f>IFERROR(__xludf.DUMMYFUNCTION("""COMPUTED_VALUE"""),"https://techcombank.com/thong-tin/blog/gui-ma-qr-ngan-hang")</f>
        <v>https://techcombank.com/thong-tin/blog/gui-ma-qr-ngan-hang</v>
      </c>
      <c r="B438" s="28">
        <f>IFERROR(__xludf.DUMMYFUNCTION("""COMPUTED_VALUE"""),3.0)</f>
        <v>3</v>
      </c>
      <c r="C438" s="20" t="str">
        <f>IFERROR(__xludf.DUMMYFUNCTION("IF(A438="""","""",TEXTJOIN(CHAR(10),TRUE,FILTER('Tổng hợp 75 trang đích'!$B$2:$B$3400,'Tổng hợp 75 trang đích'!$I$2:$I$3400=A438)))"),"https://techcombank.com/thong-tin/blog/ten-dang-nhap-tai-khoan-ngan-hang-la-gi
https://techcombank.com/thong-tin/blog/rut-tien-bang-ma-qr-la-gi-cach-thuc-hien-nhu-the-nao
https://techcombank.com/thong-tin/blog/cach-quet-nfc-cccd-tren-iphone")</f>
        <v>https://techcombank.com/thong-tin/blog/ten-dang-nhap-tai-khoan-ngan-hang-la-gi
https://techcombank.com/thong-tin/blog/rut-tien-bang-ma-qr-la-gi-cach-thuc-hien-nhu-the-nao
https://techcombank.com/thong-tin/blog/cach-quet-nfc-cccd-tren-iphone</v>
      </c>
      <c r="D438" s="20"/>
      <c r="E438" s="20"/>
      <c r="F438" s="20"/>
      <c r="G438" s="20"/>
      <c r="H438" s="20"/>
      <c r="I438" s="20"/>
      <c r="J438" s="20"/>
      <c r="K438" s="20"/>
      <c r="L438" s="20"/>
      <c r="M438" s="20"/>
      <c r="N438" s="20"/>
      <c r="O438" s="20"/>
      <c r="P438" s="20"/>
      <c r="Q438" s="20"/>
      <c r="R438" s="20"/>
      <c r="S438" s="20"/>
      <c r="T438" s="20"/>
      <c r="U438" s="20"/>
      <c r="V438" s="20"/>
      <c r="W438" s="20"/>
      <c r="X438" s="20"/>
    </row>
    <row r="439">
      <c r="A439" s="37" t="str">
        <f>IFERROR(__xludf.DUMMYFUNCTION("""COMPUTED_VALUE"""),"https://techcombank.com/thong-tin/blog/gui-tien-sang-nuoc-ngoai")</f>
        <v>https://techcombank.com/thong-tin/blog/gui-tien-sang-nuoc-ngoai</v>
      </c>
      <c r="B439" s="28">
        <f>IFERROR(__xludf.DUMMYFUNCTION("""COMPUTED_VALUE"""),3.0)</f>
        <v>3</v>
      </c>
      <c r="C439" s="20" t="str">
        <f>IFERROR(__xludf.DUMMYFUNCTION("IF(A439="""","""",TEXTJOIN(CHAR(10),TRUE,FILTER('Tổng hợp 75 trang đích'!$B$2:$B$3400,'Tổng hợp 75 trang đích'!$I$2:$I$3400=A439)))"),"https://techcombank.com/thong-tin/blog/tien-dai-loan
https://techcombank.com/thong-tin/blog/tien-thai-lan
https://techcombank.com/thong-tin/blog/cach-nhan-tien-tu-nuoc-ngoai-ve-viet-nam")</f>
        <v>https://techcombank.com/thong-tin/blog/tien-dai-loan
https://techcombank.com/thong-tin/blog/tien-thai-lan
https://techcombank.com/thong-tin/blog/cach-nhan-tien-tu-nuoc-ngoai-ve-viet-nam</v>
      </c>
      <c r="D439" s="20"/>
      <c r="E439" s="20"/>
      <c r="F439" s="20"/>
      <c r="G439" s="20"/>
      <c r="H439" s="20"/>
      <c r="I439" s="20"/>
      <c r="J439" s="20"/>
      <c r="K439" s="20"/>
      <c r="L439" s="20"/>
      <c r="M439" s="20"/>
      <c r="N439" s="20"/>
      <c r="O439" s="20"/>
      <c r="P439" s="20"/>
      <c r="Q439" s="20"/>
      <c r="R439" s="20"/>
      <c r="S439" s="20"/>
      <c r="T439" s="20"/>
      <c r="U439" s="20"/>
      <c r="V439" s="20"/>
      <c r="W439" s="20"/>
      <c r="X439" s="20"/>
    </row>
    <row r="440">
      <c r="A440" s="37" t="str">
        <f>IFERROR(__xludf.DUMMYFUNCTION("""COMPUTED_VALUE"""),"https://techcombank.com/thong-tin/blog/ho-kinh-doanh-la-gi")</f>
        <v>https://techcombank.com/thong-tin/blog/ho-kinh-doanh-la-gi</v>
      </c>
      <c r="B440" s="28">
        <f>IFERROR(__xludf.DUMMYFUNCTION("""COMPUTED_VALUE"""),3.0)</f>
        <v>3</v>
      </c>
      <c r="C440" s="20" t="str">
        <f>IFERROR(__xludf.DUMMYFUNCTION("IF(A440="""","""",TEXTJOIN(CHAR(10),TRUE,FILTER('Tổng hợp 75 trang đích'!$B$2:$B$3400,'Tổng hợp 75 trang đích'!$I$2:$I$3400=A440)))"),"https://techcombank.com/thong-tin/blog/nop-thue-dat-qua-ngan-hang
https://techcombank.com/thong-tin/blog/mo-tai-khoan-ho-kinh-doanh
https://techcombank.com/thong-tin/blog/cach-tinh-thue-ho-kinh-doanh-nho-le")</f>
        <v>https://techcombank.com/thong-tin/blog/nop-thue-dat-qua-ngan-hang
https://techcombank.com/thong-tin/blog/mo-tai-khoan-ho-kinh-doanh
https://techcombank.com/thong-tin/blog/cach-tinh-thue-ho-kinh-doanh-nho-le</v>
      </c>
      <c r="D440" s="20"/>
      <c r="E440" s="20"/>
      <c r="F440" s="20"/>
      <c r="G440" s="20"/>
      <c r="H440" s="20"/>
      <c r="I440" s="20"/>
      <c r="J440" s="20"/>
      <c r="K440" s="20"/>
      <c r="L440" s="20"/>
      <c r="M440" s="20"/>
      <c r="N440" s="20"/>
      <c r="O440" s="20"/>
      <c r="P440" s="20"/>
      <c r="Q440" s="20"/>
      <c r="R440" s="20"/>
      <c r="S440" s="20"/>
      <c r="T440" s="20"/>
      <c r="U440" s="20"/>
      <c r="V440" s="20"/>
      <c r="W440" s="20"/>
      <c r="X440" s="20"/>
    </row>
    <row r="441">
      <c r="A441" s="37" t="str">
        <f>IFERROR(__xludf.DUMMYFUNCTION("""COMPUTED_VALUE"""),"https://techcombank.com/thong-tin/blog/ho-so-vay-von-cua-doanh-nghiep-gom-nhung-gi")</f>
        <v>https://techcombank.com/thong-tin/blog/ho-so-vay-von-cua-doanh-nghiep-gom-nhung-gi</v>
      </c>
      <c r="B441" s="28">
        <f>IFERROR(__xludf.DUMMYFUNCTION("""COMPUTED_VALUE"""),3.0)</f>
        <v>3</v>
      </c>
      <c r="C441" s="20" t="str">
        <f>IFERROR(__xludf.DUMMYFUNCTION("IF(A441="""","""",TEXTJOIN(CHAR(10),TRUE,FILTER('Tổng hợp 75 trang đích'!$B$2:$B$3400,'Tổng hợp 75 trang đích'!$I$2:$I$3400=A441)))"),"https://techcombank.com/thong-tin/blog/cic-la-gi
https://techcombank.com/cong-cu-tien-ich/cong-cu-tinh-toan/bang-tinh-lai-suat-vay
https://techcombank.com/thong-tin/blog/app-vay-tien-nhanh")</f>
        <v>https://techcombank.com/thong-tin/blog/cic-la-gi
https://techcombank.com/cong-cu-tien-ich/cong-cu-tinh-toan/bang-tinh-lai-suat-vay
https://techcombank.com/thong-tin/blog/app-vay-tien-nhanh</v>
      </c>
      <c r="D441" s="20"/>
      <c r="E441" s="20"/>
      <c r="F441" s="20"/>
      <c r="G441" s="20"/>
      <c r="H441" s="20"/>
      <c r="I441" s="20"/>
      <c r="J441" s="20"/>
      <c r="K441" s="20"/>
      <c r="L441" s="20"/>
      <c r="M441" s="20"/>
      <c r="N441" s="20"/>
      <c r="O441" s="20"/>
      <c r="P441" s="20"/>
      <c r="Q441" s="20"/>
      <c r="R441" s="20"/>
      <c r="S441" s="20"/>
      <c r="T441" s="20"/>
      <c r="U441" s="20"/>
      <c r="V441" s="20"/>
      <c r="W441" s="20"/>
      <c r="X441" s="20"/>
    </row>
    <row r="442">
      <c r="A442" s="37" t="str">
        <f>IFERROR(__xludf.DUMMYFUNCTION("""COMPUTED_VALUE"""),"https://techcombank.com/thong-tin/blog/hoc-sinh-sinh-vien-nen-lam-the-ngan-hang-nao")</f>
        <v>https://techcombank.com/thong-tin/blog/hoc-sinh-sinh-vien-nen-lam-the-ngan-hang-nao</v>
      </c>
      <c r="B442" s="28">
        <f>IFERROR(__xludf.DUMMYFUNCTION("""COMPUTED_VALUE"""),3.0)</f>
        <v>3</v>
      </c>
      <c r="C442" s="20" t="str">
        <f>IFERROR(__xludf.DUMMYFUNCTION("IF(A442="""","""",TEXTJOIN(CHAR(10),TRUE,FILTER('Tổng hợp 75 trang đích'!$B$2:$B$3400,'Tổng hợp 75 trang đích'!$I$2:$I$3400=A442)))"),"https://techcombank.com/thong-tin/blog/ngan-hang-uy-tin
https://techcombank.com/thong-tin/blog/bao-nhieu-tuoi-duoc-mo-tai-khoan-ngan-hang
https://techcombank.com/thong-tin/blog/mo-tai-khoan-ngan-hang-duoi-18-tuoi")</f>
        <v>https://techcombank.com/thong-tin/blog/ngan-hang-uy-tin
https://techcombank.com/thong-tin/blog/bao-nhieu-tuoi-duoc-mo-tai-khoan-ngan-hang
https://techcombank.com/thong-tin/blog/mo-tai-khoan-ngan-hang-duoi-18-tuoi</v>
      </c>
      <c r="D442" s="20"/>
      <c r="E442" s="20"/>
      <c r="F442" s="20"/>
      <c r="G442" s="20"/>
      <c r="H442" s="20"/>
      <c r="I442" s="20"/>
      <c r="J442" s="20"/>
      <c r="K442" s="20"/>
      <c r="L442" s="20"/>
      <c r="M442" s="20"/>
      <c r="N442" s="20"/>
      <c r="O442" s="20"/>
      <c r="P442" s="20"/>
      <c r="Q442" s="20"/>
      <c r="R442" s="20"/>
      <c r="S442" s="20"/>
      <c r="T442" s="20"/>
      <c r="U442" s="20"/>
      <c r="V442" s="20"/>
      <c r="W442" s="20"/>
      <c r="X442" s="20"/>
    </row>
    <row r="443">
      <c r="A443" s="37" t="str">
        <f>IFERROR(__xludf.DUMMYFUNCTION("""COMPUTED_VALUE"""),"https://techcombank.com/thong-tin/blog/iban-la-gi")</f>
        <v>https://techcombank.com/thong-tin/blog/iban-la-gi</v>
      </c>
      <c r="B443" s="28">
        <f>IFERROR(__xludf.DUMMYFUNCTION("""COMPUTED_VALUE"""),3.0)</f>
        <v>3</v>
      </c>
      <c r="C443" s="20" t="str">
        <f>IFERROR(__xludf.DUMMYFUNCTION("IF(A443="""","""",TEXTJOIN(CHAR(10),TRUE,FILTER('Tổng hợp 75 trang đích'!$B$2:$B$3400,'Tổng hợp 75 trang đích'!$I$2:$I$3400=A443)))"),"https://techcombank.com/thong-tin/blog/chuyen-khoan-thanh-cong-nhung-khong-nhan-duoc-tien
https://techcombank.com/thong-tin/blog/cic-la-gi
https://techcombank.com/thong-tin/blog/cach-nhan-tien-tu-nuoc-ngoai-ve-viet-nam")</f>
        <v>https://techcombank.com/thong-tin/blog/chuyen-khoan-thanh-cong-nhung-khong-nhan-duoc-tien
https://techcombank.com/thong-tin/blog/cic-la-gi
https://techcombank.com/thong-tin/blog/cach-nhan-tien-tu-nuoc-ngoai-ve-viet-nam</v>
      </c>
      <c r="D443" s="20"/>
      <c r="E443" s="20"/>
      <c r="F443" s="20"/>
      <c r="G443" s="20"/>
      <c r="H443" s="20"/>
      <c r="I443" s="20"/>
      <c r="J443" s="20"/>
      <c r="K443" s="20"/>
      <c r="L443" s="20"/>
      <c r="M443" s="20"/>
      <c r="N443" s="20"/>
      <c r="O443" s="20"/>
      <c r="P443" s="20"/>
      <c r="Q443" s="20"/>
      <c r="R443" s="20"/>
      <c r="S443" s="20"/>
      <c r="T443" s="20"/>
      <c r="U443" s="20"/>
      <c r="V443" s="20"/>
      <c r="W443" s="20"/>
      <c r="X443" s="20"/>
    </row>
    <row r="444">
      <c r="A444" s="37" t="str">
        <f>IFERROR(__xludf.DUMMYFUNCTION("""COMPUTED_VALUE"""),"https://techcombank.com/thong-tin/blog/lam-the-atm-bao-lau-co")</f>
        <v>https://techcombank.com/thong-tin/blog/lam-the-atm-bao-lau-co</v>
      </c>
      <c r="B444" s="28">
        <f>IFERROR(__xludf.DUMMYFUNCTION("""COMPUTED_VALUE"""),3.0)</f>
        <v>3</v>
      </c>
      <c r="C444" s="20" t="str">
        <f>IFERROR(__xludf.DUMMYFUNCTION("IF(A444="""","""",TEXTJOIN(CHAR(10),TRUE,FILTER('Tổng hợp 75 trang đích'!$B$2:$B$3400,'Tổng hợp 75 trang đích'!$I$2:$I$3400=A444)))"),"https://techcombank.com/thong-tin/blog/bao-nhieu-tuoi-duoc-mo-tai-khoan-ngan-hang
https://techcombank.com/thong-tin/blog/nap-tien-vao-tai-khoan-ngan-hang
https://techcombank.com/thong-tin/blog/lam-the-tin-dung")</f>
        <v>https://techcombank.com/thong-tin/blog/bao-nhieu-tuoi-duoc-mo-tai-khoan-ngan-hang
https://techcombank.com/thong-tin/blog/nap-tien-vao-tai-khoan-ngan-hang
https://techcombank.com/thong-tin/blog/lam-the-tin-dung</v>
      </c>
      <c r="D444" s="20"/>
      <c r="E444" s="20"/>
      <c r="F444" s="20"/>
      <c r="G444" s="20"/>
      <c r="H444" s="20"/>
      <c r="I444" s="20"/>
      <c r="J444" s="20"/>
      <c r="K444" s="20"/>
      <c r="L444" s="20"/>
      <c r="M444" s="20"/>
      <c r="N444" s="20"/>
      <c r="O444" s="20"/>
      <c r="P444" s="20"/>
      <c r="Q444" s="20"/>
      <c r="R444" s="20"/>
      <c r="S444" s="20"/>
      <c r="T444" s="20"/>
      <c r="U444" s="20"/>
      <c r="V444" s="20"/>
      <c r="W444" s="20"/>
      <c r="X444" s="20"/>
    </row>
    <row r="445">
      <c r="A445" s="37" t="str">
        <f>IFERROR(__xludf.DUMMYFUNCTION("""COMPUTED_VALUE"""),"https://techcombank.com/thong-tin/blog/lam-the-tin-dung-co-mat-phi-khong")</f>
        <v>https://techcombank.com/thong-tin/blog/lam-the-tin-dung-co-mat-phi-khong</v>
      </c>
      <c r="B445" s="28">
        <f>IFERROR(__xludf.DUMMYFUNCTION("""COMPUTED_VALUE"""),3.0)</f>
        <v>3</v>
      </c>
      <c r="C445" s="20" t="str">
        <f>IFERROR(__xludf.DUMMYFUNCTION("IF(A445="""","""",TEXTJOIN(CHAR(10),TRUE,FILTER('Tổng hợp 75 trang đích'!$B$2:$B$3400,'Tổng hợp 75 trang đích'!$I$2:$I$3400=A445)))"),"https://techcombank.com/thong-tin/blog/rut-tien-mat-tu-the-tin-dung
https://techcombank.com/thong-tin/blog/lam-the-tin-dung
https://techcombank.com/thong-tin/blog/cach-huy-the-tin-dung")</f>
        <v>https://techcombank.com/thong-tin/blog/rut-tien-mat-tu-the-tin-dung
https://techcombank.com/thong-tin/blog/lam-the-tin-dung
https://techcombank.com/thong-tin/blog/cach-huy-the-tin-dung</v>
      </c>
      <c r="D445" s="20"/>
      <c r="E445" s="20"/>
      <c r="F445" s="20"/>
      <c r="G445" s="20"/>
      <c r="H445" s="20"/>
      <c r="I445" s="20"/>
      <c r="J445" s="20"/>
      <c r="K445" s="20"/>
      <c r="L445" s="20"/>
      <c r="M445" s="20"/>
      <c r="N445" s="20"/>
      <c r="O445" s="20"/>
      <c r="P445" s="20"/>
      <c r="Q445" s="20"/>
      <c r="R445" s="20"/>
      <c r="S445" s="20"/>
      <c r="T445" s="20"/>
      <c r="U445" s="20"/>
      <c r="V445" s="20"/>
      <c r="W445" s="20"/>
      <c r="X445" s="20"/>
    </row>
    <row r="446">
      <c r="A446" s="37" t="str">
        <f>IFERROR(__xludf.DUMMYFUNCTION("""COMPUTED_VALUE"""),"https://techcombank.com/thong-tin/blog/lam-the-visa-o-dau")</f>
        <v>https://techcombank.com/thong-tin/blog/lam-the-visa-o-dau</v>
      </c>
      <c r="B446" s="28">
        <f>IFERROR(__xludf.DUMMYFUNCTION("""COMPUTED_VALUE"""),3.0)</f>
        <v>3</v>
      </c>
      <c r="C446" s="20" t="str">
        <f>IFERROR(__xludf.DUMMYFUNCTION("IF(A446="""","""",TEXTJOIN(CHAR(10),TRUE,FILTER('Tổng hợp 75 trang đích'!$B$2:$B$3400,'Tổng hợp 75 trang đích'!$I$2:$I$3400=A446)))"),"https://techcombank.com/thong-tin/blog/ngan-hang-uy-tin
https://techcombank.com/thong-tin/blog/bao-nhieu-tuoi-duoc-mo-tai-khoan-ngan-hang
https://techcombank.com/thong-tin/blog/nen-vay-tin-chap-o-dau")</f>
        <v>https://techcombank.com/thong-tin/blog/ngan-hang-uy-tin
https://techcombank.com/thong-tin/blog/bao-nhieu-tuoi-duoc-mo-tai-khoan-ngan-hang
https://techcombank.com/thong-tin/blog/nen-vay-tin-chap-o-dau</v>
      </c>
      <c r="D446" s="20"/>
      <c r="E446" s="20"/>
      <c r="F446" s="20"/>
      <c r="G446" s="20"/>
      <c r="H446" s="20"/>
      <c r="I446" s="20"/>
      <c r="J446" s="20"/>
      <c r="K446" s="20"/>
      <c r="L446" s="20"/>
      <c r="M446" s="20"/>
      <c r="N446" s="20"/>
      <c r="O446" s="20"/>
      <c r="P446" s="20"/>
      <c r="Q446" s="20"/>
      <c r="R446" s="20"/>
      <c r="S446" s="20"/>
      <c r="T446" s="20"/>
      <c r="U446" s="20"/>
      <c r="V446" s="20"/>
      <c r="W446" s="20"/>
      <c r="X446" s="20"/>
    </row>
    <row r="447">
      <c r="A447" s="37" t="str">
        <f>IFERROR(__xludf.DUMMYFUNCTION("""COMPUTED_VALUE"""),"https://techcombank.com/thong-tin/blog/lich-su-tin-dung")</f>
        <v>https://techcombank.com/thong-tin/blog/lich-su-tin-dung</v>
      </c>
      <c r="B447" s="28">
        <f>IFERROR(__xludf.DUMMYFUNCTION("""COMPUTED_VALUE"""),3.0)</f>
        <v>3</v>
      </c>
      <c r="C447" s="20" t="str">
        <f>IFERROR(__xludf.DUMMYFUNCTION("IF(A447="""","""",TEXTJOIN(CHAR(10),TRUE,FILTER('Tổng hợp 75 trang đích'!$B$2:$B$3400,'Tổng hợp 75 trang đích'!$I$2:$I$3400=A447)))"),"https://techcombank.com/thong-tin/blog/cic-la-gi
https://techcombank.com/thong-tin/blog/xep-hang-tin-dung
https://techcombank.com/thong-tin/blog/app-vay-tien-nhanh")</f>
        <v>https://techcombank.com/thong-tin/blog/cic-la-gi
https://techcombank.com/thong-tin/blog/xep-hang-tin-dung
https://techcombank.com/thong-tin/blog/app-vay-tien-nhanh</v>
      </c>
      <c r="D447" s="20"/>
      <c r="E447" s="20"/>
      <c r="F447" s="20"/>
      <c r="G447" s="20"/>
      <c r="H447" s="20"/>
      <c r="I447" s="20"/>
      <c r="J447" s="20"/>
      <c r="K447" s="20"/>
      <c r="L447" s="20"/>
      <c r="M447" s="20"/>
      <c r="N447" s="20"/>
      <c r="O447" s="20"/>
      <c r="P447" s="20"/>
      <c r="Q447" s="20"/>
      <c r="R447" s="20"/>
      <c r="S447" s="20"/>
      <c r="T447" s="20"/>
      <c r="U447" s="20"/>
      <c r="V447" s="20"/>
      <c r="W447" s="20"/>
      <c r="X447" s="20"/>
    </row>
    <row r="448">
      <c r="A448" s="37" t="str">
        <f>IFERROR(__xludf.DUMMYFUNCTION("""COMPUTED_VALUE"""),"https://techcombank.com/thong-tin/blog/lo-so-tai-khoan-ngan-hang-co-sao-khong")</f>
        <v>https://techcombank.com/thong-tin/blog/lo-so-tai-khoan-ngan-hang-co-sao-khong</v>
      </c>
      <c r="B448" s="28">
        <f>IFERROR(__xludf.DUMMYFUNCTION("""COMPUTED_VALUE"""),3.0)</f>
        <v>3</v>
      </c>
      <c r="C448" s="20" t="str">
        <f>IFERROR(__xludf.DUMMYFUNCTION("IF(A448="""","""",TEXTJOIN(CHAR(10),TRUE,FILTER('Tổng hợp 75 trang đích'!$B$2:$B$3400,'Tổng hợp 75 trang đích'!$I$2:$I$3400=A448)))"),"https://techcombank.com/thong-tin/blog/cach-kiem-tra-tai-khoan-ngan-hang
https://techcombank.com/thong-tin/blog/cach-mo-tai-khoan
https://techcombank.com/thong-tin/blog/ten-dang-nhap-tai-khoan-ngan-hang-la-gi")</f>
        <v>https://techcombank.com/thong-tin/blog/cach-kiem-tra-tai-khoan-ngan-hang
https://techcombank.com/thong-tin/blog/cach-mo-tai-khoan
https://techcombank.com/thong-tin/blog/ten-dang-nhap-tai-khoan-ngan-hang-la-gi</v>
      </c>
      <c r="D448" s="20"/>
      <c r="E448" s="20"/>
      <c r="F448" s="20"/>
      <c r="G448" s="20"/>
      <c r="H448" s="20"/>
      <c r="I448" s="20"/>
      <c r="J448" s="20"/>
      <c r="K448" s="20"/>
      <c r="L448" s="20"/>
      <c r="M448" s="20"/>
      <c r="N448" s="20"/>
      <c r="O448" s="20"/>
      <c r="P448" s="20"/>
      <c r="Q448" s="20"/>
      <c r="R448" s="20"/>
      <c r="S448" s="20"/>
      <c r="T448" s="20"/>
      <c r="U448" s="20"/>
      <c r="V448" s="20"/>
      <c r="W448" s="20"/>
      <c r="X448" s="20"/>
    </row>
    <row r="449">
      <c r="A449" s="37" t="str">
        <f>IFERROR(__xludf.DUMMYFUNCTION("""COMPUTED_VALUE"""),"https://techcombank.com/thong-tin/blog/loyalty-la-gi")</f>
        <v>https://techcombank.com/thong-tin/blog/loyalty-la-gi</v>
      </c>
      <c r="B449" s="28">
        <f>IFERROR(__xludf.DUMMYFUNCTION("""COMPUTED_VALUE"""),3.0)</f>
        <v>3</v>
      </c>
      <c r="C449" s="20" t="str">
        <f>IFERROR(__xludf.DUMMYFUNCTION("IF(A449="""","""",TEXTJOIN(CHAR(10),TRUE,FILTER('Tổng hợp 75 trang đích'!$B$2:$B$3400,'Tổng hợp 75 trang đích'!$I$2:$I$3400=A449)))"),"https://techcombank.com/khach-hang-ca-nhan/chi-tieu/the/the-tin-dung/techcombank-everyday
https://techcombank.com/thong-tin/blog/cach-thanh-toan-the-tin-dung
https://techcombank.com/cong-cu-tien-ich/cong-cu-tinh-toan/bang-tinh-lai-suat-tiet-kiem")</f>
        <v>https://techcombank.com/khach-hang-ca-nhan/chi-tieu/the/the-tin-dung/techcombank-everyday
https://techcombank.com/thong-tin/blog/cach-thanh-toan-the-tin-dung
https://techcombank.com/cong-cu-tien-ich/cong-cu-tinh-toan/bang-tinh-lai-suat-tiet-kiem</v>
      </c>
      <c r="D449" s="20"/>
      <c r="E449" s="20"/>
      <c r="F449" s="20"/>
      <c r="G449" s="20"/>
      <c r="H449" s="20"/>
      <c r="I449" s="20"/>
      <c r="J449" s="20"/>
      <c r="K449" s="20"/>
      <c r="L449" s="20"/>
      <c r="M449" s="20"/>
      <c r="N449" s="20"/>
      <c r="O449" s="20"/>
      <c r="P449" s="20"/>
      <c r="Q449" s="20"/>
      <c r="R449" s="20"/>
      <c r="S449" s="20"/>
      <c r="T449" s="20"/>
      <c r="U449" s="20"/>
      <c r="V449" s="20"/>
      <c r="W449" s="20"/>
      <c r="X449" s="20"/>
    </row>
    <row r="450">
      <c r="A450" s="37" t="str">
        <f>IFERROR(__xludf.DUMMYFUNCTION("""COMPUTED_VALUE"""),"https://techcombank.com/thong-tin/blog/ma-otp-la-gi")</f>
        <v>https://techcombank.com/thong-tin/blog/ma-otp-la-gi</v>
      </c>
      <c r="B450" s="28">
        <f>IFERROR(__xludf.DUMMYFUNCTION("""COMPUTED_VALUE"""),3.0)</f>
        <v>3</v>
      </c>
      <c r="C450" s="20" t="str">
        <f>IFERROR(__xludf.DUMMYFUNCTION("IF(A450="""","""",TEXTJOIN(CHAR(10),TRUE,FILTER('Tổng hợp 75 trang đích'!$B$2:$B$3400,'Tổng hợp 75 trang đích'!$I$2:$I$3400=A450)))"),"https://techcombank.com/thong-tin/blog/bao-nhieu-tuoi-duoc-mo-tai-khoan-ngan-hang
https://techcombank.com/thong-tin/blog/mo-tai-khoan-ngan-hang-duoi-18-tuoi
https://techcombank.com/thong-tin/blog/ten-dang-nhap-tai-khoan-ngan-hang-la-gi")</f>
        <v>https://techcombank.com/thong-tin/blog/bao-nhieu-tuoi-duoc-mo-tai-khoan-ngan-hang
https://techcombank.com/thong-tin/blog/mo-tai-khoan-ngan-hang-duoi-18-tuoi
https://techcombank.com/thong-tin/blog/ten-dang-nhap-tai-khoan-ngan-hang-la-gi</v>
      </c>
      <c r="D450" s="20"/>
      <c r="E450" s="20"/>
      <c r="F450" s="20"/>
      <c r="G450" s="20"/>
      <c r="H450" s="20"/>
      <c r="I450" s="20"/>
      <c r="J450" s="20"/>
      <c r="K450" s="20"/>
      <c r="L450" s="20"/>
      <c r="M450" s="20"/>
      <c r="N450" s="20"/>
      <c r="O450" s="20"/>
      <c r="P450" s="20"/>
      <c r="Q450" s="20"/>
      <c r="R450" s="20"/>
      <c r="S450" s="20"/>
      <c r="T450" s="20"/>
      <c r="U450" s="20"/>
      <c r="V450" s="20"/>
      <c r="W450" s="20"/>
      <c r="X450" s="20"/>
    </row>
    <row r="451">
      <c r="A451" s="37" t="str">
        <f>IFERROR(__xludf.DUMMYFUNCTION("""COMPUTED_VALUE"""),"https://techcombank.com/thong-tin/blog/ma-pin-the-atm")</f>
        <v>https://techcombank.com/thong-tin/blog/ma-pin-the-atm</v>
      </c>
      <c r="B451" s="28">
        <f>IFERROR(__xludf.DUMMYFUNCTION("""COMPUTED_VALUE"""),3.0)</f>
        <v>3</v>
      </c>
      <c r="C451" s="20" t="str">
        <f>IFERROR(__xludf.DUMMYFUNCTION("IF(A451="""","""",TEXTJOIN(CHAR(10),TRUE,FILTER('Tổng hợp 75 trang đích'!$B$2:$B$3400,'Tổng hợp 75 trang đích'!$I$2:$I$3400=A451)))"),"https://techcombank.com/thong-tin/blog/nap-tien-vao-tai-khoan-ngan-hang
https://techcombank.com/thong-tin/blog/cic-la-gi
https://techcombank.com/thong-tin/blog/1-trieu-do-bang-bao-nhieu-tien-viet")</f>
        <v>https://techcombank.com/thong-tin/blog/nap-tien-vao-tai-khoan-ngan-hang
https://techcombank.com/thong-tin/blog/cic-la-gi
https://techcombank.com/thong-tin/blog/1-trieu-do-bang-bao-nhieu-tien-viet</v>
      </c>
      <c r="D451" s="20"/>
      <c r="E451" s="20"/>
      <c r="F451" s="20"/>
      <c r="G451" s="20"/>
      <c r="H451" s="20"/>
      <c r="I451" s="20"/>
      <c r="J451" s="20"/>
      <c r="K451" s="20"/>
      <c r="L451" s="20"/>
      <c r="M451" s="20"/>
      <c r="N451" s="20"/>
      <c r="O451" s="20"/>
      <c r="P451" s="20"/>
      <c r="Q451" s="20"/>
      <c r="R451" s="20"/>
      <c r="S451" s="20"/>
      <c r="T451" s="20"/>
      <c r="U451" s="20"/>
      <c r="V451" s="20"/>
      <c r="W451" s="20"/>
      <c r="X451" s="20"/>
    </row>
    <row r="452">
      <c r="A452" s="37" t="str">
        <f>IFERROR(__xludf.DUMMYFUNCTION("""COMPUTED_VALUE"""),"https://techcombank.com/thong-tin/blog/ma-qr-techcombank")</f>
        <v>https://techcombank.com/thong-tin/blog/ma-qr-techcombank</v>
      </c>
      <c r="B452" s="28">
        <f>IFERROR(__xludf.DUMMYFUNCTION("""COMPUTED_VALUE"""),3.0)</f>
        <v>3</v>
      </c>
      <c r="C452" s="20" t="str">
        <f>IFERROR(__xludf.DUMMYFUNCTION("IF(A452="""","""",TEXTJOIN(CHAR(10),TRUE,FILTER('Tổng hợp 75 trang đích'!$B$2:$B$3400,'Tổng hợp 75 trang đích'!$I$2:$I$3400=A452)))"),"https://techcombank.com/thong-tin/blog/rut-tien-bang-ma-qr-la-gi-cach-thuc-hien-nhu-the-nao
https://techcombank.com/thong-tin/blog/cic-la-gi
https://techcombank.com/thong-tin/blog/gui-ma-qr-ngan-hang")</f>
        <v>https://techcombank.com/thong-tin/blog/rut-tien-bang-ma-qr-la-gi-cach-thuc-hien-nhu-the-nao
https://techcombank.com/thong-tin/blog/cic-la-gi
https://techcombank.com/thong-tin/blog/gui-ma-qr-ngan-hang</v>
      </c>
      <c r="D452" s="20"/>
      <c r="E452" s="20"/>
      <c r="F452" s="20"/>
      <c r="G452" s="20"/>
      <c r="H452" s="20"/>
      <c r="I452" s="20"/>
      <c r="J452" s="20"/>
      <c r="K452" s="20"/>
      <c r="L452" s="20"/>
      <c r="M452" s="20"/>
      <c r="N452" s="20"/>
      <c r="O452" s="20"/>
      <c r="P452" s="20"/>
      <c r="Q452" s="20"/>
      <c r="R452" s="20"/>
      <c r="S452" s="20"/>
      <c r="T452" s="20"/>
      <c r="U452" s="20"/>
      <c r="V452" s="20"/>
      <c r="W452" s="20"/>
      <c r="X452" s="20"/>
    </row>
    <row r="453">
      <c r="A453" s="37" t="str">
        <f>IFERROR(__xludf.DUMMYFUNCTION("""COMPUTED_VALUE"""),"https://techcombank.com/thong-tin/blog/ma-swift-ngan-hang")</f>
        <v>https://techcombank.com/thong-tin/blog/ma-swift-ngan-hang</v>
      </c>
      <c r="B453" s="28">
        <f>IFERROR(__xludf.DUMMYFUNCTION("""COMPUTED_VALUE"""),3.0)</f>
        <v>3</v>
      </c>
      <c r="C453" s="20" t="str">
        <f>IFERROR(__xludf.DUMMYFUNCTION("IF(A453="""","""",TEXTJOIN(CHAR(10),TRUE,FILTER('Tổng hợp 75 trang đích'!$B$2:$B$3400,'Tổng hợp 75 trang đích'!$I$2:$I$3400=A453)))"),"https://techcombank.com/thong-tin/blog/cic-la-gi
https://techcombank.com/thong-tin/blog/tien-nhat
https://techcombank.com/thong-tin/blog/cach-nhan-tien-tu-nuoc-ngoai-ve-viet-nam")</f>
        <v>https://techcombank.com/thong-tin/blog/cic-la-gi
https://techcombank.com/thong-tin/blog/tien-nhat
https://techcombank.com/thong-tin/blog/cach-nhan-tien-tu-nuoc-ngoai-ve-viet-nam</v>
      </c>
      <c r="D453" s="20"/>
      <c r="E453" s="20"/>
      <c r="F453" s="20"/>
      <c r="G453" s="20"/>
      <c r="H453" s="20"/>
      <c r="I453" s="20"/>
      <c r="J453" s="20"/>
      <c r="K453" s="20"/>
      <c r="L453" s="20"/>
      <c r="M453" s="20"/>
      <c r="N453" s="20"/>
      <c r="O453" s="20"/>
      <c r="P453" s="20"/>
      <c r="Q453" s="20"/>
      <c r="R453" s="20"/>
      <c r="S453" s="20"/>
      <c r="T453" s="20"/>
      <c r="U453" s="20"/>
      <c r="V453" s="20"/>
      <c r="W453" s="20"/>
      <c r="X453" s="20"/>
    </row>
    <row r="454">
      <c r="A454" s="37" t="str">
        <f>IFERROR(__xludf.DUMMYFUNCTION("""COMPUTED_VALUE"""),"https://techcombank.com/thong-tin/blog/mau-mo-tai-khoan-doanh-nghiep-techcombank")</f>
        <v>https://techcombank.com/thong-tin/blog/mau-mo-tai-khoan-doanh-nghiep-techcombank</v>
      </c>
      <c r="B454" s="28">
        <f>IFERROR(__xludf.DUMMYFUNCTION("""COMPUTED_VALUE"""),3.0)</f>
        <v>3</v>
      </c>
      <c r="C454" s="20" t="str">
        <f>IFERROR(__xludf.DUMMYFUNCTION("IF(A454="""","""",TEXTJOIN(CHAR(10),TRUE,FILTER('Tổng hợp 75 trang đích'!$B$2:$B$3400,'Tổng hợp 75 trang đích'!$I$2:$I$3400=A454)))"),"https://techcombank.com/thong-tin/blog/cong-ty-su-dung-tai-khoan-ca-nhan
https://techcombank.com/thong-tin/blog/cach-mo-tai-khoan
https://techcombank.com/thong-tin/blog/ten-dang-nhap-tai-khoan-ngan-hang-la-gi")</f>
        <v>https://techcombank.com/thong-tin/blog/cong-ty-su-dung-tai-khoan-ca-nhan
https://techcombank.com/thong-tin/blog/cach-mo-tai-khoan
https://techcombank.com/thong-tin/blog/ten-dang-nhap-tai-khoan-ngan-hang-la-gi</v>
      </c>
      <c r="D454" s="20"/>
      <c r="E454" s="20"/>
      <c r="F454" s="20"/>
      <c r="G454" s="20"/>
      <c r="H454" s="20"/>
      <c r="I454" s="20"/>
      <c r="J454" s="20"/>
      <c r="K454" s="20"/>
      <c r="L454" s="20"/>
      <c r="M454" s="20"/>
      <c r="N454" s="20"/>
      <c r="O454" s="20"/>
      <c r="P454" s="20"/>
      <c r="Q454" s="20"/>
      <c r="R454" s="20"/>
      <c r="S454" s="20"/>
      <c r="T454" s="20"/>
      <c r="U454" s="20"/>
      <c r="V454" s="20"/>
      <c r="W454" s="20"/>
      <c r="X454" s="20"/>
    </row>
    <row r="455">
      <c r="A455" s="37" t="str">
        <f>IFERROR(__xludf.DUMMYFUNCTION("""COMPUTED_VALUE"""),"https://techcombank.com/thong-tin/blog/mo-tai-khoan-ngan-hang-bang-so-dien-thoai")</f>
        <v>https://techcombank.com/thong-tin/blog/mo-tai-khoan-ngan-hang-bang-so-dien-thoai</v>
      </c>
      <c r="B455" s="28">
        <f>IFERROR(__xludf.DUMMYFUNCTION("""COMPUTED_VALUE"""),3.0)</f>
        <v>3</v>
      </c>
      <c r="C455" s="20" t="str">
        <f>IFERROR(__xludf.DUMMYFUNCTION("IF(A455="""","""",TEXTJOIN(CHAR(10),TRUE,FILTER('Tổng hợp 75 trang đích'!$B$2:$B$3400,'Tổng hợp 75 trang đích'!$I$2:$I$3400=A455)))"),"https://techcombank.com/thong-tin/blog/mo-tai-khoan-ngan-hang-duoi-18-tuoi
https://techcombank.com/thong-tin/blog/cach-quet-nfc-cccd-tren-iphone
https://techcombank.com/thong-tin/blog/cic-la-gi")</f>
        <v>https://techcombank.com/thong-tin/blog/mo-tai-khoan-ngan-hang-duoi-18-tuoi
https://techcombank.com/thong-tin/blog/cach-quet-nfc-cccd-tren-iphone
https://techcombank.com/thong-tin/blog/cic-la-gi</v>
      </c>
      <c r="D455" s="20"/>
      <c r="E455" s="20"/>
      <c r="F455" s="20"/>
      <c r="G455" s="20"/>
      <c r="H455" s="20"/>
      <c r="I455" s="20"/>
      <c r="J455" s="20"/>
      <c r="K455" s="20"/>
      <c r="L455" s="20"/>
      <c r="M455" s="20"/>
      <c r="N455" s="20"/>
      <c r="O455" s="20"/>
      <c r="P455" s="20"/>
      <c r="Q455" s="20"/>
      <c r="R455" s="20"/>
      <c r="S455" s="20"/>
      <c r="T455" s="20"/>
      <c r="U455" s="20"/>
      <c r="V455" s="20"/>
      <c r="W455" s="20"/>
      <c r="X455" s="20"/>
    </row>
    <row r="456">
      <c r="A456" s="37" t="str">
        <f>IFERROR(__xludf.DUMMYFUNCTION("""COMPUTED_VALUE"""),"https://techcombank.com/thong-tin/blog/mo-tai-khoan-ngan-hang-cho-tre-em")</f>
        <v>https://techcombank.com/thong-tin/blog/mo-tai-khoan-ngan-hang-cho-tre-em</v>
      </c>
      <c r="B456" s="28">
        <f>IFERROR(__xludf.DUMMYFUNCTION("""COMPUTED_VALUE"""),3.0)</f>
        <v>3</v>
      </c>
      <c r="C456" s="20" t="str">
        <f>IFERROR(__xludf.DUMMYFUNCTION("IF(A456="""","""",TEXTJOIN(CHAR(10),TRUE,FILTER('Tổng hợp 75 trang đích'!$B$2:$B$3400,'Tổng hợp 75 trang đích'!$I$2:$I$3400=A456)))"),"https://techcombank.com/thong-tin/blog/bao-nhieu-tuoi-duoc-mo-tai-khoan-ngan-hang
https://techcombank.com/thong-tin/blog/mo-tai-khoan-ngan-hang-duoi-18-tuoi
https://techcombank.com/thong-tin/blog/lai-suat-tiet-kiem")</f>
        <v>https://techcombank.com/thong-tin/blog/bao-nhieu-tuoi-duoc-mo-tai-khoan-ngan-hang
https://techcombank.com/thong-tin/blog/mo-tai-khoan-ngan-hang-duoi-18-tuoi
https://techcombank.com/thong-tin/blog/lai-suat-tiet-kiem</v>
      </c>
      <c r="D456" s="20"/>
      <c r="E456" s="20"/>
      <c r="F456" s="20"/>
      <c r="G456" s="20"/>
      <c r="H456" s="20"/>
      <c r="I456" s="20"/>
      <c r="J456" s="20"/>
      <c r="K456" s="20"/>
      <c r="L456" s="20"/>
      <c r="M456" s="20"/>
      <c r="N456" s="20"/>
      <c r="O456" s="20"/>
      <c r="P456" s="20"/>
      <c r="Q456" s="20"/>
      <c r="R456" s="20"/>
      <c r="S456" s="20"/>
      <c r="T456" s="20"/>
      <c r="U456" s="20"/>
      <c r="V456" s="20"/>
      <c r="W456" s="20"/>
      <c r="X456" s="20"/>
    </row>
    <row r="457">
      <c r="A457" s="37" t="str">
        <f>IFERROR(__xludf.DUMMYFUNCTION("""COMPUTED_VALUE"""),"https://techcombank.com/thong-tin/blog/mo-tai-khoan-ngan-hang-co-mat-phi-khong")</f>
        <v>https://techcombank.com/thong-tin/blog/mo-tai-khoan-ngan-hang-co-mat-phi-khong</v>
      </c>
      <c r="B457" s="28">
        <f>IFERROR(__xludf.DUMMYFUNCTION("""COMPUTED_VALUE"""),3.0)</f>
        <v>3</v>
      </c>
      <c r="C457" s="20" t="str">
        <f>IFERROR(__xludf.DUMMYFUNCTION("IF(A457="""","""",TEXTJOIN(CHAR(10),TRUE,FILTER('Tổng hợp 75 trang đích'!$B$2:$B$3400,'Tổng hợp 75 trang đích'!$I$2:$I$3400=A457)))"),"https://techcombank.com/thong-tin/blog/cach-tinh-tien-dien-sinh-hoat
https://techcombank.com/thong-tin/blog/cach-kiem-tra-tai-khoan-ngan-hang
https://techcombank.com/thong-tin/blog/cach-mo-tai-khoan")</f>
        <v>https://techcombank.com/thong-tin/blog/cach-tinh-tien-dien-sinh-hoat
https://techcombank.com/thong-tin/blog/cach-kiem-tra-tai-khoan-ngan-hang
https://techcombank.com/thong-tin/blog/cach-mo-tai-khoan</v>
      </c>
      <c r="D457" s="20"/>
      <c r="E457" s="20"/>
      <c r="F457" s="20"/>
      <c r="G457" s="20"/>
      <c r="H457" s="20"/>
      <c r="I457" s="20"/>
      <c r="J457" s="20"/>
      <c r="K457" s="20"/>
      <c r="L457" s="20"/>
      <c r="M457" s="20"/>
      <c r="N457" s="20"/>
      <c r="O457" s="20"/>
      <c r="P457" s="20"/>
      <c r="Q457" s="20"/>
      <c r="R457" s="20"/>
      <c r="S457" s="20"/>
      <c r="T457" s="20"/>
      <c r="U457" s="20"/>
      <c r="V457" s="20"/>
      <c r="W457" s="20"/>
      <c r="X457" s="20"/>
    </row>
    <row r="458">
      <c r="A458" s="37" t="str">
        <f>IFERROR(__xludf.DUMMYFUNCTION("""COMPUTED_VALUE"""),"https://techcombank.com/thong-tin/blog/nen-mo-tai-khoan-ngan-hang-nao-cho-doanh-nghiep")</f>
        <v>https://techcombank.com/thong-tin/blog/nen-mo-tai-khoan-ngan-hang-nao-cho-doanh-nghiep</v>
      </c>
      <c r="B458" s="28">
        <f>IFERROR(__xludf.DUMMYFUNCTION("""COMPUTED_VALUE"""),3.0)</f>
        <v>3</v>
      </c>
      <c r="C458" s="20" t="str">
        <f>IFERROR(__xludf.DUMMYFUNCTION("IF(A458="""","""",TEXTJOIN(CHAR(10),TRUE,FILTER('Tổng hợp 75 trang đích'!$B$2:$B$3400,'Tổng hợp 75 trang đích'!$I$2:$I$3400=A458)))"),"https://techcombank.com/thong-tin/blog/cach-mo-tai-khoan
https://techcombank.com/thong-tin/blog/ngan-hang-uy-tin
https://techcombank.com/thong-tin/blog/day-so-phat-tai-phat-loc")</f>
        <v>https://techcombank.com/thong-tin/blog/cach-mo-tai-khoan
https://techcombank.com/thong-tin/blog/ngan-hang-uy-tin
https://techcombank.com/thong-tin/blog/day-so-phat-tai-phat-loc</v>
      </c>
      <c r="D458" s="20"/>
      <c r="E458" s="20"/>
      <c r="F458" s="20"/>
      <c r="G458" s="20"/>
      <c r="H458" s="20"/>
      <c r="I458" s="20"/>
      <c r="J458" s="20"/>
      <c r="K458" s="20"/>
      <c r="L458" s="20"/>
      <c r="M458" s="20"/>
      <c r="N458" s="20"/>
      <c r="O458" s="20"/>
      <c r="P458" s="20"/>
      <c r="Q458" s="20"/>
      <c r="R458" s="20"/>
      <c r="S458" s="20"/>
      <c r="T458" s="20"/>
      <c r="U458" s="20"/>
      <c r="V458" s="20"/>
      <c r="W458" s="20"/>
      <c r="X458" s="20"/>
    </row>
    <row r="459">
      <c r="A459" s="37" t="str">
        <f>IFERROR(__xludf.DUMMYFUNCTION("""COMPUTED_VALUE"""),"https://techcombank.com/thong-tin/blog/nen-mua-xe-o-to-dien-hay-xe-xang")</f>
        <v>https://techcombank.com/thong-tin/blog/nen-mua-xe-o-to-dien-hay-xe-xang</v>
      </c>
      <c r="B459" s="28">
        <f>IFERROR(__xludf.DUMMYFUNCTION("""COMPUTED_VALUE"""),3.0)</f>
        <v>3</v>
      </c>
      <c r="C459" s="20" t="str">
        <f>IFERROR(__xludf.DUMMYFUNCTION("IF(A459="""","""",TEXTJOIN(CHAR(10),TRUE,FILTER('Tổng hợp 75 trang đích'!$B$2:$B$3400,'Tổng hợp 75 trang đích'!$I$2:$I$3400=A459)))"),"https://techcombank.com/thong-tin/blog/lai-suat-vay-mua-o-to
https://techcombank.com/cong-cu-tien-ich/cong-cu-tinh-toan/bang-tinh-lai-suat-vay
https://techcombank.com/thong-tin/blog/app-vay-tien-nhanh")</f>
        <v>https://techcombank.com/thong-tin/blog/lai-suat-vay-mua-o-to
https://techcombank.com/cong-cu-tien-ich/cong-cu-tinh-toan/bang-tinh-lai-suat-vay
https://techcombank.com/thong-tin/blog/app-vay-tien-nhanh</v>
      </c>
      <c r="D459" s="20"/>
      <c r="E459" s="20"/>
      <c r="F459" s="20"/>
      <c r="G459" s="20"/>
      <c r="H459" s="20"/>
      <c r="I459" s="20"/>
      <c r="J459" s="20"/>
      <c r="K459" s="20"/>
      <c r="L459" s="20"/>
      <c r="M459" s="20"/>
      <c r="N459" s="20"/>
      <c r="O459" s="20"/>
      <c r="P459" s="20"/>
      <c r="Q459" s="20"/>
      <c r="R459" s="20"/>
      <c r="S459" s="20"/>
      <c r="T459" s="20"/>
      <c r="U459" s="20"/>
      <c r="V459" s="20"/>
      <c r="W459" s="20"/>
      <c r="X459" s="20"/>
    </row>
    <row r="460">
      <c r="A460" s="37" t="str">
        <f>IFERROR(__xludf.DUMMYFUNCTION("""COMPUTED_VALUE"""),"https://techcombank.com/thong-tin/blog/nguyen-tac-quan-ly-tai-chinh-ca-nhan")</f>
        <v>https://techcombank.com/thong-tin/blog/nguyen-tac-quan-ly-tai-chinh-ca-nhan</v>
      </c>
      <c r="B460" s="28">
        <f>IFERROR(__xludf.DUMMYFUNCTION("""COMPUTED_VALUE"""),3.0)</f>
        <v>3</v>
      </c>
      <c r="C460" s="20" t="str">
        <f>IFERROR(__xludf.DUMMYFUNCTION("IF(A460="""","""",TEXTJOIN(CHAR(10),TRUE,FILTER('Tổng hợp 75 trang đích'!$B$2:$B$3400,'Tổng hợp 75 trang đích'!$I$2:$I$3400=A460)))"),"https://techcombank.com/thong-tin/blog/chung-chi-tien-gui-la-gi
https://techcombank.com/thong-tin/blog/lai-suat-chung-chi-tien-gui-cac-ngan-hang
https://techcombank.com/thong-tin/blog/lai-suat-tiet-kiem")</f>
        <v>https://techcombank.com/thong-tin/blog/chung-chi-tien-gui-la-gi
https://techcombank.com/thong-tin/blog/lai-suat-chung-chi-tien-gui-cac-ngan-hang
https://techcombank.com/thong-tin/blog/lai-suat-tiet-kiem</v>
      </c>
      <c r="D460" s="20"/>
      <c r="E460" s="20"/>
      <c r="F460" s="20"/>
      <c r="G460" s="20"/>
      <c r="H460" s="20"/>
      <c r="I460" s="20"/>
      <c r="J460" s="20"/>
      <c r="K460" s="20"/>
      <c r="L460" s="20"/>
      <c r="M460" s="20"/>
      <c r="N460" s="20"/>
      <c r="O460" s="20"/>
      <c r="P460" s="20"/>
      <c r="Q460" s="20"/>
      <c r="R460" s="20"/>
      <c r="S460" s="20"/>
      <c r="T460" s="20"/>
      <c r="U460" s="20"/>
      <c r="V460" s="20"/>
      <c r="W460" s="20"/>
      <c r="X460" s="20"/>
    </row>
    <row r="461">
      <c r="A461" s="37" t="str">
        <f>IFERROR(__xludf.DUMMYFUNCTION("""COMPUTED_VALUE"""),"https://techcombank.com/thong-tin/blog/nhan-tien-western-union")</f>
        <v>https://techcombank.com/thong-tin/blog/nhan-tien-western-union</v>
      </c>
      <c r="B461" s="28">
        <f>IFERROR(__xludf.DUMMYFUNCTION("""COMPUTED_VALUE"""),3.0)</f>
        <v>3</v>
      </c>
      <c r="C461" s="20" t="str">
        <f>IFERROR(__xludf.DUMMYFUNCTION("IF(A461="""","""",TEXTJOIN(CHAR(10),TRUE,FILTER('Tổng hợp 75 trang đích'!$B$2:$B$3400,'Tổng hợp 75 trang đích'!$I$2:$I$3400=A461)))"),"https://techcombank.com/thong-tin/blog/tien-thai-lan
https://techcombank.com/thong-tin/blog/cach-nhan-tien-tu-nuoc-ngoai-ve-viet-nam
https://techcombank.com/thong-tin/blog/doi-tien-do-o-dau")</f>
        <v>https://techcombank.com/thong-tin/blog/tien-thai-lan
https://techcombank.com/thong-tin/blog/cach-nhan-tien-tu-nuoc-ngoai-ve-viet-nam
https://techcombank.com/thong-tin/blog/doi-tien-do-o-dau</v>
      </c>
      <c r="D461" s="20"/>
      <c r="E461" s="20"/>
      <c r="F461" s="20"/>
      <c r="G461" s="20"/>
      <c r="H461" s="20"/>
      <c r="I461" s="20"/>
      <c r="J461" s="20"/>
      <c r="K461" s="20"/>
      <c r="L461" s="20"/>
      <c r="M461" s="20"/>
      <c r="N461" s="20"/>
      <c r="O461" s="20"/>
      <c r="P461" s="20"/>
      <c r="Q461" s="20"/>
      <c r="R461" s="20"/>
      <c r="S461" s="20"/>
      <c r="T461" s="20"/>
      <c r="U461" s="20"/>
      <c r="V461" s="20"/>
      <c r="W461" s="20"/>
      <c r="X461" s="20"/>
    </row>
    <row r="462">
      <c r="A462" s="37" t="str">
        <f>IFERROR(__xludf.DUMMYFUNCTION("""COMPUTED_VALUE"""),"https://techcombank.com/thong-tin/blog/nhung-kho-khan-khi-tiet-kiem-tien")</f>
        <v>https://techcombank.com/thong-tin/blog/nhung-kho-khan-khi-tiet-kiem-tien</v>
      </c>
      <c r="B462" s="28">
        <f>IFERROR(__xludf.DUMMYFUNCTION("""COMPUTED_VALUE"""),3.0)</f>
        <v>3</v>
      </c>
      <c r="C462" s="20" t="str">
        <f>IFERROR(__xludf.DUMMYFUNCTION("IF(A462="""","""",TEXTJOIN(CHAR(10),TRUE,FILTER('Tổng hợp 75 trang đích'!$B$2:$B$3400,'Tổng hợp 75 trang đích'!$I$2:$I$3400=A462)))"),"https://techcombank.com/thong-tin/blog/cach-nap-the-viettel
https://techcombank.com/thong-tin/blog/lai-suat-tiet-kiem
https://techcombank.com/thong-tin/blog/cach-tinh-lai-suat-tien-gui-tiet-kiem")</f>
        <v>https://techcombank.com/thong-tin/blog/cach-nap-the-viettel
https://techcombank.com/thong-tin/blog/lai-suat-tiet-kiem
https://techcombank.com/thong-tin/blog/cach-tinh-lai-suat-tien-gui-tiet-kiem</v>
      </c>
      <c r="D462" s="20"/>
      <c r="E462" s="20"/>
      <c r="F462" s="20"/>
      <c r="G462" s="20"/>
      <c r="H462" s="20"/>
      <c r="I462" s="20"/>
      <c r="J462" s="20"/>
      <c r="K462" s="20"/>
      <c r="L462" s="20"/>
      <c r="M462" s="20"/>
      <c r="N462" s="20"/>
      <c r="O462" s="20"/>
      <c r="P462" s="20"/>
      <c r="Q462" s="20"/>
      <c r="R462" s="20"/>
      <c r="S462" s="20"/>
      <c r="T462" s="20"/>
      <c r="U462" s="20"/>
      <c r="V462" s="20"/>
      <c r="W462" s="20"/>
      <c r="X462" s="20"/>
    </row>
    <row r="463">
      <c r="A463" s="37" t="str">
        <f>IFERROR(__xludf.DUMMYFUNCTION("""COMPUTED_VALUE"""),"https://techcombank.com/thong-tin/blog/nim-la-gi")</f>
        <v>https://techcombank.com/thong-tin/blog/nim-la-gi</v>
      </c>
      <c r="B463" s="28">
        <f>IFERROR(__xludf.DUMMYFUNCTION("""COMPUTED_VALUE"""),3.0)</f>
        <v>3</v>
      </c>
      <c r="C463" s="20" t="str">
        <f>IFERROR(__xludf.DUMMYFUNCTION("IF(A463="""","""",TEXTJOIN(CHAR(10),TRUE,FILTER('Tổng hợp 75 trang đích'!$B$2:$B$3400,'Tổng hợp 75 trang đích'!$I$2:$I$3400=A463)))"),"https://techcombank.com/thong-tin/blog/mo-hinh-kinh-doanh-la-gi
https://techcombank.com/thong-tin/blog/app-vay-tien-nhanh
https://techcombank.com/thong-tin/blog/no-xau-la-gi")</f>
        <v>https://techcombank.com/thong-tin/blog/mo-hinh-kinh-doanh-la-gi
https://techcombank.com/thong-tin/blog/app-vay-tien-nhanh
https://techcombank.com/thong-tin/blog/no-xau-la-gi</v>
      </c>
      <c r="D463" s="20"/>
      <c r="E463" s="20"/>
      <c r="F463" s="20"/>
      <c r="G463" s="20"/>
      <c r="H463" s="20"/>
      <c r="I463" s="20"/>
      <c r="J463" s="20"/>
      <c r="K463" s="20"/>
      <c r="L463" s="20"/>
      <c r="M463" s="20"/>
      <c r="N463" s="20"/>
      <c r="O463" s="20"/>
      <c r="P463" s="20"/>
      <c r="Q463" s="20"/>
      <c r="R463" s="20"/>
      <c r="S463" s="20"/>
      <c r="T463" s="20"/>
      <c r="U463" s="20"/>
      <c r="V463" s="20"/>
      <c r="W463" s="20"/>
      <c r="X463" s="20"/>
    </row>
    <row r="464">
      <c r="A464" s="37" t="str">
        <f>IFERROR(__xludf.DUMMYFUNCTION("""COMPUTED_VALUE"""),"https://techcombank.com/thong-tin/blog/nop-tien-mat-vao-tai-khoan-cong-ty")</f>
        <v>https://techcombank.com/thong-tin/blog/nop-tien-mat-vao-tai-khoan-cong-ty</v>
      </c>
      <c r="B464" s="28">
        <f>IFERROR(__xludf.DUMMYFUNCTION("""COMPUTED_VALUE"""),3.0)</f>
        <v>3</v>
      </c>
      <c r="C464" s="20" t="str">
        <f>IFERROR(__xludf.DUMMYFUNCTION("IF(A464="""","""",TEXTJOIN(CHAR(10),TRUE,FILTER('Tổng hợp 75 trang đích'!$B$2:$B$3400,'Tổng hợp 75 trang đích'!$I$2:$I$3400=A464)))"),"https://techcombank.com/thong-tin/blog/nop-thue-dat-qua-ngan-hang
https://techcombank.com/thong-tin/blog/cong-ty-su-dung-tai-khoan-ca-nhan
https://techcombank.com/thong-tin/blog/nap-tien-vao-tai-khoan-ngan-hang")</f>
        <v>https://techcombank.com/thong-tin/blog/nop-thue-dat-qua-ngan-hang
https://techcombank.com/thong-tin/blog/cong-ty-su-dung-tai-khoan-ca-nhan
https://techcombank.com/thong-tin/blog/nap-tien-vao-tai-khoan-ngan-hang</v>
      </c>
      <c r="D464" s="20"/>
      <c r="E464" s="20"/>
      <c r="F464" s="20"/>
      <c r="G464" s="20"/>
      <c r="H464" s="20"/>
      <c r="I464" s="20"/>
      <c r="J464" s="20"/>
      <c r="K464" s="20"/>
      <c r="L464" s="20"/>
      <c r="M464" s="20"/>
      <c r="N464" s="20"/>
      <c r="O464" s="20"/>
      <c r="P464" s="20"/>
      <c r="Q464" s="20"/>
      <c r="R464" s="20"/>
      <c r="S464" s="20"/>
      <c r="T464" s="20"/>
      <c r="U464" s="20"/>
      <c r="V464" s="20"/>
      <c r="W464" s="20"/>
      <c r="X464" s="20"/>
    </row>
    <row r="465">
      <c r="A465" s="37" t="str">
        <f>IFERROR(__xludf.DUMMYFUNCTION("""COMPUTED_VALUE"""),"https://techcombank.com/thong-tin/blog/phat-cham-dang-ky-thue-ho-kinh-doanh")</f>
        <v>https://techcombank.com/thong-tin/blog/phat-cham-dang-ky-thue-ho-kinh-doanh</v>
      </c>
      <c r="B465" s="28">
        <f>IFERROR(__xludf.DUMMYFUNCTION("""COMPUTED_VALUE"""),3.0)</f>
        <v>3</v>
      </c>
      <c r="C465" s="20" t="str">
        <f>IFERROR(__xludf.DUMMYFUNCTION("IF(A465="""","""",TEXTJOIN(CHAR(10),TRUE,FILTER('Tổng hợp 75 trang đích'!$B$2:$B$3400,'Tổng hợp 75 trang đích'!$I$2:$I$3400=A465)))"),"https://techcombank.com/thong-tin/blog/nop-thue-dat-qua-ngan-hang
https://techcombank.com/thong-tin/blog/cach-nop-thue-dien-tu
https://techcombank.com/thong-tin/blog/ho-kinh-doanh-dong-thue-nhu-nao")</f>
        <v>https://techcombank.com/thong-tin/blog/nop-thue-dat-qua-ngan-hang
https://techcombank.com/thong-tin/blog/cach-nop-thue-dien-tu
https://techcombank.com/thong-tin/blog/ho-kinh-doanh-dong-thue-nhu-nao</v>
      </c>
      <c r="D465" s="20"/>
      <c r="E465" s="20"/>
      <c r="F465" s="20"/>
      <c r="G465" s="20"/>
      <c r="H465" s="20"/>
      <c r="I465" s="20"/>
      <c r="J465" s="20"/>
      <c r="K465" s="20"/>
      <c r="L465" s="20"/>
      <c r="M465" s="20"/>
      <c r="N465" s="20"/>
      <c r="O465" s="20"/>
      <c r="P465" s="20"/>
      <c r="Q465" s="20"/>
      <c r="R465" s="20"/>
      <c r="S465" s="20"/>
      <c r="T465" s="20"/>
      <c r="U465" s="20"/>
      <c r="V465" s="20"/>
      <c r="W465" s="20"/>
      <c r="X465" s="20"/>
    </row>
    <row r="466">
      <c r="A466" s="37" t="str">
        <f>IFERROR(__xludf.DUMMYFUNCTION("""COMPUTED_VALUE"""),"https://techcombank.com/thong-tin/blog/pos")</f>
        <v>https://techcombank.com/thong-tin/blog/pos</v>
      </c>
      <c r="B466" s="28">
        <f>IFERROR(__xludf.DUMMYFUNCTION("""COMPUTED_VALUE"""),3.0)</f>
        <v>3</v>
      </c>
      <c r="C466" s="20" t="str">
        <f>IFERROR(__xludf.DUMMYFUNCTION("IF(A466="""","""",TEXTJOIN(CHAR(10),TRUE,FILTER('Tổng hợp 75 trang đích'!$B$2:$B$3400,'Tổng hợp 75 trang đích'!$I$2:$I$3400=A466)))"),"https://techcombank.com/thong-tin/blog/rut-tien-bang-ma-qr-la-gi-cach-thuc-hien-nhu-the-nao
https://techcombank.com/thong-tin/blog/mo-hinh-kinh-doanh-la-gi
https://techcombank.com/thong-tin/blog/gui-ma-qr-ngan-hang")</f>
        <v>https://techcombank.com/thong-tin/blog/rut-tien-bang-ma-qr-la-gi-cach-thuc-hien-nhu-the-nao
https://techcombank.com/thong-tin/blog/mo-hinh-kinh-doanh-la-gi
https://techcombank.com/thong-tin/blog/gui-ma-qr-ngan-hang</v>
      </c>
      <c r="D466" s="20"/>
      <c r="E466" s="20"/>
      <c r="F466" s="20"/>
      <c r="G466" s="20"/>
      <c r="H466" s="20"/>
      <c r="I466" s="20"/>
      <c r="J466" s="20"/>
      <c r="K466" s="20"/>
      <c r="L466" s="20"/>
      <c r="M466" s="20"/>
      <c r="N466" s="20"/>
      <c r="O466" s="20"/>
      <c r="P466" s="20"/>
      <c r="Q466" s="20"/>
      <c r="R466" s="20"/>
      <c r="S466" s="20"/>
      <c r="T466" s="20"/>
      <c r="U466" s="20"/>
      <c r="V466" s="20"/>
      <c r="W466" s="20"/>
      <c r="X466" s="20"/>
    </row>
    <row r="467">
      <c r="A467" s="37" t="str">
        <f>IFERROR(__xludf.DUMMYFUNCTION("""COMPUTED_VALUE"""),"https://techcombank.com/thong-tin/blog/qr-code-doanh-nghiep")</f>
        <v>https://techcombank.com/thong-tin/blog/qr-code-doanh-nghiep</v>
      </c>
      <c r="B467" s="28">
        <f>IFERROR(__xludf.DUMMYFUNCTION("""COMPUTED_VALUE"""),3.0)</f>
        <v>3</v>
      </c>
      <c r="C467" s="20" t="str">
        <f>IFERROR(__xludf.DUMMYFUNCTION("IF(A467="""","""",TEXTJOIN(CHAR(10),TRUE,FILTER('Tổng hợp 75 trang đích'!$B$2:$B$3400,'Tổng hợp 75 trang đích'!$I$2:$I$3400=A467)))"),"https://techcombank.com/thong-tin/blog/rut-tien-bang-ma-qr-la-gi-cach-thuc-hien-nhu-the-nao
https://techcombank.com/thong-tin/blog/eco-card
https://techcombank.com/thong-tin/blog/gui-ma-qr-ngan-hang")</f>
        <v>https://techcombank.com/thong-tin/blog/rut-tien-bang-ma-qr-la-gi-cach-thuc-hien-nhu-the-nao
https://techcombank.com/thong-tin/blog/eco-card
https://techcombank.com/thong-tin/blog/gui-ma-qr-ngan-hang</v>
      </c>
      <c r="D467" s="20"/>
      <c r="E467" s="20"/>
      <c r="F467" s="20"/>
      <c r="G467" s="20"/>
      <c r="H467" s="20"/>
      <c r="I467" s="20"/>
      <c r="J467" s="20"/>
      <c r="K467" s="20"/>
      <c r="L467" s="20"/>
      <c r="M467" s="20"/>
      <c r="N467" s="20"/>
      <c r="O467" s="20"/>
      <c r="P467" s="20"/>
      <c r="Q467" s="20"/>
      <c r="R467" s="20"/>
      <c r="S467" s="20"/>
      <c r="T467" s="20"/>
      <c r="U467" s="20"/>
      <c r="V467" s="20"/>
      <c r="W467" s="20"/>
      <c r="X467" s="20"/>
    </row>
    <row r="468">
      <c r="A468" s="37" t="str">
        <f>IFERROR(__xludf.DUMMYFUNCTION("""COMPUTED_VALUE"""),"https://techcombank.com/thong-tin/blog/qr-dong")</f>
        <v>https://techcombank.com/thong-tin/blog/qr-dong</v>
      </c>
      <c r="B468" s="28">
        <f>IFERROR(__xludf.DUMMYFUNCTION("""COMPUTED_VALUE"""),3.0)</f>
        <v>3</v>
      </c>
      <c r="C468" s="20" t="str">
        <f>IFERROR(__xludf.DUMMYFUNCTION("IF(A468="""","""",TEXTJOIN(CHAR(10),TRUE,FILTER('Tổng hợp 75 trang đích'!$B$2:$B$3400,'Tổng hợp 75 trang đích'!$I$2:$I$3400=A468)))"),"https://techcombank.com/thong-tin/blog/rut-tien-bang-ma-qr-la-gi-cach-thuc-hien-nhu-the-nao
https://techcombank.com/thong-tin/blog/cic-la-gi
https://techcombank.com/thong-tin/blog/gui-ma-qr-ngan-hang")</f>
        <v>https://techcombank.com/thong-tin/blog/rut-tien-bang-ma-qr-la-gi-cach-thuc-hien-nhu-the-nao
https://techcombank.com/thong-tin/blog/cic-la-gi
https://techcombank.com/thong-tin/blog/gui-ma-qr-ngan-hang</v>
      </c>
      <c r="D468" s="20"/>
      <c r="E468" s="20"/>
      <c r="F468" s="20"/>
      <c r="G468" s="20"/>
      <c r="H468" s="20"/>
      <c r="I468" s="20"/>
      <c r="J468" s="20"/>
      <c r="K468" s="20"/>
      <c r="L468" s="20"/>
      <c r="M468" s="20"/>
      <c r="N468" s="20"/>
      <c r="O468" s="20"/>
      <c r="P468" s="20"/>
      <c r="Q468" s="20"/>
      <c r="R468" s="20"/>
      <c r="S468" s="20"/>
      <c r="T468" s="20"/>
      <c r="U468" s="20"/>
      <c r="V468" s="20"/>
      <c r="W468" s="20"/>
      <c r="X468" s="20"/>
    </row>
    <row r="469">
      <c r="A469" s="37" t="str">
        <f>IFERROR(__xludf.DUMMYFUNCTION("""COMPUTED_VALUE"""),"https://techcombank.com/thong-tin/blog/quan-ly-tai-chinh-doanh-nghiep-nho")</f>
        <v>https://techcombank.com/thong-tin/blog/quan-ly-tai-chinh-doanh-nghiep-nho</v>
      </c>
      <c r="B469" s="28">
        <f>IFERROR(__xludf.DUMMYFUNCTION("""COMPUTED_VALUE"""),3.0)</f>
        <v>3</v>
      </c>
      <c r="C469" s="20" t="str">
        <f>IFERROR(__xludf.DUMMYFUNCTION("IF(A469="""","""",TEXTJOIN(CHAR(10),TRUE,FILTER('Tổng hợp 75 trang đích'!$B$2:$B$3400,'Tổng hợp 75 trang đích'!$I$2:$I$3400=A469)))"),"https://techcombank.com/thong-tin/blog/lai-suat-chung-chi-tien-gui-cac-ngan-hang
https://techcombank.com/thong-tin/blog/lai-suat-tiet-kiem
https://techcombank.com/thong-tin/blog/app-vay-tien-nhanh")</f>
        <v>https://techcombank.com/thong-tin/blog/lai-suat-chung-chi-tien-gui-cac-ngan-hang
https://techcombank.com/thong-tin/blog/lai-suat-tiet-kiem
https://techcombank.com/thong-tin/blog/app-vay-tien-nhanh</v>
      </c>
      <c r="D469" s="20"/>
      <c r="E469" s="20"/>
      <c r="F469" s="20"/>
      <c r="G469" s="20"/>
      <c r="H469" s="20"/>
      <c r="I469" s="20"/>
      <c r="J469" s="20"/>
      <c r="K469" s="20"/>
      <c r="L469" s="20"/>
      <c r="M469" s="20"/>
      <c r="N469" s="20"/>
      <c r="O469" s="20"/>
      <c r="P469" s="20"/>
      <c r="Q469" s="20"/>
      <c r="R469" s="20"/>
      <c r="S469" s="20"/>
      <c r="T469" s="20"/>
      <c r="U469" s="20"/>
      <c r="V469" s="20"/>
      <c r="W469" s="20"/>
      <c r="X469" s="20"/>
    </row>
    <row r="470">
      <c r="A470" s="37" t="str">
        <f>IFERROR(__xludf.DUMMYFUNCTION("""COMPUTED_VALUE"""),"https://techcombank.com/thong-tin/blog/quy-gia-dinh")</f>
        <v>https://techcombank.com/thong-tin/blog/quy-gia-dinh</v>
      </c>
      <c r="B470" s="28">
        <f>IFERROR(__xludf.DUMMYFUNCTION("""COMPUTED_VALUE"""),3.0)</f>
        <v>3</v>
      </c>
      <c r="C470" s="20" t="str">
        <f>IFERROR(__xludf.DUMMYFUNCTION("IF(A470="""","""",TEXTJOIN(CHAR(10),TRUE,FILTER('Tổng hợp 75 trang đích'!$B$2:$B$3400,'Tổng hợp 75 trang đích'!$I$2:$I$3400=A470)))"),"https://techcombank.com/thong-tin/blog/mo-tai-khoan-ngan-hang-duoi-18-tuoi
https://techcombank.com/thong-tin/blog/traveloka-voucher
https://techcombank.com/cong-cu-tien-ich/cong-cu-tinh-toan/bang-tinh-lai-suat-tiet-kiem")</f>
        <v>https://techcombank.com/thong-tin/blog/mo-tai-khoan-ngan-hang-duoi-18-tuoi
https://techcombank.com/thong-tin/blog/traveloka-voucher
https://techcombank.com/cong-cu-tien-ich/cong-cu-tinh-toan/bang-tinh-lai-suat-tiet-kiem</v>
      </c>
      <c r="D470" s="20"/>
      <c r="E470" s="20"/>
      <c r="F470" s="20"/>
      <c r="G470" s="20"/>
      <c r="H470" s="20"/>
      <c r="I470" s="20"/>
      <c r="J470" s="20"/>
      <c r="K470" s="20"/>
      <c r="L470" s="20"/>
      <c r="M470" s="20"/>
      <c r="N470" s="20"/>
      <c r="O470" s="20"/>
      <c r="P470" s="20"/>
      <c r="Q470" s="20"/>
      <c r="R470" s="20"/>
      <c r="S470" s="20"/>
      <c r="T470" s="20"/>
      <c r="U470" s="20"/>
      <c r="V470" s="20"/>
      <c r="W470" s="20"/>
      <c r="X470" s="20"/>
    </row>
    <row r="471">
      <c r="A471" s="37" t="str">
        <f>IFERROR(__xludf.DUMMYFUNCTION("""COMPUTED_VALUE"""),"https://techcombank.com/thong-tin/blog/roa")</f>
        <v>https://techcombank.com/thong-tin/blog/roa</v>
      </c>
      <c r="B471" s="28">
        <f>IFERROR(__xludf.DUMMYFUNCTION("""COMPUTED_VALUE"""),3.0)</f>
        <v>3</v>
      </c>
      <c r="C471" s="20" t="str">
        <f>IFERROR(__xludf.DUMMYFUNCTION("IF(A471="""","""",TEXTJOIN(CHAR(10),TRUE,FILTER('Tổng hợp 75 trang đích'!$B$2:$B$3400,'Tổng hợp 75 trang đích'!$I$2:$I$3400=A471)))"),"https://techcombank.com/thong-tin/blog/nop-thue-dat-qua-ngan-hang
https://techcombank.com/thong-tin/blog/thue-thu-nhap-doanh-nghiep
https://techcombank.com/thong-tin/blog/mo-hinh-kinh-doanh-la-gi")</f>
        <v>https://techcombank.com/thong-tin/blog/nop-thue-dat-qua-ngan-hang
https://techcombank.com/thong-tin/blog/thue-thu-nhap-doanh-nghiep
https://techcombank.com/thong-tin/blog/mo-hinh-kinh-doanh-la-gi</v>
      </c>
      <c r="D471" s="20"/>
      <c r="E471" s="20"/>
      <c r="F471" s="20"/>
      <c r="G471" s="20"/>
      <c r="H471" s="20"/>
      <c r="I471" s="20"/>
      <c r="J471" s="20"/>
      <c r="K471" s="20"/>
      <c r="L471" s="20"/>
      <c r="M471" s="20"/>
      <c r="N471" s="20"/>
      <c r="O471" s="20"/>
      <c r="P471" s="20"/>
      <c r="Q471" s="20"/>
      <c r="R471" s="20"/>
      <c r="S471" s="20"/>
      <c r="T471" s="20"/>
      <c r="U471" s="20"/>
      <c r="V471" s="20"/>
      <c r="W471" s="20"/>
      <c r="X471" s="20"/>
    </row>
    <row r="472">
      <c r="A472" s="37" t="str">
        <f>IFERROR(__xludf.DUMMYFUNCTION("""COMPUTED_VALUE"""),"https://techcombank.com/thong-tin/blog/rut-tien-bang-ma-qr-la-gi-cach-thuc-hien-nhu-the-nao")</f>
        <v>https://techcombank.com/thong-tin/blog/rut-tien-bang-ma-qr-la-gi-cach-thuc-hien-nhu-the-nao</v>
      </c>
      <c r="B472" s="28">
        <f>IFERROR(__xludf.DUMMYFUNCTION("""COMPUTED_VALUE"""),3.0)</f>
        <v>3</v>
      </c>
      <c r="C472" s="20" t="str">
        <f>IFERROR(__xludf.DUMMYFUNCTION("IF(A472="""","""",TEXTJOIN(CHAR(10),TRUE,FILTER('Tổng hợp 75 trang đích'!$B$2:$B$3400,'Tổng hợp 75 trang đích'!$I$2:$I$3400=A472)))"),"https://techcombank.com/thong-tin/blog/nap-tien-vao-tai-khoan-ngan-hang
https://techcombank.com/thong-tin/blog/rut-tien-mat-tu-the-tin-dung
https://techcombank.com/thong-tin/blog/gui-ma-qr-ngan-hang")</f>
        <v>https://techcombank.com/thong-tin/blog/nap-tien-vao-tai-khoan-ngan-hang
https://techcombank.com/thong-tin/blog/rut-tien-mat-tu-the-tin-dung
https://techcombank.com/thong-tin/blog/gui-ma-qr-ngan-hang</v>
      </c>
      <c r="D472" s="20"/>
      <c r="E472" s="20"/>
      <c r="F472" s="20"/>
      <c r="G472" s="20"/>
      <c r="H472" s="20"/>
      <c r="I472" s="20"/>
      <c r="J472" s="20"/>
      <c r="K472" s="20"/>
      <c r="L472" s="20"/>
      <c r="M472" s="20"/>
      <c r="N472" s="20"/>
      <c r="O472" s="20"/>
      <c r="P472" s="20"/>
      <c r="Q472" s="20"/>
      <c r="R472" s="20"/>
      <c r="S472" s="20"/>
      <c r="T472" s="20"/>
      <c r="U472" s="20"/>
      <c r="V472" s="20"/>
      <c r="W472" s="20"/>
      <c r="X472" s="20"/>
    </row>
    <row r="473">
      <c r="A473" s="37" t="str">
        <f>IFERROR(__xludf.DUMMYFUNCTION("""COMPUTED_VALUE"""),"https://techcombank.com/thong-tin/blog/sao-ke-luong")</f>
        <v>https://techcombank.com/thong-tin/blog/sao-ke-luong</v>
      </c>
      <c r="B473" s="28">
        <f>IFERROR(__xludf.DUMMYFUNCTION("""COMPUTED_VALUE"""),3.0)</f>
        <v>3</v>
      </c>
      <c r="C473" s="20" t="str">
        <f>IFERROR(__xludf.DUMMYFUNCTION("IF(A473="""","""",TEXTJOIN(CHAR(10),TRUE,FILTER('Tổng hợp 75 trang đích'!$B$2:$B$3400,'Tổng hợp 75 trang đích'!$I$2:$I$3400=A473)))"),"https://techcombank.com/thong-tin/blog/cach-tinh-thue-thu-nhap-ca-nhan-2025
https://techcombank.com/thong-tin/blog/cach-sao-ke-tai-khoan-ngan-hang
https://techcombank.com/thong-tin/blog/thue-thu-nhap-ca-nhan")</f>
        <v>https://techcombank.com/thong-tin/blog/cach-tinh-thue-thu-nhap-ca-nhan-2025
https://techcombank.com/thong-tin/blog/cach-sao-ke-tai-khoan-ngan-hang
https://techcombank.com/thong-tin/blog/thue-thu-nhap-ca-nhan</v>
      </c>
      <c r="D473" s="20"/>
      <c r="E473" s="20"/>
      <c r="F473" s="20"/>
      <c r="G473" s="20"/>
      <c r="H473" s="20"/>
      <c r="I473" s="20"/>
      <c r="J473" s="20"/>
      <c r="K473" s="20"/>
      <c r="L473" s="20"/>
      <c r="M473" s="20"/>
      <c r="N473" s="20"/>
      <c r="O473" s="20"/>
      <c r="P473" s="20"/>
      <c r="Q473" s="20"/>
      <c r="R473" s="20"/>
      <c r="S473" s="20"/>
      <c r="T473" s="20"/>
      <c r="U473" s="20"/>
      <c r="V473" s="20"/>
      <c r="W473" s="20"/>
      <c r="X473" s="20"/>
    </row>
    <row r="474">
      <c r="A474" s="37" t="str">
        <f>IFERROR(__xludf.DUMMYFUNCTION("""COMPUTED_VALUE"""),"https://techcombank.com/thong-tin/blog/sao-ke-tai-khoan-doanh-nghiep")</f>
        <v>https://techcombank.com/thong-tin/blog/sao-ke-tai-khoan-doanh-nghiep</v>
      </c>
      <c r="B474" s="28">
        <f>IFERROR(__xludf.DUMMYFUNCTION("""COMPUTED_VALUE"""),3.0)</f>
        <v>3</v>
      </c>
      <c r="C474" s="20" t="str">
        <f>IFERROR(__xludf.DUMMYFUNCTION("IF(A474="""","""",TEXTJOIN(CHAR(10),TRUE,FILTER('Tổng hợp 75 trang đích'!$B$2:$B$3400,'Tổng hợp 75 trang đích'!$I$2:$I$3400=A474)))"),"https://techcombank.com/thong-tin/blog/tra-cuu-no-thue-doanh-nghiep
https://techcombank.com/thong-tin/blog/cach-sao-ke-tai-khoan-ngan-hang
https://techcombank.com/thong-tin/blog/cach-thanh-toan-the-tin-dung")</f>
        <v>https://techcombank.com/thong-tin/blog/tra-cuu-no-thue-doanh-nghiep
https://techcombank.com/thong-tin/blog/cach-sao-ke-tai-khoan-ngan-hang
https://techcombank.com/thong-tin/blog/cach-thanh-toan-the-tin-dung</v>
      </c>
      <c r="D474" s="20"/>
      <c r="E474" s="20"/>
      <c r="F474" s="20"/>
      <c r="G474" s="20"/>
      <c r="H474" s="20"/>
      <c r="I474" s="20"/>
      <c r="J474" s="20"/>
      <c r="K474" s="20"/>
      <c r="L474" s="20"/>
      <c r="M474" s="20"/>
      <c r="N474" s="20"/>
      <c r="O474" s="20"/>
      <c r="P474" s="20"/>
      <c r="Q474" s="20"/>
      <c r="R474" s="20"/>
      <c r="S474" s="20"/>
      <c r="T474" s="20"/>
      <c r="U474" s="20"/>
      <c r="V474" s="20"/>
      <c r="W474" s="20"/>
      <c r="X474" s="20"/>
    </row>
    <row r="475">
      <c r="A475" s="37" t="str">
        <f>IFERROR(__xludf.DUMMYFUNCTION("""COMPUTED_VALUE"""),"https://techcombank.com/thong-tin/blog/so-du-kha-dung")</f>
        <v>https://techcombank.com/thong-tin/blog/so-du-kha-dung</v>
      </c>
      <c r="B475" s="28">
        <f>IFERROR(__xludf.DUMMYFUNCTION("""COMPUTED_VALUE"""),3.0)</f>
        <v>3</v>
      </c>
      <c r="C475" s="20" t="str">
        <f>IFERROR(__xludf.DUMMYFUNCTION("IF(A475="""","""",TEXTJOIN(CHAR(10),TRUE,FILTER('Tổng hợp 75 trang đích'!$B$2:$B$3400,'Tổng hợp 75 trang đích'!$I$2:$I$3400=A475)))"),"https://techcombank.com/thong-tin/blog/cach-kiem-tra-tai-khoan-ngan-hang
https://techcombank.com/thong-tin/blog/lai-suat-tiet-kiem
https://techcombank.com/thong-tin/blog/cach-tinh-lai-suat-tien-gui-tiet-kiem")</f>
        <v>https://techcombank.com/thong-tin/blog/cach-kiem-tra-tai-khoan-ngan-hang
https://techcombank.com/thong-tin/blog/lai-suat-tiet-kiem
https://techcombank.com/thong-tin/blog/cach-tinh-lai-suat-tien-gui-tiet-kiem</v>
      </c>
      <c r="D475" s="20"/>
      <c r="E475" s="20"/>
      <c r="F475" s="20"/>
      <c r="G475" s="20"/>
      <c r="H475" s="20"/>
      <c r="I475" s="20"/>
      <c r="J475" s="20"/>
      <c r="K475" s="20"/>
      <c r="L475" s="20"/>
      <c r="M475" s="20"/>
      <c r="N475" s="20"/>
      <c r="O475" s="20"/>
      <c r="P475" s="20"/>
      <c r="Q475" s="20"/>
      <c r="R475" s="20"/>
      <c r="S475" s="20"/>
      <c r="T475" s="20"/>
      <c r="U475" s="20"/>
      <c r="V475" s="20"/>
      <c r="W475" s="20"/>
      <c r="X475" s="20"/>
    </row>
    <row r="476">
      <c r="A476" s="37" t="str">
        <f>IFERROR(__xludf.DUMMYFUNCTION("""COMPUTED_VALUE"""),"https://techcombank.com/thong-tin/blog/so-du-tien-gui-la-gi")</f>
        <v>https://techcombank.com/thong-tin/blog/so-du-tien-gui-la-gi</v>
      </c>
      <c r="B476" s="28">
        <f>IFERROR(__xludf.DUMMYFUNCTION("""COMPUTED_VALUE"""),3.0)</f>
        <v>3</v>
      </c>
      <c r="C476" s="20" t="str">
        <f>IFERROR(__xludf.DUMMYFUNCTION("IF(A476="""","""",TEXTJOIN(CHAR(10),TRUE,FILTER('Tổng hợp 75 trang đích'!$B$2:$B$3400,'Tổng hợp 75 trang đích'!$I$2:$I$3400=A476)))"),"https://techcombank.com/thong-tin/blog/cach-nap-the-viettel
https://techcombank.com/thong-tin/blog/cach-kiem-tra-tai-khoan-ngan-hang
https://techcombank.com/cong-cu-tien-ich/cong-cu-tinh-toan/bang-tinh-lai-suat-tiet-kiem")</f>
        <v>https://techcombank.com/thong-tin/blog/cach-nap-the-viettel
https://techcombank.com/thong-tin/blog/cach-kiem-tra-tai-khoan-ngan-hang
https://techcombank.com/cong-cu-tien-ich/cong-cu-tinh-toan/bang-tinh-lai-suat-tiet-kiem</v>
      </c>
      <c r="D476" s="20"/>
      <c r="E476" s="20"/>
      <c r="F476" s="20"/>
      <c r="G476" s="20"/>
      <c r="H476" s="20"/>
      <c r="I476" s="20"/>
      <c r="J476" s="20"/>
      <c r="K476" s="20"/>
      <c r="L476" s="20"/>
      <c r="M476" s="20"/>
      <c r="N476" s="20"/>
      <c r="O476" s="20"/>
      <c r="P476" s="20"/>
      <c r="Q476" s="20"/>
      <c r="R476" s="20"/>
      <c r="S476" s="20"/>
      <c r="T476" s="20"/>
      <c r="U476" s="20"/>
      <c r="V476" s="20"/>
      <c r="W476" s="20"/>
      <c r="X476" s="20"/>
    </row>
    <row r="477">
      <c r="A477" s="37" t="str">
        <f>IFERROR(__xludf.DUMMYFUNCTION("""COMPUTED_VALUE"""),"https://techcombank.com/thong-tin/blog/so-the-ngan-hang")</f>
        <v>https://techcombank.com/thong-tin/blog/so-the-ngan-hang</v>
      </c>
      <c r="B477" s="28">
        <f>IFERROR(__xludf.DUMMYFUNCTION("""COMPUTED_VALUE"""),3.0)</f>
        <v>3</v>
      </c>
      <c r="C477" s="20" t="str">
        <f>IFERROR(__xludf.DUMMYFUNCTION("IF(A477="""","""",TEXTJOIN(CHAR(10),TRUE,FILTER('Tổng hợp 75 trang đích'!$B$2:$B$3400,'Tổng hợp 75 trang đích'!$I$2:$I$3400=A477)))"),"https://techcombank.com/thong-tin/blog/cach-tinh-tien-dien-sinh-hoat
https://techcombank.com/thong-tin/blog/cach-kiem-tra-tai-khoan-ngan-hang
https://techcombank.com/thong-tin/blog/cic-la-gi")</f>
        <v>https://techcombank.com/thong-tin/blog/cach-tinh-tien-dien-sinh-hoat
https://techcombank.com/thong-tin/blog/cach-kiem-tra-tai-khoan-ngan-hang
https://techcombank.com/thong-tin/blog/cic-la-gi</v>
      </c>
      <c r="D477" s="20"/>
      <c r="E477" s="20"/>
      <c r="F477" s="20"/>
      <c r="G477" s="20"/>
      <c r="H477" s="20"/>
      <c r="I477" s="20"/>
      <c r="J477" s="20"/>
      <c r="K477" s="20"/>
      <c r="L477" s="20"/>
      <c r="M477" s="20"/>
      <c r="N477" s="20"/>
      <c r="O477" s="20"/>
      <c r="P477" s="20"/>
      <c r="Q477" s="20"/>
      <c r="R477" s="20"/>
      <c r="S477" s="20"/>
      <c r="T477" s="20"/>
      <c r="U477" s="20"/>
      <c r="V477" s="20"/>
      <c r="W477" s="20"/>
      <c r="X477" s="20"/>
    </row>
    <row r="478">
      <c r="A478" s="37" t="str">
        <f>IFERROR(__xludf.DUMMYFUNCTION("""COMPUTED_VALUE"""),"https://techcombank.com/thong-tin/blog/tai-khoan-ngan-hang-chua-toi-da-bao-nhieu-tien")</f>
        <v>https://techcombank.com/thong-tin/blog/tai-khoan-ngan-hang-chua-toi-da-bao-nhieu-tien</v>
      </c>
      <c r="B478" s="28">
        <f>IFERROR(__xludf.DUMMYFUNCTION("""COMPUTED_VALUE"""),3.0)</f>
        <v>3</v>
      </c>
      <c r="C478" s="20" t="str">
        <f>IFERROR(__xludf.DUMMYFUNCTION("IF(A478="""","""",TEXTJOIN(CHAR(10),TRUE,FILTER('Tổng hợp 75 trang đích'!$B$2:$B$3400,'Tổng hợp 75 trang đích'!$I$2:$I$3400=A478)))"),"https://techcombank.com/thong-tin/blog/cach-mo-tai-khoan
https://techcombank.com/cong-cu-tien-ich/cong-cu-tinh-toan/bang-tinh-lai-suat-vay
https://techcombank.com/thong-tin/blog/app-vay-tien-nhanh")</f>
        <v>https://techcombank.com/thong-tin/blog/cach-mo-tai-khoan
https://techcombank.com/cong-cu-tien-ich/cong-cu-tinh-toan/bang-tinh-lai-suat-vay
https://techcombank.com/thong-tin/blog/app-vay-tien-nhanh</v>
      </c>
      <c r="D478" s="20"/>
      <c r="E478" s="20"/>
      <c r="F478" s="20"/>
      <c r="G478" s="20"/>
      <c r="H478" s="20"/>
      <c r="I478" s="20"/>
      <c r="J478" s="20"/>
      <c r="K478" s="20"/>
      <c r="L478" s="20"/>
      <c r="M478" s="20"/>
      <c r="N478" s="20"/>
      <c r="O478" s="20"/>
      <c r="P478" s="20"/>
      <c r="Q478" s="20"/>
      <c r="R478" s="20"/>
      <c r="S478" s="20"/>
      <c r="T478" s="20"/>
      <c r="U478" s="20"/>
      <c r="V478" s="20"/>
      <c r="W478" s="20"/>
      <c r="X478" s="20"/>
    </row>
    <row r="479">
      <c r="A479" s="37" t="str">
        <f>IFERROR(__xludf.DUMMYFUNCTION("""COMPUTED_VALUE"""),"https://techcombank.com/thong-tin/blog/tap-doan-thanh-quang-khoi-sac-kinh-doanh-nho-nguon-von-vay-tin-dung-techcombank-tren-nen-tang-misa-lending")</f>
        <v>https://techcombank.com/thong-tin/blog/tap-doan-thanh-quang-khoi-sac-kinh-doanh-nho-nguon-von-vay-tin-dung-techcombank-tren-nen-tang-misa-lending</v>
      </c>
      <c r="B479" s="28">
        <f>IFERROR(__xludf.DUMMYFUNCTION("""COMPUTED_VALUE"""),3.0)</f>
        <v>3</v>
      </c>
      <c r="C479" s="20" t="str">
        <f>IFERROR(__xludf.DUMMYFUNCTION("IF(A479="""","""",TEXTJOIN(CHAR(10),TRUE,FILTER('Tổng hợp 75 trang đích'!$B$2:$B$3400,'Tổng hợp 75 trang đích'!$I$2:$I$3400=A479)))"),"https://techcombank.com/cong-cu-tien-ich/cong-cu-tinh-toan/bang-tinh-lai-suat-vay
https://techcombank.com/thong-tin/blog/app-vay-tien-nhanh
https://techcombank.com/thong-tin/blog/vay-thau-chi-la-gi")</f>
        <v>https://techcombank.com/cong-cu-tien-ich/cong-cu-tinh-toan/bang-tinh-lai-suat-vay
https://techcombank.com/thong-tin/blog/app-vay-tien-nhanh
https://techcombank.com/thong-tin/blog/vay-thau-chi-la-gi</v>
      </c>
      <c r="D479" s="20"/>
      <c r="E479" s="20"/>
      <c r="F479" s="20"/>
      <c r="G479" s="20"/>
      <c r="H479" s="20"/>
      <c r="I479" s="20"/>
      <c r="J479" s="20"/>
      <c r="K479" s="20"/>
      <c r="L479" s="20"/>
      <c r="M479" s="20"/>
      <c r="N479" s="20"/>
      <c r="O479" s="20"/>
      <c r="P479" s="20"/>
      <c r="Q479" s="20"/>
      <c r="R479" s="20"/>
      <c r="S479" s="20"/>
      <c r="T479" s="20"/>
      <c r="U479" s="20"/>
      <c r="V479" s="20"/>
      <c r="W479" s="20"/>
      <c r="X479" s="20"/>
    </row>
    <row r="480">
      <c r="A480" s="37" t="str">
        <f>IFERROR(__xludf.DUMMYFUNCTION("""COMPUTED_VALUE"""),"https://techcombank.com/thong-tin/blog/tat-toan-chung-chi-tien-gui")</f>
        <v>https://techcombank.com/thong-tin/blog/tat-toan-chung-chi-tien-gui</v>
      </c>
      <c r="B480" s="28">
        <f>IFERROR(__xludf.DUMMYFUNCTION("""COMPUTED_VALUE"""),3.0)</f>
        <v>3</v>
      </c>
      <c r="C480" s="20" t="str">
        <f>IFERROR(__xludf.DUMMYFUNCTION("IF(A480="""","""",TEXTJOIN(CHAR(10),TRUE,FILTER('Tổng hợp 75 trang đích'!$B$2:$B$3400,'Tổng hợp 75 trang đích'!$I$2:$I$3400=A480)))"),"https://techcombank.com/thong-tin/blog/chung-chi-tien-gui-la-gi
https://techcombank.com/thong-tin/blog/lai-suat-chung-chi-tien-gui-cac-ngan-hang
https://techcombank.com/thong-tin/blog/lai-suat-tiet-kiem")</f>
        <v>https://techcombank.com/thong-tin/blog/chung-chi-tien-gui-la-gi
https://techcombank.com/thong-tin/blog/lai-suat-chung-chi-tien-gui-cac-ngan-hang
https://techcombank.com/thong-tin/blog/lai-suat-tiet-kiem</v>
      </c>
      <c r="D480" s="20"/>
      <c r="E480" s="20"/>
      <c r="F480" s="20"/>
      <c r="G480" s="20"/>
      <c r="H480" s="20"/>
      <c r="I480" s="20"/>
      <c r="J480" s="20"/>
      <c r="K480" s="20"/>
      <c r="L480" s="20"/>
      <c r="M480" s="20"/>
      <c r="N480" s="20"/>
      <c r="O480" s="20"/>
      <c r="P480" s="20"/>
      <c r="Q480" s="20"/>
      <c r="R480" s="20"/>
      <c r="S480" s="20"/>
      <c r="T480" s="20"/>
      <c r="U480" s="20"/>
      <c r="V480" s="20"/>
      <c r="W480" s="20"/>
      <c r="X480" s="20"/>
    </row>
    <row r="481">
      <c r="A481" s="37" t="str">
        <f>IFERROR(__xludf.DUMMYFUNCTION("""COMPUTED_VALUE"""),"https://techcombank.com/thong-tin/blog/thanh-khoan-la-gi")</f>
        <v>https://techcombank.com/thong-tin/blog/thanh-khoan-la-gi</v>
      </c>
      <c r="B481" s="28">
        <f>IFERROR(__xludf.DUMMYFUNCTION("""COMPUTED_VALUE"""),3.0)</f>
        <v>3</v>
      </c>
      <c r="C481" s="20" t="str">
        <f>IFERROR(__xludf.DUMMYFUNCTION("IF(A481="""","""",TEXTJOIN(CHAR(10),TRUE,FILTER('Tổng hợp 75 trang đích'!$B$2:$B$3400,'Tổng hợp 75 trang đích'!$I$2:$I$3400=A481)))"),"https://techcombank.com/thong-tin/blog/chung-chi-tien-gui-la-gi
https://techcombank.com/thong-tin/blog/lai-suat-chung-chi-tien-gui-cac-ngan-hang
https://techcombank.com/thong-tin/blog/rut-tien-tiet-kiem-truoc-thoi-han")</f>
        <v>https://techcombank.com/thong-tin/blog/chung-chi-tien-gui-la-gi
https://techcombank.com/thong-tin/blog/lai-suat-chung-chi-tien-gui-cac-ngan-hang
https://techcombank.com/thong-tin/blog/rut-tien-tiet-kiem-truoc-thoi-han</v>
      </c>
      <c r="D481" s="20"/>
      <c r="E481" s="20"/>
      <c r="F481" s="20"/>
      <c r="G481" s="20"/>
      <c r="H481" s="20"/>
      <c r="I481" s="20"/>
      <c r="J481" s="20"/>
      <c r="K481" s="20"/>
      <c r="L481" s="20"/>
      <c r="M481" s="20"/>
      <c r="N481" s="20"/>
      <c r="O481" s="20"/>
      <c r="P481" s="20"/>
      <c r="Q481" s="20"/>
      <c r="R481" s="20"/>
      <c r="S481" s="20"/>
      <c r="T481" s="20"/>
      <c r="U481" s="20"/>
      <c r="V481" s="20"/>
      <c r="W481" s="20"/>
      <c r="X481" s="20"/>
    </row>
    <row r="482">
      <c r="A482" s="37" t="str">
        <f>IFERROR(__xludf.DUMMYFUNCTION("""COMPUTED_VALUE"""),"https://techcombank.com/thong-tin/blog/thanh-toan-bang-the-quoc-te")</f>
        <v>https://techcombank.com/thong-tin/blog/thanh-toan-bang-the-quoc-te</v>
      </c>
      <c r="B482" s="28">
        <f>IFERROR(__xludf.DUMMYFUNCTION("""COMPUTED_VALUE"""),3.0)</f>
        <v>3</v>
      </c>
      <c r="C482" s="20" t="str">
        <f>IFERROR(__xludf.DUMMYFUNCTION("IF(A482="""","""",TEXTJOIN(CHAR(10),TRUE,FILTER('Tổng hợp 75 trang đích'!$B$2:$B$3400,'Tổng hợp 75 trang đích'!$I$2:$I$3400=A482)))"),"https://techcombank.com/thong-tin/blog/1-won-bang-bao-nhieu-tien-viet
https://techcombank.com/thong-tin/blog/1000-won-bang-bao-nhieu-tien-viet
https://techcombank.com/thong-tin/blog/cach-nhan-tien-tu-nuoc-ngoai-ve-viet-nam")</f>
        <v>https://techcombank.com/thong-tin/blog/1-won-bang-bao-nhieu-tien-viet
https://techcombank.com/thong-tin/blog/1000-won-bang-bao-nhieu-tien-viet
https://techcombank.com/thong-tin/blog/cach-nhan-tien-tu-nuoc-ngoai-ve-viet-nam</v>
      </c>
      <c r="D482" s="20"/>
      <c r="E482" s="20"/>
      <c r="F482" s="20"/>
      <c r="G482" s="20"/>
      <c r="H482" s="20"/>
      <c r="I482" s="20"/>
      <c r="J482" s="20"/>
      <c r="K482" s="20"/>
      <c r="L482" s="20"/>
      <c r="M482" s="20"/>
      <c r="N482" s="20"/>
      <c r="O482" s="20"/>
      <c r="P482" s="20"/>
      <c r="Q482" s="20"/>
      <c r="R482" s="20"/>
      <c r="S482" s="20"/>
      <c r="T482" s="20"/>
      <c r="U482" s="20"/>
      <c r="V482" s="20"/>
      <c r="W482" s="20"/>
      <c r="X482" s="20"/>
    </row>
    <row r="483">
      <c r="A483" s="37" t="str">
        <f>IFERROR(__xludf.DUMMYFUNCTION("""COMPUTED_VALUE"""),"https://techcombank.com/thong-tin/blog/thanh-toan-khi-du-lich-thai-lan")</f>
        <v>https://techcombank.com/thong-tin/blog/thanh-toan-khi-du-lich-thai-lan</v>
      </c>
      <c r="B483" s="28">
        <f>IFERROR(__xludf.DUMMYFUNCTION("""COMPUTED_VALUE"""),3.0)</f>
        <v>3</v>
      </c>
      <c r="C483" s="20" t="str">
        <f>IFERROR(__xludf.DUMMYFUNCTION("IF(A483="""","""",TEXTJOIN(CHAR(10),TRUE,FILTER('Tổng hợp 75 trang đích'!$B$2:$B$3400,'Tổng hợp 75 trang đích'!$I$2:$I$3400=A483)))"),"https://techcombank.com/thong-tin/blog/thue-vat-la-gi
https://techcombank.com/thong-tin/blog/kiem-tra-thue-thu-nhap-ca-nhan
https://techcombank.com/thong-tin/blog/tien-thai-lan")</f>
        <v>https://techcombank.com/thong-tin/blog/thue-vat-la-gi
https://techcombank.com/thong-tin/blog/kiem-tra-thue-thu-nhap-ca-nhan
https://techcombank.com/thong-tin/blog/tien-thai-lan</v>
      </c>
      <c r="D483" s="20"/>
      <c r="E483" s="20"/>
      <c r="F483" s="20"/>
      <c r="G483" s="20"/>
      <c r="H483" s="20"/>
      <c r="I483" s="20"/>
      <c r="J483" s="20"/>
      <c r="K483" s="20"/>
      <c r="L483" s="20"/>
      <c r="M483" s="20"/>
      <c r="N483" s="20"/>
      <c r="O483" s="20"/>
      <c r="P483" s="20"/>
      <c r="Q483" s="20"/>
      <c r="R483" s="20"/>
      <c r="S483" s="20"/>
      <c r="T483" s="20"/>
      <c r="U483" s="20"/>
      <c r="V483" s="20"/>
      <c r="W483" s="20"/>
      <c r="X483" s="20"/>
    </row>
    <row r="484">
      <c r="A484" s="37" t="str">
        <f>IFERROR(__xludf.DUMMYFUNCTION("""COMPUTED_VALUE"""),"https://techcombank.com/thong-tin/blog/thanh-toan-khong-dung-tien-mat")</f>
        <v>https://techcombank.com/thong-tin/blog/thanh-toan-khong-dung-tien-mat</v>
      </c>
      <c r="B484" s="28">
        <f>IFERROR(__xludf.DUMMYFUNCTION("""COMPUTED_VALUE"""),3.0)</f>
        <v>3</v>
      </c>
      <c r="C484" s="20" t="str">
        <f>IFERROR(__xludf.DUMMYFUNCTION("IF(A484="""","""",TEXTJOIN(CHAR(10),TRUE,FILTER('Tổng hợp 75 trang đích'!$B$2:$B$3400,'Tổng hợp 75 trang đích'!$I$2:$I$3400=A484)))"),"https://techcombank.com/thong-tin/blog/ho-kinh-doanh-dong-thue-nhu-nao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484" s="20"/>
      <c r="E484" s="20"/>
      <c r="F484" s="20"/>
      <c r="G484" s="20"/>
      <c r="H484" s="20"/>
      <c r="I484" s="20"/>
      <c r="J484" s="20"/>
      <c r="K484" s="20"/>
      <c r="L484" s="20"/>
      <c r="M484" s="20"/>
      <c r="N484" s="20"/>
      <c r="O484" s="20"/>
      <c r="P484" s="20"/>
      <c r="Q484" s="20"/>
      <c r="R484" s="20"/>
      <c r="S484" s="20"/>
      <c r="T484" s="20"/>
      <c r="U484" s="20"/>
      <c r="V484" s="20"/>
      <c r="W484" s="20"/>
      <c r="X484" s="20"/>
    </row>
    <row r="485">
      <c r="A485" s="37" t="str">
        <f>IFERROR(__xludf.DUMMYFUNCTION("""COMPUTED_VALUE"""),"https://techcombank.com/thong-tin/blog/thanh-toan-qr-thai-lan")</f>
        <v>https://techcombank.com/thong-tin/blog/thanh-toan-qr-thai-lan</v>
      </c>
      <c r="B485" s="28">
        <f>IFERROR(__xludf.DUMMYFUNCTION("""COMPUTED_VALUE"""),3.0)</f>
        <v>3</v>
      </c>
      <c r="C485" s="20" t="str">
        <f>IFERROR(__xludf.DUMMYFUNCTION("IF(A485="""","""",TEXTJOIN(CHAR(10),TRUE,FILTER('Tổng hợp 75 trang đích'!$B$2:$B$3400,'Tổng hợp 75 trang đích'!$I$2:$I$3400=A485)))"),"https://techcombank.com/thong-tin/blog/tien-thai-lan
https://techcombank.com/thong-tin/blog/doi-tien-do-o-dau
https://techcombank.com/thong-tin/blog/gui-ma-qr-ngan-hang")</f>
        <v>https://techcombank.com/thong-tin/blog/tien-thai-lan
https://techcombank.com/thong-tin/blog/doi-tien-do-o-dau
https://techcombank.com/thong-tin/blog/gui-ma-qr-ngan-hang</v>
      </c>
      <c r="D485" s="20"/>
      <c r="E485" s="20"/>
      <c r="F485" s="20"/>
      <c r="G485" s="20"/>
      <c r="H485" s="20"/>
      <c r="I485" s="20"/>
      <c r="J485" s="20"/>
      <c r="K485" s="20"/>
      <c r="L485" s="20"/>
      <c r="M485" s="20"/>
      <c r="N485" s="20"/>
      <c r="O485" s="20"/>
      <c r="P485" s="20"/>
      <c r="Q485" s="20"/>
      <c r="R485" s="20"/>
      <c r="S485" s="20"/>
      <c r="T485" s="20"/>
      <c r="U485" s="20"/>
      <c r="V485" s="20"/>
      <c r="W485" s="20"/>
      <c r="X485" s="20"/>
    </row>
    <row r="486">
      <c r="A486" s="37" t="str">
        <f>IFERROR(__xludf.DUMMYFUNCTION("""COMPUTED_VALUE"""),"https://techcombank.com/thong-tin/blog/thanh-toan-truc-tuyen")</f>
        <v>https://techcombank.com/thong-tin/blog/thanh-toan-truc-tuyen</v>
      </c>
      <c r="B486" s="28">
        <f>IFERROR(__xludf.DUMMYFUNCTION("""COMPUTED_VALUE"""),3.0)</f>
        <v>3</v>
      </c>
      <c r="C486" s="20" t="str">
        <f>IFERROR(__xludf.DUMMYFUNCTION("IF(A486="""","""",TEXTJOIN(CHAR(10),TRUE,FILTER('Tổng hợp 75 trang đích'!$B$2:$B$3400,'Tổng hợp 75 trang đích'!$I$2:$I$3400=A486)))"),"https://techcombank.com/thong-tin/blog/cach-nap-the-viettel
https://techcombank.com/khach-hang-ca-nhan/chi-tieu/the/the-tin-dung/techcombank-everyday
https://techcombank.com/thong-tin/blog/gui-ma-qr-ngan-hang")</f>
        <v>https://techcombank.com/thong-tin/blog/cach-nap-the-viettel
https://techcombank.com/khach-hang-ca-nhan/chi-tieu/the/the-tin-dung/techcombank-everyday
https://techcombank.com/thong-tin/blog/gui-ma-qr-ngan-hang</v>
      </c>
      <c r="D486" s="20"/>
      <c r="E486" s="20"/>
      <c r="F486" s="20"/>
      <c r="G486" s="20"/>
      <c r="H486" s="20"/>
      <c r="I486" s="20"/>
      <c r="J486" s="20"/>
      <c r="K486" s="20"/>
      <c r="L486" s="20"/>
      <c r="M486" s="20"/>
      <c r="N486" s="20"/>
      <c r="O486" s="20"/>
      <c r="P486" s="20"/>
      <c r="Q486" s="20"/>
      <c r="R486" s="20"/>
      <c r="S486" s="20"/>
      <c r="T486" s="20"/>
      <c r="U486" s="20"/>
      <c r="V486" s="20"/>
      <c r="W486" s="20"/>
      <c r="X486" s="20"/>
    </row>
    <row r="487">
      <c r="A487" s="37" t="str">
        <f>IFERROR(__xludf.DUMMYFUNCTION("""COMPUTED_VALUE"""),"https://techcombank.com/thong-tin/blog/the-atm-khong-rut-duoc-tien")</f>
        <v>https://techcombank.com/thong-tin/blog/the-atm-khong-rut-duoc-tien</v>
      </c>
      <c r="B487" s="28">
        <f>IFERROR(__xludf.DUMMYFUNCTION("""COMPUTED_VALUE"""),3.0)</f>
        <v>3</v>
      </c>
      <c r="C487" s="20" t="str">
        <f>IFERROR(__xludf.DUMMYFUNCTION("IF(A487="""","""",TEXTJOIN(CHAR(10),TRUE,FILTER('Tổng hợp 75 trang đích'!$B$2:$B$3400,'Tổng hợp 75 trang đích'!$I$2:$I$3400=A487)))"),"https://techcombank.com/thong-tin/blog/nap-tien-vao-tai-khoan-ngan-hang
https://techcombank.com/thong-tin/blog/rut-tien-bang-ma-qr-la-gi-cach-thuc-hien-nhu-the-nao
https://techcombank.com/thong-tin/blog/rut-tien-mat-tu-the-tin-dung")</f>
        <v>https://techcombank.com/thong-tin/blog/nap-tien-vao-tai-khoan-ngan-hang
https://techcombank.com/thong-tin/blog/rut-tien-bang-ma-qr-la-gi-cach-thuc-hien-nhu-the-nao
https://techcombank.com/thong-tin/blog/rut-tien-mat-tu-the-tin-dung</v>
      </c>
      <c r="D487" s="20"/>
      <c r="E487" s="20"/>
      <c r="F487" s="20"/>
      <c r="G487" s="20"/>
      <c r="H487" s="20"/>
      <c r="I487" s="20"/>
      <c r="J487" s="20"/>
      <c r="K487" s="20"/>
      <c r="L487" s="20"/>
      <c r="M487" s="20"/>
      <c r="N487" s="20"/>
      <c r="O487" s="20"/>
      <c r="P487" s="20"/>
      <c r="Q487" s="20"/>
      <c r="R487" s="20"/>
      <c r="S487" s="20"/>
      <c r="T487" s="20"/>
      <c r="U487" s="20"/>
      <c r="V487" s="20"/>
      <c r="W487" s="20"/>
      <c r="X487" s="20"/>
    </row>
    <row r="488">
      <c r="A488" s="37" t="str">
        <f>IFERROR(__xludf.DUMMYFUNCTION("""COMPUTED_VALUE"""),"https://techcombank.com/thong-tin/blog/the-debit-cho-con")</f>
        <v>https://techcombank.com/thong-tin/blog/the-debit-cho-con</v>
      </c>
      <c r="B488" s="28">
        <f>IFERROR(__xludf.DUMMYFUNCTION("""COMPUTED_VALUE"""),3.0)</f>
        <v>3</v>
      </c>
      <c r="C488" s="20" t="str">
        <f>IFERROR(__xludf.DUMMYFUNCTION("IF(A488="""","""",TEXTJOIN(CHAR(10),TRUE,FILTER('Tổng hợp 75 trang đích'!$B$2:$B$3400,'Tổng hợp 75 trang đích'!$I$2:$I$3400=A488)))"),"https://techcombank.com/thong-tin/blog/bao-nhieu-tuoi-duoc-mo-tai-khoan-ngan-hang
https://techcombank.com/thong-tin/blog/mo-tai-khoan-ngan-hang-duoi-18-tuoi
https://techcombank.com/thong-tin/blog/cach-sao-ke-tai-khoan-ngan-hang")</f>
        <v>https://techcombank.com/thong-tin/blog/bao-nhieu-tuoi-duoc-mo-tai-khoan-ngan-hang
https://techcombank.com/thong-tin/blog/mo-tai-khoan-ngan-hang-duoi-18-tuoi
https://techcombank.com/thong-tin/blog/cach-sao-ke-tai-khoan-ngan-hang</v>
      </c>
      <c r="D488" s="20"/>
      <c r="E488" s="20"/>
      <c r="F488" s="20"/>
      <c r="G488" s="20"/>
      <c r="H488" s="20"/>
      <c r="I488" s="20"/>
      <c r="J488" s="20"/>
      <c r="K488" s="20"/>
      <c r="L488" s="20"/>
      <c r="M488" s="20"/>
      <c r="N488" s="20"/>
      <c r="O488" s="20"/>
      <c r="P488" s="20"/>
      <c r="Q488" s="20"/>
      <c r="R488" s="20"/>
      <c r="S488" s="20"/>
      <c r="T488" s="20"/>
      <c r="U488" s="20"/>
      <c r="V488" s="20"/>
      <c r="W488" s="20"/>
      <c r="X488" s="20"/>
    </row>
    <row r="489">
      <c r="A489" s="37" t="str">
        <f>IFERROR(__xludf.DUMMYFUNCTION("""COMPUTED_VALUE"""),"https://techcombank.com/thong-tin/blog/the-nao-la-tiet-kiem")</f>
        <v>https://techcombank.com/thong-tin/blog/the-nao-la-tiet-kiem</v>
      </c>
      <c r="B489" s="28">
        <f>IFERROR(__xludf.DUMMYFUNCTION("""COMPUTED_VALUE"""),3.0)</f>
        <v>3</v>
      </c>
      <c r="C489" s="20" t="str">
        <f>IFERROR(__xludf.DUMMYFUNCTION("IF(A489="""","""",TEXTJOIN(CHAR(10),TRUE,FILTER('Tổng hợp 75 trang đích'!$B$2:$B$3400,'Tổng hợp 75 trang đích'!$I$2:$I$3400=A489)))"),"https://techcombank.com/thong-tin/blog/lai-suat-tiet-kiem
https://techcombank.com/thong-tin/blog/cach-tinh-lai-suat-tien-gui-tiet-kiem
https://techcombank.com/thong-tin/blog/cach-tiet-kiem-tien")</f>
        <v>https://techcombank.com/thong-tin/blog/lai-suat-tiet-kiem
https://techcombank.com/thong-tin/blog/cach-tinh-lai-suat-tien-gui-tiet-kiem
https://techcombank.com/thong-tin/blog/cach-tiet-kiem-tien</v>
      </c>
      <c r="D489" s="20"/>
      <c r="E489" s="20"/>
      <c r="F489" s="20"/>
      <c r="G489" s="20"/>
      <c r="H489" s="20"/>
      <c r="I489" s="20"/>
      <c r="J489" s="20"/>
      <c r="K489" s="20"/>
      <c r="L489" s="20"/>
      <c r="M489" s="20"/>
      <c r="N489" s="20"/>
      <c r="O489" s="20"/>
      <c r="P489" s="20"/>
      <c r="Q489" s="20"/>
      <c r="R489" s="20"/>
      <c r="S489" s="20"/>
      <c r="T489" s="20"/>
      <c r="U489" s="20"/>
      <c r="V489" s="20"/>
      <c r="W489" s="20"/>
      <c r="X489" s="20"/>
    </row>
    <row r="490">
      <c r="A490" s="37" t="str">
        <f>IFERROR(__xludf.DUMMYFUNCTION("""COMPUTED_VALUE"""),"https://techcombank.com/thong-tin/blog/the-tin-dung-ao")</f>
        <v>https://techcombank.com/thong-tin/blog/the-tin-dung-ao</v>
      </c>
      <c r="B490" s="28">
        <f>IFERROR(__xludf.DUMMYFUNCTION("""COMPUTED_VALUE"""),3.0)</f>
        <v>3</v>
      </c>
      <c r="C490" s="20" t="str">
        <f>IFERROR(__xludf.DUMMYFUNCTION("IF(A490="""","""",TEXTJOIN(CHAR(10),TRUE,FILTER('Tổng hợp 75 trang đích'!$B$2:$B$3400,'Tổng hợp 75 trang đích'!$I$2:$I$3400=A490)))"),"https://techcombank.com/thong-tin/blog/cic-la-gi
https://techcombank.com/thong-tin/blog/lam-the-tin-dung
https://techcombank.com/thong-tin/blog/cach-huy-the-tin-dung")</f>
        <v>https://techcombank.com/thong-tin/blog/cic-la-gi
https://techcombank.com/thong-tin/blog/lam-the-tin-dung
https://techcombank.com/thong-tin/blog/cach-huy-the-tin-dung</v>
      </c>
      <c r="D490" s="20"/>
      <c r="E490" s="20"/>
      <c r="F490" s="20"/>
      <c r="G490" s="20"/>
      <c r="H490" s="20"/>
      <c r="I490" s="20"/>
      <c r="J490" s="20"/>
      <c r="K490" s="20"/>
      <c r="L490" s="20"/>
      <c r="M490" s="20"/>
      <c r="N490" s="20"/>
      <c r="O490" s="20"/>
      <c r="P490" s="20"/>
      <c r="Q490" s="20"/>
      <c r="R490" s="20"/>
      <c r="S490" s="20"/>
      <c r="T490" s="20"/>
      <c r="U490" s="20"/>
      <c r="V490" s="20"/>
      <c r="W490" s="20"/>
      <c r="X490" s="20"/>
    </row>
    <row r="491">
      <c r="A491" s="37" t="str">
        <f>IFERROR(__xludf.DUMMYFUNCTION("""COMPUTED_VALUE"""),"https://techcombank.com/thong-tin/blog/the-tin-dung-bi-khoa")</f>
        <v>https://techcombank.com/thong-tin/blog/the-tin-dung-bi-khoa</v>
      </c>
      <c r="B491" s="28">
        <f>IFERROR(__xludf.DUMMYFUNCTION("""COMPUTED_VALUE"""),3.0)</f>
        <v>3</v>
      </c>
      <c r="C491" s="20" t="str">
        <f>IFERROR(__xludf.DUMMYFUNCTION("IF(A491="""","""",TEXTJOIN(CHAR(10),TRUE,FILTER('Tổng hợp 75 trang đích'!$B$2:$B$3400,'Tổng hợp 75 trang đích'!$I$2:$I$3400=A491)))"),"https://techcombank.com/thong-tin/blog/cach-huy-the-tin-dung
https://techcombank.com/thong-tin/blog/app-vay-tien-nhanh
https://techcombank.com/thong-tin/blog/no-xau-la-gi")</f>
        <v>https://techcombank.com/thong-tin/blog/cach-huy-the-tin-dung
https://techcombank.com/thong-tin/blog/app-vay-tien-nhanh
https://techcombank.com/thong-tin/blog/no-xau-la-gi</v>
      </c>
      <c r="D491" s="20"/>
      <c r="E491" s="20"/>
      <c r="F491" s="20"/>
      <c r="G491" s="20"/>
      <c r="H491" s="20"/>
      <c r="I491" s="20"/>
      <c r="J491" s="20"/>
      <c r="K491" s="20"/>
      <c r="L491" s="20"/>
      <c r="M491" s="20"/>
      <c r="N491" s="20"/>
      <c r="O491" s="20"/>
      <c r="P491" s="20"/>
      <c r="Q491" s="20"/>
      <c r="R491" s="20"/>
      <c r="S491" s="20"/>
      <c r="T491" s="20"/>
      <c r="U491" s="20"/>
      <c r="V491" s="20"/>
      <c r="W491" s="20"/>
      <c r="X491" s="20"/>
    </row>
    <row r="492">
      <c r="A492" s="37" t="str">
        <f>IFERROR(__xludf.DUMMYFUNCTION("""COMPUTED_VALUE"""),"https://techcombank.com/thong-tin/blog/the-tin-dung-co-ma-pin-khong")</f>
        <v>https://techcombank.com/thong-tin/blog/the-tin-dung-co-ma-pin-khong</v>
      </c>
      <c r="B492" s="28">
        <f>IFERROR(__xludf.DUMMYFUNCTION("""COMPUTED_VALUE"""),3.0)</f>
        <v>3</v>
      </c>
      <c r="C492" s="20" t="str">
        <f>IFERROR(__xludf.DUMMYFUNCTION("IF(A492="""","""",TEXTJOIN(CHAR(10),TRUE,FILTER('Tổng hợp 75 trang đích'!$B$2:$B$3400,'Tổng hợp 75 trang đích'!$I$2:$I$3400=A492)))"),"https://techcombank.com/thong-tin/blog/cic-la-gi
https://techcombank.com/thong-tin/blog/rut-tien-mat-tu-the-tin-dung
https://techcombank.com/thong-tin/blog/cach-huy-the-tin-dung")</f>
        <v>https://techcombank.com/thong-tin/blog/cic-la-gi
https://techcombank.com/thong-tin/blog/rut-tien-mat-tu-the-tin-dung
https://techcombank.com/thong-tin/blog/cach-huy-the-tin-dung</v>
      </c>
      <c r="D492" s="20"/>
      <c r="E492" s="20"/>
      <c r="F492" s="20"/>
      <c r="G492" s="20"/>
      <c r="H492" s="20"/>
      <c r="I492" s="20"/>
      <c r="J492" s="20"/>
      <c r="K492" s="20"/>
      <c r="L492" s="20"/>
      <c r="M492" s="20"/>
      <c r="N492" s="20"/>
      <c r="O492" s="20"/>
      <c r="P492" s="20"/>
      <c r="Q492" s="20"/>
      <c r="R492" s="20"/>
      <c r="S492" s="20"/>
      <c r="T492" s="20"/>
      <c r="U492" s="20"/>
      <c r="V492" s="20"/>
      <c r="W492" s="20"/>
      <c r="X492" s="20"/>
    </row>
    <row r="493">
      <c r="A493" s="37" t="str">
        <f>IFERROR(__xludf.DUMMYFUNCTION("""COMPUTED_VALUE"""),"https://techcombank.com/thong-tin/blog/the-tin-dung-la-gi")</f>
        <v>https://techcombank.com/thong-tin/blog/the-tin-dung-la-gi</v>
      </c>
      <c r="B493" s="28">
        <f>IFERROR(__xludf.DUMMYFUNCTION("""COMPUTED_VALUE"""),3.0)</f>
        <v>3</v>
      </c>
      <c r="C493" s="20" t="str">
        <f>IFERROR(__xludf.DUMMYFUNCTION("IF(A493="""","""",TEXTJOIN(CHAR(10),TRUE,FILTER('Tổng hợp 75 trang đích'!$B$2:$B$3400,'Tổng hợp 75 trang đích'!$I$2:$I$3400=A493)))"),"https://techcombank.com/thong-tin/blog/cach-nap-the-viettel
https://techcombank.com/thong-tin/blog/cic-la-gi
https://techcombank.com/thong-tin/blog/nen-vay-tin-chap-o-dau")</f>
        <v>https://techcombank.com/thong-tin/blog/cach-nap-the-viettel
https://techcombank.com/thong-tin/blog/cic-la-gi
https://techcombank.com/thong-tin/blog/nen-vay-tin-chap-o-dau</v>
      </c>
      <c r="D493" s="20"/>
      <c r="E493" s="20"/>
      <c r="F493" s="20"/>
      <c r="G493" s="20"/>
      <c r="H493" s="20"/>
      <c r="I493" s="20"/>
      <c r="J493" s="20"/>
      <c r="K493" s="20"/>
      <c r="L493" s="20"/>
      <c r="M493" s="20"/>
      <c r="N493" s="20"/>
      <c r="O493" s="20"/>
      <c r="P493" s="20"/>
      <c r="Q493" s="20"/>
      <c r="R493" s="20"/>
      <c r="S493" s="20"/>
      <c r="T493" s="20"/>
      <c r="U493" s="20"/>
      <c r="V493" s="20"/>
      <c r="W493" s="20"/>
      <c r="X493" s="20"/>
    </row>
    <row r="494">
      <c r="A494" s="37" t="str">
        <f>IFERROR(__xludf.DUMMYFUNCTION("""COMPUTED_VALUE"""),"https://techcombank.com/thong-tin/blog/the-tin-dung-mien-lai-55-ngay")</f>
        <v>https://techcombank.com/thong-tin/blog/the-tin-dung-mien-lai-55-ngay</v>
      </c>
      <c r="B494" s="28">
        <f>IFERROR(__xludf.DUMMYFUNCTION("""COMPUTED_VALUE"""),3.0)</f>
        <v>3</v>
      </c>
      <c r="C494" s="20" t="str">
        <f>IFERROR(__xludf.DUMMYFUNCTION("IF(A494="""","""",TEXTJOIN(CHAR(10),TRUE,FILTER('Tổng hợp 75 trang đích'!$B$2:$B$3400,'Tổng hợp 75 trang đích'!$I$2:$I$3400=A494)))"),"https://techcombank.com/thong-tin/blog/ngan-hang-uy-tin
https://techcombank.com/thong-tin/blog/cic-la-gi
https://techcombank.com/thong-tin/blog/cach-thanh-toan-the-tin-dung")</f>
        <v>https://techcombank.com/thong-tin/blog/ngan-hang-uy-tin
https://techcombank.com/thong-tin/blog/cic-la-gi
https://techcombank.com/thong-tin/blog/cach-thanh-toan-the-tin-dung</v>
      </c>
      <c r="D494" s="20"/>
      <c r="E494" s="20"/>
      <c r="F494" s="20"/>
      <c r="G494" s="20"/>
      <c r="H494" s="20"/>
      <c r="I494" s="20"/>
      <c r="J494" s="20"/>
      <c r="K494" s="20"/>
      <c r="L494" s="20"/>
      <c r="M494" s="20"/>
      <c r="N494" s="20"/>
      <c r="O494" s="20"/>
      <c r="P494" s="20"/>
      <c r="Q494" s="20"/>
      <c r="R494" s="20"/>
      <c r="S494" s="20"/>
      <c r="T494" s="20"/>
      <c r="U494" s="20"/>
      <c r="V494" s="20"/>
      <c r="W494" s="20"/>
      <c r="X494" s="20"/>
    </row>
    <row r="495">
      <c r="A495" s="37" t="str">
        <f>IFERROR(__xludf.DUMMYFUNCTION("""COMPUTED_VALUE"""),"https://techcombank.com/thong-tin/blog/the-tin-dung-noi-dia")</f>
        <v>https://techcombank.com/thong-tin/blog/the-tin-dung-noi-dia</v>
      </c>
      <c r="B495" s="28">
        <f>IFERROR(__xludf.DUMMYFUNCTION("""COMPUTED_VALUE"""),3.0)</f>
        <v>3</v>
      </c>
      <c r="C495" s="20" t="str">
        <f>IFERROR(__xludf.DUMMYFUNCTION("IF(A495="""","""",TEXTJOIN(CHAR(10),TRUE,FILTER('Tổng hợp 75 trang đích'!$B$2:$B$3400,'Tổng hợp 75 trang đích'!$I$2:$I$3400=A495)))"),"https://techcombank.com/thong-tin/blog/rut-tien-mat-tu-the-tin-dung
https://techcombank.com/thong-tin/blog/cach-huy-the-tin-dung
https://techcombank.com/thong-tin/blog/tien-thai-lan")</f>
        <v>https://techcombank.com/thong-tin/blog/rut-tien-mat-tu-the-tin-dung
https://techcombank.com/thong-tin/blog/cach-huy-the-tin-dung
https://techcombank.com/thong-tin/blog/tien-thai-lan</v>
      </c>
      <c r="D495" s="20"/>
      <c r="E495" s="20"/>
      <c r="F495" s="20"/>
      <c r="G495" s="20"/>
      <c r="H495" s="20"/>
      <c r="I495" s="20"/>
      <c r="J495" s="20"/>
      <c r="K495" s="20"/>
      <c r="L495" s="20"/>
      <c r="M495" s="20"/>
      <c r="N495" s="20"/>
      <c r="O495" s="20"/>
      <c r="P495" s="20"/>
      <c r="Q495" s="20"/>
      <c r="R495" s="20"/>
      <c r="S495" s="20"/>
      <c r="T495" s="20"/>
      <c r="U495" s="20"/>
      <c r="V495" s="20"/>
      <c r="W495" s="20"/>
      <c r="X495" s="20"/>
    </row>
    <row r="496">
      <c r="A496" s="37" t="str">
        <f>IFERROR(__xludf.DUMMYFUNCTION("""COMPUTED_VALUE"""),"https://techcombank.com/thong-tin/blog/the-visa-ao-la-gi")</f>
        <v>https://techcombank.com/thong-tin/blog/the-visa-ao-la-gi</v>
      </c>
      <c r="B496" s="28">
        <f>IFERROR(__xludf.DUMMYFUNCTION("""COMPUTED_VALUE"""),3.0)</f>
        <v>3</v>
      </c>
      <c r="C496" s="20" t="str">
        <f>IFERROR(__xludf.DUMMYFUNCTION("IF(A496="""","""",TEXTJOIN(CHAR(10),TRUE,FILTER('Tổng hợp 75 trang đích'!$B$2:$B$3400,'Tổng hợp 75 trang đích'!$I$2:$I$3400=A496)))"),"https://techcombank.com/thong-tin/blog/cach-nap-the-viettel
https://techcombank.com/thong-tin/blog/nap-tien-vao-tai-khoan-ngan-hang
https://techcombank.com/thong-tin/blog/rut-tien-mat-tu-the-tin-dung")</f>
        <v>https://techcombank.com/thong-tin/blog/cach-nap-the-viettel
https://techcombank.com/thong-tin/blog/nap-tien-vao-tai-khoan-ngan-hang
https://techcombank.com/thong-tin/blog/rut-tien-mat-tu-the-tin-dung</v>
      </c>
      <c r="D496" s="20"/>
      <c r="E496" s="20"/>
      <c r="F496" s="20"/>
      <c r="G496" s="20"/>
      <c r="H496" s="20"/>
      <c r="I496" s="20"/>
      <c r="J496" s="20"/>
      <c r="K496" s="20"/>
      <c r="L496" s="20"/>
      <c r="M496" s="20"/>
      <c r="N496" s="20"/>
      <c r="O496" s="20"/>
      <c r="P496" s="20"/>
      <c r="Q496" s="20"/>
      <c r="R496" s="20"/>
      <c r="S496" s="20"/>
      <c r="T496" s="20"/>
      <c r="U496" s="20"/>
      <c r="V496" s="20"/>
      <c r="W496" s="20"/>
      <c r="X496" s="20"/>
    </row>
    <row r="497">
      <c r="A497" s="37" t="str">
        <f>IFERROR(__xludf.DUMMYFUNCTION("""COMPUTED_VALUE"""),"https://techcombank.com/thong-tin/blog/the-visa-de-lam-gi")</f>
        <v>https://techcombank.com/thong-tin/blog/the-visa-de-lam-gi</v>
      </c>
      <c r="B497" s="28">
        <f>IFERROR(__xludf.DUMMYFUNCTION("""COMPUTED_VALUE"""),3.0)</f>
        <v>3</v>
      </c>
      <c r="C497" s="20" t="str">
        <f>IFERROR(__xludf.DUMMYFUNCTION("IF(A497="""","""",TEXTJOIN(CHAR(10),TRUE,FILTER('Tổng hợp 75 trang đích'!$B$2:$B$3400,'Tổng hợp 75 trang đích'!$I$2:$I$3400=A497)))"),"https://techcombank.com/thong-tin/blog/nap-tien-vao-tai-khoan-ngan-hang
https://techcombank.com/thong-tin/blog/rut-tien-mat-tu-the-tin-dung
https://techcombank.com/thong-tin/blog/lam-the-tin-dung")</f>
        <v>https://techcombank.com/thong-tin/blog/nap-tien-vao-tai-khoan-ngan-hang
https://techcombank.com/thong-tin/blog/rut-tien-mat-tu-the-tin-dung
https://techcombank.com/thong-tin/blog/lam-the-tin-dung</v>
      </c>
      <c r="D497" s="20"/>
      <c r="E497" s="20"/>
      <c r="F497" s="20"/>
      <c r="G497" s="20"/>
      <c r="H497" s="20"/>
      <c r="I497" s="20"/>
      <c r="J497" s="20"/>
      <c r="K497" s="20"/>
      <c r="L497" s="20"/>
      <c r="M497" s="20"/>
      <c r="N497" s="20"/>
      <c r="O497" s="20"/>
      <c r="P497" s="20"/>
      <c r="Q497" s="20"/>
      <c r="R497" s="20"/>
      <c r="S497" s="20"/>
      <c r="T497" s="20"/>
      <c r="U497" s="20"/>
      <c r="V497" s="20"/>
      <c r="W497" s="20"/>
      <c r="X497" s="20"/>
    </row>
    <row r="498">
      <c r="A498" s="37" t="str">
        <f>IFERROR(__xludf.DUMMYFUNCTION("""COMPUTED_VALUE"""),"https://techcombank.com/thong-tin/blog/the-visa-khong-thanh-toan-duoc")</f>
        <v>https://techcombank.com/thong-tin/blog/the-visa-khong-thanh-toan-duoc</v>
      </c>
      <c r="B498" s="28">
        <f>IFERROR(__xludf.DUMMYFUNCTION("""COMPUTED_VALUE"""),3.0)</f>
        <v>3</v>
      </c>
      <c r="C498" s="20" t="str">
        <f>IFERROR(__xludf.DUMMYFUNCTION("IF(A498="""","""",TEXTJOIN(CHAR(10),TRUE,FILTER('Tổng hợp 75 trang đích'!$B$2:$B$3400,'Tổng hợp 75 trang đích'!$I$2:$I$3400=A498)))"),"https://techcombank.com/thong-tin/blog/cach-nap-the-viettel
https://techcombank.com/thong-tin/blog/cic-la-gi
https://techcombank.com/thong-tin/blog/rui-ro-khi-gui-tiet-kiem-online")</f>
        <v>https://techcombank.com/thong-tin/blog/cach-nap-the-viettel
https://techcombank.com/thong-tin/blog/cic-la-gi
https://techcombank.com/thong-tin/blog/rui-ro-khi-gui-tiet-kiem-online</v>
      </c>
      <c r="D498" s="20"/>
      <c r="E498" s="20"/>
      <c r="F498" s="20"/>
      <c r="G498" s="20"/>
      <c r="H498" s="20"/>
      <c r="I498" s="20"/>
      <c r="J498" s="20"/>
      <c r="K498" s="20"/>
      <c r="L498" s="20"/>
      <c r="M498" s="20"/>
      <c r="N498" s="20"/>
      <c r="O498" s="20"/>
      <c r="P498" s="20"/>
      <c r="Q498" s="20"/>
      <c r="R498" s="20"/>
      <c r="S498" s="20"/>
      <c r="T498" s="20"/>
      <c r="U498" s="20"/>
      <c r="V498" s="20"/>
      <c r="W498" s="20"/>
      <c r="X498" s="20"/>
    </row>
    <row r="499">
      <c r="A499" s="37" t="str">
        <f>IFERROR(__xludf.DUMMYFUNCTION("""COMPUTED_VALUE"""),"https://techcombank.com/thong-tin/blog/thoi-han-vay-thau-chi")</f>
        <v>https://techcombank.com/thong-tin/blog/thoi-han-vay-thau-chi</v>
      </c>
      <c r="B499" s="28">
        <f>IFERROR(__xludf.DUMMYFUNCTION("""COMPUTED_VALUE"""),3.0)</f>
        <v>3</v>
      </c>
      <c r="C499" s="20" t="str">
        <f>IFERROR(__xludf.DUMMYFUNCTION("IF(A499="""","""",TEXTJOIN(CHAR(10),TRUE,FILTER('Tổng hợp 75 trang đích'!$B$2:$B$3400,'Tổng hợp 75 trang đích'!$I$2:$I$3400=A499)))"),"https://techcombank.com/cong-cu-tien-ich/cong-cu-tinh-toan/bang-tinh-lai-suat-vay
https://techcombank.com/thong-tin/blog/app-vay-tien-nhanh
https://techcombank.com/thong-tin/blog/lai-suat-vay-ngan-hang")</f>
        <v>https://techcombank.com/cong-cu-tien-ich/cong-cu-tinh-toan/bang-tinh-lai-suat-vay
https://techcombank.com/thong-tin/blog/app-vay-tien-nhanh
https://techcombank.com/thong-tin/blog/lai-suat-vay-ngan-hang</v>
      </c>
      <c r="D499" s="20"/>
      <c r="E499" s="20"/>
      <c r="F499" s="20"/>
      <c r="G499" s="20"/>
      <c r="H499" s="20"/>
      <c r="I499" s="20"/>
      <c r="J499" s="20"/>
      <c r="K499" s="20"/>
      <c r="L499" s="20"/>
      <c r="M499" s="20"/>
      <c r="N499" s="20"/>
      <c r="O499" s="20"/>
      <c r="P499" s="20"/>
      <c r="Q499" s="20"/>
      <c r="R499" s="20"/>
      <c r="S499" s="20"/>
      <c r="T499" s="20"/>
      <c r="U499" s="20"/>
      <c r="V499" s="20"/>
      <c r="W499" s="20"/>
      <c r="X499" s="20"/>
    </row>
    <row r="500">
      <c r="A500" s="37" t="str">
        <f>IFERROR(__xludf.DUMMYFUNCTION("""COMPUTED_VALUE"""),"https://techcombank.com/thong-tin/blog/thu-tuc-vay-ngan-hang-mua-nha")</f>
        <v>https://techcombank.com/thong-tin/blog/thu-tuc-vay-ngan-hang-mua-nha</v>
      </c>
      <c r="B500" s="28">
        <f>IFERROR(__xludf.DUMMYFUNCTION("""COMPUTED_VALUE"""),3.0)</f>
        <v>3</v>
      </c>
      <c r="C500" s="20" t="str">
        <f>IFERROR(__xludf.DUMMYFUNCTION("IF(A500="""","""",TEXTJOIN(CHAR(10),TRUE,FILTER('Tổng hợp 75 trang đích'!$B$2:$B$3400,'Tổng hợp 75 trang đích'!$I$2:$I$3400=A500)))"),"https://techcombank.com/cong-cu-tien-ich/cong-cu-tinh-toan/bang-tinh-lai-suat-vay
https://techcombank.com/thong-tin/blog/app-vay-tien-nhanh
https://techcombank.com/thong-tin/blog/lai-suat-vay-ngan-hang")</f>
        <v>https://techcombank.com/cong-cu-tien-ich/cong-cu-tinh-toan/bang-tinh-lai-suat-vay
https://techcombank.com/thong-tin/blog/app-vay-tien-nhanh
https://techcombank.com/thong-tin/blog/lai-suat-vay-ngan-hang</v>
      </c>
      <c r="D500" s="20"/>
      <c r="E500" s="20"/>
      <c r="F500" s="20"/>
      <c r="G500" s="20"/>
      <c r="H500" s="20"/>
      <c r="I500" s="20"/>
      <c r="J500" s="20"/>
      <c r="K500" s="20"/>
      <c r="L500" s="20"/>
      <c r="M500" s="20"/>
      <c r="N500" s="20"/>
      <c r="O500" s="20"/>
      <c r="P500" s="20"/>
      <c r="Q500" s="20"/>
      <c r="R500" s="20"/>
      <c r="S500" s="20"/>
      <c r="T500" s="20"/>
      <c r="U500" s="20"/>
      <c r="V500" s="20"/>
      <c r="W500" s="20"/>
      <c r="X500" s="20"/>
    </row>
    <row r="501">
      <c r="A501" s="37" t="str">
        <f>IFERROR(__xludf.DUMMYFUNCTION("""COMPUTED_VALUE"""),"https://techcombank.com/thong-tin/blog/thu-tuc-vay-von-doanh-nghiep")</f>
        <v>https://techcombank.com/thong-tin/blog/thu-tuc-vay-von-doanh-nghiep</v>
      </c>
      <c r="B501" s="28">
        <f>IFERROR(__xludf.DUMMYFUNCTION("""COMPUTED_VALUE"""),3.0)</f>
        <v>3</v>
      </c>
      <c r="C501" s="20" t="str">
        <f>IFERROR(__xludf.DUMMYFUNCTION("IF(A501="""","""",TEXTJOIN(CHAR(10),TRUE,FILTER('Tổng hợp 75 trang đích'!$B$2:$B$3400,'Tổng hợp 75 trang đích'!$I$2:$I$3400=A501)))"),"https://techcombank.com/thong-tin/blog/lai-suat-tiet-kiem
https://techcombank.com/cong-cu-tien-ich/cong-cu-tinh-toan/bang-tinh-lai-suat-vay
https://techcombank.com/thong-tin/blog/app-vay-tien-nhanh")</f>
        <v>https://techcombank.com/thong-tin/blog/lai-suat-tiet-kiem
https://techcombank.com/cong-cu-tien-ich/cong-cu-tinh-toan/bang-tinh-lai-suat-vay
https://techcombank.com/thong-tin/blog/app-vay-tien-nhanh</v>
      </c>
      <c r="D501" s="20"/>
      <c r="E501" s="20"/>
      <c r="F501" s="20"/>
      <c r="G501" s="20"/>
      <c r="H501" s="20"/>
      <c r="I501" s="20"/>
      <c r="J501" s="20"/>
      <c r="K501" s="20"/>
      <c r="L501" s="20"/>
      <c r="M501" s="20"/>
      <c r="N501" s="20"/>
      <c r="O501" s="20"/>
      <c r="P501" s="20"/>
      <c r="Q501" s="20"/>
      <c r="R501" s="20"/>
      <c r="S501" s="20"/>
      <c r="T501" s="20"/>
      <c r="U501" s="20"/>
      <c r="V501" s="20"/>
      <c r="W501" s="20"/>
      <c r="X501" s="20"/>
    </row>
    <row r="502">
      <c r="A502" s="37" t="str">
        <f>IFERROR(__xludf.DUMMYFUNCTION("""COMPUTED_VALUE"""),"https://techcombank.com/thong-tin/blog/tien-lao")</f>
        <v>https://techcombank.com/thong-tin/blog/tien-lao</v>
      </c>
      <c r="B502" s="28">
        <f>IFERROR(__xludf.DUMMYFUNCTION("""COMPUTED_VALUE"""),3.0)</f>
        <v>3</v>
      </c>
      <c r="C502" s="20" t="str">
        <f>IFERROR(__xludf.DUMMYFUNCTION("IF(A502="""","""",TEXTJOIN(CHAR(10),TRUE,FILTER('Tổng hợp 75 trang đích'!$B$2:$B$3400,'Tổng hợp 75 trang đích'!$I$2:$I$3400=A502)))"),"https://techcombank.com/thong-tin/blog/1-yen-bang-bao-nhieu-tien-viet-nam
https://techcombank.com/thong-tin/blog/1-man-bang-bao-nhieu-tien-viet
https://techcombank.com/thong-tin/blog/1-trieu-do-bang-bao-nhieu-tien-viet")</f>
        <v>https://techcombank.com/thong-tin/blog/1-yen-bang-bao-nhieu-tien-viet-nam
https://techcombank.com/thong-tin/blog/1-man-bang-bao-nhieu-tien-viet
https://techcombank.com/thong-tin/blog/1-trieu-do-bang-bao-nhieu-tien-viet</v>
      </c>
      <c r="D502" s="20"/>
      <c r="E502" s="20"/>
      <c r="F502" s="20"/>
      <c r="G502" s="20"/>
      <c r="H502" s="20"/>
      <c r="I502" s="20"/>
      <c r="J502" s="20"/>
      <c r="K502" s="20"/>
      <c r="L502" s="20"/>
      <c r="M502" s="20"/>
      <c r="N502" s="20"/>
      <c r="O502" s="20"/>
      <c r="P502" s="20"/>
      <c r="Q502" s="20"/>
      <c r="R502" s="20"/>
      <c r="S502" s="20"/>
      <c r="T502" s="20"/>
      <c r="U502" s="20"/>
      <c r="V502" s="20"/>
      <c r="W502" s="20"/>
      <c r="X502" s="20"/>
    </row>
    <row r="503">
      <c r="A503" s="37" t="str">
        <f>IFERROR(__xludf.DUMMYFUNCTION("""COMPUTED_VALUE"""),"https://techcombank.com/thong-tin/blog/tien-malaysia")</f>
        <v>https://techcombank.com/thong-tin/blog/tien-malaysia</v>
      </c>
      <c r="B503" s="28">
        <f>IFERROR(__xludf.DUMMYFUNCTION("""COMPUTED_VALUE"""),3.0)</f>
        <v>3</v>
      </c>
      <c r="C503" s="20" t="str">
        <f>IFERROR(__xludf.DUMMYFUNCTION("IF(A503="""","""",TEXTJOIN(CHAR(10),TRUE,FILTER('Tổng hợp 75 trang đích'!$B$2:$B$3400,'Tổng hợp 75 trang đích'!$I$2:$I$3400=A503)))"),"https://techcombank.com/thong-tin/blog/1-dong-do-la-my-bang-bao-nhieu-tien-viet-nam
https://techcombank.com/thong-tin/blog/1-yen-bang-bao-nhieu-tien-viet-nam
https://techcombank.com/thong-tin/blog/doi-tien-do-o-dau")</f>
        <v>https://techcombank.com/thong-tin/blog/1-dong-do-la-my-bang-bao-nhieu-tien-viet-nam
https://techcombank.com/thong-tin/blog/1-yen-bang-bao-nhieu-tien-viet-nam
https://techcombank.com/thong-tin/blog/doi-tien-do-o-dau</v>
      </c>
      <c r="D503" s="20"/>
      <c r="E503" s="20"/>
      <c r="F503" s="20"/>
      <c r="G503" s="20"/>
      <c r="H503" s="20"/>
      <c r="I503" s="20"/>
      <c r="J503" s="20"/>
      <c r="K503" s="20"/>
      <c r="L503" s="20"/>
      <c r="M503" s="20"/>
      <c r="N503" s="20"/>
      <c r="O503" s="20"/>
      <c r="P503" s="20"/>
      <c r="Q503" s="20"/>
      <c r="R503" s="20"/>
      <c r="S503" s="20"/>
      <c r="T503" s="20"/>
      <c r="U503" s="20"/>
      <c r="V503" s="20"/>
      <c r="W503" s="20"/>
      <c r="X503" s="20"/>
    </row>
    <row r="504">
      <c r="A504" s="37" t="str">
        <f>IFERROR(__xludf.DUMMYFUNCTION("""COMPUTED_VALUE"""),"https://techcombank.com/thong-tin/blog/tien-thai-lan")</f>
        <v>https://techcombank.com/thong-tin/blog/tien-thai-lan</v>
      </c>
      <c r="B504" s="28">
        <f>IFERROR(__xludf.DUMMYFUNCTION("""COMPUTED_VALUE"""),3.0)</f>
        <v>3</v>
      </c>
      <c r="C504" s="20" t="str">
        <f>IFERROR(__xludf.DUMMYFUNCTION("IF(A504="""","""",TEXTJOIN(CHAR(10),TRUE,FILTER('Tổng hợp 75 trang đích'!$B$2:$B$3400,'Tổng hợp 75 trang đích'!$I$2:$I$3400=A504)))"),"https://techcombank.com/thong-tin/blog/1-yen-bang-bao-nhieu-tien-viet-nam
https://techcombank.com/thong-tin/blog/1-man-bang-bao-nhieu-tien-viet
https://techcombank.com/thong-tin/blog/1000-won-bang-bao-nhieu-tien-viet")</f>
        <v>https://techcombank.com/thong-tin/blog/1-yen-bang-bao-nhieu-tien-viet-nam
https://techcombank.com/thong-tin/blog/1-man-bang-bao-nhieu-tien-viet
https://techcombank.com/thong-tin/blog/1000-won-bang-bao-nhieu-tien-viet</v>
      </c>
      <c r="D504" s="20"/>
      <c r="E504" s="20"/>
      <c r="F504" s="20"/>
      <c r="G504" s="20"/>
      <c r="H504" s="20"/>
      <c r="I504" s="20"/>
      <c r="J504" s="20"/>
      <c r="K504" s="20"/>
      <c r="L504" s="20"/>
      <c r="M504" s="20"/>
      <c r="N504" s="20"/>
      <c r="O504" s="20"/>
      <c r="P504" s="20"/>
      <c r="Q504" s="20"/>
      <c r="R504" s="20"/>
      <c r="S504" s="20"/>
      <c r="T504" s="20"/>
      <c r="U504" s="20"/>
      <c r="V504" s="20"/>
      <c r="W504" s="20"/>
      <c r="X504" s="20"/>
    </row>
    <row r="505">
      <c r="A505" s="37" t="str">
        <f>IFERROR(__xludf.DUMMYFUNCTION("""COMPUTED_VALUE"""),"https://techcombank.com/thong-tin/blog/tiet-kiem-tien-moi-ngay")</f>
        <v>https://techcombank.com/thong-tin/blog/tiet-kiem-tien-moi-ngay</v>
      </c>
      <c r="B505" s="28">
        <f>IFERROR(__xludf.DUMMYFUNCTION("""COMPUTED_VALUE"""),3.0)</f>
        <v>3</v>
      </c>
      <c r="C505" s="20" t="str">
        <f>IFERROR(__xludf.DUMMYFUNCTION("IF(A505="""","""",TEXTJOIN(CHAR(10),TRUE,FILTER('Tổng hợp 75 trang đích'!$B$2:$B$3400,'Tổng hợp 75 trang đích'!$I$2:$I$3400=A505)))"),"https://techcombank.com/thong-tin/blog/lai-suat-tiet-kiem
https://techcombank.com/thong-tin/blog/cach-tinh-lai-suat-tien-gui-tiet-kiem
https://techcombank.com/thong-tin/blog/cach-tiet-kiem-tien")</f>
        <v>https://techcombank.com/thong-tin/blog/lai-suat-tiet-kiem
https://techcombank.com/thong-tin/blog/cach-tinh-lai-suat-tien-gui-tiet-kiem
https://techcombank.com/thong-tin/blog/cach-tiet-kiem-tien</v>
      </c>
      <c r="D505" s="20"/>
      <c r="E505" s="20"/>
      <c r="F505" s="20"/>
      <c r="G505" s="20"/>
      <c r="H505" s="20"/>
      <c r="I505" s="20"/>
      <c r="J505" s="20"/>
      <c r="K505" s="20"/>
      <c r="L505" s="20"/>
      <c r="M505" s="20"/>
      <c r="N505" s="20"/>
      <c r="O505" s="20"/>
      <c r="P505" s="20"/>
      <c r="Q505" s="20"/>
      <c r="R505" s="20"/>
      <c r="S505" s="20"/>
      <c r="T505" s="20"/>
      <c r="U505" s="20"/>
      <c r="V505" s="20"/>
      <c r="W505" s="20"/>
      <c r="X505" s="20"/>
    </row>
    <row r="506">
      <c r="A506" s="37" t="str">
        <f>IFERROR(__xludf.DUMMYFUNCTION("""COMPUTED_VALUE"""),"https://techcombank.com/thong-tin/blog/tous-les-jours")</f>
        <v>https://techcombank.com/thong-tin/blog/tous-les-jours</v>
      </c>
      <c r="B506" s="28">
        <f>IFERROR(__xludf.DUMMYFUNCTION("""COMPUTED_VALUE"""),3.0)</f>
        <v>3</v>
      </c>
      <c r="C506" s="20" t="str">
        <f>IFERROR(__xludf.DUMMYFUNCTION("IF(A506="""","""",TEXTJOIN(CHAR(10),TRUE,FILTER('Tổng hợp 75 trang đích'!$B$2:$B$3400,'Tổng hợp 75 trang đích'!$I$2:$I$3400=A506)))"),"https://techcombank.com/thong-tin/blog/cic-la-gi
https://techcombank.com/thong-tin/blog/1000-won-bang-bao-nhieu-tien-viet
https://techcombank.com/thong-tin/blog/traveloka-voucher")</f>
        <v>https://techcombank.com/thong-tin/blog/cic-la-gi
https://techcombank.com/thong-tin/blog/1000-won-bang-bao-nhieu-tien-viet
https://techcombank.com/thong-tin/blog/traveloka-voucher</v>
      </c>
      <c r="D506" s="20"/>
      <c r="E506" s="20"/>
      <c r="F506" s="20"/>
      <c r="G506" s="20"/>
      <c r="H506" s="20"/>
      <c r="I506" s="20"/>
      <c r="J506" s="20"/>
      <c r="K506" s="20"/>
      <c r="L506" s="20"/>
      <c r="M506" s="20"/>
      <c r="N506" s="20"/>
      <c r="O506" s="20"/>
      <c r="P506" s="20"/>
      <c r="Q506" s="20"/>
      <c r="R506" s="20"/>
      <c r="S506" s="20"/>
      <c r="T506" s="20"/>
      <c r="U506" s="20"/>
      <c r="V506" s="20"/>
      <c r="W506" s="20"/>
      <c r="X506" s="20"/>
    </row>
    <row r="507">
      <c r="A507" s="37" t="str">
        <f>IFERROR(__xludf.DUMMYFUNCTION("""COMPUTED_VALUE"""),"https://techcombank.com/thong-tin/blog/uu-dai-the-tin-dung")</f>
        <v>https://techcombank.com/thong-tin/blog/uu-dai-the-tin-dung</v>
      </c>
      <c r="B507" s="28">
        <f>IFERROR(__xludf.DUMMYFUNCTION("""COMPUTED_VALUE"""),3.0)</f>
        <v>3</v>
      </c>
      <c r="C507" s="20" t="str">
        <f>IFERROR(__xludf.DUMMYFUNCTION("IF(A507="""","""",TEXTJOIN(CHAR(10),TRUE,FILTER('Tổng hợp 75 trang đích'!$B$2:$B$3400,'Tổng hợp 75 trang đích'!$I$2:$I$3400=A507)))"),"https://techcombank.com/thong-tin/blog/eco-card
https://techcombank.com/thong-tin/blog/cach-huy-the-tin-dung
https://techcombank.com/thong-tin/blog/lai-suat-tiet-kiem")</f>
        <v>https://techcombank.com/thong-tin/blog/eco-card
https://techcombank.com/thong-tin/blog/cach-huy-the-tin-dung
https://techcombank.com/thong-tin/blog/lai-suat-tiet-kiem</v>
      </c>
      <c r="D507" s="20"/>
      <c r="E507" s="20"/>
      <c r="F507" s="20"/>
      <c r="G507" s="20"/>
      <c r="H507" s="20"/>
      <c r="I507" s="20"/>
      <c r="J507" s="20"/>
      <c r="K507" s="20"/>
      <c r="L507" s="20"/>
      <c r="M507" s="20"/>
      <c r="N507" s="20"/>
      <c r="O507" s="20"/>
      <c r="P507" s="20"/>
      <c r="Q507" s="20"/>
      <c r="R507" s="20"/>
      <c r="S507" s="20"/>
      <c r="T507" s="20"/>
      <c r="U507" s="20"/>
      <c r="V507" s="20"/>
      <c r="W507" s="20"/>
      <c r="X507" s="20"/>
    </row>
    <row r="508">
      <c r="A508" s="37" t="str">
        <f>IFERROR(__xludf.DUMMYFUNCTION("""COMPUTED_VALUE"""),"https://techcombank.com/thong-tin/blog/vay-sieu-toc")</f>
        <v>https://techcombank.com/thong-tin/blog/vay-sieu-toc</v>
      </c>
      <c r="B508" s="28">
        <f>IFERROR(__xludf.DUMMYFUNCTION("""COMPUTED_VALUE"""),3.0)</f>
        <v>3</v>
      </c>
      <c r="C508" s="20" t="str">
        <f>IFERROR(__xludf.DUMMYFUNCTION("IF(A508="""","""",TEXTJOIN(CHAR(10),TRUE,FILTER('Tổng hợp 75 trang đích'!$B$2:$B$3400,'Tổng hợp 75 trang đích'!$I$2:$I$3400=A508)))"),"https://techcombank.com/thong-tin/blog/tien-thai-lan
https://techcombank.com/cong-cu-tien-ich/cong-cu-tinh-toan/bang-tinh-lai-suat-vay
https://techcombank.com/thong-tin/blog/app-vay-tien-nhanh")</f>
        <v>https://techcombank.com/thong-tin/blog/tien-thai-lan
https://techcombank.com/cong-cu-tien-ich/cong-cu-tinh-toan/bang-tinh-lai-suat-vay
https://techcombank.com/thong-tin/blog/app-vay-tien-nhanh</v>
      </c>
      <c r="D508" s="20"/>
      <c r="E508" s="20"/>
      <c r="F508" s="20"/>
      <c r="G508" s="20"/>
      <c r="H508" s="20"/>
      <c r="I508" s="20"/>
      <c r="J508" s="20"/>
      <c r="K508" s="20"/>
      <c r="L508" s="20"/>
      <c r="M508" s="20"/>
      <c r="N508" s="20"/>
      <c r="O508" s="20"/>
      <c r="P508" s="20"/>
      <c r="Q508" s="20"/>
      <c r="R508" s="20"/>
      <c r="S508" s="20"/>
      <c r="T508" s="20"/>
      <c r="U508" s="20"/>
      <c r="V508" s="20"/>
      <c r="W508" s="20"/>
      <c r="X508" s="20"/>
    </row>
    <row r="509">
      <c r="A509" s="37" t="str">
        <f>IFERROR(__xludf.DUMMYFUNCTION("""COMPUTED_VALUE"""),"https://techcombank.com/thong-tin/blog/vi-du-ve-ca-nhan-hoa")</f>
        <v>https://techcombank.com/thong-tin/blog/vi-du-ve-ca-nhan-hoa</v>
      </c>
      <c r="B509" s="28">
        <f>IFERROR(__xludf.DUMMYFUNCTION("""COMPUTED_VALUE"""),3.0)</f>
        <v>3</v>
      </c>
      <c r="C509" s="20" t="str">
        <f>IFERROR(__xludf.DUMMYFUNCTION("IF(A509="""","""",TEXTJOIN(CHAR(10),TRUE,FILTER('Tổng hợp 75 trang đích'!$B$2:$B$3400,'Tổng hợp 75 trang đích'!$I$2:$I$3400=A509)))"),"https://techcombank.com/thong-tin/blog/bao-nhieu-tuoi-duoc-mo-tai-khoan-ngan-hang
https://techcombank.com/thong-tin/blog/day-so-phat-tai-phat-loc
https://techcombank.com/thong-tin/blog/phuong-phap-dau-tu-chung-chi-quy")</f>
        <v>https://techcombank.com/thong-tin/blog/bao-nhieu-tuoi-duoc-mo-tai-khoan-ngan-hang
https://techcombank.com/thong-tin/blog/day-so-phat-tai-phat-loc
https://techcombank.com/thong-tin/blog/phuong-phap-dau-tu-chung-chi-quy</v>
      </c>
      <c r="D509" s="20"/>
      <c r="E509" s="20"/>
      <c r="F509" s="20"/>
      <c r="G509" s="20"/>
      <c r="H509" s="20"/>
      <c r="I509" s="20"/>
      <c r="J509" s="20"/>
      <c r="K509" s="20"/>
      <c r="L509" s="20"/>
      <c r="M509" s="20"/>
      <c r="N509" s="20"/>
      <c r="O509" s="20"/>
      <c r="P509" s="20"/>
      <c r="Q509" s="20"/>
      <c r="R509" s="20"/>
      <c r="S509" s="20"/>
      <c r="T509" s="20"/>
      <c r="U509" s="20"/>
      <c r="V509" s="20"/>
      <c r="W509" s="20"/>
      <c r="X509" s="20"/>
    </row>
    <row r="510">
      <c r="A510" s="37" t="str">
        <f>IFERROR(__xludf.DUMMYFUNCTION("""COMPUTED_VALUE"""),"https://techcombank.com/thong-tin/blog/vi-sao-lai-suat-trai-phieu-tai-tcbs-lai-thap-hon-so-voi-cac-to-chuc-phat-hanh-khac")</f>
        <v>https://techcombank.com/thong-tin/blog/vi-sao-lai-suat-trai-phieu-tai-tcbs-lai-thap-hon-so-voi-cac-to-chuc-phat-hanh-khac</v>
      </c>
      <c r="B510" s="28">
        <f>IFERROR(__xludf.DUMMYFUNCTION("""COMPUTED_VALUE"""),3.0)</f>
        <v>3</v>
      </c>
      <c r="C510" s="20" t="str">
        <f>IFERROR(__xludf.DUMMYFUNCTION("IF(A510="""","""",TEXTJOIN(CHAR(10),TRUE,FILTER('Tổng hợp 75 trang đích'!$B$2:$B$3400,'Tổng hợp 75 trang đích'!$I$2:$I$3400=A510)))"),"https://techcombank.com/thong-tin/blog/lai-suat-tiet-kiem
https://techcombank.com/thong-tin/blog/cach-tinh-lai-suat-tien-gui-tiet-kiem
https://techcombank.com/cong-cu-tien-ich/cong-cu-tinh-toan/bang-tinh-lai-suat-tiet-kiem")</f>
        <v>https://techcombank.com/thong-tin/blog/lai-suat-tiet-kiem
https://techcombank.com/thong-tin/blog/cach-tinh-lai-suat-tien-gui-tiet-kiem
https://techcombank.com/cong-cu-tien-ich/cong-cu-tinh-toan/bang-tinh-lai-suat-tiet-kiem</v>
      </c>
      <c r="D510" s="20"/>
      <c r="E510" s="20"/>
      <c r="F510" s="20"/>
      <c r="G510" s="20"/>
      <c r="H510" s="20"/>
      <c r="I510" s="20"/>
      <c r="J510" s="20"/>
      <c r="K510" s="20"/>
      <c r="L510" s="20"/>
      <c r="M510" s="20"/>
      <c r="N510" s="20"/>
      <c r="O510" s="20"/>
      <c r="P510" s="20"/>
      <c r="Q510" s="20"/>
      <c r="R510" s="20"/>
      <c r="S510" s="20"/>
      <c r="T510" s="20"/>
      <c r="U510" s="20"/>
      <c r="V510" s="20"/>
      <c r="W510" s="20"/>
      <c r="X510" s="20"/>
    </row>
    <row r="511">
      <c r="A511" s="37" t="str">
        <f>IFERROR(__xludf.DUMMYFUNCTION("""COMPUTED_VALUE"""),"https://techcombank.com/thong-tin/blog/viet-kieu-co-mo-duoc-tai-khoan-ngan-hang-khong")</f>
        <v>https://techcombank.com/thong-tin/blog/viet-kieu-co-mo-duoc-tai-khoan-ngan-hang-khong</v>
      </c>
      <c r="B511" s="28">
        <f>IFERROR(__xludf.DUMMYFUNCTION("""COMPUTED_VALUE"""),3.0)</f>
        <v>3</v>
      </c>
      <c r="C511" s="20" t="str">
        <f>IFERROR(__xludf.DUMMYFUNCTION("IF(A511="""","""",TEXTJOIN(CHAR(10),TRUE,FILTER('Tổng hợp 75 trang đích'!$B$2:$B$3400,'Tổng hợp 75 trang đích'!$I$2:$I$3400=A511)))"),"https://techcombank.com/thong-tin/blog/ngan-hang-uy-tin
https://techcombank.com/thong-tin/blog/mo-tai-khoan-ngan-hang-duoi-18-tuoi
https://techcombank.com/thong-tin/blog/ho-so-thu-tuc-xoa-the-chap")</f>
        <v>https://techcombank.com/thong-tin/blog/ngan-hang-uy-tin
https://techcombank.com/thong-tin/blog/mo-tai-khoan-ngan-hang-duoi-18-tuoi
https://techcombank.com/thong-tin/blog/ho-so-thu-tuc-xoa-the-chap</v>
      </c>
      <c r="D511" s="20"/>
      <c r="E511" s="20"/>
      <c r="F511" s="20"/>
      <c r="G511" s="20"/>
      <c r="H511" s="20"/>
      <c r="I511" s="20"/>
      <c r="J511" s="20"/>
      <c r="K511" s="20"/>
      <c r="L511" s="20"/>
      <c r="M511" s="20"/>
      <c r="N511" s="20"/>
      <c r="O511" s="20"/>
      <c r="P511" s="20"/>
      <c r="Q511" s="20"/>
      <c r="R511" s="20"/>
      <c r="S511" s="20"/>
      <c r="T511" s="20"/>
      <c r="U511" s="20"/>
      <c r="V511" s="20"/>
      <c r="W511" s="20"/>
      <c r="X511" s="20"/>
    </row>
    <row r="512">
      <c r="A512" s="37" t="str">
        <f>IFERROR(__xludf.DUMMYFUNCTION("""COMPUTED_VALUE"""),"https://techcombank.com/thong-tin/blog/voucher-highland")</f>
        <v>https://techcombank.com/thong-tin/blog/voucher-highland</v>
      </c>
      <c r="B512" s="28">
        <f>IFERROR(__xludf.DUMMYFUNCTION("""COMPUTED_VALUE"""),3.0)</f>
        <v>3</v>
      </c>
      <c r="C512" s="20" t="str">
        <f>IFERROR(__xludf.DUMMYFUNCTION("IF(A512="""","""",TEXTJOIN(CHAR(10),TRUE,FILTER('Tổng hợp 75 trang đích'!$B$2:$B$3400,'Tổng hợp 75 trang đích'!$I$2:$I$3400=A512)))"),"https://techcombank.com/thong-tin/blog/cic-la-gi
https://techcombank.com/thong-tin/blog/1000-won-bang-bao-nhieu-tien-viet
https://techcombank.com/thong-tin/blog/traveloka-voucher")</f>
        <v>https://techcombank.com/thong-tin/blog/cic-la-gi
https://techcombank.com/thong-tin/blog/1000-won-bang-bao-nhieu-tien-viet
https://techcombank.com/thong-tin/blog/traveloka-voucher</v>
      </c>
      <c r="D512" s="20"/>
      <c r="E512" s="20"/>
      <c r="F512" s="20"/>
      <c r="G512" s="20"/>
      <c r="H512" s="20"/>
      <c r="I512" s="20"/>
      <c r="J512" s="20"/>
      <c r="K512" s="20"/>
      <c r="L512" s="20"/>
      <c r="M512" s="20"/>
      <c r="N512" s="20"/>
      <c r="O512" s="20"/>
      <c r="P512" s="20"/>
      <c r="Q512" s="20"/>
      <c r="R512" s="20"/>
      <c r="S512" s="20"/>
      <c r="T512" s="20"/>
      <c r="U512" s="20"/>
      <c r="V512" s="20"/>
      <c r="W512" s="20"/>
      <c r="X512" s="20"/>
    </row>
    <row r="513">
      <c r="A513" s="37" t="str">
        <f>IFERROR(__xludf.DUMMYFUNCTION("""COMPUTED_VALUE"""),"https://techcombank.com/thong-tin/blog/voucher-the-pizza-company")</f>
        <v>https://techcombank.com/thong-tin/blog/voucher-the-pizza-company</v>
      </c>
      <c r="B513" s="28">
        <f>IFERROR(__xludf.DUMMYFUNCTION("""COMPUTED_VALUE"""),3.0)</f>
        <v>3</v>
      </c>
      <c r="C513" s="20" t="str">
        <f>IFERROR(__xludf.DUMMYFUNCTION("IF(A513="""","""",TEXTJOIN(CHAR(10),TRUE,FILTER('Tổng hợp 75 trang đích'!$B$2:$B$3400,'Tổng hợp 75 trang đích'!$I$2:$I$3400=A513)))"),"https://techcombank.com/thong-tin/blog/cach-nap-the-viettel
https://techcombank.com/thong-tin/blog/cic-la-gi
https://techcombank.com/thong-tin/blog/traveloka-voucher")</f>
        <v>https://techcombank.com/thong-tin/blog/cach-nap-the-viettel
https://techcombank.com/thong-tin/blog/cic-la-gi
https://techcombank.com/thong-tin/blog/traveloka-voucher</v>
      </c>
      <c r="D513" s="20"/>
      <c r="E513" s="20"/>
      <c r="F513" s="20"/>
      <c r="G513" s="20"/>
      <c r="H513" s="20"/>
      <c r="I513" s="20"/>
      <c r="J513" s="20"/>
      <c r="K513" s="20"/>
      <c r="L513" s="20"/>
      <c r="M513" s="20"/>
      <c r="N513" s="20"/>
      <c r="O513" s="20"/>
      <c r="P513" s="20"/>
      <c r="Q513" s="20"/>
      <c r="R513" s="20"/>
      <c r="S513" s="20"/>
      <c r="T513" s="20"/>
      <c r="U513" s="20"/>
      <c r="V513" s="20"/>
      <c r="W513" s="20"/>
      <c r="X513" s="20"/>
    </row>
    <row r="514">
      <c r="A514" s="37" t="str">
        <f>IFERROR(__xludf.DUMMYFUNCTION("""COMPUTED_VALUE"""),"https://techcombank.com/thong-tin/blog/xu-huong-dau-tu-trai-phieu-ky-han-duoi-mot-nam-lua-chon-an-toan-khi-thi-truong-bien-dong")</f>
        <v>https://techcombank.com/thong-tin/blog/xu-huong-dau-tu-trai-phieu-ky-han-duoi-mot-nam-lua-chon-an-toan-khi-thi-truong-bien-dong</v>
      </c>
      <c r="B514" s="28">
        <f>IFERROR(__xludf.DUMMYFUNCTION("""COMPUTED_VALUE"""),3.0)</f>
        <v>3</v>
      </c>
      <c r="C514" s="20" t="str">
        <f>IFERROR(__xludf.DUMMYFUNCTION("IF(A514="""","""",TEXTJOIN(CHAR(10),TRUE,FILTER('Tổng hợp 75 trang đích'!$B$2:$B$3400,'Tổng hợp 75 trang đích'!$I$2:$I$3400=A514)))"),"https://techcombank.com/thong-tin/blog/lai-suat-tiet-kiem
https://techcombank.com/thong-tin/blog/cach-tinh-lai-suat-tien-gui-tiet-kiem
https://techcombank.com/cong-cu-tien-ich/cong-cu-tinh-toan/bang-tinh-lai-suat-tiet-kiem")</f>
        <v>https://techcombank.com/thong-tin/blog/lai-suat-tiet-kiem
https://techcombank.com/thong-tin/blog/cach-tinh-lai-suat-tien-gui-tiet-kiem
https://techcombank.com/cong-cu-tien-ich/cong-cu-tinh-toan/bang-tinh-lai-suat-tiet-kiem</v>
      </c>
      <c r="D514" s="20"/>
      <c r="E514" s="20"/>
      <c r="F514" s="20"/>
      <c r="G514" s="20"/>
      <c r="H514" s="20"/>
      <c r="I514" s="20"/>
      <c r="J514" s="20"/>
      <c r="K514" s="20"/>
      <c r="L514" s="20"/>
      <c r="M514" s="20"/>
      <c r="N514" s="20"/>
      <c r="O514" s="20"/>
      <c r="P514" s="20"/>
      <c r="Q514" s="20"/>
      <c r="R514" s="20"/>
      <c r="S514" s="20"/>
      <c r="T514" s="20"/>
      <c r="U514" s="20"/>
      <c r="V514" s="20"/>
      <c r="W514" s="20"/>
      <c r="X514" s="20"/>
    </row>
    <row r="515">
      <c r="A515" s="37" t="str">
        <f>IFERROR(__xludf.DUMMYFUNCTION("""COMPUTED_VALUE"""),"https://techcombank.com/thong-tin/blog/1-nguoi-co-the-lam-duoc-bao-nhieu-the-atm")</f>
        <v>https://techcombank.com/thong-tin/blog/1-nguoi-co-the-lam-duoc-bao-nhieu-the-atm</v>
      </c>
      <c r="B515" s="28">
        <f>IFERROR(__xludf.DUMMYFUNCTION("""COMPUTED_VALUE"""),2.0)</f>
        <v>2</v>
      </c>
      <c r="C515" s="20" t="str">
        <f>IFERROR(__xludf.DUMMYFUNCTION("IF(A515="""","""",TEXTJOIN(CHAR(10),TRUE,FILTER('Tổng hợp 75 trang đích'!$B$2:$B$3400,'Tổng hợp 75 trang đích'!$I$2:$I$3400=A515)))"),"https://techcombank.com/thong-tin/blog/bao-nhieu-tuoi-duoc-mo-tai-khoan-ngan-hang
https://techcombank.com/thong-tin/blog/nap-tien-vao-tai-khoan-ngan-hang")</f>
        <v>https://techcombank.com/thong-tin/blog/bao-nhieu-tuoi-duoc-mo-tai-khoan-ngan-hang
https://techcombank.com/thong-tin/blog/nap-tien-vao-tai-khoan-ngan-hang</v>
      </c>
      <c r="D515" s="20"/>
      <c r="E515" s="20"/>
      <c r="F515" s="20"/>
      <c r="G515" s="20"/>
      <c r="H515" s="20"/>
      <c r="I515" s="20"/>
      <c r="J515" s="20"/>
      <c r="K515" s="20"/>
      <c r="L515" s="20"/>
      <c r="M515" s="20"/>
      <c r="N515" s="20"/>
      <c r="O515" s="20"/>
      <c r="P515" s="20"/>
      <c r="Q515" s="20"/>
      <c r="R515" s="20"/>
      <c r="S515" s="20"/>
      <c r="T515" s="20"/>
      <c r="U515" s="20"/>
      <c r="V515" s="20"/>
      <c r="W515" s="20"/>
      <c r="X515" s="20"/>
    </row>
    <row r="516">
      <c r="A516" s="37" t="str">
        <f>IFERROR(__xludf.DUMMYFUNCTION("""COMPUTED_VALUE"""),"https://techcombank.com/thong-tin/blog/5-trieu-mua-duoc-bao-nhieu-vang")</f>
        <v>https://techcombank.com/thong-tin/blog/5-trieu-mua-duoc-bao-nhieu-vang</v>
      </c>
      <c r="B516" s="28">
        <f>IFERROR(__xludf.DUMMYFUNCTION("""COMPUTED_VALUE"""),2.0)</f>
        <v>2</v>
      </c>
      <c r="C516" s="20" t="str">
        <f>IFERROR(__xludf.DUMMYFUNCTION("IF(A516="""","""",TEXTJOIN(CHAR(10),TRUE,FILTER('Tổng hợp 75 trang đích'!$B$2:$B$3400,'Tổng hợp 75 trang đích'!$I$2:$I$3400=A516)))"),"https://techcombank.com/thong-tin/blog/lai-suat-tiet-kiem
https://techcombank.com/thong-tin/blog/rui-ro-khi-gui-tiet-kiem-online")</f>
        <v>https://techcombank.com/thong-tin/blog/lai-suat-tiet-kiem
https://techcombank.com/thong-tin/blog/rui-ro-khi-gui-tiet-kiem-online</v>
      </c>
      <c r="D516" s="20"/>
      <c r="E516" s="20"/>
      <c r="F516" s="20"/>
      <c r="G516" s="20"/>
      <c r="H516" s="20"/>
      <c r="I516" s="20"/>
      <c r="J516" s="20"/>
      <c r="K516" s="20"/>
      <c r="L516" s="20"/>
      <c r="M516" s="20"/>
      <c r="N516" s="20"/>
      <c r="O516" s="20"/>
      <c r="P516" s="20"/>
      <c r="Q516" s="20"/>
      <c r="R516" s="20"/>
      <c r="S516" s="20"/>
      <c r="T516" s="20"/>
      <c r="U516" s="20"/>
      <c r="V516" s="20"/>
      <c r="W516" s="20"/>
      <c r="X516" s="20"/>
    </row>
    <row r="517">
      <c r="A517" s="37" t="str">
        <f>IFERROR(__xludf.DUMMYFUNCTION("""COMPUTED_VALUE"""),"https://techcombank.com/thong-tin/blog/66666-co-y-nghia-gi")</f>
        <v>https://techcombank.com/thong-tin/blog/66666-co-y-nghia-gi</v>
      </c>
      <c r="B517" s="28">
        <f>IFERROR(__xludf.DUMMYFUNCTION("""COMPUTED_VALUE"""),2.0)</f>
        <v>2</v>
      </c>
      <c r="C517" s="20" t="str">
        <f>IFERROR(__xludf.DUMMYFUNCTION("IF(A517="""","""",TEXTJOIN(CHAR(10),TRUE,FILTER('Tổng hợp 75 trang đích'!$B$2:$B$3400,'Tổng hợp 75 trang đích'!$I$2:$I$3400=A517)))"),"https://techcombank.com/thong-tin/blog/cach-kiem-tra-tai-khoan-ngan-hang
https://techcombank.com/thong-tin/blog/day-so-phat-tai-phat-loc")</f>
        <v>https://techcombank.com/thong-tin/blog/cach-kiem-tra-tai-khoan-ngan-hang
https://techcombank.com/thong-tin/blog/day-so-phat-tai-phat-loc</v>
      </c>
      <c r="D517" s="20"/>
      <c r="E517" s="20"/>
      <c r="F517" s="20"/>
      <c r="G517" s="20"/>
      <c r="H517" s="20"/>
      <c r="I517" s="20"/>
      <c r="J517" s="20"/>
      <c r="K517" s="20"/>
      <c r="L517" s="20"/>
      <c r="M517" s="20"/>
      <c r="N517" s="20"/>
      <c r="O517" s="20"/>
      <c r="P517" s="20"/>
      <c r="Q517" s="20"/>
      <c r="R517" s="20"/>
      <c r="S517" s="20"/>
      <c r="T517" s="20"/>
      <c r="U517" s="20"/>
      <c r="V517" s="20"/>
      <c r="W517" s="20"/>
      <c r="X517" s="20"/>
    </row>
    <row r="518">
      <c r="A518" s="37" t="str">
        <f>IFERROR(__xludf.DUMMYFUNCTION("""COMPUTED_VALUE"""),"https://techcombank.com/thong-tin/blog/88-la-gi")</f>
        <v>https://techcombank.com/thong-tin/blog/88-la-gi</v>
      </c>
      <c r="B518" s="28">
        <f>IFERROR(__xludf.DUMMYFUNCTION("""COMPUTED_VALUE"""),2.0)</f>
        <v>2</v>
      </c>
      <c r="C518" s="20" t="str">
        <f>IFERROR(__xludf.DUMMYFUNCTION("IF(A518="""","""",TEXTJOIN(CHAR(10),TRUE,FILTER('Tổng hợp 75 trang đích'!$B$2:$B$3400,'Tổng hợp 75 trang đích'!$I$2:$I$3400=A518)))"),"https://techcombank.com/thong-tin/blog/cach-mo-tai-khoan
https://techcombank.com/thong-tin/blog/day-so-phat-tai-phat-loc")</f>
        <v>https://techcombank.com/thong-tin/blog/cach-mo-tai-khoan
https://techcombank.com/thong-tin/blog/day-so-phat-tai-phat-loc</v>
      </c>
      <c r="D518" s="20"/>
      <c r="E518" s="20"/>
      <c r="F518" s="20"/>
      <c r="G518" s="20"/>
      <c r="H518" s="20"/>
      <c r="I518" s="20"/>
      <c r="J518" s="20"/>
      <c r="K518" s="20"/>
      <c r="L518" s="20"/>
      <c r="M518" s="20"/>
      <c r="N518" s="20"/>
      <c r="O518" s="20"/>
      <c r="P518" s="20"/>
      <c r="Q518" s="20"/>
      <c r="R518" s="20"/>
      <c r="S518" s="20"/>
      <c r="T518" s="20"/>
      <c r="U518" s="20"/>
      <c r="V518" s="20"/>
      <c r="W518" s="20"/>
      <c r="X518" s="20"/>
    </row>
    <row r="519">
      <c r="A519" s="37" t="str">
        <f>IFERROR(__xludf.DUMMYFUNCTION("""COMPUTED_VALUE"""),"https://techcombank.com/thong-tin/blog/app-dong-tien-dien-online")</f>
        <v>https://techcombank.com/thong-tin/blog/app-dong-tien-dien-online</v>
      </c>
      <c r="B519" s="28">
        <f>IFERROR(__xludf.DUMMYFUNCTION("""COMPUTED_VALUE"""),2.0)</f>
        <v>2</v>
      </c>
      <c r="C519" s="20" t="str">
        <f>IFERROR(__xludf.DUMMYFUNCTION("IF(A519="""","""",TEXTJOIN(CHAR(10),TRUE,FILTER('Tổng hợp 75 trang đích'!$B$2:$B$3400,'Tổng hợp 75 trang đích'!$I$2:$I$3400=A519)))"),"https://techcombank.com/thong-tin/blog/cach-nap-the-viettel
https://techcombank.com/thong-tin/blog/cic-la-gi")</f>
        <v>https://techcombank.com/thong-tin/blog/cach-nap-the-viettel
https://techcombank.com/thong-tin/blog/cic-la-gi</v>
      </c>
      <c r="D519" s="20"/>
      <c r="E519" s="20"/>
      <c r="F519" s="20"/>
      <c r="G519" s="20"/>
      <c r="H519" s="20"/>
      <c r="I519" s="20"/>
      <c r="J519" s="20"/>
      <c r="K519" s="20"/>
      <c r="L519" s="20"/>
      <c r="M519" s="20"/>
      <c r="N519" s="20"/>
      <c r="O519" s="20"/>
      <c r="P519" s="20"/>
      <c r="Q519" s="20"/>
      <c r="R519" s="20"/>
      <c r="S519" s="20"/>
      <c r="T519" s="20"/>
      <c r="U519" s="20"/>
      <c r="V519" s="20"/>
      <c r="W519" s="20"/>
      <c r="X519" s="20"/>
    </row>
    <row r="520">
      <c r="A520" s="37" t="str">
        <f>IFERROR(__xludf.DUMMYFUNCTION("""COMPUTED_VALUE"""),"https://techcombank.com/thong-tin/blog/app-ngan-hang")</f>
        <v>https://techcombank.com/thong-tin/blog/app-ngan-hang</v>
      </c>
      <c r="B520" s="28">
        <f>IFERROR(__xludf.DUMMYFUNCTION("""COMPUTED_VALUE"""),2.0)</f>
        <v>2</v>
      </c>
      <c r="C520" s="20" t="str">
        <f>IFERROR(__xludf.DUMMYFUNCTION("IF(A520="""","""",TEXTJOIN(CHAR(10),TRUE,FILTER('Tổng hợp 75 trang đích'!$B$2:$B$3400,'Tổng hợp 75 trang đích'!$I$2:$I$3400=A520)))"),"https://techcombank.com/thong-tin/blog/cach-tinh-tien-dien-sinh-hoat
https://techcombank.com/thong-tin/blog/ngan-hang-uy-tin")</f>
        <v>https://techcombank.com/thong-tin/blog/cach-tinh-tien-dien-sinh-hoat
https://techcombank.com/thong-tin/blog/ngan-hang-uy-tin</v>
      </c>
      <c r="D520" s="20"/>
      <c r="E520" s="20"/>
      <c r="F520" s="20"/>
      <c r="G520" s="20"/>
      <c r="H520" s="20"/>
      <c r="I520" s="20"/>
      <c r="J520" s="20"/>
      <c r="K520" s="20"/>
      <c r="L520" s="20"/>
      <c r="M520" s="20"/>
      <c r="N520" s="20"/>
      <c r="O520" s="20"/>
      <c r="P520" s="20"/>
      <c r="Q520" s="20"/>
      <c r="R520" s="20"/>
      <c r="S520" s="20"/>
      <c r="T520" s="20"/>
      <c r="U520" s="20"/>
      <c r="V520" s="20"/>
      <c r="W520" s="20"/>
      <c r="X520" s="20"/>
    </row>
    <row r="521">
      <c r="A521" s="37" t="str">
        <f>IFERROR(__xludf.DUMMYFUNCTION("""COMPUTED_VALUE"""),"https://techcombank.com/thong-tin/blog/app-theo-doi-chung-chi-quy")</f>
        <v>https://techcombank.com/thong-tin/blog/app-theo-doi-chung-chi-quy</v>
      </c>
      <c r="B521" s="28">
        <f>IFERROR(__xludf.DUMMYFUNCTION("""COMPUTED_VALUE"""),2.0)</f>
        <v>2</v>
      </c>
      <c r="C521" s="20" t="str">
        <f>IFERROR(__xludf.DUMMYFUNCTION("IF(A521="""","""",TEXTJOIN(CHAR(10),TRUE,FILTER('Tổng hợp 75 trang đích'!$B$2:$B$3400,'Tổng hợp 75 trang đích'!$I$2:$I$3400=A521)))"),"https://techcombank.com/thong-tin/blog/cong-ty-su-dung-tai-khoan-ca-nhan
https://techcombank.com/thong-tin/blog/phuong-phap-dau-tu-chung-chi-quy")</f>
        <v>https://techcombank.com/thong-tin/blog/cong-ty-su-dung-tai-khoan-ca-nhan
https://techcombank.com/thong-tin/blog/phuong-phap-dau-tu-chung-chi-quy</v>
      </c>
      <c r="D521" s="20"/>
      <c r="E521" s="20"/>
      <c r="F521" s="20"/>
      <c r="G521" s="20"/>
      <c r="H521" s="20"/>
      <c r="I521" s="20"/>
      <c r="J521" s="20"/>
      <c r="K521" s="20"/>
      <c r="L521" s="20"/>
      <c r="M521" s="20"/>
      <c r="N521" s="20"/>
      <c r="O521" s="20"/>
      <c r="P521" s="20"/>
      <c r="Q521" s="20"/>
      <c r="R521" s="20"/>
      <c r="S521" s="20"/>
      <c r="T521" s="20"/>
      <c r="U521" s="20"/>
      <c r="V521" s="20"/>
      <c r="W521" s="20"/>
      <c r="X521" s="20"/>
    </row>
    <row r="522">
      <c r="A522" s="37" t="str">
        <f>IFERROR(__xludf.DUMMYFUNCTION("""COMPUTED_VALUE"""),"https://techcombank.com/thong-tin/blog/app-tra-luong")</f>
        <v>https://techcombank.com/thong-tin/blog/app-tra-luong</v>
      </c>
      <c r="B522" s="28">
        <f>IFERROR(__xludf.DUMMYFUNCTION("""COMPUTED_VALUE"""),2.0)</f>
        <v>2</v>
      </c>
      <c r="C522" s="20" t="str">
        <f>IFERROR(__xludf.DUMMYFUNCTION("IF(A522="""","""",TEXTJOIN(CHAR(10),TRUE,FILTER('Tổng hợp 75 trang đích'!$B$2:$B$3400,'Tổng hợp 75 trang đích'!$I$2:$I$3400=A522)))"),"https://techcombank.com/thong-tin/blog/cach-tinh-thue-thu-nhap-ca-nhan-2025
https://techcombank.com/thong-tin/blog/thue-thu-nhap-ca-nhan")</f>
        <v>https://techcombank.com/thong-tin/blog/cach-tinh-thue-thu-nhap-ca-nhan-2025
https://techcombank.com/thong-tin/blog/thue-thu-nhap-ca-nhan</v>
      </c>
      <c r="D522" s="20"/>
      <c r="E522" s="20"/>
      <c r="F522" s="20"/>
      <c r="G522" s="20"/>
      <c r="H522" s="20"/>
      <c r="I522" s="20"/>
      <c r="J522" s="20"/>
      <c r="K522" s="20"/>
      <c r="L522" s="20"/>
      <c r="M522" s="20"/>
      <c r="N522" s="20"/>
      <c r="O522" s="20"/>
      <c r="P522" s="20"/>
      <c r="Q522" s="20"/>
      <c r="R522" s="20"/>
      <c r="S522" s="20"/>
      <c r="T522" s="20"/>
      <c r="U522" s="20"/>
      <c r="V522" s="20"/>
      <c r="W522" s="20"/>
      <c r="X522" s="20"/>
    </row>
    <row r="523">
      <c r="A523" s="37" t="str">
        <f>IFERROR(__xludf.DUMMYFUNCTION("""COMPUTED_VALUE"""),"https://techcombank.com/thong-tin/blog/bao-hiem-sinh-ky-la-gi")</f>
        <v>https://techcombank.com/thong-tin/blog/bao-hiem-sinh-ky-la-gi</v>
      </c>
      <c r="B523" s="28">
        <f>IFERROR(__xludf.DUMMYFUNCTION("""COMPUTED_VALUE"""),2.0)</f>
        <v>2</v>
      </c>
      <c r="C523" s="20" t="str">
        <f>IFERROR(__xludf.DUMMYFUNCTION("IF(A523="""","""",TEXTJOIN(CHAR(10),TRUE,FILTER('Tổng hợp 75 trang đích'!$B$2:$B$3400,'Tổng hợp 75 trang đích'!$I$2:$I$3400=A523)))"),"https://techcombank.com/thong-tin/blog/doi-tien-do-o-dau
https://techcombank.com/thong-tin/blog/lai-suat-tiet-kiem")</f>
        <v>https://techcombank.com/thong-tin/blog/doi-tien-do-o-dau
https://techcombank.com/thong-tin/blog/lai-suat-tiet-kiem</v>
      </c>
      <c r="D523" s="20"/>
      <c r="E523" s="20"/>
      <c r="F523" s="20"/>
      <c r="G523" s="20"/>
      <c r="H523" s="20"/>
      <c r="I523" s="20"/>
      <c r="J523" s="20"/>
      <c r="K523" s="20"/>
      <c r="L523" s="20"/>
      <c r="M523" s="20"/>
      <c r="N523" s="20"/>
      <c r="O523" s="20"/>
      <c r="P523" s="20"/>
      <c r="Q523" s="20"/>
      <c r="R523" s="20"/>
      <c r="S523" s="20"/>
      <c r="T523" s="20"/>
      <c r="U523" s="20"/>
      <c r="V523" s="20"/>
      <c r="W523" s="20"/>
      <c r="X523" s="20"/>
    </row>
    <row r="524">
      <c r="A524" s="37" t="str">
        <f>IFERROR(__xludf.DUMMYFUNCTION("""COMPUTED_VALUE"""),"https://techcombank.com/thong-tin/blog/bao-lanh-thuc-hien-hop-dong")</f>
        <v>https://techcombank.com/thong-tin/blog/bao-lanh-thuc-hien-hop-dong</v>
      </c>
      <c r="B524" s="28">
        <f>IFERROR(__xludf.DUMMYFUNCTION("""COMPUTED_VALUE"""),2.0)</f>
        <v>2</v>
      </c>
      <c r="C524" s="20" t="str">
        <f>IFERROR(__xludf.DUMMYFUNCTION("IF(A524="""","""",TEXTJOIN(CHAR(10),TRUE,FILTER('Tổng hợp 75 trang đích'!$B$2:$B$3400,'Tổng hợp 75 trang đích'!$I$2:$I$3400=A524)))"),"https://techcombank.com/thong-tin/blog/nop-thue-dat-qua-ngan-hang
https://techcombank.com/thong-tin/blog/cic-la-gi")</f>
        <v>https://techcombank.com/thong-tin/blog/nop-thue-dat-qua-ngan-hang
https://techcombank.com/thong-tin/blog/cic-la-gi</v>
      </c>
      <c r="D524" s="20"/>
      <c r="E524" s="20"/>
      <c r="F524" s="20"/>
      <c r="G524" s="20"/>
      <c r="H524" s="20"/>
      <c r="I524" s="20"/>
      <c r="J524" s="20"/>
      <c r="K524" s="20"/>
      <c r="L524" s="20"/>
      <c r="M524" s="20"/>
      <c r="N524" s="20"/>
      <c r="O524" s="20"/>
      <c r="P524" s="20"/>
      <c r="Q524" s="20"/>
      <c r="R524" s="20"/>
      <c r="S524" s="20"/>
      <c r="T524" s="20"/>
      <c r="U524" s="20"/>
      <c r="V524" s="20"/>
      <c r="W524" s="20"/>
      <c r="X524" s="20"/>
    </row>
    <row r="525">
      <c r="A525" s="37" t="str">
        <f>IFERROR(__xludf.DUMMYFUNCTION("""COMPUTED_VALUE"""),"https://techcombank.com/thong-tin/blog/bao-lanh-vay-von")</f>
        <v>https://techcombank.com/thong-tin/blog/bao-lanh-vay-von</v>
      </c>
      <c r="B525" s="28">
        <f>IFERROR(__xludf.DUMMYFUNCTION("""COMPUTED_VALUE"""),2.0)</f>
        <v>2</v>
      </c>
      <c r="C525" s="20" t="str">
        <f>IFERROR(__xludf.DUMMYFUNCTION("IF(A525="""","""",TEXTJOIN(CHAR(10),TRUE,FILTER('Tổng hợp 75 trang đích'!$B$2:$B$3400,'Tổng hợp 75 trang đích'!$I$2:$I$3400=A525)))"),"https://techcombank.com/cong-cu-tien-ich/cong-cu-tinh-toan/bang-tinh-lai-suat-vay
https://techcombank.com/thong-tin/blog/app-vay-tien-nhanh")</f>
        <v>https://techcombank.com/cong-cu-tien-ich/cong-cu-tinh-toan/bang-tinh-lai-suat-vay
https://techcombank.com/thong-tin/blog/app-vay-tien-nhanh</v>
      </c>
      <c r="D525" s="20"/>
      <c r="E525" s="20"/>
      <c r="F525" s="20"/>
      <c r="G525" s="20"/>
      <c r="H525" s="20"/>
      <c r="I525" s="20"/>
      <c r="J525" s="20"/>
      <c r="K525" s="20"/>
      <c r="L525" s="20"/>
      <c r="M525" s="20"/>
      <c r="N525" s="20"/>
      <c r="O525" s="20"/>
      <c r="P525" s="20"/>
      <c r="Q525" s="20"/>
      <c r="R525" s="20"/>
      <c r="S525" s="20"/>
      <c r="T525" s="20"/>
      <c r="U525" s="20"/>
      <c r="V525" s="20"/>
      <c r="W525" s="20"/>
      <c r="X525" s="20"/>
    </row>
    <row r="526">
      <c r="A526" s="37" t="str">
        <f>IFERROR(__xludf.DUMMYFUNCTION("""COMPUTED_VALUE"""),"https://techcombank.com/thong-tin/blog/bao-nhieu-tuoi-duoc-mo-tai-khoan-ngan-hang")</f>
        <v>https://techcombank.com/thong-tin/blog/bao-nhieu-tuoi-duoc-mo-tai-khoan-ngan-hang</v>
      </c>
      <c r="B526" s="28">
        <f>IFERROR(__xludf.DUMMYFUNCTION("""COMPUTED_VALUE"""),2.0)</f>
        <v>2</v>
      </c>
      <c r="C526" s="20" t="str">
        <f>IFERROR(__xludf.DUMMYFUNCTION("IF(A526="""","""",TEXTJOIN(CHAR(10),TRUE,FILTER('Tổng hợp 75 trang đích'!$B$2:$B$3400,'Tổng hợp 75 trang đích'!$I$2:$I$3400=A526)))"),"https://techcombank.com/thong-tin/blog/cach-mo-tai-khoan
https://techcombank.com/thong-tin/blog/mo-tai-khoan-ngan-hang-duoi-18-tuoi")</f>
        <v>https://techcombank.com/thong-tin/blog/cach-mo-tai-khoan
https://techcombank.com/thong-tin/blog/mo-tai-khoan-ngan-hang-duoi-18-tuoi</v>
      </c>
      <c r="D526" s="20"/>
      <c r="E526" s="20"/>
      <c r="F526" s="20"/>
      <c r="G526" s="20"/>
      <c r="H526" s="20"/>
      <c r="I526" s="20"/>
      <c r="J526" s="20"/>
      <c r="K526" s="20"/>
      <c r="L526" s="20"/>
      <c r="M526" s="20"/>
      <c r="N526" s="20"/>
      <c r="O526" s="20"/>
      <c r="P526" s="20"/>
      <c r="Q526" s="20"/>
      <c r="R526" s="20"/>
      <c r="S526" s="20"/>
      <c r="T526" s="20"/>
      <c r="U526" s="20"/>
      <c r="V526" s="20"/>
      <c r="W526" s="20"/>
      <c r="X526" s="20"/>
    </row>
    <row r="527">
      <c r="A527" s="37" t="str">
        <f>IFERROR(__xludf.DUMMYFUNCTION("""COMPUTED_VALUE"""),"https://techcombank.com/thong-tin/blog/cac-loai-bao-hiem-suc-khoe")</f>
        <v>https://techcombank.com/thong-tin/blog/cac-loai-bao-hiem-suc-khoe</v>
      </c>
      <c r="B527" s="28">
        <f>IFERROR(__xludf.DUMMYFUNCTION("""COMPUTED_VALUE"""),2.0)</f>
        <v>2</v>
      </c>
      <c r="C527" s="20" t="str">
        <f>IFERROR(__xludf.DUMMYFUNCTION("IF(A527="""","""",TEXTJOIN(CHAR(10),TRUE,FILTER('Tổng hợp 75 trang đích'!$B$2:$B$3400,'Tổng hợp 75 trang đích'!$I$2:$I$3400=A527)))"),"https://techcombank.com/thong-tin/blog/cic-la-gi
https://techcombank.com/thong-tin/blog/tien-thai-lan")</f>
        <v>https://techcombank.com/thong-tin/blog/cic-la-gi
https://techcombank.com/thong-tin/blog/tien-thai-lan</v>
      </c>
      <c r="D527" s="20"/>
      <c r="E527" s="20"/>
      <c r="F527" s="20"/>
      <c r="G527" s="20"/>
      <c r="H527" s="20"/>
      <c r="I527" s="20"/>
      <c r="J527" s="20"/>
      <c r="K527" s="20"/>
      <c r="L527" s="20"/>
      <c r="M527" s="20"/>
      <c r="N527" s="20"/>
      <c r="O527" s="20"/>
      <c r="P527" s="20"/>
      <c r="Q527" s="20"/>
      <c r="R527" s="20"/>
      <c r="S527" s="20"/>
      <c r="T527" s="20"/>
      <c r="U527" s="20"/>
      <c r="V527" s="20"/>
      <c r="W527" s="20"/>
      <c r="X527" s="20"/>
    </row>
    <row r="528">
      <c r="A528" s="37" t="str">
        <f>IFERROR(__xludf.DUMMYFUNCTION("""COMPUTED_VALUE"""),"https://techcombank.com/thong-tin/blog/cac-loai-hinh-doanh-nghiep")</f>
        <v>https://techcombank.com/thong-tin/blog/cac-loai-hinh-doanh-nghiep</v>
      </c>
      <c r="B528" s="28">
        <f>IFERROR(__xludf.DUMMYFUNCTION("""COMPUTED_VALUE"""),2.0)</f>
        <v>2</v>
      </c>
      <c r="C528" s="20" t="str">
        <f>IFERROR(__xludf.DUMMYFUNCTION("IF(A528="""","""",TEXTJOIN(CHAR(10),TRUE,FILTER('Tổng hợp 75 trang đích'!$B$2:$B$3400,'Tổng hợp 75 trang đích'!$I$2:$I$3400=A528)))"),"https://techcombank.com/thong-tin/blog/cong-ty-su-dung-tai-khoan-ca-nhan
https://techcombank.com/thong-tin/blog/mo-hinh-kinh-doanh-la-gi")</f>
        <v>https://techcombank.com/thong-tin/blog/cong-ty-su-dung-tai-khoan-ca-nhan
https://techcombank.com/thong-tin/blog/mo-hinh-kinh-doanh-la-gi</v>
      </c>
      <c r="D528" s="20"/>
      <c r="E528" s="20"/>
      <c r="F528" s="20"/>
      <c r="G528" s="20"/>
      <c r="H528" s="20"/>
      <c r="I528" s="20"/>
      <c r="J528" s="20"/>
      <c r="K528" s="20"/>
      <c r="L528" s="20"/>
      <c r="M528" s="20"/>
      <c r="N528" s="20"/>
      <c r="O528" s="20"/>
      <c r="P528" s="20"/>
      <c r="Q528" s="20"/>
      <c r="R528" s="20"/>
      <c r="S528" s="20"/>
      <c r="T528" s="20"/>
      <c r="U528" s="20"/>
      <c r="V528" s="20"/>
      <c r="W528" s="20"/>
      <c r="X528" s="20"/>
    </row>
    <row r="529">
      <c r="A529" s="37" t="str">
        <f>IFERROR(__xludf.DUMMYFUNCTION("""COMPUTED_VALUE"""),"https://techcombank.com/thong-tin/blog/cach-bao-ve-tai-khoan")</f>
        <v>https://techcombank.com/thong-tin/blog/cach-bao-ve-tai-khoan</v>
      </c>
      <c r="B529" s="28">
        <f>IFERROR(__xludf.DUMMYFUNCTION("""COMPUTED_VALUE"""),2.0)</f>
        <v>2</v>
      </c>
      <c r="C529" s="20" t="str">
        <f>IFERROR(__xludf.DUMMYFUNCTION("IF(A529="""","""",TEXTJOIN(CHAR(10),TRUE,FILTER('Tổng hợp 75 trang đích'!$B$2:$B$3400,'Tổng hợp 75 trang đích'!$I$2:$I$3400=A529)))"),"https://techcombank.com/thong-tin/blog/mo-tai-khoan-ngan-hang-duoi-18-tuoi
https://techcombank.com/thong-tin/blog/ten-dang-nhap-tai-khoan-ngan-hang-la-gi")</f>
        <v>https://techcombank.com/thong-tin/blog/mo-tai-khoan-ngan-hang-duoi-18-tuoi
https://techcombank.com/thong-tin/blog/ten-dang-nhap-tai-khoan-ngan-hang-la-gi</v>
      </c>
      <c r="D529" s="20"/>
      <c r="E529" s="20"/>
      <c r="F529" s="20"/>
      <c r="G529" s="20"/>
      <c r="H529" s="20"/>
      <c r="I529" s="20"/>
      <c r="J529" s="20"/>
      <c r="K529" s="20"/>
      <c r="L529" s="20"/>
      <c r="M529" s="20"/>
      <c r="N529" s="20"/>
      <c r="O529" s="20"/>
      <c r="P529" s="20"/>
      <c r="Q529" s="20"/>
      <c r="R529" s="20"/>
      <c r="S529" s="20"/>
      <c r="T529" s="20"/>
      <c r="U529" s="20"/>
      <c r="V529" s="20"/>
      <c r="W529" s="20"/>
      <c r="X529" s="20"/>
    </row>
    <row r="530">
      <c r="A530" s="37" t="str">
        <f>IFERROR(__xludf.DUMMYFUNCTION("""COMPUTED_VALUE"""),"https://techcombank.com/thong-tin/blog/cach-dong-tien-dien-qua-tai-khoan-ngan-hang")</f>
        <v>https://techcombank.com/thong-tin/blog/cach-dong-tien-dien-qua-tai-khoan-ngan-hang</v>
      </c>
      <c r="B530" s="28">
        <f>IFERROR(__xludf.DUMMYFUNCTION("""COMPUTED_VALUE"""),2.0)</f>
        <v>2</v>
      </c>
      <c r="C530" s="20" t="str">
        <f>IFERROR(__xludf.DUMMYFUNCTION("IF(A530="""","""",TEXTJOIN(CHAR(10),TRUE,FILTER('Tổng hợp 75 trang đích'!$B$2:$B$3400,'Tổng hợp 75 trang đích'!$I$2:$I$3400=A530)))"),"https://techcombank.com/thong-tin/blog/cach-nap-the-viettel
https://techcombank.com/thong-tin/blog/cach-mo-tai-khoan")</f>
        <v>https://techcombank.com/thong-tin/blog/cach-nap-the-viettel
https://techcombank.com/thong-tin/blog/cach-mo-tai-khoan</v>
      </c>
      <c r="D530" s="20"/>
      <c r="E530" s="20"/>
      <c r="F530" s="20"/>
      <c r="G530" s="20"/>
      <c r="H530" s="20"/>
      <c r="I530" s="20"/>
      <c r="J530" s="20"/>
      <c r="K530" s="20"/>
      <c r="L530" s="20"/>
      <c r="M530" s="20"/>
      <c r="N530" s="20"/>
      <c r="O530" s="20"/>
      <c r="P530" s="20"/>
      <c r="Q530" s="20"/>
      <c r="R530" s="20"/>
      <c r="S530" s="20"/>
      <c r="T530" s="20"/>
      <c r="U530" s="20"/>
      <c r="V530" s="20"/>
      <c r="W530" s="20"/>
      <c r="X530" s="20"/>
    </row>
    <row r="531">
      <c r="A531" s="37" t="str">
        <f>IFERROR(__xludf.DUMMYFUNCTION("""COMPUTED_VALUE"""),"https://techcombank.com/thong-tin/blog/cach-lien-ket-epass-voi-tai-khoan-ngan-hang")</f>
        <v>https://techcombank.com/thong-tin/blog/cach-lien-ket-epass-voi-tai-khoan-ngan-hang</v>
      </c>
      <c r="B531" s="28">
        <f>IFERROR(__xludf.DUMMYFUNCTION("""COMPUTED_VALUE"""),2.0)</f>
        <v>2</v>
      </c>
      <c r="C531" s="20" t="str">
        <f>IFERROR(__xludf.DUMMYFUNCTION("IF(A531="""","""",TEXTJOIN(CHAR(10),TRUE,FILTER('Tổng hợp 75 trang đích'!$B$2:$B$3400,'Tổng hợp 75 trang đích'!$I$2:$I$3400=A531)))"),"https://techcombank.com/thong-tin/blog/cach-mo-tai-khoan
https://techcombank.com/thong-tin/blog/cic-la-gi")</f>
        <v>https://techcombank.com/thong-tin/blog/cach-mo-tai-khoan
https://techcombank.com/thong-tin/blog/cic-la-gi</v>
      </c>
      <c r="D531" s="20"/>
      <c r="E531" s="20"/>
      <c r="F531" s="20"/>
      <c r="G531" s="20"/>
      <c r="H531" s="20"/>
      <c r="I531" s="20"/>
      <c r="J531" s="20"/>
      <c r="K531" s="20"/>
      <c r="L531" s="20"/>
      <c r="M531" s="20"/>
      <c r="N531" s="20"/>
      <c r="O531" s="20"/>
      <c r="P531" s="20"/>
      <c r="Q531" s="20"/>
      <c r="R531" s="20"/>
      <c r="S531" s="20"/>
      <c r="T531" s="20"/>
      <c r="U531" s="20"/>
      <c r="V531" s="20"/>
      <c r="W531" s="20"/>
      <c r="X531" s="20"/>
    </row>
    <row r="532">
      <c r="A532" s="37" t="str">
        <f>IFERROR(__xludf.DUMMYFUNCTION("""COMPUTED_VALUE"""),"https://techcombank.com/thong-tin/blog/cach-lien-ket-tai-khoan-ngan-hang-voi-vneid")</f>
        <v>https://techcombank.com/thong-tin/blog/cach-lien-ket-tai-khoan-ngan-hang-voi-vneid</v>
      </c>
      <c r="B532" s="28">
        <f>IFERROR(__xludf.DUMMYFUNCTION("""COMPUTED_VALUE"""),2.0)</f>
        <v>2</v>
      </c>
      <c r="C532" s="20" t="str">
        <f>IFERROR(__xludf.DUMMYFUNCTION("IF(A532="""","""",TEXTJOIN(CHAR(10),TRUE,FILTER('Tổng hợp 75 trang đích'!$B$2:$B$3400,'Tổng hợp 75 trang đích'!$I$2:$I$3400=A532)))"),"https://techcombank.com/thong-tin/blog/cach-mo-tai-khoan
https://techcombank.com/thong-tin/blog/cic-la-gi")</f>
        <v>https://techcombank.com/thong-tin/blog/cach-mo-tai-khoan
https://techcombank.com/thong-tin/blog/cic-la-gi</v>
      </c>
      <c r="D532" s="20"/>
      <c r="E532" s="20"/>
      <c r="F532" s="20"/>
      <c r="G532" s="20"/>
      <c r="H532" s="20"/>
      <c r="I532" s="20"/>
      <c r="J532" s="20"/>
      <c r="K532" s="20"/>
      <c r="L532" s="20"/>
      <c r="M532" s="20"/>
      <c r="N532" s="20"/>
      <c r="O532" s="20"/>
      <c r="P532" s="20"/>
      <c r="Q532" s="20"/>
      <c r="R532" s="20"/>
      <c r="S532" s="20"/>
      <c r="T532" s="20"/>
      <c r="U532" s="20"/>
      <c r="V532" s="20"/>
      <c r="W532" s="20"/>
      <c r="X532" s="20"/>
    </row>
    <row r="533">
      <c r="A533" s="37" t="str">
        <f>IFERROR(__xludf.DUMMYFUNCTION("""COMPUTED_VALUE"""),"https://techcombank.com/thong-tin/blog/cach-nap-the")</f>
        <v>https://techcombank.com/thong-tin/blog/cach-nap-the</v>
      </c>
      <c r="B533" s="28">
        <f>IFERROR(__xludf.DUMMYFUNCTION("""COMPUTED_VALUE"""),2.0)</f>
        <v>2</v>
      </c>
      <c r="C533" s="20" t="str">
        <f>IFERROR(__xludf.DUMMYFUNCTION("IF(A533="""","""",TEXTJOIN(CHAR(10),TRUE,FILTER('Tổng hợp 75 trang đích'!$B$2:$B$3400,'Tổng hợp 75 trang đích'!$I$2:$I$3400=A533)))"),"https://techcombank.com/thong-tin/blog/cach-nap-the-viettel
https://techcombank.com/thong-tin/blog/nap-tien-vao-tai-khoan-ngan-hang")</f>
        <v>https://techcombank.com/thong-tin/blog/cach-nap-the-viettel
https://techcombank.com/thong-tin/blog/nap-tien-vao-tai-khoan-ngan-hang</v>
      </c>
      <c r="D533" s="20"/>
      <c r="E533" s="20"/>
      <c r="F533" s="20"/>
      <c r="G533" s="20"/>
      <c r="H533" s="20"/>
      <c r="I533" s="20"/>
      <c r="J533" s="20"/>
      <c r="K533" s="20"/>
      <c r="L533" s="20"/>
      <c r="M533" s="20"/>
      <c r="N533" s="20"/>
      <c r="O533" s="20"/>
      <c r="P533" s="20"/>
      <c r="Q533" s="20"/>
      <c r="R533" s="20"/>
      <c r="S533" s="20"/>
      <c r="T533" s="20"/>
      <c r="U533" s="20"/>
      <c r="V533" s="20"/>
      <c r="W533" s="20"/>
      <c r="X533" s="20"/>
    </row>
    <row r="534">
      <c r="A534" s="37" t="str">
        <f>IFERROR(__xludf.DUMMYFUNCTION("""COMPUTED_VALUE"""),"https://techcombank.com/thong-tin/blog/cach-nap-the-mobi")</f>
        <v>https://techcombank.com/thong-tin/blog/cach-nap-the-mobi</v>
      </c>
      <c r="B534" s="28">
        <f>IFERROR(__xludf.DUMMYFUNCTION("""COMPUTED_VALUE"""),2.0)</f>
        <v>2</v>
      </c>
      <c r="C534" s="20" t="str">
        <f>IFERROR(__xludf.DUMMYFUNCTION("IF(A534="""","""",TEXTJOIN(CHAR(10),TRUE,FILTER('Tổng hợp 75 trang đích'!$B$2:$B$3400,'Tổng hợp 75 trang đích'!$I$2:$I$3400=A534)))"),"https://techcombank.com/thong-tin/blog/cach-nap-the-viettel
https://techcombank.com/thong-tin/blog/cic-la-gi")</f>
        <v>https://techcombank.com/thong-tin/blog/cach-nap-the-viettel
https://techcombank.com/thong-tin/blog/cic-la-gi</v>
      </c>
      <c r="D534" s="20"/>
      <c r="E534" s="20"/>
      <c r="F534" s="20"/>
      <c r="G534" s="20"/>
      <c r="H534" s="20"/>
      <c r="I534" s="20"/>
      <c r="J534" s="20"/>
      <c r="K534" s="20"/>
      <c r="L534" s="20"/>
      <c r="M534" s="20"/>
      <c r="N534" s="20"/>
      <c r="O534" s="20"/>
      <c r="P534" s="20"/>
      <c r="Q534" s="20"/>
      <c r="R534" s="20"/>
      <c r="S534" s="20"/>
      <c r="T534" s="20"/>
      <c r="U534" s="20"/>
      <c r="V534" s="20"/>
      <c r="W534" s="20"/>
      <c r="X534" s="20"/>
    </row>
    <row r="535">
      <c r="A535" s="37" t="str">
        <f>IFERROR(__xludf.DUMMYFUNCTION("""COMPUTED_VALUE"""),"https://techcombank.com/thong-tin/blog/cach-nap-the-vina")</f>
        <v>https://techcombank.com/thong-tin/blog/cach-nap-the-vina</v>
      </c>
      <c r="B535" s="28">
        <f>IFERROR(__xludf.DUMMYFUNCTION("""COMPUTED_VALUE"""),2.0)</f>
        <v>2</v>
      </c>
      <c r="C535" s="20" t="str">
        <f>IFERROR(__xludf.DUMMYFUNCTION("IF(A535="""","""",TEXTJOIN(CHAR(10),TRUE,FILTER('Tổng hợp 75 trang đích'!$B$2:$B$3400,'Tổng hợp 75 trang đích'!$I$2:$I$3400=A535)))"),"https://techcombank.com/thong-tin/blog/cach-nap-the-viettel
https://techcombank.com/thong-tin/blog/cic-la-gi")</f>
        <v>https://techcombank.com/thong-tin/blog/cach-nap-the-viettel
https://techcombank.com/thong-tin/blog/cic-la-gi</v>
      </c>
      <c r="D535" s="20"/>
      <c r="E535" s="20"/>
      <c r="F535" s="20"/>
      <c r="G535" s="20"/>
      <c r="H535" s="20"/>
      <c r="I535" s="20"/>
      <c r="J535" s="20"/>
      <c r="K535" s="20"/>
      <c r="L535" s="20"/>
      <c r="M535" s="20"/>
      <c r="N535" s="20"/>
      <c r="O535" s="20"/>
      <c r="P535" s="20"/>
      <c r="Q535" s="20"/>
      <c r="R535" s="20"/>
      <c r="S535" s="20"/>
      <c r="T535" s="20"/>
      <c r="U535" s="20"/>
      <c r="V535" s="20"/>
      <c r="W535" s="20"/>
      <c r="X535" s="20"/>
    </row>
    <row r="536">
      <c r="A536" s="37" t="str">
        <f>IFERROR(__xludf.DUMMYFUNCTION("""COMPUTED_VALUE"""),"https://techcombank.com/thong-tin/blog/cach-thanh-toan-quang-cao-tiktok")</f>
        <v>https://techcombank.com/thong-tin/blog/cach-thanh-toan-quang-cao-tiktok</v>
      </c>
      <c r="B536" s="28">
        <f>IFERROR(__xludf.DUMMYFUNCTION("""COMPUTED_VALUE"""),2.0)</f>
        <v>2</v>
      </c>
      <c r="C536" s="20" t="str">
        <f>IFERROR(__xludf.DUMMYFUNCTION("IF(A536="""","""",TEXTJOIN(CHAR(10),TRUE,FILTER('Tổng hợp 75 trang đích'!$B$2:$B$3400,'Tổng hợp 75 trang đích'!$I$2:$I$3400=A536)))"),"https://techcombank.com/thong-tin/blog/cic-la-gi
https://techcombank.com/thong-tin/blog/tien-thai-lan")</f>
        <v>https://techcombank.com/thong-tin/blog/cic-la-gi
https://techcombank.com/thong-tin/blog/tien-thai-lan</v>
      </c>
      <c r="D536" s="20"/>
      <c r="E536" s="20"/>
      <c r="F536" s="20"/>
      <c r="G536" s="20"/>
      <c r="H536" s="20"/>
      <c r="I536" s="20"/>
      <c r="J536" s="20"/>
      <c r="K536" s="20"/>
      <c r="L536" s="20"/>
      <c r="M536" s="20"/>
      <c r="N536" s="20"/>
      <c r="O536" s="20"/>
      <c r="P536" s="20"/>
      <c r="Q536" s="20"/>
      <c r="R536" s="20"/>
      <c r="S536" s="20"/>
      <c r="T536" s="20"/>
      <c r="U536" s="20"/>
      <c r="V536" s="20"/>
      <c r="W536" s="20"/>
      <c r="X536" s="20"/>
    </row>
    <row r="537">
      <c r="A537" s="37" t="str">
        <f>IFERROR(__xludf.DUMMYFUNCTION("""COMPUTED_VALUE"""),"https://techcombank.com/thong-tin/blog/cach-tinh-gia-vang")</f>
        <v>https://techcombank.com/thong-tin/blog/cach-tinh-gia-vang</v>
      </c>
      <c r="B537" s="28">
        <f>IFERROR(__xludf.DUMMYFUNCTION("""COMPUTED_VALUE"""),2.0)</f>
        <v>2</v>
      </c>
      <c r="C537" s="20" t="str">
        <f>IFERROR(__xludf.DUMMYFUNCTION("IF(A537="""","""",TEXTJOIN(CHAR(10),TRUE,FILTER('Tổng hợp 75 trang đích'!$B$2:$B$3400,'Tổng hợp 75 trang đích'!$I$2:$I$3400=A537)))"),"https://techcombank.com/thong-tin/blog/1-dong-do-la-my-bang-bao-nhieu-tien-viet-nam
https://techcombank.com/thong-tin/blog/lai-suat-tiet-kiem")</f>
        <v>https://techcombank.com/thong-tin/blog/1-dong-do-la-my-bang-bao-nhieu-tien-viet-nam
https://techcombank.com/thong-tin/blog/lai-suat-tiet-kiem</v>
      </c>
      <c r="D537" s="20"/>
      <c r="E537" s="20"/>
      <c r="F537" s="20"/>
      <c r="G537" s="20"/>
      <c r="H537" s="20"/>
      <c r="I537" s="20"/>
      <c r="J537" s="20"/>
      <c r="K537" s="20"/>
      <c r="L537" s="20"/>
      <c r="M537" s="20"/>
      <c r="N537" s="20"/>
      <c r="O537" s="20"/>
      <c r="P537" s="20"/>
      <c r="Q537" s="20"/>
      <c r="R537" s="20"/>
      <c r="S537" s="20"/>
      <c r="T537" s="20"/>
      <c r="U537" s="20"/>
      <c r="V537" s="20"/>
      <c r="W537" s="20"/>
      <c r="X537" s="20"/>
    </row>
    <row r="538">
      <c r="A538" s="37" t="str">
        <f>IFERROR(__xludf.DUMMYFUNCTION("""COMPUTED_VALUE"""),"https://techcombank.com/thong-tin/blog/cam-ket-tin-dung")</f>
        <v>https://techcombank.com/thong-tin/blog/cam-ket-tin-dung</v>
      </c>
      <c r="B538" s="28">
        <f>IFERROR(__xludf.DUMMYFUNCTION("""COMPUTED_VALUE"""),2.0)</f>
        <v>2</v>
      </c>
      <c r="C538" s="20" t="str">
        <f>IFERROR(__xludf.DUMMYFUNCTION("IF(A538="""","""",TEXTJOIN(CHAR(10),TRUE,FILTER('Tổng hợp 75 trang đích'!$B$2:$B$3400,'Tổng hợp 75 trang đích'!$I$2:$I$3400=A538)))"),"https://techcombank.com/thong-tin/blog/cic-la-gi
https://techcombank.com/thong-tin/blog/kiem-tra-no-xau")</f>
        <v>https://techcombank.com/thong-tin/blog/cic-la-gi
https://techcombank.com/thong-tin/blog/kiem-tra-no-xau</v>
      </c>
      <c r="D538" s="20"/>
      <c r="E538" s="20"/>
      <c r="F538" s="20"/>
      <c r="G538" s="20"/>
      <c r="H538" s="20"/>
      <c r="I538" s="20"/>
      <c r="J538" s="20"/>
      <c r="K538" s="20"/>
      <c r="L538" s="20"/>
      <c r="M538" s="20"/>
      <c r="N538" s="20"/>
      <c r="O538" s="20"/>
      <c r="P538" s="20"/>
      <c r="Q538" s="20"/>
      <c r="R538" s="20"/>
      <c r="S538" s="20"/>
      <c r="T538" s="20"/>
      <c r="U538" s="20"/>
      <c r="V538" s="20"/>
      <c r="W538" s="20"/>
      <c r="X538" s="20"/>
    </row>
    <row r="539">
      <c r="A539" s="37" t="str">
        <f>IFERROR(__xludf.DUMMYFUNCTION("""COMPUTED_VALUE"""),"https://techcombank.com/thong-tin/blog/cam-nang-dinh-cu-my")</f>
        <v>https://techcombank.com/thong-tin/blog/cam-nang-dinh-cu-my</v>
      </c>
      <c r="B539" s="28">
        <f>IFERROR(__xludf.DUMMYFUNCTION("""COMPUTED_VALUE"""),2.0)</f>
        <v>2</v>
      </c>
      <c r="C539" s="20" t="str">
        <f>IFERROR(__xludf.DUMMYFUNCTION("IF(A539="""","""",TEXTJOIN(CHAR(10),TRUE,FILTER('Tổng hợp 75 trang đích'!$B$2:$B$3400,'Tổng hợp 75 trang đích'!$I$2:$I$3400=A539)))"),"https://techcombank.com/thong-tin/blog/chuyen-khoan-thanh-cong-nhung-khong-nhan-duoc-tien
https://techcombank.com/thong-tin/blog/phuong-phap-dau-tu-chung-chi-quy")</f>
        <v>https://techcombank.com/thong-tin/blog/chuyen-khoan-thanh-cong-nhung-khong-nhan-duoc-tien
https://techcombank.com/thong-tin/blog/phuong-phap-dau-tu-chung-chi-quy</v>
      </c>
      <c r="D539" s="20"/>
      <c r="E539" s="20"/>
      <c r="F539" s="20"/>
      <c r="G539" s="20"/>
      <c r="H539" s="20"/>
      <c r="I539" s="20"/>
      <c r="J539" s="20"/>
      <c r="K539" s="20"/>
      <c r="L539" s="20"/>
      <c r="M539" s="20"/>
      <c r="N539" s="20"/>
      <c r="O539" s="20"/>
      <c r="P539" s="20"/>
      <c r="Q539" s="20"/>
      <c r="R539" s="20"/>
      <c r="S539" s="20"/>
      <c r="T539" s="20"/>
      <c r="U539" s="20"/>
      <c r="V539" s="20"/>
      <c r="W539" s="20"/>
      <c r="X539" s="20"/>
    </row>
    <row r="540">
      <c r="A540" s="37" t="str">
        <f>IFERROR(__xludf.DUMMYFUNCTION("""COMPUTED_VALUE"""),"https://techcombank.com/thong-tin/blog/cho-vay-hop-von-la-gi")</f>
        <v>https://techcombank.com/thong-tin/blog/cho-vay-hop-von-la-gi</v>
      </c>
      <c r="B540" s="28">
        <f>IFERROR(__xludf.DUMMYFUNCTION("""COMPUTED_VALUE"""),2.0)</f>
        <v>2</v>
      </c>
      <c r="C540" s="20" t="str">
        <f>IFERROR(__xludf.DUMMYFUNCTION("IF(A540="""","""",TEXTJOIN(CHAR(10),TRUE,FILTER('Tổng hợp 75 trang đích'!$B$2:$B$3400,'Tổng hợp 75 trang đích'!$I$2:$I$3400=A540)))"),"https://techcombank.com/cong-cu-tien-ich/cong-cu-tinh-toan/bang-tinh-lai-suat-vay
https://techcombank.com/thong-tin/blog/app-vay-tien-nhanh")</f>
        <v>https://techcombank.com/cong-cu-tien-ich/cong-cu-tinh-toan/bang-tinh-lai-suat-vay
https://techcombank.com/thong-tin/blog/app-vay-tien-nhanh</v>
      </c>
      <c r="D540" s="20"/>
      <c r="E540" s="20"/>
      <c r="F540" s="20"/>
      <c r="G540" s="20"/>
      <c r="H540" s="20"/>
      <c r="I540" s="20"/>
      <c r="J540" s="20"/>
      <c r="K540" s="20"/>
      <c r="L540" s="20"/>
      <c r="M540" s="20"/>
      <c r="N540" s="20"/>
      <c r="O540" s="20"/>
      <c r="P540" s="20"/>
      <c r="Q540" s="20"/>
      <c r="R540" s="20"/>
      <c r="S540" s="20"/>
      <c r="T540" s="20"/>
      <c r="U540" s="20"/>
      <c r="V540" s="20"/>
      <c r="W540" s="20"/>
      <c r="X540" s="20"/>
    </row>
    <row r="541">
      <c r="A541" s="37" t="str">
        <f>IFERROR(__xludf.DUMMYFUNCTION("""COMPUTED_VALUE"""),"https://techcombank.com/thong-tin/blog/chung-chi-quy")</f>
        <v>https://techcombank.com/thong-tin/blog/chung-chi-quy</v>
      </c>
      <c r="B541" s="28">
        <f>IFERROR(__xludf.DUMMYFUNCTION("""COMPUTED_VALUE"""),2.0)</f>
        <v>2</v>
      </c>
      <c r="C541" s="20" t="str">
        <f>IFERROR(__xludf.DUMMYFUNCTION("IF(A541="""","""",TEXTJOIN(CHAR(10),TRUE,FILTER('Tổng hợp 75 trang đích'!$B$2:$B$3400,'Tổng hợp 75 trang đích'!$I$2:$I$3400=A541)))"),"https://techcombank.com/cong-cu-tien-ich/cong-cu-tinh-toan/bang-tinh-lai-suat-tiet-kiem
https://techcombank.com/thong-tin/blog/phuong-phap-dau-tu-chung-chi-quy")</f>
        <v>https://techcombank.com/cong-cu-tien-ich/cong-cu-tinh-toan/bang-tinh-lai-suat-tiet-kiem
https://techcombank.com/thong-tin/blog/phuong-phap-dau-tu-chung-chi-quy</v>
      </c>
      <c r="D541" s="20"/>
      <c r="E541" s="20"/>
      <c r="F541" s="20"/>
      <c r="G541" s="20"/>
      <c r="H541" s="20"/>
      <c r="I541" s="20"/>
      <c r="J541" s="20"/>
      <c r="K541" s="20"/>
      <c r="L541" s="20"/>
      <c r="M541" s="20"/>
      <c r="N541" s="20"/>
      <c r="O541" s="20"/>
      <c r="P541" s="20"/>
      <c r="Q541" s="20"/>
      <c r="R541" s="20"/>
      <c r="S541" s="20"/>
      <c r="T541" s="20"/>
      <c r="U541" s="20"/>
      <c r="V541" s="20"/>
      <c r="W541" s="20"/>
      <c r="X541" s="20"/>
    </row>
    <row r="542">
      <c r="A542" s="37" t="str">
        <f>IFERROR(__xludf.DUMMYFUNCTION("""COMPUTED_VALUE"""),"https://techcombank.com/thong-tin/blog/chuyen-tien-tro-cap-than-nhan-o-nuoc-ngoai")</f>
        <v>https://techcombank.com/thong-tin/blog/chuyen-tien-tro-cap-than-nhan-o-nuoc-ngoai</v>
      </c>
      <c r="B542" s="28">
        <f>IFERROR(__xludf.DUMMYFUNCTION("""COMPUTED_VALUE"""),2.0)</f>
        <v>2</v>
      </c>
      <c r="C542" s="20" t="str">
        <f>IFERROR(__xludf.DUMMYFUNCTION("IF(A542="""","""",TEXTJOIN(CHAR(10),TRUE,FILTER('Tổng hợp 75 trang đích'!$B$2:$B$3400,'Tổng hợp 75 trang đích'!$I$2:$I$3400=A542)))"),"https://techcombank.com/thong-tin/blog/cic-la-gi
https://techcombank.com/thong-tin/blog/doi-tien-do-o-dau")</f>
        <v>https://techcombank.com/thong-tin/blog/cic-la-gi
https://techcombank.com/thong-tin/blog/doi-tien-do-o-dau</v>
      </c>
      <c r="D542" s="20"/>
      <c r="E542" s="20"/>
      <c r="F542" s="20"/>
      <c r="G542" s="20"/>
      <c r="H542" s="20"/>
      <c r="I542" s="20"/>
      <c r="J542" s="20"/>
      <c r="K542" s="20"/>
      <c r="L542" s="20"/>
      <c r="M542" s="20"/>
      <c r="N542" s="20"/>
      <c r="O542" s="20"/>
      <c r="P542" s="20"/>
      <c r="Q542" s="20"/>
      <c r="R542" s="20"/>
      <c r="S542" s="20"/>
      <c r="T542" s="20"/>
      <c r="U542" s="20"/>
      <c r="V542" s="20"/>
      <c r="W542" s="20"/>
      <c r="X542" s="20"/>
    </row>
    <row r="543">
      <c r="A543" s="37" t="str">
        <f>IFERROR(__xludf.DUMMYFUNCTION("""COMPUTED_VALUE"""),"https://techcombank.com/thong-tin/blog/cua-hang-tien-loi")</f>
        <v>https://techcombank.com/thong-tin/blog/cua-hang-tien-loi</v>
      </c>
      <c r="B543" s="28">
        <f>IFERROR(__xludf.DUMMYFUNCTION("""COMPUTED_VALUE"""),2.0)</f>
        <v>2</v>
      </c>
      <c r="C543" s="20" t="str">
        <f>IFERROR(__xludf.DUMMYFUNCTION("IF(A543="""","""",TEXTJOIN(CHAR(10),TRUE,FILTER('Tổng hợp 75 trang đích'!$B$2:$B$3400,'Tổng hợp 75 trang đích'!$I$2:$I$3400=A543)))"),"https://techcombank.com/thong-tin/blog/cic-la-gi
https://techcombank.com/thong-tin/blog/traveloka-voucher")</f>
        <v>https://techcombank.com/thong-tin/blog/cic-la-gi
https://techcombank.com/thong-tin/blog/traveloka-voucher</v>
      </c>
      <c r="D543" s="20"/>
      <c r="E543" s="20"/>
      <c r="F543" s="20"/>
      <c r="G543" s="20"/>
      <c r="H543" s="20"/>
      <c r="I543" s="20"/>
      <c r="J543" s="20"/>
      <c r="K543" s="20"/>
      <c r="L543" s="20"/>
      <c r="M543" s="20"/>
      <c r="N543" s="20"/>
      <c r="O543" s="20"/>
      <c r="P543" s="20"/>
      <c r="Q543" s="20"/>
      <c r="R543" s="20"/>
      <c r="S543" s="20"/>
      <c r="T543" s="20"/>
      <c r="U543" s="20"/>
      <c r="V543" s="20"/>
      <c r="W543" s="20"/>
      <c r="X543" s="20"/>
    </row>
    <row r="544">
      <c r="A544" s="37" t="str">
        <f>IFERROR(__xludf.DUMMYFUNCTION("""COMPUTED_VALUE"""),"https://techcombank.com/thong-tin/blog/dao-han-the-tin-dung")</f>
        <v>https://techcombank.com/thong-tin/blog/dao-han-the-tin-dung</v>
      </c>
      <c r="B544" s="28">
        <f>IFERROR(__xludf.DUMMYFUNCTION("""COMPUTED_VALUE"""),2.0)</f>
        <v>2</v>
      </c>
      <c r="C544" s="20" t="str">
        <f>IFERROR(__xludf.DUMMYFUNCTION("IF(A544="""","""",TEXTJOIN(CHAR(10),TRUE,FILTER('Tổng hợp 75 trang đích'!$B$2:$B$3400,'Tổng hợp 75 trang đích'!$I$2:$I$3400=A544)))"),"https://techcombank.com/khach-hang-ca-nhan/chi-tieu/the/the-tin-dung/techcombank-everyday
https://techcombank.com/thong-tin/blog/cach-huy-the-tin-dung")</f>
        <v>https://techcombank.com/khach-hang-ca-nhan/chi-tieu/the/the-tin-dung/techcombank-everyday
https://techcombank.com/thong-tin/blog/cach-huy-the-tin-dung</v>
      </c>
      <c r="D544" s="20"/>
      <c r="E544" s="20"/>
      <c r="F544" s="20"/>
      <c r="G544" s="20"/>
      <c r="H544" s="20"/>
      <c r="I544" s="20"/>
      <c r="J544" s="20"/>
      <c r="K544" s="20"/>
      <c r="L544" s="20"/>
      <c r="M544" s="20"/>
      <c r="N544" s="20"/>
      <c r="O544" s="20"/>
      <c r="P544" s="20"/>
      <c r="Q544" s="20"/>
      <c r="R544" s="20"/>
      <c r="S544" s="20"/>
      <c r="T544" s="20"/>
      <c r="U544" s="20"/>
      <c r="V544" s="20"/>
      <c r="W544" s="20"/>
      <c r="X544" s="20"/>
    </row>
    <row r="545">
      <c r="A545" s="37" t="str">
        <f>IFERROR(__xludf.DUMMYFUNCTION("""COMPUTED_VALUE"""),"https://techcombank.com/thong-tin/blog/dau-tu-quy-mo")</f>
        <v>https://techcombank.com/thong-tin/blog/dau-tu-quy-mo</v>
      </c>
      <c r="B545" s="28">
        <f>IFERROR(__xludf.DUMMYFUNCTION("""COMPUTED_VALUE"""),2.0)</f>
        <v>2</v>
      </c>
      <c r="C545" s="20" t="str">
        <f>IFERROR(__xludf.DUMMYFUNCTION("IF(A545="""","""",TEXTJOIN(CHAR(10),TRUE,FILTER('Tổng hợp 75 trang đích'!$B$2:$B$3400,'Tổng hợp 75 trang đích'!$I$2:$I$3400=A545)))"),"https://techcombank.com/thong-tin/blog/cach-tinh-thue-thu-nhap-ca-nhan-2025
https://techcombank.com/thong-tin/blog/chung-chi-tien-gui-la-gi")</f>
        <v>https://techcombank.com/thong-tin/blog/cach-tinh-thue-thu-nhap-ca-nhan-2025
https://techcombank.com/thong-tin/blog/chung-chi-tien-gui-la-gi</v>
      </c>
      <c r="D545" s="20"/>
      <c r="E545" s="20"/>
      <c r="F545" s="20"/>
      <c r="G545" s="20"/>
      <c r="H545" s="20"/>
      <c r="I545" s="20"/>
      <c r="J545" s="20"/>
      <c r="K545" s="20"/>
      <c r="L545" s="20"/>
      <c r="M545" s="20"/>
      <c r="N545" s="20"/>
      <c r="O545" s="20"/>
      <c r="P545" s="20"/>
      <c r="Q545" s="20"/>
      <c r="R545" s="20"/>
      <c r="S545" s="20"/>
      <c r="T545" s="20"/>
      <c r="U545" s="20"/>
      <c r="V545" s="20"/>
      <c r="W545" s="20"/>
      <c r="X545" s="20"/>
    </row>
    <row r="546">
      <c r="A546" s="37" t="str">
        <f>IFERROR(__xludf.DUMMYFUNCTION("""COMPUTED_VALUE"""),"https://techcombank.com/thong-tin/blog/doi-xe-xang-lay-xe-dien")</f>
        <v>https://techcombank.com/thong-tin/blog/doi-xe-xang-lay-xe-dien</v>
      </c>
      <c r="B546" s="28">
        <f>IFERROR(__xludf.DUMMYFUNCTION("""COMPUTED_VALUE"""),2.0)</f>
        <v>2</v>
      </c>
      <c r="C546" s="20" t="str">
        <f>IFERROR(__xludf.DUMMYFUNCTION("IF(A546="""","""",TEXTJOIN(CHAR(10),TRUE,FILTER('Tổng hợp 75 trang đích'!$B$2:$B$3400,'Tổng hợp 75 trang đích'!$I$2:$I$3400=A546)))"),"https://techcombank.com/thong-tin/blog/lai-suat-vay-mua-o-to
https://techcombank.com/thong-tin/blog/app-vay-tien-nhanh")</f>
        <v>https://techcombank.com/thong-tin/blog/lai-suat-vay-mua-o-to
https://techcombank.com/thong-tin/blog/app-vay-tien-nhanh</v>
      </c>
      <c r="D546" s="20"/>
      <c r="E546" s="20"/>
      <c r="F546" s="20"/>
      <c r="G546" s="20"/>
      <c r="H546" s="20"/>
      <c r="I546" s="20"/>
      <c r="J546" s="20"/>
      <c r="K546" s="20"/>
      <c r="L546" s="20"/>
      <c r="M546" s="20"/>
      <c r="N546" s="20"/>
      <c r="O546" s="20"/>
      <c r="P546" s="20"/>
      <c r="Q546" s="20"/>
      <c r="R546" s="20"/>
      <c r="S546" s="20"/>
      <c r="T546" s="20"/>
      <c r="U546" s="20"/>
      <c r="V546" s="20"/>
      <c r="W546" s="20"/>
      <c r="X546" s="20"/>
    </row>
    <row r="547">
      <c r="A547" s="37" t="str">
        <f>IFERROR(__xludf.DUMMYFUNCTION("""COMPUTED_VALUE"""),"https://techcombank.com/thong-tin/blog/eco-card")</f>
        <v>https://techcombank.com/thong-tin/blog/eco-card</v>
      </c>
      <c r="B547" s="28">
        <f>IFERROR(__xludf.DUMMYFUNCTION("""COMPUTED_VALUE"""),2.0)</f>
        <v>2</v>
      </c>
      <c r="C547" s="20" t="str">
        <f>IFERROR(__xludf.DUMMYFUNCTION("IF(A547="""","""",TEXTJOIN(CHAR(10),TRUE,FILTER('Tổng hợp 75 trang đích'!$B$2:$B$3400,'Tổng hợp 75 trang đích'!$I$2:$I$3400=A547)))"),"https://techcombank.com/thong-tin/blog/nop-thue-dat-qua-ngan-hang
https://techcombank.com/thong-tin/blog/lam-the-tin-dung")</f>
        <v>https://techcombank.com/thong-tin/blog/nop-thue-dat-qua-ngan-hang
https://techcombank.com/thong-tin/blog/lam-the-tin-dung</v>
      </c>
      <c r="D547" s="20"/>
      <c r="E547" s="20"/>
      <c r="F547" s="20"/>
      <c r="G547" s="20"/>
      <c r="H547" s="20"/>
      <c r="I547" s="20"/>
      <c r="J547" s="20"/>
      <c r="K547" s="20"/>
      <c r="L547" s="20"/>
      <c r="M547" s="20"/>
      <c r="N547" s="20"/>
      <c r="O547" s="20"/>
      <c r="P547" s="20"/>
      <c r="Q547" s="20"/>
      <c r="R547" s="20"/>
      <c r="S547" s="20"/>
      <c r="T547" s="20"/>
      <c r="U547" s="20"/>
      <c r="V547" s="20"/>
      <c r="W547" s="20"/>
      <c r="X547" s="20"/>
    </row>
    <row r="548">
      <c r="A548" s="37" t="str">
        <f>IFERROR(__xludf.DUMMYFUNCTION("""COMPUTED_VALUE"""),"https://techcombank.com/thong-tin/blog/fintech-la-gi")</f>
        <v>https://techcombank.com/thong-tin/blog/fintech-la-gi</v>
      </c>
      <c r="B548" s="28">
        <f>IFERROR(__xludf.DUMMYFUNCTION("""COMPUTED_VALUE"""),2.0)</f>
        <v>2</v>
      </c>
      <c r="C548" s="20" t="str">
        <f>IFERROR(__xludf.DUMMYFUNCTION("IF(A548="""","""",TEXTJOIN(CHAR(10),TRUE,FILTER('Tổng hợp 75 trang đích'!$B$2:$B$3400,'Tổng hợp 75 trang đích'!$I$2:$I$3400=A548)))"),"https://techcombank.com/thong-tin/blog/lai-suat-tiet-kiem
https://techcombank.com/thong-tin/blog/app-vay-tien-nhanh")</f>
        <v>https://techcombank.com/thong-tin/blog/lai-suat-tiet-kiem
https://techcombank.com/thong-tin/blog/app-vay-tien-nhanh</v>
      </c>
      <c r="D548" s="20"/>
      <c r="E548" s="20"/>
      <c r="F548" s="20"/>
      <c r="G548" s="20"/>
      <c r="H548" s="20"/>
      <c r="I548" s="20"/>
      <c r="J548" s="20"/>
      <c r="K548" s="20"/>
      <c r="L548" s="20"/>
      <c r="M548" s="20"/>
      <c r="N548" s="20"/>
      <c r="O548" s="20"/>
      <c r="P548" s="20"/>
      <c r="Q548" s="20"/>
      <c r="R548" s="20"/>
      <c r="S548" s="20"/>
      <c r="T548" s="20"/>
      <c r="U548" s="20"/>
      <c r="V548" s="20"/>
      <c r="W548" s="20"/>
      <c r="X548" s="20"/>
    </row>
    <row r="549">
      <c r="A549" s="37" t="str">
        <f>IFERROR(__xludf.DUMMYFUNCTION("""COMPUTED_VALUE"""),"https://techcombank.com/thong-tin/blog/gia-tri-thuong-hieu")</f>
        <v>https://techcombank.com/thong-tin/blog/gia-tri-thuong-hieu</v>
      </c>
      <c r="B549" s="28">
        <f>IFERROR(__xludf.DUMMYFUNCTION("""COMPUTED_VALUE"""),2.0)</f>
        <v>2</v>
      </c>
      <c r="C549" s="20" t="str">
        <f>IFERROR(__xludf.DUMMYFUNCTION("IF(A549="""","""",TEXTJOIN(CHAR(10),TRUE,FILTER('Tổng hợp 75 trang đích'!$B$2:$B$3400,'Tổng hợp 75 trang đích'!$I$2:$I$3400=A549)))"),"https://techcombank.com/thong-tin/blog/ngan-hang-uy-tin
https://techcombank.com/thong-tin/blog/tien-thai-lan")</f>
        <v>https://techcombank.com/thong-tin/blog/ngan-hang-uy-tin
https://techcombank.com/thong-tin/blog/tien-thai-lan</v>
      </c>
      <c r="D549" s="20"/>
      <c r="E549" s="20"/>
      <c r="F549" s="20"/>
      <c r="G549" s="20"/>
      <c r="H549" s="20"/>
      <c r="I549" s="20"/>
      <c r="J549" s="20"/>
      <c r="K549" s="20"/>
      <c r="L549" s="20"/>
      <c r="M549" s="20"/>
      <c r="N549" s="20"/>
      <c r="O549" s="20"/>
      <c r="P549" s="20"/>
      <c r="Q549" s="20"/>
      <c r="R549" s="20"/>
      <c r="S549" s="20"/>
      <c r="T549" s="20"/>
      <c r="U549" s="20"/>
      <c r="V549" s="20"/>
      <c r="W549" s="20"/>
      <c r="X549" s="20"/>
    </row>
    <row r="550">
      <c r="A550" s="37" t="str">
        <f>IFERROR(__xludf.DUMMYFUNCTION("""COMPUTED_VALUE"""),"https://techcombank.com/thong-tin/blog/gui-tiet-kiem-online-quay-vong-ca-goc-va-lai")</f>
        <v>https://techcombank.com/thong-tin/blog/gui-tiet-kiem-online-quay-vong-ca-goc-va-lai</v>
      </c>
      <c r="B550" s="28">
        <f>IFERROR(__xludf.DUMMYFUNCTION("""COMPUTED_VALUE"""),2.0)</f>
        <v>2</v>
      </c>
      <c r="C550" s="20" t="str">
        <f>IFERROR(__xludf.DUMMYFUNCTION("IF(A550="""","""",TEXTJOIN(CHAR(10),TRUE,FILTER('Tổng hợp 75 trang đích'!$B$2:$B$3400,'Tổng hợp 75 trang đích'!$I$2:$I$3400=A550)))"),"https://techcombank.com/thong-tin/blog/rut-tien-tiet-kiem-truoc-thoi-han
https://techcombank.com/cong-cu-tien-ich/cong-cu-tinh-toan/bang-tinh-lai-suat-tiet-kiem")</f>
        <v>https://techcombank.com/thong-tin/blog/rut-tien-tiet-kiem-truoc-thoi-han
https://techcombank.com/cong-cu-tien-ich/cong-cu-tinh-toan/bang-tinh-lai-suat-tiet-kiem</v>
      </c>
      <c r="D550" s="20"/>
      <c r="E550" s="20"/>
      <c r="F550" s="20"/>
      <c r="G550" s="20"/>
      <c r="H550" s="20"/>
      <c r="I550" s="20"/>
      <c r="J550" s="20"/>
      <c r="K550" s="20"/>
      <c r="L550" s="20"/>
      <c r="M550" s="20"/>
      <c r="N550" s="20"/>
      <c r="O550" s="20"/>
      <c r="P550" s="20"/>
      <c r="Q550" s="20"/>
      <c r="R550" s="20"/>
      <c r="S550" s="20"/>
      <c r="T550" s="20"/>
      <c r="U550" s="20"/>
      <c r="V550" s="20"/>
      <c r="W550" s="20"/>
      <c r="X550" s="20"/>
    </row>
    <row r="551">
      <c r="A551" s="37" t="str">
        <f>IFERROR(__xludf.DUMMYFUNCTION("""COMPUTED_VALUE"""),"https://techcombank.com/thong-tin/blog/han-muc-the-tin-dung")</f>
        <v>https://techcombank.com/thong-tin/blog/han-muc-the-tin-dung</v>
      </c>
      <c r="B551" s="28">
        <f>IFERROR(__xludf.DUMMYFUNCTION("""COMPUTED_VALUE"""),2.0)</f>
        <v>2</v>
      </c>
      <c r="C551" s="20" t="str">
        <f>IFERROR(__xludf.DUMMYFUNCTION("IF(A551="""","""",TEXTJOIN(CHAR(10),TRUE,FILTER('Tổng hợp 75 trang đích'!$B$2:$B$3400,'Tổng hợp 75 trang đích'!$I$2:$I$3400=A551)))"),"https://techcombank.com/thong-tin/blog/cic-la-gi
https://techcombank.com/thong-tin/blog/app-vay-tien-nhanh")</f>
        <v>https://techcombank.com/thong-tin/blog/cic-la-gi
https://techcombank.com/thong-tin/blog/app-vay-tien-nhanh</v>
      </c>
      <c r="D551" s="20"/>
      <c r="E551" s="20"/>
      <c r="F551" s="20"/>
      <c r="G551" s="20"/>
      <c r="H551" s="20"/>
      <c r="I551" s="20"/>
      <c r="J551" s="20"/>
      <c r="K551" s="20"/>
      <c r="L551" s="20"/>
      <c r="M551" s="20"/>
      <c r="N551" s="20"/>
      <c r="O551" s="20"/>
      <c r="P551" s="20"/>
      <c r="Q551" s="20"/>
      <c r="R551" s="20"/>
      <c r="S551" s="20"/>
      <c r="T551" s="20"/>
      <c r="U551" s="20"/>
      <c r="V551" s="20"/>
      <c r="W551" s="20"/>
      <c r="X551" s="20"/>
    </row>
    <row r="552">
      <c r="A552" s="37" t="str">
        <f>IFERROR(__xludf.DUMMYFUNCTION("""COMPUTED_VALUE"""),"https://techcombank.com/thong-tin/blog/han-muc-tra-gop-the-tin-dung")</f>
        <v>https://techcombank.com/thong-tin/blog/han-muc-tra-gop-the-tin-dung</v>
      </c>
      <c r="B552" s="28">
        <f>IFERROR(__xludf.DUMMYFUNCTION("""COMPUTED_VALUE"""),2.0)</f>
        <v>2</v>
      </c>
      <c r="C552" s="20" t="str">
        <f>IFERROR(__xludf.DUMMYFUNCTION("IF(A552="""","""",TEXTJOIN(CHAR(10),TRUE,FILTER('Tổng hợp 75 trang đích'!$B$2:$B$3400,'Tổng hợp 75 trang đích'!$I$2:$I$3400=A552)))"),"https://techcombank.com/thong-tin/blog/cic-la-gi
https://techcombank.com/thong-tin/blog/rut-tien-mat-tu-the-tin-dung")</f>
        <v>https://techcombank.com/thong-tin/blog/cic-la-gi
https://techcombank.com/thong-tin/blog/rut-tien-mat-tu-the-tin-dung</v>
      </c>
      <c r="D552" s="20"/>
      <c r="E552" s="20"/>
      <c r="F552" s="20"/>
      <c r="G552" s="20"/>
      <c r="H552" s="20"/>
      <c r="I552" s="20"/>
      <c r="J552" s="20"/>
      <c r="K552" s="20"/>
      <c r="L552" s="20"/>
      <c r="M552" s="20"/>
      <c r="N552" s="20"/>
      <c r="O552" s="20"/>
      <c r="P552" s="20"/>
      <c r="Q552" s="20"/>
      <c r="R552" s="20"/>
      <c r="S552" s="20"/>
      <c r="T552" s="20"/>
      <c r="U552" s="20"/>
      <c r="V552" s="20"/>
      <c r="W552" s="20"/>
      <c r="X552" s="20"/>
    </row>
    <row r="553">
      <c r="A553" s="37" t="str">
        <f>IFERROR(__xludf.DUMMYFUNCTION("""COMPUTED_VALUE"""),"https://techcombank.com/thong-tin/blog/ho-so-dang-ky-thanh-lap-doanh-nghiep")</f>
        <v>https://techcombank.com/thong-tin/blog/ho-so-dang-ky-thanh-lap-doanh-nghiep</v>
      </c>
      <c r="B553" s="28">
        <f>IFERROR(__xludf.DUMMYFUNCTION("""COMPUTED_VALUE"""),2.0)</f>
        <v>2</v>
      </c>
      <c r="C553" s="20" t="str">
        <f>IFERROR(__xludf.DUMMYFUNCTION("IF(A553="""","""",TEXTJOIN(CHAR(10),TRUE,FILTER('Tổng hợp 75 trang đích'!$B$2:$B$3400,'Tổng hợp 75 trang đích'!$I$2:$I$3400=A553)))"),"https://techcombank.com/thong-tin/blog/nop-thue-dat-qua-ngan-hang
https://techcombank.com/thong-tin/blog/thue-doanh-nghiep")</f>
        <v>https://techcombank.com/thong-tin/blog/nop-thue-dat-qua-ngan-hang
https://techcombank.com/thong-tin/blog/thue-doanh-nghiep</v>
      </c>
      <c r="D553" s="20"/>
      <c r="E553" s="20"/>
      <c r="F553" s="20"/>
      <c r="G553" s="20"/>
      <c r="H553" s="20"/>
      <c r="I553" s="20"/>
      <c r="J553" s="20"/>
      <c r="K553" s="20"/>
      <c r="L553" s="20"/>
      <c r="M553" s="20"/>
      <c r="N553" s="20"/>
      <c r="O553" s="20"/>
      <c r="P553" s="20"/>
      <c r="Q553" s="20"/>
      <c r="R553" s="20"/>
      <c r="S553" s="20"/>
      <c r="T553" s="20"/>
      <c r="U553" s="20"/>
      <c r="V553" s="20"/>
      <c r="W553" s="20"/>
      <c r="X553" s="20"/>
    </row>
    <row r="554">
      <c r="A554" s="37" t="str">
        <f>IFERROR(__xludf.DUMMYFUNCTION("""COMPUTED_VALUE"""),"https://techcombank.com/thong-tin/blog/ho-so-thu-tuc-xoa-the-chap")</f>
        <v>https://techcombank.com/thong-tin/blog/ho-so-thu-tuc-xoa-the-chap</v>
      </c>
      <c r="B554" s="28">
        <f>IFERROR(__xludf.DUMMYFUNCTION("""COMPUTED_VALUE"""),2.0)</f>
        <v>2</v>
      </c>
      <c r="C554" s="20" t="str">
        <f>IFERROR(__xludf.DUMMYFUNCTION("IF(A554="""","""",TEXTJOIN(CHAR(10),TRUE,FILTER('Tổng hợp 75 trang đích'!$B$2:$B$3400,'Tổng hợp 75 trang đích'!$I$2:$I$3400=A554)))"),"https://techcombank.com/thong-tin/blog/lai-suat-vay-the-chap-so-do
https://techcombank.com/thong-tin/blog/app-vay-tien-nhanh")</f>
        <v>https://techcombank.com/thong-tin/blog/lai-suat-vay-the-chap-so-do
https://techcombank.com/thong-tin/blog/app-vay-tien-nhanh</v>
      </c>
      <c r="D554" s="20"/>
      <c r="E554" s="20"/>
      <c r="F554" s="20"/>
      <c r="G554" s="20"/>
      <c r="H554" s="20"/>
      <c r="I554" s="20"/>
      <c r="J554" s="20"/>
      <c r="K554" s="20"/>
      <c r="L554" s="20"/>
      <c r="M554" s="20"/>
      <c r="N554" s="20"/>
      <c r="O554" s="20"/>
      <c r="P554" s="20"/>
      <c r="Q554" s="20"/>
      <c r="R554" s="20"/>
      <c r="S554" s="20"/>
      <c r="T554" s="20"/>
      <c r="U554" s="20"/>
      <c r="V554" s="20"/>
      <c r="W554" s="20"/>
      <c r="X554" s="20"/>
    </row>
    <row r="555">
      <c r="A555" s="37" t="str">
        <f>IFERROR(__xludf.DUMMYFUNCTION("""COMPUTED_VALUE"""),"https://techcombank.com/thong-tin/blog/hu-chi-tieu")</f>
        <v>https://techcombank.com/thong-tin/blog/hu-chi-tieu</v>
      </c>
      <c r="B555" s="28">
        <f>IFERROR(__xludf.DUMMYFUNCTION("""COMPUTED_VALUE"""),2.0)</f>
        <v>2</v>
      </c>
      <c r="C555" s="20" t="str">
        <f>IFERROR(__xludf.DUMMYFUNCTION("IF(A555="""","""",TEXTJOIN(CHAR(10),TRUE,FILTER('Tổng hợp 75 trang đích'!$B$2:$B$3400,'Tổng hợp 75 trang đích'!$I$2:$I$3400=A555)))"),"https://techcombank.com/thong-tin/blog/cach-tinh-tien-dien-sinh-hoat
https://techcombank.com/thong-tin/blog/cach-tinh-thue-thu-nhap-ca-nhan-2025")</f>
        <v>https://techcombank.com/thong-tin/blog/cach-tinh-tien-dien-sinh-hoat
https://techcombank.com/thong-tin/blog/cach-tinh-thue-thu-nhap-ca-nhan-2025</v>
      </c>
      <c r="D555" s="20"/>
      <c r="E555" s="20"/>
      <c r="F555" s="20"/>
      <c r="G555" s="20"/>
      <c r="H555" s="20"/>
      <c r="I555" s="20"/>
      <c r="J555" s="20"/>
      <c r="K555" s="20"/>
      <c r="L555" s="20"/>
      <c r="M555" s="20"/>
      <c r="N555" s="20"/>
      <c r="O555" s="20"/>
      <c r="P555" s="20"/>
      <c r="Q555" s="20"/>
      <c r="R555" s="20"/>
      <c r="S555" s="20"/>
      <c r="T555" s="20"/>
      <c r="U555" s="20"/>
      <c r="V555" s="20"/>
      <c r="W555" s="20"/>
      <c r="X555" s="20"/>
    </row>
    <row r="556">
      <c r="A556" s="37" t="str">
        <f>IFERROR(__xludf.DUMMYFUNCTION("""COMPUTED_VALUE"""),"https://techcombank.com/thong-tin/blog/huong-dan-dang-ky-thanh-lap-doanh-nghiep")</f>
        <v>https://techcombank.com/thong-tin/blog/huong-dan-dang-ky-thanh-lap-doanh-nghiep</v>
      </c>
      <c r="B556" s="28">
        <f>IFERROR(__xludf.DUMMYFUNCTION("""COMPUTED_VALUE"""),2.0)</f>
        <v>2</v>
      </c>
      <c r="C556" s="20" t="str">
        <f>IFERROR(__xludf.DUMMYFUNCTION("IF(A556="""","""",TEXTJOIN(CHAR(10),TRUE,FILTER('Tổng hợp 75 trang đích'!$B$2:$B$3400,'Tổng hợp 75 trang đích'!$I$2:$I$3400=A556)))"),"https://techcombank.com/thong-tin/blog/thue-doanh-nghiep
https://techcombank.com/thong-tin/blog/mo-hinh-kinh-doanh-la-gi")</f>
        <v>https://techcombank.com/thong-tin/blog/thue-doanh-nghiep
https://techcombank.com/thong-tin/blog/mo-hinh-kinh-doanh-la-gi</v>
      </c>
      <c r="D556" s="20"/>
      <c r="E556" s="20"/>
      <c r="F556" s="20"/>
      <c r="G556" s="20"/>
      <c r="H556" s="20"/>
      <c r="I556" s="20"/>
      <c r="J556" s="20"/>
      <c r="K556" s="20"/>
      <c r="L556" s="20"/>
      <c r="M556" s="20"/>
      <c r="N556" s="20"/>
      <c r="O556" s="20"/>
      <c r="P556" s="20"/>
      <c r="Q556" s="20"/>
      <c r="R556" s="20"/>
      <c r="S556" s="20"/>
      <c r="T556" s="20"/>
      <c r="U556" s="20"/>
      <c r="V556" s="20"/>
      <c r="W556" s="20"/>
      <c r="X556" s="20"/>
    </row>
    <row r="557">
      <c r="A557" s="37" t="str">
        <f>IFERROR(__xludf.DUMMYFUNCTION("""COMPUTED_VALUE"""),"https://techcombank.com/thong-tin/blog/ke-hoach-tai-chinh")</f>
        <v>https://techcombank.com/thong-tin/blog/ke-hoach-tai-chinh</v>
      </c>
      <c r="B557" s="28">
        <f>IFERROR(__xludf.DUMMYFUNCTION("""COMPUTED_VALUE"""),2.0)</f>
        <v>2</v>
      </c>
      <c r="C557" s="20" t="str">
        <f>IFERROR(__xludf.DUMMYFUNCTION("IF(A557="""","""",TEXTJOIN(CHAR(10),TRUE,FILTER('Tổng hợp 75 trang đích'!$B$2:$B$3400,'Tổng hợp 75 trang đích'!$I$2:$I$3400=A557)))"),"https://techcombank.com/thong-tin/blog/cach-tinh-lai-suat-tien-gui-tiet-kiem
https://techcombank.com/thong-tin/blog/cach-tiet-kiem-tien")</f>
        <v>https://techcombank.com/thong-tin/blog/cach-tinh-lai-suat-tien-gui-tiet-kiem
https://techcombank.com/thong-tin/blog/cach-tiet-kiem-tien</v>
      </c>
      <c r="D557" s="20"/>
      <c r="E557" s="20"/>
      <c r="F557" s="20"/>
      <c r="G557" s="20"/>
      <c r="H557" s="20"/>
      <c r="I557" s="20"/>
      <c r="J557" s="20"/>
      <c r="K557" s="20"/>
      <c r="L557" s="20"/>
      <c r="M557" s="20"/>
      <c r="N557" s="20"/>
      <c r="O557" s="20"/>
      <c r="P557" s="20"/>
      <c r="Q557" s="20"/>
      <c r="R557" s="20"/>
      <c r="S557" s="20"/>
      <c r="T557" s="20"/>
      <c r="U557" s="20"/>
      <c r="V557" s="20"/>
      <c r="W557" s="20"/>
      <c r="X557" s="20"/>
    </row>
    <row r="558">
      <c r="A558" s="37" t="str">
        <f>IFERROR(__xludf.DUMMYFUNCTION("""COMPUTED_VALUE"""),"https://techcombank.com/thong-tin/blog/khau-hao")</f>
        <v>https://techcombank.com/thong-tin/blog/khau-hao</v>
      </c>
      <c r="B558" s="28">
        <f>IFERROR(__xludf.DUMMYFUNCTION("""COMPUTED_VALUE"""),2.0)</f>
        <v>2</v>
      </c>
      <c r="C558" s="20" t="str">
        <f>IFERROR(__xludf.DUMMYFUNCTION("IF(A558="""","""",TEXTJOIN(CHAR(10),TRUE,FILTER('Tổng hợp 75 trang đích'!$B$2:$B$3400,'Tổng hợp 75 trang đích'!$I$2:$I$3400=A558)))"),"https://techcombank.com/thong-tin/blog/thue-thu-nhap-doanh-nghiep
https://techcombank.com/thong-tin/blog/cach-tinh-thue-thu-nhap-doanh-nghiep")</f>
        <v>https://techcombank.com/thong-tin/blog/thue-thu-nhap-doanh-nghiep
https://techcombank.com/thong-tin/blog/cach-tinh-thue-thu-nhap-doanh-nghiep</v>
      </c>
      <c r="D558" s="20"/>
      <c r="E558" s="20"/>
      <c r="F558" s="20"/>
      <c r="G558" s="20"/>
      <c r="H558" s="20"/>
      <c r="I558" s="20"/>
      <c r="J558" s="20"/>
      <c r="K558" s="20"/>
      <c r="L558" s="20"/>
      <c r="M558" s="20"/>
      <c r="N558" s="20"/>
      <c r="O558" s="20"/>
      <c r="P558" s="20"/>
      <c r="Q558" s="20"/>
      <c r="R558" s="20"/>
      <c r="S558" s="20"/>
      <c r="T558" s="20"/>
      <c r="U558" s="20"/>
      <c r="V558" s="20"/>
      <c r="W558" s="20"/>
      <c r="X558" s="20"/>
    </row>
    <row r="559">
      <c r="A559" s="37" t="str">
        <f>IFERROR(__xludf.DUMMYFUNCTION("""COMPUTED_VALUE"""),"https://techcombank.com/thong-tin/blog/khau-vi-nha-dau-tu-tpdn-thay-doi-the-nao-sau-nhung-bien-dong-vua-qua")</f>
        <v>https://techcombank.com/thong-tin/blog/khau-vi-nha-dau-tu-tpdn-thay-doi-the-nao-sau-nhung-bien-dong-vua-qua</v>
      </c>
      <c r="B559" s="28">
        <f>IFERROR(__xludf.DUMMYFUNCTION("""COMPUTED_VALUE"""),2.0)</f>
        <v>2</v>
      </c>
      <c r="C559" s="20" t="str">
        <f>IFERROR(__xludf.DUMMYFUNCTION("IF(A559="""","""",TEXTJOIN(CHAR(10),TRUE,FILTER('Tổng hợp 75 trang đích'!$B$2:$B$3400,'Tổng hợp 75 trang đích'!$I$2:$I$3400=A559)))"),"https://techcombank.com/thong-tin/blog/eco-card
https://techcombank.com/thong-tin/blog/lai-suat-tiet-kiem")</f>
        <v>https://techcombank.com/thong-tin/blog/eco-card
https://techcombank.com/thong-tin/blog/lai-suat-tiet-kiem</v>
      </c>
      <c r="D559" s="20"/>
      <c r="E559" s="20"/>
      <c r="F559" s="20"/>
      <c r="G559" s="20"/>
      <c r="H559" s="20"/>
      <c r="I559" s="20"/>
      <c r="J559" s="20"/>
      <c r="K559" s="20"/>
      <c r="L559" s="20"/>
      <c r="M559" s="20"/>
      <c r="N559" s="20"/>
      <c r="O559" s="20"/>
      <c r="P559" s="20"/>
      <c r="Q559" s="20"/>
      <c r="R559" s="20"/>
      <c r="S559" s="20"/>
      <c r="T559" s="20"/>
      <c r="U559" s="20"/>
      <c r="V559" s="20"/>
      <c r="W559" s="20"/>
      <c r="X559" s="20"/>
    </row>
    <row r="560">
      <c r="A560" s="37" t="str">
        <f>IFERROR(__xludf.DUMMYFUNCTION("""COMPUTED_VALUE"""),"https://techcombank.com/thong-tin/blog/khong-su-dung-the-tin-dung-co-mat-phi-khong")</f>
        <v>https://techcombank.com/thong-tin/blog/khong-su-dung-the-tin-dung-co-mat-phi-khong</v>
      </c>
      <c r="B560" s="28">
        <f>IFERROR(__xludf.DUMMYFUNCTION("""COMPUTED_VALUE"""),2.0)</f>
        <v>2</v>
      </c>
      <c r="C560" s="20" t="str">
        <f>IFERROR(__xludf.DUMMYFUNCTION("IF(A560="""","""",TEXTJOIN(CHAR(10),TRUE,FILTER('Tổng hợp 75 trang đích'!$B$2:$B$3400,'Tổng hợp 75 trang đích'!$I$2:$I$3400=A560)))"),"https://techcombank.com/thong-tin/blog/lam-the-tin-dung
https://techcombank.com/thong-tin/blog/cach-huy-the-tin-dung")</f>
        <v>https://techcombank.com/thong-tin/blog/lam-the-tin-dung
https://techcombank.com/thong-tin/blog/cach-huy-the-tin-dung</v>
      </c>
      <c r="D560" s="20"/>
      <c r="E560" s="20"/>
      <c r="F560" s="20"/>
      <c r="G560" s="20"/>
      <c r="H560" s="20"/>
      <c r="I560" s="20"/>
      <c r="J560" s="20"/>
      <c r="K560" s="20"/>
      <c r="L560" s="20"/>
      <c r="M560" s="20"/>
      <c r="N560" s="20"/>
      <c r="O560" s="20"/>
      <c r="P560" s="20"/>
      <c r="Q560" s="20"/>
      <c r="R560" s="20"/>
      <c r="S560" s="20"/>
      <c r="T560" s="20"/>
      <c r="U560" s="20"/>
      <c r="V560" s="20"/>
      <c r="W560" s="20"/>
      <c r="X560" s="20"/>
    </row>
    <row r="561">
      <c r="A561" s="37" t="str">
        <f>IFERROR(__xludf.DUMMYFUNCTION("""COMPUTED_VALUE"""),"https://techcombank.com/thong-tin/blog/kich-hoat-the-tin-dung-techcombank")</f>
        <v>https://techcombank.com/thong-tin/blog/kich-hoat-the-tin-dung-techcombank</v>
      </c>
      <c r="B561" s="28">
        <f>IFERROR(__xludf.DUMMYFUNCTION("""COMPUTED_VALUE"""),2.0)</f>
        <v>2</v>
      </c>
      <c r="C561" s="20" t="str">
        <f>IFERROR(__xludf.DUMMYFUNCTION("IF(A561="""","""",TEXTJOIN(CHAR(10),TRUE,FILTER('Tổng hợp 75 trang đích'!$B$2:$B$3400,'Tổng hợp 75 trang đích'!$I$2:$I$3400=A561)))"),"https://techcombank.com/thong-tin/blog/cic-la-gi
https://techcombank.com/thong-tin/blog/ho-so-thu-tuc-xoa-the-chap")</f>
        <v>https://techcombank.com/thong-tin/blog/cic-la-gi
https://techcombank.com/thong-tin/blog/ho-so-thu-tuc-xoa-the-chap</v>
      </c>
      <c r="D561" s="20"/>
      <c r="E561" s="20"/>
      <c r="F561" s="20"/>
      <c r="G561" s="20"/>
      <c r="H561" s="20"/>
      <c r="I561" s="20"/>
      <c r="J561" s="20"/>
      <c r="K561" s="20"/>
      <c r="L561" s="20"/>
      <c r="M561" s="20"/>
      <c r="N561" s="20"/>
      <c r="O561" s="20"/>
      <c r="P561" s="20"/>
      <c r="Q561" s="20"/>
      <c r="R561" s="20"/>
      <c r="S561" s="20"/>
      <c r="T561" s="20"/>
      <c r="U561" s="20"/>
      <c r="V561" s="20"/>
      <c r="W561" s="20"/>
      <c r="X561" s="20"/>
    </row>
    <row r="562">
      <c r="A562" s="37" t="str">
        <f>IFERROR(__xludf.DUMMYFUNCTION("""COMPUTED_VALUE"""),"https://techcombank.com/thong-tin/blog/lam-ma-qr-ngan-hang-co-mat-phi-khong")</f>
        <v>https://techcombank.com/thong-tin/blog/lam-ma-qr-ngan-hang-co-mat-phi-khong</v>
      </c>
      <c r="B562" s="28">
        <f>IFERROR(__xludf.DUMMYFUNCTION("""COMPUTED_VALUE"""),2.0)</f>
        <v>2</v>
      </c>
      <c r="C562" s="20" t="str">
        <f>IFERROR(__xludf.DUMMYFUNCTION("IF(A562="""","""",TEXTJOIN(CHAR(10),TRUE,FILTER('Tổng hợp 75 trang đích'!$B$2:$B$3400,'Tổng hợp 75 trang đích'!$I$2:$I$3400=A562)))"),"https://techcombank.com/thong-tin/blog/rut-tien-bang-ma-qr-la-gi-cach-thuc-hien-nhu-the-nao
https://techcombank.com/thong-tin/blog/gui-ma-qr-ngan-hang")</f>
        <v>https://techcombank.com/thong-tin/blog/rut-tien-bang-ma-qr-la-gi-cach-thuc-hien-nhu-the-nao
https://techcombank.com/thong-tin/blog/gui-ma-qr-ngan-hang</v>
      </c>
      <c r="D562" s="20"/>
      <c r="E562" s="20"/>
      <c r="F562" s="20"/>
      <c r="G562" s="20"/>
      <c r="H562" s="20"/>
      <c r="I562" s="20"/>
      <c r="J562" s="20"/>
      <c r="K562" s="20"/>
      <c r="L562" s="20"/>
      <c r="M562" s="20"/>
      <c r="N562" s="20"/>
      <c r="O562" s="20"/>
      <c r="P562" s="20"/>
      <c r="Q562" s="20"/>
      <c r="R562" s="20"/>
      <c r="S562" s="20"/>
      <c r="T562" s="20"/>
      <c r="U562" s="20"/>
      <c r="V562" s="20"/>
      <c r="W562" s="20"/>
      <c r="X562" s="20"/>
    </row>
    <row r="563">
      <c r="A563" s="37" t="str">
        <f>IFERROR(__xludf.DUMMYFUNCTION("""COMPUTED_VALUE"""),"https://techcombank.com/thong-tin/blog/lam-phat-la-gi")</f>
        <v>https://techcombank.com/thong-tin/blog/lam-phat-la-gi</v>
      </c>
      <c r="B563" s="28">
        <f>IFERROR(__xludf.DUMMYFUNCTION("""COMPUTED_VALUE"""),2.0)</f>
        <v>2</v>
      </c>
      <c r="C563" s="20" t="str">
        <f>IFERROR(__xludf.DUMMYFUNCTION("IF(A563="""","""",TEXTJOIN(CHAR(10),TRUE,FILTER('Tổng hợp 75 trang đích'!$B$2:$B$3400,'Tổng hợp 75 trang đích'!$I$2:$I$3400=A563)))"),"https://techcombank.com/thong-tin/blog/chung-chi-tien-gui-la-gi
https://techcombank.com/thong-tin/blog/cach-tiet-kiem-tien")</f>
        <v>https://techcombank.com/thong-tin/blog/chung-chi-tien-gui-la-gi
https://techcombank.com/thong-tin/blog/cach-tiet-kiem-tien</v>
      </c>
      <c r="D563" s="20"/>
      <c r="E563" s="20"/>
      <c r="F563" s="20"/>
      <c r="G563" s="20"/>
      <c r="H563" s="20"/>
      <c r="I563" s="20"/>
      <c r="J563" s="20"/>
      <c r="K563" s="20"/>
      <c r="L563" s="20"/>
      <c r="M563" s="20"/>
      <c r="N563" s="20"/>
      <c r="O563" s="20"/>
      <c r="P563" s="20"/>
      <c r="Q563" s="20"/>
      <c r="R563" s="20"/>
      <c r="S563" s="20"/>
      <c r="T563" s="20"/>
      <c r="U563" s="20"/>
      <c r="V563" s="20"/>
      <c r="W563" s="20"/>
      <c r="X563" s="20"/>
    </row>
    <row r="564">
      <c r="A564" s="37" t="str">
        <f>IFERROR(__xludf.DUMMYFUNCTION("""COMPUTED_VALUE"""),"https://techcombank.com/thong-tin/blog/lam-the-thanh-toan-quoc-te")</f>
        <v>https://techcombank.com/thong-tin/blog/lam-the-thanh-toan-quoc-te</v>
      </c>
      <c r="B564" s="28">
        <f>IFERROR(__xludf.DUMMYFUNCTION("""COMPUTED_VALUE"""),2.0)</f>
        <v>2</v>
      </c>
      <c r="C564" s="20" t="str">
        <f>IFERROR(__xludf.DUMMYFUNCTION("IF(A564="""","""",TEXTJOIN(CHAR(10),TRUE,FILTER('Tổng hợp 75 trang đích'!$B$2:$B$3400,'Tổng hợp 75 trang đích'!$I$2:$I$3400=A564)))"),"https://techcombank.com/thong-tin/blog/bao-nhieu-tuoi-duoc-mo-tai-khoan-ngan-hang
https://techcombank.com/thong-tin/blog/cach-nhan-tien-tu-nuoc-ngoai-ve-viet-nam")</f>
        <v>https://techcombank.com/thong-tin/blog/bao-nhieu-tuoi-duoc-mo-tai-khoan-ngan-hang
https://techcombank.com/thong-tin/blog/cach-nhan-tien-tu-nuoc-ngoai-ve-viet-nam</v>
      </c>
      <c r="D564" s="20"/>
      <c r="E564" s="20"/>
      <c r="F564" s="20"/>
      <c r="G564" s="20"/>
      <c r="H564" s="20"/>
      <c r="I564" s="20"/>
      <c r="J564" s="20"/>
      <c r="K564" s="20"/>
      <c r="L564" s="20"/>
      <c r="M564" s="20"/>
      <c r="N564" s="20"/>
      <c r="O564" s="20"/>
      <c r="P564" s="20"/>
      <c r="Q564" s="20"/>
      <c r="R564" s="20"/>
      <c r="S564" s="20"/>
      <c r="T564" s="20"/>
      <c r="U564" s="20"/>
      <c r="V564" s="20"/>
      <c r="W564" s="20"/>
      <c r="X564" s="20"/>
    </row>
    <row r="565">
      <c r="A565" s="37" t="str">
        <f>IFERROR(__xludf.DUMMYFUNCTION("""COMPUTED_VALUE"""),"https://techcombank.com/thong-tin/blog/lam-the-visa-online")</f>
        <v>https://techcombank.com/thong-tin/blog/lam-the-visa-online</v>
      </c>
      <c r="B565" s="28">
        <f>IFERROR(__xludf.DUMMYFUNCTION("""COMPUTED_VALUE"""),2.0)</f>
        <v>2</v>
      </c>
      <c r="C565" s="20" t="str">
        <f>IFERROR(__xludf.DUMMYFUNCTION("IF(A565="""","""",TEXTJOIN(CHAR(10),TRUE,FILTER('Tổng hợp 75 trang đích'!$B$2:$B$3400,'Tổng hợp 75 trang đích'!$I$2:$I$3400=A565)))"),"https://techcombank.com/thong-tin/blog/bao-nhieu-tuoi-duoc-mo-tai-khoan-ngan-hang
https://techcombank.com/thong-tin/blog/cic-la-gi")</f>
        <v>https://techcombank.com/thong-tin/blog/bao-nhieu-tuoi-duoc-mo-tai-khoan-ngan-hang
https://techcombank.com/thong-tin/blog/cic-la-gi</v>
      </c>
      <c r="D565" s="20"/>
      <c r="E565" s="20"/>
      <c r="F565" s="20"/>
      <c r="G565" s="20"/>
      <c r="H565" s="20"/>
      <c r="I565" s="20"/>
      <c r="J565" s="20"/>
      <c r="K565" s="20"/>
      <c r="L565" s="20"/>
      <c r="M565" s="20"/>
      <c r="N565" s="20"/>
      <c r="O565" s="20"/>
      <c r="P565" s="20"/>
      <c r="Q565" s="20"/>
      <c r="R565" s="20"/>
      <c r="S565" s="20"/>
      <c r="T565" s="20"/>
      <c r="U565" s="20"/>
      <c r="V565" s="20"/>
      <c r="W565" s="20"/>
      <c r="X565" s="20"/>
    </row>
    <row r="566">
      <c r="A566" s="37" t="str">
        <f>IFERROR(__xludf.DUMMYFUNCTION("""COMPUTED_VALUE"""),"https://techcombank.com/thong-tin/blog/li-xi-tet")</f>
        <v>https://techcombank.com/thong-tin/blog/li-xi-tet</v>
      </c>
      <c r="B566" s="28">
        <f>IFERROR(__xludf.DUMMYFUNCTION("""COMPUTED_VALUE"""),2.0)</f>
        <v>2</v>
      </c>
      <c r="C566" s="20" t="str">
        <f>IFERROR(__xludf.DUMMYFUNCTION("IF(A566="""","""",TEXTJOIN(CHAR(10),TRUE,FILTER('Tổng hợp 75 trang đích'!$B$2:$B$3400,'Tổng hợp 75 trang đích'!$I$2:$I$3400=A566)))"),"https://techcombank.com/thong-tin/blog/day-so-phat-tai-phat-loc
https://techcombank.com/thong-tin/blog/tien-thai-lan")</f>
        <v>https://techcombank.com/thong-tin/blog/day-so-phat-tai-phat-loc
https://techcombank.com/thong-tin/blog/tien-thai-lan</v>
      </c>
      <c r="D566" s="20"/>
      <c r="E566" s="20"/>
      <c r="F566" s="20"/>
      <c r="G566" s="20"/>
      <c r="H566" s="20"/>
      <c r="I566" s="20"/>
      <c r="J566" s="20"/>
      <c r="K566" s="20"/>
      <c r="L566" s="20"/>
      <c r="M566" s="20"/>
      <c r="N566" s="20"/>
      <c r="O566" s="20"/>
      <c r="P566" s="20"/>
      <c r="Q566" s="20"/>
      <c r="R566" s="20"/>
      <c r="S566" s="20"/>
      <c r="T566" s="20"/>
      <c r="U566" s="20"/>
      <c r="V566" s="20"/>
      <c r="W566" s="20"/>
      <c r="X566" s="20"/>
    </row>
    <row r="567">
      <c r="A567" s="37" t="str">
        <f>IFERROR(__xludf.DUMMYFUNCTION("""COMPUTED_VALUE"""),"https://techcombank.com/thong-tin/blog/loa-thong-bao-chuyen-khoan")</f>
        <v>https://techcombank.com/thong-tin/blog/loa-thong-bao-chuyen-khoan</v>
      </c>
      <c r="B567" s="28">
        <f>IFERROR(__xludf.DUMMYFUNCTION("""COMPUTED_VALUE"""),2.0)</f>
        <v>2</v>
      </c>
      <c r="C567" s="20" t="str">
        <f>IFERROR(__xludf.DUMMYFUNCTION("IF(A567="""","""",TEXTJOIN(CHAR(10),TRUE,FILTER('Tổng hợp 75 trang đích'!$B$2:$B$3400,'Tổng hợp 75 trang đích'!$I$2:$I$3400=A567)))"),"https://techcombank.com/thong-tin/blog/chuyen-khoan-thanh-cong-nhung-khong-nhan-duoc-tien
https://techcombank.com/thong-tin/blog/gui-ma-qr-ngan-hang")</f>
        <v>https://techcombank.com/thong-tin/blog/chuyen-khoan-thanh-cong-nhung-khong-nhan-duoc-tien
https://techcombank.com/thong-tin/blog/gui-ma-qr-ngan-hang</v>
      </c>
      <c r="D567" s="20"/>
      <c r="E567" s="20"/>
      <c r="F567" s="20"/>
      <c r="G567" s="20"/>
      <c r="H567" s="20"/>
      <c r="I567" s="20"/>
      <c r="J567" s="20"/>
      <c r="K567" s="20"/>
      <c r="L567" s="20"/>
      <c r="M567" s="20"/>
      <c r="N567" s="20"/>
      <c r="O567" s="20"/>
      <c r="P567" s="20"/>
      <c r="Q567" s="20"/>
      <c r="R567" s="20"/>
      <c r="S567" s="20"/>
      <c r="T567" s="20"/>
      <c r="U567" s="20"/>
      <c r="V567" s="20"/>
      <c r="W567" s="20"/>
      <c r="X567" s="20"/>
    </row>
    <row r="568">
      <c r="A568" s="37" t="str">
        <f>IFERROR(__xludf.DUMMYFUNCTION("""COMPUTED_VALUE"""),"https://techcombank.com/thong-tin/blog/loa-ting-ting")</f>
        <v>https://techcombank.com/thong-tin/blog/loa-ting-ting</v>
      </c>
      <c r="B568" s="28">
        <f>IFERROR(__xludf.DUMMYFUNCTION("""COMPUTED_VALUE"""),2.0)</f>
        <v>2</v>
      </c>
      <c r="C568" s="20" t="str">
        <f>IFERROR(__xludf.DUMMYFUNCTION("IF(A568="""","""",TEXTJOIN(CHAR(10),TRUE,FILTER('Tổng hợp 75 trang đích'!$B$2:$B$3400,'Tổng hợp 75 trang đích'!$I$2:$I$3400=A568)))"),"https://techcombank.com/thong-tin/blog/chuyen-khoan-thanh-cong-nhung-khong-nhan-duoc-tien
https://techcombank.com/thong-tin/blog/gui-ma-qr-ngan-hang")</f>
        <v>https://techcombank.com/thong-tin/blog/chuyen-khoan-thanh-cong-nhung-khong-nhan-duoc-tien
https://techcombank.com/thong-tin/blog/gui-ma-qr-ngan-hang</v>
      </c>
      <c r="D568" s="20"/>
      <c r="E568" s="20"/>
      <c r="F568" s="20"/>
      <c r="G568" s="20"/>
      <c r="H568" s="20"/>
      <c r="I568" s="20"/>
      <c r="J568" s="20"/>
      <c r="K568" s="20"/>
      <c r="L568" s="20"/>
      <c r="M568" s="20"/>
      <c r="N568" s="20"/>
      <c r="O568" s="20"/>
      <c r="P568" s="20"/>
      <c r="Q568" s="20"/>
      <c r="R568" s="20"/>
      <c r="S568" s="20"/>
      <c r="T568" s="20"/>
      <c r="U568" s="20"/>
      <c r="V568" s="20"/>
      <c r="W568" s="20"/>
      <c r="X568" s="20"/>
    </row>
    <row r="569">
      <c r="A569" s="37" t="str">
        <f>IFERROR(__xludf.DUMMYFUNCTION("""COMPUTED_VALUE"""),"https://techcombank.com/thong-tin/blog/loi-ich-cua-ngan-hang-so-voi-sme")</f>
        <v>https://techcombank.com/thong-tin/blog/loi-ich-cua-ngan-hang-so-voi-sme</v>
      </c>
      <c r="B569" s="28">
        <f>IFERROR(__xludf.DUMMYFUNCTION("""COMPUTED_VALUE"""),2.0)</f>
        <v>2</v>
      </c>
      <c r="C569" s="20" t="str">
        <f>IFERROR(__xludf.DUMMYFUNCTION("IF(A569="""","""",TEXTJOIN(CHAR(10),TRUE,FILTER('Tổng hợp 75 trang đích'!$B$2:$B$3400,'Tổng hợp 75 trang đích'!$I$2:$I$3400=A569)))"),"https://techcombank.com/thong-tin/blog/cach-tinh-lai-suat-tien-gui-tiet-kiem
https://techcombank.com/thong-tin/blog/cach-tiet-kiem-tien")</f>
        <v>https://techcombank.com/thong-tin/blog/cach-tinh-lai-suat-tien-gui-tiet-kiem
https://techcombank.com/thong-tin/blog/cach-tiet-kiem-tien</v>
      </c>
      <c r="D569" s="20"/>
      <c r="E569" s="20"/>
      <c r="F569" s="20"/>
      <c r="G569" s="20"/>
      <c r="H569" s="20"/>
      <c r="I569" s="20"/>
      <c r="J569" s="20"/>
      <c r="K569" s="20"/>
      <c r="L569" s="20"/>
      <c r="M569" s="20"/>
      <c r="N569" s="20"/>
      <c r="O569" s="20"/>
      <c r="P569" s="20"/>
      <c r="Q569" s="20"/>
      <c r="R569" s="20"/>
      <c r="S569" s="20"/>
      <c r="T569" s="20"/>
      <c r="U569" s="20"/>
      <c r="V569" s="20"/>
      <c r="W569" s="20"/>
      <c r="X569" s="20"/>
    </row>
    <row r="570">
      <c r="A570" s="37" t="str">
        <f>IFERROR(__xludf.DUMMYFUNCTION("""COMPUTED_VALUE"""),"https://techcombank.com/thong-tin/blog/loi-nhuan-rong")</f>
        <v>https://techcombank.com/thong-tin/blog/loi-nhuan-rong</v>
      </c>
      <c r="B570" s="28">
        <f>IFERROR(__xludf.DUMMYFUNCTION("""COMPUTED_VALUE"""),2.0)</f>
        <v>2</v>
      </c>
      <c r="C570" s="20" t="str">
        <f>IFERROR(__xludf.DUMMYFUNCTION("IF(A570="""","""",TEXTJOIN(CHAR(10),TRUE,FILTER('Tổng hợp 75 trang đích'!$B$2:$B$3400,'Tổng hợp 75 trang đích'!$I$2:$I$3400=A570)))"),"https://techcombank.com/thong-tin/blog/thue-thu-nhap-doanh-nghiep
https://techcombank.com/thong-tin/blog/cach-tinh-thue-thu-nhap-doanh-nghiep")</f>
        <v>https://techcombank.com/thong-tin/blog/thue-thu-nhap-doanh-nghiep
https://techcombank.com/thong-tin/blog/cach-tinh-thue-thu-nhap-doanh-nghiep</v>
      </c>
      <c r="D570" s="20"/>
      <c r="E570" s="20"/>
      <c r="F570" s="20"/>
      <c r="G570" s="20"/>
      <c r="H570" s="20"/>
      <c r="I570" s="20"/>
      <c r="J570" s="20"/>
      <c r="K570" s="20"/>
      <c r="L570" s="20"/>
      <c r="M570" s="20"/>
      <c r="N570" s="20"/>
      <c r="O570" s="20"/>
      <c r="P570" s="20"/>
      <c r="Q570" s="20"/>
      <c r="R570" s="20"/>
      <c r="S570" s="20"/>
      <c r="T570" s="20"/>
      <c r="U570" s="20"/>
      <c r="V570" s="20"/>
      <c r="W570" s="20"/>
      <c r="X570" s="20"/>
    </row>
    <row r="571">
      <c r="A571" s="37" t="str">
        <f>IFERROR(__xludf.DUMMYFUNCTION("""COMPUTED_VALUE"""),"https://techcombank.com/thong-tin/blog/luu-y-khi-su-dung-the-tin-dung")</f>
        <v>https://techcombank.com/thong-tin/blog/luu-y-khi-su-dung-the-tin-dung</v>
      </c>
      <c r="B571" s="28">
        <f>IFERROR(__xludf.DUMMYFUNCTION("""COMPUTED_VALUE"""),2.0)</f>
        <v>2</v>
      </c>
      <c r="C571" s="20" t="str">
        <f>IFERROR(__xludf.DUMMYFUNCTION("IF(A571="""","""",TEXTJOIN(CHAR(10),TRUE,FILTER('Tổng hợp 75 trang đích'!$B$2:$B$3400,'Tổng hợp 75 trang đích'!$I$2:$I$3400=A571)))"),"https://techcombank.com/thong-tin/blog/cic-la-gi
https://techcombank.com/thong-tin/blog/xep-hang-tin-dung")</f>
        <v>https://techcombank.com/thong-tin/blog/cic-la-gi
https://techcombank.com/thong-tin/blog/xep-hang-tin-dung</v>
      </c>
      <c r="D571" s="20"/>
      <c r="E571" s="20"/>
      <c r="F571" s="20"/>
      <c r="G571" s="20"/>
      <c r="H571" s="20"/>
      <c r="I571" s="20"/>
      <c r="J571" s="20"/>
      <c r="K571" s="20"/>
      <c r="L571" s="20"/>
      <c r="M571" s="20"/>
      <c r="N571" s="20"/>
      <c r="O571" s="20"/>
      <c r="P571" s="20"/>
      <c r="Q571" s="20"/>
      <c r="R571" s="20"/>
      <c r="S571" s="20"/>
      <c r="T571" s="20"/>
      <c r="U571" s="20"/>
      <c r="V571" s="20"/>
      <c r="W571" s="20"/>
      <c r="X571" s="20"/>
    </row>
    <row r="572">
      <c r="A572" s="37" t="str">
        <f>IFERROR(__xludf.DUMMYFUNCTION("""COMPUTED_VALUE"""),"https://techcombank.com/thong-tin/blog/ma-giao-dich-la-gi")</f>
        <v>https://techcombank.com/thong-tin/blog/ma-giao-dich-la-gi</v>
      </c>
      <c r="B572" s="28">
        <f>IFERROR(__xludf.DUMMYFUNCTION("""COMPUTED_VALUE"""),2.0)</f>
        <v>2</v>
      </c>
      <c r="C572" s="20" t="str">
        <f>IFERROR(__xludf.DUMMYFUNCTION("IF(A572="""","""",TEXTJOIN(CHAR(10),TRUE,FILTER('Tổng hợp 75 trang đích'!$B$2:$B$3400,'Tổng hợp 75 trang đích'!$I$2:$I$3400=A572)))"),"https://techcombank.com/thong-tin/blog/cach-kiem-tra-tai-khoan-ngan-hang
https://techcombank.com/thong-tin/blog/chuyen-khoan-thanh-cong-nhung-khong-nhan-duoc-tien")</f>
        <v>https://techcombank.com/thong-tin/blog/cach-kiem-tra-tai-khoan-ngan-hang
https://techcombank.com/thong-tin/blog/chuyen-khoan-thanh-cong-nhung-khong-nhan-duoc-tien</v>
      </c>
      <c r="D572" s="20"/>
      <c r="E572" s="20"/>
      <c r="F572" s="20"/>
      <c r="G572" s="20"/>
      <c r="H572" s="20"/>
      <c r="I572" s="20"/>
      <c r="J572" s="20"/>
      <c r="K572" s="20"/>
      <c r="L572" s="20"/>
      <c r="M572" s="20"/>
      <c r="N572" s="20"/>
      <c r="O572" s="20"/>
      <c r="P572" s="20"/>
      <c r="Q572" s="20"/>
      <c r="R572" s="20"/>
      <c r="S572" s="20"/>
      <c r="T572" s="20"/>
      <c r="U572" s="20"/>
      <c r="V572" s="20"/>
      <c r="W572" s="20"/>
      <c r="X572" s="20"/>
    </row>
    <row r="573">
      <c r="A573" s="37" t="str">
        <f>IFERROR(__xludf.DUMMYFUNCTION("""COMPUTED_VALUE"""),"https://techcombank.com/thong-tin/blog/mat-the-tin-dung-co-lam-lai-duoc-khong")</f>
        <v>https://techcombank.com/thong-tin/blog/mat-the-tin-dung-co-lam-lai-duoc-khong</v>
      </c>
      <c r="B573" s="28">
        <f>IFERROR(__xludf.DUMMYFUNCTION("""COMPUTED_VALUE"""),2.0)</f>
        <v>2</v>
      </c>
      <c r="C573" s="20" t="str">
        <f>IFERROR(__xludf.DUMMYFUNCTION("IF(A573="""","""",TEXTJOIN(CHAR(10),TRUE,FILTER('Tổng hợp 75 trang đích'!$B$2:$B$3400,'Tổng hợp 75 trang đích'!$I$2:$I$3400=A573)))"),"https://techcombank.com/thong-tin/blog/ngan-hang-uy-tin
https://techcombank.com/thong-tin/blog/cic-la-gi")</f>
        <v>https://techcombank.com/thong-tin/blog/ngan-hang-uy-tin
https://techcombank.com/thong-tin/blog/cic-la-gi</v>
      </c>
      <c r="D573" s="20"/>
      <c r="E573" s="20"/>
      <c r="F573" s="20"/>
      <c r="G573" s="20"/>
      <c r="H573" s="20"/>
      <c r="I573" s="20"/>
      <c r="J573" s="20"/>
      <c r="K573" s="20"/>
      <c r="L573" s="20"/>
      <c r="M573" s="20"/>
      <c r="N573" s="20"/>
      <c r="O573" s="20"/>
      <c r="P573" s="20"/>
      <c r="Q573" s="20"/>
      <c r="R573" s="20"/>
      <c r="S573" s="20"/>
      <c r="T573" s="20"/>
      <c r="U573" s="20"/>
      <c r="V573" s="20"/>
      <c r="W573" s="20"/>
      <c r="X573" s="20"/>
    </row>
    <row r="574">
      <c r="A574" s="37" t="str">
        <f>IFERROR(__xludf.DUMMYFUNCTION("""COMPUTED_VALUE"""),"https://techcombank.com/thong-tin/blog/may-tinh-tien")</f>
        <v>https://techcombank.com/thong-tin/blog/may-tinh-tien</v>
      </c>
      <c r="B574" s="28">
        <f>IFERROR(__xludf.DUMMYFUNCTION("""COMPUTED_VALUE"""),2.0)</f>
        <v>2</v>
      </c>
      <c r="C574" s="20" t="str">
        <f>IFERROR(__xludf.DUMMYFUNCTION("IF(A574="""","""",TEXTJOIN(CHAR(10),TRUE,FILTER('Tổng hợp 75 trang đích'!$B$2:$B$3400,'Tổng hợp 75 trang đích'!$I$2:$I$3400=A574)))"),"https://techcombank.com/thong-tin/blog/nop-thue-dat-qua-ngan-hang
https://techcombank.com/thong-tin/blog/thue-vat-la-gi")</f>
        <v>https://techcombank.com/thong-tin/blog/nop-thue-dat-qua-ngan-hang
https://techcombank.com/thong-tin/blog/thue-vat-la-gi</v>
      </c>
      <c r="D574" s="20"/>
      <c r="E574" s="20"/>
      <c r="F574" s="20"/>
      <c r="G574" s="20"/>
      <c r="H574" s="20"/>
      <c r="I574" s="20"/>
      <c r="J574" s="20"/>
      <c r="K574" s="20"/>
      <c r="L574" s="20"/>
      <c r="M574" s="20"/>
      <c r="N574" s="20"/>
      <c r="O574" s="20"/>
      <c r="P574" s="20"/>
      <c r="Q574" s="20"/>
      <c r="R574" s="20"/>
      <c r="S574" s="20"/>
      <c r="T574" s="20"/>
      <c r="U574" s="20"/>
      <c r="V574" s="20"/>
      <c r="W574" s="20"/>
      <c r="X574" s="20"/>
    </row>
    <row r="575">
      <c r="A575" s="37" t="str">
        <f>IFERROR(__xludf.DUMMYFUNCTION("""COMPUTED_VALUE"""),"https://techcombank.com/thong-tin/blog/merchant-portal")</f>
        <v>https://techcombank.com/thong-tin/blog/merchant-portal</v>
      </c>
      <c r="B575" s="28">
        <f>IFERROR(__xludf.DUMMYFUNCTION("""COMPUTED_VALUE"""),2.0)</f>
        <v>2</v>
      </c>
      <c r="C575" s="20" t="str">
        <f>IFERROR(__xludf.DUMMYFUNCTION("IF(A575="""","""",TEXTJOIN(CHAR(10),TRUE,FILTER('Tổng hợp 75 trang đích'!$B$2:$B$3400,'Tổng hợp 75 trang đích'!$I$2:$I$3400=A575)))"),"https://techcombank.com/thong-tin/blog/ten-dang-nhap-tai-khoan-ngan-hang-la-gi
https://techcombank.com/thong-tin/blog/cic-la-gi")</f>
        <v>https://techcombank.com/thong-tin/blog/ten-dang-nhap-tai-khoan-ngan-hang-la-gi
https://techcombank.com/thong-tin/blog/cic-la-gi</v>
      </c>
      <c r="D575" s="20"/>
      <c r="E575" s="20"/>
      <c r="F575" s="20"/>
      <c r="G575" s="20"/>
      <c r="H575" s="20"/>
      <c r="I575" s="20"/>
      <c r="J575" s="20"/>
      <c r="K575" s="20"/>
      <c r="L575" s="20"/>
      <c r="M575" s="20"/>
      <c r="N575" s="20"/>
      <c r="O575" s="20"/>
      <c r="P575" s="20"/>
      <c r="Q575" s="20"/>
      <c r="R575" s="20"/>
      <c r="S575" s="20"/>
      <c r="T575" s="20"/>
      <c r="U575" s="20"/>
      <c r="V575" s="20"/>
      <c r="W575" s="20"/>
      <c r="X575" s="20"/>
    </row>
    <row r="576">
      <c r="A576" s="37" t="str">
        <f>IFERROR(__xludf.DUMMYFUNCTION("""COMPUTED_VALUE"""),"https://techcombank.com/thong-tin/blog/mo-tai-khoan-ngan-hang-duoi-18-tuoi")</f>
        <v>https://techcombank.com/thong-tin/blog/mo-tai-khoan-ngan-hang-duoi-18-tuoi</v>
      </c>
      <c r="B576" s="28">
        <f>IFERROR(__xludf.DUMMYFUNCTION("""COMPUTED_VALUE"""),2.0)</f>
        <v>2</v>
      </c>
      <c r="C576" s="20" t="str">
        <f>IFERROR(__xludf.DUMMYFUNCTION("IF(A576="""","""",TEXTJOIN(CHAR(10),TRUE,FILTER('Tổng hợp 75 trang đích'!$B$2:$B$3400,'Tổng hợp 75 trang đích'!$I$2:$I$3400=A576)))"),"https://techcombank.com/thong-tin/blog/cach-mo-tai-khoan
https://techcombank.com/thong-tin/blog/bao-nhieu-tuoi-duoc-mo-tai-khoan-ngan-hang")</f>
        <v>https://techcombank.com/thong-tin/blog/cach-mo-tai-khoan
https://techcombank.com/thong-tin/blog/bao-nhieu-tuoi-duoc-mo-tai-khoan-ngan-hang</v>
      </c>
      <c r="D576" s="20"/>
      <c r="E576" s="20"/>
      <c r="F576" s="20"/>
      <c r="G576" s="20"/>
      <c r="H576" s="20"/>
      <c r="I576" s="20"/>
      <c r="J576" s="20"/>
      <c r="K576" s="20"/>
      <c r="L576" s="20"/>
      <c r="M576" s="20"/>
      <c r="N576" s="20"/>
      <c r="O576" s="20"/>
      <c r="P576" s="20"/>
      <c r="Q576" s="20"/>
      <c r="R576" s="20"/>
      <c r="S576" s="20"/>
      <c r="T576" s="20"/>
      <c r="U576" s="20"/>
      <c r="V576" s="20"/>
      <c r="W576" s="20"/>
      <c r="X576" s="20"/>
    </row>
    <row r="577">
      <c r="A577" s="37" t="str">
        <f>IFERROR(__xludf.DUMMYFUNCTION("""COMPUTED_VALUE"""),"https://techcombank.com/thong-tin/blog/mr-eco")</f>
        <v>https://techcombank.com/thong-tin/blog/mr-eco</v>
      </c>
      <c r="B577" s="28">
        <f>IFERROR(__xludf.DUMMYFUNCTION("""COMPUTED_VALUE"""),2.0)</f>
        <v>2</v>
      </c>
      <c r="C577" s="20" t="str">
        <f>IFERROR(__xludf.DUMMYFUNCTION("IF(A577="""","""",TEXTJOIN(CHAR(10),TRUE,FILTER('Tổng hợp 75 trang đích'!$B$2:$B$3400,'Tổng hợp 75 trang đích'!$I$2:$I$3400=A577)))"),"https://techcombank.com/thong-tin/blog/eco-card
https://techcombank.com/thong-tin/blog/traveloka-voucher")</f>
        <v>https://techcombank.com/thong-tin/blog/eco-card
https://techcombank.com/thong-tin/blog/traveloka-voucher</v>
      </c>
      <c r="D577" s="20"/>
      <c r="E577" s="20"/>
      <c r="F577" s="20"/>
      <c r="G577" s="20"/>
      <c r="H577" s="20"/>
      <c r="I577" s="20"/>
      <c r="J577" s="20"/>
      <c r="K577" s="20"/>
      <c r="L577" s="20"/>
      <c r="M577" s="20"/>
      <c r="N577" s="20"/>
      <c r="O577" s="20"/>
      <c r="P577" s="20"/>
      <c r="Q577" s="20"/>
      <c r="R577" s="20"/>
      <c r="S577" s="20"/>
      <c r="T577" s="20"/>
      <c r="U577" s="20"/>
      <c r="V577" s="20"/>
      <c r="W577" s="20"/>
      <c r="X577" s="20"/>
    </row>
    <row r="578">
      <c r="A578" s="37" t="str">
        <f>IFERROR(__xludf.DUMMYFUNCTION("""COMPUTED_VALUE"""),"https://techcombank.com/thong-tin/blog/mua-chung-chi-quy")</f>
        <v>https://techcombank.com/thong-tin/blog/mua-chung-chi-quy</v>
      </c>
      <c r="B578" s="28">
        <f>IFERROR(__xludf.DUMMYFUNCTION("""COMPUTED_VALUE"""),2.0)</f>
        <v>2</v>
      </c>
      <c r="C578" s="20" t="str">
        <f>IFERROR(__xludf.DUMMYFUNCTION("IF(A578="""","""",TEXTJOIN(CHAR(10),TRUE,FILTER('Tổng hợp 75 trang đích'!$B$2:$B$3400,'Tổng hợp 75 trang đích'!$I$2:$I$3400=A578)))"),"https://techcombank.com/thong-tin/blog/nen-vay-tin-chap-o-dau
https://techcombank.com/thong-tin/blog/phuong-phap-dau-tu-chung-chi-quy")</f>
        <v>https://techcombank.com/thong-tin/blog/nen-vay-tin-chap-o-dau
https://techcombank.com/thong-tin/blog/phuong-phap-dau-tu-chung-chi-quy</v>
      </c>
      <c r="D578" s="20"/>
      <c r="E578" s="20"/>
      <c r="F578" s="20"/>
      <c r="G578" s="20"/>
      <c r="H578" s="20"/>
      <c r="I578" s="20"/>
      <c r="J578" s="20"/>
      <c r="K578" s="20"/>
      <c r="L578" s="20"/>
      <c r="M578" s="20"/>
      <c r="N578" s="20"/>
      <c r="O578" s="20"/>
      <c r="P578" s="20"/>
      <c r="Q578" s="20"/>
      <c r="R578" s="20"/>
      <c r="S578" s="20"/>
      <c r="T578" s="20"/>
      <c r="U578" s="20"/>
      <c r="V578" s="20"/>
      <c r="W578" s="20"/>
      <c r="X578" s="20"/>
    </row>
    <row r="579">
      <c r="A579" s="37" t="str">
        <f>IFERROR(__xludf.DUMMYFUNCTION("""COMPUTED_VALUE"""),"https://techcombank.com/thong-tin/blog/nap-tien-dien-thoai-online")</f>
        <v>https://techcombank.com/thong-tin/blog/nap-tien-dien-thoai-online</v>
      </c>
      <c r="B579" s="28">
        <f>IFERROR(__xludf.DUMMYFUNCTION("""COMPUTED_VALUE"""),2.0)</f>
        <v>2</v>
      </c>
      <c r="C579" s="20" t="str">
        <f>IFERROR(__xludf.DUMMYFUNCTION("IF(A579="""","""",TEXTJOIN(CHAR(10),TRUE,FILTER('Tổng hợp 75 trang đích'!$B$2:$B$3400,'Tổng hợp 75 trang đích'!$I$2:$I$3400=A579)))"),"https://techcombank.com/thong-tin/blog/cach-nap-the-viettel
https://techcombank.com/thong-tin/blog/nap-tien-vao-tai-khoan-ngan-hang")</f>
        <v>https://techcombank.com/thong-tin/blog/cach-nap-the-viettel
https://techcombank.com/thong-tin/blog/nap-tien-vao-tai-khoan-ngan-hang</v>
      </c>
      <c r="D579" s="20"/>
      <c r="E579" s="20"/>
      <c r="F579" s="20"/>
      <c r="G579" s="20"/>
      <c r="H579" s="20"/>
      <c r="I579" s="20"/>
      <c r="J579" s="20"/>
      <c r="K579" s="20"/>
      <c r="L579" s="20"/>
      <c r="M579" s="20"/>
      <c r="N579" s="20"/>
      <c r="O579" s="20"/>
      <c r="P579" s="20"/>
      <c r="Q579" s="20"/>
      <c r="R579" s="20"/>
      <c r="S579" s="20"/>
      <c r="T579" s="20"/>
      <c r="U579" s="20"/>
      <c r="V579" s="20"/>
      <c r="W579" s="20"/>
      <c r="X579" s="20"/>
    </row>
    <row r="580">
      <c r="A580" s="37" t="str">
        <f>IFERROR(__xludf.DUMMYFUNCTION("""COMPUTED_VALUE"""),"https://techcombank.com/thong-tin/blog/ngan-hang-dien-tu")</f>
        <v>https://techcombank.com/thong-tin/blog/ngan-hang-dien-tu</v>
      </c>
      <c r="B580" s="28">
        <f>IFERROR(__xludf.DUMMYFUNCTION("""COMPUTED_VALUE"""),2.0)</f>
        <v>2</v>
      </c>
      <c r="C580" s="20" t="str">
        <f>IFERROR(__xludf.DUMMYFUNCTION("IF(A580="""","""",TEXTJOIN(CHAR(10),TRUE,FILTER('Tổng hợp 75 trang đích'!$B$2:$B$3400,'Tổng hợp 75 trang đích'!$I$2:$I$3400=A580)))"),"https://techcombank.com/thong-tin/blog/lai-suat-tiet-kiem
https://techcombank.com/thong-tin/blog/cach-tinh-lai-suat-tien-gui-tiet-kiem")</f>
        <v>https://techcombank.com/thong-tin/blog/lai-suat-tiet-kiem
https://techcombank.com/thong-tin/blog/cach-tinh-lai-suat-tien-gui-tiet-kiem</v>
      </c>
      <c r="D580" s="20"/>
      <c r="E580" s="20"/>
      <c r="F580" s="20"/>
      <c r="G580" s="20"/>
      <c r="H580" s="20"/>
      <c r="I580" s="20"/>
      <c r="J580" s="20"/>
      <c r="K580" s="20"/>
      <c r="L580" s="20"/>
      <c r="M580" s="20"/>
      <c r="N580" s="20"/>
      <c r="O580" s="20"/>
      <c r="P580" s="20"/>
      <c r="Q580" s="20"/>
      <c r="R580" s="20"/>
      <c r="S580" s="20"/>
      <c r="T580" s="20"/>
      <c r="U580" s="20"/>
      <c r="V580" s="20"/>
      <c r="W580" s="20"/>
      <c r="X580" s="20"/>
    </row>
    <row r="581">
      <c r="A581" s="37" t="str">
        <f>IFERROR(__xludf.DUMMYFUNCTION("""COMPUTED_VALUE"""),"https://techcombank.com/thong-tin/blog/ngan-hang-so")</f>
        <v>https://techcombank.com/thong-tin/blog/ngan-hang-so</v>
      </c>
      <c r="B581" s="28">
        <f>IFERROR(__xludf.DUMMYFUNCTION("""COMPUTED_VALUE"""),2.0)</f>
        <v>2</v>
      </c>
      <c r="C581" s="20" t="str">
        <f>IFERROR(__xludf.DUMMYFUNCTION("IF(A581="""","""",TEXTJOIN(CHAR(10),TRUE,FILTER('Tổng hợp 75 trang đích'!$B$2:$B$3400,'Tổng hợp 75 trang đích'!$I$2:$I$3400=A581)))"),"https://techcombank.com/thong-tin/blog/lai-suat-tiet-kiem
https://techcombank.com/thong-tin/blog/cach-tinh-lai-suat-tien-gui-tiet-kiem")</f>
        <v>https://techcombank.com/thong-tin/blog/lai-suat-tiet-kiem
https://techcombank.com/thong-tin/blog/cach-tinh-lai-suat-tien-gui-tiet-kiem</v>
      </c>
      <c r="D581" s="20"/>
      <c r="E581" s="20"/>
      <c r="F581" s="20"/>
      <c r="G581" s="20"/>
      <c r="H581" s="20"/>
      <c r="I581" s="20"/>
      <c r="J581" s="20"/>
      <c r="K581" s="20"/>
      <c r="L581" s="20"/>
      <c r="M581" s="20"/>
      <c r="N581" s="20"/>
      <c r="O581" s="20"/>
      <c r="P581" s="20"/>
      <c r="Q581" s="20"/>
      <c r="R581" s="20"/>
      <c r="S581" s="20"/>
      <c r="T581" s="20"/>
      <c r="U581" s="20"/>
      <c r="V581" s="20"/>
      <c r="W581" s="20"/>
      <c r="X581" s="20"/>
    </row>
    <row r="582">
      <c r="A582" s="37" t="str">
        <f>IFERROR(__xludf.DUMMYFUNCTION("""COMPUTED_VALUE"""),"https://techcombank.com/thong-tin/blog/ngan-hang-xanh")</f>
        <v>https://techcombank.com/thong-tin/blog/ngan-hang-xanh</v>
      </c>
      <c r="B582" s="28">
        <f>IFERROR(__xludf.DUMMYFUNCTION("""COMPUTED_VALUE"""),2.0)</f>
        <v>2</v>
      </c>
      <c r="C582" s="20" t="str">
        <f>IFERROR(__xludf.DUMMYFUNCTION("IF(A582="""","""",TEXTJOIN(CHAR(10),TRUE,FILTER('Tổng hợp 75 trang đích'!$B$2:$B$3400,'Tổng hợp 75 trang đích'!$I$2:$I$3400=A582)))"),"https://techcombank.com/thong-tin/blog/lai-suat-tiet-kiem
https://techcombank.com/thong-tin/blog/app-vay-tien-nhanh")</f>
        <v>https://techcombank.com/thong-tin/blog/lai-suat-tiet-kiem
https://techcombank.com/thong-tin/blog/app-vay-tien-nhanh</v>
      </c>
      <c r="D582" s="20"/>
      <c r="E582" s="20"/>
      <c r="F582" s="20"/>
      <c r="G582" s="20"/>
      <c r="H582" s="20"/>
      <c r="I582" s="20"/>
      <c r="J582" s="20"/>
      <c r="K582" s="20"/>
      <c r="L582" s="20"/>
      <c r="M582" s="20"/>
      <c r="N582" s="20"/>
      <c r="O582" s="20"/>
      <c r="P582" s="20"/>
      <c r="Q582" s="20"/>
      <c r="R582" s="20"/>
      <c r="S582" s="20"/>
      <c r="T582" s="20"/>
      <c r="U582" s="20"/>
      <c r="V582" s="20"/>
      <c r="W582" s="20"/>
      <c r="X582" s="20"/>
    </row>
    <row r="583">
      <c r="A583" s="37" t="str">
        <f>IFERROR(__xludf.DUMMYFUNCTION("""COMPUTED_VALUE"""),"https://techcombank.com/thong-tin/blog/nho-nguoi-than-mo-tai-khoan-ngan-hang")</f>
        <v>https://techcombank.com/thong-tin/blog/nho-nguoi-than-mo-tai-khoan-ngan-hang</v>
      </c>
      <c r="B583" s="28">
        <f>IFERROR(__xludf.DUMMYFUNCTION("""COMPUTED_VALUE"""),2.0)</f>
        <v>2</v>
      </c>
      <c r="C583" s="20" t="str">
        <f>IFERROR(__xludf.DUMMYFUNCTION("IF(A583="""","""",TEXTJOIN(CHAR(10),TRUE,FILTER('Tổng hợp 75 trang đích'!$B$2:$B$3400,'Tổng hợp 75 trang đích'!$I$2:$I$3400=A583)))"),"https://techcombank.com/thong-tin/blog/cach-mo-tai-khoan
https://techcombank.com/thong-tin/blog/bao-nhieu-tuoi-duoc-mo-tai-khoan-ngan-hang")</f>
        <v>https://techcombank.com/thong-tin/blog/cach-mo-tai-khoan
https://techcombank.com/thong-tin/blog/bao-nhieu-tuoi-duoc-mo-tai-khoan-ngan-hang</v>
      </c>
      <c r="D583" s="20"/>
      <c r="E583" s="20"/>
      <c r="F583" s="20"/>
      <c r="G583" s="20"/>
      <c r="H583" s="20"/>
      <c r="I583" s="20"/>
      <c r="J583" s="20"/>
      <c r="K583" s="20"/>
      <c r="L583" s="20"/>
      <c r="M583" s="20"/>
      <c r="N583" s="20"/>
      <c r="O583" s="20"/>
      <c r="P583" s="20"/>
      <c r="Q583" s="20"/>
      <c r="R583" s="20"/>
      <c r="S583" s="20"/>
      <c r="T583" s="20"/>
      <c r="U583" s="20"/>
      <c r="V583" s="20"/>
      <c r="W583" s="20"/>
      <c r="X583" s="20"/>
    </row>
    <row r="584">
      <c r="A584" s="37" t="str">
        <f>IFERROR(__xludf.DUMMYFUNCTION("""COMPUTED_VALUE"""),"https://techcombank.com/thong-tin/blog/phan-mem-quan-ly-tai-chinh-doanh-nghiep")</f>
        <v>https://techcombank.com/thong-tin/blog/phan-mem-quan-ly-tai-chinh-doanh-nghiep</v>
      </c>
      <c r="B584" s="28">
        <f>IFERROR(__xludf.DUMMYFUNCTION("""COMPUTED_VALUE"""),2.0)</f>
        <v>2</v>
      </c>
      <c r="C584" s="20" t="str">
        <f>IFERROR(__xludf.DUMMYFUNCTION("IF(A584="""","""",TEXTJOIN(CHAR(10),TRUE,FILTER('Tổng hợp 75 trang đích'!$B$2:$B$3400,'Tổng hợp 75 trang đích'!$I$2:$I$3400=A584)))"),"https://techcombank.com/thong-tin/blog/tien-thai-lan
https://techcombank.com/thong-tin/blog/cach-tiet-kiem-tien")</f>
        <v>https://techcombank.com/thong-tin/blog/tien-thai-lan
https://techcombank.com/thong-tin/blog/cach-tiet-kiem-tien</v>
      </c>
      <c r="D584" s="20"/>
      <c r="E584" s="20"/>
      <c r="F584" s="20"/>
      <c r="G584" s="20"/>
      <c r="H584" s="20"/>
      <c r="I584" s="20"/>
      <c r="J584" s="20"/>
      <c r="K584" s="20"/>
      <c r="L584" s="20"/>
      <c r="M584" s="20"/>
      <c r="N584" s="20"/>
      <c r="O584" s="20"/>
      <c r="P584" s="20"/>
      <c r="Q584" s="20"/>
      <c r="R584" s="20"/>
      <c r="S584" s="20"/>
      <c r="T584" s="20"/>
      <c r="U584" s="20"/>
      <c r="V584" s="20"/>
      <c r="W584" s="20"/>
      <c r="X584" s="20"/>
    </row>
    <row r="585">
      <c r="A585" s="37" t="str">
        <f>IFERROR(__xludf.DUMMYFUNCTION("""COMPUTED_VALUE"""),"https://techcombank.com/thong-tin/blog/phi-chuyen-doi-ngoai-te")</f>
        <v>https://techcombank.com/thong-tin/blog/phi-chuyen-doi-ngoai-te</v>
      </c>
      <c r="B585" s="28">
        <f>IFERROR(__xludf.DUMMYFUNCTION("""COMPUTED_VALUE"""),2.0)</f>
        <v>2</v>
      </c>
      <c r="C585" s="20" t="str">
        <f>IFERROR(__xludf.DUMMYFUNCTION("IF(A585="""","""",TEXTJOIN(CHAR(10),TRUE,FILTER('Tổng hợp 75 trang đích'!$B$2:$B$3400,'Tổng hợp 75 trang đích'!$I$2:$I$3400=A585)))"),"https://techcombank.com/thong-tin/blog/1-te-bang-bao-nhieu-tien-viet-nam
https://techcombank.com/thong-tin/blog/doi-tien-do-o-dau")</f>
        <v>https://techcombank.com/thong-tin/blog/1-te-bang-bao-nhieu-tien-viet-nam
https://techcombank.com/thong-tin/blog/doi-tien-do-o-dau</v>
      </c>
      <c r="D585" s="20"/>
      <c r="E585" s="20"/>
      <c r="F585" s="20"/>
      <c r="G585" s="20"/>
      <c r="H585" s="20"/>
      <c r="I585" s="20"/>
      <c r="J585" s="20"/>
      <c r="K585" s="20"/>
      <c r="L585" s="20"/>
      <c r="M585" s="20"/>
      <c r="N585" s="20"/>
      <c r="O585" s="20"/>
      <c r="P585" s="20"/>
      <c r="Q585" s="20"/>
      <c r="R585" s="20"/>
      <c r="S585" s="20"/>
      <c r="T585" s="20"/>
      <c r="U585" s="20"/>
      <c r="V585" s="20"/>
      <c r="W585" s="20"/>
      <c r="X585" s="20"/>
    </row>
    <row r="586">
      <c r="A586" s="37" t="str">
        <f>IFERROR(__xludf.DUMMYFUNCTION("""COMPUTED_VALUE"""),"https://techcombank.com/thong-tin/blog/quet-ma-qr-techcombank")</f>
        <v>https://techcombank.com/thong-tin/blog/quet-ma-qr-techcombank</v>
      </c>
      <c r="B586" s="28">
        <f>IFERROR(__xludf.DUMMYFUNCTION("""COMPUTED_VALUE"""),2.0)</f>
        <v>2</v>
      </c>
      <c r="C586" s="20" t="str">
        <f>IFERROR(__xludf.DUMMYFUNCTION("IF(A586="""","""",TEXTJOIN(CHAR(10),TRUE,FILTER('Tổng hợp 75 trang đích'!$B$2:$B$3400,'Tổng hợp 75 trang đích'!$I$2:$I$3400=A586)))"),"https://techcombank.com/thong-tin/blog/rut-tien-bang-ma-qr-la-gi-cach-thuc-hien-nhu-the-nao
https://techcombank.com/thong-tin/blog/gui-ma-qr-ngan-hang")</f>
        <v>https://techcombank.com/thong-tin/blog/rut-tien-bang-ma-qr-la-gi-cach-thuc-hien-nhu-the-nao
https://techcombank.com/thong-tin/blog/gui-ma-qr-ngan-hang</v>
      </c>
      <c r="D586" s="20"/>
      <c r="E586" s="20"/>
      <c r="F586" s="20"/>
      <c r="G586" s="20"/>
      <c r="H586" s="20"/>
      <c r="I586" s="20"/>
      <c r="J586" s="20"/>
      <c r="K586" s="20"/>
      <c r="L586" s="20"/>
      <c r="M586" s="20"/>
      <c r="N586" s="20"/>
      <c r="O586" s="20"/>
      <c r="P586" s="20"/>
      <c r="Q586" s="20"/>
      <c r="R586" s="20"/>
      <c r="S586" s="20"/>
      <c r="T586" s="20"/>
      <c r="U586" s="20"/>
      <c r="V586" s="20"/>
      <c r="W586" s="20"/>
      <c r="X586" s="20"/>
    </row>
    <row r="587">
      <c r="A587" s="37" t="str">
        <f>IFERROR(__xludf.DUMMYFUNCTION("""COMPUTED_VALUE"""),"https://techcombank.com/thong-tin/blog/rut-tien-bao-hiem-nhan-tho-khi-het-han")</f>
        <v>https://techcombank.com/thong-tin/blog/rut-tien-bao-hiem-nhan-tho-khi-het-han</v>
      </c>
      <c r="B587" s="28">
        <f>IFERROR(__xludf.DUMMYFUNCTION("""COMPUTED_VALUE"""),2.0)</f>
        <v>2</v>
      </c>
      <c r="C587" s="20" t="str">
        <f>IFERROR(__xludf.DUMMYFUNCTION("IF(A587="""","""",TEXTJOIN(CHAR(10),TRUE,FILTER('Tổng hợp 75 trang đích'!$B$2:$B$3400,'Tổng hợp 75 trang đích'!$I$2:$I$3400=A587)))"),"https://techcombank.com/thong-tin/blog/lai-suat-tiet-kiem
https://techcombank.com/thong-tin/blog/rut-tien-tiet-kiem-truoc-thoi-han")</f>
        <v>https://techcombank.com/thong-tin/blog/lai-suat-tiet-kiem
https://techcombank.com/thong-tin/blog/rut-tien-tiet-kiem-truoc-thoi-han</v>
      </c>
      <c r="D587" s="20"/>
      <c r="E587" s="20"/>
      <c r="F587" s="20"/>
      <c r="G587" s="20"/>
      <c r="H587" s="20"/>
      <c r="I587" s="20"/>
      <c r="J587" s="20"/>
      <c r="K587" s="20"/>
      <c r="L587" s="20"/>
      <c r="M587" s="20"/>
      <c r="N587" s="20"/>
      <c r="O587" s="20"/>
      <c r="P587" s="20"/>
      <c r="Q587" s="20"/>
      <c r="R587" s="20"/>
      <c r="S587" s="20"/>
      <c r="T587" s="20"/>
      <c r="U587" s="20"/>
      <c r="V587" s="20"/>
      <c r="W587" s="20"/>
      <c r="X587" s="20"/>
    </row>
    <row r="588">
      <c r="A588" s="37" t="str">
        <f>IFERROR(__xludf.DUMMYFUNCTION("""COMPUTED_VALUE"""),"https://techcombank.com/thong-tin/blog/shang-chi")</f>
        <v>https://techcombank.com/thong-tin/blog/shang-chi</v>
      </c>
      <c r="B588" s="28">
        <f>IFERROR(__xludf.DUMMYFUNCTION("""COMPUTED_VALUE"""),2.0)</f>
        <v>2</v>
      </c>
      <c r="C588" s="20" t="str">
        <f>IFERROR(__xludf.DUMMYFUNCTION("IF(A588="""","""",TEXTJOIN(CHAR(10),TRUE,FILTER('Tổng hợp 75 trang đích'!$B$2:$B$3400,'Tổng hợp 75 trang đích'!$I$2:$I$3400=A588)))"),"https://techcombank.com/thong-tin/blog/tien-dai-loan
https://techcombank.com/thong-tin/blog/traveloka-voucher")</f>
        <v>https://techcombank.com/thong-tin/blog/tien-dai-loan
https://techcombank.com/thong-tin/blog/traveloka-voucher</v>
      </c>
      <c r="D588" s="20"/>
      <c r="E588" s="20"/>
      <c r="F588" s="20"/>
      <c r="G588" s="20"/>
      <c r="H588" s="20"/>
      <c r="I588" s="20"/>
      <c r="J588" s="20"/>
      <c r="K588" s="20"/>
      <c r="L588" s="20"/>
      <c r="M588" s="20"/>
      <c r="N588" s="20"/>
      <c r="O588" s="20"/>
      <c r="P588" s="20"/>
      <c r="Q588" s="20"/>
      <c r="R588" s="20"/>
      <c r="S588" s="20"/>
      <c r="T588" s="20"/>
      <c r="U588" s="20"/>
      <c r="V588" s="20"/>
      <c r="W588" s="20"/>
      <c r="X588" s="20"/>
    </row>
    <row r="589">
      <c r="A589" s="37" t="str">
        <f>IFERROR(__xludf.DUMMYFUNCTION("""COMPUTED_VALUE"""),"https://techcombank.com/thong-tin/blog/smart-otp-la-gi")</f>
        <v>https://techcombank.com/thong-tin/blog/smart-otp-la-gi</v>
      </c>
      <c r="B589" s="28">
        <f>IFERROR(__xludf.DUMMYFUNCTION("""COMPUTED_VALUE"""),2.0)</f>
        <v>2</v>
      </c>
      <c r="C589" s="20" t="str">
        <f>IFERROR(__xludf.DUMMYFUNCTION("IF(A589="""","""",TEXTJOIN(CHAR(10),TRUE,FILTER('Tổng hợp 75 trang đích'!$B$2:$B$3400,'Tổng hợp 75 trang đích'!$I$2:$I$3400=A589)))"),"https://techcombank.com/thong-tin/blog/ten-dang-nhap-tai-khoan-ngan-hang-la-gi
https://techcombank.com/thong-tin/blog/rui-ro-khi-gui-tiet-kiem-online")</f>
        <v>https://techcombank.com/thong-tin/blog/ten-dang-nhap-tai-khoan-ngan-hang-la-gi
https://techcombank.com/thong-tin/blog/rui-ro-khi-gui-tiet-kiem-online</v>
      </c>
      <c r="D589" s="20"/>
      <c r="E589" s="20"/>
      <c r="F589" s="20"/>
      <c r="G589" s="20"/>
      <c r="H589" s="20"/>
      <c r="I589" s="20"/>
      <c r="J589" s="20"/>
      <c r="K589" s="20"/>
      <c r="L589" s="20"/>
      <c r="M589" s="20"/>
      <c r="N589" s="20"/>
      <c r="O589" s="20"/>
      <c r="P589" s="20"/>
      <c r="Q589" s="20"/>
      <c r="R589" s="20"/>
      <c r="S589" s="20"/>
      <c r="T589" s="20"/>
      <c r="U589" s="20"/>
      <c r="V589" s="20"/>
      <c r="W589" s="20"/>
      <c r="X589" s="20"/>
    </row>
    <row r="590">
      <c r="A590" s="37" t="str">
        <f>IFERROR(__xludf.DUMMYFUNCTION("""COMPUTED_VALUE"""),"https://techcombank.com/thong-tin/blog/sms-banking")</f>
        <v>https://techcombank.com/thong-tin/blog/sms-banking</v>
      </c>
      <c r="B590" s="28">
        <f>IFERROR(__xludf.DUMMYFUNCTION("""COMPUTED_VALUE"""),2.0)</f>
        <v>2</v>
      </c>
      <c r="C590" s="20" t="str">
        <f>IFERROR(__xludf.DUMMYFUNCTION("IF(A590="""","""",TEXTJOIN(CHAR(10),TRUE,FILTER('Tổng hợp 75 trang đích'!$B$2:$B$3400,'Tổng hợp 75 trang đích'!$I$2:$I$3400=A590)))"),"https://techcombank.com/thong-tin/blog/cach-kiem-tra-tai-khoan-ngan-hang
https://techcombank.com/thong-tin/blog/cic-la-gi")</f>
        <v>https://techcombank.com/thong-tin/blog/cach-kiem-tra-tai-khoan-ngan-hang
https://techcombank.com/thong-tin/blog/cic-la-gi</v>
      </c>
      <c r="D590" s="20"/>
      <c r="E590" s="20"/>
      <c r="F590" s="20"/>
      <c r="G590" s="20"/>
      <c r="H590" s="20"/>
      <c r="I590" s="20"/>
      <c r="J590" s="20"/>
      <c r="K590" s="20"/>
      <c r="L590" s="20"/>
      <c r="M590" s="20"/>
      <c r="N590" s="20"/>
      <c r="O590" s="20"/>
      <c r="P590" s="20"/>
      <c r="Q590" s="20"/>
      <c r="R590" s="20"/>
      <c r="S590" s="20"/>
      <c r="T590" s="20"/>
      <c r="U590" s="20"/>
      <c r="V590" s="20"/>
      <c r="W590" s="20"/>
      <c r="X590" s="20"/>
    </row>
    <row r="591">
      <c r="A591" s="37" t="str">
        <f>IFERROR(__xludf.DUMMYFUNCTION("""COMPUTED_VALUE"""),"https://techcombank.com/thong-tin/blog/so-6868")</f>
        <v>https://techcombank.com/thong-tin/blog/so-6868</v>
      </c>
      <c r="B591" s="28">
        <f>IFERROR(__xludf.DUMMYFUNCTION("""COMPUTED_VALUE"""),2.0)</f>
        <v>2</v>
      </c>
      <c r="C591" s="20" t="str">
        <f>IFERROR(__xludf.DUMMYFUNCTION("IF(A591="""","""",TEXTJOIN(CHAR(10),TRUE,FILTER('Tổng hợp 75 trang đích'!$B$2:$B$3400,'Tổng hợp 75 trang đích'!$I$2:$I$3400=A591)))"),"https://techcombank.com/thong-tin/blog/cach-kiem-tra-tai-khoan-ngan-hang
https://techcombank.com/thong-tin/blog/day-so-phat-tai-phat-loc")</f>
        <v>https://techcombank.com/thong-tin/blog/cach-kiem-tra-tai-khoan-ngan-hang
https://techcombank.com/thong-tin/blog/day-so-phat-tai-phat-loc</v>
      </c>
      <c r="D591" s="20"/>
      <c r="E591" s="20"/>
      <c r="F591" s="20"/>
      <c r="G591" s="20"/>
      <c r="H591" s="20"/>
      <c r="I591" s="20"/>
      <c r="J591" s="20"/>
      <c r="K591" s="20"/>
      <c r="L591" s="20"/>
      <c r="M591" s="20"/>
      <c r="N591" s="20"/>
      <c r="O591" s="20"/>
      <c r="P591" s="20"/>
      <c r="Q591" s="20"/>
      <c r="R591" s="20"/>
      <c r="S591" s="20"/>
      <c r="T591" s="20"/>
      <c r="U591" s="20"/>
      <c r="V591" s="20"/>
      <c r="W591" s="20"/>
      <c r="X591" s="20"/>
    </row>
    <row r="592">
      <c r="A592" s="37" t="str">
        <f>IFERROR(__xludf.DUMMYFUNCTION("""COMPUTED_VALUE"""),"https://techcombank.com/thong-tin/blog/so-8386")</f>
        <v>https://techcombank.com/thong-tin/blog/so-8386</v>
      </c>
      <c r="B592" s="28">
        <f>IFERROR(__xludf.DUMMYFUNCTION("""COMPUTED_VALUE"""),2.0)</f>
        <v>2</v>
      </c>
      <c r="C592" s="20" t="str">
        <f>IFERROR(__xludf.DUMMYFUNCTION("IF(A592="""","""",TEXTJOIN(CHAR(10),TRUE,FILTER('Tổng hợp 75 trang đích'!$B$2:$B$3400,'Tổng hợp 75 trang đích'!$I$2:$I$3400=A592)))"),"https://techcombank.com/thong-tin/blog/cach-kiem-tra-tai-khoan-ngan-hang
https://techcombank.com/thong-tin/blog/day-so-phat-tai-phat-loc")</f>
        <v>https://techcombank.com/thong-tin/blog/cach-kiem-tra-tai-khoan-ngan-hang
https://techcombank.com/thong-tin/blog/day-so-phat-tai-phat-loc</v>
      </c>
      <c r="D592" s="20"/>
      <c r="E592" s="20"/>
      <c r="F592" s="20"/>
      <c r="G592" s="20"/>
      <c r="H592" s="20"/>
      <c r="I592" s="20"/>
      <c r="J592" s="20"/>
      <c r="K592" s="20"/>
      <c r="L592" s="20"/>
      <c r="M592" s="20"/>
      <c r="N592" s="20"/>
      <c r="O592" s="20"/>
      <c r="P592" s="20"/>
      <c r="Q592" s="20"/>
      <c r="R592" s="20"/>
      <c r="S592" s="20"/>
      <c r="T592" s="20"/>
      <c r="U592" s="20"/>
      <c r="V592" s="20"/>
      <c r="W592" s="20"/>
      <c r="X592" s="20"/>
    </row>
    <row r="593">
      <c r="A593" s="37" t="str">
        <f>IFERROR(__xludf.DUMMYFUNCTION("""COMPUTED_VALUE"""),"https://techcombank.com/thong-tin/blog/tai-khoan-ngan-hang-duoi-50k-co-bi-khoa-khong")</f>
        <v>https://techcombank.com/thong-tin/blog/tai-khoan-ngan-hang-duoi-50k-co-bi-khoa-khong</v>
      </c>
      <c r="B593" s="28">
        <f>IFERROR(__xludf.DUMMYFUNCTION("""COMPUTED_VALUE"""),2.0)</f>
        <v>2</v>
      </c>
      <c r="C593" s="20" t="str">
        <f>IFERROR(__xludf.DUMMYFUNCTION("IF(A593="""","""",TEXTJOIN(CHAR(10),TRUE,FILTER('Tổng hợp 75 trang đích'!$B$2:$B$3400,'Tổng hợp 75 trang đích'!$I$2:$I$3400=A593)))"),"https://techcombank.com/thong-tin/blog/cic-la-gi
https://techcombank.com/thong-tin/blog/cach-tinh-lai-suat-tien-gui-tiet-kiem")</f>
        <v>https://techcombank.com/thong-tin/blog/cic-la-gi
https://techcombank.com/thong-tin/blog/cach-tinh-lai-suat-tien-gui-tiet-kiem</v>
      </c>
      <c r="D593" s="20"/>
      <c r="E593" s="20"/>
      <c r="F593" s="20"/>
      <c r="G593" s="20"/>
      <c r="H593" s="20"/>
      <c r="I593" s="20"/>
      <c r="J593" s="20"/>
      <c r="K593" s="20"/>
      <c r="L593" s="20"/>
      <c r="M593" s="20"/>
      <c r="N593" s="20"/>
      <c r="O593" s="20"/>
      <c r="P593" s="20"/>
      <c r="Q593" s="20"/>
      <c r="R593" s="20"/>
      <c r="S593" s="20"/>
      <c r="T593" s="20"/>
      <c r="U593" s="20"/>
      <c r="V593" s="20"/>
      <c r="W593" s="20"/>
      <c r="X593" s="20"/>
    </row>
    <row r="594">
      <c r="A594" s="37" t="str">
        <f>IFERROR(__xludf.DUMMYFUNCTION("""COMPUTED_VALUE"""),"https://techcombank.com/thong-tin/blog/tai-khoan-tiet-kiem")</f>
        <v>https://techcombank.com/thong-tin/blog/tai-khoan-tiet-kiem</v>
      </c>
      <c r="B594" s="28">
        <f>IFERROR(__xludf.DUMMYFUNCTION("""COMPUTED_VALUE"""),2.0)</f>
        <v>2</v>
      </c>
      <c r="C594" s="20" t="str">
        <f>IFERROR(__xludf.DUMMYFUNCTION("IF(A594="""","""",TEXTJOIN(CHAR(10),TRUE,FILTER('Tổng hợp 75 trang đích'!$B$2:$B$3400,'Tổng hợp 75 trang đích'!$I$2:$I$3400=A594)))"),"https://techcombank.com/thong-tin/blog/lai-suat-tiet-kiem
https://techcombank.com/thong-tin/blog/cach-tinh-lai-suat-tien-gui-tiet-kiem")</f>
        <v>https://techcombank.com/thong-tin/blog/lai-suat-tiet-kiem
https://techcombank.com/thong-tin/blog/cach-tinh-lai-suat-tien-gui-tiet-kiem</v>
      </c>
      <c r="D594" s="20"/>
      <c r="E594" s="20"/>
      <c r="F594" s="20"/>
      <c r="G594" s="20"/>
      <c r="H594" s="20"/>
      <c r="I594" s="20"/>
      <c r="J594" s="20"/>
      <c r="K594" s="20"/>
      <c r="L594" s="20"/>
      <c r="M594" s="20"/>
      <c r="N594" s="20"/>
      <c r="O594" s="20"/>
      <c r="P594" s="20"/>
      <c r="Q594" s="20"/>
      <c r="R594" s="20"/>
      <c r="S594" s="20"/>
      <c r="T594" s="20"/>
      <c r="U594" s="20"/>
      <c r="V594" s="20"/>
      <c r="W594" s="20"/>
      <c r="X594" s="20"/>
    </row>
    <row r="595">
      <c r="A595" s="37" t="str">
        <f>IFERROR(__xludf.DUMMYFUNCTION("""COMPUTED_VALUE"""),"https://techcombank.com/thong-tin/blog/tai-san-va-tieu-san-la-gi")</f>
        <v>https://techcombank.com/thong-tin/blog/tai-san-va-tieu-san-la-gi</v>
      </c>
      <c r="B595" s="28">
        <f>IFERROR(__xludf.DUMMYFUNCTION("""COMPUTED_VALUE"""),2.0)</f>
        <v>2</v>
      </c>
      <c r="C595" s="20" t="str">
        <f>IFERROR(__xludf.DUMMYFUNCTION("IF(A595="""","""",TEXTJOIN(CHAR(10),TRUE,FILTER('Tổng hợp 75 trang đích'!$B$2:$B$3400,'Tổng hợp 75 trang đích'!$I$2:$I$3400=A595)))"),"https://techcombank.com/thong-tin/blog/lai-suat-tiet-kiem
https://techcombank.com/thong-tin/blog/cach-tiet-kiem-tien")</f>
        <v>https://techcombank.com/thong-tin/blog/lai-suat-tiet-kiem
https://techcombank.com/thong-tin/blog/cach-tiet-kiem-tien</v>
      </c>
      <c r="D595" s="20"/>
      <c r="E595" s="20"/>
      <c r="F595" s="20"/>
      <c r="G595" s="20"/>
      <c r="H595" s="20"/>
      <c r="I595" s="20"/>
      <c r="J595" s="20"/>
      <c r="K595" s="20"/>
      <c r="L595" s="20"/>
      <c r="M595" s="20"/>
      <c r="N595" s="20"/>
      <c r="O595" s="20"/>
      <c r="P595" s="20"/>
      <c r="Q595" s="20"/>
      <c r="R595" s="20"/>
      <c r="S595" s="20"/>
      <c r="T595" s="20"/>
      <c r="U595" s="20"/>
      <c r="V595" s="20"/>
      <c r="W595" s="20"/>
      <c r="X595" s="20"/>
    </row>
    <row r="596">
      <c r="A596" s="37" t="str">
        <f>IFERROR(__xludf.DUMMYFUNCTION("""COMPUTED_VALUE"""),"https://techcombank.com/thong-tin/blog/techcombank-va-cong-cuoc-chuyen-doi-so-nganh-ngan-hang")</f>
        <v>https://techcombank.com/thong-tin/blog/techcombank-va-cong-cuoc-chuyen-doi-so-nganh-ngan-hang</v>
      </c>
      <c r="B596" s="28">
        <f>IFERROR(__xludf.DUMMYFUNCTION("""COMPUTED_VALUE"""),2.0)</f>
        <v>2</v>
      </c>
      <c r="C596" s="20" t="str">
        <f>IFERROR(__xludf.DUMMYFUNCTION("IF(A596="""","""",TEXTJOIN(CHAR(10),TRUE,FILTER('Tổng hợp 75 trang đích'!$B$2:$B$3400,'Tổng hợp 75 trang đích'!$I$2:$I$3400=A596)))"),"https://techcombank.com/thong-tin/blog/cach-tinh-tien-dien-sinh-hoat
https://techcombank.com/thong-tin/blog/tien-thai-lan")</f>
        <v>https://techcombank.com/thong-tin/blog/cach-tinh-tien-dien-sinh-hoat
https://techcombank.com/thong-tin/blog/tien-thai-lan</v>
      </c>
      <c r="D596" s="20"/>
      <c r="E596" s="20"/>
      <c r="F596" s="20"/>
      <c r="G596" s="20"/>
      <c r="H596" s="20"/>
      <c r="I596" s="20"/>
      <c r="J596" s="20"/>
      <c r="K596" s="20"/>
      <c r="L596" s="20"/>
      <c r="M596" s="20"/>
      <c r="N596" s="20"/>
      <c r="O596" s="20"/>
      <c r="P596" s="20"/>
      <c r="Q596" s="20"/>
      <c r="R596" s="20"/>
      <c r="S596" s="20"/>
      <c r="T596" s="20"/>
      <c r="U596" s="20"/>
      <c r="V596" s="20"/>
      <c r="W596" s="20"/>
      <c r="X596" s="20"/>
    </row>
    <row r="597">
      <c r="A597" s="37" t="str">
        <f>IFERROR(__xludf.DUMMYFUNCTION("""COMPUTED_VALUE"""),"https://techcombank.com/thong-tin/blog/thanh-toan-cuoc-truyen-hinh")</f>
        <v>https://techcombank.com/thong-tin/blog/thanh-toan-cuoc-truyen-hinh</v>
      </c>
      <c r="B597" s="28">
        <f>IFERROR(__xludf.DUMMYFUNCTION("""COMPUTED_VALUE"""),2.0)</f>
        <v>2</v>
      </c>
      <c r="C597" s="20" t="str">
        <f>IFERROR(__xludf.DUMMYFUNCTION("IF(A597="""","""",TEXTJOIN(CHAR(10),TRUE,FILTER('Tổng hợp 75 trang đích'!$B$2:$B$3400,'Tổng hợp 75 trang đích'!$I$2:$I$3400=A597)))"),"https://techcombank.com/thong-tin/blog/cach-nap-the-viettel
https://techcombank.com/thong-tin/blog/cic-la-gi")</f>
        <v>https://techcombank.com/thong-tin/blog/cach-nap-the-viettel
https://techcombank.com/thong-tin/blog/cic-la-gi</v>
      </c>
      <c r="D597" s="20"/>
      <c r="E597" s="20"/>
      <c r="F597" s="20"/>
      <c r="G597" s="20"/>
      <c r="H597" s="20"/>
      <c r="I597" s="20"/>
      <c r="J597" s="20"/>
      <c r="K597" s="20"/>
      <c r="L597" s="20"/>
      <c r="M597" s="20"/>
      <c r="N597" s="20"/>
      <c r="O597" s="20"/>
      <c r="P597" s="20"/>
      <c r="Q597" s="20"/>
      <c r="R597" s="20"/>
      <c r="S597" s="20"/>
      <c r="T597" s="20"/>
      <c r="U597" s="20"/>
      <c r="V597" s="20"/>
      <c r="W597" s="20"/>
      <c r="X597" s="20"/>
    </row>
    <row r="598">
      <c r="A598" s="37" t="str">
        <f>IFERROR(__xludf.DUMMYFUNCTION("""COMPUTED_VALUE"""),"https://techcombank.com/thong-tin/blog/thanh-toan-hoa-don-tieu-dung")</f>
        <v>https://techcombank.com/thong-tin/blog/thanh-toan-hoa-don-tieu-dung</v>
      </c>
      <c r="B598" s="28">
        <f>IFERROR(__xludf.DUMMYFUNCTION("""COMPUTED_VALUE"""),2.0)</f>
        <v>2</v>
      </c>
      <c r="C598" s="20" t="str">
        <f>IFERROR(__xludf.DUMMYFUNCTION("IF(A598="""","""",TEXTJOIN(CHAR(10),TRUE,FILTER('Tổng hợp 75 trang đích'!$B$2:$B$3400,'Tổng hợp 75 trang đích'!$I$2:$I$3400=A598)))"),"https://techcombank.com/thong-tin/blog/ten-dang-nhap-tai-khoan-ngan-hang-la-gi
https://techcombank.com/thong-tin/blog/cach-tinh-lai-suat-tien-gui-tiet-kiem")</f>
        <v>https://techcombank.com/thong-tin/blog/ten-dang-nhap-tai-khoan-ngan-hang-la-gi
https://techcombank.com/thong-tin/blog/cach-tinh-lai-suat-tien-gui-tiet-kiem</v>
      </c>
      <c r="D598" s="20"/>
      <c r="E598" s="20"/>
      <c r="F598" s="20"/>
      <c r="G598" s="20"/>
      <c r="H598" s="20"/>
      <c r="I598" s="20"/>
      <c r="J598" s="20"/>
      <c r="K598" s="20"/>
      <c r="L598" s="20"/>
      <c r="M598" s="20"/>
      <c r="N598" s="20"/>
      <c r="O598" s="20"/>
      <c r="P598" s="20"/>
      <c r="Q598" s="20"/>
      <c r="R598" s="20"/>
      <c r="S598" s="20"/>
      <c r="T598" s="20"/>
      <c r="U598" s="20"/>
      <c r="V598" s="20"/>
      <c r="W598" s="20"/>
      <c r="X598" s="20"/>
    </row>
    <row r="599">
      <c r="A599" s="37" t="str">
        <f>IFERROR(__xludf.DUMMYFUNCTION("""COMPUTED_VALUE"""),"https://techcombank.com/thong-tin/blog/thanh-toan-hoc-phi-online")</f>
        <v>https://techcombank.com/thong-tin/blog/thanh-toan-hoc-phi-online</v>
      </c>
      <c r="B599" s="28">
        <f>IFERROR(__xludf.DUMMYFUNCTION("""COMPUTED_VALUE"""),2.0)</f>
        <v>2</v>
      </c>
      <c r="C599" s="20" t="str">
        <f>IFERROR(__xludf.DUMMYFUNCTION("IF(A599="""","""",TEXTJOIN(CHAR(10),TRUE,FILTER('Tổng hợp 75 trang đích'!$B$2:$B$3400,'Tổng hợp 75 trang đích'!$I$2:$I$3400=A599)))"),"https://techcombank.com/thong-tin/blog/bao-nhieu-tuoi-duoc-mo-tai-khoan-ngan-hang
https://techcombank.com/thong-tin/blog/mo-tai-khoan-ngan-hang-duoi-18-tuoi")</f>
        <v>https://techcombank.com/thong-tin/blog/bao-nhieu-tuoi-duoc-mo-tai-khoan-ngan-hang
https://techcombank.com/thong-tin/blog/mo-tai-khoan-ngan-hang-duoi-18-tuoi</v>
      </c>
      <c r="D599" s="20"/>
      <c r="E599" s="20"/>
      <c r="F599" s="20"/>
      <c r="G599" s="20"/>
      <c r="H599" s="20"/>
      <c r="I599" s="20"/>
      <c r="J599" s="20"/>
      <c r="K599" s="20"/>
      <c r="L599" s="20"/>
      <c r="M599" s="20"/>
      <c r="N599" s="20"/>
      <c r="O599" s="20"/>
      <c r="P599" s="20"/>
      <c r="Q599" s="20"/>
      <c r="R599" s="20"/>
      <c r="S599" s="20"/>
      <c r="T599" s="20"/>
      <c r="U599" s="20"/>
      <c r="V599" s="20"/>
      <c r="W599" s="20"/>
      <c r="X599" s="20"/>
    </row>
    <row r="600">
      <c r="A600" s="37" t="str">
        <f>IFERROR(__xludf.DUMMYFUNCTION("""COMPUTED_VALUE"""),"https://techcombank.com/thong-tin/blog/thanh-toan-khi-du-lich-nhat-ban")</f>
        <v>https://techcombank.com/thong-tin/blog/thanh-toan-khi-du-lich-nhat-ban</v>
      </c>
      <c r="B600" s="28">
        <f>IFERROR(__xludf.DUMMYFUNCTION("""COMPUTED_VALUE"""),2.0)</f>
        <v>2</v>
      </c>
      <c r="C600" s="20" t="str">
        <f>IFERROR(__xludf.DUMMYFUNCTION("IF(A600="""","""",TEXTJOIN(CHAR(10),TRUE,FILTER('Tổng hợp 75 trang đích'!$B$2:$B$3400,'Tổng hợp 75 trang đích'!$I$2:$I$3400=A600)))"),"https://techcombank.com/thong-tin/blog/tien-nhat
https://techcombank.com/thong-tin/blog/1-yen-bang-bao-nhieu-tien-viet-nam")</f>
        <v>https://techcombank.com/thong-tin/blog/tien-nhat
https://techcombank.com/thong-tin/blog/1-yen-bang-bao-nhieu-tien-viet-nam</v>
      </c>
      <c r="D600" s="20"/>
      <c r="E600" s="20"/>
      <c r="F600" s="20"/>
      <c r="G600" s="20"/>
      <c r="H600" s="20"/>
      <c r="I600" s="20"/>
      <c r="J600" s="20"/>
      <c r="K600" s="20"/>
      <c r="L600" s="20"/>
      <c r="M600" s="20"/>
      <c r="N600" s="20"/>
      <c r="O600" s="20"/>
      <c r="P600" s="20"/>
      <c r="Q600" s="20"/>
      <c r="R600" s="20"/>
      <c r="S600" s="20"/>
      <c r="T600" s="20"/>
      <c r="U600" s="20"/>
      <c r="V600" s="20"/>
      <c r="W600" s="20"/>
      <c r="X600" s="20"/>
    </row>
    <row r="601">
      <c r="A601" s="37" t="str">
        <f>IFERROR(__xludf.DUMMYFUNCTION("""COMPUTED_VALUE"""),"https://techcombank.com/thong-tin/blog/thanh-toan-khi-du-lich-singapore")</f>
        <v>https://techcombank.com/thong-tin/blog/thanh-toan-khi-du-lich-singapore</v>
      </c>
      <c r="B601" s="28">
        <f>IFERROR(__xludf.DUMMYFUNCTION("""COMPUTED_VALUE"""),2.0)</f>
        <v>2</v>
      </c>
      <c r="C601" s="20" t="str">
        <f>IFERROR(__xludf.DUMMYFUNCTION("IF(A601="""","""",TEXTJOIN(CHAR(10),TRUE,FILTER('Tổng hợp 75 trang đích'!$B$2:$B$3400,'Tổng hợp 75 trang đích'!$I$2:$I$3400=A601)))"),"https://techcombank.com/thong-tin/blog/cic-la-gi
https://techcombank.com/thong-tin/blog/lai-suat-tiet-kiem")</f>
        <v>https://techcombank.com/thong-tin/blog/cic-la-gi
https://techcombank.com/thong-tin/blog/lai-suat-tiet-kiem</v>
      </c>
      <c r="D601" s="20"/>
      <c r="E601" s="20"/>
      <c r="F601" s="20"/>
      <c r="G601" s="20"/>
      <c r="H601" s="20"/>
      <c r="I601" s="20"/>
      <c r="J601" s="20"/>
      <c r="K601" s="20"/>
      <c r="L601" s="20"/>
      <c r="M601" s="20"/>
      <c r="N601" s="20"/>
      <c r="O601" s="20"/>
      <c r="P601" s="20"/>
      <c r="Q601" s="20"/>
      <c r="R601" s="20"/>
      <c r="S601" s="20"/>
      <c r="T601" s="20"/>
      <c r="U601" s="20"/>
      <c r="V601" s="20"/>
      <c r="W601" s="20"/>
      <c r="X601" s="20"/>
    </row>
    <row r="602">
      <c r="A602" s="37" t="str">
        <f>IFERROR(__xludf.DUMMYFUNCTION("""COMPUTED_VALUE"""),"https://techcombank.com/thong-tin/blog/thanh-toan-ma-qr-tro-thanh-phuong-thuc-duoc-ua-chuong-va-trien-khai-manh-me")</f>
        <v>https://techcombank.com/thong-tin/blog/thanh-toan-ma-qr-tro-thanh-phuong-thuc-duoc-ua-chuong-va-trien-khai-manh-me</v>
      </c>
      <c r="B602" s="28">
        <f>IFERROR(__xludf.DUMMYFUNCTION("""COMPUTED_VALUE"""),2.0)</f>
        <v>2</v>
      </c>
      <c r="C602" s="20" t="str">
        <f>IFERROR(__xludf.DUMMYFUNCTION("IF(A602="""","""",TEXTJOIN(CHAR(10),TRUE,FILTER('Tổng hợp 75 trang đích'!$B$2:$B$3400,'Tổng hợp 75 trang đích'!$I$2:$I$3400=A602)))"),"https://techcombank.com/thong-tin/blog/rut-tien-bang-ma-qr-la-gi-cach-thuc-hien-nhu-the-nao
https://techcombank.com/thong-tin/blog/gui-ma-qr-ngan-hang")</f>
        <v>https://techcombank.com/thong-tin/blog/rut-tien-bang-ma-qr-la-gi-cach-thuc-hien-nhu-the-nao
https://techcombank.com/thong-tin/blog/gui-ma-qr-ngan-hang</v>
      </c>
      <c r="D602" s="20"/>
      <c r="E602" s="20"/>
      <c r="F602" s="20"/>
      <c r="G602" s="20"/>
      <c r="H602" s="20"/>
      <c r="I602" s="20"/>
      <c r="J602" s="20"/>
      <c r="K602" s="20"/>
      <c r="L602" s="20"/>
      <c r="M602" s="20"/>
      <c r="N602" s="20"/>
      <c r="O602" s="20"/>
      <c r="P602" s="20"/>
      <c r="Q602" s="20"/>
      <c r="R602" s="20"/>
      <c r="S602" s="20"/>
      <c r="T602" s="20"/>
      <c r="U602" s="20"/>
      <c r="V602" s="20"/>
      <c r="W602" s="20"/>
      <c r="X602" s="20"/>
    </row>
    <row r="603">
      <c r="A603" s="37" t="str">
        <f>IFERROR(__xludf.DUMMYFUNCTION("""COMPUTED_VALUE"""),"https://techcombank.com/thong-tin/blog/thanh-toan-online-bang-the-tin-dung")</f>
        <v>https://techcombank.com/thong-tin/blog/thanh-toan-online-bang-the-tin-dung</v>
      </c>
      <c r="B603" s="28">
        <f>IFERROR(__xludf.DUMMYFUNCTION("""COMPUTED_VALUE"""),2.0)</f>
        <v>2</v>
      </c>
      <c r="C603" s="20" t="str">
        <f>IFERROR(__xludf.DUMMYFUNCTION("IF(A603="""","""",TEXTJOIN(CHAR(10),TRUE,FILTER('Tổng hợp 75 trang đích'!$B$2:$B$3400,'Tổng hợp 75 trang đích'!$I$2:$I$3400=A603)))"),"https://techcombank.com/thong-tin/blog/cic-la-gi
https://techcombank.com/thong-tin/blog/cach-huy-the-tin-dung")</f>
        <v>https://techcombank.com/thong-tin/blog/cic-la-gi
https://techcombank.com/thong-tin/blog/cach-huy-the-tin-dung</v>
      </c>
      <c r="D603" s="20"/>
      <c r="E603" s="20"/>
      <c r="F603" s="20"/>
      <c r="G603" s="20"/>
      <c r="H603" s="20"/>
      <c r="I603" s="20"/>
      <c r="J603" s="20"/>
      <c r="K603" s="20"/>
      <c r="L603" s="20"/>
      <c r="M603" s="20"/>
      <c r="N603" s="20"/>
      <c r="O603" s="20"/>
      <c r="P603" s="20"/>
      <c r="Q603" s="20"/>
      <c r="R603" s="20"/>
      <c r="S603" s="20"/>
      <c r="T603" s="20"/>
      <c r="U603" s="20"/>
      <c r="V603" s="20"/>
      <c r="W603" s="20"/>
      <c r="X603" s="20"/>
    </row>
    <row r="604">
      <c r="A604" s="37" t="str">
        <f>IFERROR(__xludf.DUMMYFUNCTION("""COMPUTED_VALUE"""),"https://techcombank.com/thong-tin/blog/thanh-toan-quoc-te")</f>
        <v>https://techcombank.com/thong-tin/blog/thanh-toan-quoc-te</v>
      </c>
      <c r="B604" s="28">
        <f>IFERROR(__xludf.DUMMYFUNCTION("""COMPUTED_VALUE"""),2.0)</f>
        <v>2</v>
      </c>
      <c r="C604" s="20" t="str">
        <f>IFERROR(__xludf.DUMMYFUNCTION("IF(A604="""","""",TEXTJOIN(CHAR(10),TRUE,FILTER('Tổng hợp 75 trang đích'!$B$2:$B$3400,'Tổng hợp 75 trang đích'!$I$2:$I$3400=A604)))"),"https://techcombank.com/thong-tin/blog/cic-la-gi
https://techcombank.com/thong-tin/blog/cach-nhan-tien-tu-nuoc-ngoai-ve-viet-nam")</f>
        <v>https://techcombank.com/thong-tin/blog/cic-la-gi
https://techcombank.com/thong-tin/blog/cach-nhan-tien-tu-nuoc-ngoai-ve-viet-nam</v>
      </c>
      <c r="D604" s="20"/>
      <c r="E604" s="20"/>
      <c r="F604" s="20"/>
      <c r="G604" s="20"/>
      <c r="H604" s="20"/>
      <c r="I604" s="20"/>
      <c r="J604" s="20"/>
      <c r="K604" s="20"/>
      <c r="L604" s="20"/>
      <c r="M604" s="20"/>
      <c r="N604" s="20"/>
      <c r="O604" s="20"/>
      <c r="P604" s="20"/>
      <c r="Q604" s="20"/>
      <c r="R604" s="20"/>
      <c r="S604" s="20"/>
      <c r="T604" s="20"/>
      <c r="U604" s="20"/>
      <c r="V604" s="20"/>
      <c r="W604" s="20"/>
      <c r="X604" s="20"/>
    </row>
    <row r="605">
      <c r="A605" s="37" t="str">
        <f>IFERROR(__xludf.DUMMYFUNCTION("""COMPUTED_VALUE"""),"https://techcombank.com/thong-tin/blog/the-atm-gan-chip")</f>
        <v>https://techcombank.com/thong-tin/blog/the-atm-gan-chip</v>
      </c>
      <c r="B605" s="28">
        <f>IFERROR(__xludf.DUMMYFUNCTION("""COMPUTED_VALUE"""),2.0)</f>
        <v>2</v>
      </c>
      <c r="C605" s="20" t="str">
        <f>IFERROR(__xludf.DUMMYFUNCTION("IF(A605="""","""",TEXTJOIN(CHAR(10),TRUE,FILTER('Tổng hợp 75 trang đích'!$B$2:$B$3400,'Tổng hợp 75 trang đích'!$I$2:$I$3400=A605)))"),"https://techcombank.com/thong-tin/blog/nap-tien-vao-tai-khoan-ngan-hang
https://techcombank.com/thong-tin/blog/cic-la-gi")</f>
        <v>https://techcombank.com/thong-tin/blog/nap-tien-vao-tai-khoan-ngan-hang
https://techcombank.com/thong-tin/blog/cic-la-gi</v>
      </c>
      <c r="D605" s="20"/>
      <c r="E605" s="20"/>
      <c r="F605" s="20"/>
      <c r="G605" s="20"/>
      <c r="H605" s="20"/>
      <c r="I605" s="20"/>
      <c r="J605" s="20"/>
      <c r="K605" s="20"/>
      <c r="L605" s="20"/>
      <c r="M605" s="20"/>
      <c r="N605" s="20"/>
      <c r="O605" s="20"/>
      <c r="P605" s="20"/>
      <c r="Q605" s="20"/>
      <c r="R605" s="20"/>
      <c r="S605" s="20"/>
      <c r="T605" s="20"/>
      <c r="U605" s="20"/>
      <c r="V605" s="20"/>
      <c r="W605" s="20"/>
      <c r="X605" s="20"/>
    </row>
    <row r="606">
      <c r="A606" s="37" t="str">
        <f>IFERROR(__xludf.DUMMYFUNCTION("""COMPUTED_VALUE"""),"https://techcombank.com/thong-tin/blog/the-debit")</f>
        <v>https://techcombank.com/thong-tin/blog/the-debit</v>
      </c>
      <c r="B606" s="28">
        <f>IFERROR(__xludf.DUMMYFUNCTION("""COMPUTED_VALUE"""),2.0)</f>
        <v>2</v>
      </c>
      <c r="C606" s="20" t="str">
        <f>IFERROR(__xludf.DUMMYFUNCTION("IF(A606="""","""",TEXTJOIN(CHAR(10),TRUE,FILTER('Tổng hợp 75 trang đích'!$B$2:$B$3400,'Tổng hợp 75 trang đích'!$I$2:$I$3400=A606)))"),"https://techcombank.com/thong-tin/blog/cic-la-gi
https://techcombank.com/thong-tin/blog/tien-thai-lan")</f>
        <v>https://techcombank.com/thong-tin/blog/cic-la-gi
https://techcombank.com/thong-tin/blog/tien-thai-lan</v>
      </c>
      <c r="D606" s="20"/>
      <c r="E606" s="20"/>
      <c r="F606" s="20"/>
      <c r="G606" s="20"/>
      <c r="H606" s="20"/>
      <c r="I606" s="20"/>
      <c r="J606" s="20"/>
      <c r="K606" s="20"/>
      <c r="L606" s="20"/>
      <c r="M606" s="20"/>
      <c r="N606" s="20"/>
      <c r="O606" s="20"/>
      <c r="P606" s="20"/>
      <c r="Q606" s="20"/>
      <c r="R606" s="20"/>
      <c r="S606" s="20"/>
      <c r="T606" s="20"/>
      <c r="U606" s="20"/>
      <c r="V606" s="20"/>
      <c r="W606" s="20"/>
      <c r="X606" s="20"/>
    </row>
    <row r="607">
      <c r="A607" s="37" t="str">
        <f>IFERROR(__xludf.DUMMYFUNCTION("""COMPUTED_VALUE"""),"https://techcombank.com/thong-tin/blog/the-ghi-no-la-gi")</f>
        <v>https://techcombank.com/thong-tin/blog/the-ghi-no-la-gi</v>
      </c>
      <c r="B607" s="28">
        <f>IFERROR(__xludf.DUMMYFUNCTION("""COMPUTED_VALUE"""),2.0)</f>
        <v>2</v>
      </c>
      <c r="C607" s="20" t="str">
        <f>IFERROR(__xludf.DUMMYFUNCTION("IF(A607="""","""",TEXTJOIN(CHAR(10),TRUE,FILTER('Tổng hợp 75 trang đích'!$B$2:$B$3400,'Tổng hợp 75 trang đích'!$I$2:$I$3400=A607)))"),"https://techcombank.com/thong-tin/blog/eco-card
https://techcombank.com/thong-tin/blog/cic-la-gi")</f>
        <v>https://techcombank.com/thong-tin/blog/eco-card
https://techcombank.com/thong-tin/blog/cic-la-gi</v>
      </c>
      <c r="D607" s="20"/>
      <c r="E607" s="20"/>
      <c r="F607" s="20"/>
      <c r="G607" s="20"/>
      <c r="H607" s="20"/>
      <c r="I607" s="20"/>
      <c r="J607" s="20"/>
      <c r="K607" s="20"/>
      <c r="L607" s="20"/>
      <c r="M607" s="20"/>
      <c r="N607" s="20"/>
      <c r="O607" s="20"/>
      <c r="P607" s="20"/>
      <c r="Q607" s="20"/>
      <c r="R607" s="20"/>
      <c r="S607" s="20"/>
      <c r="T607" s="20"/>
      <c r="U607" s="20"/>
      <c r="V607" s="20"/>
      <c r="W607" s="20"/>
      <c r="X607" s="20"/>
    </row>
    <row r="608">
      <c r="A608" s="37" t="str">
        <f>IFERROR(__xludf.DUMMYFUNCTION("""COMPUTED_VALUE"""),"https://techcombank.com/thong-tin/blog/the-ghi-no-noi-dia")</f>
        <v>https://techcombank.com/thong-tin/blog/the-ghi-no-noi-dia</v>
      </c>
      <c r="B608" s="28">
        <f>IFERROR(__xludf.DUMMYFUNCTION("""COMPUTED_VALUE"""),2.0)</f>
        <v>2</v>
      </c>
      <c r="C608" s="20" t="str">
        <f>IFERROR(__xludf.DUMMYFUNCTION("IF(A608="""","""",TEXTJOIN(CHAR(10),TRUE,FILTER('Tổng hợp 75 trang đích'!$B$2:$B$3400,'Tổng hợp 75 trang đích'!$I$2:$I$3400=A608)))"),"https://techcombank.com/thong-tin/blog/eco-card
https://techcombank.com/thong-tin/blog/cach-nhan-tien-tu-nuoc-ngoai-ve-viet-nam")</f>
        <v>https://techcombank.com/thong-tin/blog/eco-card
https://techcombank.com/thong-tin/blog/cach-nhan-tien-tu-nuoc-ngoai-ve-viet-nam</v>
      </c>
      <c r="D608" s="20"/>
      <c r="E608" s="20"/>
      <c r="F608" s="20"/>
      <c r="G608" s="20"/>
      <c r="H608" s="20"/>
      <c r="I608" s="20"/>
      <c r="J608" s="20"/>
      <c r="K608" s="20"/>
      <c r="L608" s="20"/>
      <c r="M608" s="20"/>
      <c r="N608" s="20"/>
      <c r="O608" s="20"/>
      <c r="P608" s="20"/>
      <c r="Q608" s="20"/>
      <c r="R608" s="20"/>
      <c r="S608" s="20"/>
      <c r="T608" s="20"/>
      <c r="U608" s="20"/>
      <c r="V608" s="20"/>
      <c r="W608" s="20"/>
      <c r="X608" s="20"/>
    </row>
    <row r="609">
      <c r="A609" s="37" t="str">
        <f>IFERROR(__xludf.DUMMYFUNCTION("""COMPUTED_VALUE"""),"https://techcombank.com/thong-tin/blog/the-mastercard-la-gi")</f>
        <v>https://techcombank.com/thong-tin/blog/the-mastercard-la-gi</v>
      </c>
      <c r="B609" s="28">
        <f>IFERROR(__xludf.DUMMYFUNCTION("""COMPUTED_VALUE"""),2.0)</f>
        <v>2</v>
      </c>
      <c r="C609" s="20" t="str">
        <f>IFERROR(__xludf.DUMMYFUNCTION("IF(A609="""","""",TEXTJOIN(CHAR(10),TRUE,FILTER('Tổng hợp 75 trang đích'!$B$2:$B$3400,'Tổng hợp 75 trang đích'!$I$2:$I$3400=A609)))"),"https://techcombank.com/thong-tin/blog/cach-quet-nfc-cccd-tren-iphone
https://techcombank.com/thong-tin/blog/cic-la-gi")</f>
        <v>https://techcombank.com/thong-tin/blog/cach-quet-nfc-cccd-tren-iphone
https://techcombank.com/thong-tin/blog/cic-la-gi</v>
      </c>
      <c r="D609" s="20"/>
      <c r="E609" s="20"/>
      <c r="F609" s="20"/>
      <c r="G609" s="20"/>
      <c r="H609" s="20"/>
      <c r="I609" s="20"/>
      <c r="J609" s="20"/>
      <c r="K609" s="20"/>
      <c r="L609" s="20"/>
      <c r="M609" s="20"/>
      <c r="N609" s="20"/>
      <c r="O609" s="20"/>
      <c r="P609" s="20"/>
      <c r="Q609" s="20"/>
      <c r="R609" s="20"/>
      <c r="S609" s="20"/>
      <c r="T609" s="20"/>
      <c r="U609" s="20"/>
      <c r="V609" s="20"/>
      <c r="W609" s="20"/>
      <c r="X609" s="20"/>
    </row>
    <row r="610">
      <c r="A610" s="37" t="str">
        <f>IFERROR(__xludf.DUMMYFUNCTION("""COMPUTED_VALUE"""),"https://techcombank.com/thong-tin/blog/the-tin-dung-co-chuyen-khoan-duoc-khong")</f>
        <v>https://techcombank.com/thong-tin/blog/the-tin-dung-co-chuyen-khoan-duoc-khong</v>
      </c>
      <c r="B610" s="28">
        <f>IFERROR(__xludf.DUMMYFUNCTION("""COMPUTED_VALUE"""),2.0)</f>
        <v>2</v>
      </c>
      <c r="C610" s="20" t="str">
        <f>IFERROR(__xludf.DUMMYFUNCTION("IF(A610="""","""",TEXTJOIN(CHAR(10),TRUE,FILTER('Tổng hợp 75 trang đích'!$B$2:$B$3400,'Tổng hợp 75 trang đích'!$I$2:$I$3400=A610)))"),"https://techcombank.com/thong-tin/blog/rut-tien-mat-tu-the-tin-dung
https://techcombank.com/thong-tin/blog/cach-huy-the-tin-dung")</f>
        <v>https://techcombank.com/thong-tin/blog/rut-tien-mat-tu-the-tin-dung
https://techcombank.com/thong-tin/blog/cach-huy-the-tin-dung</v>
      </c>
      <c r="D610" s="20"/>
      <c r="E610" s="20"/>
      <c r="F610" s="20"/>
      <c r="G610" s="20"/>
      <c r="H610" s="20"/>
      <c r="I610" s="20"/>
      <c r="J610" s="20"/>
      <c r="K610" s="20"/>
      <c r="L610" s="20"/>
      <c r="M610" s="20"/>
      <c r="N610" s="20"/>
      <c r="O610" s="20"/>
      <c r="P610" s="20"/>
      <c r="Q610" s="20"/>
      <c r="R610" s="20"/>
      <c r="S610" s="20"/>
      <c r="T610" s="20"/>
      <c r="U610" s="20"/>
      <c r="V610" s="20"/>
      <c r="W610" s="20"/>
      <c r="X610" s="20"/>
    </row>
    <row r="611">
      <c r="A611" s="37" t="str">
        <f>IFERROR(__xludf.DUMMYFUNCTION("""COMPUTED_VALUE"""),"https://techcombank.com/thong-tin/blog/the-tin-dung-techcombank-visa-eco")</f>
        <v>https://techcombank.com/thong-tin/blog/the-tin-dung-techcombank-visa-eco</v>
      </c>
      <c r="B611" s="28">
        <f>IFERROR(__xludf.DUMMYFUNCTION("""COMPUTED_VALUE"""),2.0)</f>
        <v>2</v>
      </c>
      <c r="C611" s="20" t="str">
        <f>IFERROR(__xludf.DUMMYFUNCTION("IF(A611="""","""",TEXTJOIN(CHAR(10),TRUE,FILTER('Tổng hợp 75 trang đích'!$B$2:$B$3400,'Tổng hợp 75 trang đích'!$I$2:$I$3400=A611)))"),"https://techcombank.com/thong-tin/blog/eco-card
https://techcombank.com/thong-tin/blog/cach-huy-the-tin-dung")</f>
        <v>https://techcombank.com/thong-tin/blog/eco-card
https://techcombank.com/thong-tin/blog/cach-huy-the-tin-dung</v>
      </c>
      <c r="D611" s="20"/>
      <c r="E611" s="20"/>
      <c r="F611" s="20"/>
      <c r="G611" s="20"/>
      <c r="H611" s="20"/>
      <c r="I611" s="20"/>
      <c r="J611" s="20"/>
      <c r="K611" s="20"/>
      <c r="L611" s="20"/>
      <c r="M611" s="20"/>
      <c r="N611" s="20"/>
      <c r="O611" s="20"/>
      <c r="P611" s="20"/>
      <c r="Q611" s="20"/>
      <c r="R611" s="20"/>
      <c r="S611" s="20"/>
      <c r="T611" s="20"/>
      <c r="U611" s="20"/>
      <c r="V611" s="20"/>
      <c r="W611" s="20"/>
      <c r="X611" s="20"/>
    </row>
    <row r="612">
      <c r="A612" s="37" t="str">
        <f>IFERROR(__xludf.DUMMYFUNCTION("""COMPUTED_VALUE"""),"https://techcombank.com/thong-tin/blog/the-visa-co-rut-tien-duoc-khong")</f>
        <v>https://techcombank.com/thong-tin/blog/the-visa-co-rut-tien-duoc-khong</v>
      </c>
      <c r="B612" s="28">
        <f>IFERROR(__xludf.DUMMYFUNCTION("""COMPUTED_VALUE"""),2.0)</f>
        <v>2</v>
      </c>
      <c r="C612" s="20" t="str">
        <f>IFERROR(__xludf.DUMMYFUNCTION("IF(A612="""","""",TEXTJOIN(CHAR(10),TRUE,FILTER('Tổng hợp 75 trang đích'!$B$2:$B$3400,'Tổng hợp 75 trang đích'!$I$2:$I$3400=A612)))"),"https://techcombank.com/thong-tin/blog/rut-tien-mat-tu-the-tin-dung
https://techcombank.com/thong-tin/blog/app-vay-tien-nhanh")</f>
        <v>https://techcombank.com/thong-tin/blog/rut-tien-mat-tu-the-tin-dung
https://techcombank.com/thong-tin/blog/app-vay-tien-nhanh</v>
      </c>
      <c r="D612" s="20"/>
      <c r="E612" s="20"/>
      <c r="F612" s="20"/>
      <c r="G612" s="20"/>
      <c r="H612" s="20"/>
      <c r="I612" s="20"/>
      <c r="J612" s="20"/>
      <c r="K612" s="20"/>
      <c r="L612" s="20"/>
      <c r="M612" s="20"/>
      <c r="N612" s="20"/>
      <c r="O612" s="20"/>
      <c r="P612" s="20"/>
      <c r="Q612" s="20"/>
      <c r="R612" s="20"/>
      <c r="S612" s="20"/>
      <c r="T612" s="20"/>
      <c r="U612" s="20"/>
      <c r="V612" s="20"/>
      <c r="W612" s="20"/>
      <c r="X612" s="20"/>
    </row>
    <row r="613">
      <c r="A613" s="37" t="str">
        <f>IFERROR(__xludf.DUMMYFUNCTION("""COMPUTED_VALUE"""),"https://techcombank.com/thong-tin/blog/the-visa-co-thanh-toan-quoc-te-duoc-khong")</f>
        <v>https://techcombank.com/thong-tin/blog/the-visa-co-thanh-toan-quoc-te-duoc-khong</v>
      </c>
      <c r="B613" s="28">
        <f>IFERROR(__xludf.DUMMYFUNCTION("""COMPUTED_VALUE"""),2.0)</f>
        <v>2</v>
      </c>
      <c r="C613" s="20" t="str">
        <f>IFERROR(__xludf.DUMMYFUNCTION("IF(A613="""","""",TEXTJOIN(CHAR(10),TRUE,FILTER('Tổng hợp 75 trang đích'!$B$2:$B$3400,'Tổng hợp 75 trang đích'!$I$2:$I$3400=A613)))"),"https://techcombank.com/thong-tin/blog/cic-la-gi
https://techcombank.com/thong-tin/blog/cach-nhan-tien-tu-nuoc-ngoai-ve-viet-nam")</f>
        <v>https://techcombank.com/thong-tin/blog/cic-la-gi
https://techcombank.com/thong-tin/blog/cach-nhan-tien-tu-nuoc-ngoai-ve-viet-nam</v>
      </c>
      <c r="D613" s="20"/>
      <c r="E613" s="20"/>
      <c r="F613" s="20"/>
      <c r="G613" s="20"/>
      <c r="H613" s="20"/>
      <c r="I613" s="20"/>
      <c r="J613" s="20"/>
      <c r="K613" s="20"/>
      <c r="L613" s="20"/>
      <c r="M613" s="20"/>
      <c r="N613" s="20"/>
      <c r="O613" s="20"/>
      <c r="P613" s="20"/>
      <c r="Q613" s="20"/>
      <c r="R613" s="20"/>
      <c r="S613" s="20"/>
      <c r="T613" s="20"/>
      <c r="U613" s="20"/>
      <c r="V613" s="20"/>
      <c r="W613" s="20"/>
      <c r="X613" s="20"/>
    </row>
    <row r="614">
      <c r="A614" s="37" t="str">
        <f>IFERROR(__xludf.DUMMYFUNCTION("""COMPUTED_VALUE"""),"https://techcombank.com/thong-tin/blog/thoi-gian-hoan-tien-the-tin-dung")</f>
        <v>https://techcombank.com/thong-tin/blog/thoi-gian-hoan-tien-the-tin-dung</v>
      </c>
      <c r="B614" s="28">
        <f>IFERROR(__xludf.DUMMYFUNCTION("""COMPUTED_VALUE"""),2.0)</f>
        <v>2</v>
      </c>
      <c r="C614" s="20" t="str">
        <f>IFERROR(__xludf.DUMMYFUNCTION("IF(A614="""","""",TEXTJOIN(CHAR(10),TRUE,FILTER('Tổng hợp 75 trang đích'!$B$2:$B$3400,'Tổng hợp 75 trang đích'!$I$2:$I$3400=A614)))"),"https://techcombank.com/thong-tin/blog/cach-tinh-tien-dien-sinh-hoat
https://techcombank.com/thong-tin/blog/cach-sao-ke-tai-khoan-ngan-hang")</f>
        <v>https://techcombank.com/thong-tin/blog/cach-tinh-tien-dien-sinh-hoat
https://techcombank.com/thong-tin/blog/cach-sao-ke-tai-khoan-ngan-hang</v>
      </c>
      <c r="D614" s="20"/>
      <c r="E614" s="20"/>
      <c r="F614" s="20"/>
      <c r="G614" s="20"/>
      <c r="H614" s="20"/>
      <c r="I614" s="20"/>
      <c r="J614" s="20"/>
      <c r="K614" s="20"/>
      <c r="L614" s="20"/>
      <c r="M614" s="20"/>
      <c r="N614" s="20"/>
      <c r="O614" s="20"/>
      <c r="P614" s="20"/>
      <c r="Q614" s="20"/>
      <c r="R614" s="20"/>
      <c r="S614" s="20"/>
      <c r="T614" s="20"/>
      <c r="U614" s="20"/>
      <c r="V614" s="20"/>
      <c r="W614" s="20"/>
      <c r="X614" s="20"/>
    </row>
    <row r="615">
      <c r="A615" s="37" t="str">
        <f>IFERROR(__xludf.DUMMYFUNCTION("""COMPUTED_VALUE"""),"https://techcombank.com/thong-tin/blog/thue-vat-la-gi")</f>
        <v>https://techcombank.com/thong-tin/blog/thue-vat-la-gi</v>
      </c>
      <c r="B615" s="28">
        <f>IFERROR(__xludf.DUMMYFUNCTION("""COMPUTED_VALUE"""),2.0)</f>
        <v>2</v>
      </c>
      <c r="C615" s="20" t="str">
        <f>IFERROR(__xludf.DUMMYFUNCTION("IF(A615="""","""",TEXTJOIN(CHAR(10),TRUE,FILTER('Tổng hợp 75 trang đích'!$B$2:$B$3400,'Tổng hợp 75 trang đích'!$I$2:$I$3400=A615)))"),"https://techcombank.com/thong-tin/blog/nop-thue-dat-qua-ngan-hang
https://techcombank.com/thong-tin/blog/cach-tinh-thue-thu-nhap-doanh-nghiep")</f>
        <v>https://techcombank.com/thong-tin/blog/nop-thue-dat-qua-ngan-hang
https://techcombank.com/thong-tin/blog/cach-tinh-thue-thu-nhap-doanh-nghiep</v>
      </c>
      <c r="D615" s="20"/>
      <c r="E615" s="20"/>
      <c r="F615" s="20"/>
      <c r="G615" s="20"/>
      <c r="H615" s="20"/>
      <c r="I615" s="20"/>
      <c r="J615" s="20"/>
      <c r="K615" s="20"/>
      <c r="L615" s="20"/>
      <c r="M615" s="20"/>
      <c r="N615" s="20"/>
      <c r="O615" s="20"/>
      <c r="P615" s="20"/>
      <c r="Q615" s="20"/>
      <c r="R615" s="20"/>
      <c r="S615" s="20"/>
      <c r="T615" s="20"/>
      <c r="U615" s="20"/>
      <c r="V615" s="20"/>
      <c r="W615" s="20"/>
      <c r="X615" s="20"/>
    </row>
    <row r="616">
      <c r="A616" s="37" t="str">
        <f>IFERROR(__xludf.DUMMYFUNCTION("""COMPUTED_VALUE"""),"https://techcombank.com/thong-tin/blog/tinh-thanh-khoan-la-gi")</f>
        <v>https://techcombank.com/thong-tin/blog/tinh-thanh-khoan-la-gi</v>
      </c>
      <c r="B616" s="28">
        <f>IFERROR(__xludf.DUMMYFUNCTION("""COMPUTED_VALUE"""),2.0)</f>
        <v>2</v>
      </c>
      <c r="C616" s="20" t="str">
        <f>IFERROR(__xludf.DUMMYFUNCTION("IF(A616="""","""",TEXTJOIN(CHAR(10),TRUE,FILTER('Tổng hợp 75 trang đích'!$B$2:$B$3400,'Tổng hợp 75 trang đích'!$I$2:$I$3400=A616)))"),"https://techcombank.com/thong-tin/blog/lai-suat-tiet-kiem
https://techcombank.com/thong-tin/blog/cach-tiet-kiem-tien")</f>
        <v>https://techcombank.com/thong-tin/blog/lai-suat-tiet-kiem
https://techcombank.com/thong-tin/blog/cach-tiet-kiem-tien</v>
      </c>
      <c r="D616" s="20"/>
      <c r="E616" s="20"/>
      <c r="F616" s="20"/>
      <c r="G616" s="20"/>
      <c r="H616" s="20"/>
      <c r="I616" s="20"/>
      <c r="J616" s="20"/>
      <c r="K616" s="20"/>
      <c r="L616" s="20"/>
      <c r="M616" s="20"/>
      <c r="N616" s="20"/>
      <c r="O616" s="20"/>
      <c r="P616" s="20"/>
      <c r="Q616" s="20"/>
      <c r="R616" s="20"/>
      <c r="S616" s="20"/>
      <c r="T616" s="20"/>
      <c r="U616" s="20"/>
      <c r="V616" s="20"/>
      <c r="W616" s="20"/>
      <c r="X616" s="20"/>
    </row>
    <row r="617">
      <c r="A617" s="37" t="str">
        <f>IFERROR(__xludf.DUMMYFUNCTION("""COMPUTED_VALUE"""),"https://techcombank.com/thong-tin/blog/ty-gia-hoi-doai-la-gi")</f>
        <v>https://techcombank.com/thong-tin/blog/ty-gia-hoi-doai-la-gi</v>
      </c>
      <c r="B617" s="28">
        <f>IFERROR(__xludf.DUMMYFUNCTION("""COMPUTED_VALUE"""),2.0)</f>
        <v>2</v>
      </c>
      <c r="C617" s="20" t="str">
        <f>IFERROR(__xludf.DUMMYFUNCTION("IF(A617="""","""",TEXTJOIN(CHAR(10),TRUE,FILTER('Tổng hợp 75 trang đích'!$B$2:$B$3400,'Tổng hợp 75 trang đích'!$I$2:$I$3400=A617)))"),"https://techcombank.com/thong-tin/blog/cach-tinh-tien-dien-sinh-hoat
https://techcombank.com/thong-tin/blog/cic-la-gi")</f>
        <v>https://techcombank.com/thong-tin/blog/cach-tinh-tien-dien-sinh-hoat
https://techcombank.com/thong-tin/blog/cic-la-gi</v>
      </c>
      <c r="D617" s="20"/>
      <c r="E617" s="20"/>
      <c r="F617" s="20"/>
      <c r="G617" s="20"/>
      <c r="H617" s="20"/>
      <c r="I617" s="20"/>
      <c r="J617" s="20"/>
      <c r="K617" s="20"/>
      <c r="L617" s="20"/>
      <c r="M617" s="20"/>
      <c r="N617" s="20"/>
      <c r="O617" s="20"/>
      <c r="P617" s="20"/>
      <c r="Q617" s="20"/>
      <c r="R617" s="20"/>
      <c r="S617" s="20"/>
      <c r="T617" s="20"/>
      <c r="U617" s="20"/>
      <c r="V617" s="20"/>
      <c r="W617" s="20"/>
      <c r="X617" s="20"/>
    </row>
    <row r="618">
      <c r="A618" s="37" t="str">
        <f>IFERROR(__xludf.DUMMYFUNCTION("""COMPUTED_VALUE"""),"https://techcombank.com/thong-tin/blog/vang-14k-gia-hom-nay")</f>
        <v>https://techcombank.com/thong-tin/blog/vang-14k-gia-hom-nay</v>
      </c>
      <c r="B618" s="28">
        <f>IFERROR(__xludf.DUMMYFUNCTION("""COMPUTED_VALUE"""),2.0)</f>
        <v>2</v>
      </c>
      <c r="C618" s="20" t="str">
        <f>IFERROR(__xludf.DUMMYFUNCTION("IF(A618="""","""",TEXTJOIN(CHAR(10),TRUE,FILTER('Tổng hợp 75 trang đích'!$B$2:$B$3400,'Tổng hợp 75 trang đích'!$I$2:$I$3400=A618)))"),"https://techcombank.com/thong-tin/blog/cic-la-gi
https://techcombank.com/thong-tin/blog/1-dong-do-la-my-bang-bao-nhieu-tien-viet-nam")</f>
        <v>https://techcombank.com/thong-tin/blog/cic-la-gi
https://techcombank.com/thong-tin/blog/1-dong-do-la-my-bang-bao-nhieu-tien-viet-nam</v>
      </c>
      <c r="D618" s="20"/>
      <c r="E618" s="20"/>
      <c r="F618" s="20"/>
      <c r="G618" s="20"/>
      <c r="H618" s="20"/>
      <c r="I618" s="20"/>
      <c r="J618" s="20"/>
      <c r="K618" s="20"/>
      <c r="L618" s="20"/>
      <c r="M618" s="20"/>
      <c r="N618" s="20"/>
      <c r="O618" s="20"/>
      <c r="P618" s="20"/>
      <c r="Q618" s="20"/>
      <c r="R618" s="20"/>
      <c r="S618" s="20"/>
      <c r="T618" s="20"/>
      <c r="U618" s="20"/>
      <c r="V618" s="20"/>
      <c r="W618" s="20"/>
      <c r="X618" s="20"/>
    </row>
    <row r="619">
      <c r="A619" s="37" t="str">
        <f>IFERROR(__xludf.DUMMYFUNCTION("""COMPUTED_VALUE"""),"https://techcombank.com/thong-tin/blog/voucher-starbucks")</f>
        <v>https://techcombank.com/thong-tin/blog/voucher-starbucks</v>
      </c>
      <c r="B619" s="28">
        <f>IFERROR(__xludf.DUMMYFUNCTION("""COMPUTED_VALUE"""),2.0)</f>
        <v>2</v>
      </c>
      <c r="C619" s="20" t="str">
        <f>IFERROR(__xludf.DUMMYFUNCTION("IF(A619="""","""",TEXTJOIN(CHAR(10),TRUE,FILTER('Tổng hợp 75 trang đích'!$B$2:$B$3400,'Tổng hợp 75 trang đích'!$I$2:$I$3400=A619)))"),"https://techcombank.com/thong-tin/blog/eco-card
https://techcombank.com/thong-tin/blog/traveloka-voucher")</f>
        <v>https://techcombank.com/thong-tin/blog/eco-card
https://techcombank.com/thong-tin/blog/traveloka-voucher</v>
      </c>
      <c r="D619" s="20"/>
      <c r="E619" s="20"/>
      <c r="F619" s="20"/>
      <c r="G619" s="20"/>
      <c r="H619" s="20"/>
      <c r="I619" s="20"/>
      <c r="J619" s="20"/>
      <c r="K619" s="20"/>
      <c r="L619" s="20"/>
      <c r="M619" s="20"/>
      <c r="N619" s="20"/>
      <c r="O619" s="20"/>
      <c r="P619" s="20"/>
      <c r="Q619" s="20"/>
      <c r="R619" s="20"/>
      <c r="S619" s="20"/>
      <c r="T619" s="20"/>
      <c r="U619" s="20"/>
      <c r="V619" s="20"/>
      <c r="W619" s="20"/>
      <c r="X619" s="20"/>
    </row>
    <row r="620">
      <c r="A620" s="37" t="str">
        <f>IFERROR(__xludf.DUMMYFUNCTION("""COMPUTED_VALUE"""),"https://techcombank.com/thong-tin/blog/xep-hang-tin-dung")</f>
        <v>https://techcombank.com/thong-tin/blog/xep-hang-tin-dung</v>
      </c>
      <c r="B620" s="28">
        <f>IFERROR(__xludf.DUMMYFUNCTION("""COMPUTED_VALUE"""),2.0)</f>
        <v>2</v>
      </c>
      <c r="C620" s="20" t="str">
        <f>IFERROR(__xludf.DUMMYFUNCTION("IF(A620="""","""",TEXTJOIN(CHAR(10),TRUE,FILTER('Tổng hợp 75 trang đích'!$B$2:$B$3400,'Tổng hợp 75 trang đích'!$I$2:$I$3400=A620)))"),"https://techcombank.com/thong-tin/blog/cic-la-gi
https://techcombank.com/thong-tin/blog/app-vay-tien-nhanh")</f>
        <v>https://techcombank.com/thong-tin/blog/cic-la-gi
https://techcombank.com/thong-tin/blog/app-vay-tien-nhanh</v>
      </c>
      <c r="D620" s="20"/>
      <c r="E620" s="20"/>
      <c r="F620" s="20"/>
      <c r="G620" s="20"/>
      <c r="H620" s="20"/>
      <c r="I620" s="20"/>
      <c r="J620" s="20"/>
      <c r="K620" s="20"/>
      <c r="L620" s="20"/>
      <c r="M620" s="20"/>
      <c r="N620" s="20"/>
      <c r="O620" s="20"/>
      <c r="P620" s="20"/>
      <c r="Q620" s="20"/>
      <c r="R620" s="20"/>
      <c r="S620" s="20"/>
      <c r="T620" s="20"/>
      <c r="U620" s="20"/>
      <c r="V620" s="20"/>
      <c r="W620" s="20"/>
      <c r="X620" s="20"/>
    </row>
    <row r="621">
      <c r="A621" s="37" t="str">
        <f>IFERROR(__xludf.DUMMYFUNCTION("""COMPUTED_VALUE"""),"https://techcombank.com/thong-tin/blog/y-nghia-so-68")</f>
        <v>https://techcombank.com/thong-tin/blog/y-nghia-so-68</v>
      </c>
      <c r="B621" s="28">
        <f>IFERROR(__xludf.DUMMYFUNCTION("""COMPUTED_VALUE"""),2.0)</f>
        <v>2</v>
      </c>
      <c r="C621" s="20" t="str">
        <f>IFERROR(__xludf.DUMMYFUNCTION("IF(A621="""","""",TEXTJOIN(CHAR(10),TRUE,FILTER('Tổng hợp 75 trang đích'!$B$2:$B$3400,'Tổng hợp 75 trang đích'!$I$2:$I$3400=A621)))"),"https://techcombank.com/thong-tin/blog/cach-kiem-tra-tai-khoan-ngan-hang
https://techcombank.com/thong-tin/blog/day-so-phat-tai-phat-loc")</f>
        <v>https://techcombank.com/thong-tin/blog/cach-kiem-tra-tai-khoan-ngan-hang
https://techcombank.com/thong-tin/blog/day-so-phat-tai-phat-loc</v>
      </c>
      <c r="D621" s="20"/>
      <c r="E621" s="20"/>
      <c r="F621" s="20"/>
      <c r="G621" s="20"/>
      <c r="H621" s="20"/>
      <c r="I621" s="20"/>
      <c r="J621" s="20"/>
      <c r="K621" s="20"/>
      <c r="L621" s="20"/>
      <c r="M621" s="20"/>
      <c r="N621" s="20"/>
      <c r="O621" s="20"/>
      <c r="P621" s="20"/>
      <c r="Q621" s="20"/>
      <c r="R621" s="20"/>
      <c r="S621" s="20"/>
      <c r="T621" s="20"/>
      <c r="U621" s="20"/>
      <c r="V621" s="20"/>
      <c r="W621" s="20"/>
      <c r="X621" s="20"/>
    </row>
    <row r="622">
      <c r="A622" s="37" t="str">
        <f>IFERROR(__xludf.DUMMYFUNCTION("""COMPUTED_VALUE"""),"https://techcombank.com/thong-tin/blog/3d-secure")</f>
        <v>https://techcombank.com/thong-tin/blog/3d-secure</v>
      </c>
      <c r="B622" s="28">
        <f>IFERROR(__xludf.DUMMYFUNCTION("""COMPUTED_VALUE"""),1.0)</f>
        <v>1</v>
      </c>
      <c r="C622" s="37" t="str">
        <f>IFERROR(__xludf.DUMMYFUNCTION("IF(A622="""","""",TEXTJOIN(CHAR(10),TRUE,FILTER('Tổng hợp 75 trang đích'!$B$2:$B$3400,'Tổng hợp 75 trang đích'!$I$2:$I$3400=A622)))"),"https://techcombank.com/thong-tin/blog/cach-huy-the-tin-dung")</f>
        <v>https://techcombank.com/thong-tin/blog/cach-huy-the-tin-dung</v>
      </c>
      <c r="D622" s="20"/>
      <c r="E622" s="20"/>
      <c r="F622" s="20"/>
      <c r="G622" s="20"/>
      <c r="H622" s="20"/>
      <c r="I622" s="20"/>
      <c r="J622" s="20"/>
      <c r="K622" s="20"/>
      <c r="L622" s="20"/>
      <c r="M622" s="20"/>
      <c r="N622" s="20"/>
      <c r="O622" s="20"/>
      <c r="P622" s="20"/>
      <c r="Q622" s="20"/>
      <c r="R622" s="20"/>
      <c r="S622" s="20"/>
      <c r="T622" s="20"/>
      <c r="U622" s="20"/>
      <c r="V622" s="20"/>
      <c r="W622" s="20"/>
      <c r="X622" s="20"/>
    </row>
    <row r="623">
      <c r="A623" s="37" t="str">
        <f>IFERROR(__xludf.DUMMYFUNCTION("""COMPUTED_VALUE"""),"https://techcombank.com/thong-tin/blog/anh-sang-cuoi-duong-ham-xuat-hien-trai-phieu-doanh-nghiep-tot-va-an-toan-se-duoc-nha-dau-tu-chon")</f>
        <v>https://techcombank.com/thong-tin/blog/anh-sang-cuoi-duong-ham-xuat-hien-trai-phieu-doanh-nghiep-tot-va-an-toan-se-duoc-nha-dau-tu-chon</v>
      </c>
      <c r="B623" s="28">
        <f>IFERROR(__xludf.DUMMYFUNCTION("""COMPUTED_VALUE"""),1.0)</f>
        <v>1</v>
      </c>
      <c r="C623" s="37" t="str">
        <f>IFERROR(__xludf.DUMMYFUNCTION("IF(A623="""","""",TEXTJOIN(CHAR(10),TRUE,FILTER('Tổng hợp 75 trang đích'!$B$2:$B$3400,'Tổng hợp 75 trang đích'!$I$2:$I$3400=A623)))"),"https://techcombank.com/thong-tin/blog/lai-suat-tiet-kiem")</f>
        <v>https://techcombank.com/thong-tin/blog/lai-suat-tiet-kiem</v>
      </c>
      <c r="D623" s="20"/>
      <c r="E623" s="20"/>
      <c r="F623" s="20"/>
      <c r="G623" s="20"/>
      <c r="H623" s="20"/>
      <c r="I623" s="20"/>
      <c r="J623" s="20"/>
      <c r="K623" s="20"/>
      <c r="L623" s="20"/>
      <c r="M623" s="20"/>
      <c r="N623" s="20"/>
      <c r="O623" s="20"/>
      <c r="P623" s="20"/>
      <c r="Q623" s="20"/>
      <c r="R623" s="20"/>
      <c r="S623" s="20"/>
      <c r="T623" s="20"/>
      <c r="U623" s="20"/>
      <c r="V623" s="20"/>
      <c r="W623" s="20"/>
      <c r="X623" s="20"/>
    </row>
    <row r="624">
      <c r="A624" s="37" t="str">
        <f>IFERROR(__xludf.DUMMYFUNCTION("""COMPUTED_VALUE"""),"https://techcombank.com/thong-tin/blog/anh-trai-vuot-ngan-chong-gai-mua-2")</f>
        <v>https://techcombank.com/thong-tin/blog/anh-trai-vuot-ngan-chong-gai-mua-2</v>
      </c>
      <c r="B624" s="28">
        <f>IFERROR(__xludf.DUMMYFUNCTION("""COMPUTED_VALUE"""),1.0)</f>
        <v>1</v>
      </c>
      <c r="C624" s="37" t="str">
        <f>IFERROR(__xludf.DUMMYFUNCTION("IF(A624="""","""",TEXTJOIN(CHAR(10),TRUE,FILTER('Tổng hợp 75 trang đích'!$B$2:$B$3400,'Tổng hợp 75 trang đích'!$I$2:$I$3400=A624)))"),"https://techcombank.com/khach-hang-ca-nhan/chi-tieu/the/the-tin-dung/techcombank-everyday")</f>
        <v>https://techcombank.com/khach-hang-ca-nhan/chi-tieu/the/the-tin-dung/techcombank-everyday</v>
      </c>
      <c r="D624" s="20"/>
      <c r="E624" s="20"/>
      <c r="F624" s="20"/>
      <c r="G624" s="20"/>
      <c r="H624" s="20"/>
      <c r="I624" s="20"/>
      <c r="J624" s="20"/>
      <c r="K624" s="20"/>
      <c r="L624" s="20"/>
      <c r="M624" s="20"/>
      <c r="N624" s="20"/>
      <c r="O624" s="20"/>
      <c r="P624" s="20"/>
      <c r="Q624" s="20"/>
      <c r="R624" s="20"/>
      <c r="S624" s="20"/>
      <c r="T624" s="20"/>
      <c r="U624" s="20"/>
      <c r="V624" s="20"/>
      <c r="W624" s="20"/>
      <c r="X624" s="20"/>
    </row>
    <row r="625">
      <c r="A625" s="37" t="str">
        <f>IFERROR(__xludf.DUMMYFUNCTION("""COMPUTED_VALUE"""),"https://techcombank.com/thong-tin/blog/app-chia-tien")</f>
        <v>https://techcombank.com/thong-tin/blog/app-chia-tien</v>
      </c>
      <c r="B625" s="28">
        <f>IFERROR(__xludf.DUMMYFUNCTION("""COMPUTED_VALUE"""),1.0)</f>
        <v>1</v>
      </c>
      <c r="C625" s="37" t="str">
        <f>IFERROR(__xludf.DUMMYFUNCTION("IF(A625="""","""",TEXTJOIN(CHAR(10),TRUE,FILTER('Tổng hợp 75 trang đích'!$B$2:$B$3400,'Tổng hợp 75 trang đích'!$I$2:$I$3400=A625)))"),"https://techcombank.com/thong-tin/blog/thue-vat-la-gi")</f>
        <v>https://techcombank.com/thong-tin/blog/thue-vat-la-gi</v>
      </c>
      <c r="D625" s="20"/>
      <c r="E625" s="20"/>
      <c r="F625" s="20"/>
      <c r="G625" s="20"/>
      <c r="H625" s="20"/>
      <c r="I625" s="20"/>
      <c r="J625" s="20"/>
      <c r="K625" s="20"/>
      <c r="L625" s="20"/>
      <c r="M625" s="20"/>
      <c r="N625" s="20"/>
      <c r="O625" s="20"/>
      <c r="P625" s="20"/>
      <c r="Q625" s="20"/>
      <c r="R625" s="20"/>
      <c r="S625" s="20"/>
      <c r="T625" s="20"/>
      <c r="U625" s="20"/>
      <c r="V625" s="20"/>
      <c r="W625" s="20"/>
      <c r="X625" s="20"/>
    </row>
    <row r="626">
      <c r="A626" s="37" t="str">
        <f>IFERROR(__xludf.DUMMYFUNCTION("""COMPUTED_VALUE"""),"https://techcombank.com/thong-tin/blog/app-quan-ly-chi-tieu")</f>
        <v>https://techcombank.com/thong-tin/blog/app-quan-ly-chi-tieu</v>
      </c>
      <c r="B626" s="28">
        <f>IFERROR(__xludf.DUMMYFUNCTION("""COMPUTED_VALUE"""),1.0)</f>
        <v>1</v>
      </c>
      <c r="C626" s="37" t="str">
        <f>IFERROR(__xludf.DUMMYFUNCTION("IF(A626="""","""",TEXTJOIN(CHAR(10),TRUE,FILTER('Tổng hợp 75 trang đích'!$B$2:$B$3400,'Tổng hợp 75 trang đích'!$I$2:$I$3400=A626)))"),"https://techcombank.com/thong-tin/blog/cach-sao-ke-tai-khoan-ngan-hang")</f>
        <v>https://techcombank.com/thong-tin/blog/cach-sao-ke-tai-khoan-ngan-hang</v>
      </c>
      <c r="D626" s="20"/>
      <c r="E626" s="20"/>
      <c r="F626" s="20"/>
      <c r="G626" s="20"/>
      <c r="H626" s="20"/>
      <c r="I626" s="20"/>
      <c r="J626" s="20"/>
      <c r="K626" s="20"/>
      <c r="L626" s="20"/>
      <c r="M626" s="20"/>
      <c r="N626" s="20"/>
      <c r="O626" s="20"/>
      <c r="P626" s="20"/>
      <c r="Q626" s="20"/>
      <c r="R626" s="20"/>
      <c r="S626" s="20"/>
      <c r="T626" s="20"/>
      <c r="U626" s="20"/>
      <c r="V626" s="20"/>
      <c r="W626" s="20"/>
      <c r="X626" s="20"/>
    </row>
    <row r="627">
      <c r="A627" s="37" t="str">
        <f>IFERROR(__xludf.DUMMYFUNCTION("""COMPUTED_VALUE"""),"https://techcombank.com/thong-tin/blog/bang-gia-chung-chi-quy")</f>
        <v>https://techcombank.com/thong-tin/blog/bang-gia-chung-chi-quy</v>
      </c>
      <c r="B627" s="28">
        <f>IFERROR(__xludf.DUMMYFUNCTION("""COMPUTED_VALUE"""),1.0)</f>
        <v>1</v>
      </c>
      <c r="C627" s="37" t="str">
        <f>IFERROR(__xludf.DUMMYFUNCTION("IF(A627="""","""",TEXTJOIN(CHAR(10),TRUE,FILTER('Tổng hợp 75 trang đích'!$B$2:$B$3400,'Tổng hợp 75 trang đích'!$I$2:$I$3400=A627)))"),"https://techcombank.com/thong-tin/blog/phuong-phap-dau-tu-chung-chi-quy")</f>
        <v>https://techcombank.com/thong-tin/blog/phuong-phap-dau-tu-chung-chi-quy</v>
      </c>
      <c r="D627" s="20"/>
      <c r="E627" s="20"/>
      <c r="F627" s="20"/>
      <c r="G627" s="20"/>
      <c r="H627" s="20"/>
      <c r="I627" s="20"/>
      <c r="J627" s="20"/>
      <c r="K627" s="20"/>
      <c r="L627" s="20"/>
      <c r="M627" s="20"/>
      <c r="N627" s="20"/>
      <c r="O627" s="20"/>
      <c r="P627" s="20"/>
      <c r="Q627" s="20"/>
      <c r="R627" s="20"/>
      <c r="S627" s="20"/>
      <c r="T627" s="20"/>
      <c r="U627" s="20"/>
      <c r="V627" s="20"/>
      <c r="W627" s="20"/>
      <c r="X627" s="20"/>
    </row>
    <row r="628">
      <c r="A628" s="37" t="str">
        <f>IFERROR(__xludf.DUMMYFUNCTION("""COMPUTED_VALUE"""),"https://techcombank.com/thong-tin/blog/bao-hiem-lien-ket-dau-tu")</f>
        <v>https://techcombank.com/thong-tin/blog/bao-hiem-lien-ket-dau-tu</v>
      </c>
      <c r="B628" s="28">
        <f>IFERROR(__xludf.DUMMYFUNCTION("""COMPUTED_VALUE"""),1.0)</f>
        <v>1</v>
      </c>
      <c r="C628" s="37" t="str">
        <f>IFERROR(__xludf.DUMMYFUNCTION("IF(A628="""","""",TEXTJOIN(CHAR(10),TRUE,FILTER('Tổng hợp 75 trang đích'!$B$2:$B$3400,'Tổng hợp 75 trang đích'!$I$2:$I$3400=A628)))"),"https://techcombank.com/thong-tin/blog/lai-suat-tiet-kiem")</f>
        <v>https://techcombank.com/thong-tin/blog/lai-suat-tiet-kiem</v>
      </c>
      <c r="D628" s="20"/>
      <c r="E628" s="20"/>
      <c r="F628" s="20"/>
      <c r="G628" s="20"/>
      <c r="H628" s="20"/>
      <c r="I628" s="20"/>
      <c r="J628" s="20"/>
      <c r="K628" s="20"/>
      <c r="L628" s="20"/>
      <c r="M628" s="20"/>
      <c r="N628" s="20"/>
      <c r="O628" s="20"/>
      <c r="P628" s="20"/>
      <c r="Q628" s="20"/>
      <c r="R628" s="20"/>
      <c r="S628" s="20"/>
      <c r="T628" s="20"/>
      <c r="U628" s="20"/>
      <c r="V628" s="20"/>
      <c r="W628" s="20"/>
      <c r="X628" s="20"/>
    </row>
    <row r="629">
      <c r="A629" s="37" t="str">
        <f>IFERROR(__xludf.DUMMYFUNCTION("""COMPUTED_VALUE"""),"https://techcombank.com/thong-tin/blog/bao-hiem-nhan-tho-bao-nhieu-tien")</f>
        <v>https://techcombank.com/thong-tin/blog/bao-hiem-nhan-tho-bao-nhieu-tien</v>
      </c>
      <c r="B629" s="28">
        <f>IFERROR(__xludf.DUMMYFUNCTION("""COMPUTED_VALUE"""),1.0)</f>
        <v>1</v>
      </c>
      <c r="C629" s="37" t="str">
        <f>IFERROR(__xludf.DUMMYFUNCTION("IF(A629="""","""",TEXTJOIN(CHAR(10),TRUE,FILTER('Tổng hợp 75 trang đích'!$B$2:$B$3400,'Tổng hợp 75 trang đích'!$I$2:$I$3400=A629)))"),"https://techcombank.com/thong-tin/blog/cach-tinh-thue-thu-nhap-ca-nhan-2025")</f>
        <v>https://techcombank.com/thong-tin/blog/cach-tinh-thue-thu-nhap-ca-nhan-2025</v>
      </c>
      <c r="D629" s="20"/>
      <c r="E629" s="20"/>
      <c r="F629" s="20"/>
      <c r="G629" s="20"/>
      <c r="H629" s="20"/>
      <c r="I629" s="20"/>
      <c r="J629" s="20"/>
      <c r="K629" s="20"/>
      <c r="L629" s="20"/>
      <c r="M629" s="20"/>
      <c r="N629" s="20"/>
      <c r="O629" s="20"/>
      <c r="P629" s="20"/>
      <c r="Q629" s="20"/>
      <c r="R629" s="20"/>
      <c r="S629" s="20"/>
      <c r="T629" s="20"/>
      <c r="U629" s="20"/>
      <c r="V629" s="20"/>
      <c r="W629" s="20"/>
      <c r="X629" s="20"/>
    </row>
    <row r="630">
      <c r="A630" s="37" t="str">
        <f>IFERROR(__xludf.DUMMYFUNCTION("""COMPUTED_VALUE"""),"https://techcombank.com/thong-tin/blog/bao-hiem-nhan-tho-la-gi")</f>
        <v>https://techcombank.com/thong-tin/blog/bao-hiem-nhan-tho-la-gi</v>
      </c>
      <c r="B630" s="28">
        <f>IFERROR(__xludf.DUMMYFUNCTION("""COMPUTED_VALUE"""),1.0)</f>
        <v>1</v>
      </c>
      <c r="C630" s="37" t="str">
        <f>IFERROR(__xludf.DUMMYFUNCTION("IF(A630="""","""",TEXTJOIN(CHAR(10),TRUE,FILTER('Tổng hợp 75 trang đích'!$B$2:$B$3400,'Tổng hợp 75 trang đích'!$I$2:$I$3400=A630)))"),"https://techcombank.com/thong-tin/blog/cach-tinh-tien-dien-sinh-hoat")</f>
        <v>https://techcombank.com/thong-tin/blog/cach-tinh-tien-dien-sinh-hoat</v>
      </c>
      <c r="D630" s="20"/>
      <c r="E630" s="20"/>
      <c r="F630" s="20"/>
      <c r="G630" s="20"/>
      <c r="H630" s="20"/>
      <c r="I630" s="20"/>
      <c r="J630" s="20"/>
      <c r="K630" s="20"/>
      <c r="L630" s="20"/>
      <c r="M630" s="20"/>
      <c r="N630" s="20"/>
      <c r="O630" s="20"/>
      <c r="P630" s="20"/>
      <c r="Q630" s="20"/>
      <c r="R630" s="20"/>
      <c r="S630" s="20"/>
      <c r="T630" s="20"/>
      <c r="U630" s="20"/>
      <c r="V630" s="20"/>
      <c r="W630" s="20"/>
      <c r="X630" s="20"/>
    </row>
    <row r="631">
      <c r="A631" s="37" t="str">
        <f>IFERROR(__xludf.DUMMYFUNCTION("""COMPUTED_VALUE"""),"https://techcombank.com/thong-tin/blog/bao-hiem-trung")</f>
        <v>https://techcombank.com/thong-tin/blog/bao-hiem-trung</v>
      </c>
      <c r="B631" s="28">
        <f>IFERROR(__xludf.DUMMYFUNCTION("""COMPUTED_VALUE"""),1.0)</f>
        <v>1</v>
      </c>
      <c r="C631" s="37" t="str">
        <f>IFERROR(__xludf.DUMMYFUNCTION("IF(A631="""","""",TEXTJOIN(CHAR(10),TRUE,FILTER('Tổng hợp 75 trang đích'!$B$2:$B$3400,'Tổng hợp 75 trang đích'!$I$2:$I$3400=A631)))"),"https://techcombank.com/thong-tin/blog/vay-ngan-hang-1-ty-moi-thang-tra-bao-nhieu")</f>
        <v>https://techcombank.com/thong-tin/blog/vay-ngan-hang-1-ty-moi-thang-tra-bao-nhieu</v>
      </c>
      <c r="D631" s="20"/>
      <c r="E631" s="20"/>
      <c r="F631" s="20"/>
      <c r="G631" s="20"/>
      <c r="H631" s="20"/>
      <c r="I631" s="20"/>
      <c r="J631" s="20"/>
      <c r="K631" s="20"/>
      <c r="L631" s="20"/>
      <c r="M631" s="20"/>
      <c r="N631" s="20"/>
      <c r="O631" s="20"/>
      <c r="P631" s="20"/>
      <c r="Q631" s="20"/>
      <c r="R631" s="20"/>
      <c r="S631" s="20"/>
      <c r="T631" s="20"/>
      <c r="U631" s="20"/>
      <c r="V631" s="20"/>
      <c r="W631" s="20"/>
      <c r="X631" s="20"/>
    </row>
    <row r="632">
      <c r="A632" s="37" t="str">
        <f>IFERROR(__xludf.DUMMYFUNCTION("""COMPUTED_VALUE"""),"https://techcombank.com/thong-tin/blog/bao-hiem-vat-chat-xe-o-to")</f>
        <v>https://techcombank.com/thong-tin/blog/bao-hiem-vat-chat-xe-o-to</v>
      </c>
      <c r="B632" s="28">
        <f>IFERROR(__xludf.DUMMYFUNCTION("""COMPUTED_VALUE"""),1.0)</f>
        <v>1</v>
      </c>
      <c r="C632" s="37" t="str">
        <f>IFERROR(__xludf.DUMMYFUNCTION("IF(A632="""","""",TEXTJOIN(CHAR(10),TRUE,FILTER('Tổng hợp 75 trang đích'!$B$2:$B$3400,'Tổng hợp 75 trang đích'!$I$2:$I$3400=A632)))"),"https://techcombank.com/thong-tin/blog/cic-la-gi")</f>
        <v>https://techcombank.com/thong-tin/blog/cic-la-gi</v>
      </c>
      <c r="D632" s="20"/>
      <c r="E632" s="20"/>
      <c r="F632" s="20"/>
      <c r="G632" s="20"/>
      <c r="H632" s="20"/>
      <c r="I632" s="20"/>
      <c r="J632" s="20"/>
      <c r="K632" s="20"/>
      <c r="L632" s="20"/>
      <c r="M632" s="20"/>
      <c r="N632" s="20"/>
      <c r="O632" s="20"/>
      <c r="P632" s="20"/>
      <c r="Q632" s="20"/>
      <c r="R632" s="20"/>
      <c r="S632" s="20"/>
      <c r="T632" s="20"/>
      <c r="U632" s="20"/>
      <c r="V632" s="20"/>
      <c r="W632" s="20"/>
      <c r="X632" s="20"/>
    </row>
    <row r="633">
      <c r="A633" s="37" t="str">
        <f>IFERROR(__xludf.DUMMYFUNCTION("""COMPUTED_VALUE"""),"https://techcombank.com/thong-tin/blog/bao-lanh-bao-hanh")</f>
        <v>https://techcombank.com/thong-tin/blog/bao-lanh-bao-hanh</v>
      </c>
      <c r="B633" s="28">
        <f>IFERROR(__xludf.DUMMYFUNCTION("""COMPUTED_VALUE"""),1.0)</f>
        <v>1</v>
      </c>
      <c r="C633" s="37" t="str">
        <f>IFERROR(__xludf.DUMMYFUNCTION("IF(A633="""","""",TEXTJOIN(CHAR(10),TRUE,FILTER('Tổng hợp 75 trang đích'!$B$2:$B$3400,'Tổng hợp 75 trang đích'!$I$2:$I$3400=A633)))"),"https://techcombank.com/thong-tin/blog/nop-thue-dat-qua-ngan-hang")</f>
        <v>https://techcombank.com/thong-tin/blog/nop-thue-dat-qua-ngan-hang</v>
      </c>
      <c r="D633" s="20"/>
      <c r="E633" s="20"/>
      <c r="F633" s="20"/>
      <c r="G633" s="20"/>
      <c r="H633" s="20"/>
      <c r="I633" s="20"/>
      <c r="J633" s="20"/>
      <c r="K633" s="20"/>
      <c r="L633" s="20"/>
      <c r="M633" s="20"/>
      <c r="N633" s="20"/>
      <c r="O633" s="20"/>
      <c r="P633" s="20"/>
      <c r="Q633" s="20"/>
      <c r="R633" s="20"/>
      <c r="S633" s="20"/>
      <c r="T633" s="20"/>
      <c r="U633" s="20"/>
      <c r="V633" s="20"/>
      <c r="W633" s="20"/>
      <c r="X633" s="20"/>
    </row>
    <row r="634">
      <c r="A634" s="37" t="str">
        <f>IFERROR(__xludf.DUMMYFUNCTION("""COMPUTED_VALUE"""),"https://techcombank.com/thong-tin/blog/bao-lanh-ngan-hang-infographic")</f>
        <v>https://techcombank.com/thong-tin/blog/bao-lanh-ngan-hang-infographic</v>
      </c>
      <c r="B634" s="28">
        <f>IFERROR(__xludf.DUMMYFUNCTION("""COMPUTED_VALUE"""),1.0)</f>
        <v>1</v>
      </c>
      <c r="C634" s="37" t="str">
        <f>IFERROR(__xludf.DUMMYFUNCTION("IF(A634="""","""",TEXTJOIN(CHAR(10),TRUE,FILTER('Tổng hợp 75 trang đích'!$B$2:$B$3400,'Tổng hợp 75 trang đích'!$I$2:$I$3400=A634)))"),"https://techcombank.com/thong-tin/blog/nop-thue-dat-qua-ngan-hang")</f>
        <v>https://techcombank.com/thong-tin/blog/nop-thue-dat-qua-ngan-hang</v>
      </c>
      <c r="D634" s="20"/>
      <c r="E634" s="20"/>
      <c r="F634" s="20"/>
      <c r="G634" s="20"/>
      <c r="H634" s="20"/>
      <c r="I634" s="20"/>
      <c r="J634" s="20"/>
      <c r="K634" s="20"/>
      <c r="L634" s="20"/>
      <c r="M634" s="20"/>
      <c r="N634" s="20"/>
      <c r="O634" s="20"/>
      <c r="P634" s="20"/>
      <c r="Q634" s="20"/>
      <c r="R634" s="20"/>
      <c r="S634" s="20"/>
      <c r="T634" s="20"/>
      <c r="U634" s="20"/>
      <c r="V634" s="20"/>
      <c r="W634" s="20"/>
      <c r="X634" s="20"/>
    </row>
    <row r="635">
      <c r="A635" s="37" t="str">
        <f>IFERROR(__xludf.DUMMYFUNCTION("""COMPUTED_VALUE"""),"https://techcombank.com/thong-tin/blog/bi-nuot-the-atm-phai-lam-sao")</f>
        <v>https://techcombank.com/thong-tin/blog/bi-nuot-the-atm-phai-lam-sao</v>
      </c>
      <c r="B635" s="28">
        <f>IFERROR(__xludf.DUMMYFUNCTION("""COMPUTED_VALUE"""),1.0)</f>
        <v>1</v>
      </c>
      <c r="C635" s="37" t="str">
        <f>IFERROR(__xludf.DUMMYFUNCTION("IF(A635="""","""",TEXTJOIN(CHAR(10),TRUE,FILTER('Tổng hợp 75 trang đích'!$B$2:$B$3400,'Tổng hợp 75 trang đích'!$I$2:$I$3400=A635)))"),"https://techcombank.com/thong-tin/blog/nap-tien-vao-tai-khoan-ngan-hang")</f>
        <v>https://techcombank.com/thong-tin/blog/nap-tien-vao-tai-khoan-ngan-hang</v>
      </c>
      <c r="D635" s="20"/>
      <c r="E635" s="20"/>
      <c r="F635" s="20"/>
      <c r="G635" s="20"/>
      <c r="H635" s="20"/>
      <c r="I635" s="20"/>
      <c r="J635" s="20"/>
      <c r="K635" s="20"/>
      <c r="L635" s="20"/>
      <c r="M635" s="20"/>
      <c r="N635" s="20"/>
      <c r="O635" s="20"/>
      <c r="P635" s="20"/>
      <c r="Q635" s="20"/>
      <c r="R635" s="20"/>
      <c r="S635" s="20"/>
      <c r="T635" s="20"/>
      <c r="U635" s="20"/>
      <c r="V635" s="20"/>
      <c r="W635" s="20"/>
      <c r="X635" s="20"/>
    </row>
    <row r="636">
      <c r="A636" s="37" t="str">
        <f>IFERROR(__xludf.DUMMYFUNCTION("""COMPUTED_VALUE"""),"https://techcombank.com/thong-tin/blog/ca-nhan-hoa")</f>
        <v>https://techcombank.com/thong-tin/blog/ca-nhan-hoa</v>
      </c>
      <c r="B636" s="28">
        <f>IFERROR(__xludf.DUMMYFUNCTION("""COMPUTED_VALUE"""),1.0)</f>
        <v>1</v>
      </c>
      <c r="C636" s="37" t="str">
        <f>IFERROR(__xludf.DUMMYFUNCTION("IF(A636="""","""",TEXTJOIN(CHAR(10),TRUE,FILTER('Tổng hợp 75 trang đích'!$B$2:$B$3400,'Tổng hợp 75 trang đích'!$I$2:$I$3400=A636)))"),"https://techcombank.com/thong-tin/blog/cach-thanh-toan-the-tin-dung")</f>
        <v>https://techcombank.com/thong-tin/blog/cach-thanh-toan-the-tin-dung</v>
      </c>
      <c r="D636" s="20"/>
      <c r="E636" s="20"/>
      <c r="F636" s="20"/>
      <c r="G636" s="20"/>
      <c r="H636" s="20"/>
      <c r="I636" s="20"/>
      <c r="J636" s="20"/>
      <c r="K636" s="20"/>
      <c r="L636" s="20"/>
      <c r="M636" s="20"/>
      <c r="N636" s="20"/>
      <c r="O636" s="20"/>
      <c r="P636" s="20"/>
      <c r="Q636" s="20"/>
      <c r="R636" s="20"/>
      <c r="S636" s="20"/>
      <c r="T636" s="20"/>
      <c r="U636" s="20"/>
      <c r="V636" s="20"/>
      <c r="W636" s="20"/>
      <c r="X636" s="20"/>
    </row>
    <row r="637">
      <c r="A637" s="37" t="str">
        <f>IFERROR(__xludf.DUMMYFUNCTION("""COMPUTED_VALUE"""),"https://techcombank.com/thong-tin/blog/cac-loai-bao-hiem-hien-nay")</f>
        <v>https://techcombank.com/thong-tin/blog/cac-loai-bao-hiem-hien-nay</v>
      </c>
      <c r="B637" s="28">
        <f>IFERROR(__xludf.DUMMYFUNCTION("""COMPUTED_VALUE"""),1.0)</f>
        <v>1</v>
      </c>
      <c r="C637" s="37" t="str">
        <f>IFERROR(__xludf.DUMMYFUNCTION("IF(A637="""","""",TEXTJOIN(CHAR(10),TRUE,FILTER('Tổng hợp 75 trang đích'!$B$2:$B$3400,'Tổng hợp 75 trang đích'!$I$2:$I$3400=A637)))"),"https://techcombank.com/thong-tin/blog/cong-ty-su-dung-tai-khoan-ca-nhan")</f>
        <v>https://techcombank.com/thong-tin/blog/cong-ty-su-dung-tai-khoan-ca-nhan</v>
      </c>
      <c r="D637" s="20"/>
      <c r="E637" s="20"/>
      <c r="F637" s="20"/>
      <c r="G637" s="20"/>
      <c r="H637" s="20"/>
      <c r="I637" s="20"/>
      <c r="J637" s="20"/>
      <c r="K637" s="20"/>
      <c r="L637" s="20"/>
      <c r="M637" s="20"/>
      <c r="N637" s="20"/>
      <c r="O637" s="20"/>
      <c r="P637" s="20"/>
      <c r="Q637" s="20"/>
      <c r="R637" s="20"/>
      <c r="S637" s="20"/>
      <c r="T637" s="20"/>
      <c r="U637" s="20"/>
      <c r="V637" s="20"/>
      <c r="W637" s="20"/>
      <c r="X637" s="20"/>
    </row>
    <row r="638">
      <c r="A638" s="37" t="str">
        <f>IFERROR(__xludf.DUMMYFUNCTION("""COMPUTED_VALUE"""),"https://techcombank.com/thong-tin/blog/cac-loai-the-ngan-hang")</f>
        <v>https://techcombank.com/thong-tin/blog/cac-loai-the-ngan-hang</v>
      </c>
      <c r="B638" s="28">
        <f>IFERROR(__xludf.DUMMYFUNCTION("""COMPUTED_VALUE"""),1.0)</f>
        <v>1</v>
      </c>
      <c r="C638" s="37" t="str">
        <f>IFERROR(__xludf.DUMMYFUNCTION("IF(A638="""","""",TEXTJOIN(CHAR(10),TRUE,FILTER('Tổng hợp 75 trang đích'!$B$2:$B$3400,'Tổng hợp 75 trang đích'!$I$2:$I$3400=A638)))"),"https://techcombank.com/thong-tin/blog/cic-la-gi")</f>
        <v>https://techcombank.com/thong-tin/blog/cic-la-gi</v>
      </c>
      <c r="D638" s="20"/>
      <c r="E638" s="20"/>
      <c r="F638" s="20"/>
      <c r="G638" s="20"/>
      <c r="H638" s="20"/>
      <c r="I638" s="20"/>
      <c r="J638" s="20"/>
      <c r="K638" s="20"/>
      <c r="L638" s="20"/>
      <c r="M638" s="20"/>
      <c r="N638" s="20"/>
      <c r="O638" s="20"/>
      <c r="P638" s="20"/>
      <c r="Q638" s="20"/>
      <c r="R638" s="20"/>
      <c r="S638" s="20"/>
      <c r="T638" s="20"/>
      <c r="U638" s="20"/>
      <c r="V638" s="20"/>
      <c r="W638" s="20"/>
      <c r="X638" s="20"/>
    </row>
    <row r="639">
      <c r="A639" s="37" t="str">
        <f>IFERROR(__xludf.DUMMYFUNCTION("""COMPUTED_VALUE"""),"https://techcombank.com/thong-tin/blog/cach-dang-ky-dinh-danh-muc-2")</f>
        <v>https://techcombank.com/thong-tin/blog/cach-dang-ky-dinh-danh-muc-2</v>
      </c>
      <c r="B639" s="28">
        <f>IFERROR(__xludf.DUMMYFUNCTION("""COMPUTED_VALUE"""),1.0)</f>
        <v>1</v>
      </c>
      <c r="C639" s="37" t="str">
        <f>IFERROR(__xludf.DUMMYFUNCTION("IF(A639="""","""",TEXTJOIN(CHAR(10),TRUE,FILTER('Tổng hợp 75 trang đích'!$B$2:$B$3400,'Tổng hợp 75 trang đích'!$I$2:$I$3400=A639)))"),"https://techcombank.com/thong-tin/blog/cach-quet-nfc-cccd-tren-iphone")</f>
        <v>https://techcombank.com/thong-tin/blog/cach-quet-nfc-cccd-tren-iphone</v>
      </c>
      <c r="D639" s="20"/>
      <c r="E639" s="20"/>
      <c r="F639" s="20"/>
      <c r="G639" s="20"/>
      <c r="H639" s="20"/>
      <c r="I639" s="20"/>
      <c r="J639" s="20"/>
      <c r="K639" s="20"/>
      <c r="L639" s="20"/>
      <c r="M639" s="20"/>
      <c r="N639" s="20"/>
      <c r="O639" s="20"/>
      <c r="P639" s="20"/>
      <c r="Q639" s="20"/>
      <c r="R639" s="20"/>
      <c r="S639" s="20"/>
      <c r="T639" s="20"/>
      <c r="U639" s="20"/>
      <c r="V639" s="20"/>
      <c r="W639" s="20"/>
      <c r="X639" s="20"/>
    </row>
    <row r="640">
      <c r="A640" s="37" t="str">
        <f>IFERROR(__xludf.DUMMYFUNCTION("""COMPUTED_VALUE"""),"https://techcombank.com/thong-tin/blog/cach-dang-ky-the-visa")</f>
        <v>https://techcombank.com/thong-tin/blog/cach-dang-ky-the-visa</v>
      </c>
      <c r="B640" s="28">
        <f>IFERROR(__xludf.DUMMYFUNCTION("""COMPUTED_VALUE"""),1.0)</f>
        <v>1</v>
      </c>
      <c r="C640" s="37" t="str">
        <f>IFERROR(__xludf.DUMMYFUNCTION("IF(A640="""","""",TEXTJOIN(CHAR(10),TRUE,FILTER('Tổng hợp 75 trang đích'!$B$2:$B$3400,'Tổng hợp 75 trang đích'!$I$2:$I$3400=A640)))"),"https://techcombank.com/thong-tin/blog/no-xau-la-gi")</f>
        <v>https://techcombank.com/thong-tin/blog/no-xau-la-gi</v>
      </c>
      <c r="D640" s="20"/>
      <c r="E640" s="20"/>
      <c r="F640" s="20"/>
      <c r="G640" s="20"/>
      <c r="H640" s="20"/>
      <c r="I640" s="20"/>
      <c r="J640" s="20"/>
      <c r="K640" s="20"/>
      <c r="L640" s="20"/>
      <c r="M640" s="20"/>
      <c r="N640" s="20"/>
      <c r="O640" s="20"/>
      <c r="P640" s="20"/>
      <c r="Q640" s="20"/>
      <c r="R640" s="20"/>
      <c r="S640" s="20"/>
      <c r="T640" s="20"/>
      <c r="U640" s="20"/>
      <c r="V640" s="20"/>
      <c r="W640" s="20"/>
      <c r="X640" s="20"/>
    </row>
    <row r="641">
      <c r="A641" s="37" t="str">
        <f>IFERROR(__xludf.DUMMYFUNCTION("""COMPUTED_VALUE"""),"https://techcombank.com/thong-tin/blog/cach-nap-the-viettel")</f>
        <v>https://techcombank.com/thong-tin/blog/cach-nap-the-viettel</v>
      </c>
      <c r="B641" s="28">
        <f>IFERROR(__xludf.DUMMYFUNCTION("""COMPUTED_VALUE"""),1.0)</f>
        <v>1</v>
      </c>
      <c r="C641" s="37" t="str">
        <f>IFERROR(__xludf.DUMMYFUNCTION("IF(A641="""","""",TEXTJOIN(CHAR(10),TRUE,FILTER('Tổng hợp 75 trang đích'!$B$2:$B$3400,'Tổng hợp 75 trang đích'!$I$2:$I$3400=A641)))"),"https://techcombank.com/thong-tin/blog/cic-la-gi")</f>
        <v>https://techcombank.com/thong-tin/blog/cic-la-gi</v>
      </c>
      <c r="D641" s="20"/>
      <c r="E641" s="20"/>
      <c r="F641" s="20"/>
      <c r="G641" s="20"/>
      <c r="H641" s="20"/>
      <c r="I641" s="20"/>
      <c r="J641" s="20"/>
      <c r="K641" s="20"/>
      <c r="L641" s="20"/>
      <c r="M641" s="20"/>
      <c r="N641" s="20"/>
      <c r="O641" s="20"/>
      <c r="P641" s="20"/>
      <c r="Q641" s="20"/>
      <c r="R641" s="20"/>
      <c r="S641" s="20"/>
      <c r="T641" s="20"/>
      <c r="U641" s="20"/>
      <c r="V641" s="20"/>
      <c r="W641" s="20"/>
      <c r="X641" s="20"/>
    </row>
    <row r="642">
      <c r="A642" s="37" t="str">
        <f>IFERROR(__xludf.DUMMYFUNCTION("""COMPUTED_VALUE"""),"https://techcombank.com/thong-tin/blog/cach-quan-ly-tai-san")</f>
        <v>https://techcombank.com/thong-tin/blog/cach-quan-ly-tai-san</v>
      </c>
      <c r="B642" s="28">
        <f>IFERROR(__xludf.DUMMYFUNCTION("""COMPUTED_VALUE"""),1.0)</f>
        <v>1</v>
      </c>
      <c r="C642" s="37" t="str">
        <f>IFERROR(__xludf.DUMMYFUNCTION("IF(A642="""","""",TEXTJOIN(CHAR(10),TRUE,FILTER('Tổng hợp 75 trang đích'!$B$2:$B$3400,'Tổng hợp 75 trang đích'!$I$2:$I$3400=A642)))"),"https://techcombank.com/thong-tin/blog/lai-suat-tiet-kiem")</f>
        <v>https://techcombank.com/thong-tin/blog/lai-suat-tiet-kiem</v>
      </c>
      <c r="D642" s="20"/>
      <c r="E642" s="20"/>
      <c r="F642" s="20"/>
      <c r="G642" s="20"/>
      <c r="H642" s="20"/>
      <c r="I642" s="20"/>
      <c r="J642" s="20"/>
      <c r="K642" s="20"/>
      <c r="L642" s="20"/>
      <c r="M642" s="20"/>
      <c r="N642" s="20"/>
      <c r="O642" s="20"/>
      <c r="P642" s="20"/>
      <c r="Q642" s="20"/>
      <c r="R642" s="20"/>
      <c r="S642" s="20"/>
      <c r="T642" s="20"/>
      <c r="U642" s="20"/>
      <c r="V642" s="20"/>
      <c r="W642" s="20"/>
      <c r="X642" s="20"/>
    </row>
    <row r="643">
      <c r="A643" s="37" t="str">
        <f>IFERROR(__xludf.DUMMYFUNCTION("""COMPUTED_VALUE"""),"https://techcombank.com/thong-tin/blog/cach-quet-nfc-cccd-tren-iphone")</f>
        <v>https://techcombank.com/thong-tin/blog/cach-quet-nfc-cccd-tren-iphone</v>
      </c>
      <c r="B643" s="28">
        <f>IFERROR(__xludf.DUMMYFUNCTION("""COMPUTED_VALUE"""),1.0)</f>
        <v>1</v>
      </c>
      <c r="C643" s="37" t="str">
        <f>IFERROR(__xludf.DUMMYFUNCTION("IF(A643="""","""",TEXTJOIN(CHAR(10),TRUE,FILTER('Tổng hợp 75 trang đích'!$B$2:$B$3400,'Tổng hợp 75 trang đích'!$I$2:$I$3400=A643)))"),"https://techcombank.com/thong-tin/blog/mo-tai-khoan-ngan-hang-duoi-18-tuoi")</f>
        <v>https://techcombank.com/thong-tin/blog/mo-tai-khoan-ngan-hang-duoi-18-tuoi</v>
      </c>
      <c r="D643" s="20"/>
      <c r="E643" s="20"/>
      <c r="F643" s="20"/>
      <c r="G643" s="20"/>
      <c r="H643" s="20"/>
      <c r="I643" s="20"/>
      <c r="J643" s="20"/>
      <c r="K643" s="20"/>
      <c r="L643" s="20"/>
      <c r="M643" s="20"/>
      <c r="N643" s="20"/>
      <c r="O643" s="20"/>
      <c r="P643" s="20"/>
      <c r="Q643" s="20"/>
      <c r="R643" s="20"/>
      <c r="S643" s="20"/>
      <c r="T643" s="20"/>
      <c r="U643" s="20"/>
      <c r="V643" s="20"/>
      <c r="W643" s="20"/>
      <c r="X643" s="20"/>
    </row>
    <row r="644">
      <c r="A644" s="37" t="str">
        <f>IFERROR(__xludf.DUMMYFUNCTION("""COMPUTED_VALUE"""),"https://techcombank.com/thong-tin/blog/cach-sao-ke-tai-khoan-ngan-hang")</f>
        <v>https://techcombank.com/thong-tin/blog/cach-sao-ke-tai-khoan-ngan-hang</v>
      </c>
      <c r="B644" s="28">
        <f>IFERROR(__xludf.DUMMYFUNCTION("""COMPUTED_VALUE"""),1.0)</f>
        <v>1</v>
      </c>
      <c r="C644" s="37" t="str">
        <f>IFERROR(__xludf.DUMMYFUNCTION("IF(A644="""","""",TEXTJOIN(CHAR(10),TRUE,FILTER('Tổng hợp 75 trang đích'!$B$2:$B$3400,'Tổng hợp 75 trang đích'!$I$2:$I$3400=A644)))"),"https://techcombank.com/thong-tin/blog/cic-la-gi")</f>
        <v>https://techcombank.com/thong-tin/blog/cic-la-gi</v>
      </c>
      <c r="D644" s="20"/>
      <c r="E644" s="20"/>
      <c r="F644" s="20"/>
      <c r="G644" s="20"/>
      <c r="H644" s="20"/>
      <c r="I644" s="20"/>
      <c r="J644" s="20"/>
      <c r="K644" s="20"/>
      <c r="L644" s="20"/>
      <c r="M644" s="20"/>
      <c r="N644" s="20"/>
      <c r="O644" s="20"/>
      <c r="P644" s="20"/>
      <c r="Q644" s="20"/>
      <c r="R644" s="20"/>
      <c r="S644" s="20"/>
      <c r="T644" s="20"/>
      <c r="U644" s="20"/>
      <c r="V644" s="20"/>
      <c r="W644" s="20"/>
      <c r="X644" s="20"/>
    </row>
    <row r="645">
      <c r="A645" s="37" t="str">
        <f>IFERROR(__xludf.DUMMYFUNCTION("""COMPUTED_VALUE"""),"https://techcombank.com/thong-tin/blog/cach-tinh-tien-dien-sinh-hoat")</f>
        <v>https://techcombank.com/thong-tin/blog/cach-tinh-tien-dien-sinh-hoat</v>
      </c>
      <c r="B645" s="28">
        <f>IFERROR(__xludf.DUMMYFUNCTION("""COMPUTED_VALUE"""),1.0)</f>
        <v>1</v>
      </c>
      <c r="C645" s="37" t="str">
        <f>IFERROR(__xludf.DUMMYFUNCTION("IF(A645="""","""",TEXTJOIN(CHAR(10),TRUE,FILTER('Tổng hợp 75 trang đích'!$B$2:$B$3400,'Tổng hợp 75 trang đích'!$I$2:$I$3400=A645)))"),"https://techcombank.com/thong-tin/blog/thue-vat-la-gi")</f>
        <v>https://techcombank.com/thong-tin/blog/thue-vat-la-gi</v>
      </c>
      <c r="D645" s="20"/>
      <c r="E645" s="20"/>
      <c r="F645" s="20"/>
      <c r="G645" s="20"/>
      <c r="H645" s="20"/>
      <c r="I645" s="20"/>
      <c r="J645" s="20"/>
      <c r="K645" s="20"/>
      <c r="L645" s="20"/>
      <c r="M645" s="20"/>
      <c r="N645" s="20"/>
      <c r="O645" s="20"/>
      <c r="P645" s="20"/>
      <c r="Q645" s="20"/>
      <c r="R645" s="20"/>
      <c r="S645" s="20"/>
      <c r="T645" s="20"/>
      <c r="U645" s="20"/>
      <c r="V645" s="20"/>
      <c r="W645" s="20"/>
      <c r="X645" s="20"/>
    </row>
    <row r="646">
      <c r="A646" s="37" t="str">
        <f>IFERROR(__xludf.DUMMYFUNCTION("""COMPUTED_VALUE"""),"https://techcombank.com/thong-tin/blog/cach-tinh-ty-gia-ky-han")</f>
        <v>https://techcombank.com/thong-tin/blog/cach-tinh-ty-gia-ky-han</v>
      </c>
      <c r="B646" s="28">
        <f>IFERROR(__xludf.DUMMYFUNCTION("""COMPUTED_VALUE"""),1.0)</f>
        <v>1</v>
      </c>
      <c r="C646" s="37" t="str">
        <f>IFERROR(__xludf.DUMMYFUNCTION("IF(A646="""","""",TEXTJOIN(CHAR(10),TRUE,FILTER('Tổng hợp 75 trang đích'!$B$2:$B$3400,'Tổng hợp 75 trang đích'!$I$2:$I$3400=A646)))"),"https://techcombank.com/thong-tin/blog/lai-suat-tiet-kiem")</f>
        <v>https://techcombank.com/thong-tin/blog/lai-suat-tiet-kiem</v>
      </c>
      <c r="D646" s="20"/>
      <c r="E646" s="20"/>
      <c r="F646" s="20"/>
      <c r="G646" s="20"/>
      <c r="H646" s="20"/>
      <c r="I646" s="20"/>
      <c r="J646" s="20"/>
      <c r="K646" s="20"/>
      <c r="L646" s="20"/>
      <c r="M646" s="20"/>
      <c r="N646" s="20"/>
      <c r="O646" s="20"/>
      <c r="P646" s="20"/>
      <c r="Q646" s="20"/>
      <c r="R646" s="20"/>
      <c r="S646" s="20"/>
      <c r="T646" s="20"/>
      <c r="U646" s="20"/>
      <c r="V646" s="20"/>
      <c r="W646" s="20"/>
      <c r="X646" s="20"/>
    </row>
    <row r="647">
      <c r="A647" s="37" t="str">
        <f>IFERROR(__xludf.DUMMYFUNCTION("""COMPUTED_VALUE"""),"https://techcombank.com/thong-tin/blog/cay-atm-gan-day")</f>
        <v>https://techcombank.com/thong-tin/blog/cay-atm-gan-day</v>
      </c>
      <c r="B647" s="28">
        <f>IFERROR(__xludf.DUMMYFUNCTION("""COMPUTED_VALUE"""),1.0)</f>
        <v>1</v>
      </c>
      <c r="C647" s="37" t="str">
        <f>IFERROR(__xludf.DUMMYFUNCTION("IF(A647="""","""",TEXTJOIN(CHAR(10),TRUE,FILTER('Tổng hợp 75 trang đích'!$B$2:$B$3400,'Tổng hợp 75 trang đích'!$I$2:$I$3400=A647)))"),"https://techcombank.com/thong-tin/blog/rut-tien-mat-tu-the-tin-dung")</f>
        <v>https://techcombank.com/thong-tin/blog/rut-tien-mat-tu-the-tin-dung</v>
      </c>
      <c r="D647" s="20"/>
      <c r="E647" s="20"/>
      <c r="F647" s="20"/>
      <c r="G647" s="20"/>
      <c r="H647" s="20"/>
      <c r="I647" s="20"/>
      <c r="J647" s="20"/>
      <c r="K647" s="20"/>
      <c r="L647" s="20"/>
      <c r="M647" s="20"/>
      <c r="N647" s="20"/>
      <c r="O647" s="20"/>
      <c r="P647" s="20"/>
      <c r="Q647" s="20"/>
      <c r="R647" s="20"/>
      <c r="S647" s="20"/>
      <c r="T647" s="20"/>
      <c r="U647" s="20"/>
      <c r="V647" s="20"/>
      <c r="W647" s="20"/>
      <c r="X647" s="20"/>
    </row>
    <row r="648">
      <c r="A648" s="37" t="str">
        <f>IFERROR(__xludf.DUMMYFUNCTION("""COMPUTED_VALUE"""),"https://techcombank.com/thong-tin/blog/chi-tra-luong-huu")</f>
        <v>https://techcombank.com/thong-tin/blog/chi-tra-luong-huu</v>
      </c>
      <c r="B648" s="28">
        <f>IFERROR(__xludf.DUMMYFUNCTION("""COMPUTED_VALUE"""),1.0)</f>
        <v>1</v>
      </c>
      <c r="C648" s="37" t="str">
        <f>IFERROR(__xludf.DUMMYFUNCTION("IF(A648="""","""",TEXTJOIN(CHAR(10),TRUE,FILTER('Tổng hợp 75 trang đích'!$B$2:$B$3400,'Tổng hợp 75 trang đích'!$I$2:$I$3400=A648)))"),"https://techcombank.com/thong-tin/blog/cach-tinh-tien-dien-sinh-hoat")</f>
        <v>https://techcombank.com/thong-tin/blog/cach-tinh-tien-dien-sinh-hoat</v>
      </c>
      <c r="D648" s="20"/>
      <c r="E648" s="20"/>
      <c r="F648" s="20"/>
      <c r="G648" s="20"/>
      <c r="H648" s="20"/>
      <c r="I648" s="20"/>
      <c r="J648" s="20"/>
      <c r="K648" s="20"/>
      <c r="L648" s="20"/>
      <c r="M648" s="20"/>
      <c r="N648" s="20"/>
      <c r="O648" s="20"/>
      <c r="P648" s="20"/>
      <c r="Q648" s="20"/>
      <c r="R648" s="20"/>
      <c r="S648" s="20"/>
      <c r="T648" s="20"/>
      <c r="U648" s="20"/>
      <c r="V648" s="20"/>
      <c r="W648" s="20"/>
      <c r="X648" s="20"/>
    </row>
    <row r="649">
      <c r="A649" s="37" t="str">
        <f>IFERROR(__xludf.DUMMYFUNCTION("""COMPUTED_VALUE"""),"https://techcombank.com/thong-tin/blog/chien-luoc-dau-tu")</f>
        <v>https://techcombank.com/thong-tin/blog/chien-luoc-dau-tu</v>
      </c>
      <c r="B649" s="28">
        <f>IFERROR(__xludf.DUMMYFUNCTION("""COMPUTED_VALUE"""),1.0)</f>
        <v>1</v>
      </c>
      <c r="C649" s="37" t="str">
        <f>IFERROR(__xludf.DUMMYFUNCTION("IF(A649="""","""",TEXTJOIN(CHAR(10),TRUE,FILTER('Tổng hợp 75 trang đích'!$B$2:$B$3400,'Tổng hợp 75 trang đích'!$I$2:$I$3400=A649)))"),"https://techcombank.com/thong-tin/blog/phuong-phap-dau-tu-chung-chi-quy")</f>
        <v>https://techcombank.com/thong-tin/blog/phuong-phap-dau-tu-chung-chi-quy</v>
      </c>
      <c r="D649" s="20"/>
      <c r="E649" s="20"/>
      <c r="F649" s="20"/>
      <c r="G649" s="20"/>
      <c r="H649" s="20"/>
      <c r="I649" s="20"/>
      <c r="J649" s="20"/>
      <c r="K649" s="20"/>
      <c r="L649" s="20"/>
      <c r="M649" s="20"/>
      <c r="N649" s="20"/>
      <c r="O649" s="20"/>
      <c r="P649" s="20"/>
      <c r="Q649" s="20"/>
      <c r="R649" s="20"/>
      <c r="S649" s="20"/>
      <c r="T649" s="20"/>
      <c r="U649" s="20"/>
      <c r="V649" s="20"/>
      <c r="W649" s="20"/>
      <c r="X649" s="20"/>
    </row>
    <row r="650">
      <c r="A650" s="37" t="str">
        <f>IFERROR(__xludf.DUMMYFUNCTION("""COMPUTED_VALUE"""),"https://techcombank.com/thong-tin/blog/chixmax")</f>
        <v>https://techcombank.com/thong-tin/blog/chixmax</v>
      </c>
      <c r="B650" s="28">
        <f>IFERROR(__xludf.DUMMYFUNCTION("""COMPUTED_VALUE"""),1.0)</f>
        <v>1</v>
      </c>
      <c r="C650" s="37" t="str">
        <f>IFERROR(__xludf.DUMMYFUNCTION("IF(A650="""","""",TEXTJOIN(CHAR(10),TRUE,FILTER('Tổng hợp 75 trang đích'!$B$2:$B$3400,'Tổng hợp 75 trang đích'!$I$2:$I$3400=A650)))"),"https://techcombank.com/thong-tin/blog/traveloka-voucher")</f>
        <v>https://techcombank.com/thong-tin/blog/traveloka-voucher</v>
      </c>
      <c r="D650" s="20"/>
      <c r="E650" s="20"/>
      <c r="F650" s="20"/>
      <c r="G650" s="20"/>
      <c r="H650" s="20"/>
      <c r="I650" s="20"/>
      <c r="J650" s="20"/>
      <c r="K650" s="20"/>
      <c r="L650" s="20"/>
      <c r="M650" s="20"/>
      <c r="N650" s="20"/>
      <c r="O650" s="20"/>
      <c r="P650" s="20"/>
      <c r="Q650" s="20"/>
      <c r="R650" s="20"/>
      <c r="S650" s="20"/>
      <c r="T650" s="20"/>
      <c r="U650" s="20"/>
      <c r="V650" s="20"/>
      <c r="W650" s="20"/>
      <c r="X650" s="20"/>
    </row>
    <row r="651">
      <c r="A651" s="37" t="str">
        <f>IFERROR(__xludf.DUMMYFUNCTION("""COMPUTED_VALUE"""),"https://techcombank.com/thong-tin/blog/chu-ky-so-huong-di-nang-cao-hieu-qua-trong-hoat-dong-ngan-hang")</f>
        <v>https://techcombank.com/thong-tin/blog/chu-ky-so-huong-di-nang-cao-hieu-qua-trong-hoat-dong-ngan-hang</v>
      </c>
      <c r="B651" s="28">
        <f>IFERROR(__xludf.DUMMYFUNCTION("""COMPUTED_VALUE"""),1.0)</f>
        <v>1</v>
      </c>
      <c r="C651" s="37" t="str">
        <f>IFERROR(__xludf.DUMMYFUNCTION("IF(A651="""","""",TEXTJOIN(CHAR(10),TRUE,FILTER('Tổng hợp 75 trang đích'!$B$2:$B$3400,'Tổng hợp 75 trang đích'!$I$2:$I$3400=A651)))"),"https://techcombank.com/thong-tin/blog/cach-tinh-tien-dien-sinh-hoat")</f>
        <v>https://techcombank.com/thong-tin/blog/cach-tinh-tien-dien-sinh-hoat</v>
      </c>
      <c r="D651" s="20"/>
      <c r="E651" s="20"/>
      <c r="F651" s="20"/>
      <c r="G651" s="20"/>
      <c r="H651" s="20"/>
      <c r="I651" s="20"/>
      <c r="J651" s="20"/>
      <c r="K651" s="20"/>
      <c r="L651" s="20"/>
      <c r="M651" s="20"/>
      <c r="N651" s="20"/>
      <c r="O651" s="20"/>
      <c r="P651" s="20"/>
      <c r="Q651" s="20"/>
      <c r="R651" s="20"/>
      <c r="S651" s="20"/>
      <c r="T651" s="20"/>
      <c r="U651" s="20"/>
      <c r="V651" s="20"/>
      <c r="W651" s="20"/>
      <c r="X651" s="20"/>
    </row>
    <row r="652">
      <c r="A652" s="37" t="str">
        <f>IFERROR(__xludf.DUMMYFUNCTION("""COMPUTED_VALUE"""),"https://techcombank.com/thong-tin/blog/chung-chi-quy-dong")</f>
        <v>https://techcombank.com/thong-tin/blog/chung-chi-quy-dong</v>
      </c>
      <c r="B652" s="28">
        <f>IFERROR(__xludf.DUMMYFUNCTION("""COMPUTED_VALUE"""),1.0)</f>
        <v>1</v>
      </c>
      <c r="C652" s="37" t="str">
        <f>IFERROR(__xludf.DUMMYFUNCTION("IF(A652="""","""",TEXTJOIN(CHAR(10),TRUE,FILTER('Tổng hợp 75 trang đích'!$B$2:$B$3400,'Tổng hợp 75 trang đích'!$I$2:$I$3400=A652)))"),"https://techcombank.com/thong-tin/blog/lai-suat-tiet-kiem")</f>
        <v>https://techcombank.com/thong-tin/blog/lai-suat-tiet-kiem</v>
      </c>
      <c r="D652" s="20"/>
      <c r="E652" s="20"/>
      <c r="F652" s="20"/>
      <c r="G652" s="20"/>
      <c r="H652" s="20"/>
      <c r="I652" s="20"/>
      <c r="J652" s="20"/>
      <c r="K652" s="20"/>
      <c r="L652" s="20"/>
      <c r="M652" s="20"/>
      <c r="N652" s="20"/>
      <c r="O652" s="20"/>
      <c r="P652" s="20"/>
      <c r="Q652" s="20"/>
      <c r="R652" s="20"/>
      <c r="S652" s="20"/>
      <c r="T652" s="20"/>
      <c r="U652" s="20"/>
      <c r="V652" s="20"/>
      <c r="W652" s="20"/>
      <c r="X652" s="20"/>
    </row>
    <row r="653">
      <c r="A653" s="37" t="str">
        <f>IFERROR(__xludf.DUMMYFUNCTION("""COMPUTED_VALUE"""),"https://techcombank.com/thong-tin/blog/chung-chi-quy-mo-va-dong")</f>
        <v>https://techcombank.com/thong-tin/blog/chung-chi-quy-mo-va-dong</v>
      </c>
      <c r="B653" s="28">
        <f>IFERROR(__xludf.DUMMYFUNCTION("""COMPUTED_VALUE"""),1.0)</f>
        <v>1</v>
      </c>
      <c r="C653" s="37" t="str">
        <f>IFERROR(__xludf.DUMMYFUNCTION("IF(A653="""","""",TEXTJOIN(CHAR(10),TRUE,FILTER('Tổng hợp 75 trang đích'!$B$2:$B$3400,'Tổng hợp 75 trang đích'!$I$2:$I$3400=A653)))"),"https://techcombank.com/thong-tin/blog/lai-suat-tiet-kiem")</f>
        <v>https://techcombank.com/thong-tin/blog/lai-suat-tiet-kiem</v>
      </c>
      <c r="D653" s="20"/>
      <c r="E653" s="20"/>
      <c r="F653" s="20"/>
      <c r="G653" s="20"/>
      <c r="H653" s="20"/>
      <c r="I653" s="20"/>
      <c r="J653" s="20"/>
      <c r="K653" s="20"/>
      <c r="L653" s="20"/>
      <c r="M653" s="20"/>
      <c r="N653" s="20"/>
      <c r="O653" s="20"/>
      <c r="P653" s="20"/>
      <c r="Q653" s="20"/>
      <c r="R653" s="20"/>
      <c r="S653" s="20"/>
      <c r="T653" s="20"/>
      <c r="U653" s="20"/>
      <c r="V653" s="20"/>
      <c r="W653" s="20"/>
      <c r="X653" s="20"/>
    </row>
    <row r="654">
      <c r="A654" s="37" t="str">
        <f>IFERROR(__xludf.DUMMYFUNCTION("""COMPUTED_VALUE"""),"https://techcombank.com/thong-tin/blog/chung-chi-quy-va-chung-khoan")</f>
        <v>https://techcombank.com/thong-tin/blog/chung-chi-quy-va-chung-khoan</v>
      </c>
      <c r="B654" s="28">
        <f>IFERROR(__xludf.DUMMYFUNCTION("""COMPUTED_VALUE"""),1.0)</f>
        <v>1</v>
      </c>
      <c r="C654" s="37" t="str">
        <f>IFERROR(__xludf.DUMMYFUNCTION("IF(A654="""","""",TEXTJOIN(CHAR(10),TRUE,FILTER('Tổng hợp 75 trang đích'!$B$2:$B$3400,'Tổng hợp 75 trang đích'!$I$2:$I$3400=A654)))"),"https://techcombank.com/thong-tin/blog/phuong-phap-dau-tu-chung-chi-quy")</f>
        <v>https://techcombank.com/thong-tin/blog/phuong-phap-dau-tu-chung-chi-quy</v>
      </c>
      <c r="D654" s="20"/>
      <c r="E654" s="20"/>
      <c r="F654" s="20"/>
      <c r="G654" s="20"/>
      <c r="H654" s="20"/>
      <c r="I654" s="20"/>
      <c r="J654" s="20"/>
      <c r="K654" s="20"/>
      <c r="L654" s="20"/>
      <c r="M654" s="20"/>
      <c r="N654" s="20"/>
      <c r="O654" s="20"/>
      <c r="P654" s="20"/>
      <c r="Q654" s="20"/>
      <c r="R654" s="20"/>
      <c r="S654" s="20"/>
      <c r="T654" s="20"/>
      <c r="U654" s="20"/>
      <c r="V654" s="20"/>
      <c r="W654" s="20"/>
      <c r="X654" s="20"/>
    </row>
    <row r="655">
      <c r="A655" s="37" t="str">
        <f>IFERROR(__xludf.DUMMYFUNCTION("""COMPUTED_VALUE"""),"https://techcombank.com/thong-tin/blog/chung-chi-quy-va-co-phieu")</f>
        <v>https://techcombank.com/thong-tin/blog/chung-chi-quy-va-co-phieu</v>
      </c>
      <c r="B655" s="28">
        <f>IFERROR(__xludf.DUMMYFUNCTION("""COMPUTED_VALUE"""),1.0)</f>
        <v>1</v>
      </c>
      <c r="C655" s="37" t="str">
        <f>IFERROR(__xludf.DUMMYFUNCTION("IF(A655="""","""",TEXTJOIN(CHAR(10),TRUE,FILTER('Tổng hợp 75 trang đích'!$B$2:$B$3400,'Tổng hợp 75 trang đích'!$I$2:$I$3400=A655)))"),"https://techcombank.com/thong-tin/blog/phuong-phap-dau-tu-chung-chi-quy")</f>
        <v>https://techcombank.com/thong-tin/blog/phuong-phap-dau-tu-chung-chi-quy</v>
      </c>
      <c r="D655" s="20"/>
      <c r="E655" s="20"/>
      <c r="F655" s="20"/>
      <c r="G655" s="20"/>
      <c r="H655" s="20"/>
      <c r="I655" s="20"/>
      <c r="J655" s="20"/>
      <c r="K655" s="20"/>
      <c r="L655" s="20"/>
      <c r="M655" s="20"/>
      <c r="N655" s="20"/>
      <c r="O655" s="20"/>
      <c r="P655" s="20"/>
      <c r="Q655" s="20"/>
      <c r="R655" s="20"/>
      <c r="S655" s="20"/>
      <c r="T655" s="20"/>
      <c r="U655" s="20"/>
      <c r="V655" s="20"/>
      <c r="W655" s="20"/>
      <c r="X655" s="20"/>
    </row>
    <row r="656">
      <c r="A656" s="37" t="str">
        <f>IFERROR(__xludf.DUMMYFUNCTION("""COMPUTED_VALUE"""),"https://techcombank.com/thong-tin/blog/chuyen-doi-so-ho-kinh-doanh")</f>
        <v>https://techcombank.com/thong-tin/blog/chuyen-doi-so-ho-kinh-doanh</v>
      </c>
      <c r="B656" s="28">
        <f>IFERROR(__xludf.DUMMYFUNCTION("""COMPUTED_VALUE"""),1.0)</f>
        <v>1</v>
      </c>
      <c r="C656" s="37" t="str">
        <f>IFERROR(__xludf.DUMMYFUNCTION("IF(A656="""","""",TEXTJOIN(CHAR(10),TRUE,FILTER('Tổng hợp 75 trang đích'!$B$2:$B$3400,'Tổng hợp 75 trang đích'!$I$2:$I$3400=A656)))"),"https://techcombank.com/thong-tin/blog/ho-kinh-doanh-dong-thue-nhu-nao")</f>
        <v>https://techcombank.com/thong-tin/blog/ho-kinh-doanh-dong-thue-nhu-nao</v>
      </c>
      <c r="D656" s="20"/>
      <c r="E656" s="20"/>
      <c r="F656" s="20"/>
      <c r="G656" s="20"/>
      <c r="H656" s="20"/>
      <c r="I656" s="20"/>
      <c r="J656" s="20"/>
      <c r="K656" s="20"/>
      <c r="L656" s="20"/>
      <c r="M656" s="20"/>
      <c r="N656" s="20"/>
      <c r="O656" s="20"/>
      <c r="P656" s="20"/>
      <c r="Q656" s="20"/>
      <c r="R656" s="20"/>
      <c r="S656" s="20"/>
      <c r="T656" s="20"/>
      <c r="U656" s="20"/>
      <c r="V656" s="20"/>
      <c r="W656" s="20"/>
      <c r="X656" s="20"/>
    </row>
    <row r="657">
      <c r="A657" s="37" t="str">
        <f>IFERROR(__xludf.DUMMYFUNCTION("""COMPUTED_VALUE"""),"https://techcombank.com/thong-tin/blog/chuyen-doi-so-nganh-ngan-hang-thach-thuc-va-co-hoi")</f>
        <v>https://techcombank.com/thong-tin/blog/chuyen-doi-so-nganh-ngan-hang-thach-thuc-va-co-hoi</v>
      </c>
      <c r="B657" s="28">
        <f>IFERROR(__xludf.DUMMYFUNCTION("""COMPUTED_VALUE"""),1.0)</f>
        <v>1</v>
      </c>
      <c r="C657" s="37" t="str">
        <f>IFERROR(__xludf.DUMMYFUNCTION("IF(A657="""","""",TEXTJOIN(CHAR(10),TRUE,FILTER('Tổng hợp 75 trang đích'!$B$2:$B$3400,'Tổng hợp 75 trang đích'!$I$2:$I$3400=A657)))"),"https://techcombank.com/thong-tin/blog/tien-thai-lan")</f>
        <v>https://techcombank.com/thong-tin/blog/tien-thai-lan</v>
      </c>
      <c r="D657" s="20"/>
      <c r="E657" s="20"/>
      <c r="F657" s="20"/>
      <c r="G657" s="20"/>
      <c r="H657" s="20"/>
      <c r="I657" s="20"/>
      <c r="J657" s="20"/>
      <c r="K657" s="20"/>
      <c r="L657" s="20"/>
      <c r="M657" s="20"/>
      <c r="N657" s="20"/>
      <c r="O657" s="20"/>
      <c r="P657" s="20"/>
      <c r="Q657" s="20"/>
      <c r="R657" s="20"/>
      <c r="S657" s="20"/>
      <c r="T657" s="20"/>
      <c r="U657" s="20"/>
      <c r="V657" s="20"/>
      <c r="W657" s="20"/>
      <c r="X657" s="20"/>
    </row>
    <row r="658">
      <c r="A658" s="37" t="str">
        <f>IFERROR(__xludf.DUMMYFUNCTION("""COMPUTED_VALUE"""),"https://techcombank.com/thong-tin/blog/chuyen-khoan-thanh-cong-nhung-khong-nhan-duoc-tien")</f>
        <v>https://techcombank.com/thong-tin/blog/chuyen-khoan-thanh-cong-nhung-khong-nhan-duoc-tien</v>
      </c>
      <c r="B658" s="28">
        <f>IFERROR(__xludf.DUMMYFUNCTION("""COMPUTED_VALUE"""),1.0)</f>
        <v>1</v>
      </c>
      <c r="C658" s="37" t="str">
        <f>IFERROR(__xludf.DUMMYFUNCTION("IF(A658="""","""",TEXTJOIN(CHAR(10),TRUE,FILTER('Tổng hợp 75 trang đích'!$B$2:$B$3400,'Tổng hợp 75 trang đích'!$I$2:$I$3400=A658)))"),"https://techcombank.com/thong-tin/blog/cic-la-gi")</f>
        <v>https://techcombank.com/thong-tin/blog/cic-la-gi</v>
      </c>
      <c r="D658" s="20"/>
      <c r="E658" s="20"/>
      <c r="F658" s="20"/>
      <c r="G658" s="20"/>
      <c r="H658" s="20"/>
      <c r="I658" s="20"/>
      <c r="J658" s="20"/>
      <c r="K658" s="20"/>
      <c r="L658" s="20"/>
      <c r="M658" s="20"/>
      <c r="N658" s="20"/>
      <c r="O658" s="20"/>
      <c r="P658" s="20"/>
      <c r="Q658" s="20"/>
      <c r="R658" s="20"/>
      <c r="S658" s="20"/>
      <c r="T658" s="20"/>
      <c r="U658" s="20"/>
      <c r="V658" s="20"/>
      <c r="W658" s="20"/>
      <c r="X658" s="20"/>
    </row>
    <row r="659">
      <c r="A659" s="37" t="str">
        <f>IFERROR(__xludf.DUMMYFUNCTION("""COMPUTED_VALUE"""),"https://techcombank.com/thong-tin/blog/chuyen-nham-tien-co-lay-lai-duoc-khong")</f>
        <v>https://techcombank.com/thong-tin/blog/chuyen-nham-tien-co-lay-lai-duoc-khong</v>
      </c>
      <c r="B659" s="28">
        <f>IFERROR(__xludf.DUMMYFUNCTION("""COMPUTED_VALUE"""),1.0)</f>
        <v>1</v>
      </c>
      <c r="C659" s="37" t="str">
        <f>IFERROR(__xludf.DUMMYFUNCTION("IF(A659="""","""",TEXTJOIN(CHAR(10),TRUE,FILTER('Tổng hợp 75 trang đích'!$B$2:$B$3400,'Tổng hợp 75 trang đích'!$I$2:$I$3400=A659)))"),"https://techcombank.com/thong-tin/blog/chuyen-khoan-thanh-cong-nhung-khong-nhan-duoc-tien")</f>
        <v>https://techcombank.com/thong-tin/blog/chuyen-khoan-thanh-cong-nhung-khong-nhan-duoc-tien</v>
      </c>
      <c r="D659" s="20"/>
      <c r="E659" s="20"/>
      <c r="F659" s="20"/>
      <c r="G659" s="20"/>
      <c r="H659" s="20"/>
      <c r="I659" s="20"/>
      <c r="J659" s="20"/>
      <c r="K659" s="20"/>
      <c r="L659" s="20"/>
      <c r="M659" s="20"/>
      <c r="N659" s="20"/>
      <c r="O659" s="20"/>
      <c r="P659" s="20"/>
      <c r="Q659" s="20"/>
      <c r="R659" s="20"/>
      <c r="S659" s="20"/>
      <c r="T659" s="20"/>
      <c r="U659" s="20"/>
      <c r="V659" s="20"/>
      <c r="W659" s="20"/>
      <c r="X659" s="20"/>
    </row>
    <row r="660">
      <c r="A660" s="37" t="str">
        <f>IFERROR(__xludf.DUMMYFUNCTION("""COMPUTED_VALUE"""),"https://techcombank.com/thong-tin/blog/co-loyalty-la-gi")</f>
        <v>https://techcombank.com/thong-tin/blog/co-loyalty-la-gi</v>
      </c>
      <c r="B660" s="28">
        <f>IFERROR(__xludf.DUMMYFUNCTION("""COMPUTED_VALUE"""),1.0)</f>
        <v>1</v>
      </c>
      <c r="C660" s="37" t="str">
        <f>IFERROR(__xludf.DUMMYFUNCTION("IF(A660="""","""",TEXTJOIN(CHAR(10),TRUE,FILTER('Tổng hợp 75 trang đích'!$B$2:$B$3400,'Tổng hợp 75 trang đích'!$I$2:$I$3400=A660)))"),"https://techcombank.com/thong-tin/blog/cach-tinh-tien-dien-sinh-hoat")</f>
        <v>https://techcombank.com/thong-tin/blog/cach-tinh-tien-dien-sinh-hoat</v>
      </c>
      <c r="D660" s="20"/>
      <c r="E660" s="20"/>
      <c r="F660" s="20"/>
      <c r="G660" s="20"/>
      <c r="H660" s="20"/>
      <c r="I660" s="20"/>
      <c r="J660" s="20"/>
      <c r="K660" s="20"/>
      <c r="L660" s="20"/>
      <c r="M660" s="20"/>
      <c r="N660" s="20"/>
      <c r="O660" s="20"/>
      <c r="P660" s="20"/>
      <c r="Q660" s="20"/>
      <c r="R660" s="20"/>
      <c r="S660" s="20"/>
      <c r="T660" s="20"/>
      <c r="U660" s="20"/>
      <c r="V660" s="20"/>
      <c r="W660" s="20"/>
      <c r="X660" s="20"/>
    </row>
    <row r="661">
      <c r="A661" s="37" t="str">
        <f>IFERROR(__xludf.DUMMYFUNCTION("""COMPUTED_VALUE"""),"https://techcombank.com/thong-tin/blog/cong-ty-xuat-nhap-khau")</f>
        <v>https://techcombank.com/thong-tin/blog/cong-ty-xuat-nhap-khau</v>
      </c>
      <c r="B661" s="28">
        <f>IFERROR(__xludf.DUMMYFUNCTION("""COMPUTED_VALUE"""),1.0)</f>
        <v>1</v>
      </c>
      <c r="C661" s="37" t="str">
        <f>IFERROR(__xludf.DUMMYFUNCTION("IF(A661="""","""",TEXTJOIN(CHAR(10),TRUE,FILTER('Tổng hợp 75 trang đích'!$B$2:$B$3400,'Tổng hợp 75 trang đích'!$I$2:$I$3400=A661)))"),"https://techcombank.com/thong-tin/blog/tra-cuu-no-thue-doanh-nghiep")</f>
        <v>https://techcombank.com/thong-tin/blog/tra-cuu-no-thue-doanh-nghiep</v>
      </c>
      <c r="D661" s="20"/>
      <c r="E661" s="20"/>
      <c r="F661" s="20"/>
      <c r="G661" s="20"/>
      <c r="H661" s="20"/>
      <c r="I661" s="20"/>
      <c r="J661" s="20"/>
      <c r="K661" s="20"/>
      <c r="L661" s="20"/>
      <c r="M661" s="20"/>
      <c r="N661" s="20"/>
      <c r="O661" s="20"/>
      <c r="P661" s="20"/>
      <c r="Q661" s="20"/>
      <c r="R661" s="20"/>
      <c r="S661" s="20"/>
      <c r="T661" s="20"/>
      <c r="U661" s="20"/>
      <c r="V661" s="20"/>
      <c r="W661" s="20"/>
      <c r="X661" s="20"/>
    </row>
    <row r="662">
      <c r="A662" s="37" t="str">
        <f>IFERROR(__xludf.DUMMYFUNCTION("""COMPUTED_VALUE"""),"https://techcombank.com/thong-tin/blog/cpi-la-gi")</f>
        <v>https://techcombank.com/thong-tin/blog/cpi-la-gi</v>
      </c>
      <c r="B662" s="28">
        <f>IFERROR(__xludf.DUMMYFUNCTION("""COMPUTED_VALUE"""),1.0)</f>
        <v>1</v>
      </c>
      <c r="C662" s="37" t="str">
        <f>IFERROR(__xludf.DUMMYFUNCTION("IF(A662="""","""",TEXTJOIN(CHAR(10),TRUE,FILTER('Tổng hợp 75 trang đích'!$B$2:$B$3400,'Tổng hợp 75 trang đích'!$I$2:$I$3400=A662)))"),"https://techcombank.com/thong-tin/blog/cach-tinh-tien-dien-sinh-hoat")</f>
        <v>https://techcombank.com/thong-tin/blog/cach-tinh-tien-dien-sinh-hoat</v>
      </c>
      <c r="D662" s="20"/>
      <c r="E662" s="20"/>
      <c r="F662" s="20"/>
      <c r="G662" s="20"/>
      <c r="H662" s="20"/>
      <c r="I662" s="20"/>
      <c r="J662" s="20"/>
      <c r="K662" s="20"/>
      <c r="L662" s="20"/>
      <c r="M662" s="20"/>
      <c r="N662" s="20"/>
      <c r="O662" s="20"/>
      <c r="P662" s="20"/>
      <c r="Q662" s="20"/>
      <c r="R662" s="20"/>
      <c r="S662" s="20"/>
      <c r="T662" s="20"/>
      <c r="U662" s="20"/>
      <c r="V662" s="20"/>
      <c r="W662" s="20"/>
      <c r="X662" s="20"/>
    </row>
    <row r="663">
      <c r="A663" s="37" t="str">
        <f>IFERROR(__xludf.DUMMYFUNCTION("""COMPUTED_VALUE"""),"https://techcombank.com/thong-tin/blog/dac-san-nha-trang")</f>
        <v>https://techcombank.com/thong-tin/blog/dac-san-nha-trang</v>
      </c>
      <c r="B663" s="28">
        <f>IFERROR(__xludf.DUMMYFUNCTION("""COMPUTED_VALUE"""),1.0)</f>
        <v>1</v>
      </c>
      <c r="C663" s="37" t="str">
        <f>IFERROR(__xludf.DUMMYFUNCTION("IF(A663="""","""",TEXTJOIN(CHAR(10),TRUE,FILTER('Tổng hợp 75 trang đích'!$B$2:$B$3400,'Tổng hợp 75 trang đích'!$I$2:$I$3400=A663)))"),"https://techcombank.com/thong-tin/blog/cic-la-gi")</f>
        <v>https://techcombank.com/thong-tin/blog/cic-la-gi</v>
      </c>
      <c r="D663" s="20"/>
      <c r="E663" s="20"/>
      <c r="F663" s="20"/>
      <c r="G663" s="20"/>
      <c r="H663" s="20"/>
      <c r="I663" s="20"/>
      <c r="J663" s="20"/>
      <c r="K663" s="20"/>
      <c r="L663" s="20"/>
      <c r="M663" s="20"/>
      <c r="N663" s="20"/>
      <c r="O663" s="20"/>
      <c r="P663" s="20"/>
      <c r="Q663" s="20"/>
      <c r="R663" s="20"/>
      <c r="S663" s="20"/>
      <c r="T663" s="20"/>
      <c r="U663" s="20"/>
      <c r="V663" s="20"/>
      <c r="W663" s="20"/>
      <c r="X663" s="20"/>
    </row>
    <row r="664">
      <c r="A664" s="37" t="str">
        <f>IFERROR(__xludf.DUMMYFUNCTION("""COMPUTED_VALUE"""),"https://techcombank.com/thong-tin/blog/dang-ky-thanh-lap-doanh-nghiep")</f>
        <v>https://techcombank.com/thong-tin/blog/dang-ky-thanh-lap-doanh-nghiep</v>
      </c>
      <c r="B664" s="28">
        <f>IFERROR(__xludf.DUMMYFUNCTION("""COMPUTED_VALUE"""),1.0)</f>
        <v>1</v>
      </c>
      <c r="C664" s="37" t="str">
        <f>IFERROR(__xludf.DUMMYFUNCTION("IF(A664="""","""",TEXTJOIN(CHAR(10),TRUE,FILTER('Tổng hợp 75 trang đích'!$B$2:$B$3400,'Tổng hợp 75 trang đích'!$I$2:$I$3400=A664)))"),"https://techcombank.com/thong-tin/blog/thue-doanh-nghiep")</f>
        <v>https://techcombank.com/thong-tin/blog/thue-doanh-nghiep</v>
      </c>
      <c r="D664" s="20"/>
      <c r="E664" s="20"/>
      <c r="F664" s="20"/>
      <c r="G664" s="20"/>
      <c r="H664" s="20"/>
      <c r="I664" s="20"/>
      <c r="J664" s="20"/>
      <c r="K664" s="20"/>
      <c r="L664" s="20"/>
      <c r="M664" s="20"/>
      <c r="N664" s="20"/>
      <c r="O664" s="20"/>
      <c r="P664" s="20"/>
      <c r="Q664" s="20"/>
      <c r="R664" s="20"/>
      <c r="S664" s="20"/>
      <c r="T664" s="20"/>
      <c r="U664" s="20"/>
      <c r="V664" s="20"/>
      <c r="W664" s="20"/>
      <c r="X664" s="20"/>
    </row>
    <row r="665">
      <c r="A665" s="37" t="str">
        <f>IFERROR(__xludf.DUMMYFUNCTION("""COMPUTED_VALUE"""),"https://techcombank.com/thong-tin/blog/dang-ky-thanh-lap-doanh-nghiep-online")</f>
        <v>https://techcombank.com/thong-tin/blog/dang-ky-thanh-lap-doanh-nghiep-online</v>
      </c>
      <c r="B665" s="28">
        <f>IFERROR(__xludf.DUMMYFUNCTION("""COMPUTED_VALUE"""),1.0)</f>
        <v>1</v>
      </c>
      <c r="C665" s="37" t="str">
        <f>IFERROR(__xludf.DUMMYFUNCTION("IF(A665="""","""",TEXTJOIN(CHAR(10),TRUE,FILTER('Tổng hợp 75 trang đích'!$B$2:$B$3400,'Tổng hợp 75 trang đích'!$I$2:$I$3400=A665)))"),"https://techcombank.com/thong-tin/blog/thue-doanh-nghiep")</f>
        <v>https://techcombank.com/thong-tin/blog/thue-doanh-nghiep</v>
      </c>
      <c r="D665" s="20"/>
      <c r="E665" s="20"/>
      <c r="F665" s="20"/>
      <c r="G665" s="20"/>
      <c r="H665" s="20"/>
      <c r="I665" s="20"/>
      <c r="J665" s="20"/>
      <c r="K665" s="20"/>
      <c r="L665" s="20"/>
      <c r="M665" s="20"/>
      <c r="N665" s="20"/>
      <c r="O665" s="20"/>
      <c r="P665" s="20"/>
      <c r="Q665" s="20"/>
      <c r="R665" s="20"/>
      <c r="S665" s="20"/>
      <c r="T665" s="20"/>
      <c r="U665" s="20"/>
      <c r="V665" s="20"/>
      <c r="W665" s="20"/>
      <c r="X665" s="20"/>
    </row>
    <row r="666">
      <c r="A666" s="37" t="str">
        <f>IFERROR(__xludf.DUMMYFUNCTION("""COMPUTED_VALUE"""),"https://techcombank.com/thong-tin/blog/danh-muc-dau-tu")</f>
        <v>https://techcombank.com/thong-tin/blog/danh-muc-dau-tu</v>
      </c>
      <c r="B666" s="28">
        <f>IFERROR(__xludf.DUMMYFUNCTION("""COMPUTED_VALUE"""),1.0)</f>
        <v>1</v>
      </c>
      <c r="C666" s="37" t="str">
        <f>IFERROR(__xludf.DUMMYFUNCTION("IF(A666="""","""",TEXTJOIN(CHAR(10),TRUE,FILTER('Tổng hợp 75 trang đích'!$B$2:$B$3400,'Tổng hợp 75 trang đích'!$I$2:$I$3400=A666)))"),"https://techcombank.com/thong-tin/blog/phuong-phap-dau-tu-chung-chi-quy")</f>
        <v>https://techcombank.com/thong-tin/blog/phuong-phap-dau-tu-chung-chi-quy</v>
      </c>
      <c r="D666" s="20"/>
      <c r="E666" s="20"/>
      <c r="F666" s="20"/>
      <c r="G666" s="20"/>
      <c r="H666" s="20"/>
      <c r="I666" s="20"/>
      <c r="J666" s="20"/>
      <c r="K666" s="20"/>
      <c r="L666" s="20"/>
      <c r="M666" s="20"/>
      <c r="N666" s="20"/>
      <c r="O666" s="20"/>
      <c r="P666" s="20"/>
      <c r="Q666" s="20"/>
      <c r="R666" s="20"/>
      <c r="S666" s="20"/>
      <c r="T666" s="20"/>
      <c r="U666" s="20"/>
      <c r="V666" s="20"/>
      <c r="W666" s="20"/>
      <c r="X666" s="20"/>
    </row>
    <row r="667">
      <c r="A667" s="37" t="str">
        <f>IFERROR(__xludf.DUMMYFUNCTION("""COMPUTED_VALUE"""),"https://techcombank.com/thong-tin/blog/dao-tao-the-he-ke-can")</f>
        <v>https://techcombank.com/thong-tin/blog/dao-tao-the-he-ke-can</v>
      </c>
      <c r="B667" s="28">
        <f>IFERROR(__xludf.DUMMYFUNCTION("""COMPUTED_VALUE"""),1.0)</f>
        <v>1</v>
      </c>
      <c r="C667" s="37" t="str">
        <f>IFERROR(__xludf.DUMMYFUNCTION("IF(A667="""","""",TEXTJOIN(CHAR(10),TRUE,FILTER('Tổng hợp 75 trang đích'!$B$2:$B$3400,'Tổng hợp 75 trang đích'!$I$2:$I$3400=A667)))"),"https://techcombank.com/thong-tin/blog/mo-hinh-kinh-doanh-la-gi")</f>
        <v>https://techcombank.com/thong-tin/blog/mo-hinh-kinh-doanh-la-gi</v>
      </c>
      <c r="D667" s="20"/>
      <c r="E667" s="20"/>
      <c r="F667" s="20"/>
      <c r="G667" s="20"/>
      <c r="H667" s="20"/>
      <c r="I667" s="20"/>
      <c r="J667" s="20"/>
      <c r="K667" s="20"/>
      <c r="L667" s="20"/>
      <c r="M667" s="20"/>
      <c r="N667" s="20"/>
      <c r="O667" s="20"/>
      <c r="P667" s="20"/>
      <c r="Q667" s="20"/>
      <c r="R667" s="20"/>
      <c r="S667" s="20"/>
      <c r="T667" s="20"/>
      <c r="U667" s="20"/>
      <c r="V667" s="20"/>
      <c r="W667" s="20"/>
      <c r="X667" s="20"/>
    </row>
    <row r="668">
      <c r="A668" s="37" t="str">
        <f>IFERROR(__xludf.DUMMYFUNCTION("""COMPUTED_VALUE"""),"https://techcombank.com/thong-tin/blog/dat-ve-may-bay")</f>
        <v>https://techcombank.com/thong-tin/blog/dat-ve-may-bay</v>
      </c>
      <c r="B668" s="28">
        <f>IFERROR(__xludf.DUMMYFUNCTION("""COMPUTED_VALUE"""),1.0)</f>
        <v>1</v>
      </c>
      <c r="C668" s="37" t="str">
        <f>IFERROR(__xludf.DUMMYFUNCTION("IF(A668="""","""",TEXTJOIN(CHAR(10),TRUE,FILTER('Tổng hợp 75 trang đích'!$B$2:$B$3400,'Tổng hợp 75 trang đích'!$I$2:$I$3400=A668)))"),"https://techcombank.com/thong-tin/blog/cic-la-gi")</f>
        <v>https://techcombank.com/thong-tin/blog/cic-la-gi</v>
      </c>
      <c r="D668" s="20"/>
      <c r="E668" s="20"/>
      <c r="F668" s="20"/>
      <c r="G668" s="20"/>
      <c r="H668" s="20"/>
      <c r="I668" s="20"/>
      <c r="J668" s="20"/>
      <c r="K668" s="20"/>
      <c r="L668" s="20"/>
      <c r="M668" s="20"/>
      <c r="N668" s="20"/>
      <c r="O668" s="20"/>
      <c r="P668" s="20"/>
      <c r="Q668" s="20"/>
      <c r="R668" s="20"/>
      <c r="S668" s="20"/>
      <c r="T668" s="20"/>
      <c r="U668" s="20"/>
      <c r="V668" s="20"/>
      <c r="W668" s="20"/>
      <c r="X668" s="20"/>
    </row>
    <row r="669">
      <c r="A669" s="37" t="str">
        <f>IFERROR(__xludf.DUMMYFUNCTION("""COMPUTED_VALUE"""),"https://techcombank.com/thong-tin/blog/dat-xe-xanh-sm")</f>
        <v>https://techcombank.com/thong-tin/blog/dat-xe-xanh-sm</v>
      </c>
      <c r="B669" s="28">
        <f>IFERROR(__xludf.DUMMYFUNCTION("""COMPUTED_VALUE"""),1.0)</f>
        <v>1</v>
      </c>
      <c r="C669" s="37" t="str">
        <f>IFERROR(__xludf.DUMMYFUNCTION("IF(A669="""","""",TEXTJOIN(CHAR(10),TRUE,FILTER('Tổng hợp 75 trang đích'!$B$2:$B$3400,'Tổng hợp 75 trang đích'!$I$2:$I$3400=A669)))"),"https://techcombank.com/thong-tin/blog/traveloka-voucher")</f>
        <v>https://techcombank.com/thong-tin/blog/traveloka-voucher</v>
      </c>
      <c r="D669" s="20"/>
      <c r="E669" s="20"/>
      <c r="F669" s="20"/>
      <c r="G669" s="20"/>
      <c r="H669" s="20"/>
      <c r="I669" s="20"/>
      <c r="J669" s="20"/>
      <c r="K669" s="20"/>
      <c r="L669" s="20"/>
      <c r="M669" s="20"/>
      <c r="N669" s="20"/>
      <c r="O669" s="20"/>
      <c r="P669" s="20"/>
      <c r="Q669" s="20"/>
      <c r="R669" s="20"/>
      <c r="S669" s="20"/>
      <c r="T669" s="20"/>
      <c r="U669" s="20"/>
      <c r="V669" s="20"/>
      <c r="W669" s="20"/>
      <c r="X669" s="20"/>
    </row>
    <row r="670">
      <c r="A670" s="37" t="str">
        <f>IFERROR(__xludf.DUMMYFUNCTION("""COMPUTED_VALUE"""),"https://techcombank.com/thong-tin/blog/dau-chan-carbon")</f>
        <v>https://techcombank.com/thong-tin/blog/dau-chan-carbon</v>
      </c>
      <c r="B670" s="28">
        <f>IFERROR(__xludf.DUMMYFUNCTION("""COMPUTED_VALUE"""),1.0)</f>
        <v>1</v>
      </c>
      <c r="C670" s="37" t="str">
        <f>IFERROR(__xludf.DUMMYFUNCTION("IF(A670="""","""",TEXTJOIN(CHAR(10),TRUE,FILTER('Tổng hợp 75 trang đích'!$B$2:$B$3400,'Tổng hợp 75 trang đích'!$I$2:$I$3400=A670)))"),"https://techcombank.com/thong-tin/blog/eco-card")</f>
        <v>https://techcombank.com/thong-tin/blog/eco-card</v>
      </c>
      <c r="D670" s="20"/>
      <c r="E670" s="20"/>
      <c r="F670" s="20"/>
      <c r="G670" s="20"/>
      <c r="H670" s="20"/>
      <c r="I670" s="20"/>
      <c r="J670" s="20"/>
      <c r="K670" s="20"/>
      <c r="L670" s="20"/>
      <c r="M670" s="20"/>
      <c r="N670" s="20"/>
      <c r="O670" s="20"/>
      <c r="P670" s="20"/>
      <c r="Q670" s="20"/>
      <c r="R670" s="20"/>
      <c r="S670" s="20"/>
      <c r="T670" s="20"/>
      <c r="U670" s="20"/>
      <c r="V670" s="20"/>
      <c r="W670" s="20"/>
      <c r="X670" s="20"/>
    </row>
    <row r="671">
      <c r="A671" s="37" t="str">
        <f>IFERROR(__xludf.DUMMYFUNCTION("""COMPUTED_VALUE"""),"https://techcombank.com/thong-tin/blog/dau-co-va-dau-tu")</f>
        <v>https://techcombank.com/thong-tin/blog/dau-co-va-dau-tu</v>
      </c>
      <c r="B671" s="28">
        <f>IFERROR(__xludf.DUMMYFUNCTION("""COMPUTED_VALUE"""),1.0)</f>
        <v>1</v>
      </c>
      <c r="C671" s="37" t="str">
        <f>IFERROR(__xludf.DUMMYFUNCTION("IF(A671="""","""",TEXTJOIN(CHAR(10),TRUE,FILTER('Tổng hợp 75 trang đích'!$B$2:$B$3400,'Tổng hợp 75 trang đích'!$I$2:$I$3400=A671)))"),"https://techcombank.com/thong-tin/blog/phuong-phap-dau-tu-chung-chi-quy")</f>
        <v>https://techcombank.com/thong-tin/blog/phuong-phap-dau-tu-chung-chi-quy</v>
      </c>
      <c r="D671" s="20"/>
      <c r="E671" s="20"/>
      <c r="F671" s="20"/>
      <c r="G671" s="20"/>
      <c r="H671" s="20"/>
      <c r="I671" s="20"/>
      <c r="J671" s="20"/>
      <c r="K671" s="20"/>
      <c r="L671" s="20"/>
      <c r="M671" s="20"/>
      <c r="N671" s="20"/>
      <c r="O671" s="20"/>
      <c r="P671" s="20"/>
      <c r="Q671" s="20"/>
      <c r="R671" s="20"/>
      <c r="S671" s="20"/>
      <c r="T671" s="20"/>
      <c r="U671" s="20"/>
      <c r="V671" s="20"/>
      <c r="W671" s="20"/>
      <c r="X671" s="20"/>
    </row>
    <row r="672">
      <c r="A672" s="37" t="str">
        <f>IFERROR(__xludf.DUMMYFUNCTION("""COMPUTED_VALUE"""),"https://techcombank.com/thong-tin/blog/dau-tu-dai-han")</f>
        <v>https://techcombank.com/thong-tin/blog/dau-tu-dai-han</v>
      </c>
      <c r="B672" s="28">
        <f>IFERROR(__xludf.DUMMYFUNCTION("""COMPUTED_VALUE"""),1.0)</f>
        <v>1</v>
      </c>
      <c r="C672" s="37" t="str">
        <f>IFERROR(__xludf.DUMMYFUNCTION("IF(A672="""","""",TEXTJOIN(CHAR(10),TRUE,FILTER('Tổng hợp 75 trang đích'!$B$2:$B$3400,'Tổng hợp 75 trang đích'!$I$2:$I$3400=A672)))"),"https://techcombank.com/thong-tin/blog/phuong-phap-dau-tu-chung-chi-quy")</f>
        <v>https://techcombank.com/thong-tin/blog/phuong-phap-dau-tu-chung-chi-quy</v>
      </c>
      <c r="D672" s="20"/>
      <c r="E672" s="20"/>
      <c r="F672" s="20"/>
      <c r="G672" s="20"/>
      <c r="H672" s="20"/>
      <c r="I672" s="20"/>
      <c r="J672" s="20"/>
      <c r="K672" s="20"/>
      <c r="L672" s="20"/>
      <c r="M672" s="20"/>
      <c r="N672" s="20"/>
      <c r="O672" s="20"/>
      <c r="P672" s="20"/>
      <c r="Q672" s="20"/>
      <c r="R672" s="20"/>
      <c r="S672" s="20"/>
      <c r="T672" s="20"/>
      <c r="U672" s="20"/>
      <c r="V672" s="20"/>
      <c r="W672" s="20"/>
      <c r="X672" s="20"/>
    </row>
    <row r="673">
      <c r="A673" s="37" t="str">
        <f>IFERROR(__xludf.DUMMYFUNCTION("""COMPUTED_VALUE"""),"https://techcombank.com/thong-tin/blog/day-so-phat-tai-phat-loc")</f>
        <v>https://techcombank.com/thong-tin/blog/day-so-phat-tai-phat-loc</v>
      </c>
      <c r="B673" s="28">
        <f>IFERROR(__xludf.DUMMYFUNCTION("""COMPUTED_VALUE"""),1.0)</f>
        <v>1</v>
      </c>
      <c r="C673" s="37" t="str">
        <f>IFERROR(__xludf.DUMMYFUNCTION("IF(A673="""","""",TEXTJOIN(CHAR(10),TRUE,FILTER('Tổng hợp 75 trang đích'!$B$2:$B$3400,'Tổng hợp 75 trang đích'!$I$2:$I$3400=A673)))"),"https://techcombank.com/thong-tin/blog/cach-kiem-tra-tai-khoan-ngan-hang")</f>
        <v>https://techcombank.com/thong-tin/blog/cach-kiem-tra-tai-khoan-ngan-hang</v>
      </c>
      <c r="D673" s="20"/>
      <c r="E673" s="20"/>
      <c r="F673" s="20"/>
      <c r="G673" s="20"/>
      <c r="H673" s="20"/>
      <c r="I673" s="20"/>
      <c r="J673" s="20"/>
      <c r="K673" s="20"/>
      <c r="L673" s="20"/>
      <c r="M673" s="20"/>
      <c r="N673" s="20"/>
      <c r="O673" s="20"/>
      <c r="P673" s="20"/>
      <c r="Q673" s="20"/>
      <c r="R673" s="20"/>
      <c r="S673" s="20"/>
      <c r="T673" s="20"/>
      <c r="U673" s="20"/>
      <c r="V673" s="20"/>
      <c r="W673" s="20"/>
      <c r="X673" s="20"/>
    </row>
    <row r="674">
      <c r="A674" s="37" t="str">
        <f>IFERROR(__xludf.DUMMYFUNCTION("""COMPUTED_VALUE"""),"https://techcombank.com/thong-tin/blog/diem-loyalty-la-gi")</f>
        <v>https://techcombank.com/thong-tin/blog/diem-loyalty-la-gi</v>
      </c>
      <c r="B674" s="28">
        <f>IFERROR(__xludf.DUMMYFUNCTION("""COMPUTED_VALUE"""),1.0)</f>
        <v>1</v>
      </c>
      <c r="C674" s="37" t="str">
        <f>IFERROR(__xludf.DUMMYFUNCTION("IF(A674="""","""",TEXTJOIN(CHAR(10),TRUE,FILTER('Tổng hợp 75 trang đích'!$B$2:$B$3400,'Tổng hợp 75 trang đích'!$I$2:$I$3400=A674)))"),"https://techcombank.com/thong-tin/blog/traveloka-voucher")</f>
        <v>https://techcombank.com/thong-tin/blog/traveloka-voucher</v>
      </c>
      <c r="D674" s="20"/>
      <c r="E674" s="20"/>
      <c r="F674" s="20"/>
      <c r="G674" s="20"/>
      <c r="H674" s="20"/>
      <c r="I674" s="20"/>
      <c r="J674" s="20"/>
      <c r="K674" s="20"/>
      <c r="L674" s="20"/>
      <c r="M674" s="20"/>
      <c r="N674" s="20"/>
      <c r="O674" s="20"/>
      <c r="P674" s="20"/>
      <c r="Q674" s="20"/>
      <c r="R674" s="20"/>
      <c r="S674" s="20"/>
      <c r="T674" s="20"/>
      <c r="U674" s="20"/>
      <c r="V674" s="20"/>
      <c r="W674" s="20"/>
      <c r="X674" s="20"/>
    </row>
    <row r="675">
      <c r="A675" s="37" t="str">
        <f>IFERROR(__xludf.DUMMYFUNCTION("""COMPUTED_VALUE"""),"https://techcombank.com/thong-tin/blog/don-bay-tai-chinh")</f>
        <v>https://techcombank.com/thong-tin/blog/don-bay-tai-chinh</v>
      </c>
      <c r="B675" s="28">
        <f>IFERROR(__xludf.DUMMYFUNCTION("""COMPUTED_VALUE"""),1.0)</f>
        <v>1</v>
      </c>
      <c r="C675" s="37" t="str">
        <f>IFERROR(__xludf.DUMMYFUNCTION("IF(A675="""","""",TEXTJOIN(CHAR(10),TRUE,FILTER('Tổng hợp 75 trang đích'!$B$2:$B$3400,'Tổng hợp 75 trang đích'!$I$2:$I$3400=A675)))"),"https://techcombank.com/thong-tin/blog/app-vay-tien-nhanh")</f>
        <v>https://techcombank.com/thong-tin/blog/app-vay-tien-nhanh</v>
      </c>
      <c r="D675" s="20"/>
      <c r="E675" s="20"/>
      <c r="F675" s="20"/>
      <c r="G675" s="20"/>
      <c r="H675" s="20"/>
      <c r="I675" s="20"/>
      <c r="J675" s="20"/>
      <c r="K675" s="20"/>
      <c r="L675" s="20"/>
      <c r="M675" s="20"/>
      <c r="N675" s="20"/>
      <c r="O675" s="20"/>
      <c r="P675" s="20"/>
      <c r="Q675" s="20"/>
      <c r="R675" s="20"/>
      <c r="S675" s="20"/>
      <c r="T675" s="20"/>
      <c r="U675" s="20"/>
      <c r="V675" s="20"/>
      <c r="W675" s="20"/>
      <c r="X675" s="20"/>
    </row>
    <row r="676">
      <c r="A676" s="37" t="str">
        <f>IFERROR(__xludf.DUMMYFUNCTION("""COMPUTED_VALUE"""),"https://techcombank.com/thong-tin/blog/du-bao-gia-vang")</f>
        <v>https://techcombank.com/thong-tin/blog/du-bao-gia-vang</v>
      </c>
      <c r="B676" s="28">
        <f>IFERROR(__xludf.DUMMYFUNCTION("""COMPUTED_VALUE"""),1.0)</f>
        <v>1</v>
      </c>
      <c r="C676" s="37" t="str">
        <f>IFERROR(__xludf.DUMMYFUNCTION("IF(A676="""","""",TEXTJOIN(CHAR(10),TRUE,FILTER('Tổng hợp 75 trang đích'!$B$2:$B$3400,'Tổng hợp 75 trang đích'!$I$2:$I$3400=A676)))"),"https://techcombank.com/thong-tin/blog/1-dong-do-la-my-bang-bao-nhieu-tien-viet-nam")</f>
        <v>https://techcombank.com/thong-tin/blog/1-dong-do-la-my-bang-bao-nhieu-tien-viet-nam</v>
      </c>
      <c r="D676" s="20"/>
      <c r="E676" s="20"/>
      <c r="F676" s="20"/>
      <c r="G676" s="20"/>
      <c r="H676" s="20"/>
      <c r="I676" s="20"/>
      <c r="J676" s="20"/>
      <c r="K676" s="20"/>
      <c r="L676" s="20"/>
      <c r="M676" s="20"/>
      <c r="N676" s="20"/>
      <c r="O676" s="20"/>
      <c r="P676" s="20"/>
      <c r="Q676" s="20"/>
      <c r="R676" s="20"/>
      <c r="S676" s="20"/>
      <c r="T676" s="20"/>
      <c r="U676" s="20"/>
      <c r="V676" s="20"/>
      <c r="W676" s="20"/>
      <c r="X676" s="20"/>
    </row>
    <row r="677">
      <c r="A677" s="37" t="str">
        <f>IFERROR(__xludf.DUMMYFUNCTION("""COMPUTED_VALUE"""),"https://techcombank.com/thong-tin/blog/due-diligence")</f>
        <v>https://techcombank.com/thong-tin/blog/due-diligence</v>
      </c>
      <c r="B677" s="28">
        <f>IFERROR(__xludf.DUMMYFUNCTION("""COMPUTED_VALUE"""),1.0)</f>
        <v>1</v>
      </c>
      <c r="C677" s="37" t="str">
        <f>IFERROR(__xludf.DUMMYFUNCTION("IF(A677="""","""",TEXTJOIN(CHAR(10),TRUE,FILTER('Tổng hợp 75 trang đích'!$B$2:$B$3400,'Tổng hợp 75 trang đích'!$I$2:$I$3400=A677)))"),"https://techcombank.com/thong-tin/blog/nop-thue-dat-qua-ngan-hang")</f>
        <v>https://techcombank.com/thong-tin/blog/nop-thue-dat-qua-ngan-hang</v>
      </c>
      <c r="D677" s="20"/>
      <c r="E677" s="20"/>
      <c r="F677" s="20"/>
      <c r="G677" s="20"/>
      <c r="H677" s="20"/>
      <c r="I677" s="20"/>
      <c r="J677" s="20"/>
      <c r="K677" s="20"/>
      <c r="L677" s="20"/>
      <c r="M677" s="20"/>
      <c r="N677" s="20"/>
      <c r="O677" s="20"/>
      <c r="P677" s="20"/>
      <c r="Q677" s="20"/>
      <c r="R677" s="20"/>
      <c r="S677" s="20"/>
      <c r="T677" s="20"/>
      <c r="U677" s="20"/>
      <c r="V677" s="20"/>
      <c r="W677" s="20"/>
      <c r="X677" s="20"/>
    </row>
    <row r="678">
      <c r="A678" s="37" t="str">
        <f>IFERROR(__xludf.DUMMYFUNCTION("""COMPUTED_VALUE"""),"https://techcombank.com/thong-tin/blog/esg")</f>
        <v>https://techcombank.com/thong-tin/blog/esg</v>
      </c>
      <c r="B678" s="28">
        <f>IFERROR(__xludf.DUMMYFUNCTION("""COMPUTED_VALUE"""),1.0)</f>
        <v>1</v>
      </c>
      <c r="C678" s="37" t="str">
        <f>IFERROR(__xludf.DUMMYFUNCTION("IF(A678="""","""",TEXTJOIN(CHAR(10),TRUE,FILTER('Tổng hợp 75 trang đích'!$B$2:$B$3400,'Tổng hợp 75 trang đích'!$I$2:$I$3400=A678)))"),"https://techcombank.com/thong-tin/blog/eco-card")</f>
        <v>https://techcombank.com/thong-tin/blog/eco-card</v>
      </c>
      <c r="D678" s="20"/>
      <c r="E678" s="20"/>
      <c r="F678" s="20"/>
      <c r="G678" s="20"/>
      <c r="H678" s="20"/>
      <c r="I678" s="20"/>
      <c r="J678" s="20"/>
      <c r="K678" s="20"/>
      <c r="L678" s="20"/>
      <c r="M678" s="20"/>
      <c r="N678" s="20"/>
      <c r="O678" s="20"/>
      <c r="P678" s="20"/>
      <c r="Q678" s="20"/>
      <c r="R678" s="20"/>
      <c r="S678" s="20"/>
      <c r="T678" s="20"/>
      <c r="U678" s="20"/>
      <c r="V678" s="20"/>
      <c r="W678" s="20"/>
      <c r="X678" s="20"/>
    </row>
    <row r="679">
      <c r="A679" s="37" t="str">
        <f>IFERROR(__xludf.DUMMYFUNCTION("""COMPUTED_VALUE"""),"https://techcombank.com/thong-tin/blog/gia-cao-su")</f>
        <v>https://techcombank.com/thong-tin/blog/gia-cao-su</v>
      </c>
      <c r="B679" s="28">
        <f>IFERROR(__xludf.DUMMYFUNCTION("""COMPUTED_VALUE"""),1.0)</f>
        <v>1</v>
      </c>
      <c r="C679" s="37" t="str">
        <f>IFERROR(__xludf.DUMMYFUNCTION("IF(A679="""","""",TEXTJOIN(CHAR(10),TRUE,FILTER('Tổng hợp 75 trang đích'!$B$2:$B$3400,'Tổng hợp 75 trang đích'!$I$2:$I$3400=A679)))"),"https://techcombank.com/thong-tin/blog/mo-hinh-kinh-doanh-la-gi")</f>
        <v>https://techcombank.com/thong-tin/blog/mo-hinh-kinh-doanh-la-gi</v>
      </c>
      <c r="D679" s="20"/>
      <c r="E679" s="20"/>
      <c r="F679" s="20"/>
      <c r="G679" s="20"/>
      <c r="H679" s="20"/>
      <c r="I679" s="20"/>
      <c r="J679" s="20"/>
      <c r="K679" s="20"/>
      <c r="L679" s="20"/>
      <c r="M679" s="20"/>
      <c r="N679" s="20"/>
      <c r="O679" s="20"/>
      <c r="P679" s="20"/>
      <c r="Q679" s="20"/>
      <c r="R679" s="20"/>
      <c r="S679" s="20"/>
      <c r="T679" s="20"/>
      <c r="U679" s="20"/>
      <c r="V679" s="20"/>
      <c r="W679" s="20"/>
      <c r="X679" s="20"/>
    </row>
    <row r="680">
      <c r="A680" s="37" t="str">
        <f>IFERROR(__xludf.DUMMYFUNCTION("""COMPUTED_VALUE"""),"https://techcombank.com/thong-tin/blog/gia-dien-sinh-hoat")</f>
        <v>https://techcombank.com/thong-tin/blog/gia-dien-sinh-hoat</v>
      </c>
      <c r="B680" s="28">
        <f>IFERROR(__xludf.DUMMYFUNCTION("""COMPUTED_VALUE"""),1.0)</f>
        <v>1</v>
      </c>
      <c r="C680" s="37" t="str">
        <f>IFERROR(__xludf.DUMMYFUNCTION("IF(A680="""","""",TEXTJOIN(CHAR(10),TRUE,FILTER('Tổng hợp 75 trang đích'!$B$2:$B$3400,'Tổng hợp 75 trang đích'!$I$2:$I$3400=A680)))"),"https://techcombank.com/thong-tin/blog/thue-vat-la-gi")</f>
        <v>https://techcombank.com/thong-tin/blog/thue-vat-la-gi</v>
      </c>
      <c r="D680" s="20"/>
      <c r="E680" s="20"/>
      <c r="F680" s="20"/>
      <c r="G680" s="20"/>
      <c r="H680" s="20"/>
      <c r="I680" s="20"/>
      <c r="J680" s="20"/>
      <c r="K680" s="20"/>
      <c r="L680" s="20"/>
      <c r="M680" s="20"/>
      <c r="N680" s="20"/>
      <c r="O680" s="20"/>
      <c r="P680" s="20"/>
      <c r="Q680" s="20"/>
      <c r="R680" s="20"/>
      <c r="S680" s="20"/>
      <c r="T680" s="20"/>
      <c r="U680" s="20"/>
      <c r="V680" s="20"/>
      <c r="W680" s="20"/>
      <c r="X680" s="20"/>
    </row>
    <row r="681">
      <c r="A681" s="37" t="str">
        <f>IFERROR(__xludf.DUMMYFUNCTION("""COMPUTED_VALUE"""),"https://techcombank.com/thong-tin/blog/gia-tri-tai-san-rong")</f>
        <v>https://techcombank.com/thong-tin/blog/gia-tri-tai-san-rong</v>
      </c>
      <c r="B681" s="28">
        <f>IFERROR(__xludf.DUMMYFUNCTION("""COMPUTED_VALUE"""),1.0)</f>
        <v>1</v>
      </c>
      <c r="C681" s="37" t="str">
        <f>IFERROR(__xludf.DUMMYFUNCTION("IF(A681="""","""",TEXTJOIN(CHAR(10),TRUE,FILTER('Tổng hợp 75 trang đích'!$B$2:$B$3400,'Tổng hợp 75 trang đích'!$I$2:$I$3400=A681)))"),"https://techcombank.com/thong-tin/blog/eco-card")</f>
        <v>https://techcombank.com/thong-tin/blog/eco-card</v>
      </c>
      <c r="D681" s="20"/>
      <c r="E681" s="20"/>
      <c r="F681" s="20"/>
      <c r="G681" s="20"/>
      <c r="H681" s="20"/>
      <c r="I681" s="20"/>
      <c r="J681" s="20"/>
      <c r="K681" s="20"/>
      <c r="L681" s="20"/>
      <c r="M681" s="20"/>
      <c r="N681" s="20"/>
      <c r="O681" s="20"/>
      <c r="P681" s="20"/>
      <c r="Q681" s="20"/>
      <c r="R681" s="20"/>
      <c r="S681" s="20"/>
      <c r="T681" s="20"/>
      <c r="U681" s="20"/>
      <c r="V681" s="20"/>
      <c r="W681" s="20"/>
      <c r="X681" s="20"/>
    </row>
    <row r="682">
      <c r="A682" s="37" t="str">
        <f>IFERROR(__xludf.DUMMYFUNCTION("""COMPUTED_VALUE"""),"https://techcombank.com/thong-tin/blog/gia-vang-16k-hom-nay")</f>
        <v>https://techcombank.com/thong-tin/blog/gia-vang-16k-hom-nay</v>
      </c>
      <c r="B682" s="28">
        <f>IFERROR(__xludf.DUMMYFUNCTION("""COMPUTED_VALUE"""),1.0)</f>
        <v>1</v>
      </c>
      <c r="C682" s="37" t="str">
        <f>IFERROR(__xludf.DUMMYFUNCTION("IF(A682="""","""",TEXTJOIN(CHAR(10),TRUE,FILTER('Tổng hợp 75 trang đích'!$B$2:$B$3400,'Tổng hợp 75 trang đích'!$I$2:$I$3400=A682)))"),"https://techcombank.com/thong-tin/blog/1-dong-do-la-my-bang-bao-nhieu-tien-viet-nam")</f>
        <v>https://techcombank.com/thong-tin/blog/1-dong-do-la-my-bang-bao-nhieu-tien-viet-nam</v>
      </c>
      <c r="D682" s="20"/>
      <c r="E682" s="20"/>
      <c r="F682" s="20"/>
      <c r="G682" s="20"/>
      <c r="H682" s="20"/>
      <c r="I682" s="20"/>
      <c r="J682" s="20"/>
      <c r="K682" s="20"/>
      <c r="L682" s="20"/>
      <c r="M682" s="20"/>
      <c r="N682" s="20"/>
      <c r="O682" s="20"/>
      <c r="P682" s="20"/>
      <c r="Q682" s="20"/>
      <c r="R682" s="20"/>
      <c r="S682" s="20"/>
      <c r="T682" s="20"/>
      <c r="U682" s="20"/>
      <c r="V682" s="20"/>
      <c r="W682" s="20"/>
      <c r="X682" s="20"/>
    </row>
    <row r="683">
      <c r="A683" s="37" t="str">
        <f>IFERROR(__xludf.DUMMYFUNCTION("""COMPUTED_VALUE"""),"https://techcombank.com/thong-tin/blog/gia-xang-dau-hom-nay")</f>
        <v>https://techcombank.com/thong-tin/blog/gia-xang-dau-hom-nay</v>
      </c>
      <c r="B683" s="28">
        <f>IFERROR(__xludf.DUMMYFUNCTION("""COMPUTED_VALUE"""),1.0)</f>
        <v>1</v>
      </c>
      <c r="C683" s="37" t="str">
        <f>IFERROR(__xludf.DUMMYFUNCTION("IF(A683="""","""",TEXTJOIN(CHAR(10),TRUE,FILTER('Tổng hợp 75 trang đích'!$B$2:$B$3400,'Tổng hợp 75 trang đích'!$I$2:$I$3400=A683)))"),"https://techcombank.com/thong-tin/blog/cach-tinh-tien-dien-sinh-hoat")</f>
        <v>https://techcombank.com/thong-tin/blog/cach-tinh-tien-dien-sinh-hoat</v>
      </c>
      <c r="D683" s="20"/>
      <c r="E683" s="20"/>
      <c r="F683" s="20"/>
      <c r="G683" s="20"/>
      <c r="H683" s="20"/>
      <c r="I683" s="20"/>
      <c r="J683" s="20"/>
      <c r="K683" s="20"/>
      <c r="L683" s="20"/>
      <c r="M683" s="20"/>
      <c r="N683" s="20"/>
      <c r="O683" s="20"/>
      <c r="P683" s="20"/>
      <c r="Q683" s="20"/>
      <c r="R683" s="20"/>
      <c r="S683" s="20"/>
      <c r="T683" s="20"/>
      <c r="U683" s="20"/>
      <c r="V683" s="20"/>
      <c r="W683" s="20"/>
      <c r="X683" s="20"/>
    </row>
    <row r="684">
      <c r="A684" s="37" t="str">
        <f>IFERROR(__xludf.DUMMYFUNCTION("""COMPUTED_VALUE"""),"https://techcombank.com/thong-tin/blog/giam-gia-be")</f>
        <v>https://techcombank.com/thong-tin/blog/giam-gia-be</v>
      </c>
      <c r="B684" s="28">
        <f>IFERROR(__xludf.DUMMYFUNCTION("""COMPUTED_VALUE"""),1.0)</f>
        <v>1</v>
      </c>
      <c r="C684" s="37" t="str">
        <f>IFERROR(__xludf.DUMMYFUNCTION("IF(A684="""","""",TEXTJOIN(CHAR(10),TRUE,FILTER('Tổng hợp 75 trang đích'!$B$2:$B$3400,'Tổng hợp 75 trang đích'!$I$2:$I$3400=A684)))"),"https://techcombank.com/thong-tin/blog/traveloka-voucher")</f>
        <v>https://techcombank.com/thong-tin/blog/traveloka-voucher</v>
      </c>
      <c r="D684" s="20"/>
      <c r="E684" s="20"/>
      <c r="F684" s="20"/>
      <c r="G684" s="20"/>
      <c r="H684" s="20"/>
      <c r="I684" s="20"/>
      <c r="J684" s="20"/>
      <c r="K684" s="20"/>
      <c r="L684" s="20"/>
      <c r="M684" s="20"/>
      <c r="N684" s="20"/>
      <c r="O684" s="20"/>
      <c r="P684" s="20"/>
      <c r="Q684" s="20"/>
      <c r="R684" s="20"/>
      <c r="S684" s="20"/>
      <c r="T684" s="20"/>
      <c r="U684" s="20"/>
      <c r="V684" s="20"/>
      <c r="W684" s="20"/>
      <c r="X684" s="20"/>
    </row>
    <row r="685">
      <c r="A685" s="37" t="str">
        <f>IFERROR(__xludf.DUMMYFUNCTION("""COMPUTED_VALUE"""),"https://techcombank.com/thong-tin/blog/giao-thong-xanh")</f>
        <v>https://techcombank.com/thong-tin/blog/giao-thong-xanh</v>
      </c>
      <c r="B685" s="28">
        <f>IFERROR(__xludf.DUMMYFUNCTION("""COMPUTED_VALUE"""),1.0)</f>
        <v>1</v>
      </c>
      <c r="C685" s="37" t="str">
        <f>IFERROR(__xludf.DUMMYFUNCTION("IF(A685="""","""",TEXTJOIN(CHAR(10),TRUE,FILTER('Tổng hợp 75 trang đích'!$B$2:$B$3400,'Tổng hợp 75 trang đích'!$I$2:$I$3400=A685)))"),"https://techcombank.com/thong-tin/blog/eco-card")</f>
        <v>https://techcombank.com/thong-tin/blog/eco-card</v>
      </c>
      <c r="D685" s="20"/>
      <c r="E685" s="20"/>
      <c r="F685" s="20"/>
      <c r="G685" s="20"/>
      <c r="H685" s="20"/>
      <c r="I685" s="20"/>
      <c r="J685" s="20"/>
      <c r="K685" s="20"/>
      <c r="L685" s="20"/>
      <c r="M685" s="20"/>
      <c r="N685" s="20"/>
      <c r="O685" s="20"/>
      <c r="P685" s="20"/>
      <c r="Q685" s="20"/>
      <c r="R685" s="20"/>
      <c r="S685" s="20"/>
      <c r="T685" s="20"/>
      <c r="U685" s="20"/>
      <c r="V685" s="20"/>
      <c r="W685" s="20"/>
      <c r="X685" s="20"/>
    </row>
    <row r="686">
      <c r="A686" s="37" t="str">
        <f>IFERROR(__xludf.DUMMYFUNCTION("""COMPUTED_VALUE"""),"https://techcombank.com/thong-tin/blog/hoa-don-dien-tu-ho-kinh-doanh")</f>
        <v>https://techcombank.com/thong-tin/blog/hoa-don-dien-tu-ho-kinh-doanh</v>
      </c>
      <c r="B686" s="28">
        <f>IFERROR(__xludf.DUMMYFUNCTION("""COMPUTED_VALUE"""),1.0)</f>
        <v>1</v>
      </c>
      <c r="C686" s="37" t="str">
        <f>IFERROR(__xludf.DUMMYFUNCTION("IF(A686="""","""",TEXTJOIN(CHAR(10),TRUE,FILTER('Tổng hợp 75 trang đích'!$B$2:$B$3400,'Tổng hợp 75 trang đích'!$I$2:$I$3400=A686)))"),"https://techcombank.com/thong-tin/blog/nop-thue-dat-qua-ngan-hang")</f>
        <v>https://techcombank.com/thong-tin/blog/nop-thue-dat-qua-ngan-hang</v>
      </c>
      <c r="D686" s="20"/>
      <c r="E686" s="20"/>
      <c r="F686" s="20"/>
      <c r="G686" s="20"/>
      <c r="H686" s="20"/>
      <c r="I686" s="20"/>
      <c r="J686" s="20"/>
      <c r="K686" s="20"/>
      <c r="L686" s="20"/>
      <c r="M686" s="20"/>
      <c r="N686" s="20"/>
      <c r="O686" s="20"/>
      <c r="P686" s="20"/>
      <c r="Q686" s="20"/>
      <c r="R686" s="20"/>
      <c r="S686" s="20"/>
      <c r="T686" s="20"/>
      <c r="U686" s="20"/>
      <c r="V686" s="20"/>
      <c r="W686" s="20"/>
      <c r="X686" s="20"/>
    </row>
    <row r="687">
      <c r="A687" s="37" t="str">
        <f>IFERROR(__xludf.DUMMYFUNCTION("""COMPUTED_VALUE"""),"https://techcombank.com/thong-tin/blog/hom-nay-co-nen-mua-vang-khong")</f>
        <v>https://techcombank.com/thong-tin/blog/hom-nay-co-nen-mua-vang-khong</v>
      </c>
      <c r="B687" s="28">
        <f>IFERROR(__xludf.DUMMYFUNCTION("""COMPUTED_VALUE"""),1.0)</f>
        <v>1</v>
      </c>
      <c r="C687" s="37" t="str">
        <f>IFERROR(__xludf.DUMMYFUNCTION("IF(A687="""","""",TEXTJOIN(CHAR(10),TRUE,FILTER('Tổng hợp 75 trang đích'!$B$2:$B$3400,'Tổng hợp 75 trang đích'!$I$2:$I$3400=A687)))"),"https://techcombank.com/thong-tin/blog/rui-ro-khi-gui-tiet-kiem-online")</f>
        <v>https://techcombank.com/thong-tin/blog/rui-ro-khi-gui-tiet-kiem-online</v>
      </c>
      <c r="D687" s="20"/>
      <c r="E687" s="20"/>
      <c r="F687" s="20"/>
      <c r="G687" s="20"/>
      <c r="H687" s="20"/>
      <c r="I687" s="20"/>
      <c r="J687" s="20"/>
      <c r="K687" s="20"/>
      <c r="L687" s="20"/>
      <c r="M687" s="20"/>
      <c r="N687" s="20"/>
      <c r="O687" s="20"/>
      <c r="P687" s="20"/>
      <c r="Q687" s="20"/>
      <c r="R687" s="20"/>
      <c r="S687" s="20"/>
      <c r="T687" s="20"/>
      <c r="U687" s="20"/>
      <c r="V687" s="20"/>
      <c r="W687" s="20"/>
      <c r="X687" s="20"/>
    </row>
    <row r="688">
      <c r="A688" s="37" t="str">
        <f>IFERROR(__xludf.DUMMYFUNCTION("""COMPUTED_VALUE"""),"https://techcombank.com/thong-tin/blog/kichi-kichi")</f>
        <v>https://techcombank.com/thong-tin/blog/kichi-kichi</v>
      </c>
      <c r="B688" s="28">
        <f>IFERROR(__xludf.DUMMYFUNCTION("""COMPUTED_VALUE"""),1.0)</f>
        <v>1</v>
      </c>
      <c r="C688" s="37" t="str">
        <f>IFERROR(__xludf.DUMMYFUNCTION("IF(A688="""","""",TEXTJOIN(CHAR(10),TRUE,FILTER('Tổng hợp 75 trang đích'!$B$2:$B$3400,'Tổng hợp 75 trang đích'!$I$2:$I$3400=A688)))"),"https://techcombank.com/thong-tin/blog/traveloka-voucher")</f>
        <v>https://techcombank.com/thong-tin/blog/traveloka-voucher</v>
      </c>
      <c r="D688" s="20"/>
      <c r="E688" s="20"/>
      <c r="F688" s="20"/>
      <c r="G688" s="20"/>
      <c r="H688" s="20"/>
      <c r="I688" s="20"/>
      <c r="J688" s="20"/>
      <c r="K688" s="20"/>
      <c r="L688" s="20"/>
      <c r="M688" s="20"/>
      <c r="N688" s="20"/>
      <c r="O688" s="20"/>
      <c r="P688" s="20"/>
      <c r="Q688" s="20"/>
      <c r="R688" s="20"/>
      <c r="S688" s="20"/>
      <c r="T688" s="20"/>
      <c r="U688" s="20"/>
      <c r="V688" s="20"/>
      <c r="W688" s="20"/>
      <c r="X688" s="20"/>
    </row>
    <row r="689">
      <c r="A689" s="37" t="str">
        <f>IFERROR(__xludf.DUMMYFUNCTION("""COMPUTED_VALUE"""),"https://techcombank.com/thong-tin/blog/kieu-hoi-la-gi")</f>
        <v>https://techcombank.com/thong-tin/blog/kieu-hoi-la-gi</v>
      </c>
      <c r="B689" s="28">
        <f>IFERROR(__xludf.DUMMYFUNCTION("""COMPUTED_VALUE"""),1.0)</f>
        <v>1</v>
      </c>
      <c r="C689" s="37" t="str">
        <f>IFERROR(__xludf.DUMMYFUNCTION("IF(A689="""","""",TEXTJOIN(CHAR(10),TRUE,FILTER('Tổng hợp 75 trang đích'!$B$2:$B$3400,'Tổng hợp 75 trang đích'!$I$2:$I$3400=A689)))"),"https://techcombank.com/thong-tin/blog/cach-tinh-thue-thu-nhap-ca-nhan-2025")</f>
        <v>https://techcombank.com/thong-tin/blog/cach-tinh-thue-thu-nhap-ca-nhan-2025</v>
      </c>
      <c r="D689" s="20"/>
      <c r="E689" s="20"/>
      <c r="F689" s="20"/>
      <c r="G689" s="20"/>
      <c r="H689" s="20"/>
      <c r="I689" s="20"/>
      <c r="J689" s="20"/>
      <c r="K689" s="20"/>
      <c r="L689" s="20"/>
      <c r="M689" s="20"/>
      <c r="N689" s="20"/>
      <c r="O689" s="20"/>
      <c r="P689" s="20"/>
      <c r="Q689" s="20"/>
      <c r="R689" s="20"/>
      <c r="S689" s="20"/>
      <c r="T689" s="20"/>
      <c r="U689" s="20"/>
      <c r="V689" s="20"/>
      <c r="W689" s="20"/>
      <c r="X689" s="20"/>
    </row>
    <row r="690">
      <c r="A690" s="37" t="str">
        <f>IFERROR(__xludf.DUMMYFUNCTION("""COMPUTED_VALUE"""),"https://techcombank.com/thong-tin/blog/kinh-nghiem-mua-vang-tich-tru")</f>
        <v>https://techcombank.com/thong-tin/blog/kinh-nghiem-mua-vang-tich-tru</v>
      </c>
      <c r="B690" s="28">
        <f>IFERROR(__xludf.DUMMYFUNCTION("""COMPUTED_VALUE"""),1.0)</f>
        <v>1</v>
      </c>
      <c r="C690" s="37" t="str">
        <f>IFERROR(__xludf.DUMMYFUNCTION("IF(A690="""","""",TEXTJOIN(CHAR(10),TRUE,FILTER('Tổng hợp 75 trang đích'!$B$2:$B$3400,'Tổng hợp 75 trang đích'!$I$2:$I$3400=A690)))"),"https://techcombank.com/thong-tin/blog/lai-suat-tiet-kiem")</f>
        <v>https://techcombank.com/thong-tin/blog/lai-suat-tiet-kiem</v>
      </c>
      <c r="D690" s="20"/>
      <c r="E690" s="20"/>
      <c r="F690" s="20"/>
      <c r="G690" s="20"/>
      <c r="H690" s="20"/>
      <c r="I690" s="20"/>
      <c r="J690" s="20"/>
      <c r="K690" s="20"/>
      <c r="L690" s="20"/>
      <c r="M690" s="20"/>
      <c r="N690" s="20"/>
      <c r="O690" s="20"/>
      <c r="P690" s="20"/>
      <c r="Q690" s="20"/>
      <c r="R690" s="20"/>
      <c r="S690" s="20"/>
      <c r="T690" s="20"/>
      <c r="U690" s="20"/>
      <c r="V690" s="20"/>
      <c r="W690" s="20"/>
      <c r="X690" s="20"/>
    </row>
    <row r="691">
      <c r="A691" s="37" t="str">
        <f>IFERROR(__xludf.DUMMYFUNCTION("""COMPUTED_VALUE"""),"https://techcombank.com/thong-tin/blog/lap-ke-hoach-chi-tieu-ca-nhan")</f>
        <v>https://techcombank.com/thong-tin/blog/lap-ke-hoach-chi-tieu-ca-nhan</v>
      </c>
      <c r="B691" s="28">
        <f>IFERROR(__xludf.DUMMYFUNCTION("""COMPUTED_VALUE"""),1.0)</f>
        <v>1</v>
      </c>
      <c r="C691" s="37" t="str">
        <f>IFERROR(__xludf.DUMMYFUNCTION("IF(A691="""","""",TEXTJOIN(CHAR(10),TRUE,FILTER('Tổng hợp 75 trang đích'!$B$2:$B$3400,'Tổng hợp 75 trang đích'!$I$2:$I$3400=A691)))"),"https://techcombank.com/thong-tin/blog/kiem-tra-no-xau")</f>
        <v>https://techcombank.com/thong-tin/blog/kiem-tra-no-xau</v>
      </c>
      <c r="D691" s="20"/>
      <c r="E691" s="20"/>
      <c r="F691" s="20"/>
      <c r="G691" s="20"/>
      <c r="H691" s="20"/>
      <c r="I691" s="20"/>
      <c r="J691" s="20"/>
      <c r="K691" s="20"/>
      <c r="L691" s="20"/>
      <c r="M691" s="20"/>
      <c r="N691" s="20"/>
      <c r="O691" s="20"/>
      <c r="P691" s="20"/>
      <c r="Q691" s="20"/>
      <c r="R691" s="20"/>
      <c r="S691" s="20"/>
      <c r="T691" s="20"/>
      <c r="U691" s="20"/>
      <c r="V691" s="20"/>
      <c r="W691" s="20"/>
      <c r="X691" s="20"/>
    </row>
    <row r="692">
      <c r="A692" s="37" t="str">
        <f>IFERROR(__xludf.DUMMYFUNCTION("""COMPUTED_VALUE"""),"https://techcombank.com/thong-tin/blog/lap-ke-hoach-tai-chinh-ca-nhan")</f>
        <v>https://techcombank.com/thong-tin/blog/lap-ke-hoach-tai-chinh-ca-nhan</v>
      </c>
      <c r="B692" s="28">
        <f>IFERROR(__xludf.DUMMYFUNCTION("""COMPUTED_VALUE"""),1.0)</f>
        <v>1</v>
      </c>
      <c r="C692" s="37" t="str">
        <f>IFERROR(__xludf.DUMMYFUNCTION("IF(A692="""","""",TEXTJOIN(CHAR(10),TRUE,FILTER('Tổng hợp 75 trang đích'!$B$2:$B$3400,'Tổng hợp 75 trang đích'!$I$2:$I$3400=A692)))"),"https://techcombank.com/thong-tin/blog/phuong-phap-dau-tu-chung-chi-quy")</f>
        <v>https://techcombank.com/thong-tin/blog/phuong-phap-dau-tu-chung-chi-quy</v>
      </c>
      <c r="D692" s="20"/>
      <c r="E692" s="20"/>
      <c r="F692" s="20"/>
      <c r="G692" s="20"/>
      <c r="H692" s="20"/>
      <c r="I692" s="20"/>
      <c r="J692" s="20"/>
      <c r="K692" s="20"/>
      <c r="L692" s="20"/>
      <c r="M692" s="20"/>
      <c r="N692" s="20"/>
      <c r="O692" s="20"/>
      <c r="P692" s="20"/>
      <c r="Q692" s="20"/>
      <c r="R692" s="20"/>
      <c r="S692" s="20"/>
      <c r="T692" s="20"/>
      <c r="U692" s="20"/>
      <c r="V692" s="20"/>
      <c r="W692" s="20"/>
      <c r="X692" s="20"/>
    </row>
    <row r="693">
      <c r="A693" s="37" t="str">
        <f>IFERROR(__xludf.DUMMYFUNCTION("""COMPUTED_VALUE"""),"https://techcombank.com/thong-tin/blog/li-xi-so-dep")</f>
        <v>https://techcombank.com/thong-tin/blog/li-xi-so-dep</v>
      </c>
      <c r="B693" s="28">
        <f>IFERROR(__xludf.DUMMYFUNCTION("""COMPUTED_VALUE"""),1.0)</f>
        <v>1</v>
      </c>
      <c r="C693" s="37" t="str">
        <f>IFERROR(__xludf.DUMMYFUNCTION("IF(A693="""","""",TEXTJOIN(CHAR(10),TRUE,FILTER('Tổng hợp 75 trang đích'!$B$2:$B$3400,'Tổng hợp 75 trang đích'!$I$2:$I$3400=A693)))"),"https://techcombank.com/thong-tin/blog/day-so-phat-tai-phat-loc")</f>
        <v>https://techcombank.com/thong-tin/blog/day-so-phat-tai-phat-loc</v>
      </c>
      <c r="D693" s="20"/>
      <c r="E693" s="20"/>
      <c r="F693" s="20"/>
      <c r="G693" s="20"/>
      <c r="H693" s="20"/>
      <c r="I693" s="20"/>
      <c r="J693" s="20"/>
      <c r="K693" s="20"/>
      <c r="L693" s="20"/>
      <c r="M693" s="20"/>
      <c r="N693" s="20"/>
      <c r="O693" s="20"/>
      <c r="P693" s="20"/>
      <c r="Q693" s="20"/>
      <c r="R693" s="20"/>
      <c r="S693" s="20"/>
      <c r="T693" s="20"/>
      <c r="U693" s="20"/>
      <c r="V693" s="20"/>
      <c r="W693" s="20"/>
      <c r="X693" s="20"/>
    </row>
    <row r="694">
      <c r="A694" s="37" t="str">
        <f>IFERROR(__xludf.DUMMYFUNCTION("""COMPUTED_VALUE"""),"https://techcombank.com/thong-tin/blog/loi-ich-cua-tri-tue-nhan-tao")</f>
        <v>https://techcombank.com/thong-tin/blog/loi-ich-cua-tri-tue-nhan-tao</v>
      </c>
      <c r="B694" s="28">
        <f>IFERROR(__xludf.DUMMYFUNCTION("""COMPUTED_VALUE"""),1.0)</f>
        <v>1</v>
      </c>
      <c r="C694" s="37" t="str">
        <f>IFERROR(__xludf.DUMMYFUNCTION("IF(A694="""","""",TEXTJOIN(CHAR(10),TRUE,FILTER('Tổng hợp 75 trang đích'!$B$2:$B$3400,'Tổng hợp 75 trang đích'!$I$2:$I$3400=A694)))"),"https://techcombank.com/thong-tin/blog/cong-ty-su-dung-tai-khoan-ca-nhan")</f>
        <v>https://techcombank.com/thong-tin/blog/cong-ty-su-dung-tai-khoan-ca-nhan</v>
      </c>
      <c r="D694" s="20"/>
      <c r="E694" s="20"/>
      <c r="F694" s="20"/>
      <c r="G694" s="20"/>
      <c r="H694" s="20"/>
      <c r="I694" s="20"/>
      <c r="J694" s="20"/>
      <c r="K694" s="20"/>
      <c r="L694" s="20"/>
      <c r="M694" s="20"/>
      <c r="N694" s="20"/>
      <c r="O694" s="20"/>
      <c r="P694" s="20"/>
      <c r="Q694" s="20"/>
      <c r="R694" s="20"/>
      <c r="S694" s="20"/>
      <c r="T694" s="20"/>
      <c r="U694" s="20"/>
      <c r="V694" s="20"/>
      <c r="W694" s="20"/>
      <c r="X694" s="20"/>
    </row>
    <row r="695">
      <c r="A695" s="37" t="str">
        <f>IFERROR(__xludf.DUMMYFUNCTION("""COMPUTED_VALUE"""),"https://techcombank.com/thong-tin/blog/luong-huu")</f>
        <v>https://techcombank.com/thong-tin/blog/luong-huu</v>
      </c>
      <c r="B695" s="28">
        <f>IFERROR(__xludf.DUMMYFUNCTION("""COMPUTED_VALUE"""),1.0)</f>
        <v>1</v>
      </c>
      <c r="C695" s="37" t="str">
        <f>IFERROR(__xludf.DUMMYFUNCTION("IF(A695="""","""",TEXTJOIN(CHAR(10),TRUE,FILTER('Tổng hợp 75 trang đích'!$B$2:$B$3400,'Tổng hợp 75 trang đích'!$I$2:$I$3400=A695)))"),"https://techcombank.com/thong-tin/blog/vay-ngan-hang-1-ty-moi-thang-tra-bao-nhieu")</f>
        <v>https://techcombank.com/thong-tin/blog/vay-ngan-hang-1-ty-moi-thang-tra-bao-nhieu</v>
      </c>
      <c r="D695" s="20"/>
      <c r="E695" s="20"/>
      <c r="F695" s="20"/>
      <c r="G695" s="20"/>
      <c r="H695" s="20"/>
      <c r="I695" s="20"/>
      <c r="J695" s="20"/>
      <c r="K695" s="20"/>
      <c r="L695" s="20"/>
      <c r="M695" s="20"/>
      <c r="N695" s="20"/>
      <c r="O695" s="20"/>
      <c r="P695" s="20"/>
      <c r="Q695" s="20"/>
      <c r="R695" s="20"/>
      <c r="S695" s="20"/>
      <c r="T695" s="20"/>
      <c r="U695" s="20"/>
      <c r="V695" s="20"/>
      <c r="W695" s="20"/>
      <c r="X695" s="20"/>
    </row>
    <row r="696">
      <c r="A696" s="37" t="str">
        <f>IFERROR(__xludf.DUMMYFUNCTION("""COMPUTED_VALUE"""),"https://techcombank.com/thong-tin/blog/ly-do-ngan-hang-so-tro-thanh-cong-cu-tai-chinh-hang-dau-cua-gioi-tre")</f>
        <v>https://techcombank.com/thong-tin/blog/ly-do-ngan-hang-so-tro-thanh-cong-cu-tai-chinh-hang-dau-cua-gioi-tre</v>
      </c>
      <c r="B696" s="28">
        <f>IFERROR(__xludf.DUMMYFUNCTION("""COMPUTED_VALUE"""),1.0)</f>
        <v>1</v>
      </c>
      <c r="C696" s="37" t="str">
        <f>IFERROR(__xludf.DUMMYFUNCTION("IF(A696="""","""",TEXTJOIN(CHAR(10),TRUE,FILTER('Tổng hợp 75 trang đích'!$B$2:$B$3400,'Tổng hợp 75 trang đích'!$I$2:$I$3400=A696)))"),"https://techcombank.com/thong-tin/blog/lai-suat-tiet-kiem")</f>
        <v>https://techcombank.com/thong-tin/blog/lai-suat-tiet-kiem</v>
      </c>
      <c r="D696" s="20"/>
      <c r="E696" s="20"/>
      <c r="F696" s="20"/>
      <c r="G696" s="20"/>
      <c r="H696" s="20"/>
      <c r="I696" s="20"/>
      <c r="J696" s="20"/>
      <c r="K696" s="20"/>
      <c r="L696" s="20"/>
      <c r="M696" s="20"/>
      <c r="N696" s="20"/>
      <c r="O696" s="20"/>
      <c r="P696" s="20"/>
      <c r="Q696" s="20"/>
      <c r="R696" s="20"/>
      <c r="S696" s="20"/>
      <c r="T696" s="20"/>
      <c r="U696" s="20"/>
      <c r="V696" s="20"/>
      <c r="W696" s="20"/>
      <c r="X696" s="20"/>
    </row>
    <row r="697">
      <c r="A697" s="37" t="str">
        <f>IFERROR(__xludf.DUMMYFUNCTION("""COMPUTED_VALUE"""),"https://techcombank.com/thong-tin/blog/ma-giam-gia-al-frescos")</f>
        <v>https://techcombank.com/thong-tin/blog/ma-giam-gia-al-frescos</v>
      </c>
      <c r="B697" s="28">
        <f>IFERROR(__xludf.DUMMYFUNCTION("""COMPUTED_VALUE"""),1.0)</f>
        <v>1</v>
      </c>
      <c r="C697" s="37" t="str">
        <f>IFERROR(__xludf.DUMMYFUNCTION("IF(A697="""","""",TEXTJOIN(CHAR(10),TRUE,FILTER('Tổng hợp 75 trang đích'!$B$2:$B$3400,'Tổng hợp 75 trang đích'!$I$2:$I$3400=A697)))"),"https://techcombank.com/thong-tin/blog/traveloka-voucher")</f>
        <v>https://techcombank.com/thong-tin/blog/traveloka-voucher</v>
      </c>
      <c r="D697" s="20"/>
      <c r="E697" s="20"/>
      <c r="F697" s="20"/>
      <c r="G697" s="20"/>
      <c r="H697" s="20"/>
      <c r="I697" s="20"/>
      <c r="J697" s="20"/>
      <c r="K697" s="20"/>
      <c r="L697" s="20"/>
      <c r="M697" s="20"/>
      <c r="N697" s="20"/>
      <c r="O697" s="20"/>
      <c r="P697" s="20"/>
      <c r="Q697" s="20"/>
      <c r="R697" s="20"/>
      <c r="S697" s="20"/>
      <c r="T697" s="20"/>
      <c r="U697" s="20"/>
      <c r="V697" s="20"/>
      <c r="W697" s="20"/>
      <c r="X697" s="20"/>
    </row>
    <row r="698">
      <c r="A698" s="37" t="str">
        <f>IFERROR(__xludf.DUMMYFUNCTION("""COMPUTED_VALUE"""),"https://techcombank.com/thong-tin/blog/ma-giam-gia-phela")</f>
        <v>https://techcombank.com/thong-tin/blog/ma-giam-gia-phela</v>
      </c>
      <c r="B698" s="28">
        <f>IFERROR(__xludf.DUMMYFUNCTION("""COMPUTED_VALUE"""),1.0)</f>
        <v>1</v>
      </c>
      <c r="C698" s="37" t="str">
        <f>IFERROR(__xludf.DUMMYFUNCTION("IF(A698="""","""",TEXTJOIN(CHAR(10),TRUE,FILTER('Tổng hợp 75 trang đích'!$B$2:$B$3400,'Tổng hợp 75 trang đích'!$I$2:$I$3400=A698)))"),"https://techcombank.com/thong-tin/blog/traveloka-voucher")</f>
        <v>https://techcombank.com/thong-tin/blog/traveloka-voucher</v>
      </c>
      <c r="D698" s="20"/>
      <c r="E698" s="20"/>
      <c r="F698" s="20"/>
      <c r="G698" s="20"/>
      <c r="H698" s="20"/>
      <c r="I698" s="20"/>
      <c r="J698" s="20"/>
      <c r="K698" s="20"/>
      <c r="L698" s="20"/>
      <c r="M698" s="20"/>
      <c r="N698" s="20"/>
      <c r="O698" s="20"/>
      <c r="P698" s="20"/>
      <c r="Q698" s="20"/>
      <c r="R698" s="20"/>
      <c r="S698" s="20"/>
      <c r="T698" s="20"/>
      <c r="U698" s="20"/>
      <c r="V698" s="20"/>
      <c r="W698" s="20"/>
      <c r="X698" s="20"/>
    </row>
    <row r="699">
      <c r="A699" s="37" t="str">
        <f>IFERROR(__xludf.DUMMYFUNCTION("""COMPUTED_VALUE"""),"https://techcombank.com/thong-tin/blog/ma-giam-gia-shopee")</f>
        <v>https://techcombank.com/thong-tin/blog/ma-giam-gia-shopee</v>
      </c>
      <c r="B699" s="28">
        <f>IFERROR(__xludf.DUMMYFUNCTION("""COMPUTED_VALUE"""),1.0)</f>
        <v>1</v>
      </c>
      <c r="C699" s="37" t="str">
        <f>IFERROR(__xludf.DUMMYFUNCTION("IF(A699="""","""",TEXTJOIN(CHAR(10),TRUE,FILTER('Tổng hợp 75 trang đích'!$B$2:$B$3400,'Tổng hợp 75 trang đích'!$I$2:$I$3400=A699)))"),"https://techcombank.com/thong-tin/blog/traveloka-voucher")</f>
        <v>https://techcombank.com/thong-tin/blog/traveloka-voucher</v>
      </c>
      <c r="D699" s="20"/>
      <c r="E699" s="20"/>
      <c r="F699" s="20"/>
      <c r="G699" s="20"/>
      <c r="H699" s="20"/>
      <c r="I699" s="20"/>
      <c r="J699" s="20"/>
      <c r="K699" s="20"/>
      <c r="L699" s="20"/>
      <c r="M699" s="20"/>
      <c r="N699" s="20"/>
      <c r="O699" s="20"/>
      <c r="P699" s="20"/>
      <c r="Q699" s="20"/>
      <c r="R699" s="20"/>
      <c r="S699" s="20"/>
      <c r="T699" s="20"/>
      <c r="U699" s="20"/>
      <c r="V699" s="20"/>
      <c r="W699" s="20"/>
      <c r="X699" s="20"/>
    </row>
    <row r="700">
      <c r="A700" s="37" t="str">
        <f>IFERROR(__xludf.DUMMYFUNCTION("""COMPUTED_VALUE"""),"https://techcombank.com/thong-tin/blog/ma-giam-xanh-sm")</f>
        <v>https://techcombank.com/thong-tin/blog/ma-giam-xanh-sm</v>
      </c>
      <c r="B700" s="28">
        <f>IFERROR(__xludf.DUMMYFUNCTION("""COMPUTED_VALUE"""),1.0)</f>
        <v>1</v>
      </c>
      <c r="C700" s="37" t="str">
        <f>IFERROR(__xludf.DUMMYFUNCTION("IF(A700="""","""",TEXTJOIN(CHAR(10),TRUE,FILTER('Tổng hợp 75 trang đích'!$B$2:$B$3400,'Tổng hợp 75 trang đích'!$I$2:$I$3400=A700)))"),"https://techcombank.com/thong-tin/blog/traveloka-voucher")</f>
        <v>https://techcombank.com/thong-tin/blog/traveloka-voucher</v>
      </c>
      <c r="D700" s="20"/>
      <c r="E700" s="20"/>
      <c r="F700" s="20"/>
      <c r="G700" s="20"/>
      <c r="H700" s="20"/>
      <c r="I700" s="20"/>
      <c r="J700" s="20"/>
      <c r="K700" s="20"/>
      <c r="L700" s="20"/>
      <c r="M700" s="20"/>
      <c r="N700" s="20"/>
      <c r="O700" s="20"/>
      <c r="P700" s="20"/>
      <c r="Q700" s="20"/>
      <c r="R700" s="20"/>
      <c r="S700" s="20"/>
      <c r="T700" s="20"/>
      <c r="U700" s="20"/>
      <c r="V700" s="20"/>
      <c r="W700" s="20"/>
      <c r="X700" s="20"/>
    </row>
    <row r="701">
      <c r="A701" s="37" t="str">
        <f>IFERROR(__xludf.DUMMYFUNCTION("""COMPUTED_VALUE"""),"https://techcombank.com/thong-tin/blog/ma-mcc")</f>
        <v>https://techcombank.com/thong-tin/blog/ma-mcc</v>
      </c>
      <c r="B701" s="28">
        <f>IFERROR(__xludf.DUMMYFUNCTION("""COMPUTED_VALUE"""),1.0)</f>
        <v>1</v>
      </c>
      <c r="C701" s="37" t="str">
        <f>IFERROR(__xludf.DUMMYFUNCTION("IF(A701="""","""",TEXTJOIN(CHAR(10),TRUE,FILTER('Tổng hợp 75 trang đích'!$B$2:$B$3400,'Tổng hợp 75 trang đích'!$I$2:$I$3400=A701)))"),"https://techcombank.com/thong-tin/blog/cic-la-gi")</f>
        <v>https://techcombank.com/thong-tin/blog/cic-la-gi</v>
      </c>
      <c r="D701" s="20"/>
      <c r="E701" s="20"/>
      <c r="F701" s="20"/>
      <c r="G701" s="20"/>
      <c r="H701" s="20"/>
      <c r="I701" s="20"/>
      <c r="J701" s="20"/>
      <c r="K701" s="20"/>
      <c r="L701" s="20"/>
      <c r="M701" s="20"/>
      <c r="N701" s="20"/>
      <c r="O701" s="20"/>
      <c r="P701" s="20"/>
      <c r="Q701" s="20"/>
      <c r="R701" s="20"/>
      <c r="S701" s="20"/>
      <c r="T701" s="20"/>
      <c r="U701" s="20"/>
      <c r="V701" s="20"/>
      <c r="W701" s="20"/>
      <c r="X701" s="20"/>
    </row>
    <row r="702">
      <c r="A702" s="37" t="str">
        <f>IFERROR(__xludf.DUMMYFUNCTION("""COMPUTED_VALUE"""),"https://techcombank.com/thong-tin/blog/ma-qr-lam-gia-duoc-khong")</f>
        <v>https://techcombank.com/thong-tin/blog/ma-qr-lam-gia-duoc-khong</v>
      </c>
      <c r="B702" s="28">
        <f>IFERROR(__xludf.DUMMYFUNCTION("""COMPUTED_VALUE"""),1.0)</f>
        <v>1</v>
      </c>
      <c r="C702" s="37" t="str">
        <f>IFERROR(__xludf.DUMMYFUNCTION("IF(A702="""","""",TEXTJOIN(CHAR(10),TRUE,FILTER('Tổng hợp 75 trang đích'!$B$2:$B$3400,'Tổng hợp 75 trang đích'!$I$2:$I$3400=A702)))"),"https://techcombank.com/thong-tin/blog/rut-tien-bang-ma-qr-la-gi-cach-thuc-hien-nhu-the-nao")</f>
        <v>https://techcombank.com/thong-tin/blog/rut-tien-bang-ma-qr-la-gi-cach-thuc-hien-nhu-the-nao</v>
      </c>
      <c r="D702" s="20"/>
      <c r="E702" s="20"/>
      <c r="F702" s="20"/>
      <c r="G702" s="20"/>
      <c r="H702" s="20"/>
      <c r="I702" s="20"/>
      <c r="J702" s="20"/>
      <c r="K702" s="20"/>
      <c r="L702" s="20"/>
      <c r="M702" s="20"/>
      <c r="N702" s="20"/>
      <c r="O702" s="20"/>
      <c r="P702" s="20"/>
      <c r="Q702" s="20"/>
      <c r="R702" s="20"/>
      <c r="S702" s="20"/>
      <c r="T702" s="20"/>
      <c r="U702" s="20"/>
      <c r="V702" s="20"/>
      <c r="W702" s="20"/>
      <c r="X702" s="20"/>
    </row>
    <row r="703">
      <c r="A703" s="37" t="str">
        <f>IFERROR(__xludf.DUMMYFUNCTION("""COMPUTED_VALUE"""),"https://techcombank.com/thong-tin/blog/mo-tai-khoan-ngan-hang-trung-so-dien-thoai")</f>
        <v>https://techcombank.com/thong-tin/blog/mo-tai-khoan-ngan-hang-trung-so-dien-thoai</v>
      </c>
      <c r="B703" s="28">
        <f>IFERROR(__xludf.DUMMYFUNCTION("""COMPUTED_VALUE"""),1.0)</f>
        <v>1</v>
      </c>
      <c r="C703" s="37" t="str">
        <f>IFERROR(__xludf.DUMMYFUNCTION("IF(A703="""","""",TEXTJOIN(CHAR(10),TRUE,FILTER('Tổng hợp 75 trang đích'!$B$2:$B$3400,'Tổng hợp 75 trang đích'!$I$2:$I$3400=A703)))"),"https://techcombank.com/thong-tin/blog/mo-tai-khoan-ngan-hang-duoi-18-tuoi")</f>
        <v>https://techcombank.com/thong-tin/blog/mo-tai-khoan-ngan-hang-duoi-18-tuoi</v>
      </c>
      <c r="D703" s="20"/>
      <c r="E703" s="20"/>
      <c r="F703" s="20"/>
      <c r="G703" s="20"/>
      <c r="H703" s="20"/>
      <c r="I703" s="20"/>
      <c r="J703" s="20"/>
      <c r="K703" s="20"/>
      <c r="L703" s="20"/>
      <c r="M703" s="20"/>
      <c r="N703" s="20"/>
      <c r="O703" s="20"/>
      <c r="P703" s="20"/>
      <c r="Q703" s="20"/>
      <c r="R703" s="20"/>
      <c r="S703" s="20"/>
      <c r="T703" s="20"/>
      <c r="U703" s="20"/>
      <c r="V703" s="20"/>
      <c r="W703" s="20"/>
      <c r="X703" s="20"/>
    </row>
    <row r="704">
      <c r="A704" s="37" t="str">
        <f>IFERROR(__xludf.DUMMYFUNCTION("""COMPUTED_VALUE"""),"https://techcombank.com/thong-tin/blog/mo-the-ghi-no")</f>
        <v>https://techcombank.com/thong-tin/blog/mo-the-ghi-no</v>
      </c>
      <c r="B704" s="28">
        <f>IFERROR(__xludf.DUMMYFUNCTION("""COMPUTED_VALUE"""),1.0)</f>
        <v>1</v>
      </c>
      <c r="C704" s="37" t="str">
        <f>IFERROR(__xludf.DUMMYFUNCTION("IF(A704="""","""",TEXTJOIN(CHAR(10),TRUE,FILTER('Tổng hợp 75 trang đích'!$B$2:$B$3400,'Tổng hợp 75 trang đích'!$I$2:$I$3400=A704)))"),"https://techcombank.com/thong-tin/blog/eco-card")</f>
        <v>https://techcombank.com/thong-tin/blog/eco-card</v>
      </c>
      <c r="D704" s="20"/>
      <c r="E704" s="20"/>
      <c r="F704" s="20"/>
      <c r="G704" s="20"/>
      <c r="H704" s="20"/>
      <c r="I704" s="20"/>
      <c r="J704" s="20"/>
      <c r="K704" s="20"/>
      <c r="L704" s="20"/>
      <c r="M704" s="20"/>
      <c r="N704" s="20"/>
      <c r="O704" s="20"/>
      <c r="P704" s="20"/>
      <c r="Q704" s="20"/>
      <c r="R704" s="20"/>
      <c r="S704" s="20"/>
      <c r="T704" s="20"/>
      <c r="U704" s="20"/>
      <c r="V704" s="20"/>
      <c r="W704" s="20"/>
      <c r="X704" s="20"/>
    </row>
    <row r="705">
      <c r="A705" s="37" t="str">
        <f>IFERROR(__xludf.DUMMYFUNCTION("""COMPUTED_VALUE"""),"https://techcombank.com/thong-tin/blog/mo-the-tin-dung-chi-can-cccd")</f>
        <v>https://techcombank.com/thong-tin/blog/mo-the-tin-dung-chi-can-cccd</v>
      </c>
      <c r="B705" s="28">
        <f>IFERROR(__xludf.DUMMYFUNCTION("""COMPUTED_VALUE"""),1.0)</f>
        <v>1</v>
      </c>
      <c r="C705" s="37" t="str">
        <f>IFERROR(__xludf.DUMMYFUNCTION("IF(A705="""","""",TEXTJOIN(CHAR(10),TRUE,FILTER('Tổng hợp 75 trang đích'!$B$2:$B$3400,'Tổng hợp 75 trang đích'!$I$2:$I$3400=A705)))"),"https://techcombank.com/thong-tin/blog/cach-sao-ke-tai-khoan-ngan-hang")</f>
        <v>https://techcombank.com/thong-tin/blog/cach-sao-ke-tai-khoan-ngan-hang</v>
      </c>
      <c r="D705" s="20"/>
      <c r="E705" s="20"/>
      <c r="F705" s="20"/>
      <c r="G705" s="20"/>
      <c r="H705" s="20"/>
      <c r="I705" s="20"/>
      <c r="J705" s="20"/>
      <c r="K705" s="20"/>
      <c r="L705" s="20"/>
      <c r="M705" s="20"/>
      <c r="N705" s="20"/>
      <c r="O705" s="20"/>
      <c r="P705" s="20"/>
      <c r="Q705" s="20"/>
      <c r="R705" s="20"/>
      <c r="S705" s="20"/>
      <c r="T705" s="20"/>
      <c r="U705" s="20"/>
      <c r="V705" s="20"/>
      <c r="W705" s="20"/>
      <c r="X705" s="20"/>
    </row>
    <row r="706">
      <c r="A706" s="37" t="str">
        <f>IFERROR(__xludf.DUMMYFUNCTION("""COMPUTED_VALUE"""),"https://techcombank.com/thong-tin/blog/mua-bao-hiem-o-to-dien")</f>
        <v>https://techcombank.com/thong-tin/blog/mua-bao-hiem-o-to-dien</v>
      </c>
      <c r="B706" s="28">
        <f>IFERROR(__xludf.DUMMYFUNCTION("""COMPUTED_VALUE"""),1.0)</f>
        <v>1</v>
      </c>
      <c r="C706" s="37" t="str">
        <f>IFERROR(__xludf.DUMMYFUNCTION("IF(A706="""","""",TEXTJOIN(CHAR(10),TRUE,FILTER('Tổng hợp 75 trang đích'!$B$2:$B$3400,'Tổng hợp 75 trang đích'!$I$2:$I$3400=A706)))"),"https://techcombank.com/thong-tin/blog/lai-suat-vay-mua-o-to")</f>
        <v>https://techcombank.com/thong-tin/blog/lai-suat-vay-mua-o-to</v>
      </c>
      <c r="D706" s="20"/>
      <c r="E706" s="20"/>
      <c r="F706" s="20"/>
      <c r="G706" s="20"/>
      <c r="H706" s="20"/>
      <c r="I706" s="20"/>
      <c r="J706" s="20"/>
      <c r="K706" s="20"/>
      <c r="L706" s="20"/>
      <c r="M706" s="20"/>
      <c r="N706" s="20"/>
      <c r="O706" s="20"/>
      <c r="P706" s="20"/>
      <c r="Q706" s="20"/>
      <c r="R706" s="20"/>
      <c r="S706" s="20"/>
      <c r="T706" s="20"/>
      <c r="U706" s="20"/>
      <c r="V706" s="20"/>
      <c r="W706" s="20"/>
      <c r="X706" s="20"/>
    </row>
    <row r="707">
      <c r="A707" s="37" t="str">
        <f>IFERROR(__xludf.DUMMYFUNCTION("""COMPUTED_VALUE"""),"https://techcombank.com/thong-tin/blog/mua-ve-xem-phim")</f>
        <v>https://techcombank.com/thong-tin/blog/mua-ve-xem-phim</v>
      </c>
      <c r="B707" s="28">
        <f>IFERROR(__xludf.DUMMYFUNCTION("""COMPUTED_VALUE"""),1.0)</f>
        <v>1</v>
      </c>
      <c r="C707" s="37" t="str">
        <f>IFERROR(__xludf.DUMMYFUNCTION("IF(A707="""","""",TEXTJOIN(CHAR(10),TRUE,FILTER('Tổng hợp 75 trang đích'!$B$2:$B$3400,'Tổng hợp 75 trang đích'!$I$2:$I$3400=A707)))"),"https://techcombank.com/thong-tin/blog/cic-la-gi")</f>
        <v>https://techcombank.com/thong-tin/blog/cic-la-gi</v>
      </c>
      <c r="D707" s="20"/>
      <c r="E707" s="20"/>
      <c r="F707" s="20"/>
      <c r="G707" s="20"/>
      <c r="H707" s="20"/>
      <c r="I707" s="20"/>
      <c r="J707" s="20"/>
      <c r="K707" s="20"/>
      <c r="L707" s="20"/>
      <c r="M707" s="20"/>
      <c r="N707" s="20"/>
      <c r="O707" s="20"/>
      <c r="P707" s="20"/>
      <c r="Q707" s="20"/>
      <c r="R707" s="20"/>
      <c r="S707" s="20"/>
      <c r="T707" s="20"/>
      <c r="U707" s="20"/>
      <c r="V707" s="20"/>
      <c r="W707" s="20"/>
      <c r="X707" s="20"/>
    </row>
    <row r="708">
      <c r="A708" s="37" t="str">
        <f>IFERROR(__xludf.DUMMYFUNCTION("""COMPUTED_VALUE"""),"https://techcombank.com/thong-tin/blog/ngoai-hoi-la-gi")</f>
        <v>https://techcombank.com/thong-tin/blog/ngoai-hoi-la-gi</v>
      </c>
      <c r="B708" s="28">
        <f>IFERROR(__xludf.DUMMYFUNCTION("""COMPUTED_VALUE"""),1.0)</f>
        <v>1</v>
      </c>
      <c r="C708" s="37" t="str">
        <f>IFERROR(__xludf.DUMMYFUNCTION("IF(A708="""","""",TEXTJOIN(CHAR(10),TRUE,FILTER('Tổng hợp 75 trang đích'!$B$2:$B$3400,'Tổng hợp 75 trang đích'!$I$2:$I$3400=A708)))"),"https://techcombank.com/thong-tin/blog/1-te-bang-bao-nhieu-tien-viet-nam")</f>
        <v>https://techcombank.com/thong-tin/blog/1-te-bang-bao-nhieu-tien-viet-nam</v>
      </c>
      <c r="D708" s="20"/>
      <c r="E708" s="20"/>
      <c r="F708" s="20"/>
      <c r="G708" s="20"/>
      <c r="H708" s="20"/>
      <c r="I708" s="20"/>
      <c r="J708" s="20"/>
      <c r="K708" s="20"/>
      <c r="L708" s="20"/>
      <c r="M708" s="20"/>
      <c r="N708" s="20"/>
      <c r="O708" s="20"/>
      <c r="P708" s="20"/>
      <c r="Q708" s="20"/>
      <c r="R708" s="20"/>
      <c r="S708" s="20"/>
      <c r="T708" s="20"/>
      <c r="U708" s="20"/>
      <c r="V708" s="20"/>
      <c r="W708" s="20"/>
      <c r="X708" s="20"/>
    </row>
    <row r="709">
      <c r="A709" s="37" t="str">
        <f>IFERROR(__xludf.DUMMYFUNCTION("""COMPUTED_VALUE"""),"https://techcombank.com/thong-tin/blog/nhuong-quyen-la-gi")</f>
        <v>https://techcombank.com/thong-tin/blog/nhuong-quyen-la-gi</v>
      </c>
      <c r="B709" s="28">
        <f>IFERROR(__xludf.DUMMYFUNCTION("""COMPUTED_VALUE"""),1.0)</f>
        <v>1</v>
      </c>
      <c r="C709" s="37" t="str">
        <f>IFERROR(__xludf.DUMMYFUNCTION("IF(A709="""","""",TEXTJOIN(CHAR(10),TRUE,FILTER('Tổng hợp 75 trang đích'!$B$2:$B$3400,'Tổng hợp 75 trang đích'!$I$2:$I$3400=A709)))"),"https://techcombank.com/thong-tin/blog/mo-hinh-kinh-doanh-la-gi")</f>
        <v>https://techcombank.com/thong-tin/blog/mo-hinh-kinh-doanh-la-gi</v>
      </c>
      <c r="D709" s="20"/>
      <c r="E709" s="20"/>
      <c r="F709" s="20"/>
      <c r="G709" s="20"/>
      <c r="H709" s="20"/>
      <c r="I709" s="20"/>
      <c r="J709" s="20"/>
      <c r="K709" s="20"/>
      <c r="L709" s="20"/>
      <c r="M709" s="20"/>
      <c r="N709" s="20"/>
      <c r="O709" s="20"/>
      <c r="P709" s="20"/>
      <c r="Q709" s="20"/>
      <c r="R709" s="20"/>
      <c r="S709" s="20"/>
      <c r="T709" s="20"/>
      <c r="U709" s="20"/>
      <c r="V709" s="20"/>
      <c r="W709" s="20"/>
      <c r="X709" s="20"/>
    </row>
    <row r="710">
      <c r="A710" s="37" t="str">
        <f>IFERROR(__xludf.DUMMYFUNCTION("""COMPUTED_VALUE"""),"https://techcombank.com/thong-tin/blog/npv-la-gi")</f>
        <v>https://techcombank.com/thong-tin/blog/npv-la-gi</v>
      </c>
      <c r="B710" s="28">
        <f>IFERROR(__xludf.DUMMYFUNCTION("""COMPUTED_VALUE"""),1.0)</f>
        <v>1</v>
      </c>
      <c r="C710" s="37" t="str">
        <f>IFERROR(__xludf.DUMMYFUNCTION("IF(A710="""","""",TEXTJOIN(CHAR(10),TRUE,FILTER('Tổng hợp 75 trang đích'!$B$2:$B$3400,'Tổng hợp 75 trang đích'!$I$2:$I$3400=A710)))"),"https://techcombank.com/thong-tin/blog/doi-tien-do-o-dau")</f>
        <v>https://techcombank.com/thong-tin/blog/doi-tien-do-o-dau</v>
      </c>
      <c r="D710" s="20"/>
      <c r="E710" s="20"/>
      <c r="F710" s="20"/>
      <c r="G710" s="20"/>
      <c r="H710" s="20"/>
      <c r="I710" s="20"/>
      <c r="J710" s="20"/>
      <c r="K710" s="20"/>
      <c r="L710" s="20"/>
      <c r="M710" s="20"/>
      <c r="N710" s="20"/>
      <c r="O710" s="20"/>
      <c r="P710" s="20"/>
      <c r="Q710" s="20"/>
      <c r="R710" s="20"/>
      <c r="S710" s="20"/>
      <c r="T710" s="20"/>
      <c r="U710" s="20"/>
      <c r="V710" s="20"/>
      <c r="W710" s="20"/>
      <c r="X710" s="20"/>
    </row>
    <row r="711">
      <c r="A711" s="37" t="str">
        <f>IFERROR(__xludf.DUMMYFUNCTION("""COMPUTED_VALUE"""),"https://techcombank.com/thong-tin/blog/oneu")</f>
        <v>https://techcombank.com/thong-tin/blog/oneu</v>
      </c>
      <c r="B711" s="28">
        <f>IFERROR(__xludf.DUMMYFUNCTION("""COMPUTED_VALUE"""),1.0)</f>
        <v>1</v>
      </c>
      <c r="C711" s="37" t="str">
        <f>IFERROR(__xludf.DUMMYFUNCTION("IF(A711="""","""",TEXTJOIN(CHAR(10),TRUE,FILTER('Tổng hợp 75 trang đích'!$B$2:$B$3400,'Tổng hợp 75 trang đích'!$I$2:$I$3400=A711)))"),"https://techcombank.com/thong-tin/blog/eco-card")</f>
        <v>https://techcombank.com/thong-tin/blog/eco-card</v>
      </c>
      <c r="D711" s="20"/>
      <c r="E711" s="20"/>
      <c r="F711" s="20"/>
      <c r="G711" s="20"/>
      <c r="H711" s="20"/>
      <c r="I711" s="20"/>
      <c r="J711" s="20"/>
      <c r="K711" s="20"/>
      <c r="L711" s="20"/>
      <c r="M711" s="20"/>
      <c r="N711" s="20"/>
      <c r="O711" s="20"/>
      <c r="P711" s="20"/>
      <c r="Q711" s="20"/>
      <c r="R711" s="20"/>
      <c r="S711" s="20"/>
      <c r="T711" s="20"/>
      <c r="U711" s="20"/>
      <c r="V711" s="20"/>
      <c r="W711" s="20"/>
      <c r="X711" s="20"/>
    </row>
    <row r="712">
      <c r="A712" s="37" t="str">
        <f>IFERROR(__xludf.DUMMYFUNCTION("""COMPUTED_VALUE"""),"https://techcombank.com/thong-tin/blog/phan-bo-tai-san")</f>
        <v>https://techcombank.com/thong-tin/blog/phan-bo-tai-san</v>
      </c>
      <c r="B712" s="28">
        <f>IFERROR(__xludf.DUMMYFUNCTION("""COMPUTED_VALUE"""),1.0)</f>
        <v>1</v>
      </c>
      <c r="C712" s="37" t="str">
        <f>IFERROR(__xludf.DUMMYFUNCTION("IF(A712="""","""",TEXTJOIN(CHAR(10),TRUE,FILTER('Tổng hợp 75 trang đích'!$B$2:$B$3400,'Tổng hợp 75 trang đích'!$I$2:$I$3400=A712)))"),"https://techcombank.com/thong-tin/blog/phuong-phap-dau-tu-chung-chi-quy")</f>
        <v>https://techcombank.com/thong-tin/blog/phuong-phap-dau-tu-chung-chi-quy</v>
      </c>
      <c r="D712" s="20"/>
      <c r="E712" s="20"/>
      <c r="F712" s="20"/>
      <c r="G712" s="20"/>
      <c r="H712" s="20"/>
      <c r="I712" s="20"/>
      <c r="J712" s="20"/>
      <c r="K712" s="20"/>
      <c r="L712" s="20"/>
      <c r="M712" s="20"/>
      <c r="N712" s="20"/>
      <c r="O712" s="20"/>
      <c r="P712" s="20"/>
      <c r="Q712" s="20"/>
      <c r="R712" s="20"/>
      <c r="S712" s="20"/>
      <c r="T712" s="20"/>
      <c r="U712" s="20"/>
      <c r="V712" s="20"/>
      <c r="W712" s="20"/>
      <c r="X712" s="20"/>
    </row>
    <row r="713">
      <c r="A713" s="37" t="str">
        <f>IFERROR(__xludf.DUMMYFUNCTION("""COMPUTED_VALUE"""),"https://techcombank.com/thong-tin/blog/phan-mem-xuat-hoa-don-dien-tu")</f>
        <v>https://techcombank.com/thong-tin/blog/phan-mem-xuat-hoa-don-dien-tu</v>
      </c>
      <c r="B713" s="28">
        <f>IFERROR(__xludf.DUMMYFUNCTION("""COMPUTED_VALUE"""),1.0)</f>
        <v>1</v>
      </c>
      <c r="C713" s="37" t="str">
        <f>IFERROR(__xludf.DUMMYFUNCTION("IF(A713="""","""",TEXTJOIN(CHAR(10),TRUE,FILTER('Tổng hợp 75 trang đích'!$B$2:$B$3400,'Tổng hợp 75 trang đích'!$I$2:$I$3400=A713)))"),"https://techcombank.com/thong-tin/blog/nop-thue-dat-qua-ngan-hang")</f>
        <v>https://techcombank.com/thong-tin/blog/nop-thue-dat-qua-ngan-hang</v>
      </c>
      <c r="D713" s="20"/>
      <c r="E713" s="20"/>
      <c r="F713" s="20"/>
      <c r="G713" s="20"/>
      <c r="H713" s="20"/>
      <c r="I713" s="20"/>
      <c r="J713" s="20"/>
      <c r="K713" s="20"/>
      <c r="L713" s="20"/>
      <c r="M713" s="20"/>
      <c r="N713" s="20"/>
      <c r="O713" s="20"/>
      <c r="P713" s="20"/>
      <c r="Q713" s="20"/>
      <c r="R713" s="20"/>
      <c r="S713" s="20"/>
      <c r="T713" s="20"/>
      <c r="U713" s="20"/>
      <c r="V713" s="20"/>
      <c r="W713" s="20"/>
      <c r="X713" s="20"/>
    </row>
    <row r="714">
      <c r="A714" s="37" t="str">
        <f>IFERROR(__xludf.DUMMYFUNCTION("""COMPUTED_VALUE"""),"https://techcombank.com/thong-tin/blog/phuong-phap-dau-tu-chung-chi-quy")</f>
        <v>https://techcombank.com/thong-tin/blog/phuong-phap-dau-tu-chung-chi-quy</v>
      </c>
      <c r="B714" s="28">
        <f>IFERROR(__xludf.DUMMYFUNCTION("""COMPUTED_VALUE"""),1.0)</f>
        <v>1</v>
      </c>
      <c r="C714" s="37" t="str">
        <f>IFERROR(__xludf.DUMMYFUNCTION("IF(A714="""","""",TEXTJOIN(CHAR(10),TRUE,FILTER('Tổng hợp 75 trang đích'!$B$2:$B$3400,'Tổng hợp 75 trang đích'!$I$2:$I$3400=A714)))"),"https://techcombank.com/thong-tin/blog/rui-ro-khi-gui-tiet-kiem-online")</f>
        <v>https://techcombank.com/thong-tin/blog/rui-ro-khi-gui-tiet-kiem-online</v>
      </c>
      <c r="D714" s="20"/>
      <c r="E714" s="20"/>
      <c r="F714" s="20"/>
      <c r="G714" s="20"/>
      <c r="H714" s="20"/>
      <c r="I714" s="20"/>
      <c r="J714" s="20"/>
      <c r="K714" s="20"/>
      <c r="L714" s="20"/>
      <c r="M714" s="20"/>
      <c r="N714" s="20"/>
      <c r="O714" s="20"/>
      <c r="P714" s="20"/>
      <c r="Q714" s="20"/>
      <c r="R714" s="20"/>
      <c r="S714" s="20"/>
      <c r="T714" s="20"/>
      <c r="U714" s="20"/>
      <c r="V714" s="20"/>
      <c r="W714" s="20"/>
      <c r="X714" s="20"/>
    </row>
    <row r="715">
      <c r="A715" s="37" t="str">
        <f>IFERROR(__xludf.DUMMYFUNCTION("""COMPUTED_VALUE"""),"https://techcombank.com/thong-tin/blog/qr-code-phuong-thuc-thanh-toan-toi-uu-trong-ky-nguyen-so")</f>
        <v>https://techcombank.com/thong-tin/blog/qr-code-phuong-thuc-thanh-toan-toi-uu-trong-ky-nguyen-so</v>
      </c>
      <c r="B715" s="28">
        <f>IFERROR(__xludf.DUMMYFUNCTION("""COMPUTED_VALUE"""),1.0)</f>
        <v>1</v>
      </c>
      <c r="C715" s="37" t="str">
        <f>IFERROR(__xludf.DUMMYFUNCTION("IF(A715="""","""",TEXTJOIN(CHAR(10),TRUE,FILTER('Tổng hợp 75 trang đích'!$B$2:$B$3400,'Tổng hợp 75 trang đích'!$I$2:$I$3400=A715)))"),"https://techcombank.com/thong-tin/blog/gui-ma-qr-ngan-hang")</f>
        <v>https://techcombank.com/thong-tin/blog/gui-ma-qr-ngan-hang</v>
      </c>
      <c r="D715" s="20"/>
      <c r="E715" s="20"/>
      <c r="F715" s="20"/>
      <c r="G715" s="20"/>
      <c r="H715" s="20"/>
      <c r="I715" s="20"/>
      <c r="J715" s="20"/>
      <c r="K715" s="20"/>
      <c r="L715" s="20"/>
      <c r="M715" s="20"/>
      <c r="N715" s="20"/>
      <c r="O715" s="20"/>
      <c r="P715" s="20"/>
      <c r="Q715" s="20"/>
      <c r="R715" s="20"/>
      <c r="S715" s="20"/>
      <c r="T715" s="20"/>
      <c r="U715" s="20"/>
      <c r="V715" s="20"/>
      <c r="W715" s="20"/>
      <c r="X715" s="20"/>
    </row>
    <row r="716">
      <c r="A716" s="37" t="str">
        <f>IFERROR(__xludf.DUMMYFUNCTION("""COMPUTED_VALUE"""),"https://techcombank.com/thong-tin/blog/quan-ly-chi-phi-doanh-nghiep")</f>
        <v>https://techcombank.com/thong-tin/blog/quan-ly-chi-phi-doanh-nghiep</v>
      </c>
      <c r="B716" s="28">
        <f>IFERROR(__xludf.DUMMYFUNCTION("""COMPUTED_VALUE"""),1.0)</f>
        <v>1</v>
      </c>
      <c r="C716" s="37" t="str">
        <f>IFERROR(__xludf.DUMMYFUNCTION("IF(A716="""","""",TEXTJOIN(CHAR(10),TRUE,FILTER('Tổng hợp 75 trang đích'!$B$2:$B$3400,'Tổng hợp 75 trang đích'!$I$2:$I$3400=A716)))"),"https://techcombank.com/thong-tin/blog/app-vay-tien-nhanh")</f>
        <v>https://techcombank.com/thong-tin/blog/app-vay-tien-nhanh</v>
      </c>
      <c r="D716" s="20"/>
      <c r="E716" s="20"/>
      <c r="F716" s="20"/>
      <c r="G716" s="20"/>
      <c r="H716" s="20"/>
      <c r="I716" s="20"/>
      <c r="J716" s="20"/>
      <c r="K716" s="20"/>
      <c r="L716" s="20"/>
      <c r="M716" s="20"/>
      <c r="N716" s="20"/>
      <c r="O716" s="20"/>
      <c r="P716" s="20"/>
      <c r="Q716" s="20"/>
      <c r="R716" s="20"/>
      <c r="S716" s="20"/>
      <c r="T716" s="20"/>
      <c r="U716" s="20"/>
      <c r="V716" s="20"/>
      <c r="W716" s="20"/>
      <c r="X716" s="20"/>
    </row>
    <row r="717">
      <c r="A717" s="37" t="str">
        <f>IFERROR(__xludf.DUMMYFUNCTION("""COMPUTED_VALUE"""),"https://techcombank.com/thong-tin/blog/quy-dinh-ve-mua-ban-ngoai-te-cua-doanh-nghiep")</f>
        <v>https://techcombank.com/thong-tin/blog/quy-dinh-ve-mua-ban-ngoai-te-cua-doanh-nghiep</v>
      </c>
      <c r="B717" s="28">
        <f>IFERROR(__xludf.DUMMYFUNCTION("""COMPUTED_VALUE"""),1.0)</f>
        <v>1</v>
      </c>
      <c r="C717" s="37" t="str">
        <f>IFERROR(__xludf.DUMMYFUNCTION("IF(A717="""","""",TEXTJOIN(CHAR(10),TRUE,FILTER('Tổng hợp 75 trang đích'!$B$2:$B$3400,'Tổng hợp 75 trang đích'!$I$2:$I$3400=A717)))"),"https://techcombank.com/thong-tin/blog/1-te-bang-bao-nhieu-tien-viet-nam")</f>
        <v>https://techcombank.com/thong-tin/blog/1-te-bang-bao-nhieu-tien-viet-nam</v>
      </c>
      <c r="D717" s="20"/>
      <c r="E717" s="20"/>
      <c r="F717" s="20"/>
      <c r="G717" s="20"/>
      <c r="H717" s="20"/>
      <c r="I717" s="20"/>
      <c r="J717" s="20"/>
      <c r="K717" s="20"/>
      <c r="L717" s="20"/>
      <c r="M717" s="20"/>
      <c r="N717" s="20"/>
      <c r="O717" s="20"/>
      <c r="P717" s="20"/>
      <c r="Q717" s="20"/>
      <c r="R717" s="20"/>
      <c r="S717" s="20"/>
      <c r="T717" s="20"/>
      <c r="U717" s="20"/>
      <c r="V717" s="20"/>
      <c r="W717" s="20"/>
      <c r="X717" s="20"/>
    </row>
    <row r="718">
      <c r="A718" s="37" t="str">
        <f>IFERROR(__xludf.DUMMYFUNCTION("""COMPUTED_VALUE"""),"https://techcombank.com/thong-tin/blog/san-pham-xanh")</f>
        <v>https://techcombank.com/thong-tin/blog/san-pham-xanh</v>
      </c>
      <c r="B718" s="28">
        <f>IFERROR(__xludf.DUMMYFUNCTION("""COMPUTED_VALUE"""),1.0)</f>
        <v>1</v>
      </c>
      <c r="C718" s="37" t="str">
        <f>IFERROR(__xludf.DUMMYFUNCTION("IF(A718="""","""",TEXTJOIN(CHAR(10),TRUE,FILTER('Tổng hợp 75 trang đích'!$B$2:$B$3400,'Tổng hợp 75 trang đích'!$I$2:$I$3400=A718)))"),"https://techcombank.com/thong-tin/blog/eco-card")</f>
        <v>https://techcombank.com/thong-tin/blog/eco-card</v>
      </c>
      <c r="D718" s="20"/>
      <c r="E718" s="20"/>
      <c r="F718" s="20"/>
      <c r="G718" s="20"/>
      <c r="H718" s="20"/>
      <c r="I718" s="20"/>
      <c r="J718" s="20"/>
      <c r="K718" s="20"/>
      <c r="L718" s="20"/>
      <c r="M718" s="20"/>
      <c r="N718" s="20"/>
      <c r="O718" s="20"/>
      <c r="P718" s="20"/>
      <c r="Q718" s="20"/>
      <c r="R718" s="20"/>
      <c r="S718" s="20"/>
      <c r="T718" s="20"/>
      <c r="U718" s="20"/>
      <c r="V718" s="20"/>
      <c r="W718" s="20"/>
      <c r="X718" s="20"/>
    </row>
    <row r="719">
      <c r="A719" s="37" t="str">
        <f>IFERROR(__xludf.DUMMYFUNCTION("""COMPUTED_VALUE"""),"https://techcombank.com/thong-tin/blog/sang-ngang-the-tin-dung")</f>
        <v>https://techcombank.com/thong-tin/blog/sang-ngang-the-tin-dung</v>
      </c>
      <c r="B719" s="28">
        <f>IFERROR(__xludf.DUMMYFUNCTION("""COMPUTED_VALUE"""),1.0)</f>
        <v>1</v>
      </c>
      <c r="C719" s="37" t="str">
        <f>IFERROR(__xludf.DUMMYFUNCTION("IF(A719="""","""",TEXTJOIN(CHAR(10),TRUE,FILTER('Tổng hợp 75 trang đích'!$B$2:$B$3400,'Tổng hợp 75 trang đích'!$I$2:$I$3400=A719)))"),"https://techcombank.com/thong-tin/blog/cic-la-gi")</f>
        <v>https://techcombank.com/thong-tin/blog/cic-la-gi</v>
      </c>
      <c r="D719" s="20"/>
      <c r="E719" s="20"/>
      <c r="F719" s="20"/>
      <c r="G719" s="20"/>
      <c r="H719" s="20"/>
      <c r="I719" s="20"/>
      <c r="J719" s="20"/>
      <c r="K719" s="20"/>
      <c r="L719" s="20"/>
      <c r="M719" s="20"/>
      <c r="N719" s="20"/>
      <c r="O719" s="20"/>
      <c r="P719" s="20"/>
      <c r="Q719" s="20"/>
      <c r="R719" s="20"/>
      <c r="S719" s="20"/>
      <c r="T719" s="20"/>
      <c r="U719" s="20"/>
      <c r="V719" s="20"/>
      <c r="W719" s="20"/>
      <c r="X719" s="20"/>
    </row>
    <row r="720">
      <c r="A720" s="37" t="str">
        <f>IFERROR(__xludf.DUMMYFUNCTION("""COMPUTED_VALUE"""),"https://techcombank.com/thong-tin/blog/sinh-loi-rinh-loc")</f>
        <v>https://techcombank.com/thong-tin/blog/sinh-loi-rinh-loc</v>
      </c>
      <c r="B720" s="28">
        <f>IFERROR(__xludf.DUMMYFUNCTION("""COMPUTED_VALUE"""),1.0)</f>
        <v>1</v>
      </c>
      <c r="C720" s="37" t="str">
        <f>IFERROR(__xludf.DUMMYFUNCTION("IF(A720="""","""",TEXTJOIN(CHAR(10),TRUE,FILTER('Tổng hợp 75 trang đích'!$B$2:$B$3400,'Tổng hợp 75 trang đích'!$I$2:$I$3400=A720)))"),"https://techcombank.com/thong-tin/blog/cach-tinh-tien-dien-sinh-hoat")</f>
        <v>https://techcombank.com/thong-tin/blog/cach-tinh-tien-dien-sinh-hoat</v>
      </c>
      <c r="D720" s="20"/>
      <c r="E720" s="20"/>
      <c r="F720" s="20"/>
      <c r="G720" s="20"/>
      <c r="H720" s="20"/>
      <c r="I720" s="20"/>
      <c r="J720" s="20"/>
      <c r="K720" s="20"/>
      <c r="L720" s="20"/>
      <c r="M720" s="20"/>
      <c r="N720" s="20"/>
      <c r="O720" s="20"/>
      <c r="P720" s="20"/>
      <c r="Q720" s="20"/>
      <c r="R720" s="20"/>
      <c r="S720" s="20"/>
      <c r="T720" s="20"/>
      <c r="U720" s="20"/>
      <c r="V720" s="20"/>
      <c r="W720" s="20"/>
      <c r="X720" s="20"/>
    </row>
    <row r="721">
      <c r="A721" s="37" t="str">
        <f>IFERROR(__xludf.DUMMYFUNCTION("""COMPUTED_VALUE"""),"https://techcombank.com/thong-tin/blog/so-sanh-bao-hiem-suc-khoe-bo-sung")</f>
        <v>https://techcombank.com/thong-tin/blog/so-sanh-bao-hiem-suc-khoe-bo-sung</v>
      </c>
      <c r="B721" s="28">
        <f>IFERROR(__xludf.DUMMYFUNCTION("""COMPUTED_VALUE"""),1.0)</f>
        <v>1</v>
      </c>
      <c r="C721" s="37" t="str">
        <f>IFERROR(__xludf.DUMMYFUNCTION("IF(A721="""","""",TEXTJOIN(CHAR(10),TRUE,FILTER('Tổng hợp 75 trang đích'!$B$2:$B$3400,'Tổng hợp 75 trang đích'!$I$2:$I$3400=A721)))"),"https://techcombank.com/thong-tin/blog/cic-la-gi")</f>
        <v>https://techcombank.com/thong-tin/blog/cic-la-gi</v>
      </c>
      <c r="D721" s="20"/>
      <c r="E721" s="20"/>
      <c r="F721" s="20"/>
      <c r="G721" s="20"/>
      <c r="H721" s="20"/>
      <c r="I721" s="20"/>
      <c r="J721" s="20"/>
      <c r="K721" s="20"/>
      <c r="L721" s="20"/>
      <c r="M721" s="20"/>
      <c r="N721" s="20"/>
      <c r="O721" s="20"/>
      <c r="P721" s="20"/>
      <c r="Q721" s="20"/>
      <c r="R721" s="20"/>
      <c r="S721" s="20"/>
      <c r="T721" s="20"/>
      <c r="U721" s="20"/>
      <c r="V721" s="20"/>
      <c r="W721" s="20"/>
      <c r="X721" s="20"/>
    </row>
    <row r="722">
      <c r="A722" s="37" t="str">
        <f>IFERROR(__xludf.DUMMYFUNCTION("""COMPUTED_VALUE"""),"https://techcombank.com/thong-tin/blog/so-sanh-ma-qr-va-ma-vach")</f>
        <v>https://techcombank.com/thong-tin/blog/so-sanh-ma-qr-va-ma-vach</v>
      </c>
      <c r="B722" s="28">
        <f>IFERROR(__xludf.DUMMYFUNCTION("""COMPUTED_VALUE"""),1.0)</f>
        <v>1</v>
      </c>
      <c r="C722" s="37" t="str">
        <f>IFERROR(__xludf.DUMMYFUNCTION("IF(A722="""","""",TEXTJOIN(CHAR(10),TRUE,FILTER('Tổng hợp 75 trang đích'!$B$2:$B$3400,'Tổng hợp 75 trang đích'!$I$2:$I$3400=A722)))"),"https://techcombank.com/thong-tin/blog/gui-ma-qr-ngan-hang")</f>
        <v>https://techcombank.com/thong-tin/blog/gui-ma-qr-ngan-hang</v>
      </c>
      <c r="D722" s="20"/>
      <c r="E722" s="20"/>
      <c r="F722" s="20"/>
      <c r="G722" s="20"/>
      <c r="H722" s="20"/>
      <c r="I722" s="20"/>
      <c r="J722" s="20"/>
      <c r="K722" s="20"/>
      <c r="L722" s="20"/>
      <c r="M722" s="20"/>
      <c r="N722" s="20"/>
      <c r="O722" s="20"/>
      <c r="P722" s="20"/>
      <c r="Q722" s="20"/>
      <c r="R722" s="20"/>
      <c r="S722" s="20"/>
      <c r="T722" s="20"/>
      <c r="U722" s="20"/>
      <c r="V722" s="20"/>
      <c r="W722" s="20"/>
      <c r="X722" s="20"/>
    </row>
    <row r="723">
      <c r="A723" s="37" t="str">
        <f>IFERROR(__xludf.DUMMYFUNCTION("""COMPUTED_VALUE"""),"https://techcombank.com/thong-tin/blog/so-the-tin-dung")</f>
        <v>https://techcombank.com/thong-tin/blog/so-the-tin-dung</v>
      </c>
      <c r="B723" s="28">
        <f>IFERROR(__xludf.DUMMYFUNCTION("""COMPUTED_VALUE"""),1.0)</f>
        <v>1</v>
      </c>
      <c r="C723" s="37" t="str">
        <f>IFERROR(__xludf.DUMMYFUNCTION("IF(A723="""","""",TEXTJOIN(CHAR(10),TRUE,FILTER('Tổng hợp 75 trang đích'!$B$2:$B$3400,'Tổng hợp 75 trang đích'!$I$2:$I$3400=A723)))"),"https://techcombank.com/thong-tin/blog/cic-la-gi")</f>
        <v>https://techcombank.com/thong-tin/blog/cic-la-gi</v>
      </c>
      <c r="D723" s="20"/>
      <c r="E723" s="20"/>
      <c r="F723" s="20"/>
      <c r="G723" s="20"/>
      <c r="H723" s="20"/>
      <c r="I723" s="20"/>
      <c r="J723" s="20"/>
      <c r="K723" s="20"/>
      <c r="L723" s="20"/>
      <c r="M723" s="20"/>
      <c r="N723" s="20"/>
      <c r="O723" s="20"/>
      <c r="P723" s="20"/>
      <c r="Q723" s="20"/>
      <c r="R723" s="20"/>
      <c r="S723" s="20"/>
      <c r="T723" s="20"/>
      <c r="U723" s="20"/>
      <c r="V723" s="20"/>
      <c r="W723" s="20"/>
      <c r="X723" s="20"/>
    </row>
    <row r="724">
      <c r="A724" s="37" t="str">
        <f>IFERROR(__xludf.DUMMYFUNCTION("""COMPUTED_VALUE"""),"https://techcombank.com/thong-tin/blog/so-the-visa-hop-le")</f>
        <v>https://techcombank.com/thong-tin/blog/so-the-visa-hop-le</v>
      </c>
      <c r="B724" s="28">
        <f>IFERROR(__xludf.DUMMYFUNCTION("""COMPUTED_VALUE"""),1.0)</f>
        <v>1</v>
      </c>
      <c r="C724" s="37" t="str">
        <f>IFERROR(__xludf.DUMMYFUNCTION("IF(A724="""","""",TEXTJOIN(CHAR(10),TRUE,FILTER('Tổng hợp 75 trang đích'!$B$2:$B$3400,'Tổng hợp 75 trang đích'!$I$2:$I$3400=A724)))"),"https://techcombank.com/thong-tin/blog/cic-la-gi")</f>
        <v>https://techcombank.com/thong-tin/blog/cic-la-gi</v>
      </c>
      <c r="D724" s="20"/>
      <c r="E724" s="20"/>
      <c r="F724" s="20"/>
      <c r="G724" s="20"/>
      <c r="H724" s="20"/>
      <c r="I724" s="20"/>
      <c r="J724" s="20"/>
      <c r="K724" s="20"/>
      <c r="L724" s="20"/>
      <c r="M724" s="20"/>
      <c r="N724" s="20"/>
      <c r="O724" s="20"/>
      <c r="P724" s="20"/>
      <c r="Q724" s="20"/>
      <c r="R724" s="20"/>
      <c r="S724" s="20"/>
      <c r="T724" s="20"/>
      <c r="U724" s="20"/>
      <c r="V724" s="20"/>
      <c r="W724" s="20"/>
      <c r="X724" s="20"/>
    </row>
    <row r="725">
      <c r="A725" s="37" t="str">
        <f>IFERROR(__xludf.DUMMYFUNCTION("""COMPUTED_VALUE"""),"https://techcombank.com/thong-tin/blog/tai-khoan-cong-ty-co-chuyen-online-duoc-khong")</f>
        <v>https://techcombank.com/thong-tin/blog/tai-khoan-cong-ty-co-chuyen-online-duoc-khong</v>
      </c>
      <c r="B725" s="28">
        <f>IFERROR(__xludf.DUMMYFUNCTION("""COMPUTED_VALUE"""),1.0)</f>
        <v>1</v>
      </c>
      <c r="C725" s="37" t="str">
        <f>IFERROR(__xludf.DUMMYFUNCTION("IF(A725="""","""",TEXTJOIN(CHAR(10),TRUE,FILTER('Tổng hợp 75 trang đích'!$B$2:$B$3400,'Tổng hợp 75 trang đích'!$I$2:$I$3400=A725)))"),"https://techcombank.com/thong-tin/blog/cong-ty-su-dung-tai-khoan-ca-nhan")</f>
        <v>https://techcombank.com/thong-tin/blog/cong-ty-su-dung-tai-khoan-ca-nhan</v>
      </c>
      <c r="D725" s="20"/>
      <c r="E725" s="20"/>
      <c r="F725" s="20"/>
      <c r="G725" s="20"/>
      <c r="H725" s="20"/>
      <c r="I725" s="20"/>
      <c r="J725" s="20"/>
      <c r="K725" s="20"/>
      <c r="L725" s="20"/>
      <c r="M725" s="20"/>
      <c r="N725" s="20"/>
      <c r="O725" s="20"/>
      <c r="P725" s="20"/>
      <c r="Q725" s="20"/>
      <c r="R725" s="20"/>
      <c r="S725" s="20"/>
      <c r="T725" s="20"/>
      <c r="U725" s="20"/>
      <c r="V725" s="20"/>
      <c r="W725" s="20"/>
      <c r="X725" s="20"/>
    </row>
    <row r="726">
      <c r="A726" s="37" t="str">
        <f>IFERROR(__xludf.DUMMYFUNCTION("""COMPUTED_VALUE"""),"https://techcombank.com/thong-tin/blog/tai-tro-fifa-world-cup")</f>
        <v>https://techcombank.com/thong-tin/blog/tai-tro-fifa-world-cup</v>
      </c>
      <c r="B726" s="28">
        <f>IFERROR(__xludf.DUMMYFUNCTION("""COMPUTED_VALUE"""),1.0)</f>
        <v>1</v>
      </c>
      <c r="C726" s="37" t="str">
        <f>IFERROR(__xludf.DUMMYFUNCTION("IF(A726="""","""",TEXTJOIN(CHAR(10),TRUE,FILTER('Tổng hợp 75 trang đích'!$B$2:$B$3400,'Tổng hợp 75 trang đích'!$I$2:$I$3400=A726)))"),"https://techcombank.com/thong-tin/blog/tien-thai-lan")</f>
        <v>https://techcombank.com/thong-tin/blog/tien-thai-lan</v>
      </c>
      <c r="D726" s="20"/>
      <c r="E726" s="20"/>
      <c r="F726" s="20"/>
      <c r="G726" s="20"/>
      <c r="H726" s="20"/>
      <c r="I726" s="20"/>
      <c r="J726" s="20"/>
      <c r="K726" s="20"/>
      <c r="L726" s="20"/>
      <c r="M726" s="20"/>
      <c r="N726" s="20"/>
      <c r="O726" s="20"/>
      <c r="P726" s="20"/>
      <c r="Q726" s="20"/>
      <c r="R726" s="20"/>
      <c r="S726" s="20"/>
      <c r="T726" s="20"/>
      <c r="U726" s="20"/>
      <c r="V726" s="20"/>
      <c r="W726" s="20"/>
      <c r="X726" s="20"/>
    </row>
    <row r="727">
      <c r="A727" s="37" t="str">
        <f>IFERROR(__xludf.DUMMYFUNCTION("""COMPUTED_VALUE"""),"https://techcombank.com/thong-tin/blog/ten-dang-nhap-tai-khoan-ngan-hang-la-gi")</f>
        <v>https://techcombank.com/thong-tin/blog/ten-dang-nhap-tai-khoan-ngan-hang-la-gi</v>
      </c>
      <c r="B727" s="28">
        <f>IFERROR(__xludf.DUMMYFUNCTION("""COMPUTED_VALUE"""),1.0)</f>
        <v>1</v>
      </c>
      <c r="C727" s="37" t="str">
        <f>IFERROR(__xludf.DUMMYFUNCTION("IF(A727="""","""",TEXTJOIN(CHAR(10),TRUE,FILTER('Tổng hợp 75 trang đích'!$B$2:$B$3400,'Tổng hợp 75 trang đích'!$I$2:$I$3400=A727)))"),"https://techcombank.com/thong-tin/blog/cic-la-gi")</f>
        <v>https://techcombank.com/thong-tin/blog/cic-la-gi</v>
      </c>
      <c r="D727" s="20"/>
      <c r="E727" s="20"/>
      <c r="F727" s="20"/>
      <c r="G727" s="20"/>
      <c r="H727" s="20"/>
      <c r="I727" s="20"/>
      <c r="J727" s="20"/>
      <c r="K727" s="20"/>
      <c r="L727" s="20"/>
      <c r="M727" s="20"/>
      <c r="N727" s="20"/>
      <c r="O727" s="20"/>
      <c r="P727" s="20"/>
      <c r="Q727" s="20"/>
      <c r="R727" s="20"/>
      <c r="S727" s="20"/>
      <c r="T727" s="20"/>
      <c r="U727" s="20"/>
      <c r="V727" s="20"/>
      <c r="W727" s="20"/>
      <c r="X727" s="20"/>
    </row>
    <row r="728">
      <c r="A728" s="37" t="str">
        <f>IFERROR(__xludf.DUMMYFUNCTION("""COMPUTED_VALUE"""),"https://techcombank.com/thong-tin/blog/thanh-ly-tai-san")</f>
        <v>https://techcombank.com/thong-tin/blog/thanh-ly-tai-san</v>
      </c>
      <c r="B728" s="28">
        <f>IFERROR(__xludf.DUMMYFUNCTION("""COMPUTED_VALUE"""),1.0)</f>
        <v>1</v>
      </c>
      <c r="C728" s="37" t="str">
        <f>IFERROR(__xludf.DUMMYFUNCTION("IF(A728="""","""",TEXTJOIN(CHAR(10),TRUE,FILTER('Tổng hợp 75 trang đích'!$B$2:$B$3400,'Tổng hợp 75 trang đích'!$I$2:$I$3400=A728)))"),"https://techcombank.com/thong-tin/blog/app-vay-tien-nhanh")</f>
        <v>https://techcombank.com/thong-tin/blog/app-vay-tien-nhanh</v>
      </c>
      <c r="D728" s="20"/>
      <c r="E728" s="20"/>
      <c r="F728" s="20"/>
      <c r="G728" s="20"/>
      <c r="H728" s="20"/>
      <c r="I728" s="20"/>
      <c r="J728" s="20"/>
      <c r="K728" s="20"/>
      <c r="L728" s="20"/>
      <c r="M728" s="20"/>
      <c r="N728" s="20"/>
      <c r="O728" s="20"/>
      <c r="P728" s="20"/>
      <c r="Q728" s="20"/>
      <c r="R728" s="20"/>
      <c r="S728" s="20"/>
      <c r="T728" s="20"/>
      <c r="U728" s="20"/>
      <c r="V728" s="20"/>
      <c r="W728" s="20"/>
      <c r="X728" s="20"/>
    </row>
    <row r="729">
      <c r="A729" s="37" t="str">
        <f>IFERROR(__xludf.DUMMYFUNCTION("""COMPUTED_VALUE"""),"https://techcombank.com/thong-tin/blog/thanh-toan-khi-du-lich-hong-kong")</f>
        <v>https://techcombank.com/thong-tin/blog/thanh-toan-khi-du-lich-hong-kong</v>
      </c>
      <c r="B729" s="28">
        <f>IFERROR(__xludf.DUMMYFUNCTION("""COMPUTED_VALUE"""),1.0)</f>
        <v>1</v>
      </c>
      <c r="C729" s="37" t="str">
        <f>IFERROR(__xludf.DUMMYFUNCTION("IF(A729="""","""",TEXTJOIN(CHAR(10),TRUE,FILTER('Tổng hợp 75 trang đích'!$B$2:$B$3400,'Tổng hợp 75 trang đích'!$I$2:$I$3400=A729)))"),"https://techcombank.com/thong-tin/blog/cic-la-gi")</f>
        <v>https://techcombank.com/thong-tin/blog/cic-la-gi</v>
      </c>
      <c r="D729" s="20"/>
      <c r="E729" s="20"/>
      <c r="F729" s="20"/>
      <c r="G729" s="20"/>
      <c r="H729" s="20"/>
      <c r="I729" s="20"/>
      <c r="J729" s="20"/>
      <c r="K729" s="20"/>
      <c r="L729" s="20"/>
      <c r="M729" s="20"/>
      <c r="N729" s="20"/>
      <c r="O729" s="20"/>
      <c r="P729" s="20"/>
      <c r="Q729" s="20"/>
      <c r="R729" s="20"/>
      <c r="S729" s="20"/>
      <c r="T729" s="20"/>
      <c r="U729" s="20"/>
      <c r="V729" s="20"/>
      <c r="W729" s="20"/>
      <c r="X729" s="20"/>
    </row>
    <row r="730">
      <c r="A730" s="37" t="str">
        <f>IFERROR(__xludf.DUMMYFUNCTION("""COMPUTED_VALUE"""),"https://techcombank.com/thong-tin/blog/thanh-toan-khi-du-lich-trung-quoc")</f>
        <v>https://techcombank.com/thong-tin/blog/thanh-toan-khi-du-lich-trung-quoc</v>
      </c>
      <c r="B730" s="28">
        <f>IFERROR(__xludf.DUMMYFUNCTION("""COMPUTED_VALUE"""),1.0)</f>
        <v>1</v>
      </c>
      <c r="C730" s="37" t="str">
        <f>IFERROR(__xludf.DUMMYFUNCTION("IF(A730="""","""",TEXTJOIN(CHAR(10),TRUE,FILTER('Tổng hợp 75 trang đích'!$B$2:$B$3400,'Tổng hợp 75 trang đích'!$I$2:$I$3400=A730)))"),"https://techcombank.com/thong-tin/blog/1-te-bang-bao-nhieu-tien-viet-nam")</f>
        <v>https://techcombank.com/thong-tin/blog/1-te-bang-bao-nhieu-tien-viet-nam</v>
      </c>
      <c r="D730" s="20"/>
      <c r="E730" s="20"/>
      <c r="F730" s="20"/>
      <c r="G730" s="20"/>
      <c r="H730" s="20"/>
      <c r="I730" s="20"/>
      <c r="J730" s="20"/>
      <c r="K730" s="20"/>
      <c r="L730" s="20"/>
      <c r="M730" s="20"/>
      <c r="N730" s="20"/>
      <c r="O730" s="20"/>
      <c r="P730" s="20"/>
      <c r="Q730" s="20"/>
      <c r="R730" s="20"/>
      <c r="S730" s="20"/>
      <c r="T730" s="20"/>
      <c r="U730" s="20"/>
      <c r="V730" s="20"/>
      <c r="W730" s="20"/>
      <c r="X730" s="20"/>
    </row>
    <row r="731">
      <c r="A731" s="37" t="str">
        <f>IFERROR(__xludf.DUMMYFUNCTION("""COMPUTED_VALUE"""),"https://techcombank.com/thong-tin/blog/thanh-toan-khong-cham-tuong-lai-cua-thanh-toan-so-tai-viet-nam")</f>
        <v>https://techcombank.com/thong-tin/blog/thanh-toan-khong-cham-tuong-lai-cua-thanh-toan-so-tai-viet-nam</v>
      </c>
      <c r="B731" s="28">
        <f>IFERROR(__xludf.DUMMYFUNCTION("""COMPUTED_VALUE"""),1.0)</f>
        <v>1</v>
      </c>
      <c r="C731" s="37" t="str">
        <f>IFERROR(__xludf.DUMMYFUNCTION("IF(A731="""","""",TEXTJOIN(CHAR(10),TRUE,FILTER('Tổng hợp 75 trang đích'!$B$2:$B$3400,'Tổng hợp 75 trang đích'!$I$2:$I$3400=A731)))"),"https://techcombank.com/thong-tin/blog/cach-quet-nfc-cccd-tren-iphone")</f>
        <v>https://techcombank.com/thong-tin/blog/cach-quet-nfc-cccd-tren-iphone</v>
      </c>
      <c r="D731" s="20"/>
      <c r="E731" s="20"/>
      <c r="F731" s="20"/>
      <c r="G731" s="20"/>
      <c r="H731" s="20"/>
      <c r="I731" s="20"/>
      <c r="J731" s="20"/>
      <c r="K731" s="20"/>
      <c r="L731" s="20"/>
      <c r="M731" s="20"/>
      <c r="N731" s="20"/>
      <c r="O731" s="20"/>
      <c r="P731" s="20"/>
      <c r="Q731" s="20"/>
      <c r="R731" s="20"/>
      <c r="S731" s="20"/>
      <c r="T731" s="20"/>
      <c r="U731" s="20"/>
      <c r="V731" s="20"/>
      <c r="W731" s="20"/>
      <c r="X731" s="20"/>
    </row>
    <row r="732">
      <c r="A732" s="37" t="str">
        <f>IFERROR(__xludf.DUMMYFUNCTION("""COMPUTED_VALUE"""),"https://techcombank.com/thong-tin/blog/thanh-toan-khong-dung-tien-mat-tro-thanh-xu-huong-tang-truong-chong-mat")</f>
        <v>https://techcombank.com/thong-tin/blog/thanh-toan-khong-dung-tien-mat-tro-thanh-xu-huong-tang-truong-chong-mat</v>
      </c>
      <c r="B732" s="28">
        <f>IFERROR(__xludf.DUMMYFUNCTION("""COMPUTED_VALUE"""),1.0)</f>
        <v>1</v>
      </c>
      <c r="C732" s="37" t="str">
        <f>IFERROR(__xludf.DUMMYFUNCTION("IF(A732="""","""",TEXTJOIN(CHAR(10),TRUE,FILTER('Tổng hợp 75 trang đích'!$B$2:$B$3400,'Tổng hợp 75 trang đích'!$I$2:$I$3400=A732)))"),"https://techcombank.com/thong-tin/blog/rut-tien-mat-tu-the-tin-dung")</f>
        <v>https://techcombank.com/thong-tin/blog/rut-tien-mat-tu-the-tin-dung</v>
      </c>
      <c r="D732" s="20"/>
      <c r="E732" s="20"/>
      <c r="F732" s="20"/>
      <c r="G732" s="20"/>
      <c r="H732" s="20"/>
      <c r="I732" s="20"/>
      <c r="J732" s="20"/>
      <c r="K732" s="20"/>
      <c r="L732" s="20"/>
      <c r="M732" s="20"/>
      <c r="N732" s="20"/>
      <c r="O732" s="20"/>
      <c r="P732" s="20"/>
      <c r="Q732" s="20"/>
      <c r="R732" s="20"/>
      <c r="S732" s="20"/>
      <c r="T732" s="20"/>
      <c r="U732" s="20"/>
      <c r="V732" s="20"/>
      <c r="W732" s="20"/>
      <c r="X732" s="20"/>
    </row>
    <row r="733">
      <c r="A733" s="37" t="str">
        <f>IFERROR(__xludf.DUMMYFUNCTION("""COMPUTED_VALUE"""),"https://techcombank.com/thong-tin/blog/thanh-toan-khong-tien-mat-trong-nganh-giao-duc-co-hoi-va-thach-thuc")</f>
        <v>https://techcombank.com/thong-tin/blog/thanh-toan-khong-tien-mat-trong-nganh-giao-duc-co-hoi-va-thach-thuc</v>
      </c>
      <c r="B733" s="28">
        <f>IFERROR(__xludf.DUMMYFUNCTION("""COMPUTED_VALUE"""),1.0)</f>
        <v>1</v>
      </c>
      <c r="C733" s="37" t="str">
        <f>IFERROR(__xludf.DUMMYFUNCTION("IF(A733="""","""",TEXTJOIN(CHAR(10),TRUE,FILTER('Tổng hợp 75 trang đích'!$B$2:$B$3400,'Tổng hợp 75 trang đích'!$I$2:$I$3400=A733)))"),"https://techcombank.com/thong-tin/blog/mo-tai-khoan-ngan-hang-duoi-18-tuoi")</f>
        <v>https://techcombank.com/thong-tin/blog/mo-tai-khoan-ngan-hang-duoi-18-tuoi</v>
      </c>
      <c r="D733" s="20"/>
      <c r="E733" s="20"/>
      <c r="F733" s="20"/>
      <c r="G733" s="20"/>
      <c r="H733" s="20"/>
      <c r="I733" s="20"/>
      <c r="J733" s="20"/>
      <c r="K733" s="20"/>
      <c r="L733" s="20"/>
      <c r="M733" s="20"/>
      <c r="N733" s="20"/>
      <c r="O733" s="20"/>
      <c r="P733" s="20"/>
      <c r="Q733" s="20"/>
      <c r="R733" s="20"/>
      <c r="S733" s="20"/>
      <c r="T733" s="20"/>
      <c r="U733" s="20"/>
      <c r="V733" s="20"/>
      <c r="W733" s="20"/>
      <c r="X733" s="20"/>
    </row>
    <row r="734">
      <c r="A734" s="37" t="str">
        <f>IFERROR(__xludf.DUMMYFUNCTION("""COMPUTED_VALUE"""),"https://techcombank.com/thong-tin/blog/thanh-toan-tien-internet-online")</f>
        <v>https://techcombank.com/thong-tin/blog/thanh-toan-tien-internet-online</v>
      </c>
      <c r="B734" s="28">
        <f>IFERROR(__xludf.DUMMYFUNCTION("""COMPUTED_VALUE"""),1.0)</f>
        <v>1</v>
      </c>
      <c r="C734" s="37" t="str">
        <f>IFERROR(__xludf.DUMMYFUNCTION("IF(A734="""","""",TEXTJOIN(CHAR(10),TRUE,FILTER('Tổng hợp 75 trang đích'!$B$2:$B$3400,'Tổng hợp 75 trang đích'!$I$2:$I$3400=A734)))"),"https://techcombank.com/thong-tin/blog/cic-la-gi")</f>
        <v>https://techcombank.com/thong-tin/blog/cic-la-gi</v>
      </c>
      <c r="D734" s="20"/>
      <c r="E734" s="20"/>
      <c r="F734" s="20"/>
      <c r="G734" s="20"/>
      <c r="H734" s="20"/>
      <c r="I734" s="20"/>
      <c r="J734" s="20"/>
      <c r="K734" s="20"/>
      <c r="L734" s="20"/>
      <c r="M734" s="20"/>
      <c r="N734" s="20"/>
      <c r="O734" s="20"/>
      <c r="P734" s="20"/>
      <c r="Q734" s="20"/>
      <c r="R734" s="20"/>
      <c r="S734" s="20"/>
      <c r="T734" s="20"/>
      <c r="U734" s="20"/>
      <c r="V734" s="20"/>
      <c r="W734" s="20"/>
      <c r="X734" s="20"/>
    </row>
    <row r="735">
      <c r="A735" s="37" t="str">
        <f>IFERROR(__xludf.DUMMYFUNCTION("""COMPUTED_VALUE"""),"https://techcombank.com/thong-tin/blog/thanh-toan-tien-nuoc-online")</f>
        <v>https://techcombank.com/thong-tin/blog/thanh-toan-tien-nuoc-online</v>
      </c>
      <c r="B735" s="28">
        <f>IFERROR(__xludf.DUMMYFUNCTION("""COMPUTED_VALUE"""),1.0)</f>
        <v>1</v>
      </c>
      <c r="C735" s="37" t="str">
        <f>IFERROR(__xludf.DUMMYFUNCTION("IF(A735="""","""",TEXTJOIN(CHAR(10),TRUE,FILTER('Tổng hợp 75 trang đích'!$B$2:$B$3400,'Tổng hợp 75 trang đích'!$I$2:$I$3400=A735)))"),"https://techcombank.com/thong-tin/blog/ten-dang-nhap-tai-khoan-ngan-hang-la-gi")</f>
        <v>https://techcombank.com/thong-tin/blog/ten-dang-nhap-tai-khoan-ngan-hang-la-gi</v>
      </c>
      <c r="D735" s="20"/>
      <c r="E735" s="20"/>
      <c r="F735" s="20"/>
      <c r="G735" s="20"/>
      <c r="H735" s="20"/>
      <c r="I735" s="20"/>
      <c r="J735" s="20"/>
      <c r="K735" s="20"/>
      <c r="L735" s="20"/>
      <c r="M735" s="20"/>
      <c r="N735" s="20"/>
      <c r="O735" s="20"/>
      <c r="P735" s="20"/>
      <c r="Q735" s="20"/>
      <c r="R735" s="20"/>
      <c r="S735" s="20"/>
      <c r="T735" s="20"/>
      <c r="U735" s="20"/>
      <c r="V735" s="20"/>
      <c r="W735" s="20"/>
      <c r="X735" s="20"/>
    </row>
    <row r="736">
      <c r="A736" s="37" t="str">
        <f>IFERROR(__xludf.DUMMYFUNCTION("""COMPUTED_VALUE"""),"https://techcombank.com/thong-tin/blog/the-atm-tu")</f>
        <v>https://techcombank.com/thong-tin/blog/the-atm-tu</v>
      </c>
      <c r="B736" s="28">
        <f>IFERROR(__xludf.DUMMYFUNCTION("""COMPUTED_VALUE"""),1.0)</f>
        <v>1</v>
      </c>
      <c r="C736" s="37" t="str">
        <f>IFERROR(__xludf.DUMMYFUNCTION("IF(A736="""","""",TEXTJOIN(CHAR(10),TRUE,FILTER('Tổng hợp 75 trang đích'!$B$2:$B$3400,'Tổng hợp 75 trang đích'!$I$2:$I$3400=A736)))"),"https://techcombank.com/thong-tin/blog/cic-la-gi")</f>
        <v>https://techcombank.com/thong-tin/blog/cic-la-gi</v>
      </c>
      <c r="D736" s="20"/>
      <c r="E736" s="20"/>
      <c r="F736" s="20"/>
      <c r="G736" s="20"/>
      <c r="H736" s="20"/>
      <c r="I736" s="20"/>
      <c r="J736" s="20"/>
      <c r="K736" s="20"/>
      <c r="L736" s="20"/>
      <c r="M736" s="20"/>
      <c r="N736" s="20"/>
      <c r="O736" s="20"/>
      <c r="P736" s="20"/>
      <c r="Q736" s="20"/>
      <c r="R736" s="20"/>
      <c r="S736" s="20"/>
      <c r="T736" s="20"/>
      <c r="U736" s="20"/>
      <c r="V736" s="20"/>
      <c r="W736" s="20"/>
      <c r="X736" s="20"/>
    </row>
    <row r="737">
      <c r="A737" s="37" t="str">
        <f>IFERROR(__xludf.DUMMYFUNCTION("""COMPUTED_VALUE"""),"https://techcombank.com/thong-tin/blog/the-visa")</f>
        <v>https://techcombank.com/thong-tin/blog/the-visa</v>
      </c>
      <c r="B737" s="28">
        <f>IFERROR(__xludf.DUMMYFUNCTION("""COMPUTED_VALUE"""),1.0)</f>
        <v>1</v>
      </c>
      <c r="C737" s="37" t="str">
        <f>IFERROR(__xludf.DUMMYFUNCTION("IF(A737="""","""",TEXTJOIN(CHAR(10),TRUE,FILTER('Tổng hợp 75 trang đích'!$B$2:$B$3400,'Tổng hợp 75 trang đích'!$I$2:$I$3400=A737)))"),"https://techcombank.com/thong-tin/blog/rut-tien-mat-tu-the-tin-dung")</f>
        <v>https://techcombank.com/thong-tin/blog/rut-tien-mat-tu-the-tin-dung</v>
      </c>
      <c r="D737" s="20"/>
      <c r="E737" s="20"/>
      <c r="F737" s="20"/>
      <c r="G737" s="20"/>
      <c r="H737" s="20"/>
      <c r="I737" s="20"/>
      <c r="J737" s="20"/>
      <c r="K737" s="20"/>
      <c r="L737" s="20"/>
      <c r="M737" s="20"/>
      <c r="N737" s="20"/>
      <c r="O737" s="20"/>
      <c r="P737" s="20"/>
      <c r="Q737" s="20"/>
      <c r="R737" s="20"/>
      <c r="S737" s="20"/>
      <c r="T737" s="20"/>
      <c r="U737" s="20"/>
      <c r="V737" s="20"/>
      <c r="W737" s="20"/>
      <c r="X737" s="20"/>
    </row>
    <row r="738">
      <c r="A738" s="37" t="str">
        <f>IFERROR(__xludf.DUMMYFUNCTION("""COMPUTED_VALUE"""),"https://techcombank.com/thong-tin/blog/thoi-gian-khop-lech-chung-chi-quy")</f>
        <v>https://techcombank.com/thong-tin/blog/thoi-gian-khop-lech-chung-chi-quy</v>
      </c>
      <c r="B738" s="28">
        <f>IFERROR(__xludf.DUMMYFUNCTION("""COMPUTED_VALUE"""),1.0)</f>
        <v>1</v>
      </c>
      <c r="C738" s="37" t="str">
        <f>IFERROR(__xludf.DUMMYFUNCTION("IF(A738="""","""",TEXTJOIN(CHAR(10),TRUE,FILTER('Tổng hợp 75 trang đích'!$B$2:$B$3400,'Tổng hợp 75 trang đích'!$I$2:$I$3400=A738)))"),"https://techcombank.com/thong-tin/blog/phuong-phap-dau-tu-chung-chi-quy")</f>
        <v>https://techcombank.com/thong-tin/blog/phuong-phap-dau-tu-chung-chi-quy</v>
      </c>
      <c r="D738" s="20"/>
      <c r="E738" s="20"/>
      <c r="F738" s="20"/>
      <c r="G738" s="20"/>
      <c r="H738" s="20"/>
      <c r="I738" s="20"/>
      <c r="J738" s="20"/>
      <c r="K738" s="20"/>
      <c r="L738" s="20"/>
      <c r="M738" s="20"/>
      <c r="N738" s="20"/>
      <c r="O738" s="20"/>
      <c r="P738" s="20"/>
      <c r="Q738" s="20"/>
      <c r="R738" s="20"/>
      <c r="S738" s="20"/>
      <c r="T738" s="20"/>
      <c r="U738" s="20"/>
      <c r="V738" s="20"/>
      <c r="W738" s="20"/>
      <c r="X738" s="20"/>
    </row>
    <row r="739">
      <c r="A739" s="37" t="str">
        <f>IFERROR(__xludf.DUMMYFUNCTION("""COMPUTED_VALUE"""),"https://techcombank.com/thong-tin/blog/tich-luy-tai-san")</f>
        <v>https://techcombank.com/thong-tin/blog/tich-luy-tai-san</v>
      </c>
      <c r="B739" s="28">
        <f>IFERROR(__xludf.DUMMYFUNCTION("""COMPUTED_VALUE"""),1.0)</f>
        <v>1</v>
      </c>
      <c r="C739" s="37" t="str">
        <f>IFERROR(__xludf.DUMMYFUNCTION("IF(A739="""","""",TEXTJOIN(CHAR(10),TRUE,FILTER('Tổng hợp 75 trang đích'!$B$2:$B$3400,'Tổng hợp 75 trang đích'!$I$2:$I$3400=A739)))"),"https://techcombank.com/thong-tin/blog/lai-suat-tiet-kiem")</f>
        <v>https://techcombank.com/thong-tin/blog/lai-suat-tiet-kiem</v>
      </c>
      <c r="D739" s="20"/>
      <c r="E739" s="20"/>
      <c r="F739" s="20"/>
      <c r="G739" s="20"/>
      <c r="H739" s="20"/>
      <c r="I739" s="20"/>
      <c r="J739" s="20"/>
      <c r="K739" s="20"/>
      <c r="L739" s="20"/>
      <c r="M739" s="20"/>
      <c r="N739" s="20"/>
      <c r="O739" s="20"/>
      <c r="P739" s="20"/>
      <c r="Q739" s="20"/>
      <c r="R739" s="20"/>
      <c r="S739" s="20"/>
      <c r="T739" s="20"/>
      <c r="U739" s="20"/>
      <c r="V739" s="20"/>
      <c r="W739" s="20"/>
      <c r="X739" s="20"/>
    </row>
    <row r="740">
      <c r="A740" s="37" t="str">
        <f>IFERROR(__xludf.DUMMYFUNCTION("""COMPUTED_VALUE"""),"https://techcombank.com/thong-tin/blog/tiet-kiem-khi-di-du-lich")</f>
        <v>https://techcombank.com/thong-tin/blog/tiet-kiem-khi-di-du-lich</v>
      </c>
      <c r="B740" s="28">
        <f>IFERROR(__xludf.DUMMYFUNCTION("""COMPUTED_VALUE"""),1.0)</f>
        <v>1</v>
      </c>
      <c r="C740" s="37" t="str">
        <f>IFERROR(__xludf.DUMMYFUNCTION("IF(A740="""","""",TEXTJOIN(CHAR(10),TRUE,FILTER('Tổng hợp 75 trang đích'!$B$2:$B$3400,'Tổng hợp 75 trang đích'!$I$2:$I$3400=A740)))"),"https://techcombank.com/thong-tin/blog/the-tin-dung-hoan-tien")</f>
        <v>https://techcombank.com/thong-tin/blog/the-tin-dung-hoan-tien</v>
      </c>
      <c r="D740" s="20"/>
      <c r="E740" s="20"/>
      <c r="F740" s="20"/>
      <c r="G740" s="20"/>
      <c r="H740" s="20"/>
      <c r="I740" s="20"/>
      <c r="J740" s="20"/>
      <c r="K740" s="20"/>
      <c r="L740" s="20"/>
      <c r="M740" s="20"/>
      <c r="N740" s="20"/>
      <c r="O740" s="20"/>
      <c r="P740" s="20"/>
      <c r="Q740" s="20"/>
      <c r="R740" s="20"/>
      <c r="S740" s="20"/>
      <c r="T740" s="20"/>
      <c r="U740" s="20"/>
      <c r="V740" s="20"/>
      <c r="W740" s="20"/>
      <c r="X740" s="20"/>
    </row>
    <row r="741">
      <c r="A741" s="37" t="str">
        <f>IFERROR(__xludf.DUMMYFUNCTION("""COMPUTED_VALUE"""),"https://techcombank.com/thong-tin/blog/toi-uu-hoa-chi-phi-trong-doanh-nghiep")</f>
        <v>https://techcombank.com/thong-tin/blog/toi-uu-hoa-chi-phi-trong-doanh-nghiep</v>
      </c>
      <c r="B741" s="28">
        <f>IFERROR(__xludf.DUMMYFUNCTION("""COMPUTED_VALUE"""),1.0)</f>
        <v>1</v>
      </c>
      <c r="C741" s="37" t="str">
        <f>IFERROR(__xludf.DUMMYFUNCTION("IF(A741="""","""",TEXTJOIN(CHAR(10),TRUE,FILTER('Tổng hợp 75 trang đích'!$B$2:$B$3400,'Tổng hợp 75 trang đích'!$I$2:$I$3400=A741)))"),"https://techcombank.com/thong-tin/blog/thue-thu-nhap-doanh-nghiep")</f>
        <v>https://techcombank.com/thong-tin/blog/thue-thu-nhap-doanh-nghiep</v>
      </c>
      <c r="D741" s="20"/>
      <c r="E741" s="20"/>
      <c r="F741" s="20"/>
      <c r="G741" s="20"/>
      <c r="H741" s="20"/>
      <c r="I741" s="20"/>
      <c r="J741" s="20"/>
      <c r="K741" s="20"/>
      <c r="L741" s="20"/>
      <c r="M741" s="20"/>
      <c r="N741" s="20"/>
      <c r="O741" s="20"/>
      <c r="P741" s="20"/>
      <c r="Q741" s="20"/>
      <c r="R741" s="20"/>
      <c r="S741" s="20"/>
      <c r="T741" s="20"/>
      <c r="U741" s="20"/>
      <c r="V741" s="20"/>
      <c r="W741" s="20"/>
      <c r="X741" s="20"/>
    </row>
    <row r="742">
      <c r="A742" s="37" t="str">
        <f>IFERROR(__xludf.DUMMYFUNCTION("""COMPUTED_VALUE"""),"https://techcombank.com/thong-tin/blog/token-la-gi")</f>
        <v>https://techcombank.com/thong-tin/blog/token-la-gi</v>
      </c>
      <c r="B742" s="28">
        <f>IFERROR(__xludf.DUMMYFUNCTION("""COMPUTED_VALUE"""),1.0)</f>
        <v>1</v>
      </c>
      <c r="C742" s="37" t="str">
        <f>IFERROR(__xludf.DUMMYFUNCTION("IF(A742="""","""",TEXTJOIN(CHAR(10),TRUE,FILTER('Tổng hợp 75 trang đích'!$B$2:$B$3400,'Tổng hợp 75 trang đích'!$I$2:$I$3400=A742)))"),"https://techcombank.com/thong-tin/blog/chuyen-khoan-thanh-cong-nhung-khong-nhan-duoc-tien")</f>
        <v>https://techcombank.com/thong-tin/blog/chuyen-khoan-thanh-cong-nhung-khong-nhan-duoc-tien</v>
      </c>
      <c r="D742" s="20"/>
      <c r="E742" s="20"/>
      <c r="F742" s="20"/>
      <c r="G742" s="20"/>
      <c r="H742" s="20"/>
      <c r="I742" s="20"/>
      <c r="J742" s="20"/>
      <c r="K742" s="20"/>
      <c r="L742" s="20"/>
      <c r="M742" s="20"/>
      <c r="N742" s="20"/>
      <c r="O742" s="20"/>
      <c r="P742" s="20"/>
      <c r="Q742" s="20"/>
      <c r="R742" s="20"/>
      <c r="S742" s="20"/>
      <c r="T742" s="20"/>
      <c r="U742" s="20"/>
      <c r="V742" s="20"/>
      <c r="W742" s="20"/>
      <c r="X742" s="20"/>
    </row>
    <row r="743">
      <c r="A743" s="37" t="str">
        <f>IFERROR(__xludf.DUMMYFUNCTION("""COMPUTED_VALUE"""),"https://techcombank.com/thong-tin/blog/tra-cuu-hoa-don-tien-dien")</f>
        <v>https://techcombank.com/thong-tin/blog/tra-cuu-hoa-don-tien-dien</v>
      </c>
      <c r="B743" s="28">
        <f>IFERROR(__xludf.DUMMYFUNCTION("""COMPUTED_VALUE"""),1.0)</f>
        <v>1</v>
      </c>
      <c r="C743" s="37" t="str">
        <f>IFERROR(__xludf.DUMMYFUNCTION("IF(A743="""","""",TEXTJOIN(CHAR(10),TRUE,FILTER('Tổng hợp 75 trang đích'!$B$2:$B$3400,'Tổng hợp 75 trang đích'!$I$2:$I$3400=A743)))"),"https://techcombank.com/thong-tin/blog/tra-cuu-no-thue-doanh-nghiep")</f>
        <v>https://techcombank.com/thong-tin/blog/tra-cuu-no-thue-doanh-nghiep</v>
      </c>
      <c r="D743" s="20"/>
      <c r="E743" s="20"/>
      <c r="F743" s="20"/>
      <c r="G743" s="20"/>
      <c r="H743" s="20"/>
      <c r="I743" s="20"/>
      <c r="J743" s="20"/>
      <c r="K743" s="20"/>
      <c r="L743" s="20"/>
      <c r="M743" s="20"/>
      <c r="N743" s="20"/>
      <c r="O743" s="20"/>
      <c r="P743" s="20"/>
      <c r="Q743" s="20"/>
      <c r="R743" s="20"/>
      <c r="S743" s="20"/>
      <c r="T743" s="20"/>
      <c r="U743" s="20"/>
      <c r="V743" s="20"/>
      <c r="W743" s="20"/>
      <c r="X743" s="20"/>
    </row>
    <row r="744">
      <c r="A744" s="37" t="str">
        <f>IFERROR(__xludf.DUMMYFUNCTION("""COMPUTED_VALUE"""),"https://techcombank.com/thong-tin/blog/ty-le-khach-hang-su-dung-chu-ky-so-trong-linh-vuc-ngan-hang-dang-o-muc-5")</f>
        <v>https://techcombank.com/thong-tin/blog/ty-le-khach-hang-su-dung-chu-ky-so-trong-linh-vuc-ngan-hang-dang-o-muc-5</v>
      </c>
      <c r="B744" s="28">
        <f>IFERROR(__xludf.DUMMYFUNCTION("""COMPUTED_VALUE"""),1.0)</f>
        <v>1</v>
      </c>
      <c r="C744" s="37" t="str">
        <f>IFERROR(__xludf.DUMMYFUNCTION("IF(A744="""","""",TEXTJOIN(CHAR(10),TRUE,FILTER('Tổng hợp 75 trang đích'!$B$2:$B$3400,'Tổng hợp 75 trang đích'!$I$2:$I$3400=A744)))"),"https://techcombank.com/thong-tin/blog/bao-nhieu-tuoi-duoc-mo-tai-khoan-ngan-hang")</f>
        <v>https://techcombank.com/thong-tin/blog/bao-nhieu-tuoi-duoc-mo-tai-khoan-ngan-hang</v>
      </c>
      <c r="D744" s="20"/>
      <c r="E744" s="20"/>
      <c r="F744" s="20"/>
      <c r="G744" s="20"/>
      <c r="H744" s="20"/>
      <c r="I744" s="20"/>
      <c r="J744" s="20"/>
      <c r="K744" s="20"/>
      <c r="L744" s="20"/>
      <c r="M744" s="20"/>
      <c r="N744" s="20"/>
      <c r="O744" s="20"/>
      <c r="P744" s="20"/>
      <c r="Q744" s="20"/>
      <c r="R744" s="20"/>
      <c r="S744" s="20"/>
      <c r="T744" s="20"/>
      <c r="U744" s="20"/>
      <c r="V744" s="20"/>
      <c r="W744" s="20"/>
      <c r="X744" s="20"/>
    </row>
    <row r="745">
      <c r="A745" s="37" t="str">
        <f>IFERROR(__xludf.DUMMYFUNCTION("""COMPUTED_VALUE"""),"https://techcombank.com/thong-tin/blog/ty-le-thanh-toan-khong-dung-tien-mat-trong-linh-vuc-y-te-con-han-che")</f>
        <v>https://techcombank.com/thong-tin/blog/ty-le-thanh-toan-khong-dung-tien-mat-trong-linh-vuc-y-te-con-han-che</v>
      </c>
      <c r="B745" s="28">
        <f>IFERROR(__xludf.DUMMYFUNCTION("""COMPUTED_VALUE"""),1.0)</f>
        <v>1</v>
      </c>
      <c r="C745" s="37" t="str">
        <f>IFERROR(__xludf.DUMMYFUNCTION("IF(A745="""","""",TEXTJOIN(CHAR(10),TRUE,FILTER('Tổng hợp 75 trang đích'!$B$2:$B$3400,'Tổng hợp 75 trang đích'!$I$2:$I$3400=A745)))"),"https://techcombank.com/thong-tin/blog/rut-tien-mat-tu-the-tin-dung")</f>
        <v>https://techcombank.com/thong-tin/blog/rut-tien-mat-tu-the-tin-dung</v>
      </c>
      <c r="D745" s="20"/>
      <c r="E745" s="20"/>
      <c r="F745" s="20"/>
      <c r="G745" s="20"/>
      <c r="H745" s="20"/>
      <c r="I745" s="20"/>
      <c r="J745" s="20"/>
      <c r="K745" s="20"/>
      <c r="L745" s="20"/>
      <c r="M745" s="20"/>
      <c r="N745" s="20"/>
      <c r="O745" s="20"/>
      <c r="P745" s="20"/>
      <c r="Q745" s="20"/>
      <c r="R745" s="20"/>
      <c r="S745" s="20"/>
      <c r="T745" s="20"/>
      <c r="U745" s="20"/>
      <c r="V745" s="20"/>
      <c r="W745" s="20"/>
      <c r="X745" s="20"/>
    </row>
    <row r="746">
      <c r="A746" s="37" t="str">
        <f>IFERROR(__xludf.DUMMYFUNCTION("""COMPUTED_VALUE"""),"https://techcombank.com/thong-tin/blog/ung-dung-cong-nghe")</f>
        <v>https://techcombank.com/thong-tin/blog/ung-dung-cong-nghe</v>
      </c>
      <c r="B746" s="28">
        <f>IFERROR(__xludf.DUMMYFUNCTION("""COMPUTED_VALUE"""),1.0)</f>
        <v>1</v>
      </c>
      <c r="C746" s="37" t="str">
        <f>IFERROR(__xludf.DUMMYFUNCTION("IF(A746="""","""",TEXTJOIN(CHAR(10),TRUE,FILTER('Tổng hợp 75 trang đích'!$B$2:$B$3400,'Tổng hợp 75 trang đích'!$I$2:$I$3400=A746)))"),"https://techcombank.com/cong-cu-tien-ich/cong-cu-tinh-toan/bang-tinh-lai-suat-tiet-kiem")</f>
        <v>https://techcombank.com/cong-cu-tien-ich/cong-cu-tinh-toan/bang-tinh-lai-suat-tiet-kiem</v>
      </c>
      <c r="D746" s="20"/>
      <c r="E746" s="20"/>
      <c r="F746" s="20"/>
      <c r="G746" s="20"/>
      <c r="H746" s="20"/>
      <c r="I746" s="20"/>
      <c r="J746" s="20"/>
      <c r="K746" s="20"/>
      <c r="L746" s="20"/>
      <c r="M746" s="20"/>
      <c r="N746" s="20"/>
      <c r="O746" s="20"/>
      <c r="P746" s="20"/>
      <c r="Q746" s="20"/>
      <c r="R746" s="20"/>
      <c r="S746" s="20"/>
      <c r="T746" s="20"/>
      <c r="U746" s="20"/>
      <c r="V746" s="20"/>
      <c r="W746" s="20"/>
      <c r="X746" s="20"/>
    </row>
    <row r="747">
      <c r="A747" s="37" t="str">
        <f>IFERROR(__xludf.DUMMYFUNCTION("""COMPUTED_VALUE"""),"https://techcombank.com/thong-tin/blog/uu-dai-mua-iphone-18")</f>
        <v>https://techcombank.com/thong-tin/blog/uu-dai-mua-iphone-18</v>
      </c>
      <c r="B747" s="28">
        <f>IFERROR(__xludf.DUMMYFUNCTION("""COMPUTED_VALUE"""),1.0)</f>
        <v>1</v>
      </c>
      <c r="C747" s="37" t="str">
        <f>IFERROR(__xludf.DUMMYFUNCTION("IF(A747="""","""",TEXTJOIN(CHAR(10),TRUE,FILTER('Tổng hợp 75 trang đích'!$B$2:$B$3400,'Tổng hợp 75 trang đích'!$I$2:$I$3400=A747)))"),"https://techcombank.com/thong-tin/blog/cach-quet-nfc-cccd-tren-iphone")</f>
        <v>https://techcombank.com/thong-tin/blog/cach-quet-nfc-cccd-tren-iphone</v>
      </c>
      <c r="D747" s="20"/>
      <c r="E747" s="20"/>
      <c r="F747" s="20"/>
      <c r="G747" s="20"/>
      <c r="H747" s="20"/>
      <c r="I747" s="20"/>
      <c r="J747" s="20"/>
      <c r="K747" s="20"/>
      <c r="L747" s="20"/>
      <c r="M747" s="20"/>
      <c r="N747" s="20"/>
      <c r="O747" s="20"/>
      <c r="P747" s="20"/>
      <c r="Q747" s="20"/>
      <c r="R747" s="20"/>
      <c r="S747" s="20"/>
      <c r="T747" s="20"/>
      <c r="U747" s="20"/>
      <c r="V747" s="20"/>
      <c r="W747" s="20"/>
      <c r="X747" s="20"/>
    </row>
    <row r="748">
      <c r="A748" s="37" t="str">
        <f>IFERROR(__xludf.DUMMYFUNCTION("""COMPUTED_VALUE"""),"https://techcombank.com/thong-tin/blog/uu-diem-cua-blockchain")</f>
        <v>https://techcombank.com/thong-tin/blog/uu-diem-cua-blockchain</v>
      </c>
      <c r="B748" s="28">
        <f>IFERROR(__xludf.DUMMYFUNCTION("""COMPUTED_VALUE"""),1.0)</f>
        <v>1</v>
      </c>
      <c r="C748" s="37" t="str">
        <f>IFERROR(__xludf.DUMMYFUNCTION("IF(A748="""","""",TEXTJOIN(CHAR(10),TRUE,FILTER('Tổng hợp 75 trang đích'!$B$2:$B$3400,'Tổng hợp 75 trang đích'!$I$2:$I$3400=A748)))"),"https://techcombank.com/thong-tin/blog/cic-la-gi")</f>
        <v>https://techcombank.com/thong-tin/blog/cic-la-gi</v>
      </c>
      <c r="D748" s="20"/>
      <c r="E748" s="20"/>
      <c r="F748" s="20"/>
      <c r="G748" s="20"/>
      <c r="H748" s="20"/>
      <c r="I748" s="20"/>
      <c r="J748" s="20"/>
      <c r="K748" s="20"/>
      <c r="L748" s="20"/>
      <c r="M748" s="20"/>
      <c r="N748" s="20"/>
      <c r="O748" s="20"/>
      <c r="P748" s="20"/>
      <c r="Q748" s="20"/>
      <c r="R748" s="20"/>
      <c r="S748" s="20"/>
      <c r="T748" s="20"/>
      <c r="U748" s="20"/>
      <c r="V748" s="20"/>
      <c r="W748" s="20"/>
      <c r="X748" s="20"/>
    </row>
    <row r="749">
      <c r="A749" s="37" t="str">
        <f>IFERROR(__xludf.DUMMYFUNCTION("""COMPUTED_VALUE"""),"https://techcombank.com/thong-tin/blog/vang-24k")</f>
        <v>https://techcombank.com/thong-tin/blog/vang-24k</v>
      </c>
      <c r="B749" s="28">
        <f>IFERROR(__xludf.DUMMYFUNCTION("""COMPUTED_VALUE"""),1.0)</f>
        <v>1</v>
      </c>
      <c r="C749" s="37" t="str">
        <f>IFERROR(__xludf.DUMMYFUNCTION("IF(A749="""","""",TEXTJOIN(CHAR(10),TRUE,FILTER('Tổng hợp 75 trang đích'!$B$2:$B$3400,'Tổng hợp 75 trang đích'!$I$2:$I$3400=A749)))"),"https://techcombank.com/thong-tin/blog/doi-tien-do-o-dau")</f>
        <v>https://techcombank.com/thong-tin/blog/doi-tien-do-o-dau</v>
      </c>
      <c r="D749" s="20"/>
      <c r="E749" s="20"/>
      <c r="F749" s="20"/>
      <c r="G749" s="20"/>
      <c r="H749" s="20"/>
      <c r="I749" s="20"/>
      <c r="J749" s="20"/>
      <c r="K749" s="20"/>
      <c r="L749" s="20"/>
      <c r="M749" s="20"/>
      <c r="N749" s="20"/>
      <c r="O749" s="20"/>
      <c r="P749" s="20"/>
      <c r="Q749" s="20"/>
      <c r="R749" s="20"/>
      <c r="S749" s="20"/>
      <c r="T749" s="20"/>
      <c r="U749" s="20"/>
      <c r="V749" s="20"/>
      <c r="W749" s="20"/>
      <c r="X749" s="20"/>
    </row>
    <row r="750">
      <c r="A750" s="37" t="str">
        <f>IFERROR(__xludf.DUMMYFUNCTION("""COMPUTED_VALUE"""),"https://techcombank.com/thong-tin/blog/vi-tra-sau")</f>
        <v>https://techcombank.com/thong-tin/blog/vi-tra-sau</v>
      </c>
      <c r="B750" s="28">
        <f>IFERROR(__xludf.DUMMYFUNCTION("""COMPUTED_VALUE"""),1.0)</f>
        <v>1</v>
      </c>
      <c r="C750" s="37" t="str">
        <f>IFERROR(__xludf.DUMMYFUNCTION("IF(A750="""","""",TEXTJOIN(CHAR(10),TRUE,FILTER('Tổng hợp 75 trang đích'!$B$2:$B$3400,'Tổng hợp 75 trang đích'!$I$2:$I$3400=A750)))"),"https://techcombank.com/thong-tin/blog/cach-sao-ke-tai-khoan-ngan-hang")</f>
        <v>https://techcombank.com/thong-tin/blog/cach-sao-ke-tai-khoan-ngan-hang</v>
      </c>
      <c r="D750" s="20"/>
      <c r="E750" s="20"/>
      <c r="F750" s="20"/>
      <c r="G750" s="20"/>
      <c r="H750" s="20"/>
      <c r="I750" s="20"/>
      <c r="J750" s="20"/>
      <c r="K750" s="20"/>
      <c r="L750" s="20"/>
      <c r="M750" s="20"/>
      <c r="N750" s="20"/>
      <c r="O750" s="20"/>
      <c r="P750" s="20"/>
      <c r="Q750" s="20"/>
      <c r="R750" s="20"/>
      <c r="S750" s="20"/>
      <c r="T750" s="20"/>
      <c r="U750" s="20"/>
      <c r="V750" s="20"/>
      <c r="W750" s="20"/>
      <c r="X750" s="20"/>
    </row>
    <row r="751">
      <c r="A751" s="37" t="str">
        <f>IFERROR(__xludf.DUMMYFUNCTION("""COMPUTED_VALUE"""),"https://techcombank.com/thong-tin/blog/vip-ngan-hang")</f>
        <v>https://techcombank.com/thong-tin/blog/vip-ngan-hang</v>
      </c>
      <c r="B751" s="28">
        <f>IFERROR(__xludf.DUMMYFUNCTION("""COMPUTED_VALUE"""),1.0)</f>
        <v>1</v>
      </c>
      <c r="C751" s="37" t="str">
        <f>IFERROR(__xludf.DUMMYFUNCTION("IF(A751="""","""",TEXTJOIN(CHAR(10),TRUE,FILTER('Tổng hợp 75 trang đích'!$B$2:$B$3400,'Tổng hợp 75 trang đích'!$I$2:$I$3400=A751)))"),"https://techcombank.com/thong-tin/blog/cach-kiem-tra-tai-khoan-ngan-hang")</f>
        <v>https://techcombank.com/thong-tin/blog/cach-kiem-tra-tai-khoan-ngan-hang</v>
      </c>
      <c r="D751" s="20"/>
      <c r="E751" s="20"/>
      <c r="F751" s="20"/>
      <c r="G751" s="20"/>
      <c r="H751" s="20"/>
      <c r="I751" s="20"/>
      <c r="J751" s="20"/>
      <c r="K751" s="20"/>
      <c r="L751" s="20"/>
      <c r="M751" s="20"/>
      <c r="N751" s="20"/>
      <c r="O751" s="20"/>
      <c r="P751" s="20"/>
      <c r="Q751" s="20"/>
      <c r="R751" s="20"/>
      <c r="S751" s="20"/>
      <c r="T751" s="20"/>
      <c r="U751" s="20"/>
      <c r="V751" s="20"/>
      <c r="W751" s="20"/>
      <c r="X751" s="20"/>
    </row>
    <row r="752">
      <c r="A752" s="37" t="str">
        <f>IFERROR(__xludf.DUMMYFUNCTION("""COMPUTED_VALUE"""),"https://techcombank.com/thong-tin/blog/vong-quay-von")</f>
        <v>https://techcombank.com/thong-tin/blog/vong-quay-von</v>
      </c>
      <c r="B752" s="28">
        <f>IFERROR(__xludf.DUMMYFUNCTION("""COMPUTED_VALUE"""),1.0)</f>
        <v>1</v>
      </c>
      <c r="C752" s="37" t="str">
        <f>IFERROR(__xludf.DUMMYFUNCTION("IF(A752="""","""",TEXTJOIN(CHAR(10),TRUE,FILTER('Tổng hợp 75 trang đích'!$B$2:$B$3400,'Tổng hợp 75 trang đích'!$I$2:$I$3400=A752)))"),"https://techcombank.com/thong-tin/blog/cach-tinh-tien-dien-sinh-hoat")</f>
        <v>https://techcombank.com/thong-tin/blog/cach-tinh-tien-dien-sinh-hoat</v>
      </c>
      <c r="D752" s="20"/>
      <c r="E752" s="20"/>
      <c r="F752" s="20"/>
      <c r="G752" s="20"/>
      <c r="H752" s="20"/>
      <c r="I752" s="20"/>
      <c r="J752" s="20"/>
      <c r="K752" s="20"/>
      <c r="L752" s="20"/>
      <c r="M752" s="20"/>
      <c r="N752" s="20"/>
      <c r="O752" s="20"/>
      <c r="P752" s="20"/>
      <c r="Q752" s="20"/>
      <c r="R752" s="20"/>
      <c r="S752" s="20"/>
      <c r="T752" s="20"/>
      <c r="U752" s="20"/>
      <c r="V752" s="20"/>
      <c r="W752" s="20"/>
      <c r="X752" s="20"/>
    </row>
    <row r="753">
      <c r="A753" s="37" t="str">
        <f>IFERROR(__xludf.DUMMYFUNCTION("""COMPUTED_VALUE"""),"https://techcombank.com/thong-tin/blog/voucher-cgv")</f>
        <v>https://techcombank.com/thong-tin/blog/voucher-cgv</v>
      </c>
      <c r="B753" s="28">
        <f>IFERROR(__xludf.DUMMYFUNCTION("""COMPUTED_VALUE"""),1.0)</f>
        <v>1</v>
      </c>
      <c r="C753" s="37" t="str">
        <f>IFERROR(__xludf.DUMMYFUNCTION("IF(A753="""","""",TEXTJOIN(CHAR(10),TRUE,FILTER('Tổng hợp 75 trang đích'!$B$2:$B$3400,'Tổng hợp 75 trang đích'!$I$2:$I$3400=A753)))"),"https://techcombank.com/thong-tin/blog/traveloka-voucher")</f>
        <v>https://techcombank.com/thong-tin/blog/traveloka-voucher</v>
      </c>
      <c r="D753" s="20"/>
      <c r="E753" s="20"/>
      <c r="F753" s="20"/>
      <c r="G753" s="20"/>
      <c r="H753" s="20"/>
      <c r="I753" s="20"/>
      <c r="J753" s="20"/>
      <c r="K753" s="20"/>
      <c r="L753" s="20"/>
      <c r="M753" s="20"/>
      <c r="N753" s="20"/>
      <c r="O753" s="20"/>
      <c r="P753" s="20"/>
      <c r="Q753" s="20"/>
      <c r="R753" s="20"/>
      <c r="S753" s="20"/>
      <c r="T753" s="20"/>
      <c r="U753" s="20"/>
      <c r="V753" s="20"/>
      <c r="W753" s="20"/>
      <c r="X753" s="20"/>
    </row>
    <row r="754">
      <c r="A754" s="37" t="str">
        <f>IFERROR(__xludf.DUMMYFUNCTION("""COMPUTED_VALUE"""),"https://techcombank.com/thong-tin/blog/voucher-coopmart")</f>
        <v>https://techcombank.com/thong-tin/blog/voucher-coopmart</v>
      </c>
      <c r="B754" s="28">
        <f>IFERROR(__xludf.DUMMYFUNCTION("""COMPUTED_VALUE"""),1.0)</f>
        <v>1</v>
      </c>
      <c r="C754" s="37" t="str">
        <f>IFERROR(__xludf.DUMMYFUNCTION("IF(A754="""","""",TEXTJOIN(CHAR(10),TRUE,FILTER('Tổng hợp 75 trang đích'!$B$2:$B$3400,'Tổng hợp 75 trang đích'!$I$2:$I$3400=A754)))"),"https://techcombank.com/thong-tin/blog/traveloka-voucher")</f>
        <v>https://techcombank.com/thong-tin/blog/traveloka-voucher</v>
      </c>
      <c r="D754" s="20"/>
      <c r="E754" s="20"/>
      <c r="F754" s="20"/>
      <c r="G754" s="20"/>
      <c r="H754" s="20"/>
      <c r="I754" s="20"/>
      <c r="J754" s="20"/>
      <c r="K754" s="20"/>
      <c r="L754" s="20"/>
      <c r="M754" s="20"/>
      <c r="N754" s="20"/>
      <c r="O754" s="20"/>
      <c r="P754" s="20"/>
      <c r="Q754" s="20"/>
      <c r="R754" s="20"/>
      <c r="S754" s="20"/>
      <c r="T754" s="20"/>
      <c r="U754" s="20"/>
      <c r="V754" s="20"/>
      <c r="W754" s="20"/>
      <c r="X754" s="20"/>
    </row>
    <row r="755">
      <c r="A755" s="37" t="str">
        <f>IFERROR(__xludf.DUMMYFUNCTION("""COMPUTED_VALUE"""),"https://techcombank.com/thong-tin/blog/voucher-golden-gate")</f>
        <v>https://techcombank.com/thong-tin/blog/voucher-golden-gate</v>
      </c>
      <c r="B755" s="28">
        <f>IFERROR(__xludf.DUMMYFUNCTION("""COMPUTED_VALUE"""),1.0)</f>
        <v>1</v>
      </c>
      <c r="C755" s="37" t="str">
        <f>IFERROR(__xludf.DUMMYFUNCTION("IF(A755="""","""",TEXTJOIN(CHAR(10),TRUE,FILTER('Tổng hợp 75 trang đích'!$B$2:$B$3400,'Tổng hợp 75 trang đích'!$I$2:$I$3400=A755)))"),"https://techcombank.com/thong-tin/blog/cach-nap-the-viettel")</f>
        <v>https://techcombank.com/thong-tin/blog/cach-nap-the-viettel</v>
      </c>
      <c r="D755" s="20"/>
      <c r="E755" s="20"/>
      <c r="F755" s="20"/>
      <c r="G755" s="20"/>
      <c r="H755" s="20"/>
      <c r="I755" s="20"/>
      <c r="J755" s="20"/>
      <c r="K755" s="20"/>
      <c r="L755" s="20"/>
      <c r="M755" s="20"/>
      <c r="N755" s="20"/>
      <c r="O755" s="20"/>
      <c r="P755" s="20"/>
      <c r="Q755" s="20"/>
      <c r="R755" s="20"/>
      <c r="S755" s="20"/>
      <c r="T755" s="20"/>
      <c r="U755" s="20"/>
      <c r="V755" s="20"/>
      <c r="W755" s="20"/>
      <c r="X755" s="20"/>
    </row>
    <row r="756">
      <c r="A756" s="37" t="str">
        <f>IFERROR(__xludf.DUMMYFUNCTION("""COMPUTED_VALUE"""),"https://techcombank.com/thong-tin/blog/voucher-grab")</f>
        <v>https://techcombank.com/thong-tin/blog/voucher-grab</v>
      </c>
      <c r="B756" s="28">
        <f>IFERROR(__xludf.DUMMYFUNCTION("""COMPUTED_VALUE"""),1.0)</f>
        <v>1</v>
      </c>
      <c r="C756" s="37" t="str">
        <f>IFERROR(__xludf.DUMMYFUNCTION("IF(A756="""","""",TEXTJOIN(CHAR(10),TRUE,FILTER('Tổng hợp 75 trang đích'!$B$2:$B$3400,'Tổng hợp 75 trang đích'!$I$2:$I$3400=A756)))"),"https://techcombank.com/thong-tin/blog/traveloka-voucher")</f>
        <v>https://techcombank.com/thong-tin/blog/traveloka-voucher</v>
      </c>
      <c r="D756" s="20"/>
      <c r="E756" s="20"/>
      <c r="F756" s="20"/>
      <c r="G756" s="20"/>
      <c r="H756" s="20"/>
      <c r="I756" s="20"/>
      <c r="J756" s="20"/>
      <c r="K756" s="20"/>
      <c r="L756" s="20"/>
      <c r="M756" s="20"/>
      <c r="N756" s="20"/>
      <c r="O756" s="20"/>
      <c r="P756" s="20"/>
      <c r="Q756" s="20"/>
      <c r="R756" s="20"/>
      <c r="S756" s="20"/>
      <c r="T756" s="20"/>
      <c r="U756" s="20"/>
      <c r="V756" s="20"/>
      <c r="W756" s="20"/>
      <c r="X756" s="20"/>
    </row>
    <row r="757">
      <c r="A757" s="37" t="str">
        <f>IFERROR(__xludf.DUMMYFUNCTION("""COMPUTED_VALUE"""),"https://techcombank.com/thong-tin/blog/voucher-jollibee")</f>
        <v>https://techcombank.com/thong-tin/blog/voucher-jollibee</v>
      </c>
      <c r="B757" s="28">
        <f>IFERROR(__xludf.DUMMYFUNCTION("""COMPUTED_VALUE"""),1.0)</f>
        <v>1</v>
      </c>
      <c r="C757" s="37" t="str">
        <f>IFERROR(__xludf.DUMMYFUNCTION("IF(A757="""","""",TEXTJOIN(CHAR(10),TRUE,FILTER('Tổng hợp 75 trang đích'!$B$2:$B$3400,'Tổng hợp 75 trang đích'!$I$2:$I$3400=A757)))"),"https://techcombank.com/thong-tin/blog/traveloka-voucher")</f>
        <v>https://techcombank.com/thong-tin/blog/traveloka-voucher</v>
      </c>
      <c r="D757" s="20"/>
      <c r="E757" s="20"/>
      <c r="F757" s="20"/>
      <c r="G757" s="20"/>
      <c r="H757" s="20"/>
      <c r="I757" s="20"/>
      <c r="J757" s="20"/>
      <c r="K757" s="20"/>
      <c r="L757" s="20"/>
      <c r="M757" s="20"/>
      <c r="N757" s="20"/>
      <c r="O757" s="20"/>
      <c r="P757" s="20"/>
      <c r="Q757" s="20"/>
      <c r="R757" s="20"/>
      <c r="S757" s="20"/>
      <c r="T757" s="20"/>
      <c r="U757" s="20"/>
      <c r="V757" s="20"/>
      <c r="W757" s="20"/>
      <c r="X757" s="20"/>
    </row>
    <row r="758">
      <c r="A758" s="37" t="str">
        <f>IFERROR(__xludf.DUMMYFUNCTION("""COMPUTED_VALUE"""),"https://techcombank.com/thong-tin/blog/voucher-katinat")</f>
        <v>https://techcombank.com/thong-tin/blog/voucher-katinat</v>
      </c>
      <c r="B758" s="28">
        <f>IFERROR(__xludf.DUMMYFUNCTION("""COMPUTED_VALUE"""),1.0)</f>
        <v>1</v>
      </c>
      <c r="C758" s="37" t="str">
        <f>IFERROR(__xludf.DUMMYFUNCTION("IF(A758="""","""",TEXTJOIN(CHAR(10),TRUE,FILTER('Tổng hợp 75 trang đích'!$B$2:$B$3400,'Tổng hợp 75 trang đích'!$I$2:$I$3400=A758)))"),"https://techcombank.com/thong-tin/blog/traveloka-voucher")</f>
        <v>https://techcombank.com/thong-tin/blog/traveloka-voucher</v>
      </c>
      <c r="D758" s="20"/>
      <c r="E758" s="20"/>
      <c r="F758" s="20"/>
      <c r="G758" s="20"/>
      <c r="H758" s="20"/>
      <c r="I758" s="20"/>
      <c r="J758" s="20"/>
      <c r="K758" s="20"/>
      <c r="L758" s="20"/>
      <c r="M758" s="20"/>
      <c r="N758" s="20"/>
      <c r="O758" s="20"/>
      <c r="P758" s="20"/>
      <c r="Q758" s="20"/>
      <c r="R758" s="20"/>
      <c r="S758" s="20"/>
      <c r="T758" s="20"/>
      <c r="U758" s="20"/>
      <c r="V758" s="20"/>
      <c r="W758" s="20"/>
      <c r="X758" s="20"/>
    </row>
    <row r="759">
      <c r="A759" s="37" t="str">
        <f>IFERROR(__xludf.DUMMYFUNCTION("""COMPUTED_VALUE"""),"https://techcombank.com/thong-tin/blog/voucher-kfc")</f>
        <v>https://techcombank.com/thong-tin/blog/voucher-kfc</v>
      </c>
      <c r="B759" s="28">
        <f>IFERROR(__xludf.DUMMYFUNCTION("""COMPUTED_VALUE"""),1.0)</f>
        <v>1</v>
      </c>
      <c r="C759" s="37" t="str">
        <f>IFERROR(__xludf.DUMMYFUNCTION("IF(A759="""","""",TEXTJOIN(CHAR(10),TRUE,FILTER('Tổng hợp 75 trang đích'!$B$2:$B$3400,'Tổng hợp 75 trang đích'!$I$2:$I$3400=A759)))"),"https://techcombank.com/thong-tin/blog/traveloka-voucher")</f>
        <v>https://techcombank.com/thong-tin/blog/traveloka-voucher</v>
      </c>
      <c r="D759" s="20"/>
      <c r="E759" s="20"/>
      <c r="F759" s="20"/>
      <c r="G759" s="20"/>
      <c r="H759" s="20"/>
      <c r="I759" s="20"/>
      <c r="J759" s="20"/>
      <c r="K759" s="20"/>
      <c r="L759" s="20"/>
      <c r="M759" s="20"/>
      <c r="N759" s="20"/>
      <c r="O759" s="20"/>
      <c r="P759" s="20"/>
      <c r="Q759" s="20"/>
      <c r="R759" s="20"/>
      <c r="S759" s="20"/>
      <c r="T759" s="20"/>
      <c r="U759" s="20"/>
      <c r="V759" s="20"/>
      <c r="W759" s="20"/>
      <c r="X759" s="20"/>
    </row>
    <row r="760">
      <c r="A760" s="37" t="str">
        <f>IFERROR(__xludf.DUMMYFUNCTION("""COMPUTED_VALUE"""),"https://techcombank.com/thong-tin/blog/voucher-phuc-long")</f>
        <v>https://techcombank.com/thong-tin/blog/voucher-phuc-long</v>
      </c>
      <c r="B760" s="28">
        <f>IFERROR(__xludf.DUMMYFUNCTION("""COMPUTED_VALUE"""),1.0)</f>
        <v>1</v>
      </c>
      <c r="C760" s="37" t="str">
        <f>IFERROR(__xludf.DUMMYFUNCTION("IF(A760="""","""",TEXTJOIN(CHAR(10),TRUE,FILTER('Tổng hợp 75 trang đích'!$B$2:$B$3400,'Tổng hợp 75 trang đích'!$I$2:$I$3400=A760)))"),"https://techcombank.com/thong-tin/blog/traveloka-voucher")</f>
        <v>https://techcombank.com/thong-tin/blog/traveloka-voucher</v>
      </c>
      <c r="D760" s="20"/>
      <c r="E760" s="20"/>
      <c r="F760" s="20"/>
      <c r="G760" s="20"/>
      <c r="H760" s="20"/>
      <c r="I760" s="20"/>
      <c r="J760" s="20"/>
      <c r="K760" s="20"/>
      <c r="L760" s="20"/>
      <c r="M760" s="20"/>
      <c r="N760" s="20"/>
      <c r="O760" s="20"/>
      <c r="P760" s="20"/>
      <c r="Q760" s="20"/>
      <c r="R760" s="20"/>
      <c r="S760" s="20"/>
      <c r="T760" s="20"/>
      <c r="U760" s="20"/>
      <c r="V760" s="20"/>
      <c r="W760" s="20"/>
      <c r="X760" s="20"/>
    </row>
    <row r="761">
      <c r="A761" s="37" t="str">
        <f>IFERROR(__xludf.DUMMYFUNCTION("""COMPUTED_VALUE"""),"https://techcombank.com/thong-tin/blog/voucher-the-coffee-house")</f>
        <v>https://techcombank.com/thong-tin/blog/voucher-the-coffee-house</v>
      </c>
      <c r="B761" s="28">
        <f>IFERROR(__xludf.DUMMYFUNCTION("""COMPUTED_VALUE"""),1.0)</f>
        <v>1</v>
      </c>
      <c r="C761" s="37" t="str">
        <f>IFERROR(__xludf.DUMMYFUNCTION("IF(A761="""","""",TEXTJOIN(CHAR(10),TRUE,FILTER('Tổng hợp 75 trang đích'!$B$2:$B$3400,'Tổng hợp 75 trang đích'!$I$2:$I$3400=A761)))"),"https://techcombank.com/thong-tin/blog/traveloka-voucher")</f>
        <v>https://techcombank.com/thong-tin/blog/traveloka-voucher</v>
      </c>
      <c r="D761" s="20"/>
      <c r="E761" s="20"/>
      <c r="F761" s="20"/>
      <c r="G761" s="20"/>
      <c r="H761" s="20"/>
      <c r="I761" s="20"/>
      <c r="J761" s="20"/>
      <c r="K761" s="20"/>
      <c r="L761" s="20"/>
      <c r="M761" s="20"/>
      <c r="N761" s="20"/>
      <c r="O761" s="20"/>
      <c r="P761" s="20"/>
      <c r="Q761" s="20"/>
      <c r="R761" s="20"/>
      <c r="S761" s="20"/>
      <c r="T761" s="20"/>
      <c r="U761" s="20"/>
      <c r="V761" s="20"/>
      <c r="W761" s="20"/>
      <c r="X761" s="20"/>
    </row>
    <row r="762">
      <c r="A762" s="37" t="str">
        <f>IFERROR(__xludf.DUMMYFUNCTION("""COMPUTED_VALUE"""),"https://techcombank.com/thong-tin/blog/voucher-xanh-sm")</f>
        <v>https://techcombank.com/thong-tin/blog/voucher-xanh-sm</v>
      </c>
      <c r="B762" s="28">
        <f>IFERROR(__xludf.DUMMYFUNCTION("""COMPUTED_VALUE"""),1.0)</f>
        <v>1</v>
      </c>
      <c r="C762" s="37" t="str">
        <f>IFERROR(__xludf.DUMMYFUNCTION("IF(A762="""","""",TEXTJOIN(CHAR(10),TRUE,FILTER('Tổng hợp 75 trang đích'!$B$2:$B$3400,'Tổng hợp 75 trang đích'!$I$2:$I$3400=A762)))"),"https://techcombank.com/thong-tin/blog/traveloka-voucher")</f>
        <v>https://techcombank.com/thong-tin/blog/traveloka-voucher</v>
      </c>
      <c r="D762" s="20"/>
      <c r="E762" s="20"/>
      <c r="F762" s="20"/>
      <c r="G762" s="20"/>
      <c r="H762" s="20"/>
      <c r="I762" s="20"/>
      <c r="J762" s="20"/>
      <c r="K762" s="20"/>
      <c r="L762" s="20"/>
      <c r="M762" s="20"/>
      <c r="N762" s="20"/>
      <c r="O762" s="20"/>
      <c r="P762" s="20"/>
      <c r="Q762" s="20"/>
      <c r="R762" s="20"/>
      <c r="S762" s="20"/>
      <c r="T762" s="20"/>
      <c r="U762" s="20"/>
      <c r="V762" s="20"/>
      <c r="W762" s="20"/>
      <c r="X762" s="20"/>
    </row>
    <row r="763">
      <c r="A763" s="37" t="str">
        <f>IFERROR(__xludf.DUMMYFUNCTION("""COMPUTED_VALUE"""),"https://techcombank.com/thong-tin/blog/woomaster")</f>
        <v>https://techcombank.com/thong-tin/blog/woomaster</v>
      </c>
      <c r="B763" s="28">
        <f>IFERROR(__xludf.DUMMYFUNCTION("""COMPUTED_VALUE"""),1.0)</f>
        <v>1</v>
      </c>
      <c r="C763" s="37" t="str">
        <f>IFERROR(__xludf.DUMMYFUNCTION("IF(A763="""","""",TEXTJOIN(CHAR(10),TRUE,FILTER('Tổng hợp 75 trang đích'!$B$2:$B$3400,'Tổng hợp 75 trang đích'!$I$2:$I$3400=A763)))"),"https://techcombank.com/thong-tin/blog/traveloka-voucher")</f>
        <v>https://techcombank.com/thong-tin/blog/traveloka-voucher</v>
      </c>
      <c r="D763" s="20"/>
      <c r="E763" s="20"/>
      <c r="F763" s="20"/>
      <c r="G763" s="20"/>
      <c r="H763" s="20"/>
      <c r="I763" s="20"/>
      <c r="J763" s="20"/>
      <c r="K763" s="20"/>
      <c r="L763" s="20"/>
      <c r="M763" s="20"/>
      <c r="N763" s="20"/>
      <c r="O763" s="20"/>
      <c r="P763" s="20"/>
      <c r="Q763" s="20"/>
      <c r="R763" s="20"/>
      <c r="S763" s="20"/>
      <c r="T763" s="20"/>
      <c r="U763" s="20"/>
      <c r="V763" s="20"/>
      <c r="W763" s="20"/>
      <c r="X763" s="20"/>
    </row>
    <row r="764">
      <c r="A764" s="37" t="str">
        <f>IFERROR(__xludf.DUMMYFUNCTION("""COMPUTED_VALUE"""),"https://techcombank.com/thong-tin/blog/xu-huong-thanh-toan-khong-dung-tien-mat-tai-viet-nam")</f>
        <v>https://techcombank.com/thong-tin/blog/xu-huong-thanh-toan-khong-dung-tien-mat-tai-viet-nam</v>
      </c>
      <c r="B764" s="28">
        <f>IFERROR(__xludf.DUMMYFUNCTION("""COMPUTED_VALUE"""),1.0)</f>
        <v>1</v>
      </c>
      <c r="C764" s="37" t="str">
        <f>IFERROR(__xludf.DUMMYFUNCTION("IF(A764="""","""",TEXTJOIN(CHAR(10),TRUE,FILTER('Tổng hợp 75 trang đích'!$B$2:$B$3400,'Tổng hợp 75 trang đích'!$I$2:$I$3400=A764)))"),"https://techcombank.com/thong-tin/blog/rut-tien-mat-tu-the-tin-dung")</f>
        <v>https://techcombank.com/thong-tin/blog/rut-tien-mat-tu-the-tin-dung</v>
      </c>
      <c r="D764" s="20"/>
      <c r="E764" s="20"/>
      <c r="F764" s="20"/>
      <c r="G764" s="20"/>
      <c r="H764" s="20"/>
      <c r="I764" s="20"/>
      <c r="J764" s="20"/>
      <c r="K764" s="20"/>
      <c r="L764" s="20"/>
      <c r="M764" s="20"/>
      <c r="N764" s="20"/>
      <c r="O764" s="20"/>
      <c r="P764" s="20"/>
      <c r="Q764" s="20"/>
      <c r="R764" s="20"/>
      <c r="S764" s="20"/>
      <c r="T764" s="20"/>
      <c r="U764" s="20"/>
      <c r="V764" s="20"/>
      <c r="W764" s="20"/>
      <c r="X764" s="20"/>
    </row>
    <row r="765">
      <c r="A765" s="37" t="str">
        <f>IFERROR(__xludf.DUMMYFUNCTION("""COMPUTED_VALUE"""),"https://techcombank.com/thong-tin/blog/xu-huong-tieu-dung")</f>
        <v>https://techcombank.com/thong-tin/blog/xu-huong-tieu-dung</v>
      </c>
      <c r="B765" s="28">
        <f>IFERROR(__xludf.DUMMYFUNCTION("""COMPUTED_VALUE"""),1.0)</f>
        <v>1</v>
      </c>
      <c r="C765" s="37" t="str">
        <f>IFERROR(__xludf.DUMMYFUNCTION("IF(A765="""","""",TEXTJOIN(CHAR(10),TRUE,FILTER('Tổng hợp 75 trang đích'!$B$2:$B$3400,'Tổng hợp 75 trang đích'!$I$2:$I$3400=A765)))"),"https://techcombank.com/thong-tin/blog/eco-card")</f>
        <v>https://techcombank.com/thong-tin/blog/eco-card</v>
      </c>
      <c r="D765" s="20"/>
      <c r="E765" s="20"/>
      <c r="F765" s="20"/>
      <c r="G765" s="20"/>
      <c r="H765" s="20"/>
      <c r="I765" s="20"/>
      <c r="J765" s="20"/>
      <c r="K765" s="20"/>
      <c r="L765" s="20"/>
      <c r="M765" s="20"/>
      <c r="N765" s="20"/>
      <c r="O765" s="20"/>
      <c r="P765" s="20"/>
      <c r="Q765" s="20"/>
      <c r="R765" s="20"/>
      <c r="S765" s="20"/>
      <c r="T765" s="20"/>
      <c r="U765" s="20"/>
      <c r="V765" s="20"/>
      <c r="W765" s="20"/>
      <c r="X765" s="20"/>
    </row>
    <row r="766">
      <c r="A766" s="37" t="str">
        <f>IFERROR(__xludf.DUMMYFUNCTION("""COMPUTED_VALUE"""),"https://techcombank.com/thong-tin/blog/xu-huong-ty-gia-usd")</f>
        <v>https://techcombank.com/thong-tin/blog/xu-huong-ty-gia-usd</v>
      </c>
      <c r="B766" s="28">
        <f>IFERROR(__xludf.DUMMYFUNCTION("""COMPUTED_VALUE"""),1.0)</f>
        <v>1</v>
      </c>
      <c r="C766" s="37" t="str">
        <f>IFERROR(__xludf.DUMMYFUNCTION("IF(A766="""","""",TEXTJOIN(CHAR(10),TRUE,FILTER('Tổng hợp 75 trang đích'!$B$2:$B$3400,'Tổng hợp 75 trang đích'!$I$2:$I$3400=A766)))"),"https://techcombank.com/thong-tin/blog/1-dong-do-la-my-bang-bao-nhieu-tien-viet-nam")</f>
        <v>https://techcombank.com/thong-tin/blog/1-dong-do-la-my-bang-bao-nhieu-tien-viet-nam</v>
      </c>
      <c r="D766" s="20"/>
      <c r="E766" s="20"/>
      <c r="F766" s="20"/>
      <c r="G766" s="20"/>
      <c r="H766" s="20"/>
      <c r="I766" s="20"/>
      <c r="J766" s="20"/>
      <c r="K766" s="20"/>
      <c r="L766" s="20"/>
      <c r="M766" s="20"/>
      <c r="N766" s="20"/>
      <c r="O766" s="20"/>
      <c r="P766" s="20"/>
      <c r="Q766" s="20"/>
      <c r="R766" s="20"/>
      <c r="S766" s="20"/>
      <c r="T766" s="20"/>
      <c r="U766" s="20"/>
      <c r="V766" s="20"/>
      <c r="W766" s="20"/>
      <c r="X766" s="20"/>
    </row>
    <row r="767">
      <c r="A767" s="37" t="str">
        <f>IFERROR(__xludf.DUMMYFUNCTION("""COMPUTED_VALUE"""),"https://techcombank.com/thong-tin/blog/yakimono")</f>
        <v>https://techcombank.com/thong-tin/blog/yakimono</v>
      </c>
      <c r="B767" s="28">
        <f>IFERROR(__xludf.DUMMYFUNCTION("""COMPUTED_VALUE"""),1.0)</f>
        <v>1</v>
      </c>
      <c r="C767" s="37" t="str">
        <f>IFERROR(__xludf.DUMMYFUNCTION("IF(A767="""","""",TEXTJOIN(CHAR(10),TRUE,FILTER('Tổng hợp 75 trang đích'!$B$2:$B$3400,'Tổng hợp 75 trang đích'!$I$2:$I$3400=A767)))"),"https://techcombank.com/thong-tin/blog/traveloka-voucher")</f>
        <v>https://techcombank.com/thong-tin/blog/traveloka-voucher</v>
      </c>
      <c r="D767" s="20"/>
      <c r="E767" s="20"/>
      <c r="F767" s="20"/>
      <c r="G767" s="20"/>
      <c r="H767" s="20"/>
      <c r="I767" s="20"/>
      <c r="J767" s="20"/>
      <c r="K767" s="20"/>
      <c r="L767" s="20"/>
      <c r="M767" s="20"/>
      <c r="N767" s="20"/>
      <c r="O767" s="20"/>
      <c r="P767" s="20"/>
      <c r="Q767" s="20"/>
      <c r="R767" s="20"/>
      <c r="S767" s="20"/>
      <c r="T767" s="20"/>
      <c r="U767" s="20"/>
      <c r="V767" s="20"/>
      <c r="W767" s="20"/>
      <c r="X767" s="20"/>
    </row>
    <row r="768">
      <c r="A768" s="20"/>
      <c r="B768" s="28"/>
      <c r="C768" s="20" t="str">
        <f>IFERROR(__xludf.DUMMYFUNCTION("IF(A768="""","""",TEXTJOIN(CHAR(10),TRUE,FILTER('Tổng hợp 75 trang đích'!$B$2:$B$3400,'Tổng hợp 75 trang đích'!$I$2:$I$3400=A768)))"),"")</f>
        <v/>
      </c>
      <c r="D768" s="20"/>
      <c r="E768" s="20"/>
      <c r="F768" s="20"/>
      <c r="G768" s="20"/>
      <c r="H768" s="20"/>
      <c r="I768" s="20"/>
      <c r="J768" s="20"/>
      <c r="K768" s="20"/>
      <c r="L768" s="20"/>
      <c r="M768" s="20"/>
      <c r="N768" s="20"/>
      <c r="O768" s="20"/>
      <c r="P768" s="20"/>
      <c r="Q768" s="20"/>
      <c r="R768" s="20"/>
      <c r="S768" s="20"/>
      <c r="T768" s="20"/>
      <c r="U768" s="20"/>
      <c r="V768" s="20"/>
      <c r="W768" s="20"/>
      <c r="X768" s="20"/>
    </row>
    <row r="769">
      <c r="A769" s="20"/>
      <c r="B769" s="28"/>
      <c r="C769" s="20" t="str">
        <f>IFERROR(__xludf.DUMMYFUNCTION("IF(A769="""","""",TEXTJOIN(CHAR(10),TRUE,FILTER('Tổng hợp 75 trang đích'!$B$2:$B$3400,'Tổng hợp 75 trang đích'!$I$2:$I$3400=A769)))"),"")</f>
        <v/>
      </c>
      <c r="D769" s="20"/>
      <c r="E769" s="20"/>
      <c r="F769" s="20"/>
      <c r="G769" s="20"/>
      <c r="H769" s="20"/>
      <c r="I769" s="20"/>
      <c r="J769" s="20"/>
      <c r="K769" s="20"/>
      <c r="L769" s="20"/>
      <c r="M769" s="20"/>
      <c r="N769" s="20"/>
      <c r="O769" s="20"/>
      <c r="P769" s="20"/>
      <c r="Q769" s="20"/>
      <c r="R769" s="20"/>
      <c r="S769" s="20"/>
      <c r="T769" s="20"/>
      <c r="U769" s="20"/>
      <c r="V769" s="20"/>
      <c r="W769" s="20"/>
      <c r="X769" s="20"/>
    </row>
    <row r="770">
      <c r="A770" s="20"/>
      <c r="B770" s="28"/>
      <c r="C770" s="20" t="str">
        <f>IFERROR(__xludf.DUMMYFUNCTION("IF(A770="""","""",TEXTJOIN(CHAR(10),TRUE,FILTER('Tổng hợp 75 trang đích'!$B$2:$B$3400,'Tổng hợp 75 trang đích'!$I$2:$I$3400=A770)))"),"")</f>
        <v/>
      </c>
      <c r="D770" s="20"/>
      <c r="E770" s="20"/>
      <c r="F770" s="20"/>
      <c r="G770" s="20"/>
      <c r="H770" s="20"/>
      <c r="I770" s="20"/>
      <c r="J770" s="20"/>
      <c r="K770" s="20"/>
      <c r="L770" s="20"/>
      <c r="M770" s="20"/>
      <c r="N770" s="20"/>
      <c r="O770" s="20"/>
      <c r="P770" s="20"/>
      <c r="Q770" s="20"/>
      <c r="R770" s="20"/>
      <c r="S770" s="20"/>
      <c r="T770" s="20"/>
      <c r="U770" s="20"/>
      <c r="V770" s="20"/>
      <c r="W770" s="20"/>
      <c r="X770" s="20"/>
    </row>
    <row r="771">
      <c r="A771" s="20"/>
      <c r="B771" s="28"/>
      <c r="C771" s="20" t="str">
        <f>IFERROR(__xludf.DUMMYFUNCTION("IF(A771="""","""",TEXTJOIN(CHAR(10),TRUE,FILTER('Tổng hợp 75 trang đích'!$B$2:$B$3400,'Tổng hợp 75 trang đích'!$I$2:$I$3400=A771)))"),"")</f>
        <v/>
      </c>
      <c r="D771" s="20"/>
      <c r="E771" s="20"/>
      <c r="F771" s="20"/>
      <c r="G771" s="20"/>
      <c r="H771" s="20"/>
      <c r="I771" s="20"/>
      <c r="J771" s="20"/>
      <c r="K771" s="20"/>
      <c r="L771" s="20"/>
      <c r="M771" s="20"/>
      <c r="N771" s="20"/>
      <c r="O771" s="20"/>
      <c r="P771" s="20"/>
      <c r="Q771" s="20"/>
      <c r="R771" s="20"/>
      <c r="S771" s="20"/>
      <c r="T771" s="20"/>
      <c r="U771" s="20"/>
      <c r="V771" s="20"/>
      <c r="W771" s="20"/>
      <c r="X771" s="20"/>
    </row>
    <row r="772">
      <c r="A772" s="20"/>
      <c r="B772" s="28"/>
      <c r="C772" s="20" t="str">
        <f>IFERROR(__xludf.DUMMYFUNCTION("IF(A772="""","""",TEXTJOIN(CHAR(10),TRUE,FILTER('Tổng hợp 75 trang đích'!$B$2:$B$3400,'Tổng hợp 75 trang đích'!$I$2:$I$3400=A772)))"),"")</f>
        <v/>
      </c>
      <c r="D772" s="20"/>
      <c r="E772" s="20"/>
      <c r="F772" s="20"/>
      <c r="G772" s="20"/>
      <c r="H772" s="20"/>
      <c r="I772" s="20"/>
      <c r="J772" s="20"/>
      <c r="K772" s="20"/>
      <c r="L772" s="20"/>
      <c r="M772" s="20"/>
      <c r="N772" s="20"/>
      <c r="O772" s="20"/>
      <c r="P772" s="20"/>
      <c r="Q772" s="20"/>
      <c r="R772" s="20"/>
      <c r="S772" s="20"/>
      <c r="T772" s="20"/>
      <c r="U772" s="20"/>
      <c r="V772" s="20"/>
      <c r="W772" s="20"/>
      <c r="X772" s="20"/>
    </row>
    <row r="773">
      <c r="A773" s="20"/>
      <c r="B773" s="28"/>
      <c r="C773" s="20" t="str">
        <f>IFERROR(__xludf.DUMMYFUNCTION("IF(A773="""","""",TEXTJOIN(CHAR(10),TRUE,FILTER('Tổng hợp 75 trang đích'!$B$2:$B$3400,'Tổng hợp 75 trang đích'!$I$2:$I$3400=A773)))"),"")</f>
        <v/>
      </c>
      <c r="D773" s="20"/>
      <c r="E773" s="20"/>
      <c r="F773" s="20"/>
      <c r="G773" s="20"/>
      <c r="H773" s="20"/>
      <c r="I773" s="20"/>
      <c r="J773" s="20"/>
      <c r="K773" s="20"/>
      <c r="L773" s="20"/>
      <c r="M773" s="20"/>
      <c r="N773" s="20"/>
      <c r="O773" s="20"/>
      <c r="P773" s="20"/>
      <c r="Q773" s="20"/>
      <c r="R773" s="20"/>
      <c r="S773" s="20"/>
      <c r="T773" s="20"/>
      <c r="U773" s="20"/>
      <c r="V773" s="20"/>
      <c r="W773" s="20"/>
      <c r="X773" s="20"/>
    </row>
    <row r="774">
      <c r="A774" s="20"/>
      <c r="B774" s="28"/>
      <c r="C774" s="20" t="str">
        <f>IFERROR(__xludf.DUMMYFUNCTION("IF(A774="""","""",TEXTJOIN(CHAR(10),TRUE,FILTER('Tổng hợp 75 trang đích'!$B$2:$B$3400,'Tổng hợp 75 trang đích'!$I$2:$I$3400=A774)))"),"")</f>
        <v/>
      </c>
      <c r="D774" s="20"/>
      <c r="E774" s="20"/>
      <c r="F774" s="20"/>
      <c r="G774" s="20"/>
      <c r="H774" s="20"/>
      <c r="I774" s="20"/>
      <c r="J774" s="20"/>
      <c r="K774" s="20"/>
      <c r="L774" s="20"/>
      <c r="M774" s="20"/>
      <c r="N774" s="20"/>
      <c r="O774" s="20"/>
      <c r="P774" s="20"/>
      <c r="Q774" s="20"/>
      <c r="R774" s="20"/>
      <c r="S774" s="20"/>
      <c r="T774" s="20"/>
      <c r="U774" s="20"/>
      <c r="V774" s="20"/>
      <c r="W774" s="20"/>
      <c r="X774" s="20"/>
    </row>
    <row r="775">
      <c r="A775" s="20"/>
      <c r="B775" s="28"/>
      <c r="C775" s="20" t="str">
        <f>IFERROR(__xludf.DUMMYFUNCTION("IF(A775="""","""",TEXTJOIN(CHAR(10),TRUE,FILTER('Tổng hợp 75 trang đích'!$B$2:$B$3400,'Tổng hợp 75 trang đích'!$I$2:$I$3400=A775)))"),"")</f>
        <v/>
      </c>
      <c r="D775" s="20"/>
      <c r="E775" s="20"/>
      <c r="F775" s="20"/>
      <c r="G775" s="20"/>
      <c r="H775" s="20"/>
      <c r="I775" s="20"/>
      <c r="J775" s="20"/>
      <c r="K775" s="20"/>
      <c r="L775" s="20"/>
      <c r="M775" s="20"/>
      <c r="N775" s="20"/>
      <c r="O775" s="20"/>
      <c r="P775" s="20"/>
      <c r="Q775" s="20"/>
      <c r="R775" s="20"/>
      <c r="S775" s="20"/>
      <c r="T775" s="20"/>
      <c r="U775" s="20"/>
      <c r="V775" s="20"/>
      <c r="W775" s="20"/>
      <c r="X775" s="20"/>
    </row>
    <row r="776">
      <c r="A776" s="20"/>
      <c r="B776" s="28"/>
      <c r="C776" s="20" t="str">
        <f>IFERROR(__xludf.DUMMYFUNCTION("IF(A776="""","""",TEXTJOIN(CHAR(10),TRUE,FILTER('Tổng hợp 75 trang đích'!$B$2:$B$3400,'Tổng hợp 75 trang đích'!$I$2:$I$3400=A776)))"),"")</f>
        <v/>
      </c>
      <c r="D776" s="20"/>
      <c r="E776" s="20"/>
      <c r="F776" s="20"/>
      <c r="G776" s="20"/>
      <c r="H776" s="20"/>
      <c r="I776" s="20"/>
      <c r="J776" s="20"/>
      <c r="K776" s="20"/>
      <c r="L776" s="20"/>
      <c r="M776" s="20"/>
      <c r="N776" s="20"/>
      <c r="O776" s="20"/>
      <c r="P776" s="20"/>
      <c r="Q776" s="20"/>
      <c r="R776" s="20"/>
      <c r="S776" s="20"/>
      <c r="T776" s="20"/>
      <c r="U776" s="20"/>
      <c r="V776" s="20"/>
      <c r="W776" s="20"/>
      <c r="X776" s="20"/>
    </row>
    <row r="777">
      <c r="A777" s="20"/>
      <c r="B777" s="28"/>
      <c r="C777" s="20" t="str">
        <f>IFERROR(__xludf.DUMMYFUNCTION("IF(A777="""","""",TEXTJOIN(CHAR(10),TRUE,FILTER('Tổng hợp 75 trang đích'!$B$2:$B$3400,'Tổng hợp 75 trang đích'!$I$2:$I$3400=A777)))"),"")</f>
        <v/>
      </c>
      <c r="D777" s="20"/>
      <c r="E777" s="20"/>
      <c r="F777" s="20"/>
      <c r="G777" s="20"/>
      <c r="H777" s="20"/>
      <c r="I777" s="20"/>
      <c r="J777" s="20"/>
      <c r="K777" s="20"/>
      <c r="L777" s="20"/>
      <c r="M777" s="20"/>
      <c r="N777" s="20"/>
      <c r="O777" s="20"/>
      <c r="P777" s="20"/>
      <c r="Q777" s="20"/>
      <c r="R777" s="20"/>
      <c r="S777" s="20"/>
      <c r="T777" s="20"/>
      <c r="U777" s="20"/>
      <c r="V777" s="20"/>
      <c r="W777" s="20"/>
      <c r="X777" s="20"/>
    </row>
    <row r="778">
      <c r="A778" s="20"/>
      <c r="B778" s="28"/>
      <c r="C778" s="20" t="str">
        <f>IFERROR(__xludf.DUMMYFUNCTION("IF(A778="""","""",TEXTJOIN(CHAR(10),TRUE,FILTER('Tổng hợp 75 trang đích'!$B$2:$B$3400,'Tổng hợp 75 trang đích'!$I$2:$I$3400=A778)))"),"")</f>
        <v/>
      </c>
      <c r="D778" s="20"/>
      <c r="E778" s="20"/>
      <c r="F778" s="20"/>
      <c r="G778" s="20"/>
      <c r="H778" s="20"/>
      <c r="I778" s="20"/>
      <c r="J778" s="20"/>
      <c r="K778" s="20"/>
      <c r="L778" s="20"/>
      <c r="M778" s="20"/>
      <c r="N778" s="20"/>
      <c r="O778" s="20"/>
      <c r="P778" s="20"/>
      <c r="Q778" s="20"/>
      <c r="R778" s="20"/>
      <c r="S778" s="20"/>
      <c r="T778" s="20"/>
      <c r="U778" s="20"/>
      <c r="V778" s="20"/>
      <c r="W778" s="20"/>
      <c r="X778" s="20"/>
    </row>
    <row r="779">
      <c r="A779" s="20"/>
      <c r="B779" s="28"/>
      <c r="C779" s="20" t="str">
        <f>IFERROR(__xludf.DUMMYFUNCTION("IF(A779="""","""",TEXTJOIN(CHAR(10),TRUE,FILTER('Tổng hợp 75 trang đích'!$B$2:$B$3400,'Tổng hợp 75 trang đích'!$I$2:$I$3400=A779)))"),"")</f>
        <v/>
      </c>
      <c r="D779" s="20"/>
      <c r="E779" s="20"/>
      <c r="F779" s="20"/>
      <c r="G779" s="20"/>
      <c r="H779" s="20"/>
      <c r="I779" s="20"/>
      <c r="J779" s="20"/>
      <c r="K779" s="20"/>
      <c r="L779" s="20"/>
      <c r="M779" s="20"/>
      <c r="N779" s="20"/>
      <c r="O779" s="20"/>
      <c r="P779" s="20"/>
      <c r="Q779" s="20"/>
      <c r="R779" s="20"/>
      <c r="S779" s="20"/>
      <c r="T779" s="20"/>
      <c r="U779" s="20"/>
      <c r="V779" s="20"/>
      <c r="W779" s="20"/>
      <c r="X779" s="20"/>
    </row>
    <row r="780">
      <c r="A780" s="20"/>
      <c r="B780" s="28"/>
      <c r="C780" s="20" t="str">
        <f>IFERROR(__xludf.DUMMYFUNCTION("IF(A780="""","""",TEXTJOIN(CHAR(10),TRUE,FILTER('Tổng hợp 75 trang đích'!$B$2:$B$3400,'Tổng hợp 75 trang đích'!$I$2:$I$3400=A780)))"),"")</f>
        <v/>
      </c>
      <c r="D780" s="20"/>
      <c r="E780" s="20"/>
      <c r="F780" s="20"/>
      <c r="G780" s="20"/>
      <c r="H780" s="20"/>
      <c r="I780" s="20"/>
      <c r="J780" s="20"/>
      <c r="K780" s="20"/>
      <c r="L780" s="20"/>
      <c r="M780" s="20"/>
      <c r="N780" s="20"/>
      <c r="O780" s="20"/>
      <c r="P780" s="20"/>
      <c r="Q780" s="20"/>
      <c r="R780" s="20"/>
      <c r="S780" s="20"/>
      <c r="T780" s="20"/>
      <c r="U780" s="20"/>
      <c r="V780" s="20"/>
      <c r="W780" s="20"/>
      <c r="X780" s="20"/>
    </row>
    <row r="781">
      <c r="A781" s="20"/>
      <c r="B781" s="28"/>
      <c r="C781" s="20" t="str">
        <f>IFERROR(__xludf.DUMMYFUNCTION("IF(A781="""","""",TEXTJOIN(CHAR(10),TRUE,FILTER('Tổng hợp 75 trang đích'!$B$2:$B$3400,'Tổng hợp 75 trang đích'!$I$2:$I$3400=A781)))"),"")</f>
        <v/>
      </c>
      <c r="D781" s="20"/>
      <c r="E781" s="20"/>
      <c r="F781" s="20"/>
      <c r="G781" s="20"/>
      <c r="H781" s="20"/>
      <c r="I781" s="20"/>
      <c r="J781" s="20"/>
      <c r="K781" s="20"/>
      <c r="L781" s="20"/>
      <c r="M781" s="20"/>
      <c r="N781" s="20"/>
      <c r="O781" s="20"/>
      <c r="P781" s="20"/>
      <c r="Q781" s="20"/>
      <c r="R781" s="20"/>
      <c r="S781" s="20"/>
      <c r="T781" s="20"/>
      <c r="U781" s="20"/>
      <c r="V781" s="20"/>
      <c r="W781" s="20"/>
      <c r="X781" s="20"/>
    </row>
    <row r="782">
      <c r="A782" s="20"/>
      <c r="B782" s="28"/>
      <c r="C782" s="20" t="str">
        <f>IFERROR(__xludf.DUMMYFUNCTION("IF(A782="""","""",TEXTJOIN(CHAR(10),TRUE,FILTER('Tổng hợp 75 trang đích'!$B$2:$B$3400,'Tổng hợp 75 trang đích'!$I$2:$I$3400=A782)))"),"")</f>
        <v/>
      </c>
      <c r="D782" s="20"/>
      <c r="E782" s="20"/>
      <c r="F782" s="20"/>
      <c r="G782" s="20"/>
      <c r="H782" s="20"/>
      <c r="I782" s="20"/>
      <c r="J782" s="20"/>
      <c r="K782" s="20"/>
      <c r="L782" s="20"/>
      <c r="M782" s="20"/>
      <c r="N782" s="20"/>
      <c r="O782" s="20"/>
      <c r="P782" s="20"/>
      <c r="Q782" s="20"/>
      <c r="R782" s="20"/>
      <c r="S782" s="20"/>
      <c r="T782" s="20"/>
      <c r="U782" s="20"/>
      <c r="V782" s="20"/>
      <c r="W782" s="20"/>
      <c r="X782" s="20"/>
    </row>
    <row r="783">
      <c r="A783" s="20"/>
      <c r="B783" s="28"/>
      <c r="C783" s="20" t="str">
        <f>IFERROR(__xludf.DUMMYFUNCTION("IF(A783="""","""",TEXTJOIN(CHAR(10),TRUE,FILTER('Tổng hợp 75 trang đích'!$B$2:$B$3400,'Tổng hợp 75 trang đích'!$I$2:$I$3400=A783)))"),"")</f>
        <v/>
      </c>
      <c r="D783" s="20"/>
      <c r="E783" s="20"/>
      <c r="F783" s="20"/>
      <c r="G783" s="20"/>
      <c r="H783" s="20"/>
      <c r="I783" s="20"/>
      <c r="J783" s="20"/>
      <c r="K783" s="20"/>
      <c r="L783" s="20"/>
      <c r="M783" s="20"/>
      <c r="N783" s="20"/>
      <c r="O783" s="20"/>
      <c r="P783" s="20"/>
      <c r="Q783" s="20"/>
      <c r="R783" s="20"/>
      <c r="S783" s="20"/>
      <c r="T783" s="20"/>
      <c r="U783" s="20"/>
      <c r="V783" s="20"/>
      <c r="W783" s="20"/>
      <c r="X783" s="20"/>
    </row>
    <row r="784">
      <c r="A784" s="20"/>
      <c r="B784" s="28"/>
      <c r="C784" s="20" t="str">
        <f>IFERROR(__xludf.DUMMYFUNCTION("IF(A784="""","""",TEXTJOIN(CHAR(10),TRUE,FILTER('Tổng hợp 75 trang đích'!$B$2:$B$3400,'Tổng hợp 75 trang đích'!$I$2:$I$3400=A784)))"),"")</f>
        <v/>
      </c>
      <c r="D784" s="20"/>
      <c r="E784" s="20"/>
      <c r="F784" s="20"/>
      <c r="G784" s="20"/>
      <c r="H784" s="20"/>
      <c r="I784" s="20"/>
      <c r="J784" s="20"/>
      <c r="K784" s="20"/>
      <c r="L784" s="20"/>
      <c r="M784" s="20"/>
      <c r="N784" s="20"/>
      <c r="O784" s="20"/>
      <c r="P784" s="20"/>
      <c r="Q784" s="20"/>
      <c r="R784" s="20"/>
      <c r="S784" s="20"/>
      <c r="T784" s="20"/>
      <c r="U784" s="20"/>
      <c r="V784" s="20"/>
      <c r="W784" s="20"/>
      <c r="X784" s="20"/>
    </row>
    <row r="785">
      <c r="A785" s="20"/>
      <c r="B785" s="28"/>
      <c r="C785" s="20" t="str">
        <f>IFERROR(__xludf.DUMMYFUNCTION("IF(A785="""","""",TEXTJOIN(CHAR(10),TRUE,FILTER('Tổng hợp 75 trang đích'!$B$2:$B$3400,'Tổng hợp 75 trang đích'!$I$2:$I$3400=A785)))"),"")</f>
        <v/>
      </c>
      <c r="D785" s="20"/>
      <c r="E785" s="20"/>
      <c r="F785" s="20"/>
      <c r="G785" s="20"/>
      <c r="H785" s="20"/>
      <c r="I785" s="20"/>
      <c r="J785" s="20"/>
      <c r="K785" s="20"/>
      <c r="L785" s="20"/>
      <c r="M785" s="20"/>
      <c r="N785" s="20"/>
      <c r="O785" s="20"/>
      <c r="P785" s="20"/>
      <c r="Q785" s="20"/>
      <c r="R785" s="20"/>
      <c r="S785" s="20"/>
      <c r="T785" s="20"/>
      <c r="U785" s="20"/>
      <c r="V785" s="20"/>
      <c r="W785" s="20"/>
      <c r="X785" s="20"/>
    </row>
    <row r="786">
      <c r="A786" s="20"/>
      <c r="B786" s="28"/>
      <c r="C786" s="20" t="str">
        <f>IFERROR(__xludf.DUMMYFUNCTION("IF(A786="""","""",TEXTJOIN(CHAR(10),TRUE,FILTER('Tổng hợp 75 trang đích'!$B$2:$B$3400,'Tổng hợp 75 trang đích'!$I$2:$I$3400=A786)))"),"")</f>
        <v/>
      </c>
      <c r="D786" s="20"/>
      <c r="E786" s="20"/>
      <c r="F786" s="20"/>
      <c r="G786" s="20"/>
      <c r="H786" s="20"/>
      <c r="I786" s="20"/>
      <c r="J786" s="20"/>
      <c r="K786" s="20"/>
      <c r="L786" s="20"/>
      <c r="M786" s="20"/>
      <c r="N786" s="20"/>
      <c r="O786" s="20"/>
      <c r="P786" s="20"/>
      <c r="Q786" s="20"/>
      <c r="R786" s="20"/>
      <c r="S786" s="20"/>
      <c r="T786" s="20"/>
      <c r="U786" s="20"/>
      <c r="V786" s="20"/>
      <c r="W786" s="20"/>
      <c r="X786" s="20"/>
    </row>
    <row r="787">
      <c r="A787" s="20"/>
      <c r="B787" s="28"/>
      <c r="C787" s="20" t="str">
        <f>IFERROR(__xludf.DUMMYFUNCTION("IF(A787="""","""",TEXTJOIN(CHAR(10),TRUE,FILTER('Tổng hợp 75 trang đích'!$B$2:$B$3400,'Tổng hợp 75 trang đích'!$I$2:$I$3400=A787)))"),"")</f>
        <v/>
      </c>
      <c r="D787" s="20"/>
      <c r="E787" s="20"/>
      <c r="F787" s="20"/>
      <c r="G787" s="20"/>
      <c r="H787" s="20"/>
      <c r="I787" s="20"/>
      <c r="J787" s="20"/>
      <c r="K787" s="20"/>
      <c r="L787" s="20"/>
      <c r="M787" s="20"/>
      <c r="N787" s="20"/>
      <c r="O787" s="20"/>
      <c r="P787" s="20"/>
      <c r="Q787" s="20"/>
      <c r="R787" s="20"/>
      <c r="S787" s="20"/>
      <c r="T787" s="20"/>
      <c r="U787" s="20"/>
      <c r="V787" s="20"/>
      <c r="W787" s="20"/>
      <c r="X787" s="20"/>
    </row>
    <row r="788">
      <c r="A788" s="20"/>
      <c r="B788" s="28"/>
      <c r="C788" s="20" t="str">
        <f>IFERROR(__xludf.DUMMYFUNCTION("IF(A788="""","""",TEXTJOIN(CHAR(10),TRUE,FILTER('Tổng hợp 75 trang đích'!$B$2:$B$3400,'Tổng hợp 75 trang đích'!$I$2:$I$3400=A788)))"),"")</f>
        <v/>
      </c>
      <c r="D788" s="20"/>
      <c r="E788" s="20"/>
      <c r="F788" s="20"/>
      <c r="G788" s="20"/>
      <c r="H788" s="20"/>
      <c r="I788" s="20"/>
      <c r="J788" s="20"/>
      <c r="K788" s="20"/>
      <c r="L788" s="20"/>
      <c r="M788" s="20"/>
      <c r="N788" s="20"/>
      <c r="O788" s="20"/>
      <c r="P788" s="20"/>
      <c r="Q788" s="20"/>
      <c r="R788" s="20"/>
      <c r="S788" s="20"/>
      <c r="T788" s="20"/>
      <c r="U788" s="20"/>
      <c r="V788" s="20"/>
      <c r="W788" s="20"/>
      <c r="X788" s="20"/>
    </row>
    <row r="789">
      <c r="A789" s="20"/>
      <c r="B789" s="28"/>
      <c r="C789" s="20" t="str">
        <f>IFERROR(__xludf.DUMMYFUNCTION("IF(A789="""","""",TEXTJOIN(CHAR(10),TRUE,FILTER('Tổng hợp 75 trang đích'!$B$2:$B$3400,'Tổng hợp 75 trang đích'!$I$2:$I$3400=A789)))"),"")</f>
        <v/>
      </c>
      <c r="D789" s="20"/>
      <c r="E789" s="20"/>
      <c r="F789" s="20"/>
      <c r="G789" s="20"/>
      <c r="H789" s="20"/>
      <c r="I789" s="20"/>
      <c r="J789" s="20"/>
      <c r="K789" s="20"/>
      <c r="L789" s="20"/>
      <c r="M789" s="20"/>
      <c r="N789" s="20"/>
      <c r="O789" s="20"/>
      <c r="P789" s="20"/>
      <c r="Q789" s="20"/>
      <c r="R789" s="20"/>
      <c r="S789" s="20"/>
      <c r="T789" s="20"/>
      <c r="U789" s="20"/>
      <c r="V789" s="20"/>
      <c r="W789" s="20"/>
      <c r="X789" s="20"/>
    </row>
    <row r="790">
      <c r="A790" s="20"/>
      <c r="B790" s="28"/>
      <c r="C790" s="20" t="str">
        <f>IFERROR(__xludf.DUMMYFUNCTION("IF(A790="""","""",TEXTJOIN(CHAR(10),TRUE,FILTER('Tổng hợp 75 trang đích'!$B$2:$B$3400,'Tổng hợp 75 trang đích'!$I$2:$I$3400=A790)))"),"")</f>
        <v/>
      </c>
      <c r="D790" s="20"/>
      <c r="E790" s="20"/>
      <c r="F790" s="20"/>
      <c r="G790" s="20"/>
      <c r="H790" s="20"/>
      <c r="I790" s="20"/>
      <c r="J790" s="20"/>
      <c r="K790" s="20"/>
      <c r="L790" s="20"/>
      <c r="M790" s="20"/>
      <c r="N790" s="20"/>
      <c r="O790" s="20"/>
      <c r="P790" s="20"/>
      <c r="Q790" s="20"/>
      <c r="R790" s="20"/>
      <c r="S790" s="20"/>
      <c r="T790" s="20"/>
      <c r="U790" s="20"/>
      <c r="V790" s="20"/>
      <c r="W790" s="20"/>
      <c r="X790" s="20"/>
    </row>
    <row r="791">
      <c r="A791" s="20"/>
      <c r="B791" s="28"/>
      <c r="C791" s="20" t="str">
        <f>IFERROR(__xludf.DUMMYFUNCTION("IF(A791="""","""",TEXTJOIN(CHAR(10),TRUE,FILTER('Tổng hợp 75 trang đích'!$B$2:$B$3400,'Tổng hợp 75 trang đích'!$I$2:$I$3400=A791)))"),"")</f>
        <v/>
      </c>
      <c r="D791" s="20"/>
      <c r="E791" s="20"/>
      <c r="F791" s="20"/>
      <c r="G791" s="20"/>
      <c r="H791" s="20"/>
      <c r="I791" s="20"/>
      <c r="J791" s="20"/>
      <c r="K791" s="20"/>
      <c r="L791" s="20"/>
      <c r="M791" s="20"/>
      <c r="N791" s="20"/>
      <c r="O791" s="20"/>
      <c r="P791" s="20"/>
      <c r="Q791" s="20"/>
      <c r="R791" s="20"/>
      <c r="S791" s="20"/>
      <c r="T791" s="20"/>
      <c r="U791" s="20"/>
      <c r="V791" s="20"/>
      <c r="W791" s="20"/>
      <c r="X791" s="20"/>
    </row>
    <row r="792">
      <c r="A792" s="20"/>
      <c r="B792" s="28"/>
      <c r="C792" s="20" t="str">
        <f>IFERROR(__xludf.DUMMYFUNCTION("IF(A792="""","""",TEXTJOIN(CHAR(10),TRUE,FILTER('Tổng hợp 75 trang đích'!$B$2:$B$3400,'Tổng hợp 75 trang đích'!$I$2:$I$3400=A792)))"),"")</f>
        <v/>
      </c>
      <c r="D792" s="20"/>
      <c r="E792" s="20"/>
      <c r="F792" s="20"/>
      <c r="G792" s="20"/>
      <c r="H792" s="20"/>
      <c r="I792" s="20"/>
      <c r="J792" s="20"/>
      <c r="K792" s="20"/>
      <c r="L792" s="20"/>
      <c r="M792" s="20"/>
      <c r="N792" s="20"/>
      <c r="O792" s="20"/>
      <c r="P792" s="20"/>
      <c r="Q792" s="20"/>
      <c r="R792" s="20"/>
      <c r="S792" s="20"/>
      <c r="T792" s="20"/>
      <c r="U792" s="20"/>
      <c r="V792" s="20"/>
      <c r="W792" s="20"/>
      <c r="X792" s="20"/>
    </row>
    <row r="793">
      <c r="A793" s="20"/>
      <c r="B793" s="28"/>
      <c r="C793" s="20" t="str">
        <f>IFERROR(__xludf.DUMMYFUNCTION("IF(A793="""","""",TEXTJOIN(CHAR(10),TRUE,FILTER('Tổng hợp 75 trang đích'!$B$2:$B$3400,'Tổng hợp 75 trang đích'!$I$2:$I$3400=A793)))"),"")</f>
        <v/>
      </c>
      <c r="D793" s="20"/>
      <c r="E793" s="20"/>
      <c r="F793" s="20"/>
      <c r="G793" s="20"/>
      <c r="H793" s="20"/>
      <c r="I793" s="20"/>
      <c r="J793" s="20"/>
      <c r="K793" s="20"/>
      <c r="L793" s="20"/>
      <c r="M793" s="20"/>
      <c r="N793" s="20"/>
      <c r="O793" s="20"/>
      <c r="P793" s="20"/>
      <c r="Q793" s="20"/>
      <c r="R793" s="20"/>
      <c r="S793" s="20"/>
      <c r="T793" s="20"/>
      <c r="U793" s="20"/>
      <c r="V793" s="20"/>
      <c r="W793" s="20"/>
      <c r="X793" s="20"/>
    </row>
    <row r="794">
      <c r="A794" s="20"/>
      <c r="B794" s="28"/>
      <c r="C794" s="20" t="str">
        <f>IFERROR(__xludf.DUMMYFUNCTION("IF(A794="""","""",TEXTJOIN(CHAR(10),TRUE,FILTER('Tổng hợp 75 trang đích'!$B$2:$B$3400,'Tổng hợp 75 trang đích'!$I$2:$I$3400=A794)))"),"")</f>
        <v/>
      </c>
      <c r="D794" s="20"/>
      <c r="E794" s="20"/>
      <c r="F794" s="20"/>
      <c r="G794" s="20"/>
      <c r="H794" s="20"/>
      <c r="I794" s="20"/>
      <c r="J794" s="20"/>
      <c r="K794" s="20"/>
      <c r="L794" s="20"/>
      <c r="M794" s="20"/>
      <c r="N794" s="20"/>
      <c r="O794" s="20"/>
      <c r="P794" s="20"/>
      <c r="Q794" s="20"/>
      <c r="R794" s="20"/>
      <c r="S794" s="20"/>
      <c r="T794" s="20"/>
      <c r="U794" s="20"/>
      <c r="V794" s="20"/>
      <c r="W794" s="20"/>
      <c r="X794" s="20"/>
    </row>
    <row r="795">
      <c r="A795" s="20"/>
      <c r="B795" s="28"/>
      <c r="C795" s="20" t="str">
        <f>IFERROR(__xludf.DUMMYFUNCTION("IF(A795="""","""",TEXTJOIN(CHAR(10),TRUE,FILTER('Tổng hợp 75 trang đích'!$B$2:$B$3400,'Tổng hợp 75 trang đích'!$I$2:$I$3400=A795)))"),"")</f>
        <v/>
      </c>
      <c r="D795" s="20"/>
      <c r="E795" s="20"/>
      <c r="F795" s="20"/>
      <c r="G795" s="20"/>
      <c r="H795" s="20"/>
      <c r="I795" s="20"/>
      <c r="J795" s="20"/>
      <c r="K795" s="20"/>
      <c r="L795" s="20"/>
      <c r="M795" s="20"/>
      <c r="N795" s="20"/>
      <c r="O795" s="20"/>
      <c r="P795" s="20"/>
      <c r="Q795" s="20"/>
      <c r="R795" s="20"/>
      <c r="S795" s="20"/>
      <c r="T795" s="20"/>
      <c r="U795" s="20"/>
      <c r="V795" s="20"/>
      <c r="W795" s="20"/>
      <c r="X795" s="20"/>
    </row>
    <row r="796">
      <c r="A796" s="20"/>
      <c r="B796" s="28"/>
      <c r="C796" s="20" t="str">
        <f>IFERROR(__xludf.DUMMYFUNCTION("IF(A796="""","""",TEXTJOIN(CHAR(10),TRUE,FILTER('Tổng hợp 75 trang đích'!$B$2:$B$3400,'Tổng hợp 75 trang đích'!$I$2:$I$3400=A796)))"),"")</f>
        <v/>
      </c>
      <c r="D796" s="20"/>
      <c r="E796" s="20"/>
      <c r="F796" s="20"/>
      <c r="G796" s="20"/>
      <c r="H796" s="20"/>
      <c r="I796" s="20"/>
      <c r="J796" s="20"/>
      <c r="K796" s="20"/>
      <c r="L796" s="20"/>
      <c r="M796" s="20"/>
      <c r="N796" s="20"/>
      <c r="O796" s="20"/>
      <c r="P796" s="20"/>
      <c r="Q796" s="20"/>
      <c r="R796" s="20"/>
      <c r="S796" s="20"/>
      <c r="T796" s="20"/>
      <c r="U796" s="20"/>
      <c r="V796" s="20"/>
      <c r="W796" s="20"/>
      <c r="X796" s="20"/>
    </row>
    <row r="797">
      <c r="A797" s="20"/>
      <c r="B797" s="28"/>
      <c r="C797" s="20" t="str">
        <f>IFERROR(__xludf.DUMMYFUNCTION("IF(A797="""","""",TEXTJOIN(CHAR(10),TRUE,FILTER('Tổng hợp 75 trang đích'!$B$2:$B$3400,'Tổng hợp 75 trang đích'!$I$2:$I$3400=A797)))"),"")</f>
        <v/>
      </c>
      <c r="D797" s="20"/>
      <c r="E797" s="20"/>
      <c r="F797" s="20"/>
      <c r="G797" s="20"/>
      <c r="H797" s="20"/>
      <c r="I797" s="20"/>
      <c r="J797" s="20"/>
      <c r="K797" s="20"/>
      <c r="L797" s="20"/>
      <c r="M797" s="20"/>
      <c r="N797" s="20"/>
      <c r="O797" s="20"/>
      <c r="P797" s="20"/>
      <c r="Q797" s="20"/>
      <c r="R797" s="20"/>
      <c r="S797" s="20"/>
      <c r="T797" s="20"/>
      <c r="U797" s="20"/>
      <c r="V797" s="20"/>
      <c r="W797" s="20"/>
      <c r="X797" s="20"/>
    </row>
    <row r="798">
      <c r="A798" s="20"/>
      <c r="B798" s="28"/>
      <c r="C798" s="20" t="str">
        <f>IFERROR(__xludf.DUMMYFUNCTION("IF(A798="""","""",TEXTJOIN(CHAR(10),TRUE,FILTER('Tổng hợp 75 trang đích'!$B$2:$B$3400,'Tổng hợp 75 trang đích'!$I$2:$I$3400=A798)))"),"")</f>
        <v/>
      </c>
      <c r="D798" s="20"/>
      <c r="E798" s="20"/>
      <c r="F798" s="20"/>
      <c r="G798" s="20"/>
      <c r="H798" s="20"/>
      <c r="I798" s="20"/>
      <c r="J798" s="20"/>
      <c r="K798" s="20"/>
      <c r="L798" s="20"/>
      <c r="M798" s="20"/>
      <c r="N798" s="20"/>
      <c r="O798" s="20"/>
      <c r="P798" s="20"/>
      <c r="Q798" s="20"/>
      <c r="R798" s="20"/>
      <c r="S798" s="20"/>
      <c r="T798" s="20"/>
      <c r="U798" s="20"/>
      <c r="V798" s="20"/>
      <c r="W798" s="20"/>
      <c r="X798" s="20"/>
    </row>
    <row r="799">
      <c r="A799" s="20"/>
      <c r="B799" s="28"/>
      <c r="C799" s="20" t="str">
        <f>IFERROR(__xludf.DUMMYFUNCTION("IF(A799="""","""",TEXTJOIN(CHAR(10),TRUE,FILTER('Tổng hợp 75 trang đích'!$B$2:$B$3400,'Tổng hợp 75 trang đích'!$I$2:$I$3400=A799)))"),"")</f>
        <v/>
      </c>
      <c r="D799" s="20"/>
      <c r="E799" s="20"/>
      <c r="F799" s="20"/>
      <c r="G799" s="20"/>
      <c r="H799" s="20"/>
      <c r="I799" s="20"/>
      <c r="J799" s="20"/>
      <c r="K799" s="20"/>
      <c r="L799" s="20"/>
      <c r="M799" s="20"/>
      <c r="N799" s="20"/>
      <c r="O799" s="20"/>
      <c r="P799" s="20"/>
      <c r="Q799" s="20"/>
      <c r="R799" s="20"/>
      <c r="S799" s="20"/>
      <c r="T799" s="20"/>
      <c r="U799" s="20"/>
      <c r="V799" s="20"/>
      <c r="W799" s="20"/>
      <c r="X799" s="20"/>
    </row>
    <row r="800">
      <c r="A800" s="20"/>
      <c r="B800" s="28"/>
      <c r="C800" s="20" t="str">
        <f>IFERROR(__xludf.DUMMYFUNCTION("IF(A800="""","""",TEXTJOIN(CHAR(10),TRUE,FILTER('Tổng hợp 75 trang đích'!$B$2:$B$3400,'Tổng hợp 75 trang đích'!$I$2:$I$3400=A800)))"),"")</f>
        <v/>
      </c>
      <c r="D800" s="20"/>
      <c r="E800" s="20"/>
      <c r="F800" s="20"/>
      <c r="G800" s="20"/>
      <c r="H800" s="20"/>
      <c r="I800" s="20"/>
      <c r="J800" s="20"/>
      <c r="K800" s="20"/>
      <c r="L800" s="20"/>
      <c r="M800" s="20"/>
      <c r="N800" s="20"/>
      <c r="O800" s="20"/>
      <c r="P800" s="20"/>
      <c r="Q800" s="20"/>
      <c r="R800" s="20"/>
      <c r="S800" s="20"/>
      <c r="T800" s="20"/>
      <c r="U800" s="20"/>
      <c r="V800" s="20"/>
      <c r="W800" s="20"/>
      <c r="X800" s="20"/>
    </row>
    <row r="801">
      <c r="A801" s="20"/>
      <c r="B801" s="28"/>
      <c r="C801" s="20" t="str">
        <f>IFERROR(__xludf.DUMMYFUNCTION("IF(A801="""","""",TEXTJOIN(CHAR(10),TRUE,FILTER('Tổng hợp 75 trang đích'!$B$2:$B$3400,'Tổng hợp 75 trang đích'!$I$2:$I$3400=A801)))"),"")</f>
        <v/>
      </c>
      <c r="D801" s="20"/>
      <c r="E801" s="20"/>
      <c r="F801" s="20"/>
      <c r="G801" s="20"/>
      <c r="H801" s="20"/>
      <c r="I801" s="20"/>
      <c r="J801" s="20"/>
      <c r="K801" s="20"/>
      <c r="L801" s="20"/>
      <c r="M801" s="20"/>
      <c r="N801" s="20"/>
      <c r="O801" s="20"/>
      <c r="P801" s="20"/>
      <c r="Q801" s="20"/>
      <c r="R801" s="20"/>
      <c r="S801" s="20"/>
      <c r="T801" s="20"/>
      <c r="U801" s="20"/>
      <c r="V801" s="20"/>
      <c r="W801" s="20"/>
      <c r="X801" s="20"/>
    </row>
    <row r="802">
      <c r="A802" s="20"/>
      <c r="B802" s="28"/>
      <c r="C802" s="20" t="str">
        <f>IFERROR(__xludf.DUMMYFUNCTION("IF(A802="""","""",TEXTJOIN(CHAR(10),TRUE,FILTER('Tổng hợp 75 trang đích'!$B$2:$B$3400,'Tổng hợp 75 trang đích'!$I$2:$I$3400=A802)))"),"")</f>
        <v/>
      </c>
      <c r="D802" s="20"/>
      <c r="E802" s="20"/>
      <c r="F802" s="20"/>
      <c r="G802" s="20"/>
      <c r="H802" s="20"/>
      <c r="I802" s="20"/>
      <c r="J802" s="20"/>
      <c r="K802" s="20"/>
      <c r="L802" s="20"/>
      <c r="M802" s="20"/>
      <c r="N802" s="20"/>
      <c r="O802" s="20"/>
      <c r="P802" s="20"/>
      <c r="Q802" s="20"/>
      <c r="R802" s="20"/>
      <c r="S802" s="20"/>
      <c r="T802" s="20"/>
      <c r="U802" s="20"/>
      <c r="V802" s="20"/>
      <c r="W802" s="20"/>
      <c r="X802" s="20"/>
    </row>
    <row r="803">
      <c r="A803" s="20"/>
      <c r="B803" s="28"/>
      <c r="C803" s="20" t="str">
        <f>IFERROR(__xludf.DUMMYFUNCTION("IF(A803="""","""",TEXTJOIN(CHAR(10),TRUE,FILTER('Tổng hợp 75 trang đích'!$B$2:$B$3400,'Tổng hợp 75 trang đích'!$I$2:$I$3400=A803)))"),"")</f>
        <v/>
      </c>
      <c r="D803" s="20"/>
      <c r="E803" s="20"/>
      <c r="F803" s="20"/>
      <c r="G803" s="20"/>
      <c r="H803" s="20"/>
      <c r="I803" s="20"/>
      <c r="J803" s="20"/>
      <c r="K803" s="20"/>
      <c r="L803" s="20"/>
      <c r="M803" s="20"/>
      <c r="N803" s="20"/>
      <c r="O803" s="20"/>
      <c r="P803" s="20"/>
      <c r="Q803" s="20"/>
      <c r="R803" s="20"/>
      <c r="S803" s="20"/>
      <c r="T803" s="20"/>
      <c r="U803" s="20"/>
      <c r="V803" s="20"/>
      <c r="W803" s="20"/>
      <c r="X803" s="20"/>
    </row>
    <row r="804">
      <c r="A804" s="20"/>
      <c r="B804" s="28"/>
      <c r="C804" s="20" t="str">
        <f>IFERROR(__xludf.DUMMYFUNCTION("IF(A804="""","""",TEXTJOIN(CHAR(10),TRUE,FILTER('Tổng hợp 75 trang đích'!$B$2:$B$3400,'Tổng hợp 75 trang đích'!$I$2:$I$3400=A804)))"),"")</f>
        <v/>
      </c>
      <c r="D804" s="20"/>
      <c r="E804" s="20"/>
      <c r="F804" s="20"/>
      <c r="G804" s="20"/>
      <c r="H804" s="20"/>
      <c r="I804" s="20"/>
      <c r="J804" s="20"/>
      <c r="K804" s="20"/>
      <c r="L804" s="20"/>
      <c r="M804" s="20"/>
      <c r="N804" s="20"/>
      <c r="O804" s="20"/>
      <c r="P804" s="20"/>
      <c r="Q804" s="20"/>
      <c r="R804" s="20"/>
      <c r="S804" s="20"/>
      <c r="T804" s="20"/>
      <c r="U804" s="20"/>
      <c r="V804" s="20"/>
      <c r="W804" s="20"/>
      <c r="X804" s="20"/>
    </row>
    <row r="805">
      <c r="A805" s="20"/>
      <c r="B805" s="28"/>
      <c r="C805" s="20" t="str">
        <f>IFERROR(__xludf.DUMMYFUNCTION("IF(A805="""","""",TEXTJOIN(CHAR(10),TRUE,FILTER('Tổng hợp 75 trang đích'!$B$2:$B$3400,'Tổng hợp 75 trang đích'!$I$2:$I$3400=A805)))"),"")</f>
        <v/>
      </c>
      <c r="D805" s="20"/>
      <c r="E805" s="20"/>
      <c r="F805" s="20"/>
      <c r="G805" s="20"/>
      <c r="H805" s="20"/>
      <c r="I805" s="20"/>
      <c r="J805" s="20"/>
      <c r="K805" s="20"/>
      <c r="L805" s="20"/>
      <c r="M805" s="20"/>
      <c r="N805" s="20"/>
      <c r="O805" s="20"/>
      <c r="P805" s="20"/>
      <c r="Q805" s="20"/>
      <c r="R805" s="20"/>
      <c r="S805" s="20"/>
      <c r="T805" s="20"/>
      <c r="U805" s="20"/>
      <c r="V805" s="20"/>
      <c r="W805" s="20"/>
      <c r="X805" s="20"/>
    </row>
    <row r="806">
      <c r="A806" s="20"/>
      <c r="B806" s="28"/>
      <c r="C806" s="20" t="str">
        <f>IFERROR(__xludf.DUMMYFUNCTION("IF(A806="""","""",TEXTJOIN(CHAR(10),TRUE,FILTER('Tổng hợp 75 trang đích'!$B$2:$B$3400,'Tổng hợp 75 trang đích'!$I$2:$I$3400=A806)))"),"")</f>
        <v/>
      </c>
      <c r="D806" s="20"/>
      <c r="E806" s="20"/>
      <c r="F806" s="20"/>
      <c r="G806" s="20"/>
      <c r="H806" s="20"/>
      <c r="I806" s="20"/>
      <c r="J806" s="20"/>
      <c r="K806" s="20"/>
      <c r="L806" s="20"/>
      <c r="M806" s="20"/>
      <c r="N806" s="20"/>
      <c r="O806" s="20"/>
      <c r="P806" s="20"/>
      <c r="Q806" s="20"/>
      <c r="R806" s="20"/>
      <c r="S806" s="20"/>
      <c r="T806" s="20"/>
      <c r="U806" s="20"/>
      <c r="V806" s="20"/>
      <c r="W806" s="20"/>
      <c r="X806" s="20"/>
    </row>
    <row r="807">
      <c r="A807" s="20"/>
      <c r="B807" s="28"/>
      <c r="C807" s="20" t="str">
        <f>IFERROR(__xludf.DUMMYFUNCTION("IF(A807="""","""",TEXTJOIN(CHAR(10),TRUE,FILTER('Tổng hợp 75 trang đích'!$B$2:$B$3400,'Tổng hợp 75 trang đích'!$I$2:$I$3400=A807)))"),"")</f>
        <v/>
      </c>
      <c r="D807" s="20"/>
      <c r="E807" s="20"/>
      <c r="F807" s="20"/>
      <c r="G807" s="20"/>
      <c r="H807" s="20"/>
      <c r="I807" s="20"/>
      <c r="J807" s="20"/>
      <c r="K807" s="20"/>
      <c r="L807" s="20"/>
      <c r="M807" s="20"/>
      <c r="N807" s="20"/>
      <c r="O807" s="20"/>
      <c r="P807" s="20"/>
      <c r="Q807" s="20"/>
      <c r="R807" s="20"/>
      <c r="S807" s="20"/>
      <c r="T807" s="20"/>
      <c r="U807" s="20"/>
      <c r="V807" s="20"/>
      <c r="W807" s="20"/>
      <c r="X807" s="20"/>
    </row>
    <row r="808">
      <c r="A808" s="20"/>
      <c r="B808" s="28"/>
      <c r="C808" s="20" t="str">
        <f>IFERROR(__xludf.DUMMYFUNCTION("IF(A808="""","""",TEXTJOIN(CHAR(10),TRUE,FILTER('Tổng hợp 75 trang đích'!$B$2:$B$3400,'Tổng hợp 75 trang đích'!$I$2:$I$3400=A808)))"),"")</f>
        <v/>
      </c>
      <c r="D808" s="20"/>
      <c r="E808" s="20"/>
      <c r="F808" s="20"/>
      <c r="G808" s="20"/>
      <c r="H808" s="20"/>
      <c r="I808" s="20"/>
      <c r="J808" s="20"/>
      <c r="K808" s="20"/>
      <c r="L808" s="20"/>
      <c r="M808" s="20"/>
      <c r="N808" s="20"/>
      <c r="O808" s="20"/>
      <c r="P808" s="20"/>
      <c r="Q808" s="20"/>
      <c r="R808" s="20"/>
      <c r="S808" s="20"/>
      <c r="T808" s="20"/>
      <c r="U808" s="20"/>
      <c r="V808" s="20"/>
      <c r="W808" s="20"/>
      <c r="X808" s="20"/>
    </row>
    <row r="809">
      <c r="A809" s="20"/>
      <c r="B809" s="28"/>
      <c r="C809" s="20" t="str">
        <f>IFERROR(__xludf.DUMMYFUNCTION("IF(A809="""","""",TEXTJOIN(CHAR(10),TRUE,FILTER('Tổng hợp 75 trang đích'!$B$2:$B$3400,'Tổng hợp 75 trang đích'!$I$2:$I$3400=A809)))"),"")</f>
        <v/>
      </c>
      <c r="D809" s="20"/>
      <c r="E809" s="20"/>
      <c r="F809" s="20"/>
      <c r="G809" s="20"/>
      <c r="H809" s="20"/>
      <c r="I809" s="20"/>
      <c r="J809" s="20"/>
      <c r="K809" s="20"/>
      <c r="L809" s="20"/>
      <c r="M809" s="20"/>
      <c r="N809" s="20"/>
      <c r="O809" s="20"/>
      <c r="P809" s="20"/>
      <c r="Q809" s="20"/>
      <c r="R809" s="20"/>
      <c r="S809" s="20"/>
      <c r="T809" s="20"/>
      <c r="U809" s="20"/>
      <c r="V809" s="20"/>
      <c r="W809" s="20"/>
      <c r="X809" s="20"/>
    </row>
    <row r="810">
      <c r="A810" s="20"/>
      <c r="B810" s="28"/>
      <c r="C810" s="20" t="str">
        <f>IFERROR(__xludf.DUMMYFUNCTION("IF(A810="""","""",TEXTJOIN(CHAR(10),TRUE,FILTER('Tổng hợp 75 trang đích'!$B$2:$B$3400,'Tổng hợp 75 trang đích'!$I$2:$I$3400=A810)))"),"")</f>
        <v/>
      </c>
      <c r="D810" s="20"/>
      <c r="E810" s="20"/>
      <c r="F810" s="20"/>
      <c r="G810" s="20"/>
      <c r="H810" s="20"/>
      <c r="I810" s="20"/>
      <c r="J810" s="20"/>
      <c r="K810" s="20"/>
      <c r="L810" s="20"/>
      <c r="M810" s="20"/>
      <c r="N810" s="20"/>
      <c r="O810" s="20"/>
      <c r="P810" s="20"/>
      <c r="Q810" s="20"/>
      <c r="R810" s="20"/>
      <c r="S810" s="20"/>
      <c r="T810" s="20"/>
      <c r="U810" s="20"/>
      <c r="V810" s="20"/>
      <c r="W810" s="20"/>
      <c r="X810" s="20"/>
    </row>
    <row r="811">
      <c r="A811" s="20"/>
      <c r="B811" s="28"/>
      <c r="C811" s="20" t="str">
        <f>IFERROR(__xludf.DUMMYFUNCTION("IF(A811="""","""",TEXTJOIN(CHAR(10),TRUE,FILTER('Tổng hợp 75 trang đích'!$B$2:$B$3400,'Tổng hợp 75 trang đích'!$I$2:$I$3400=A811)))"),"")</f>
        <v/>
      </c>
      <c r="D811" s="20"/>
      <c r="E811" s="20"/>
      <c r="F811" s="20"/>
      <c r="G811" s="20"/>
      <c r="H811" s="20"/>
      <c r="I811" s="20"/>
      <c r="J811" s="20"/>
      <c r="K811" s="20"/>
      <c r="L811" s="20"/>
      <c r="M811" s="20"/>
      <c r="N811" s="20"/>
      <c r="O811" s="20"/>
      <c r="P811" s="20"/>
      <c r="Q811" s="20"/>
      <c r="R811" s="20"/>
      <c r="S811" s="20"/>
      <c r="T811" s="20"/>
      <c r="U811" s="20"/>
      <c r="V811" s="20"/>
      <c r="W811" s="20"/>
      <c r="X811" s="20"/>
    </row>
    <row r="812">
      <c r="A812" s="20"/>
      <c r="B812" s="28"/>
      <c r="C812" s="20" t="str">
        <f>IFERROR(__xludf.DUMMYFUNCTION("IF(A812="""","""",TEXTJOIN(CHAR(10),TRUE,FILTER('Tổng hợp 75 trang đích'!$B$2:$B$3400,'Tổng hợp 75 trang đích'!$I$2:$I$3400=A812)))"),"")</f>
        <v/>
      </c>
      <c r="D812" s="20"/>
      <c r="E812" s="20"/>
      <c r="F812" s="20"/>
      <c r="G812" s="20"/>
      <c r="H812" s="20"/>
      <c r="I812" s="20"/>
      <c r="J812" s="20"/>
      <c r="K812" s="20"/>
      <c r="L812" s="20"/>
      <c r="M812" s="20"/>
      <c r="N812" s="20"/>
      <c r="O812" s="20"/>
      <c r="P812" s="20"/>
      <c r="Q812" s="20"/>
      <c r="R812" s="20"/>
      <c r="S812" s="20"/>
      <c r="T812" s="20"/>
      <c r="U812" s="20"/>
      <c r="V812" s="20"/>
      <c r="W812" s="20"/>
      <c r="X812" s="20"/>
    </row>
    <row r="813">
      <c r="A813" s="20"/>
      <c r="B813" s="28"/>
      <c r="C813" s="20" t="str">
        <f>IFERROR(__xludf.DUMMYFUNCTION("IF(A813="""","""",TEXTJOIN(CHAR(10),TRUE,FILTER('Tổng hợp 75 trang đích'!$B$2:$B$3400,'Tổng hợp 75 trang đích'!$I$2:$I$3400=A813)))"),"")</f>
        <v/>
      </c>
      <c r="D813" s="20"/>
      <c r="E813" s="20"/>
      <c r="F813" s="20"/>
      <c r="G813" s="20"/>
      <c r="H813" s="20"/>
      <c r="I813" s="20"/>
      <c r="J813" s="20"/>
      <c r="K813" s="20"/>
      <c r="L813" s="20"/>
      <c r="M813" s="20"/>
      <c r="N813" s="20"/>
      <c r="O813" s="20"/>
      <c r="P813" s="20"/>
      <c r="Q813" s="20"/>
      <c r="R813" s="20"/>
      <c r="S813" s="20"/>
      <c r="T813" s="20"/>
      <c r="U813" s="20"/>
      <c r="V813" s="20"/>
      <c r="W813" s="20"/>
      <c r="X813" s="20"/>
    </row>
    <row r="814">
      <c r="A814" s="20"/>
      <c r="B814" s="28"/>
      <c r="C814" s="20" t="str">
        <f>IFERROR(__xludf.DUMMYFUNCTION("IF(A814="""","""",TEXTJOIN(CHAR(10),TRUE,FILTER('Tổng hợp 75 trang đích'!$B$2:$B$3400,'Tổng hợp 75 trang đích'!$I$2:$I$3400=A814)))"),"")</f>
        <v/>
      </c>
      <c r="D814" s="20"/>
      <c r="E814" s="20"/>
      <c r="F814" s="20"/>
      <c r="G814" s="20"/>
      <c r="H814" s="20"/>
      <c r="I814" s="20"/>
      <c r="J814" s="20"/>
      <c r="K814" s="20"/>
      <c r="L814" s="20"/>
      <c r="M814" s="20"/>
      <c r="N814" s="20"/>
      <c r="O814" s="20"/>
      <c r="P814" s="20"/>
      <c r="Q814" s="20"/>
      <c r="R814" s="20"/>
      <c r="S814" s="20"/>
      <c r="T814" s="20"/>
      <c r="U814" s="20"/>
      <c r="V814" s="20"/>
      <c r="W814" s="20"/>
      <c r="X814" s="20"/>
    </row>
    <row r="815">
      <c r="A815" s="20"/>
      <c r="B815" s="28"/>
      <c r="C815" s="20" t="str">
        <f>IFERROR(__xludf.DUMMYFUNCTION("IF(A815="""","""",TEXTJOIN(CHAR(10),TRUE,FILTER('Tổng hợp 75 trang đích'!$B$2:$B$3400,'Tổng hợp 75 trang đích'!$I$2:$I$3400=A815)))"),"")</f>
        <v/>
      </c>
      <c r="D815" s="20"/>
      <c r="E815" s="20"/>
      <c r="F815" s="20"/>
      <c r="G815" s="20"/>
      <c r="H815" s="20"/>
      <c r="I815" s="20"/>
      <c r="J815" s="20"/>
      <c r="K815" s="20"/>
      <c r="L815" s="20"/>
      <c r="M815" s="20"/>
      <c r="N815" s="20"/>
      <c r="O815" s="20"/>
      <c r="P815" s="20"/>
      <c r="Q815" s="20"/>
      <c r="R815" s="20"/>
      <c r="S815" s="20"/>
      <c r="T815" s="20"/>
      <c r="U815" s="20"/>
      <c r="V815" s="20"/>
      <c r="W815" s="20"/>
      <c r="X815" s="20"/>
    </row>
    <row r="816">
      <c r="A816" s="20"/>
      <c r="B816" s="28"/>
      <c r="C816" s="20" t="str">
        <f>IFERROR(__xludf.DUMMYFUNCTION("IF(A816="""","""",TEXTJOIN(CHAR(10),TRUE,FILTER('Tổng hợp 75 trang đích'!$B$2:$B$3400,'Tổng hợp 75 trang đích'!$I$2:$I$3400=A816)))"),"")</f>
        <v/>
      </c>
      <c r="D816" s="20"/>
      <c r="E816" s="20"/>
      <c r="F816" s="20"/>
      <c r="G816" s="20"/>
      <c r="H816" s="20"/>
      <c r="I816" s="20"/>
      <c r="J816" s="20"/>
      <c r="K816" s="20"/>
      <c r="L816" s="20"/>
      <c r="M816" s="20"/>
      <c r="N816" s="20"/>
      <c r="O816" s="20"/>
      <c r="P816" s="20"/>
      <c r="Q816" s="20"/>
      <c r="R816" s="20"/>
      <c r="S816" s="20"/>
      <c r="T816" s="20"/>
      <c r="U816" s="20"/>
      <c r="V816" s="20"/>
      <c r="W816" s="20"/>
      <c r="X816" s="20"/>
    </row>
    <row r="817">
      <c r="A817" s="20"/>
      <c r="B817" s="28"/>
      <c r="C817" s="20" t="str">
        <f>IFERROR(__xludf.DUMMYFUNCTION("IF(A817="""","""",TEXTJOIN(CHAR(10),TRUE,FILTER('Tổng hợp 75 trang đích'!$B$2:$B$3400,'Tổng hợp 75 trang đích'!$I$2:$I$3400=A817)))"),"")</f>
        <v/>
      </c>
      <c r="D817" s="20"/>
      <c r="E817" s="20"/>
      <c r="F817" s="20"/>
      <c r="G817" s="20"/>
      <c r="H817" s="20"/>
      <c r="I817" s="20"/>
      <c r="J817" s="20"/>
      <c r="K817" s="20"/>
      <c r="L817" s="20"/>
      <c r="M817" s="20"/>
      <c r="N817" s="20"/>
      <c r="O817" s="20"/>
      <c r="P817" s="20"/>
      <c r="Q817" s="20"/>
      <c r="R817" s="20"/>
      <c r="S817" s="20"/>
      <c r="T817" s="20"/>
      <c r="U817" s="20"/>
      <c r="V817" s="20"/>
      <c r="W817" s="20"/>
      <c r="X817" s="20"/>
    </row>
    <row r="818">
      <c r="A818" s="20"/>
      <c r="B818" s="28"/>
      <c r="C818" s="20" t="str">
        <f>IFERROR(__xludf.DUMMYFUNCTION("IF(A818="""","""",TEXTJOIN(CHAR(10),TRUE,FILTER('Tổng hợp 75 trang đích'!$B$2:$B$3400,'Tổng hợp 75 trang đích'!$I$2:$I$3400=A818)))"),"")</f>
        <v/>
      </c>
      <c r="D818" s="20"/>
      <c r="E818" s="20"/>
      <c r="F818" s="20"/>
      <c r="G818" s="20"/>
      <c r="H818" s="20"/>
      <c r="I818" s="20"/>
      <c r="J818" s="20"/>
      <c r="K818" s="20"/>
      <c r="L818" s="20"/>
      <c r="M818" s="20"/>
      <c r="N818" s="20"/>
      <c r="O818" s="20"/>
      <c r="P818" s="20"/>
      <c r="Q818" s="20"/>
      <c r="R818" s="20"/>
      <c r="S818" s="20"/>
      <c r="T818" s="20"/>
      <c r="U818" s="20"/>
      <c r="V818" s="20"/>
      <c r="W818" s="20"/>
      <c r="X818" s="20"/>
    </row>
    <row r="819">
      <c r="A819" s="20"/>
      <c r="B819" s="28"/>
      <c r="C819" s="20" t="str">
        <f>IFERROR(__xludf.DUMMYFUNCTION("IF(A819="""","""",TEXTJOIN(CHAR(10),TRUE,FILTER('Tổng hợp 75 trang đích'!$B$2:$B$3400,'Tổng hợp 75 trang đích'!$I$2:$I$3400=A819)))"),"")</f>
        <v/>
      </c>
      <c r="D819" s="20"/>
      <c r="E819" s="20"/>
      <c r="F819" s="20"/>
      <c r="G819" s="20"/>
      <c r="H819" s="20"/>
      <c r="I819" s="20"/>
      <c r="J819" s="20"/>
      <c r="K819" s="20"/>
      <c r="L819" s="20"/>
      <c r="M819" s="20"/>
      <c r="N819" s="20"/>
      <c r="O819" s="20"/>
      <c r="P819" s="20"/>
      <c r="Q819" s="20"/>
      <c r="R819" s="20"/>
      <c r="S819" s="20"/>
      <c r="T819" s="20"/>
      <c r="U819" s="20"/>
      <c r="V819" s="20"/>
      <c r="W819" s="20"/>
      <c r="X819" s="20"/>
    </row>
    <row r="820">
      <c r="A820" s="20"/>
      <c r="B820" s="28"/>
      <c r="C820" s="20" t="str">
        <f>IFERROR(__xludf.DUMMYFUNCTION("IF(A820="""","""",TEXTJOIN(CHAR(10),TRUE,FILTER('Tổng hợp 75 trang đích'!$B$2:$B$3400,'Tổng hợp 75 trang đích'!$I$2:$I$3400=A820)))"),"")</f>
        <v/>
      </c>
      <c r="D820" s="20"/>
      <c r="E820" s="20"/>
      <c r="F820" s="20"/>
      <c r="G820" s="20"/>
      <c r="H820" s="20"/>
      <c r="I820" s="20"/>
      <c r="J820" s="20"/>
      <c r="K820" s="20"/>
      <c r="L820" s="20"/>
      <c r="M820" s="20"/>
      <c r="N820" s="20"/>
      <c r="O820" s="20"/>
      <c r="P820" s="20"/>
      <c r="Q820" s="20"/>
      <c r="R820" s="20"/>
      <c r="S820" s="20"/>
      <c r="T820" s="20"/>
      <c r="U820" s="20"/>
      <c r="V820" s="20"/>
      <c r="W820" s="20"/>
      <c r="X820" s="20"/>
    </row>
    <row r="821">
      <c r="A821" s="20"/>
      <c r="B821" s="28"/>
      <c r="C821" s="20" t="str">
        <f>IFERROR(__xludf.DUMMYFUNCTION("IF(A821="""","""",TEXTJOIN(CHAR(10),TRUE,FILTER('Tổng hợp 75 trang đích'!$B$2:$B$3400,'Tổng hợp 75 trang đích'!$I$2:$I$3400=A821)))"),"")</f>
        <v/>
      </c>
      <c r="D821" s="20"/>
      <c r="E821" s="20"/>
      <c r="F821" s="20"/>
      <c r="G821" s="20"/>
      <c r="H821" s="20"/>
      <c r="I821" s="20"/>
      <c r="J821" s="20"/>
      <c r="K821" s="20"/>
      <c r="L821" s="20"/>
      <c r="M821" s="20"/>
      <c r="N821" s="20"/>
      <c r="O821" s="20"/>
      <c r="P821" s="20"/>
      <c r="Q821" s="20"/>
      <c r="R821" s="20"/>
      <c r="S821" s="20"/>
      <c r="T821" s="20"/>
      <c r="U821" s="20"/>
      <c r="V821" s="20"/>
      <c r="W821" s="20"/>
      <c r="X821" s="20"/>
    </row>
    <row r="822">
      <c r="A822" s="20"/>
      <c r="B822" s="28"/>
      <c r="C822" s="20" t="str">
        <f>IFERROR(__xludf.DUMMYFUNCTION("IF(A822="""","""",TEXTJOIN(CHAR(10),TRUE,FILTER('Tổng hợp 75 trang đích'!$B$2:$B$3400,'Tổng hợp 75 trang đích'!$I$2:$I$3400=A822)))"),"")</f>
        <v/>
      </c>
      <c r="D822" s="20"/>
      <c r="E822" s="20"/>
      <c r="F822" s="20"/>
      <c r="G822" s="20"/>
      <c r="H822" s="20"/>
      <c r="I822" s="20"/>
      <c r="J822" s="20"/>
      <c r="K822" s="20"/>
      <c r="L822" s="20"/>
      <c r="M822" s="20"/>
      <c r="N822" s="20"/>
      <c r="O822" s="20"/>
      <c r="P822" s="20"/>
      <c r="Q822" s="20"/>
      <c r="R822" s="20"/>
      <c r="S822" s="20"/>
      <c r="T822" s="20"/>
      <c r="U822" s="20"/>
      <c r="V822" s="20"/>
      <c r="W822" s="20"/>
      <c r="X822" s="20"/>
    </row>
    <row r="823">
      <c r="A823" s="20"/>
      <c r="B823" s="28"/>
      <c r="C823" s="20" t="str">
        <f>IFERROR(__xludf.DUMMYFUNCTION("IF(A823="""","""",TEXTJOIN(CHAR(10),TRUE,FILTER('Tổng hợp 75 trang đích'!$B$2:$B$3400,'Tổng hợp 75 trang đích'!$I$2:$I$3400=A823)))"),"")</f>
        <v/>
      </c>
      <c r="D823" s="20"/>
      <c r="E823" s="20"/>
      <c r="F823" s="20"/>
      <c r="G823" s="20"/>
      <c r="H823" s="20"/>
      <c r="I823" s="20"/>
      <c r="J823" s="20"/>
      <c r="K823" s="20"/>
      <c r="L823" s="20"/>
      <c r="M823" s="20"/>
      <c r="N823" s="20"/>
      <c r="O823" s="20"/>
      <c r="P823" s="20"/>
      <c r="Q823" s="20"/>
      <c r="R823" s="20"/>
      <c r="S823" s="20"/>
      <c r="T823" s="20"/>
      <c r="U823" s="20"/>
      <c r="V823" s="20"/>
      <c r="W823" s="20"/>
      <c r="X823" s="20"/>
    </row>
    <row r="824">
      <c r="A824" s="20"/>
      <c r="B824" s="28"/>
      <c r="C824" s="20" t="str">
        <f>IFERROR(__xludf.DUMMYFUNCTION("IF(A824="""","""",TEXTJOIN(CHAR(10),TRUE,FILTER('Tổng hợp 75 trang đích'!$B$2:$B$3400,'Tổng hợp 75 trang đích'!$I$2:$I$3400=A824)))"),"")</f>
        <v/>
      </c>
      <c r="D824" s="20"/>
      <c r="E824" s="20"/>
      <c r="F824" s="20"/>
      <c r="G824" s="20"/>
      <c r="H824" s="20"/>
      <c r="I824" s="20"/>
      <c r="J824" s="20"/>
      <c r="K824" s="20"/>
      <c r="L824" s="20"/>
      <c r="M824" s="20"/>
      <c r="N824" s="20"/>
      <c r="O824" s="20"/>
      <c r="P824" s="20"/>
      <c r="Q824" s="20"/>
      <c r="R824" s="20"/>
      <c r="S824" s="20"/>
      <c r="T824" s="20"/>
      <c r="U824" s="20"/>
      <c r="V824" s="20"/>
      <c r="W824" s="20"/>
      <c r="X824" s="20"/>
    </row>
    <row r="825">
      <c r="A825" s="20"/>
      <c r="B825" s="28"/>
      <c r="C825" s="20" t="str">
        <f>IFERROR(__xludf.DUMMYFUNCTION("IF(A825="""","""",TEXTJOIN(CHAR(10),TRUE,FILTER('Tổng hợp 75 trang đích'!$B$2:$B$3400,'Tổng hợp 75 trang đích'!$I$2:$I$3400=A825)))"),"")</f>
        <v/>
      </c>
      <c r="D825" s="20"/>
      <c r="E825" s="20"/>
      <c r="F825" s="20"/>
      <c r="G825" s="20"/>
      <c r="H825" s="20"/>
      <c r="I825" s="20"/>
      <c r="J825" s="20"/>
      <c r="K825" s="20"/>
      <c r="L825" s="20"/>
      <c r="M825" s="20"/>
      <c r="N825" s="20"/>
      <c r="O825" s="20"/>
      <c r="P825" s="20"/>
      <c r="Q825" s="20"/>
      <c r="R825" s="20"/>
      <c r="S825" s="20"/>
      <c r="T825" s="20"/>
      <c r="U825" s="20"/>
      <c r="V825" s="20"/>
      <c r="W825" s="20"/>
      <c r="X825" s="20"/>
    </row>
    <row r="826">
      <c r="A826" s="20"/>
      <c r="B826" s="28"/>
      <c r="C826" s="20" t="str">
        <f>IFERROR(__xludf.DUMMYFUNCTION("IF(A826="""","""",TEXTJOIN(CHAR(10),TRUE,FILTER('Tổng hợp 75 trang đích'!$B$2:$B$3400,'Tổng hợp 75 trang đích'!$I$2:$I$3400=A826)))"),"")</f>
        <v/>
      </c>
      <c r="D826" s="20"/>
      <c r="E826" s="20"/>
      <c r="F826" s="20"/>
      <c r="G826" s="20"/>
      <c r="H826" s="20"/>
      <c r="I826" s="20"/>
      <c r="J826" s="20"/>
      <c r="K826" s="20"/>
      <c r="L826" s="20"/>
      <c r="M826" s="20"/>
      <c r="N826" s="20"/>
      <c r="O826" s="20"/>
      <c r="P826" s="20"/>
      <c r="Q826" s="20"/>
      <c r="R826" s="20"/>
      <c r="S826" s="20"/>
      <c r="T826" s="20"/>
      <c r="U826" s="20"/>
      <c r="V826" s="20"/>
      <c r="W826" s="20"/>
      <c r="X826" s="20"/>
    </row>
    <row r="827">
      <c r="A827" s="20"/>
      <c r="B827" s="28"/>
      <c r="C827" s="20" t="str">
        <f>IFERROR(__xludf.DUMMYFUNCTION("IF(A827="""","""",TEXTJOIN(CHAR(10),TRUE,FILTER('Tổng hợp 75 trang đích'!$B$2:$B$3400,'Tổng hợp 75 trang đích'!$I$2:$I$3400=A827)))"),"")</f>
        <v/>
      </c>
      <c r="D827" s="20"/>
      <c r="E827" s="20"/>
      <c r="F827" s="20"/>
      <c r="G827" s="20"/>
      <c r="H827" s="20"/>
      <c r="I827" s="20"/>
      <c r="J827" s="20"/>
      <c r="K827" s="20"/>
      <c r="L827" s="20"/>
      <c r="M827" s="20"/>
      <c r="N827" s="20"/>
      <c r="O827" s="20"/>
      <c r="P827" s="20"/>
      <c r="Q827" s="20"/>
      <c r="R827" s="20"/>
      <c r="S827" s="20"/>
      <c r="T827" s="20"/>
      <c r="U827" s="20"/>
      <c r="V827" s="20"/>
      <c r="W827" s="20"/>
      <c r="X827" s="20"/>
    </row>
    <row r="828">
      <c r="A828" s="20"/>
      <c r="B828" s="28"/>
      <c r="C828" s="20" t="str">
        <f>IFERROR(__xludf.DUMMYFUNCTION("IF(A828="""","""",TEXTJOIN(CHAR(10),TRUE,FILTER('Tổng hợp 75 trang đích'!$B$2:$B$3400,'Tổng hợp 75 trang đích'!$I$2:$I$3400=A828)))"),"")</f>
        <v/>
      </c>
      <c r="D828" s="20"/>
      <c r="E828" s="20"/>
      <c r="F828" s="20"/>
      <c r="G828" s="20"/>
      <c r="H828" s="20"/>
      <c r="I828" s="20"/>
      <c r="J828" s="20"/>
      <c r="K828" s="20"/>
      <c r="L828" s="20"/>
      <c r="M828" s="20"/>
      <c r="N828" s="20"/>
      <c r="O828" s="20"/>
      <c r="P828" s="20"/>
      <c r="Q828" s="20"/>
      <c r="R828" s="20"/>
      <c r="S828" s="20"/>
      <c r="T828" s="20"/>
      <c r="U828" s="20"/>
      <c r="V828" s="20"/>
      <c r="W828" s="20"/>
      <c r="X828" s="20"/>
    </row>
    <row r="829">
      <c r="A829" s="20"/>
      <c r="B829" s="28"/>
      <c r="C829" s="20" t="str">
        <f>IFERROR(__xludf.DUMMYFUNCTION("IF(A829="""","""",TEXTJOIN(CHAR(10),TRUE,FILTER('Tổng hợp 75 trang đích'!$B$2:$B$3400,'Tổng hợp 75 trang đích'!$I$2:$I$3400=A829)))"),"")</f>
        <v/>
      </c>
      <c r="D829" s="20"/>
      <c r="E829" s="20"/>
      <c r="F829" s="20"/>
      <c r="G829" s="20"/>
      <c r="H829" s="20"/>
      <c r="I829" s="20"/>
      <c r="J829" s="20"/>
      <c r="K829" s="20"/>
      <c r="L829" s="20"/>
      <c r="M829" s="20"/>
      <c r="N829" s="20"/>
      <c r="O829" s="20"/>
      <c r="P829" s="20"/>
      <c r="Q829" s="20"/>
      <c r="R829" s="20"/>
      <c r="S829" s="20"/>
      <c r="T829" s="20"/>
      <c r="U829" s="20"/>
      <c r="V829" s="20"/>
      <c r="W829" s="20"/>
      <c r="X829" s="20"/>
    </row>
    <row r="830">
      <c r="A830" s="20"/>
      <c r="B830" s="28"/>
      <c r="C830" s="20" t="str">
        <f>IFERROR(__xludf.DUMMYFUNCTION("IF(A830="""","""",TEXTJOIN(CHAR(10),TRUE,FILTER('Tổng hợp 75 trang đích'!$B$2:$B$3400,'Tổng hợp 75 trang đích'!$I$2:$I$3400=A830)))"),"")</f>
        <v/>
      </c>
      <c r="D830" s="20"/>
      <c r="E830" s="20"/>
      <c r="F830" s="20"/>
      <c r="G830" s="20"/>
      <c r="H830" s="20"/>
      <c r="I830" s="20"/>
      <c r="J830" s="20"/>
      <c r="K830" s="20"/>
      <c r="L830" s="20"/>
      <c r="M830" s="20"/>
      <c r="N830" s="20"/>
      <c r="O830" s="20"/>
      <c r="P830" s="20"/>
      <c r="Q830" s="20"/>
      <c r="R830" s="20"/>
      <c r="S830" s="20"/>
      <c r="T830" s="20"/>
      <c r="U830" s="20"/>
      <c r="V830" s="20"/>
      <c r="W830" s="20"/>
      <c r="X830" s="20"/>
    </row>
    <row r="831">
      <c r="A831" s="20"/>
      <c r="B831" s="28"/>
      <c r="C831" s="20" t="str">
        <f>IFERROR(__xludf.DUMMYFUNCTION("IF(A831="""","""",TEXTJOIN(CHAR(10),TRUE,FILTER('Tổng hợp 75 trang đích'!$B$2:$B$3400,'Tổng hợp 75 trang đích'!$I$2:$I$3400=A831)))"),"")</f>
        <v/>
      </c>
      <c r="D831" s="20"/>
      <c r="E831" s="20"/>
      <c r="F831" s="20"/>
      <c r="G831" s="20"/>
      <c r="H831" s="20"/>
      <c r="I831" s="20"/>
      <c r="J831" s="20"/>
      <c r="K831" s="20"/>
      <c r="L831" s="20"/>
      <c r="M831" s="20"/>
      <c r="N831" s="20"/>
      <c r="O831" s="20"/>
      <c r="P831" s="20"/>
      <c r="Q831" s="20"/>
      <c r="R831" s="20"/>
      <c r="S831" s="20"/>
      <c r="T831" s="20"/>
      <c r="U831" s="20"/>
      <c r="V831" s="20"/>
      <c r="W831" s="20"/>
      <c r="X831" s="20"/>
    </row>
    <row r="832">
      <c r="A832" s="20"/>
      <c r="B832" s="28"/>
      <c r="C832" s="20" t="str">
        <f>IFERROR(__xludf.DUMMYFUNCTION("IF(A832="""","""",TEXTJOIN(CHAR(10),TRUE,FILTER('Tổng hợp 75 trang đích'!$B$2:$B$3400,'Tổng hợp 75 trang đích'!$I$2:$I$3400=A832)))"),"")</f>
        <v/>
      </c>
      <c r="D832" s="20"/>
      <c r="E832" s="20"/>
      <c r="F832" s="20"/>
      <c r="G832" s="20"/>
      <c r="H832" s="20"/>
      <c r="I832" s="20"/>
      <c r="J832" s="20"/>
      <c r="K832" s="20"/>
      <c r="L832" s="20"/>
      <c r="M832" s="20"/>
      <c r="N832" s="20"/>
      <c r="O832" s="20"/>
      <c r="P832" s="20"/>
      <c r="Q832" s="20"/>
      <c r="R832" s="20"/>
      <c r="S832" s="20"/>
      <c r="T832" s="20"/>
      <c r="U832" s="20"/>
      <c r="V832" s="20"/>
      <c r="W832" s="20"/>
      <c r="X832" s="20"/>
    </row>
    <row r="833">
      <c r="A833" s="20"/>
      <c r="B833" s="28"/>
      <c r="C833" s="20" t="str">
        <f>IFERROR(__xludf.DUMMYFUNCTION("IF(A833="""","""",TEXTJOIN(CHAR(10),TRUE,FILTER('Tổng hợp 75 trang đích'!$B$2:$B$3400,'Tổng hợp 75 trang đích'!$I$2:$I$3400=A833)))"),"")</f>
        <v/>
      </c>
      <c r="D833" s="20"/>
      <c r="E833" s="20"/>
      <c r="F833" s="20"/>
      <c r="G833" s="20"/>
      <c r="H833" s="20"/>
      <c r="I833" s="20"/>
      <c r="J833" s="20"/>
      <c r="K833" s="20"/>
      <c r="L833" s="20"/>
      <c r="M833" s="20"/>
      <c r="N833" s="20"/>
      <c r="O833" s="20"/>
      <c r="P833" s="20"/>
      <c r="Q833" s="20"/>
      <c r="R833" s="20"/>
      <c r="S833" s="20"/>
      <c r="T833" s="20"/>
      <c r="U833" s="20"/>
      <c r="V833" s="20"/>
      <c r="W833" s="20"/>
      <c r="X833" s="20"/>
    </row>
    <row r="834">
      <c r="A834" s="20"/>
      <c r="B834" s="28"/>
      <c r="C834" s="20" t="str">
        <f>IFERROR(__xludf.DUMMYFUNCTION("IF(A834="""","""",TEXTJOIN(CHAR(10),TRUE,FILTER('Tổng hợp 75 trang đích'!$B$2:$B$3400,'Tổng hợp 75 trang đích'!$I$2:$I$3400=A834)))"),"")</f>
        <v/>
      </c>
      <c r="D834" s="20"/>
      <c r="E834" s="20"/>
      <c r="F834" s="20"/>
      <c r="G834" s="20"/>
      <c r="H834" s="20"/>
      <c r="I834" s="20"/>
      <c r="J834" s="20"/>
      <c r="K834" s="20"/>
      <c r="L834" s="20"/>
      <c r="M834" s="20"/>
      <c r="N834" s="20"/>
      <c r="O834" s="20"/>
      <c r="P834" s="20"/>
      <c r="Q834" s="20"/>
      <c r="R834" s="20"/>
      <c r="S834" s="20"/>
      <c r="T834" s="20"/>
      <c r="U834" s="20"/>
      <c r="V834" s="20"/>
      <c r="W834" s="20"/>
      <c r="X834" s="20"/>
    </row>
    <row r="835">
      <c r="A835" s="20"/>
      <c r="B835" s="28"/>
      <c r="C835" s="20" t="str">
        <f>IFERROR(__xludf.DUMMYFUNCTION("IF(A835="""","""",TEXTJOIN(CHAR(10),TRUE,FILTER('Tổng hợp 75 trang đích'!$B$2:$B$3400,'Tổng hợp 75 trang đích'!$I$2:$I$3400=A835)))"),"")</f>
        <v/>
      </c>
      <c r="D835" s="20"/>
      <c r="E835" s="20"/>
      <c r="F835" s="20"/>
      <c r="G835" s="20"/>
      <c r="H835" s="20"/>
      <c r="I835" s="20"/>
      <c r="J835" s="20"/>
      <c r="K835" s="20"/>
      <c r="L835" s="20"/>
      <c r="M835" s="20"/>
      <c r="N835" s="20"/>
      <c r="O835" s="20"/>
      <c r="P835" s="20"/>
      <c r="Q835" s="20"/>
      <c r="R835" s="20"/>
      <c r="S835" s="20"/>
      <c r="T835" s="20"/>
      <c r="U835" s="20"/>
      <c r="V835" s="20"/>
      <c r="W835" s="20"/>
      <c r="X835" s="20"/>
    </row>
    <row r="836">
      <c r="A836" s="20"/>
      <c r="B836" s="28"/>
      <c r="C836" s="20" t="str">
        <f>IFERROR(__xludf.DUMMYFUNCTION("IF(A836="""","""",TEXTJOIN(CHAR(10),TRUE,FILTER('Tổng hợp 75 trang đích'!$B$2:$B$3400,'Tổng hợp 75 trang đích'!$I$2:$I$3400=A836)))"),"")</f>
        <v/>
      </c>
      <c r="D836" s="20"/>
      <c r="E836" s="20"/>
      <c r="F836" s="20"/>
      <c r="G836" s="20"/>
      <c r="H836" s="20"/>
      <c r="I836" s="20"/>
      <c r="J836" s="20"/>
      <c r="K836" s="20"/>
      <c r="L836" s="20"/>
      <c r="M836" s="20"/>
      <c r="N836" s="20"/>
      <c r="O836" s="20"/>
      <c r="P836" s="20"/>
      <c r="Q836" s="20"/>
      <c r="R836" s="20"/>
      <c r="S836" s="20"/>
      <c r="T836" s="20"/>
      <c r="U836" s="20"/>
      <c r="V836" s="20"/>
      <c r="W836" s="20"/>
      <c r="X836" s="20"/>
    </row>
    <row r="837">
      <c r="A837" s="20"/>
      <c r="B837" s="28"/>
      <c r="C837" s="20" t="str">
        <f>IFERROR(__xludf.DUMMYFUNCTION("IF(A837="""","""",TEXTJOIN(CHAR(10),TRUE,FILTER('Tổng hợp 75 trang đích'!$B$2:$B$3400,'Tổng hợp 75 trang đích'!$I$2:$I$3400=A837)))"),"")</f>
        <v/>
      </c>
      <c r="D837" s="20"/>
      <c r="E837" s="20"/>
      <c r="F837" s="20"/>
      <c r="G837" s="20"/>
      <c r="H837" s="20"/>
      <c r="I837" s="20"/>
      <c r="J837" s="20"/>
      <c r="K837" s="20"/>
      <c r="L837" s="20"/>
      <c r="M837" s="20"/>
      <c r="N837" s="20"/>
      <c r="O837" s="20"/>
      <c r="P837" s="20"/>
      <c r="Q837" s="20"/>
      <c r="R837" s="20"/>
      <c r="S837" s="20"/>
      <c r="T837" s="20"/>
      <c r="U837" s="20"/>
      <c r="V837" s="20"/>
      <c r="W837" s="20"/>
      <c r="X837" s="20"/>
    </row>
    <row r="838">
      <c r="A838" s="20"/>
      <c r="B838" s="28"/>
      <c r="C838" s="20" t="str">
        <f>IFERROR(__xludf.DUMMYFUNCTION("IF(A838="""","""",TEXTJOIN(CHAR(10),TRUE,FILTER('Tổng hợp 75 trang đích'!$B$2:$B$3400,'Tổng hợp 75 trang đích'!$I$2:$I$3400=A838)))"),"")</f>
        <v/>
      </c>
      <c r="D838" s="20"/>
      <c r="E838" s="20"/>
      <c r="F838" s="20"/>
      <c r="G838" s="20"/>
      <c r="H838" s="20"/>
      <c r="I838" s="20"/>
      <c r="J838" s="20"/>
      <c r="K838" s="20"/>
      <c r="L838" s="20"/>
      <c r="M838" s="20"/>
      <c r="N838" s="20"/>
      <c r="O838" s="20"/>
      <c r="P838" s="20"/>
      <c r="Q838" s="20"/>
      <c r="R838" s="20"/>
      <c r="S838" s="20"/>
      <c r="T838" s="20"/>
      <c r="U838" s="20"/>
      <c r="V838" s="20"/>
      <c r="W838" s="20"/>
      <c r="X838" s="20"/>
    </row>
    <row r="839">
      <c r="A839" s="20"/>
      <c r="B839" s="28"/>
      <c r="C839" s="20" t="str">
        <f>IFERROR(__xludf.DUMMYFUNCTION("IF(A839="""","""",TEXTJOIN(CHAR(10),TRUE,FILTER('Tổng hợp 75 trang đích'!$B$2:$B$3400,'Tổng hợp 75 trang đích'!$I$2:$I$3400=A839)))"),"")</f>
        <v/>
      </c>
      <c r="D839" s="20"/>
      <c r="E839" s="20"/>
      <c r="F839" s="20"/>
      <c r="G839" s="20"/>
      <c r="H839" s="20"/>
      <c r="I839" s="20"/>
      <c r="J839" s="20"/>
      <c r="K839" s="20"/>
      <c r="L839" s="20"/>
      <c r="M839" s="20"/>
      <c r="N839" s="20"/>
      <c r="O839" s="20"/>
      <c r="P839" s="20"/>
      <c r="Q839" s="20"/>
      <c r="R839" s="20"/>
      <c r="S839" s="20"/>
      <c r="T839" s="20"/>
      <c r="U839" s="20"/>
      <c r="V839" s="20"/>
      <c r="W839" s="20"/>
      <c r="X839" s="20"/>
    </row>
    <row r="840">
      <c r="A840" s="20"/>
      <c r="B840" s="28"/>
      <c r="C840" s="20" t="str">
        <f>IFERROR(__xludf.DUMMYFUNCTION("IF(A840="""","""",TEXTJOIN(CHAR(10),TRUE,FILTER('Tổng hợp 75 trang đích'!$B$2:$B$3400,'Tổng hợp 75 trang đích'!$I$2:$I$3400=A840)))"),"")</f>
        <v/>
      </c>
      <c r="D840" s="20"/>
      <c r="E840" s="20"/>
      <c r="F840" s="20"/>
      <c r="G840" s="20"/>
      <c r="H840" s="20"/>
      <c r="I840" s="20"/>
      <c r="J840" s="20"/>
      <c r="K840" s="20"/>
      <c r="L840" s="20"/>
      <c r="M840" s="20"/>
      <c r="N840" s="20"/>
      <c r="O840" s="20"/>
      <c r="P840" s="20"/>
      <c r="Q840" s="20"/>
      <c r="R840" s="20"/>
      <c r="S840" s="20"/>
      <c r="T840" s="20"/>
      <c r="U840" s="20"/>
      <c r="V840" s="20"/>
      <c r="W840" s="20"/>
      <c r="X840" s="20"/>
    </row>
    <row r="841">
      <c r="A841" s="20"/>
      <c r="B841" s="28"/>
      <c r="C841" s="20" t="str">
        <f>IFERROR(__xludf.DUMMYFUNCTION("IF(A841="""","""",TEXTJOIN(CHAR(10),TRUE,FILTER('Tổng hợp 75 trang đích'!$B$2:$B$3400,'Tổng hợp 75 trang đích'!$I$2:$I$3400=A841)))"),"")</f>
        <v/>
      </c>
      <c r="D841" s="20"/>
      <c r="E841" s="20"/>
      <c r="F841" s="20"/>
      <c r="G841" s="20"/>
      <c r="H841" s="20"/>
      <c r="I841" s="20"/>
      <c r="J841" s="20"/>
      <c r="K841" s="20"/>
      <c r="L841" s="20"/>
      <c r="M841" s="20"/>
      <c r="N841" s="20"/>
      <c r="O841" s="20"/>
      <c r="P841" s="20"/>
      <c r="Q841" s="20"/>
      <c r="R841" s="20"/>
      <c r="S841" s="20"/>
      <c r="T841" s="20"/>
      <c r="U841" s="20"/>
      <c r="V841" s="20"/>
      <c r="W841" s="20"/>
      <c r="X841" s="20"/>
    </row>
    <row r="842">
      <c r="A842" s="20"/>
      <c r="B842" s="28"/>
      <c r="C842" s="20" t="str">
        <f>IFERROR(__xludf.DUMMYFUNCTION("IF(A842="""","""",TEXTJOIN(CHAR(10),TRUE,FILTER('Tổng hợp 75 trang đích'!$B$2:$B$3400,'Tổng hợp 75 trang đích'!$I$2:$I$3400=A842)))"),"")</f>
        <v/>
      </c>
      <c r="D842" s="20"/>
      <c r="E842" s="20"/>
      <c r="F842" s="20"/>
      <c r="G842" s="20"/>
      <c r="H842" s="20"/>
      <c r="I842" s="20"/>
      <c r="J842" s="20"/>
      <c r="K842" s="20"/>
      <c r="L842" s="20"/>
      <c r="M842" s="20"/>
      <c r="N842" s="20"/>
      <c r="O842" s="20"/>
      <c r="P842" s="20"/>
      <c r="Q842" s="20"/>
      <c r="R842" s="20"/>
      <c r="S842" s="20"/>
      <c r="T842" s="20"/>
      <c r="U842" s="20"/>
      <c r="V842" s="20"/>
      <c r="W842" s="20"/>
      <c r="X842" s="20"/>
    </row>
    <row r="843">
      <c r="A843" s="20"/>
      <c r="B843" s="28"/>
      <c r="C843" s="20" t="str">
        <f>IFERROR(__xludf.DUMMYFUNCTION("IF(A843="""","""",TEXTJOIN(CHAR(10),TRUE,FILTER('Tổng hợp 75 trang đích'!$B$2:$B$3400,'Tổng hợp 75 trang đích'!$I$2:$I$3400=A843)))"),"")</f>
        <v/>
      </c>
      <c r="D843" s="20"/>
      <c r="E843" s="20"/>
      <c r="F843" s="20"/>
      <c r="G843" s="20"/>
      <c r="H843" s="20"/>
      <c r="I843" s="20"/>
      <c r="J843" s="20"/>
      <c r="K843" s="20"/>
      <c r="L843" s="20"/>
      <c r="M843" s="20"/>
      <c r="N843" s="20"/>
      <c r="O843" s="20"/>
      <c r="P843" s="20"/>
      <c r="Q843" s="20"/>
      <c r="R843" s="20"/>
      <c r="S843" s="20"/>
      <c r="T843" s="20"/>
      <c r="U843" s="20"/>
      <c r="V843" s="20"/>
      <c r="W843" s="20"/>
      <c r="X843" s="20"/>
    </row>
    <row r="844">
      <c r="A844" s="20"/>
      <c r="B844" s="28"/>
      <c r="C844" s="20" t="str">
        <f>IFERROR(__xludf.DUMMYFUNCTION("IF(A844="""","""",TEXTJOIN(CHAR(10),TRUE,FILTER('Tổng hợp 75 trang đích'!$B$2:$B$3400,'Tổng hợp 75 trang đích'!$I$2:$I$3400=A844)))"),"")</f>
        <v/>
      </c>
      <c r="D844" s="20"/>
      <c r="E844" s="20"/>
      <c r="F844" s="20"/>
      <c r="G844" s="20"/>
      <c r="H844" s="20"/>
      <c r="I844" s="20"/>
      <c r="J844" s="20"/>
      <c r="K844" s="20"/>
      <c r="L844" s="20"/>
      <c r="M844" s="20"/>
      <c r="N844" s="20"/>
      <c r="O844" s="20"/>
      <c r="P844" s="20"/>
      <c r="Q844" s="20"/>
      <c r="R844" s="20"/>
      <c r="S844" s="20"/>
      <c r="T844" s="20"/>
      <c r="U844" s="20"/>
      <c r="V844" s="20"/>
      <c r="W844" s="20"/>
      <c r="X844" s="20"/>
    </row>
    <row r="845">
      <c r="A845" s="20"/>
      <c r="B845" s="28"/>
      <c r="C845" s="20" t="str">
        <f>IFERROR(__xludf.DUMMYFUNCTION("IF(A845="""","""",TEXTJOIN(CHAR(10),TRUE,FILTER('Tổng hợp 75 trang đích'!$B$2:$B$3400,'Tổng hợp 75 trang đích'!$I$2:$I$3400=A845)))"),"")</f>
        <v/>
      </c>
      <c r="D845" s="20"/>
      <c r="E845" s="20"/>
      <c r="F845" s="20"/>
      <c r="G845" s="20"/>
      <c r="H845" s="20"/>
      <c r="I845" s="20"/>
      <c r="J845" s="20"/>
      <c r="K845" s="20"/>
      <c r="L845" s="20"/>
      <c r="M845" s="20"/>
      <c r="N845" s="20"/>
      <c r="O845" s="20"/>
      <c r="P845" s="20"/>
      <c r="Q845" s="20"/>
      <c r="R845" s="20"/>
      <c r="S845" s="20"/>
      <c r="T845" s="20"/>
      <c r="U845" s="20"/>
      <c r="V845" s="20"/>
      <c r="W845" s="20"/>
      <c r="X845" s="20"/>
    </row>
    <row r="846">
      <c r="A846" s="20"/>
      <c r="B846" s="28"/>
      <c r="C846" s="20" t="str">
        <f>IFERROR(__xludf.DUMMYFUNCTION("IF(A846="""","""",TEXTJOIN(CHAR(10),TRUE,FILTER('Tổng hợp 75 trang đích'!$B$2:$B$3400,'Tổng hợp 75 trang đích'!$I$2:$I$3400=A846)))"),"")</f>
        <v/>
      </c>
      <c r="D846" s="20"/>
      <c r="E846" s="20"/>
      <c r="F846" s="20"/>
      <c r="G846" s="20"/>
      <c r="H846" s="20"/>
      <c r="I846" s="20"/>
      <c r="J846" s="20"/>
      <c r="K846" s="20"/>
      <c r="L846" s="20"/>
      <c r="M846" s="20"/>
      <c r="N846" s="20"/>
      <c r="O846" s="20"/>
      <c r="P846" s="20"/>
      <c r="Q846" s="20"/>
      <c r="R846" s="20"/>
      <c r="S846" s="20"/>
      <c r="T846" s="20"/>
      <c r="U846" s="20"/>
      <c r="V846" s="20"/>
      <c r="W846" s="20"/>
      <c r="X846" s="20"/>
    </row>
    <row r="847">
      <c r="A847" s="20"/>
      <c r="B847" s="28"/>
      <c r="C847" s="20" t="str">
        <f>IFERROR(__xludf.DUMMYFUNCTION("IF(A847="""","""",TEXTJOIN(CHAR(10),TRUE,FILTER('Tổng hợp 75 trang đích'!$B$2:$B$3400,'Tổng hợp 75 trang đích'!$I$2:$I$3400=A847)))"),"")</f>
        <v/>
      </c>
      <c r="D847" s="20"/>
      <c r="E847" s="20"/>
      <c r="F847" s="20"/>
      <c r="G847" s="20"/>
      <c r="H847" s="20"/>
      <c r="I847" s="20"/>
      <c r="J847" s="20"/>
      <c r="K847" s="20"/>
      <c r="L847" s="20"/>
      <c r="M847" s="20"/>
      <c r="N847" s="20"/>
      <c r="O847" s="20"/>
      <c r="P847" s="20"/>
      <c r="Q847" s="20"/>
      <c r="R847" s="20"/>
      <c r="S847" s="20"/>
      <c r="T847" s="20"/>
      <c r="U847" s="20"/>
      <c r="V847" s="20"/>
      <c r="W847" s="20"/>
      <c r="X847" s="20"/>
    </row>
    <row r="848">
      <c r="A848" s="20"/>
      <c r="B848" s="28"/>
      <c r="C848" s="20" t="str">
        <f>IFERROR(__xludf.DUMMYFUNCTION("IF(A848="""","""",TEXTJOIN(CHAR(10),TRUE,FILTER('Tổng hợp 75 trang đích'!$B$2:$B$3400,'Tổng hợp 75 trang đích'!$I$2:$I$3400=A848)))"),"")</f>
        <v/>
      </c>
      <c r="D848" s="20"/>
      <c r="E848" s="20"/>
      <c r="F848" s="20"/>
      <c r="G848" s="20"/>
      <c r="H848" s="20"/>
      <c r="I848" s="20"/>
      <c r="J848" s="20"/>
      <c r="K848" s="20"/>
      <c r="L848" s="20"/>
      <c r="M848" s="20"/>
      <c r="N848" s="20"/>
      <c r="O848" s="20"/>
      <c r="P848" s="20"/>
      <c r="Q848" s="20"/>
      <c r="R848" s="20"/>
      <c r="S848" s="20"/>
      <c r="T848" s="20"/>
      <c r="U848" s="20"/>
      <c r="V848" s="20"/>
      <c r="W848" s="20"/>
      <c r="X848" s="20"/>
    </row>
    <row r="849">
      <c r="A849" s="20"/>
      <c r="B849" s="28"/>
      <c r="C849" s="20" t="str">
        <f>IFERROR(__xludf.DUMMYFUNCTION("IF(A849="""","""",TEXTJOIN(CHAR(10),TRUE,FILTER('Tổng hợp 75 trang đích'!$B$2:$B$3400,'Tổng hợp 75 trang đích'!$I$2:$I$3400=A849)))"),"")</f>
        <v/>
      </c>
      <c r="D849" s="20"/>
      <c r="E849" s="20"/>
      <c r="F849" s="20"/>
      <c r="G849" s="20"/>
      <c r="H849" s="20"/>
      <c r="I849" s="20"/>
      <c r="J849" s="20"/>
      <c r="K849" s="20"/>
      <c r="L849" s="20"/>
      <c r="M849" s="20"/>
      <c r="N849" s="20"/>
      <c r="O849" s="20"/>
      <c r="P849" s="20"/>
      <c r="Q849" s="20"/>
      <c r="R849" s="20"/>
      <c r="S849" s="20"/>
      <c r="T849" s="20"/>
      <c r="U849" s="20"/>
      <c r="V849" s="20"/>
      <c r="W849" s="20"/>
      <c r="X849" s="20"/>
    </row>
    <row r="850">
      <c r="A850" s="20"/>
      <c r="B850" s="28"/>
      <c r="C850" s="20" t="str">
        <f>IFERROR(__xludf.DUMMYFUNCTION("IF(A850="""","""",TEXTJOIN(CHAR(10),TRUE,FILTER('Tổng hợp 75 trang đích'!$B$2:$B$3400,'Tổng hợp 75 trang đích'!$I$2:$I$3400=A850)))"),"")</f>
        <v/>
      </c>
      <c r="D850" s="20"/>
      <c r="E850" s="20"/>
      <c r="F850" s="20"/>
      <c r="G850" s="20"/>
      <c r="H850" s="20"/>
      <c r="I850" s="20"/>
      <c r="J850" s="20"/>
      <c r="K850" s="20"/>
      <c r="L850" s="20"/>
      <c r="M850" s="20"/>
      <c r="N850" s="20"/>
      <c r="O850" s="20"/>
      <c r="P850" s="20"/>
      <c r="Q850" s="20"/>
      <c r="R850" s="20"/>
      <c r="S850" s="20"/>
      <c r="T850" s="20"/>
      <c r="U850" s="20"/>
      <c r="V850" s="20"/>
      <c r="W850" s="20"/>
      <c r="X850" s="20"/>
    </row>
    <row r="851">
      <c r="A851" s="20"/>
      <c r="B851" s="28"/>
      <c r="C851" s="20" t="str">
        <f>IFERROR(__xludf.DUMMYFUNCTION("IF(A851="""","""",TEXTJOIN(CHAR(10),TRUE,FILTER('Tổng hợp 75 trang đích'!$B$2:$B$3400,'Tổng hợp 75 trang đích'!$I$2:$I$3400=A851)))"),"")</f>
        <v/>
      </c>
      <c r="D851" s="20"/>
      <c r="E851" s="20"/>
      <c r="F851" s="20"/>
      <c r="G851" s="20"/>
      <c r="H851" s="20"/>
      <c r="I851" s="20"/>
      <c r="J851" s="20"/>
      <c r="K851" s="20"/>
      <c r="L851" s="20"/>
      <c r="M851" s="20"/>
      <c r="N851" s="20"/>
      <c r="O851" s="20"/>
      <c r="P851" s="20"/>
      <c r="Q851" s="20"/>
      <c r="R851" s="20"/>
      <c r="S851" s="20"/>
      <c r="T851" s="20"/>
      <c r="U851" s="20"/>
      <c r="V851" s="20"/>
      <c r="W851" s="20"/>
      <c r="X851" s="20"/>
    </row>
    <row r="852">
      <c r="A852" s="20"/>
      <c r="B852" s="28"/>
      <c r="C852" s="20" t="str">
        <f>IFERROR(__xludf.DUMMYFUNCTION("IF(A852="""","""",TEXTJOIN(CHAR(10),TRUE,FILTER('Tổng hợp 75 trang đích'!$B$2:$B$3400,'Tổng hợp 75 trang đích'!$I$2:$I$3400=A852)))"),"")</f>
        <v/>
      </c>
      <c r="D852" s="20"/>
      <c r="E852" s="20"/>
      <c r="F852" s="20"/>
      <c r="G852" s="20"/>
      <c r="H852" s="20"/>
      <c r="I852" s="20"/>
      <c r="J852" s="20"/>
      <c r="K852" s="20"/>
      <c r="L852" s="20"/>
      <c r="M852" s="20"/>
      <c r="N852" s="20"/>
      <c r="O852" s="20"/>
      <c r="P852" s="20"/>
      <c r="Q852" s="20"/>
      <c r="R852" s="20"/>
      <c r="S852" s="20"/>
      <c r="T852" s="20"/>
      <c r="U852" s="20"/>
      <c r="V852" s="20"/>
      <c r="W852" s="20"/>
      <c r="X852" s="20"/>
    </row>
    <row r="853">
      <c r="A853" s="20"/>
      <c r="B853" s="28"/>
      <c r="C853" s="20" t="str">
        <f>IFERROR(__xludf.DUMMYFUNCTION("IF(A853="""","""",TEXTJOIN(CHAR(10),TRUE,FILTER('Tổng hợp 75 trang đích'!$B$2:$B$3400,'Tổng hợp 75 trang đích'!$I$2:$I$3400=A853)))"),"")</f>
        <v/>
      </c>
      <c r="D853" s="20"/>
      <c r="E853" s="20"/>
      <c r="F853" s="20"/>
      <c r="G853" s="20"/>
      <c r="H853" s="20"/>
      <c r="I853" s="20"/>
      <c r="J853" s="20"/>
      <c r="K853" s="20"/>
      <c r="L853" s="20"/>
      <c r="M853" s="20"/>
      <c r="N853" s="20"/>
      <c r="O853" s="20"/>
      <c r="P853" s="20"/>
      <c r="Q853" s="20"/>
      <c r="R853" s="20"/>
      <c r="S853" s="20"/>
      <c r="T853" s="20"/>
      <c r="U853" s="20"/>
      <c r="V853" s="20"/>
      <c r="W853" s="20"/>
      <c r="X853" s="20"/>
    </row>
    <row r="854">
      <c r="A854" s="20"/>
      <c r="B854" s="28"/>
      <c r="C854" s="20" t="str">
        <f>IFERROR(__xludf.DUMMYFUNCTION("IF(A854="""","""",TEXTJOIN(CHAR(10),TRUE,FILTER('Tổng hợp 75 trang đích'!$B$2:$B$3400,'Tổng hợp 75 trang đích'!$I$2:$I$3400=A854)))"),"")</f>
        <v/>
      </c>
      <c r="D854" s="20"/>
      <c r="E854" s="20"/>
      <c r="F854" s="20"/>
      <c r="G854" s="20"/>
      <c r="H854" s="20"/>
      <c r="I854" s="20"/>
      <c r="J854" s="20"/>
      <c r="K854" s="20"/>
      <c r="L854" s="20"/>
      <c r="M854" s="20"/>
      <c r="N854" s="20"/>
      <c r="O854" s="20"/>
      <c r="P854" s="20"/>
      <c r="Q854" s="20"/>
      <c r="R854" s="20"/>
      <c r="S854" s="20"/>
      <c r="T854" s="20"/>
      <c r="U854" s="20"/>
      <c r="V854" s="20"/>
      <c r="W854" s="20"/>
      <c r="X854" s="20"/>
    </row>
    <row r="855">
      <c r="A855" s="20"/>
      <c r="B855" s="28"/>
      <c r="C855" s="20" t="str">
        <f>IFERROR(__xludf.DUMMYFUNCTION("IF(A855="""","""",TEXTJOIN(CHAR(10),TRUE,FILTER('Tổng hợp 75 trang đích'!$B$2:$B$3400,'Tổng hợp 75 trang đích'!$I$2:$I$3400=A855)))"),"")</f>
        <v/>
      </c>
      <c r="D855" s="20"/>
      <c r="E855" s="20"/>
      <c r="F855" s="20"/>
      <c r="G855" s="20"/>
      <c r="H855" s="20"/>
      <c r="I855" s="20"/>
      <c r="J855" s="20"/>
      <c r="K855" s="20"/>
      <c r="L855" s="20"/>
      <c r="M855" s="20"/>
      <c r="N855" s="20"/>
      <c r="O855" s="20"/>
      <c r="P855" s="20"/>
      <c r="Q855" s="20"/>
      <c r="R855" s="20"/>
      <c r="S855" s="20"/>
      <c r="T855" s="20"/>
      <c r="U855" s="20"/>
      <c r="V855" s="20"/>
      <c r="W855" s="20"/>
      <c r="X855" s="20"/>
    </row>
    <row r="856">
      <c r="A856" s="20"/>
      <c r="B856" s="28"/>
      <c r="C856" s="20" t="str">
        <f>IFERROR(__xludf.DUMMYFUNCTION("IF(A856="""","""",TEXTJOIN(CHAR(10),TRUE,FILTER('Tổng hợp 75 trang đích'!$B$2:$B$3400,'Tổng hợp 75 trang đích'!$I$2:$I$3400=A856)))"),"")</f>
        <v/>
      </c>
      <c r="D856" s="20"/>
      <c r="E856" s="20"/>
      <c r="F856" s="20"/>
      <c r="G856" s="20"/>
      <c r="H856" s="20"/>
      <c r="I856" s="20"/>
      <c r="J856" s="20"/>
      <c r="K856" s="20"/>
      <c r="L856" s="20"/>
      <c r="M856" s="20"/>
      <c r="N856" s="20"/>
      <c r="O856" s="20"/>
      <c r="P856" s="20"/>
      <c r="Q856" s="20"/>
      <c r="R856" s="20"/>
      <c r="S856" s="20"/>
      <c r="T856" s="20"/>
      <c r="U856" s="20"/>
      <c r="V856" s="20"/>
      <c r="W856" s="20"/>
      <c r="X856" s="20"/>
    </row>
    <row r="857">
      <c r="A857" s="20"/>
      <c r="B857" s="28"/>
      <c r="C857" s="20" t="str">
        <f>IFERROR(__xludf.DUMMYFUNCTION("IF(A857="""","""",TEXTJOIN(CHAR(10),TRUE,FILTER('Tổng hợp 75 trang đích'!$B$2:$B$3400,'Tổng hợp 75 trang đích'!$I$2:$I$3400=A857)))"),"")</f>
        <v/>
      </c>
      <c r="D857" s="20"/>
      <c r="E857" s="20"/>
      <c r="F857" s="20"/>
      <c r="G857" s="20"/>
      <c r="H857" s="20"/>
      <c r="I857" s="20"/>
      <c r="J857" s="20"/>
      <c r="K857" s="20"/>
      <c r="L857" s="20"/>
      <c r="M857" s="20"/>
      <c r="N857" s="20"/>
      <c r="O857" s="20"/>
      <c r="P857" s="20"/>
      <c r="Q857" s="20"/>
      <c r="R857" s="20"/>
      <c r="S857" s="20"/>
      <c r="T857" s="20"/>
      <c r="U857" s="20"/>
      <c r="V857" s="20"/>
      <c r="W857" s="20"/>
      <c r="X857" s="20"/>
    </row>
    <row r="858">
      <c r="A858" s="20"/>
      <c r="B858" s="28"/>
      <c r="C858" s="20" t="str">
        <f>IFERROR(__xludf.DUMMYFUNCTION("IF(A858="""","""",TEXTJOIN(CHAR(10),TRUE,FILTER('Tổng hợp 75 trang đích'!$B$2:$B$3400,'Tổng hợp 75 trang đích'!$I$2:$I$3400=A858)))"),"")</f>
        <v/>
      </c>
      <c r="D858" s="20"/>
      <c r="E858" s="20"/>
      <c r="F858" s="20"/>
      <c r="G858" s="20"/>
      <c r="H858" s="20"/>
      <c r="I858" s="20"/>
      <c r="J858" s="20"/>
      <c r="K858" s="20"/>
      <c r="L858" s="20"/>
      <c r="M858" s="20"/>
      <c r="N858" s="20"/>
      <c r="O858" s="20"/>
      <c r="P858" s="20"/>
      <c r="Q858" s="20"/>
      <c r="R858" s="20"/>
      <c r="S858" s="20"/>
      <c r="T858" s="20"/>
      <c r="U858" s="20"/>
      <c r="V858" s="20"/>
      <c r="W858" s="20"/>
      <c r="X858" s="20"/>
    </row>
    <row r="859">
      <c r="A859" s="20"/>
      <c r="B859" s="28"/>
      <c r="C859" s="20" t="str">
        <f>IFERROR(__xludf.DUMMYFUNCTION("IF(A859="""","""",TEXTJOIN(CHAR(10),TRUE,FILTER('Tổng hợp 75 trang đích'!$B$2:$B$3400,'Tổng hợp 75 trang đích'!$I$2:$I$3400=A859)))"),"")</f>
        <v/>
      </c>
      <c r="D859" s="20"/>
      <c r="E859" s="20"/>
      <c r="F859" s="20"/>
      <c r="G859" s="20"/>
      <c r="H859" s="20"/>
      <c r="I859" s="20"/>
      <c r="J859" s="20"/>
      <c r="K859" s="20"/>
      <c r="L859" s="20"/>
      <c r="M859" s="20"/>
      <c r="N859" s="20"/>
      <c r="O859" s="20"/>
      <c r="P859" s="20"/>
      <c r="Q859" s="20"/>
      <c r="R859" s="20"/>
      <c r="S859" s="20"/>
      <c r="T859" s="20"/>
      <c r="U859" s="20"/>
      <c r="V859" s="20"/>
      <c r="W859" s="20"/>
      <c r="X859" s="20"/>
    </row>
    <row r="860">
      <c r="A860" s="20"/>
      <c r="B860" s="28"/>
      <c r="C860" s="20" t="str">
        <f>IFERROR(__xludf.DUMMYFUNCTION("IF(A860="""","""",TEXTJOIN(CHAR(10),TRUE,FILTER('Tổng hợp 75 trang đích'!$B$2:$B$3400,'Tổng hợp 75 trang đích'!$I$2:$I$3400=A860)))"),"")</f>
        <v/>
      </c>
      <c r="D860" s="20"/>
      <c r="E860" s="20"/>
      <c r="F860" s="20"/>
      <c r="G860" s="20"/>
      <c r="H860" s="20"/>
      <c r="I860" s="20"/>
      <c r="J860" s="20"/>
      <c r="K860" s="20"/>
      <c r="L860" s="20"/>
      <c r="M860" s="20"/>
      <c r="N860" s="20"/>
      <c r="O860" s="20"/>
      <c r="P860" s="20"/>
      <c r="Q860" s="20"/>
      <c r="R860" s="20"/>
      <c r="S860" s="20"/>
      <c r="T860" s="20"/>
      <c r="U860" s="20"/>
      <c r="V860" s="20"/>
      <c r="W860" s="20"/>
      <c r="X860" s="20"/>
    </row>
    <row r="861">
      <c r="A861" s="20"/>
      <c r="B861" s="28"/>
      <c r="C861" s="20" t="str">
        <f>IFERROR(__xludf.DUMMYFUNCTION("IF(A861="""","""",TEXTJOIN(CHAR(10),TRUE,FILTER('Tổng hợp 75 trang đích'!$B$2:$B$3400,'Tổng hợp 75 trang đích'!$I$2:$I$3400=A861)))"),"")</f>
        <v/>
      </c>
      <c r="D861" s="20"/>
      <c r="E861" s="20"/>
      <c r="F861" s="20"/>
      <c r="G861" s="20"/>
      <c r="H861" s="20"/>
      <c r="I861" s="20"/>
      <c r="J861" s="20"/>
      <c r="K861" s="20"/>
      <c r="L861" s="20"/>
      <c r="M861" s="20"/>
      <c r="N861" s="20"/>
      <c r="O861" s="20"/>
      <c r="P861" s="20"/>
      <c r="Q861" s="20"/>
      <c r="R861" s="20"/>
      <c r="S861" s="20"/>
      <c r="T861" s="20"/>
      <c r="U861" s="20"/>
      <c r="V861" s="20"/>
      <c r="W861" s="20"/>
      <c r="X861" s="20"/>
    </row>
    <row r="862">
      <c r="A862" s="20"/>
      <c r="B862" s="28"/>
      <c r="C862" s="20" t="str">
        <f>IFERROR(__xludf.DUMMYFUNCTION("IF(A862="""","""",TEXTJOIN(CHAR(10),TRUE,FILTER('Tổng hợp 75 trang đích'!$B$2:$B$3400,'Tổng hợp 75 trang đích'!$I$2:$I$3400=A862)))"),"")</f>
        <v/>
      </c>
      <c r="D862" s="20"/>
      <c r="E862" s="20"/>
      <c r="F862" s="20"/>
      <c r="G862" s="20"/>
      <c r="H862" s="20"/>
      <c r="I862" s="20"/>
      <c r="J862" s="20"/>
      <c r="K862" s="20"/>
      <c r="L862" s="20"/>
      <c r="M862" s="20"/>
      <c r="N862" s="20"/>
      <c r="O862" s="20"/>
      <c r="P862" s="20"/>
      <c r="Q862" s="20"/>
      <c r="R862" s="20"/>
      <c r="S862" s="20"/>
      <c r="T862" s="20"/>
      <c r="U862" s="20"/>
      <c r="V862" s="20"/>
      <c r="W862" s="20"/>
      <c r="X862" s="20"/>
    </row>
    <row r="863">
      <c r="A863" s="20"/>
      <c r="B863" s="28"/>
      <c r="C863" s="20" t="str">
        <f>IFERROR(__xludf.DUMMYFUNCTION("IF(A863="""","""",TEXTJOIN(CHAR(10),TRUE,FILTER('Tổng hợp 75 trang đích'!$B$2:$B$3400,'Tổng hợp 75 trang đích'!$I$2:$I$3400=A863)))"),"")</f>
        <v/>
      </c>
      <c r="D863" s="20"/>
      <c r="E863" s="20"/>
      <c r="F863" s="20"/>
      <c r="G863" s="20"/>
      <c r="H863" s="20"/>
      <c r="I863" s="20"/>
      <c r="J863" s="20"/>
      <c r="K863" s="20"/>
      <c r="L863" s="20"/>
      <c r="M863" s="20"/>
      <c r="N863" s="20"/>
      <c r="O863" s="20"/>
      <c r="P863" s="20"/>
      <c r="Q863" s="20"/>
      <c r="R863" s="20"/>
      <c r="S863" s="20"/>
      <c r="T863" s="20"/>
      <c r="U863" s="20"/>
      <c r="V863" s="20"/>
      <c r="W863" s="20"/>
      <c r="X863" s="20"/>
    </row>
    <row r="864">
      <c r="A864" s="20"/>
      <c r="B864" s="28"/>
      <c r="C864" s="20" t="str">
        <f>IFERROR(__xludf.DUMMYFUNCTION("IF(A864="""","""",TEXTJOIN(CHAR(10),TRUE,FILTER('Tổng hợp 75 trang đích'!$B$2:$B$3400,'Tổng hợp 75 trang đích'!$I$2:$I$3400=A864)))"),"")</f>
        <v/>
      </c>
      <c r="D864" s="20"/>
      <c r="E864" s="20"/>
      <c r="F864" s="20"/>
      <c r="G864" s="20"/>
      <c r="H864" s="20"/>
      <c r="I864" s="20"/>
      <c r="J864" s="20"/>
      <c r="K864" s="20"/>
      <c r="L864" s="20"/>
      <c r="M864" s="20"/>
      <c r="N864" s="20"/>
      <c r="O864" s="20"/>
      <c r="P864" s="20"/>
      <c r="Q864" s="20"/>
      <c r="R864" s="20"/>
      <c r="S864" s="20"/>
      <c r="T864" s="20"/>
      <c r="U864" s="20"/>
      <c r="V864" s="20"/>
      <c r="W864" s="20"/>
      <c r="X864" s="20"/>
    </row>
    <row r="865">
      <c r="A865" s="20"/>
      <c r="B865" s="28"/>
      <c r="C865" s="20" t="str">
        <f>IFERROR(__xludf.DUMMYFUNCTION("IF(A865="""","""",TEXTJOIN(CHAR(10),TRUE,FILTER('Tổng hợp 75 trang đích'!$B$2:$B$3400,'Tổng hợp 75 trang đích'!$I$2:$I$3400=A865)))"),"")</f>
        <v/>
      </c>
      <c r="D865" s="20"/>
      <c r="E865" s="20"/>
      <c r="F865" s="20"/>
      <c r="G865" s="20"/>
      <c r="H865" s="20"/>
      <c r="I865" s="20"/>
      <c r="J865" s="20"/>
      <c r="K865" s="20"/>
      <c r="L865" s="20"/>
      <c r="M865" s="20"/>
      <c r="N865" s="20"/>
      <c r="O865" s="20"/>
      <c r="P865" s="20"/>
      <c r="Q865" s="20"/>
      <c r="R865" s="20"/>
      <c r="S865" s="20"/>
      <c r="T865" s="20"/>
      <c r="U865" s="20"/>
      <c r="V865" s="20"/>
      <c r="W865" s="20"/>
      <c r="X865" s="20"/>
    </row>
    <row r="866">
      <c r="A866" s="20"/>
      <c r="B866" s="28"/>
      <c r="C866" s="20" t="str">
        <f>IFERROR(__xludf.DUMMYFUNCTION("IF(A866="""","""",TEXTJOIN(CHAR(10),TRUE,FILTER('Tổng hợp 75 trang đích'!$B$2:$B$3400,'Tổng hợp 75 trang đích'!$I$2:$I$3400=A866)))"),"")</f>
        <v/>
      </c>
      <c r="D866" s="20"/>
      <c r="E866" s="20"/>
      <c r="F866" s="20"/>
      <c r="G866" s="20"/>
      <c r="H866" s="20"/>
      <c r="I866" s="20"/>
      <c r="J866" s="20"/>
      <c r="K866" s="20"/>
      <c r="L866" s="20"/>
      <c r="M866" s="20"/>
      <c r="N866" s="20"/>
      <c r="O866" s="20"/>
      <c r="P866" s="20"/>
      <c r="Q866" s="20"/>
      <c r="R866" s="20"/>
      <c r="S866" s="20"/>
      <c r="T866" s="20"/>
      <c r="U866" s="20"/>
      <c r="V866" s="20"/>
      <c r="W866" s="20"/>
      <c r="X866" s="20"/>
    </row>
    <row r="867">
      <c r="A867" s="20"/>
      <c r="B867" s="28"/>
      <c r="C867" s="20" t="str">
        <f>IFERROR(__xludf.DUMMYFUNCTION("IF(A867="""","""",TEXTJOIN(CHAR(10),TRUE,FILTER('Tổng hợp 75 trang đích'!$B$2:$B$3400,'Tổng hợp 75 trang đích'!$I$2:$I$3400=A867)))"),"")</f>
        <v/>
      </c>
      <c r="D867" s="20"/>
      <c r="E867" s="20"/>
      <c r="F867" s="20"/>
      <c r="G867" s="20"/>
      <c r="H867" s="20"/>
      <c r="I867" s="20"/>
      <c r="J867" s="20"/>
      <c r="K867" s="20"/>
      <c r="L867" s="20"/>
      <c r="M867" s="20"/>
      <c r="N867" s="20"/>
      <c r="O867" s="20"/>
      <c r="P867" s="20"/>
      <c r="Q867" s="20"/>
      <c r="R867" s="20"/>
      <c r="S867" s="20"/>
      <c r="T867" s="20"/>
      <c r="U867" s="20"/>
      <c r="V867" s="20"/>
      <c r="W867" s="20"/>
      <c r="X867" s="20"/>
    </row>
    <row r="868">
      <c r="A868" s="20"/>
      <c r="B868" s="28"/>
      <c r="C868" s="20" t="str">
        <f>IFERROR(__xludf.DUMMYFUNCTION("IF(A868="""","""",TEXTJOIN(CHAR(10),TRUE,FILTER('Tổng hợp 75 trang đích'!$B$2:$B$3400,'Tổng hợp 75 trang đích'!$I$2:$I$3400=A868)))"),"")</f>
        <v/>
      </c>
      <c r="D868" s="20"/>
      <c r="E868" s="20"/>
      <c r="F868" s="20"/>
      <c r="G868" s="20"/>
      <c r="H868" s="20"/>
      <c r="I868" s="20"/>
      <c r="J868" s="20"/>
      <c r="K868" s="20"/>
      <c r="L868" s="20"/>
      <c r="M868" s="20"/>
      <c r="N868" s="20"/>
      <c r="O868" s="20"/>
      <c r="P868" s="20"/>
      <c r="Q868" s="20"/>
      <c r="R868" s="20"/>
      <c r="S868" s="20"/>
      <c r="T868" s="20"/>
      <c r="U868" s="20"/>
      <c r="V868" s="20"/>
      <c r="W868" s="20"/>
      <c r="X868" s="20"/>
    </row>
    <row r="869">
      <c r="A869" s="20"/>
      <c r="B869" s="28"/>
      <c r="C869" s="20" t="str">
        <f>IFERROR(__xludf.DUMMYFUNCTION("IF(A869="""","""",TEXTJOIN(CHAR(10),TRUE,FILTER('Tổng hợp 75 trang đích'!$B$2:$B$3400,'Tổng hợp 75 trang đích'!$I$2:$I$3400=A869)))"),"")</f>
        <v/>
      </c>
      <c r="D869" s="20"/>
      <c r="E869" s="20"/>
      <c r="F869" s="20"/>
      <c r="G869" s="20"/>
      <c r="H869" s="20"/>
      <c r="I869" s="20"/>
      <c r="J869" s="20"/>
      <c r="K869" s="20"/>
      <c r="L869" s="20"/>
      <c r="M869" s="20"/>
      <c r="N869" s="20"/>
      <c r="O869" s="20"/>
      <c r="P869" s="20"/>
      <c r="Q869" s="20"/>
      <c r="R869" s="20"/>
      <c r="S869" s="20"/>
      <c r="T869" s="20"/>
      <c r="U869" s="20"/>
      <c r="V869" s="20"/>
      <c r="W869" s="20"/>
      <c r="X869" s="20"/>
    </row>
    <row r="870">
      <c r="A870" s="20"/>
      <c r="B870" s="28"/>
      <c r="C870" s="20" t="str">
        <f>IFERROR(__xludf.DUMMYFUNCTION("IF(A870="""","""",TEXTJOIN(CHAR(10),TRUE,FILTER('Tổng hợp 75 trang đích'!$B$2:$B$3400,'Tổng hợp 75 trang đích'!$I$2:$I$3400=A870)))"),"")</f>
        <v/>
      </c>
      <c r="D870" s="20"/>
      <c r="E870" s="20"/>
      <c r="F870" s="20"/>
      <c r="G870" s="20"/>
      <c r="H870" s="20"/>
      <c r="I870" s="20"/>
      <c r="J870" s="20"/>
      <c r="K870" s="20"/>
      <c r="L870" s="20"/>
      <c r="M870" s="20"/>
      <c r="N870" s="20"/>
      <c r="O870" s="20"/>
      <c r="P870" s="20"/>
      <c r="Q870" s="20"/>
      <c r="R870" s="20"/>
      <c r="S870" s="20"/>
      <c r="T870" s="20"/>
      <c r="U870" s="20"/>
      <c r="V870" s="20"/>
      <c r="W870" s="20"/>
      <c r="X870" s="20"/>
    </row>
    <row r="871">
      <c r="A871" s="20"/>
      <c r="B871" s="28"/>
      <c r="C871" s="20" t="str">
        <f>IFERROR(__xludf.DUMMYFUNCTION("IF(A871="""","""",TEXTJOIN(CHAR(10),TRUE,FILTER('Tổng hợp 75 trang đích'!$B$2:$B$3400,'Tổng hợp 75 trang đích'!$I$2:$I$3400=A871)))"),"")</f>
        <v/>
      </c>
      <c r="D871" s="20"/>
      <c r="E871" s="20"/>
      <c r="F871" s="20"/>
      <c r="G871" s="20"/>
      <c r="H871" s="20"/>
      <c r="I871" s="20"/>
      <c r="J871" s="20"/>
      <c r="K871" s="20"/>
      <c r="L871" s="20"/>
      <c r="M871" s="20"/>
      <c r="N871" s="20"/>
      <c r="O871" s="20"/>
      <c r="P871" s="20"/>
      <c r="Q871" s="20"/>
      <c r="R871" s="20"/>
      <c r="S871" s="20"/>
      <c r="T871" s="20"/>
      <c r="U871" s="20"/>
      <c r="V871" s="20"/>
      <c r="W871" s="20"/>
      <c r="X871" s="20"/>
    </row>
    <row r="872">
      <c r="A872" s="20"/>
      <c r="B872" s="28"/>
      <c r="C872" s="20" t="str">
        <f>IFERROR(__xludf.DUMMYFUNCTION("IF(A872="""","""",TEXTJOIN(CHAR(10),TRUE,FILTER('Tổng hợp 75 trang đích'!$B$2:$B$3400,'Tổng hợp 75 trang đích'!$I$2:$I$3400=A872)))"),"")</f>
        <v/>
      </c>
      <c r="D872" s="20"/>
      <c r="E872" s="20"/>
      <c r="F872" s="20"/>
      <c r="G872" s="20"/>
      <c r="H872" s="20"/>
      <c r="I872" s="20"/>
      <c r="J872" s="20"/>
      <c r="K872" s="20"/>
      <c r="L872" s="20"/>
      <c r="M872" s="20"/>
      <c r="N872" s="20"/>
      <c r="O872" s="20"/>
      <c r="P872" s="20"/>
      <c r="Q872" s="20"/>
      <c r="R872" s="20"/>
      <c r="S872" s="20"/>
      <c r="T872" s="20"/>
      <c r="U872" s="20"/>
      <c r="V872" s="20"/>
      <c r="W872" s="20"/>
      <c r="X872" s="20"/>
    </row>
    <row r="873">
      <c r="A873" s="20"/>
      <c r="B873" s="28"/>
      <c r="C873" s="20" t="str">
        <f>IFERROR(__xludf.DUMMYFUNCTION("IF(A873="""","""",TEXTJOIN(CHAR(10),TRUE,FILTER('Tổng hợp 75 trang đích'!$B$2:$B$3400,'Tổng hợp 75 trang đích'!$I$2:$I$3400=A873)))"),"")</f>
        <v/>
      </c>
      <c r="D873" s="20"/>
      <c r="E873" s="20"/>
      <c r="F873" s="20"/>
      <c r="G873" s="20"/>
      <c r="H873" s="20"/>
      <c r="I873" s="20"/>
      <c r="J873" s="20"/>
      <c r="K873" s="20"/>
      <c r="L873" s="20"/>
      <c r="M873" s="20"/>
      <c r="N873" s="20"/>
      <c r="O873" s="20"/>
      <c r="P873" s="20"/>
      <c r="Q873" s="20"/>
      <c r="R873" s="20"/>
      <c r="S873" s="20"/>
      <c r="T873" s="20"/>
      <c r="U873" s="20"/>
      <c r="V873" s="20"/>
      <c r="W873" s="20"/>
      <c r="X873" s="20"/>
    </row>
    <row r="874">
      <c r="A874" s="20"/>
      <c r="B874" s="28"/>
      <c r="C874" s="20" t="str">
        <f>IFERROR(__xludf.DUMMYFUNCTION("IF(A874="""","""",TEXTJOIN(CHAR(10),TRUE,FILTER('Tổng hợp 75 trang đích'!$B$2:$B$3400,'Tổng hợp 75 trang đích'!$I$2:$I$3400=A874)))"),"")</f>
        <v/>
      </c>
      <c r="D874" s="20"/>
      <c r="E874" s="20"/>
      <c r="F874" s="20"/>
      <c r="G874" s="20"/>
      <c r="H874" s="20"/>
      <c r="I874" s="20"/>
      <c r="J874" s="20"/>
      <c r="K874" s="20"/>
      <c r="L874" s="20"/>
      <c r="M874" s="20"/>
      <c r="N874" s="20"/>
      <c r="O874" s="20"/>
      <c r="P874" s="20"/>
      <c r="Q874" s="20"/>
      <c r="R874" s="20"/>
      <c r="S874" s="20"/>
      <c r="T874" s="20"/>
      <c r="U874" s="20"/>
      <c r="V874" s="20"/>
      <c r="W874" s="20"/>
      <c r="X874" s="20"/>
    </row>
    <row r="875">
      <c r="A875" s="20"/>
      <c r="B875" s="28"/>
      <c r="C875" s="20" t="str">
        <f>IFERROR(__xludf.DUMMYFUNCTION("IF(A875="""","""",TEXTJOIN(CHAR(10),TRUE,FILTER('Tổng hợp 75 trang đích'!$B$2:$B$3400,'Tổng hợp 75 trang đích'!$I$2:$I$3400=A875)))"),"")</f>
        <v/>
      </c>
      <c r="D875" s="20"/>
      <c r="E875" s="20"/>
      <c r="F875" s="20"/>
      <c r="G875" s="20"/>
      <c r="H875" s="20"/>
      <c r="I875" s="20"/>
      <c r="J875" s="20"/>
      <c r="K875" s="20"/>
      <c r="L875" s="20"/>
      <c r="M875" s="20"/>
      <c r="N875" s="20"/>
      <c r="O875" s="20"/>
      <c r="P875" s="20"/>
      <c r="Q875" s="20"/>
      <c r="R875" s="20"/>
      <c r="S875" s="20"/>
      <c r="T875" s="20"/>
      <c r="U875" s="20"/>
      <c r="V875" s="20"/>
      <c r="W875" s="20"/>
      <c r="X875" s="20"/>
    </row>
    <row r="876">
      <c r="A876" s="20"/>
      <c r="B876" s="28"/>
      <c r="C876" s="20" t="str">
        <f>IFERROR(__xludf.DUMMYFUNCTION("IF(A876="""","""",TEXTJOIN(CHAR(10),TRUE,FILTER('Tổng hợp 75 trang đích'!$B$2:$B$3400,'Tổng hợp 75 trang đích'!$I$2:$I$3400=A876)))"),"")</f>
        <v/>
      </c>
      <c r="D876" s="20"/>
      <c r="E876" s="20"/>
      <c r="F876" s="20"/>
      <c r="G876" s="20"/>
      <c r="H876" s="20"/>
      <c r="I876" s="20"/>
      <c r="J876" s="20"/>
      <c r="K876" s="20"/>
      <c r="L876" s="20"/>
      <c r="M876" s="20"/>
      <c r="N876" s="20"/>
      <c r="O876" s="20"/>
      <c r="P876" s="20"/>
      <c r="Q876" s="20"/>
      <c r="R876" s="20"/>
      <c r="S876" s="20"/>
      <c r="T876" s="20"/>
      <c r="U876" s="20"/>
      <c r="V876" s="20"/>
      <c r="W876" s="20"/>
      <c r="X876" s="20"/>
    </row>
    <row r="877">
      <c r="A877" s="20"/>
      <c r="B877" s="28"/>
      <c r="C877" s="20" t="str">
        <f>IFERROR(__xludf.DUMMYFUNCTION("IF(A877="""","""",TEXTJOIN(CHAR(10),TRUE,FILTER('Tổng hợp 75 trang đích'!$B$2:$B$3400,'Tổng hợp 75 trang đích'!$I$2:$I$3400=A877)))"),"")</f>
        <v/>
      </c>
      <c r="D877" s="20"/>
      <c r="E877" s="20"/>
      <c r="F877" s="20"/>
      <c r="G877" s="20"/>
      <c r="H877" s="20"/>
      <c r="I877" s="20"/>
      <c r="J877" s="20"/>
      <c r="K877" s="20"/>
      <c r="L877" s="20"/>
      <c r="M877" s="20"/>
      <c r="N877" s="20"/>
      <c r="O877" s="20"/>
      <c r="P877" s="20"/>
      <c r="Q877" s="20"/>
      <c r="R877" s="20"/>
      <c r="S877" s="20"/>
      <c r="T877" s="20"/>
      <c r="U877" s="20"/>
      <c r="V877" s="20"/>
      <c r="W877" s="20"/>
      <c r="X877" s="20"/>
    </row>
    <row r="878">
      <c r="A878" s="20"/>
      <c r="B878" s="28"/>
      <c r="C878" s="20" t="str">
        <f>IFERROR(__xludf.DUMMYFUNCTION("IF(A878="""","""",TEXTJOIN(CHAR(10),TRUE,FILTER('Tổng hợp 75 trang đích'!$B$2:$B$3400,'Tổng hợp 75 trang đích'!$I$2:$I$3400=A878)))"),"")</f>
        <v/>
      </c>
      <c r="D878" s="20"/>
      <c r="E878" s="20"/>
      <c r="F878" s="20"/>
      <c r="G878" s="20"/>
      <c r="H878" s="20"/>
      <c r="I878" s="20"/>
      <c r="J878" s="20"/>
      <c r="K878" s="20"/>
      <c r="L878" s="20"/>
      <c r="M878" s="20"/>
      <c r="N878" s="20"/>
      <c r="O878" s="20"/>
      <c r="P878" s="20"/>
      <c r="Q878" s="20"/>
      <c r="R878" s="20"/>
      <c r="S878" s="20"/>
      <c r="T878" s="20"/>
      <c r="U878" s="20"/>
      <c r="V878" s="20"/>
      <c r="W878" s="20"/>
      <c r="X878" s="20"/>
    </row>
    <row r="879">
      <c r="A879" s="20"/>
      <c r="B879" s="28"/>
      <c r="C879" s="20" t="str">
        <f>IFERROR(__xludf.DUMMYFUNCTION("IF(A879="""","""",TEXTJOIN(CHAR(10),TRUE,FILTER('Tổng hợp 75 trang đích'!$B$2:$B$3400,'Tổng hợp 75 trang đích'!$I$2:$I$3400=A879)))"),"")</f>
        <v/>
      </c>
      <c r="D879" s="20"/>
      <c r="E879" s="20"/>
      <c r="F879" s="20"/>
      <c r="G879" s="20"/>
      <c r="H879" s="20"/>
      <c r="I879" s="20"/>
      <c r="J879" s="20"/>
      <c r="K879" s="20"/>
      <c r="L879" s="20"/>
      <c r="M879" s="20"/>
      <c r="N879" s="20"/>
      <c r="O879" s="20"/>
      <c r="P879" s="20"/>
      <c r="Q879" s="20"/>
      <c r="R879" s="20"/>
      <c r="S879" s="20"/>
      <c r="T879" s="20"/>
      <c r="U879" s="20"/>
      <c r="V879" s="20"/>
      <c r="W879" s="20"/>
      <c r="X879" s="20"/>
    </row>
    <row r="880">
      <c r="A880" s="20"/>
      <c r="B880" s="28"/>
      <c r="C880" s="20" t="str">
        <f>IFERROR(__xludf.DUMMYFUNCTION("IF(A880="""","""",TEXTJOIN(CHAR(10),TRUE,FILTER('Tổng hợp 75 trang đích'!$B$2:$B$3400,'Tổng hợp 75 trang đích'!$I$2:$I$3400=A880)))"),"")</f>
        <v/>
      </c>
      <c r="D880" s="20"/>
      <c r="E880" s="20"/>
      <c r="F880" s="20"/>
      <c r="G880" s="20"/>
      <c r="H880" s="20"/>
      <c r="I880" s="20"/>
      <c r="J880" s="20"/>
      <c r="K880" s="20"/>
      <c r="L880" s="20"/>
      <c r="M880" s="20"/>
      <c r="N880" s="20"/>
      <c r="O880" s="20"/>
      <c r="P880" s="20"/>
      <c r="Q880" s="20"/>
      <c r="R880" s="20"/>
      <c r="S880" s="20"/>
      <c r="T880" s="20"/>
      <c r="U880" s="20"/>
      <c r="V880" s="20"/>
      <c r="W880" s="20"/>
      <c r="X880" s="20"/>
    </row>
    <row r="881">
      <c r="A881" s="20"/>
      <c r="B881" s="28"/>
      <c r="C881" s="20" t="str">
        <f>IFERROR(__xludf.DUMMYFUNCTION("IF(A881="""","""",TEXTJOIN(CHAR(10),TRUE,FILTER('Tổng hợp 75 trang đích'!$B$2:$B$3400,'Tổng hợp 75 trang đích'!$I$2:$I$3400=A881)))"),"")</f>
        <v/>
      </c>
      <c r="D881" s="20"/>
      <c r="E881" s="20"/>
      <c r="F881" s="20"/>
      <c r="G881" s="20"/>
      <c r="H881" s="20"/>
      <c r="I881" s="20"/>
      <c r="J881" s="20"/>
      <c r="K881" s="20"/>
      <c r="L881" s="20"/>
      <c r="M881" s="20"/>
      <c r="N881" s="20"/>
      <c r="O881" s="20"/>
      <c r="P881" s="20"/>
      <c r="Q881" s="20"/>
      <c r="R881" s="20"/>
      <c r="S881" s="20"/>
      <c r="T881" s="20"/>
      <c r="U881" s="20"/>
      <c r="V881" s="20"/>
      <c r="W881" s="20"/>
      <c r="X881" s="20"/>
    </row>
    <row r="882">
      <c r="A882" s="20"/>
      <c r="B882" s="28"/>
      <c r="C882" s="20" t="str">
        <f>IFERROR(__xludf.DUMMYFUNCTION("IF(A882="""","""",TEXTJOIN(CHAR(10),TRUE,FILTER('Tổng hợp 75 trang đích'!$B$2:$B$3400,'Tổng hợp 75 trang đích'!$I$2:$I$3400=A882)))"),"")</f>
        <v/>
      </c>
      <c r="D882" s="20"/>
      <c r="E882" s="20"/>
      <c r="F882" s="20"/>
      <c r="G882" s="20"/>
      <c r="H882" s="20"/>
      <c r="I882" s="20"/>
      <c r="J882" s="20"/>
      <c r="K882" s="20"/>
      <c r="L882" s="20"/>
      <c r="M882" s="20"/>
      <c r="N882" s="20"/>
      <c r="O882" s="20"/>
      <c r="P882" s="20"/>
      <c r="Q882" s="20"/>
      <c r="R882" s="20"/>
      <c r="S882" s="20"/>
      <c r="T882" s="20"/>
      <c r="U882" s="20"/>
      <c r="V882" s="20"/>
      <c r="W882" s="20"/>
      <c r="X882" s="20"/>
    </row>
    <row r="883">
      <c r="A883" s="20"/>
      <c r="B883" s="28"/>
      <c r="C883" s="20" t="str">
        <f>IFERROR(__xludf.DUMMYFUNCTION("IF(A883="""","""",TEXTJOIN(CHAR(10),TRUE,FILTER('Tổng hợp 75 trang đích'!$B$2:$B$3400,'Tổng hợp 75 trang đích'!$I$2:$I$3400=A883)))"),"")</f>
        <v/>
      </c>
      <c r="D883" s="20"/>
      <c r="E883" s="20"/>
      <c r="F883" s="20"/>
      <c r="G883" s="20"/>
      <c r="H883" s="20"/>
      <c r="I883" s="20"/>
      <c r="J883" s="20"/>
      <c r="K883" s="20"/>
      <c r="L883" s="20"/>
      <c r="M883" s="20"/>
      <c r="N883" s="20"/>
      <c r="O883" s="20"/>
      <c r="P883" s="20"/>
      <c r="Q883" s="20"/>
      <c r="R883" s="20"/>
      <c r="S883" s="20"/>
      <c r="T883" s="20"/>
      <c r="U883" s="20"/>
      <c r="V883" s="20"/>
      <c r="W883" s="20"/>
      <c r="X883" s="20"/>
    </row>
    <row r="884">
      <c r="A884" s="20"/>
      <c r="B884" s="28"/>
      <c r="C884" s="20" t="str">
        <f>IFERROR(__xludf.DUMMYFUNCTION("IF(A884="""","""",TEXTJOIN(CHAR(10),TRUE,FILTER('Tổng hợp 75 trang đích'!$B$2:$B$3400,'Tổng hợp 75 trang đích'!$I$2:$I$3400=A884)))"),"")</f>
        <v/>
      </c>
      <c r="D884" s="20"/>
      <c r="E884" s="20"/>
      <c r="F884" s="20"/>
      <c r="G884" s="20"/>
      <c r="H884" s="20"/>
      <c r="I884" s="20"/>
      <c r="J884" s="20"/>
      <c r="K884" s="20"/>
      <c r="L884" s="20"/>
      <c r="M884" s="20"/>
      <c r="N884" s="20"/>
      <c r="O884" s="20"/>
      <c r="P884" s="20"/>
      <c r="Q884" s="20"/>
      <c r="R884" s="20"/>
      <c r="S884" s="20"/>
      <c r="T884" s="20"/>
      <c r="U884" s="20"/>
      <c r="V884" s="20"/>
      <c r="W884" s="20"/>
      <c r="X884" s="20"/>
    </row>
    <row r="885">
      <c r="A885" s="20"/>
      <c r="B885" s="28"/>
      <c r="C885" s="20" t="str">
        <f>IFERROR(__xludf.DUMMYFUNCTION("IF(A885="""","""",TEXTJOIN(CHAR(10),TRUE,FILTER('Tổng hợp 75 trang đích'!$B$2:$B$3400,'Tổng hợp 75 trang đích'!$I$2:$I$3400=A885)))"),"")</f>
        <v/>
      </c>
      <c r="D885" s="20"/>
      <c r="E885" s="20"/>
      <c r="F885" s="20"/>
      <c r="G885" s="20"/>
      <c r="H885" s="20"/>
      <c r="I885" s="20"/>
      <c r="J885" s="20"/>
      <c r="K885" s="20"/>
      <c r="L885" s="20"/>
      <c r="M885" s="20"/>
      <c r="N885" s="20"/>
      <c r="O885" s="20"/>
      <c r="P885" s="20"/>
      <c r="Q885" s="20"/>
      <c r="R885" s="20"/>
      <c r="S885" s="20"/>
      <c r="T885" s="20"/>
      <c r="U885" s="20"/>
      <c r="V885" s="20"/>
      <c r="W885" s="20"/>
      <c r="X885" s="20"/>
    </row>
    <row r="886">
      <c r="A886" s="20"/>
      <c r="B886" s="28"/>
      <c r="C886" s="20" t="str">
        <f>IFERROR(__xludf.DUMMYFUNCTION("IF(A886="""","""",TEXTJOIN(CHAR(10),TRUE,FILTER('Tổng hợp 75 trang đích'!$B$2:$B$3400,'Tổng hợp 75 trang đích'!$I$2:$I$3400=A886)))"),"")</f>
        <v/>
      </c>
      <c r="D886" s="20"/>
      <c r="E886" s="20"/>
      <c r="F886" s="20"/>
      <c r="G886" s="20"/>
      <c r="H886" s="20"/>
      <c r="I886" s="20"/>
      <c r="J886" s="20"/>
      <c r="K886" s="20"/>
      <c r="L886" s="20"/>
      <c r="M886" s="20"/>
      <c r="N886" s="20"/>
      <c r="O886" s="20"/>
      <c r="P886" s="20"/>
      <c r="Q886" s="20"/>
      <c r="R886" s="20"/>
      <c r="S886" s="20"/>
      <c r="T886" s="20"/>
      <c r="U886" s="20"/>
      <c r="V886" s="20"/>
      <c r="W886" s="20"/>
      <c r="X886" s="20"/>
    </row>
    <row r="887">
      <c r="A887" s="20"/>
      <c r="B887" s="28"/>
      <c r="C887" s="20" t="str">
        <f>IFERROR(__xludf.DUMMYFUNCTION("IF(A887="""","""",TEXTJOIN(CHAR(10),TRUE,FILTER('Tổng hợp 75 trang đích'!$B$2:$B$3400,'Tổng hợp 75 trang đích'!$I$2:$I$3400=A887)))"),"")</f>
        <v/>
      </c>
      <c r="D887" s="20"/>
      <c r="E887" s="20"/>
      <c r="F887" s="20"/>
      <c r="G887" s="20"/>
      <c r="H887" s="20"/>
      <c r="I887" s="20"/>
      <c r="J887" s="20"/>
      <c r="K887" s="20"/>
      <c r="L887" s="20"/>
      <c r="M887" s="20"/>
      <c r="N887" s="20"/>
      <c r="O887" s="20"/>
      <c r="P887" s="20"/>
      <c r="Q887" s="20"/>
      <c r="R887" s="20"/>
      <c r="S887" s="20"/>
      <c r="T887" s="20"/>
      <c r="U887" s="20"/>
      <c r="V887" s="20"/>
      <c r="W887" s="20"/>
      <c r="X887" s="20"/>
    </row>
    <row r="888">
      <c r="A888" s="20"/>
      <c r="B888" s="28"/>
      <c r="C888" s="20" t="str">
        <f>IFERROR(__xludf.DUMMYFUNCTION("IF(A888="""","""",TEXTJOIN(CHAR(10),TRUE,FILTER('Tổng hợp 75 trang đích'!$B$2:$B$3400,'Tổng hợp 75 trang đích'!$I$2:$I$3400=A888)))"),"")</f>
        <v/>
      </c>
      <c r="D888" s="20"/>
      <c r="E888" s="20"/>
      <c r="F888" s="20"/>
      <c r="G888" s="20"/>
      <c r="H888" s="20"/>
      <c r="I888" s="20"/>
      <c r="J888" s="20"/>
      <c r="K888" s="20"/>
      <c r="L888" s="20"/>
      <c r="M888" s="20"/>
      <c r="N888" s="20"/>
      <c r="O888" s="20"/>
      <c r="P888" s="20"/>
      <c r="Q888" s="20"/>
      <c r="R888" s="20"/>
      <c r="S888" s="20"/>
      <c r="T888" s="20"/>
      <c r="U888" s="20"/>
      <c r="V888" s="20"/>
      <c r="W888" s="20"/>
      <c r="X888" s="20"/>
    </row>
    <row r="889">
      <c r="A889" s="20"/>
      <c r="B889" s="28"/>
      <c r="C889" s="20" t="str">
        <f>IFERROR(__xludf.DUMMYFUNCTION("IF(A889="""","""",TEXTJOIN(CHAR(10),TRUE,FILTER('Tổng hợp 75 trang đích'!$B$2:$B$3400,'Tổng hợp 75 trang đích'!$I$2:$I$3400=A889)))"),"")</f>
        <v/>
      </c>
      <c r="D889" s="20"/>
      <c r="E889" s="20"/>
      <c r="F889" s="20"/>
      <c r="G889" s="20"/>
      <c r="H889" s="20"/>
      <c r="I889" s="20"/>
      <c r="J889" s="20"/>
      <c r="K889" s="20"/>
      <c r="L889" s="20"/>
      <c r="M889" s="20"/>
      <c r="N889" s="20"/>
      <c r="O889" s="20"/>
      <c r="P889" s="20"/>
      <c r="Q889" s="20"/>
      <c r="R889" s="20"/>
      <c r="S889" s="20"/>
      <c r="T889" s="20"/>
      <c r="U889" s="20"/>
      <c r="V889" s="20"/>
      <c r="W889" s="20"/>
      <c r="X889" s="20"/>
    </row>
    <row r="890">
      <c r="A890" s="20"/>
      <c r="B890" s="28"/>
      <c r="C890" s="20" t="str">
        <f>IFERROR(__xludf.DUMMYFUNCTION("IF(A890="""","""",TEXTJOIN(CHAR(10),TRUE,FILTER('Tổng hợp 75 trang đích'!$B$2:$B$3400,'Tổng hợp 75 trang đích'!$I$2:$I$3400=A890)))"),"")</f>
        <v/>
      </c>
      <c r="D890" s="20"/>
      <c r="E890" s="20"/>
      <c r="F890" s="20"/>
      <c r="G890" s="20"/>
      <c r="H890" s="20"/>
      <c r="I890" s="20"/>
      <c r="J890" s="20"/>
      <c r="K890" s="20"/>
      <c r="L890" s="20"/>
      <c r="M890" s="20"/>
      <c r="N890" s="20"/>
      <c r="O890" s="20"/>
      <c r="P890" s="20"/>
      <c r="Q890" s="20"/>
      <c r="R890" s="20"/>
      <c r="S890" s="20"/>
      <c r="T890" s="20"/>
      <c r="U890" s="20"/>
      <c r="V890" s="20"/>
      <c r="W890" s="20"/>
      <c r="X890" s="20"/>
    </row>
    <row r="891">
      <c r="A891" s="20"/>
      <c r="B891" s="28"/>
      <c r="C891" s="20" t="str">
        <f>IFERROR(__xludf.DUMMYFUNCTION("IF(A891="""","""",TEXTJOIN(CHAR(10),TRUE,FILTER('Tổng hợp 75 trang đích'!$B$2:$B$3400,'Tổng hợp 75 trang đích'!$I$2:$I$3400=A891)))"),"")</f>
        <v/>
      </c>
      <c r="D891" s="20"/>
      <c r="E891" s="20"/>
      <c r="F891" s="20"/>
      <c r="G891" s="20"/>
      <c r="H891" s="20"/>
      <c r="I891" s="20"/>
      <c r="J891" s="20"/>
      <c r="K891" s="20"/>
      <c r="L891" s="20"/>
      <c r="M891" s="20"/>
      <c r="N891" s="20"/>
      <c r="O891" s="20"/>
      <c r="P891" s="20"/>
      <c r="Q891" s="20"/>
      <c r="R891" s="20"/>
      <c r="S891" s="20"/>
      <c r="T891" s="20"/>
      <c r="U891" s="20"/>
      <c r="V891" s="20"/>
      <c r="W891" s="20"/>
      <c r="X891" s="20"/>
    </row>
    <row r="892">
      <c r="A892" s="20"/>
      <c r="B892" s="28"/>
      <c r="C892" s="20" t="str">
        <f>IFERROR(__xludf.DUMMYFUNCTION("IF(A892="""","""",TEXTJOIN(CHAR(10),TRUE,FILTER('Tổng hợp 75 trang đích'!$B$2:$B$3400,'Tổng hợp 75 trang đích'!$I$2:$I$3400=A892)))"),"")</f>
        <v/>
      </c>
      <c r="D892" s="20"/>
      <c r="E892" s="20"/>
      <c r="F892" s="20"/>
      <c r="G892" s="20"/>
      <c r="H892" s="20"/>
      <c r="I892" s="20"/>
      <c r="J892" s="20"/>
      <c r="K892" s="20"/>
      <c r="L892" s="20"/>
      <c r="M892" s="20"/>
      <c r="N892" s="20"/>
      <c r="O892" s="20"/>
      <c r="P892" s="20"/>
      <c r="Q892" s="20"/>
      <c r="R892" s="20"/>
      <c r="S892" s="20"/>
      <c r="T892" s="20"/>
      <c r="U892" s="20"/>
      <c r="V892" s="20"/>
      <c r="W892" s="20"/>
      <c r="X892" s="20"/>
    </row>
    <row r="893">
      <c r="A893" s="20"/>
      <c r="B893" s="28"/>
      <c r="C893" s="20" t="str">
        <f>IFERROR(__xludf.DUMMYFUNCTION("IF(A893="""","""",TEXTJOIN(CHAR(10),TRUE,FILTER('Tổng hợp 75 trang đích'!$B$2:$B$3400,'Tổng hợp 75 trang đích'!$I$2:$I$3400=A893)))"),"")</f>
        <v/>
      </c>
      <c r="D893" s="20"/>
      <c r="E893" s="20"/>
      <c r="F893" s="20"/>
      <c r="G893" s="20"/>
      <c r="H893" s="20"/>
      <c r="I893" s="20"/>
      <c r="J893" s="20"/>
      <c r="K893" s="20"/>
      <c r="L893" s="20"/>
      <c r="M893" s="20"/>
      <c r="N893" s="20"/>
      <c r="O893" s="20"/>
      <c r="P893" s="20"/>
      <c r="Q893" s="20"/>
      <c r="R893" s="20"/>
      <c r="S893" s="20"/>
      <c r="T893" s="20"/>
      <c r="U893" s="20"/>
      <c r="V893" s="20"/>
      <c r="W893" s="20"/>
      <c r="X893" s="20"/>
    </row>
    <row r="894">
      <c r="A894" s="20"/>
      <c r="B894" s="28"/>
      <c r="C894" s="20" t="str">
        <f>IFERROR(__xludf.DUMMYFUNCTION("IF(A894="""","""",TEXTJOIN(CHAR(10),TRUE,FILTER('Tổng hợp 75 trang đích'!$B$2:$B$3400,'Tổng hợp 75 trang đích'!$I$2:$I$3400=A894)))"),"")</f>
        <v/>
      </c>
      <c r="D894" s="20"/>
      <c r="E894" s="20"/>
      <c r="F894" s="20"/>
      <c r="G894" s="20"/>
      <c r="H894" s="20"/>
      <c r="I894" s="20"/>
      <c r="J894" s="20"/>
      <c r="K894" s="20"/>
      <c r="L894" s="20"/>
      <c r="M894" s="20"/>
      <c r="N894" s="20"/>
      <c r="O894" s="20"/>
      <c r="P894" s="20"/>
      <c r="Q894" s="20"/>
      <c r="R894" s="20"/>
      <c r="S894" s="20"/>
      <c r="T894" s="20"/>
      <c r="U894" s="20"/>
      <c r="V894" s="20"/>
      <c r="W894" s="20"/>
      <c r="X894" s="20"/>
    </row>
    <row r="895">
      <c r="A895" s="20"/>
      <c r="B895" s="28"/>
      <c r="C895" s="20" t="str">
        <f>IFERROR(__xludf.DUMMYFUNCTION("IF(A895="""","""",TEXTJOIN(CHAR(10),TRUE,FILTER('Tổng hợp 75 trang đích'!$B$2:$B$3400,'Tổng hợp 75 trang đích'!$I$2:$I$3400=A895)))"),"")</f>
        <v/>
      </c>
      <c r="D895" s="20"/>
      <c r="E895" s="20"/>
      <c r="F895" s="20"/>
      <c r="G895" s="20"/>
      <c r="H895" s="20"/>
      <c r="I895" s="20"/>
      <c r="J895" s="20"/>
      <c r="K895" s="20"/>
      <c r="L895" s="20"/>
      <c r="M895" s="20"/>
      <c r="N895" s="20"/>
      <c r="O895" s="20"/>
      <c r="P895" s="20"/>
      <c r="Q895" s="20"/>
      <c r="R895" s="20"/>
      <c r="S895" s="20"/>
      <c r="T895" s="20"/>
      <c r="U895" s="20"/>
      <c r="V895" s="20"/>
      <c r="W895" s="20"/>
      <c r="X895" s="20"/>
    </row>
    <row r="896">
      <c r="A896" s="20"/>
      <c r="B896" s="28"/>
      <c r="C896" s="20" t="str">
        <f>IFERROR(__xludf.DUMMYFUNCTION("IF(A896="""","""",TEXTJOIN(CHAR(10),TRUE,FILTER('Tổng hợp 75 trang đích'!$B$2:$B$3400,'Tổng hợp 75 trang đích'!$I$2:$I$3400=A896)))"),"")</f>
        <v/>
      </c>
      <c r="D896" s="20"/>
      <c r="E896" s="20"/>
      <c r="F896" s="20"/>
      <c r="G896" s="20"/>
      <c r="H896" s="20"/>
      <c r="I896" s="20"/>
      <c r="J896" s="20"/>
      <c r="K896" s="20"/>
      <c r="L896" s="20"/>
      <c r="M896" s="20"/>
      <c r="N896" s="20"/>
      <c r="O896" s="20"/>
      <c r="P896" s="20"/>
      <c r="Q896" s="20"/>
      <c r="R896" s="20"/>
      <c r="S896" s="20"/>
      <c r="T896" s="20"/>
      <c r="U896" s="20"/>
      <c r="V896" s="20"/>
      <c r="W896" s="20"/>
      <c r="X896" s="20"/>
    </row>
    <row r="897">
      <c r="A897" s="20"/>
      <c r="B897" s="28"/>
      <c r="C897" s="20" t="str">
        <f>IFERROR(__xludf.DUMMYFUNCTION("IF(A897="""","""",TEXTJOIN(CHAR(10),TRUE,FILTER('Tổng hợp 75 trang đích'!$B$2:$B$3400,'Tổng hợp 75 trang đích'!$I$2:$I$3400=A897)))"),"")</f>
        <v/>
      </c>
      <c r="D897" s="20"/>
      <c r="E897" s="20"/>
      <c r="F897" s="20"/>
      <c r="G897" s="20"/>
      <c r="H897" s="20"/>
      <c r="I897" s="20"/>
      <c r="J897" s="20"/>
      <c r="K897" s="20"/>
      <c r="L897" s="20"/>
      <c r="M897" s="20"/>
      <c r="N897" s="20"/>
      <c r="O897" s="20"/>
      <c r="P897" s="20"/>
      <c r="Q897" s="20"/>
      <c r="R897" s="20"/>
      <c r="S897" s="20"/>
      <c r="T897" s="20"/>
      <c r="U897" s="20"/>
      <c r="V897" s="20"/>
      <c r="W897" s="20"/>
      <c r="X897" s="20"/>
    </row>
    <row r="898">
      <c r="A898" s="20"/>
      <c r="B898" s="28"/>
      <c r="C898" s="20" t="str">
        <f>IFERROR(__xludf.DUMMYFUNCTION("IF(A898="""","""",TEXTJOIN(CHAR(10),TRUE,FILTER('Tổng hợp 75 trang đích'!$B$2:$B$3400,'Tổng hợp 75 trang đích'!$I$2:$I$3400=A898)))"),"")</f>
        <v/>
      </c>
      <c r="D898" s="20"/>
      <c r="E898" s="20"/>
      <c r="F898" s="20"/>
      <c r="G898" s="20"/>
      <c r="H898" s="20"/>
      <c r="I898" s="20"/>
      <c r="J898" s="20"/>
      <c r="K898" s="20"/>
      <c r="L898" s="20"/>
      <c r="M898" s="20"/>
      <c r="N898" s="20"/>
      <c r="O898" s="20"/>
      <c r="P898" s="20"/>
      <c r="Q898" s="20"/>
      <c r="R898" s="20"/>
      <c r="S898" s="20"/>
      <c r="T898" s="20"/>
      <c r="U898" s="20"/>
      <c r="V898" s="20"/>
      <c r="W898" s="20"/>
      <c r="X898" s="20"/>
    </row>
    <row r="899">
      <c r="A899" s="20"/>
      <c r="B899" s="28"/>
      <c r="C899" s="20" t="str">
        <f>IFERROR(__xludf.DUMMYFUNCTION("IF(A899="""","""",TEXTJOIN(CHAR(10),TRUE,FILTER('Tổng hợp 75 trang đích'!$B$2:$B$3400,'Tổng hợp 75 trang đích'!$I$2:$I$3400=A899)))"),"")</f>
        <v/>
      </c>
      <c r="D899" s="20"/>
      <c r="E899" s="20"/>
      <c r="F899" s="20"/>
      <c r="G899" s="20"/>
      <c r="H899" s="20"/>
      <c r="I899" s="20"/>
      <c r="J899" s="20"/>
      <c r="K899" s="20"/>
      <c r="L899" s="20"/>
      <c r="M899" s="20"/>
      <c r="N899" s="20"/>
      <c r="O899" s="20"/>
      <c r="P899" s="20"/>
      <c r="Q899" s="20"/>
      <c r="R899" s="20"/>
      <c r="S899" s="20"/>
      <c r="T899" s="20"/>
      <c r="U899" s="20"/>
      <c r="V899" s="20"/>
      <c r="W899" s="20"/>
      <c r="X899" s="20"/>
    </row>
    <row r="900">
      <c r="A900" s="20"/>
      <c r="B900" s="28"/>
      <c r="C900" s="20" t="str">
        <f>IFERROR(__xludf.DUMMYFUNCTION("IF(A900="""","""",TEXTJOIN(CHAR(10),TRUE,FILTER('Tổng hợp 75 trang đích'!$B$2:$B$3400,'Tổng hợp 75 trang đích'!$I$2:$I$3400=A900)))"),"")</f>
        <v/>
      </c>
      <c r="D900" s="20"/>
      <c r="E900" s="20"/>
      <c r="F900" s="20"/>
      <c r="G900" s="20"/>
      <c r="H900" s="20"/>
      <c r="I900" s="20"/>
      <c r="J900" s="20"/>
      <c r="K900" s="20"/>
      <c r="L900" s="20"/>
      <c r="M900" s="20"/>
      <c r="N900" s="20"/>
      <c r="O900" s="20"/>
      <c r="P900" s="20"/>
      <c r="Q900" s="20"/>
      <c r="R900" s="20"/>
      <c r="S900" s="20"/>
      <c r="T900" s="20"/>
      <c r="U900" s="20"/>
      <c r="V900" s="20"/>
      <c r="W900" s="20"/>
      <c r="X900" s="20"/>
    </row>
    <row r="901">
      <c r="A901" s="20"/>
      <c r="B901" s="28"/>
      <c r="C901" s="20" t="str">
        <f>IFERROR(__xludf.DUMMYFUNCTION("IF(A901="""","""",TEXTJOIN(CHAR(10),TRUE,FILTER('Tổng hợp 75 trang đích'!$B$2:$B$3400,'Tổng hợp 75 trang đích'!$I$2:$I$3400=A901)))"),"")</f>
        <v/>
      </c>
      <c r="D901" s="20"/>
      <c r="E901" s="20"/>
      <c r="F901" s="20"/>
      <c r="G901" s="20"/>
      <c r="H901" s="20"/>
      <c r="I901" s="20"/>
      <c r="J901" s="20"/>
      <c r="K901" s="20"/>
      <c r="L901" s="20"/>
      <c r="M901" s="20"/>
      <c r="N901" s="20"/>
      <c r="O901" s="20"/>
      <c r="P901" s="20"/>
      <c r="Q901" s="20"/>
      <c r="R901" s="20"/>
      <c r="S901" s="20"/>
      <c r="T901" s="20"/>
      <c r="U901" s="20"/>
      <c r="V901" s="20"/>
      <c r="W901" s="20"/>
      <c r="X901" s="20"/>
    </row>
    <row r="902">
      <c r="A902" s="20"/>
      <c r="B902" s="28"/>
      <c r="C902" s="20" t="str">
        <f>IFERROR(__xludf.DUMMYFUNCTION("IF(A902="""","""",TEXTJOIN(CHAR(10),TRUE,FILTER('Tổng hợp 75 trang đích'!$B$2:$B$3400,'Tổng hợp 75 trang đích'!$I$2:$I$3400=A902)))"),"")</f>
        <v/>
      </c>
      <c r="D902" s="20"/>
      <c r="E902" s="20"/>
      <c r="F902" s="20"/>
      <c r="G902" s="20"/>
      <c r="H902" s="20"/>
      <c r="I902" s="20"/>
      <c r="J902" s="20"/>
      <c r="K902" s="20"/>
      <c r="L902" s="20"/>
      <c r="M902" s="20"/>
      <c r="N902" s="20"/>
      <c r="O902" s="20"/>
      <c r="P902" s="20"/>
      <c r="Q902" s="20"/>
      <c r="R902" s="20"/>
      <c r="S902" s="20"/>
      <c r="T902" s="20"/>
      <c r="U902" s="20"/>
      <c r="V902" s="20"/>
      <c r="W902" s="20"/>
      <c r="X902" s="20"/>
    </row>
    <row r="903">
      <c r="A903" s="20"/>
      <c r="B903" s="28"/>
      <c r="C903" s="20" t="str">
        <f>IFERROR(__xludf.DUMMYFUNCTION("IF(A903="""","""",TEXTJOIN(CHAR(10),TRUE,FILTER('Tổng hợp 75 trang đích'!$B$2:$B$3400,'Tổng hợp 75 trang đích'!$I$2:$I$3400=A903)))"),"")</f>
        <v/>
      </c>
      <c r="D903" s="20"/>
      <c r="E903" s="20"/>
      <c r="F903" s="20"/>
      <c r="G903" s="20"/>
      <c r="H903" s="20"/>
      <c r="I903" s="20"/>
      <c r="J903" s="20"/>
      <c r="K903" s="20"/>
      <c r="L903" s="20"/>
      <c r="M903" s="20"/>
      <c r="N903" s="20"/>
      <c r="O903" s="20"/>
      <c r="P903" s="20"/>
      <c r="Q903" s="20"/>
      <c r="R903" s="20"/>
      <c r="S903" s="20"/>
      <c r="T903" s="20"/>
      <c r="U903" s="20"/>
      <c r="V903" s="20"/>
      <c r="W903" s="20"/>
      <c r="X903" s="20"/>
    </row>
    <row r="904">
      <c r="A904" s="20"/>
      <c r="B904" s="28"/>
      <c r="C904" s="20" t="str">
        <f>IFERROR(__xludf.DUMMYFUNCTION("IF(A904="""","""",TEXTJOIN(CHAR(10),TRUE,FILTER('Tổng hợp 75 trang đích'!$B$2:$B$3400,'Tổng hợp 75 trang đích'!$I$2:$I$3400=A904)))"),"")</f>
        <v/>
      </c>
      <c r="D904" s="20"/>
      <c r="E904" s="20"/>
      <c r="F904" s="20"/>
      <c r="G904" s="20"/>
      <c r="H904" s="20"/>
      <c r="I904" s="20"/>
      <c r="J904" s="20"/>
      <c r="K904" s="20"/>
      <c r="L904" s="20"/>
      <c r="M904" s="20"/>
      <c r="N904" s="20"/>
      <c r="O904" s="20"/>
      <c r="P904" s="20"/>
      <c r="Q904" s="20"/>
      <c r="R904" s="20"/>
      <c r="S904" s="20"/>
      <c r="T904" s="20"/>
      <c r="U904" s="20"/>
      <c r="V904" s="20"/>
      <c r="W904" s="20"/>
      <c r="X904" s="20"/>
    </row>
    <row r="905">
      <c r="A905" s="20"/>
      <c r="B905" s="28"/>
      <c r="C905" s="20" t="str">
        <f>IFERROR(__xludf.DUMMYFUNCTION("IF(A905="""","""",TEXTJOIN(CHAR(10),TRUE,FILTER('Tổng hợp 75 trang đích'!$B$2:$B$3400,'Tổng hợp 75 trang đích'!$I$2:$I$3400=A905)))"),"")</f>
        <v/>
      </c>
      <c r="D905" s="20"/>
      <c r="E905" s="20"/>
      <c r="F905" s="20"/>
      <c r="G905" s="20"/>
      <c r="H905" s="20"/>
      <c r="I905" s="20"/>
      <c r="J905" s="20"/>
      <c r="K905" s="20"/>
      <c r="L905" s="20"/>
      <c r="M905" s="20"/>
      <c r="N905" s="20"/>
      <c r="O905" s="20"/>
      <c r="P905" s="20"/>
      <c r="Q905" s="20"/>
      <c r="R905" s="20"/>
      <c r="S905" s="20"/>
      <c r="T905" s="20"/>
      <c r="U905" s="20"/>
      <c r="V905" s="20"/>
      <c r="W905" s="20"/>
      <c r="X905" s="20"/>
    </row>
    <row r="906">
      <c r="A906" s="20"/>
      <c r="B906" s="28"/>
      <c r="C906" s="20" t="str">
        <f>IFERROR(__xludf.DUMMYFUNCTION("IF(A906="""","""",TEXTJOIN(CHAR(10),TRUE,FILTER('Tổng hợp 75 trang đích'!$B$2:$B$3400,'Tổng hợp 75 trang đích'!$I$2:$I$3400=A906)))"),"")</f>
        <v/>
      </c>
      <c r="D906" s="20"/>
      <c r="E906" s="20"/>
      <c r="F906" s="20"/>
      <c r="G906" s="20"/>
      <c r="H906" s="20"/>
      <c r="I906" s="20"/>
      <c r="J906" s="20"/>
      <c r="K906" s="20"/>
      <c r="L906" s="20"/>
      <c r="M906" s="20"/>
      <c r="N906" s="20"/>
      <c r="O906" s="20"/>
      <c r="P906" s="20"/>
      <c r="Q906" s="20"/>
      <c r="R906" s="20"/>
      <c r="S906" s="20"/>
      <c r="T906" s="20"/>
      <c r="U906" s="20"/>
      <c r="V906" s="20"/>
      <c r="W906" s="20"/>
      <c r="X906" s="20"/>
    </row>
    <row r="907">
      <c r="A907" s="20"/>
      <c r="B907" s="28"/>
      <c r="C907" s="20" t="str">
        <f>IFERROR(__xludf.DUMMYFUNCTION("IF(A907="""","""",TEXTJOIN(CHAR(10),TRUE,FILTER('Tổng hợp 75 trang đích'!$B$2:$B$3400,'Tổng hợp 75 trang đích'!$I$2:$I$3400=A907)))"),"")</f>
        <v/>
      </c>
      <c r="D907" s="20"/>
      <c r="E907" s="20"/>
      <c r="F907" s="20"/>
      <c r="G907" s="20"/>
      <c r="H907" s="20"/>
      <c r="I907" s="20"/>
      <c r="J907" s="20"/>
      <c r="K907" s="20"/>
      <c r="L907" s="20"/>
      <c r="M907" s="20"/>
      <c r="N907" s="20"/>
      <c r="O907" s="20"/>
      <c r="P907" s="20"/>
      <c r="Q907" s="20"/>
      <c r="R907" s="20"/>
      <c r="S907" s="20"/>
      <c r="T907" s="20"/>
      <c r="U907" s="20"/>
      <c r="V907" s="20"/>
      <c r="W907" s="20"/>
      <c r="X907" s="20"/>
    </row>
    <row r="908">
      <c r="A908" s="20"/>
      <c r="B908" s="28"/>
      <c r="C908" s="20" t="str">
        <f>IFERROR(__xludf.DUMMYFUNCTION("IF(A908="""","""",TEXTJOIN(CHAR(10),TRUE,FILTER('Tổng hợp 75 trang đích'!$B$2:$B$3400,'Tổng hợp 75 trang đích'!$I$2:$I$3400=A908)))"),"")</f>
        <v/>
      </c>
      <c r="D908" s="20"/>
      <c r="E908" s="20"/>
      <c r="F908" s="20"/>
      <c r="G908" s="20"/>
      <c r="H908" s="20"/>
      <c r="I908" s="20"/>
      <c r="J908" s="20"/>
      <c r="K908" s="20"/>
      <c r="L908" s="20"/>
      <c r="M908" s="20"/>
      <c r="N908" s="20"/>
      <c r="O908" s="20"/>
      <c r="P908" s="20"/>
      <c r="Q908" s="20"/>
      <c r="R908" s="20"/>
      <c r="S908" s="20"/>
      <c r="T908" s="20"/>
      <c r="U908" s="20"/>
      <c r="V908" s="20"/>
      <c r="W908" s="20"/>
      <c r="X908" s="20"/>
    </row>
    <row r="909">
      <c r="A909" s="20"/>
      <c r="B909" s="28"/>
      <c r="C909" s="20" t="str">
        <f>IFERROR(__xludf.DUMMYFUNCTION("IF(A909="""","""",TEXTJOIN(CHAR(10),TRUE,FILTER('Tổng hợp 75 trang đích'!$B$2:$B$3400,'Tổng hợp 75 trang đích'!$I$2:$I$3400=A909)))"),"")</f>
        <v/>
      </c>
      <c r="D909" s="20"/>
      <c r="E909" s="20"/>
      <c r="F909" s="20"/>
      <c r="G909" s="20"/>
      <c r="H909" s="20"/>
      <c r="I909" s="20"/>
      <c r="J909" s="20"/>
      <c r="K909" s="20"/>
      <c r="L909" s="20"/>
      <c r="M909" s="20"/>
      <c r="N909" s="20"/>
      <c r="O909" s="20"/>
      <c r="P909" s="20"/>
      <c r="Q909" s="20"/>
      <c r="R909" s="20"/>
      <c r="S909" s="20"/>
      <c r="T909" s="20"/>
      <c r="U909" s="20"/>
      <c r="V909" s="20"/>
      <c r="W909" s="20"/>
      <c r="X909" s="20"/>
    </row>
    <row r="910">
      <c r="A910" s="20"/>
      <c r="B910" s="28"/>
      <c r="C910" s="20" t="str">
        <f>IFERROR(__xludf.DUMMYFUNCTION("IF(A910="""","""",TEXTJOIN(CHAR(10),TRUE,FILTER('Tổng hợp 75 trang đích'!$B$2:$B$3400,'Tổng hợp 75 trang đích'!$I$2:$I$3400=A910)))"),"")</f>
        <v/>
      </c>
      <c r="D910" s="20"/>
      <c r="E910" s="20"/>
      <c r="F910" s="20"/>
      <c r="G910" s="20"/>
      <c r="H910" s="20"/>
      <c r="I910" s="20"/>
      <c r="J910" s="20"/>
      <c r="K910" s="20"/>
      <c r="L910" s="20"/>
      <c r="M910" s="20"/>
      <c r="N910" s="20"/>
      <c r="O910" s="20"/>
      <c r="P910" s="20"/>
      <c r="Q910" s="20"/>
      <c r="R910" s="20"/>
      <c r="S910" s="20"/>
      <c r="T910" s="20"/>
      <c r="U910" s="20"/>
      <c r="V910" s="20"/>
      <c r="W910" s="20"/>
      <c r="X910" s="20"/>
    </row>
    <row r="911">
      <c r="A911" s="20"/>
      <c r="B911" s="28"/>
      <c r="C911" s="20" t="str">
        <f>IFERROR(__xludf.DUMMYFUNCTION("IF(A911="""","""",TEXTJOIN(CHAR(10),TRUE,FILTER('Tổng hợp 75 trang đích'!$B$2:$B$3400,'Tổng hợp 75 trang đích'!$I$2:$I$3400=A911)))"),"")</f>
        <v/>
      </c>
      <c r="D911" s="20"/>
      <c r="E911" s="20"/>
      <c r="F911" s="20"/>
      <c r="G911" s="20"/>
      <c r="H911" s="20"/>
      <c r="I911" s="20"/>
      <c r="J911" s="20"/>
      <c r="K911" s="20"/>
      <c r="L911" s="20"/>
      <c r="M911" s="20"/>
      <c r="N911" s="20"/>
      <c r="O911" s="20"/>
      <c r="P911" s="20"/>
      <c r="Q911" s="20"/>
      <c r="R911" s="20"/>
      <c r="S911" s="20"/>
      <c r="T911" s="20"/>
      <c r="U911" s="20"/>
      <c r="V911" s="20"/>
      <c r="W911" s="20"/>
      <c r="X911" s="20"/>
    </row>
    <row r="912">
      <c r="A912" s="20"/>
      <c r="B912" s="28"/>
      <c r="C912" s="20" t="str">
        <f>IFERROR(__xludf.DUMMYFUNCTION("IF(A912="""","""",TEXTJOIN(CHAR(10),TRUE,FILTER('Tổng hợp 75 trang đích'!$B$2:$B$3400,'Tổng hợp 75 trang đích'!$I$2:$I$3400=A912)))"),"")</f>
        <v/>
      </c>
      <c r="D912" s="20"/>
      <c r="E912" s="20"/>
      <c r="F912" s="20"/>
      <c r="G912" s="20"/>
      <c r="H912" s="20"/>
      <c r="I912" s="20"/>
      <c r="J912" s="20"/>
      <c r="K912" s="20"/>
      <c r="L912" s="20"/>
      <c r="M912" s="20"/>
      <c r="N912" s="20"/>
      <c r="O912" s="20"/>
      <c r="P912" s="20"/>
      <c r="Q912" s="20"/>
      <c r="R912" s="20"/>
      <c r="S912" s="20"/>
      <c r="T912" s="20"/>
      <c r="U912" s="20"/>
      <c r="V912" s="20"/>
      <c r="W912" s="20"/>
      <c r="X912" s="20"/>
    </row>
    <row r="913">
      <c r="A913" s="20"/>
      <c r="B913" s="28"/>
      <c r="C913" s="20" t="str">
        <f>IFERROR(__xludf.DUMMYFUNCTION("IF(A913="""","""",TEXTJOIN(CHAR(10),TRUE,FILTER('Tổng hợp 75 trang đích'!$B$2:$B$3400,'Tổng hợp 75 trang đích'!$I$2:$I$3400=A913)))"),"")</f>
        <v/>
      </c>
      <c r="D913" s="20"/>
      <c r="E913" s="20"/>
      <c r="F913" s="20"/>
      <c r="G913" s="20"/>
      <c r="H913" s="20"/>
      <c r="I913" s="20"/>
      <c r="J913" s="20"/>
      <c r="K913" s="20"/>
      <c r="L913" s="20"/>
      <c r="M913" s="20"/>
      <c r="N913" s="20"/>
      <c r="O913" s="20"/>
      <c r="P913" s="20"/>
      <c r="Q913" s="20"/>
      <c r="R913" s="20"/>
      <c r="S913" s="20"/>
      <c r="T913" s="20"/>
      <c r="U913" s="20"/>
      <c r="V913" s="20"/>
      <c r="W913" s="20"/>
      <c r="X913" s="20"/>
    </row>
    <row r="914">
      <c r="A914" s="20"/>
      <c r="B914" s="28"/>
      <c r="C914" s="20" t="str">
        <f>IFERROR(__xludf.DUMMYFUNCTION("IF(A914="""","""",TEXTJOIN(CHAR(10),TRUE,FILTER('Tổng hợp 75 trang đích'!$B$2:$B$3400,'Tổng hợp 75 trang đích'!$I$2:$I$3400=A914)))"),"")</f>
        <v/>
      </c>
      <c r="D914" s="20"/>
      <c r="E914" s="20"/>
      <c r="F914" s="20"/>
      <c r="G914" s="20"/>
      <c r="H914" s="20"/>
      <c r="I914" s="20"/>
      <c r="J914" s="20"/>
      <c r="K914" s="20"/>
      <c r="L914" s="20"/>
      <c r="M914" s="20"/>
      <c r="N914" s="20"/>
      <c r="O914" s="20"/>
      <c r="P914" s="20"/>
      <c r="Q914" s="20"/>
      <c r="R914" s="20"/>
      <c r="S914" s="20"/>
      <c r="T914" s="20"/>
      <c r="U914" s="20"/>
      <c r="V914" s="20"/>
      <c r="W914" s="20"/>
      <c r="X914" s="20"/>
    </row>
    <row r="915">
      <c r="A915" s="20"/>
      <c r="B915" s="28"/>
      <c r="C915" s="20" t="str">
        <f>IFERROR(__xludf.DUMMYFUNCTION("IF(A915="""","""",TEXTJOIN(CHAR(10),TRUE,FILTER('Tổng hợp 75 trang đích'!$B$2:$B$3400,'Tổng hợp 75 trang đích'!$I$2:$I$3400=A915)))"),"")</f>
        <v/>
      </c>
      <c r="D915" s="20"/>
      <c r="E915" s="20"/>
      <c r="F915" s="20"/>
      <c r="G915" s="20"/>
      <c r="H915" s="20"/>
      <c r="I915" s="20"/>
      <c r="J915" s="20"/>
      <c r="K915" s="20"/>
      <c r="L915" s="20"/>
      <c r="M915" s="20"/>
      <c r="N915" s="20"/>
      <c r="O915" s="20"/>
      <c r="P915" s="20"/>
      <c r="Q915" s="20"/>
      <c r="R915" s="20"/>
      <c r="S915" s="20"/>
      <c r="T915" s="20"/>
      <c r="U915" s="20"/>
      <c r="V915" s="20"/>
      <c r="W915" s="20"/>
      <c r="X915" s="20"/>
    </row>
    <row r="916">
      <c r="A916" s="20"/>
      <c r="B916" s="28"/>
      <c r="C916" s="20" t="str">
        <f>IFERROR(__xludf.DUMMYFUNCTION("IF(A916="""","""",TEXTJOIN(CHAR(10),TRUE,FILTER('Tổng hợp 75 trang đích'!$B$2:$B$3400,'Tổng hợp 75 trang đích'!$I$2:$I$3400=A916)))"),"")</f>
        <v/>
      </c>
      <c r="D916" s="20"/>
      <c r="E916" s="20"/>
      <c r="F916" s="20"/>
      <c r="G916" s="20"/>
      <c r="H916" s="20"/>
      <c r="I916" s="20"/>
      <c r="J916" s="20"/>
      <c r="K916" s="20"/>
      <c r="L916" s="20"/>
      <c r="M916" s="20"/>
      <c r="N916" s="20"/>
      <c r="O916" s="20"/>
      <c r="P916" s="20"/>
      <c r="Q916" s="20"/>
      <c r="R916" s="20"/>
      <c r="S916" s="20"/>
      <c r="T916" s="20"/>
      <c r="U916" s="20"/>
      <c r="V916" s="20"/>
      <c r="W916" s="20"/>
      <c r="X916" s="20"/>
    </row>
    <row r="917">
      <c r="A917" s="20"/>
      <c r="B917" s="28"/>
      <c r="C917" s="20" t="str">
        <f>IFERROR(__xludf.DUMMYFUNCTION("IF(A917="""","""",TEXTJOIN(CHAR(10),TRUE,FILTER('Tổng hợp 75 trang đích'!$B$2:$B$3400,'Tổng hợp 75 trang đích'!$I$2:$I$3400=A917)))"),"")</f>
        <v/>
      </c>
      <c r="D917" s="20"/>
      <c r="E917" s="20"/>
      <c r="F917" s="20"/>
      <c r="G917" s="20"/>
      <c r="H917" s="20"/>
      <c r="I917" s="20"/>
      <c r="J917" s="20"/>
      <c r="K917" s="20"/>
      <c r="L917" s="20"/>
      <c r="M917" s="20"/>
      <c r="N917" s="20"/>
      <c r="O917" s="20"/>
      <c r="P917" s="20"/>
      <c r="Q917" s="20"/>
      <c r="R917" s="20"/>
      <c r="S917" s="20"/>
      <c r="T917" s="20"/>
      <c r="U917" s="20"/>
      <c r="V917" s="20"/>
      <c r="W917" s="20"/>
      <c r="X917" s="20"/>
    </row>
    <row r="918">
      <c r="A918" s="20"/>
      <c r="B918" s="28"/>
      <c r="C918" s="20" t="str">
        <f>IFERROR(__xludf.DUMMYFUNCTION("IF(A918="""","""",TEXTJOIN(CHAR(10),TRUE,FILTER('Tổng hợp 75 trang đích'!$B$2:$B$3400,'Tổng hợp 75 trang đích'!$I$2:$I$3400=A918)))"),"")</f>
        <v/>
      </c>
      <c r="D918" s="20"/>
      <c r="E918" s="20"/>
      <c r="F918" s="20"/>
      <c r="G918" s="20"/>
      <c r="H918" s="20"/>
      <c r="I918" s="20"/>
      <c r="J918" s="20"/>
      <c r="K918" s="20"/>
      <c r="L918" s="20"/>
      <c r="M918" s="20"/>
      <c r="N918" s="20"/>
      <c r="O918" s="20"/>
      <c r="P918" s="20"/>
      <c r="Q918" s="20"/>
      <c r="R918" s="20"/>
      <c r="S918" s="20"/>
      <c r="T918" s="20"/>
      <c r="U918" s="20"/>
      <c r="V918" s="20"/>
      <c r="W918" s="20"/>
      <c r="X918" s="20"/>
    </row>
    <row r="919">
      <c r="A919" s="20"/>
      <c r="B919" s="28"/>
      <c r="C919" s="20" t="str">
        <f>IFERROR(__xludf.DUMMYFUNCTION("IF(A919="""","""",TEXTJOIN(CHAR(10),TRUE,FILTER('Tổng hợp 75 trang đích'!$B$2:$B$3400,'Tổng hợp 75 trang đích'!$I$2:$I$3400=A919)))"),"")</f>
        <v/>
      </c>
      <c r="D919" s="20"/>
      <c r="E919" s="20"/>
      <c r="F919" s="20"/>
      <c r="G919" s="20"/>
      <c r="H919" s="20"/>
      <c r="I919" s="20"/>
      <c r="J919" s="20"/>
      <c r="K919" s="20"/>
      <c r="L919" s="20"/>
      <c r="M919" s="20"/>
      <c r="N919" s="20"/>
      <c r="O919" s="20"/>
      <c r="P919" s="20"/>
      <c r="Q919" s="20"/>
      <c r="R919" s="20"/>
      <c r="S919" s="20"/>
      <c r="T919" s="20"/>
      <c r="U919" s="20"/>
      <c r="V919" s="20"/>
      <c r="W919" s="20"/>
      <c r="X919" s="20"/>
    </row>
    <row r="920">
      <c r="A920" s="20"/>
      <c r="B920" s="28"/>
      <c r="C920" s="20" t="str">
        <f>IFERROR(__xludf.DUMMYFUNCTION("IF(A920="""","""",TEXTJOIN(CHAR(10),TRUE,FILTER('Tổng hợp 75 trang đích'!$B$2:$B$3400,'Tổng hợp 75 trang đích'!$I$2:$I$3400=A920)))"),"")</f>
        <v/>
      </c>
      <c r="D920" s="20"/>
      <c r="E920" s="20"/>
      <c r="F920" s="20"/>
      <c r="G920" s="20"/>
      <c r="H920" s="20"/>
      <c r="I920" s="20"/>
      <c r="J920" s="20"/>
      <c r="K920" s="20"/>
      <c r="L920" s="20"/>
      <c r="M920" s="20"/>
      <c r="N920" s="20"/>
      <c r="O920" s="20"/>
      <c r="P920" s="20"/>
      <c r="Q920" s="20"/>
      <c r="R920" s="20"/>
      <c r="S920" s="20"/>
      <c r="T920" s="20"/>
      <c r="U920" s="20"/>
      <c r="V920" s="20"/>
      <c r="W920" s="20"/>
      <c r="X920" s="20"/>
    </row>
    <row r="921">
      <c r="A921" s="20"/>
      <c r="B921" s="28"/>
      <c r="C921" s="20" t="str">
        <f>IFERROR(__xludf.DUMMYFUNCTION("IF(A921="""","""",TEXTJOIN(CHAR(10),TRUE,FILTER('Tổng hợp 75 trang đích'!$B$2:$B$3400,'Tổng hợp 75 trang đích'!$I$2:$I$3400=A921)))"),"")</f>
        <v/>
      </c>
      <c r="D921" s="20"/>
      <c r="E921" s="20"/>
      <c r="F921" s="20"/>
      <c r="G921" s="20"/>
      <c r="H921" s="20"/>
      <c r="I921" s="20"/>
      <c r="J921" s="20"/>
      <c r="K921" s="20"/>
      <c r="L921" s="20"/>
      <c r="M921" s="20"/>
      <c r="N921" s="20"/>
      <c r="O921" s="20"/>
      <c r="P921" s="20"/>
      <c r="Q921" s="20"/>
      <c r="R921" s="20"/>
      <c r="S921" s="20"/>
      <c r="T921" s="20"/>
      <c r="U921" s="20"/>
      <c r="V921" s="20"/>
      <c r="W921" s="20"/>
      <c r="X921" s="20"/>
    </row>
    <row r="922">
      <c r="A922" s="20"/>
      <c r="B922" s="28"/>
      <c r="C922" s="20" t="str">
        <f>IFERROR(__xludf.DUMMYFUNCTION("IF(A922="""","""",TEXTJOIN(CHAR(10),TRUE,FILTER('Tổng hợp 75 trang đích'!$B$2:$B$3400,'Tổng hợp 75 trang đích'!$I$2:$I$3400=A922)))"),"")</f>
        <v/>
      </c>
      <c r="D922" s="20"/>
      <c r="E922" s="20"/>
      <c r="F922" s="20"/>
      <c r="G922" s="20"/>
      <c r="H922" s="20"/>
      <c r="I922" s="20"/>
      <c r="J922" s="20"/>
      <c r="K922" s="20"/>
      <c r="L922" s="20"/>
      <c r="M922" s="20"/>
      <c r="N922" s="20"/>
      <c r="O922" s="20"/>
      <c r="P922" s="20"/>
      <c r="Q922" s="20"/>
      <c r="R922" s="20"/>
      <c r="S922" s="20"/>
      <c r="T922" s="20"/>
      <c r="U922" s="20"/>
      <c r="V922" s="20"/>
      <c r="W922" s="20"/>
      <c r="X922" s="20"/>
    </row>
    <row r="923">
      <c r="A923" s="20"/>
      <c r="B923" s="28"/>
      <c r="C923" s="20" t="str">
        <f>IFERROR(__xludf.DUMMYFUNCTION("IF(A923="""","""",TEXTJOIN(CHAR(10),TRUE,FILTER('Tổng hợp 75 trang đích'!$B$2:$B$3400,'Tổng hợp 75 trang đích'!$I$2:$I$3400=A923)))"),"")</f>
        <v/>
      </c>
      <c r="D923" s="20"/>
      <c r="E923" s="20"/>
      <c r="F923" s="20"/>
      <c r="G923" s="20"/>
      <c r="H923" s="20"/>
      <c r="I923" s="20"/>
      <c r="J923" s="20"/>
      <c r="K923" s="20"/>
      <c r="L923" s="20"/>
      <c r="M923" s="20"/>
      <c r="N923" s="20"/>
      <c r="O923" s="20"/>
      <c r="P923" s="20"/>
      <c r="Q923" s="20"/>
      <c r="R923" s="20"/>
      <c r="S923" s="20"/>
      <c r="T923" s="20"/>
      <c r="U923" s="20"/>
      <c r="V923" s="20"/>
      <c r="W923" s="20"/>
      <c r="X923" s="20"/>
    </row>
    <row r="924">
      <c r="A924" s="20"/>
      <c r="B924" s="28"/>
      <c r="C924" s="20" t="str">
        <f>IFERROR(__xludf.DUMMYFUNCTION("IF(A924="""","""",TEXTJOIN(CHAR(10),TRUE,FILTER('Tổng hợp 75 trang đích'!$B$2:$B$3400,'Tổng hợp 75 trang đích'!$I$2:$I$3400=A924)))"),"")</f>
        <v/>
      </c>
      <c r="D924" s="20"/>
      <c r="E924" s="20"/>
      <c r="F924" s="20"/>
      <c r="G924" s="20"/>
      <c r="H924" s="20"/>
      <c r="I924" s="20"/>
      <c r="J924" s="20"/>
      <c r="K924" s="20"/>
      <c r="L924" s="20"/>
      <c r="M924" s="20"/>
      <c r="N924" s="20"/>
      <c r="O924" s="20"/>
      <c r="P924" s="20"/>
      <c r="Q924" s="20"/>
      <c r="R924" s="20"/>
      <c r="S924" s="20"/>
      <c r="T924" s="20"/>
      <c r="U924" s="20"/>
      <c r="V924" s="20"/>
      <c r="W924" s="20"/>
      <c r="X924" s="20"/>
    </row>
    <row r="925">
      <c r="A925" s="20"/>
      <c r="B925" s="28"/>
      <c r="C925" s="20" t="str">
        <f>IFERROR(__xludf.DUMMYFUNCTION("IF(A925="""","""",TEXTJOIN(CHAR(10),TRUE,FILTER('Tổng hợp 75 trang đích'!$B$2:$B$3400,'Tổng hợp 75 trang đích'!$I$2:$I$3400=A925)))"),"")</f>
        <v/>
      </c>
      <c r="D925" s="20"/>
      <c r="E925" s="20"/>
      <c r="F925" s="20"/>
      <c r="G925" s="20"/>
      <c r="H925" s="20"/>
      <c r="I925" s="20"/>
      <c r="J925" s="20"/>
      <c r="K925" s="20"/>
      <c r="L925" s="20"/>
      <c r="M925" s="20"/>
      <c r="N925" s="20"/>
      <c r="O925" s="20"/>
      <c r="P925" s="20"/>
      <c r="Q925" s="20"/>
      <c r="R925" s="20"/>
      <c r="S925" s="20"/>
      <c r="T925" s="20"/>
      <c r="U925" s="20"/>
      <c r="V925" s="20"/>
      <c r="W925" s="20"/>
      <c r="X925" s="20"/>
    </row>
    <row r="926">
      <c r="A926" s="20"/>
      <c r="B926" s="28"/>
      <c r="C926" s="20" t="str">
        <f>IFERROR(__xludf.DUMMYFUNCTION("IF(A926="""","""",TEXTJOIN(CHAR(10),TRUE,FILTER('Tổng hợp 75 trang đích'!$B$2:$B$3400,'Tổng hợp 75 trang đích'!$I$2:$I$3400=A926)))"),"")</f>
        <v/>
      </c>
      <c r="D926" s="20"/>
      <c r="E926" s="20"/>
      <c r="F926" s="20"/>
      <c r="G926" s="20"/>
      <c r="H926" s="20"/>
      <c r="I926" s="20"/>
      <c r="J926" s="20"/>
      <c r="K926" s="20"/>
      <c r="L926" s="20"/>
      <c r="M926" s="20"/>
      <c r="N926" s="20"/>
      <c r="O926" s="20"/>
      <c r="P926" s="20"/>
      <c r="Q926" s="20"/>
      <c r="R926" s="20"/>
      <c r="S926" s="20"/>
      <c r="T926" s="20"/>
      <c r="U926" s="20"/>
      <c r="V926" s="20"/>
      <c r="W926" s="20"/>
      <c r="X926" s="20"/>
    </row>
    <row r="927">
      <c r="A927" s="20"/>
      <c r="B927" s="28"/>
      <c r="C927" s="20" t="str">
        <f>IFERROR(__xludf.DUMMYFUNCTION("IF(A927="""","""",TEXTJOIN(CHAR(10),TRUE,FILTER('Tổng hợp 75 trang đích'!$B$2:$B$3400,'Tổng hợp 75 trang đích'!$I$2:$I$3400=A927)))"),"")</f>
        <v/>
      </c>
      <c r="D927" s="20"/>
      <c r="E927" s="20"/>
      <c r="F927" s="20"/>
      <c r="G927" s="20"/>
      <c r="H927" s="20"/>
      <c r="I927" s="20"/>
      <c r="J927" s="20"/>
      <c r="K927" s="20"/>
      <c r="L927" s="20"/>
      <c r="M927" s="20"/>
      <c r="N927" s="20"/>
      <c r="O927" s="20"/>
      <c r="P927" s="20"/>
      <c r="Q927" s="20"/>
      <c r="R927" s="20"/>
      <c r="S927" s="20"/>
      <c r="T927" s="20"/>
      <c r="U927" s="20"/>
      <c r="V927" s="20"/>
      <c r="W927" s="20"/>
      <c r="X927" s="20"/>
    </row>
    <row r="928">
      <c r="A928" s="20"/>
      <c r="B928" s="28"/>
      <c r="C928" s="20" t="str">
        <f>IFERROR(__xludf.DUMMYFUNCTION("IF(A928="""","""",TEXTJOIN(CHAR(10),TRUE,FILTER('Tổng hợp 75 trang đích'!$B$2:$B$3400,'Tổng hợp 75 trang đích'!$I$2:$I$3400=A928)))"),"")</f>
        <v/>
      </c>
      <c r="D928" s="20"/>
      <c r="E928" s="20"/>
      <c r="F928" s="20"/>
      <c r="G928" s="20"/>
      <c r="H928" s="20"/>
      <c r="I928" s="20"/>
      <c r="J928" s="20"/>
      <c r="K928" s="20"/>
      <c r="L928" s="20"/>
      <c r="M928" s="20"/>
      <c r="N928" s="20"/>
      <c r="O928" s="20"/>
      <c r="P928" s="20"/>
      <c r="Q928" s="20"/>
      <c r="R928" s="20"/>
      <c r="S928" s="20"/>
      <c r="T928" s="20"/>
      <c r="U928" s="20"/>
      <c r="V928" s="20"/>
      <c r="W928" s="20"/>
      <c r="X928" s="20"/>
    </row>
    <row r="929">
      <c r="A929" s="20"/>
      <c r="B929" s="28"/>
      <c r="C929" s="20" t="str">
        <f>IFERROR(__xludf.DUMMYFUNCTION("IF(A929="""","""",TEXTJOIN(CHAR(10),TRUE,FILTER('Tổng hợp 75 trang đích'!$B$2:$B$3400,'Tổng hợp 75 trang đích'!$I$2:$I$3400=A929)))"),"")</f>
        <v/>
      </c>
      <c r="D929" s="20"/>
      <c r="E929" s="20"/>
      <c r="F929" s="20"/>
      <c r="G929" s="20"/>
      <c r="H929" s="20"/>
      <c r="I929" s="20"/>
      <c r="J929" s="20"/>
      <c r="K929" s="20"/>
      <c r="L929" s="20"/>
      <c r="M929" s="20"/>
      <c r="N929" s="20"/>
      <c r="O929" s="20"/>
      <c r="P929" s="20"/>
      <c r="Q929" s="20"/>
      <c r="R929" s="20"/>
      <c r="S929" s="20"/>
      <c r="T929" s="20"/>
      <c r="U929" s="20"/>
      <c r="V929" s="20"/>
      <c r="W929" s="20"/>
      <c r="X929" s="20"/>
    </row>
    <row r="930">
      <c r="A930" s="20"/>
      <c r="B930" s="28"/>
      <c r="C930" s="20" t="str">
        <f>IFERROR(__xludf.DUMMYFUNCTION("IF(A930="""","""",TEXTJOIN(CHAR(10),TRUE,FILTER('Tổng hợp 75 trang đích'!$B$2:$B$3400,'Tổng hợp 75 trang đích'!$I$2:$I$3400=A930)))"),"")</f>
        <v/>
      </c>
      <c r="D930" s="20"/>
      <c r="E930" s="20"/>
      <c r="F930" s="20"/>
      <c r="G930" s="20"/>
      <c r="H930" s="20"/>
      <c r="I930" s="20"/>
      <c r="J930" s="20"/>
      <c r="K930" s="20"/>
      <c r="L930" s="20"/>
      <c r="M930" s="20"/>
      <c r="N930" s="20"/>
      <c r="O930" s="20"/>
      <c r="P930" s="20"/>
      <c r="Q930" s="20"/>
      <c r="R930" s="20"/>
      <c r="S930" s="20"/>
      <c r="T930" s="20"/>
      <c r="U930" s="20"/>
      <c r="V930" s="20"/>
      <c r="W930" s="20"/>
      <c r="X930" s="20"/>
    </row>
    <row r="931">
      <c r="A931" s="20"/>
      <c r="B931" s="28"/>
      <c r="C931" s="20" t="str">
        <f>IFERROR(__xludf.DUMMYFUNCTION("IF(A931="""","""",TEXTJOIN(CHAR(10),TRUE,FILTER('Tổng hợp 75 trang đích'!$B$2:$B$3400,'Tổng hợp 75 trang đích'!$I$2:$I$3400=A931)))"),"")</f>
        <v/>
      </c>
      <c r="D931" s="20"/>
      <c r="E931" s="20"/>
      <c r="F931" s="20"/>
      <c r="G931" s="20"/>
      <c r="H931" s="20"/>
      <c r="I931" s="20"/>
      <c r="J931" s="20"/>
      <c r="K931" s="20"/>
      <c r="L931" s="20"/>
      <c r="M931" s="20"/>
      <c r="N931" s="20"/>
      <c r="O931" s="20"/>
      <c r="P931" s="20"/>
      <c r="Q931" s="20"/>
      <c r="R931" s="20"/>
      <c r="S931" s="20"/>
      <c r="T931" s="20"/>
      <c r="U931" s="20"/>
      <c r="V931" s="20"/>
      <c r="W931" s="20"/>
      <c r="X931" s="20"/>
    </row>
    <row r="932">
      <c r="A932" s="20"/>
      <c r="B932" s="28"/>
      <c r="C932" s="20" t="str">
        <f>IFERROR(__xludf.DUMMYFUNCTION("IF(A932="""","""",TEXTJOIN(CHAR(10),TRUE,FILTER('Tổng hợp 75 trang đích'!$B$2:$B$3400,'Tổng hợp 75 trang đích'!$I$2:$I$3400=A932)))"),"")</f>
        <v/>
      </c>
      <c r="D932" s="20"/>
      <c r="E932" s="20"/>
      <c r="F932" s="20"/>
      <c r="G932" s="20"/>
      <c r="H932" s="20"/>
      <c r="I932" s="20"/>
      <c r="J932" s="20"/>
      <c r="K932" s="20"/>
      <c r="L932" s="20"/>
      <c r="M932" s="20"/>
      <c r="N932" s="20"/>
      <c r="O932" s="20"/>
      <c r="P932" s="20"/>
      <c r="Q932" s="20"/>
      <c r="R932" s="20"/>
      <c r="S932" s="20"/>
      <c r="T932" s="20"/>
      <c r="U932" s="20"/>
      <c r="V932" s="20"/>
      <c r="W932" s="20"/>
      <c r="X932" s="20"/>
    </row>
    <row r="933">
      <c r="A933" s="20"/>
      <c r="B933" s="28"/>
      <c r="C933" s="20" t="str">
        <f>IFERROR(__xludf.DUMMYFUNCTION("IF(A933="""","""",TEXTJOIN(CHAR(10),TRUE,FILTER('Tổng hợp 75 trang đích'!$B$2:$B$3400,'Tổng hợp 75 trang đích'!$I$2:$I$3400=A933)))"),"")</f>
        <v/>
      </c>
      <c r="D933" s="20"/>
      <c r="E933" s="20"/>
      <c r="F933" s="20"/>
      <c r="G933" s="20"/>
      <c r="H933" s="20"/>
      <c r="I933" s="20"/>
      <c r="J933" s="20"/>
      <c r="K933" s="20"/>
      <c r="L933" s="20"/>
      <c r="M933" s="20"/>
      <c r="N933" s="20"/>
      <c r="O933" s="20"/>
      <c r="P933" s="20"/>
      <c r="Q933" s="20"/>
      <c r="R933" s="20"/>
      <c r="S933" s="20"/>
      <c r="T933" s="20"/>
      <c r="U933" s="20"/>
      <c r="V933" s="20"/>
      <c r="W933" s="20"/>
      <c r="X933" s="20"/>
    </row>
    <row r="934">
      <c r="A934" s="20"/>
      <c r="B934" s="28"/>
      <c r="C934" s="20" t="str">
        <f>IFERROR(__xludf.DUMMYFUNCTION("IF(A934="""","""",TEXTJOIN(CHAR(10),TRUE,FILTER('Tổng hợp 75 trang đích'!$B$2:$B$3400,'Tổng hợp 75 trang đích'!$I$2:$I$3400=A934)))"),"")</f>
        <v/>
      </c>
      <c r="D934" s="20"/>
      <c r="E934" s="20"/>
      <c r="F934" s="20"/>
      <c r="G934" s="20"/>
      <c r="H934" s="20"/>
      <c r="I934" s="20"/>
      <c r="J934" s="20"/>
      <c r="K934" s="20"/>
      <c r="L934" s="20"/>
      <c r="M934" s="20"/>
      <c r="N934" s="20"/>
      <c r="O934" s="20"/>
      <c r="P934" s="20"/>
      <c r="Q934" s="20"/>
      <c r="R934" s="20"/>
      <c r="S934" s="20"/>
      <c r="T934" s="20"/>
      <c r="U934" s="20"/>
      <c r="V934" s="20"/>
      <c r="W934" s="20"/>
      <c r="X934" s="20"/>
    </row>
    <row r="935">
      <c r="A935" s="20"/>
      <c r="B935" s="28"/>
      <c r="C935" s="20" t="str">
        <f>IFERROR(__xludf.DUMMYFUNCTION("IF(A935="""","""",TEXTJOIN(CHAR(10),TRUE,FILTER('Tổng hợp 75 trang đích'!$B$2:$B$3400,'Tổng hợp 75 trang đích'!$I$2:$I$3400=A935)))"),"")</f>
        <v/>
      </c>
      <c r="D935" s="20"/>
      <c r="E935" s="20"/>
      <c r="F935" s="20"/>
      <c r="G935" s="20"/>
      <c r="H935" s="20"/>
      <c r="I935" s="20"/>
      <c r="J935" s="20"/>
      <c r="K935" s="20"/>
      <c r="L935" s="20"/>
      <c r="M935" s="20"/>
      <c r="N935" s="20"/>
      <c r="O935" s="20"/>
      <c r="P935" s="20"/>
      <c r="Q935" s="20"/>
      <c r="R935" s="20"/>
      <c r="S935" s="20"/>
      <c r="T935" s="20"/>
      <c r="U935" s="20"/>
      <c r="V935" s="20"/>
      <c r="W935" s="20"/>
      <c r="X935" s="20"/>
    </row>
    <row r="936">
      <c r="A936" s="20"/>
      <c r="B936" s="28"/>
      <c r="C936" s="20" t="str">
        <f>IFERROR(__xludf.DUMMYFUNCTION("IF(A936="""","""",TEXTJOIN(CHAR(10),TRUE,FILTER('Tổng hợp 75 trang đích'!$B$2:$B$3400,'Tổng hợp 75 trang đích'!$I$2:$I$3400=A936)))"),"")</f>
        <v/>
      </c>
      <c r="D936" s="20"/>
      <c r="E936" s="20"/>
      <c r="F936" s="20"/>
      <c r="G936" s="20"/>
      <c r="H936" s="20"/>
      <c r="I936" s="20"/>
      <c r="J936" s="20"/>
      <c r="K936" s="20"/>
      <c r="L936" s="20"/>
      <c r="M936" s="20"/>
      <c r="N936" s="20"/>
      <c r="O936" s="20"/>
      <c r="P936" s="20"/>
      <c r="Q936" s="20"/>
      <c r="R936" s="20"/>
      <c r="S936" s="20"/>
      <c r="T936" s="20"/>
      <c r="U936" s="20"/>
      <c r="V936" s="20"/>
      <c r="W936" s="20"/>
      <c r="X936" s="20"/>
    </row>
    <row r="937">
      <c r="A937" s="20"/>
      <c r="B937" s="28"/>
      <c r="C937" s="20" t="str">
        <f>IFERROR(__xludf.DUMMYFUNCTION("IF(A937="""","""",TEXTJOIN(CHAR(10),TRUE,FILTER('Tổng hợp 75 trang đích'!$B$2:$B$3400,'Tổng hợp 75 trang đích'!$I$2:$I$3400=A937)))"),"")</f>
        <v/>
      </c>
      <c r="D937" s="20"/>
      <c r="E937" s="20"/>
      <c r="F937" s="20"/>
      <c r="G937" s="20"/>
      <c r="H937" s="20"/>
      <c r="I937" s="20"/>
      <c r="J937" s="20"/>
      <c r="K937" s="20"/>
      <c r="L937" s="20"/>
      <c r="M937" s="20"/>
      <c r="N937" s="20"/>
      <c r="O937" s="20"/>
      <c r="P937" s="20"/>
      <c r="Q937" s="20"/>
      <c r="R937" s="20"/>
      <c r="S937" s="20"/>
      <c r="T937" s="20"/>
      <c r="U937" s="20"/>
      <c r="V937" s="20"/>
      <c r="W937" s="20"/>
      <c r="X937" s="20"/>
    </row>
    <row r="938">
      <c r="A938" s="20"/>
      <c r="B938" s="28"/>
      <c r="C938" s="20" t="str">
        <f>IFERROR(__xludf.DUMMYFUNCTION("IF(A938="""","""",TEXTJOIN(CHAR(10),TRUE,FILTER('Tổng hợp 75 trang đích'!$B$2:$B$3400,'Tổng hợp 75 trang đích'!$I$2:$I$3400=A938)))"),"")</f>
        <v/>
      </c>
      <c r="D938" s="20"/>
      <c r="E938" s="20"/>
      <c r="F938" s="20"/>
      <c r="G938" s="20"/>
      <c r="H938" s="20"/>
      <c r="I938" s="20"/>
      <c r="J938" s="20"/>
      <c r="K938" s="20"/>
      <c r="L938" s="20"/>
      <c r="M938" s="20"/>
      <c r="N938" s="20"/>
      <c r="O938" s="20"/>
      <c r="P938" s="20"/>
      <c r="Q938" s="20"/>
      <c r="R938" s="20"/>
      <c r="S938" s="20"/>
      <c r="T938" s="20"/>
      <c r="U938" s="20"/>
      <c r="V938" s="20"/>
      <c r="W938" s="20"/>
      <c r="X938" s="20"/>
    </row>
    <row r="939">
      <c r="A939" s="20"/>
      <c r="B939" s="28"/>
      <c r="C939" s="20" t="str">
        <f>IFERROR(__xludf.DUMMYFUNCTION("IF(A939="""","""",TEXTJOIN(CHAR(10),TRUE,FILTER('Tổng hợp 75 trang đích'!$B$2:$B$3400,'Tổng hợp 75 trang đích'!$I$2:$I$3400=A939)))"),"")</f>
        <v/>
      </c>
      <c r="D939" s="20"/>
      <c r="E939" s="20"/>
      <c r="F939" s="20"/>
      <c r="G939" s="20"/>
      <c r="H939" s="20"/>
      <c r="I939" s="20"/>
      <c r="J939" s="20"/>
      <c r="K939" s="20"/>
      <c r="L939" s="20"/>
      <c r="M939" s="20"/>
      <c r="N939" s="20"/>
      <c r="O939" s="20"/>
      <c r="P939" s="20"/>
      <c r="Q939" s="20"/>
      <c r="R939" s="20"/>
      <c r="S939" s="20"/>
      <c r="T939" s="20"/>
      <c r="U939" s="20"/>
      <c r="V939" s="20"/>
      <c r="W939" s="20"/>
      <c r="X939" s="20"/>
    </row>
    <row r="940">
      <c r="A940" s="20"/>
      <c r="B940" s="28"/>
      <c r="C940" s="20" t="str">
        <f>IFERROR(__xludf.DUMMYFUNCTION("IF(A940="""","""",TEXTJOIN(CHAR(10),TRUE,FILTER('Tổng hợp 75 trang đích'!$B$2:$B$3400,'Tổng hợp 75 trang đích'!$I$2:$I$3400=A940)))"),"")</f>
        <v/>
      </c>
      <c r="D940" s="20"/>
      <c r="E940" s="20"/>
      <c r="F940" s="20"/>
      <c r="G940" s="20"/>
      <c r="H940" s="20"/>
      <c r="I940" s="20"/>
      <c r="J940" s="20"/>
      <c r="K940" s="20"/>
      <c r="L940" s="20"/>
      <c r="M940" s="20"/>
      <c r="N940" s="20"/>
      <c r="O940" s="20"/>
      <c r="P940" s="20"/>
      <c r="Q940" s="20"/>
      <c r="R940" s="20"/>
      <c r="S940" s="20"/>
      <c r="T940" s="20"/>
      <c r="U940" s="20"/>
      <c r="V940" s="20"/>
      <c r="W940" s="20"/>
      <c r="X940" s="20"/>
    </row>
    <row r="941">
      <c r="A941" s="20"/>
      <c r="B941" s="28"/>
      <c r="C941" s="20" t="str">
        <f>IFERROR(__xludf.DUMMYFUNCTION("IF(A941="""","""",TEXTJOIN(CHAR(10),TRUE,FILTER('Tổng hợp 75 trang đích'!$B$2:$B$3400,'Tổng hợp 75 trang đích'!$I$2:$I$3400=A941)))"),"")</f>
        <v/>
      </c>
      <c r="D941" s="20"/>
      <c r="E941" s="20"/>
      <c r="F941" s="20"/>
      <c r="G941" s="20"/>
      <c r="H941" s="20"/>
      <c r="I941" s="20"/>
      <c r="J941" s="20"/>
      <c r="K941" s="20"/>
      <c r="L941" s="20"/>
      <c r="M941" s="20"/>
      <c r="N941" s="20"/>
      <c r="O941" s="20"/>
      <c r="P941" s="20"/>
      <c r="Q941" s="20"/>
      <c r="R941" s="20"/>
      <c r="S941" s="20"/>
      <c r="T941" s="20"/>
      <c r="U941" s="20"/>
      <c r="V941" s="20"/>
      <c r="W941" s="20"/>
      <c r="X941" s="20"/>
    </row>
    <row r="942">
      <c r="A942" s="20"/>
      <c r="B942" s="28"/>
      <c r="C942" s="20" t="str">
        <f>IFERROR(__xludf.DUMMYFUNCTION("IF(A942="""","""",TEXTJOIN(CHAR(10),TRUE,FILTER('Tổng hợp 75 trang đích'!$B$2:$B$3400,'Tổng hợp 75 trang đích'!$I$2:$I$3400=A942)))"),"")</f>
        <v/>
      </c>
      <c r="D942" s="20"/>
      <c r="E942" s="20"/>
      <c r="F942" s="20"/>
      <c r="G942" s="20"/>
      <c r="H942" s="20"/>
      <c r="I942" s="20"/>
      <c r="J942" s="20"/>
      <c r="K942" s="20"/>
      <c r="L942" s="20"/>
      <c r="M942" s="20"/>
      <c r="N942" s="20"/>
      <c r="O942" s="20"/>
      <c r="P942" s="20"/>
      <c r="Q942" s="20"/>
      <c r="R942" s="20"/>
      <c r="S942" s="20"/>
      <c r="T942" s="20"/>
      <c r="U942" s="20"/>
      <c r="V942" s="20"/>
      <c r="W942" s="20"/>
      <c r="X942" s="20"/>
    </row>
    <row r="943">
      <c r="A943" s="20"/>
      <c r="B943" s="28"/>
      <c r="C943" s="20" t="str">
        <f>IFERROR(__xludf.DUMMYFUNCTION("IF(A943="""","""",TEXTJOIN(CHAR(10),TRUE,FILTER('Tổng hợp 75 trang đích'!$B$2:$B$3400,'Tổng hợp 75 trang đích'!$I$2:$I$3400=A943)))"),"")</f>
        <v/>
      </c>
      <c r="D943" s="20"/>
      <c r="E943" s="20"/>
      <c r="F943" s="20"/>
      <c r="G943" s="20"/>
      <c r="H943" s="20"/>
      <c r="I943" s="20"/>
      <c r="J943" s="20"/>
      <c r="K943" s="20"/>
      <c r="L943" s="20"/>
      <c r="M943" s="20"/>
      <c r="N943" s="20"/>
      <c r="O943" s="20"/>
      <c r="P943" s="20"/>
      <c r="Q943" s="20"/>
      <c r="R943" s="20"/>
      <c r="S943" s="20"/>
      <c r="T943" s="20"/>
      <c r="U943" s="20"/>
      <c r="V943" s="20"/>
      <c r="W943" s="20"/>
      <c r="X943" s="20"/>
    </row>
    <row r="944">
      <c r="A944" s="20"/>
      <c r="B944" s="28"/>
      <c r="C944" s="20" t="str">
        <f>IFERROR(__xludf.DUMMYFUNCTION("IF(A944="""","""",TEXTJOIN(CHAR(10),TRUE,FILTER('Tổng hợp 75 trang đích'!$B$2:$B$3400,'Tổng hợp 75 trang đích'!$I$2:$I$3400=A944)))"),"")</f>
        <v/>
      </c>
      <c r="D944" s="20"/>
      <c r="E944" s="20"/>
      <c r="F944" s="20"/>
      <c r="G944" s="20"/>
      <c r="H944" s="20"/>
      <c r="I944" s="20"/>
      <c r="J944" s="20"/>
      <c r="K944" s="20"/>
      <c r="L944" s="20"/>
      <c r="M944" s="20"/>
      <c r="N944" s="20"/>
      <c r="O944" s="20"/>
      <c r="P944" s="20"/>
      <c r="Q944" s="20"/>
      <c r="R944" s="20"/>
      <c r="S944" s="20"/>
      <c r="T944" s="20"/>
      <c r="U944" s="20"/>
      <c r="V944" s="20"/>
      <c r="W944" s="20"/>
      <c r="X944" s="20"/>
    </row>
    <row r="945">
      <c r="A945" s="20"/>
      <c r="B945" s="28"/>
      <c r="C945" s="20" t="str">
        <f>IFERROR(__xludf.DUMMYFUNCTION("IF(A945="""","""",TEXTJOIN(CHAR(10),TRUE,FILTER('Tổng hợp 75 trang đích'!$B$2:$B$3400,'Tổng hợp 75 trang đích'!$I$2:$I$3400=A945)))"),"")</f>
        <v/>
      </c>
      <c r="D945" s="20"/>
      <c r="E945" s="20"/>
      <c r="F945" s="20"/>
      <c r="G945" s="20"/>
      <c r="H945" s="20"/>
      <c r="I945" s="20"/>
      <c r="J945" s="20"/>
      <c r="K945" s="20"/>
      <c r="L945" s="20"/>
      <c r="M945" s="20"/>
      <c r="N945" s="20"/>
      <c r="O945" s="20"/>
      <c r="P945" s="20"/>
      <c r="Q945" s="20"/>
      <c r="R945" s="20"/>
      <c r="S945" s="20"/>
      <c r="T945" s="20"/>
      <c r="U945" s="20"/>
      <c r="V945" s="20"/>
      <c r="W945" s="20"/>
      <c r="X945" s="20"/>
    </row>
    <row r="946">
      <c r="A946" s="20"/>
      <c r="B946" s="28"/>
      <c r="C946" s="20" t="str">
        <f>IFERROR(__xludf.DUMMYFUNCTION("IF(A946="""","""",TEXTJOIN(CHAR(10),TRUE,FILTER('Tổng hợp 75 trang đích'!$B$2:$B$3400,'Tổng hợp 75 trang đích'!$I$2:$I$3400=A946)))"),"")</f>
        <v/>
      </c>
      <c r="D946" s="20"/>
      <c r="E946" s="20"/>
      <c r="F946" s="20"/>
      <c r="G946" s="20"/>
      <c r="H946" s="20"/>
      <c r="I946" s="20"/>
      <c r="J946" s="20"/>
      <c r="K946" s="20"/>
      <c r="L946" s="20"/>
      <c r="M946" s="20"/>
      <c r="N946" s="20"/>
      <c r="O946" s="20"/>
      <c r="P946" s="20"/>
      <c r="Q946" s="20"/>
      <c r="R946" s="20"/>
      <c r="S946" s="20"/>
      <c r="T946" s="20"/>
      <c r="U946" s="20"/>
      <c r="V946" s="20"/>
      <c r="W946" s="20"/>
      <c r="X946" s="20"/>
    </row>
    <row r="947">
      <c r="A947" s="20"/>
      <c r="B947" s="28"/>
      <c r="C947" s="20" t="str">
        <f>IFERROR(__xludf.DUMMYFUNCTION("IF(A947="""","""",TEXTJOIN(CHAR(10),TRUE,FILTER('Tổng hợp 75 trang đích'!$B$2:$B$3400,'Tổng hợp 75 trang đích'!$I$2:$I$3400=A947)))"),"")</f>
        <v/>
      </c>
      <c r="D947" s="20"/>
      <c r="E947" s="20"/>
      <c r="F947" s="20"/>
      <c r="G947" s="20"/>
      <c r="H947" s="20"/>
      <c r="I947" s="20"/>
      <c r="J947" s="20"/>
      <c r="K947" s="20"/>
      <c r="L947" s="20"/>
      <c r="M947" s="20"/>
      <c r="N947" s="20"/>
      <c r="O947" s="20"/>
      <c r="P947" s="20"/>
      <c r="Q947" s="20"/>
      <c r="R947" s="20"/>
      <c r="S947" s="20"/>
      <c r="T947" s="20"/>
      <c r="U947" s="20"/>
      <c r="V947" s="20"/>
      <c r="W947" s="20"/>
      <c r="X947" s="20"/>
    </row>
    <row r="948">
      <c r="A948" s="20"/>
      <c r="B948" s="28"/>
      <c r="C948" s="20" t="str">
        <f>IFERROR(__xludf.DUMMYFUNCTION("IF(A948="""","""",TEXTJOIN(CHAR(10),TRUE,FILTER('Tổng hợp 75 trang đích'!$B$2:$B$3400,'Tổng hợp 75 trang đích'!$I$2:$I$3400=A948)))"),"")</f>
        <v/>
      </c>
      <c r="D948" s="20"/>
      <c r="E948" s="20"/>
      <c r="F948" s="20"/>
      <c r="G948" s="20"/>
      <c r="H948" s="20"/>
      <c r="I948" s="20"/>
      <c r="J948" s="20"/>
      <c r="K948" s="20"/>
      <c r="L948" s="20"/>
      <c r="M948" s="20"/>
      <c r="N948" s="20"/>
      <c r="O948" s="20"/>
      <c r="P948" s="20"/>
      <c r="Q948" s="20"/>
      <c r="R948" s="20"/>
      <c r="S948" s="20"/>
      <c r="T948" s="20"/>
      <c r="U948" s="20"/>
      <c r="V948" s="20"/>
      <c r="W948" s="20"/>
      <c r="X948" s="20"/>
    </row>
    <row r="949">
      <c r="A949" s="20"/>
      <c r="B949" s="28"/>
      <c r="C949" s="20" t="str">
        <f>IFERROR(__xludf.DUMMYFUNCTION("IF(A949="""","""",TEXTJOIN(CHAR(10),TRUE,FILTER('Tổng hợp 75 trang đích'!$B$2:$B$3400,'Tổng hợp 75 trang đích'!$I$2:$I$3400=A949)))"),"")</f>
        <v/>
      </c>
      <c r="D949" s="20"/>
      <c r="E949" s="20"/>
      <c r="F949" s="20"/>
      <c r="G949" s="20"/>
      <c r="H949" s="20"/>
      <c r="I949" s="20"/>
      <c r="J949" s="20"/>
      <c r="K949" s="20"/>
      <c r="L949" s="20"/>
      <c r="M949" s="20"/>
      <c r="N949" s="20"/>
      <c r="O949" s="20"/>
      <c r="P949" s="20"/>
      <c r="Q949" s="20"/>
      <c r="R949" s="20"/>
      <c r="S949" s="20"/>
      <c r="T949" s="20"/>
      <c r="U949" s="20"/>
      <c r="V949" s="20"/>
      <c r="W949" s="20"/>
      <c r="X949" s="20"/>
    </row>
    <row r="950">
      <c r="A950" s="20"/>
      <c r="B950" s="28"/>
      <c r="C950" s="20" t="str">
        <f>IFERROR(__xludf.DUMMYFUNCTION("IF(A950="""","""",TEXTJOIN(CHAR(10),TRUE,FILTER('Tổng hợp 75 trang đích'!$B$2:$B$3400,'Tổng hợp 75 trang đích'!$I$2:$I$3400=A950)))"),"")</f>
        <v/>
      </c>
      <c r="D950" s="20"/>
      <c r="E950" s="20"/>
      <c r="F950" s="20"/>
      <c r="G950" s="20"/>
      <c r="H950" s="20"/>
      <c r="I950" s="20"/>
      <c r="J950" s="20"/>
      <c r="K950" s="20"/>
      <c r="L950" s="20"/>
      <c r="M950" s="20"/>
      <c r="N950" s="20"/>
      <c r="O950" s="20"/>
      <c r="P950" s="20"/>
      <c r="Q950" s="20"/>
      <c r="R950" s="20"/>
      <c r="S950" s="20"/>
      <c r="T950" s="20"/>
      <c r="U950" s="20"/>
      <c r="V950" s="20"/>
      <c r="W950" s="20"/>
      <c r="X950" s="20"/>
    </row>
    <row r="951">
      <c r="A951" s="20"/>
      <c r="B951" s="28"/>
      <c r="C951" s="20" t="str">
        <f>IFERROR(__xludf.DUMMYFUNCTION("IF(A951="""","""",TEXTJOIN(CHAR(10),TRUE,FILTER('Tổng hợp 75 trang đích'!$B$2:$B$3400,'Tổng hợp 75 trang đích'!$I$2:$I$3400=A951)))"),"")</f>
        <v/>
      </c>
      <c r="D951" s="20"/>
      <c r="E951" s="20"/>
      <c r="F951" s="20"/>
      <c r="G951" s="20"/>
      <c r="H951" s="20"/>
      <c r="I951" s="20"/>
      <c r="J951" s="20"/>
      <c r="K951" s="20"/>
      <c r="L951" s="20"/>
      <c r="M951" s="20"/>
      <c r="N951" s="20"/>
      <c r="O951" s="20"/>
      <c r="P951" s="20"/>
      <c r="Q951" s="20"/>
      <c r="R951" s="20"/>
      <c r="S951" s="20"/>
      <c r="T951" s="20"/>
      <c r="U951" s="20"/>
      <c r="V951" s="20"/>
      <c r="W951" s="20"/>
      <c r="X951" s="20"/>
    </row>
    <row r="952">
      <c r="A952" s="20"/>
      <c r="B952" s="28"/>
      <c r="C952" s="20" t="str">
        <f>IFERROR(__xludf.DUMMYFUNCTION("IF(A952="""","""",TEXTJOIN(CHAR(10),TRUE,FILTER('Tổng hợp 75 trang đích'!$B$2:$B$3400,'Tổng hợp 75 trang đích'!$I$2:$I$3400=A952)))"),"")</f>
        <v/>
      </c>
      <c r="D952" s="20"/>
      <c r="E952" s="20"/>
      <c r="F952" s="20"/>
      <c r="G952" s="20"/>
      <c r="H952" s="20"/>
      <c r="I952" s="20"/>
      <c r="J952" s="20"/>
      <c r="K952" s="20"/>
      <c r="L952" s="20"/>
      <c r="M952" s="20"/>
      <c r="N952" s="20"/>
      <c r="O952" s="20"/>
      <c r="P952" s="20"/>
      <c r="Q952" s="20"/>
      <c r="R952" s="20"/>
      <c r="S952" s="20"/>
      <c r="T952" s="20"/>
      <c r="U952" s="20"/>
      <c r="V952" s="20"/>
      <c r="W952" s="20"/>
      <c r="X952" s="20"/>
    </row>
    <row r="953">
      <c r="A953" s="20"/>
      <c r="B953" s="28"/>
      <c r="C953" s="20" t="str">
        <f>IFERROR(__xludf.DUMMYFUNCTION("IF(A953="""","""",TEXTJOIN(CHAR(10),TRUE,FILTER('Tổng hợp 75 trang đích'!$B$2:$B$3400,'Tổng hợp 75 trang đích'!$I$2:$I$3400=A953)))"),"")</f>
        <v/>
      </c>
      <c r="D953" s="20"/>
      <c r="E953" s="20"/>
      <c r="F953" s="20"/>
      <c r="G953" s="20"/>
      <c r="H953" s="20"/>
      <c r="I953" s="20"/>
      <c r="J953" s="20"/>
      <c r="K953" s="20"/>
      <c r="L953" s="20"/>
      <c r="M953" s="20"/>
      <c r="N953" s="20"/>
      <c r="O953" s="20"/>
      <c r="P953" s="20"/>
      <c r="Q953" s="20"/>
      <c r="R953" s="20"/>
      <c r="S953" s="20"/>
      <c r="T953" s="20"/>
      <c r="U953" s="20"/>
      <c r="V953" s="20"/>
      <c r="W953" s="20"/>
      <c r="X953" s="20"/>
    </row>
    <row r="954">
      <c r="A954" s="20"/>
      <c r="B954" s="28"/>
      <c r="C954" s="20" t="str">
        <f>IFERROR(__xludf.DUMMYFUNCTION("IF(A954="""","""",TEXTJOIN(CHAR(10),TRUE,FILTER('Tổng hợp 75 trang đích'!$B$2:$B$3400,'Tổng hợp 75 trang đích'!$I$2:$I$3400=A954)))"),"")</f>
        <v/>
      </c>
      <c r="D954" s="20"/>
      <c r="E954" s="20"/>
      <c r="F954" s="20"/>
      <c r="G954" s="20"/>
      <c r="H954" s="20"/>
      <c r="I954" s="20"/>
      <c r="J954" s="20"/>
      <c r="K954" s="20"/>
      <c r="L954" s="20"/>
      <c r="M954" s="20"/>
      <c r="N954" s="20"/>
      <c r="O954" s="20"/>
      <c r="P954" s="20"/>
      <c r="Q954" s="20"/>
      <c r="R954" s="20"/>
      <c r="S954" s="20"/>
      <c r="T954" s="20"/>
      <c r="U954" s="20"/>
      <c r="V954" s="20"/>
      <c r="W954" s="20"/>
      <c r="X954" s="20"/>
    </row>
    <row r="955">
      <c r="A955" s="20"/>
      <c r="B955" s="28"/>
      <c r="C955" s="20" t="str">
        <f>IFERROR(__xludf.DUMMYFUNCTION("IF(A955="""","""",TEXTJOIN(CHAR(10),TRUE,FILTER('Tổng hợp 75 trang đích'!$B$2:$B$3400,'Tổng hợp 75 trang đích'!$I$2:$I$3400=A955)))"),"")</f>
        <v/>
      </c>
      <c r="D955" s="20"/>
      <c r="E955" s="20"/>
      <c r="F955" s="20"/>
      <c r="G955" s="20"/>
      <c r="H955" s="20"/>
      <c r="I955" s="20"/>
      <c r="J955" s="20"/>
      <c r="K955" s="20"/>
      <c r="L955" s="20"/>
      <c r="M955" s="20"/>
      <c r="N955" s="20"/>
      <c r="O955" s="20"/>
      <c r="P955" s="20"/>
      <c r="Q955" s="20"/>
      <c r="R955" s="20"/>
      <c r="S955" s="20"/>
      <c r="T955" s="20"/>
      <c r="U955" s="20"/>
      <c r="V955" s="20"/>
      <c r="W955" s="20"/>
      <c r="X955" s="20"/>
    </row>
    <row r="956">
      <c r="A956" s="20"/>
      <c r="B956" s="28"/>
      <c r="C956" s="20" t="str">
        <f>IFERROR(__xludf.DUMMYFUNCTION("IF(A956="""","""",TEXTJOIN(CHAR(10),TRUE,FILTER('Tổng hợp 75 trang đích'!$B$2:$B$3400,'Tổng hợp 75 trang đích'!$I$2:$I$3400=A956)))"),"")</f>
        <v/>
      </c>
      <c r="D956" s="20"/>
      <c r="E956" s="20"/>
      <c r="F956" s="20"/>
      <c r="G956" s="20"/>
      <c r="H956" s="20"/>
      <c r="I956" s="20"/>
      <c r="J956" s="20"/>
      <c r="K956" s="20"/>
      <c r="L956" s="20"/>
      <c r="M956" s="20"/>
      <c r="N956" s="20"/>
      <c r="O956" s="20"/>
      <c r="P956" s="20"/>
      <c r="Q956" s="20"/>
      <c r="R956" s="20"/>
      <c r="S956" s="20"/>
      <c r="T956" s="20"/>
      <c r="U956" s="20"/>
      <c r="V956" s="20"/>
      <c r="W956" s="20"/>
      <c r="X956" s="20"/>
    </row>
    <row r="957">
      <c r="A957" s="20"/>
      <c r="B957" s="28"/>
      <c r="C957" s="20" t="str">
        <f>IFERROR(__xludf.DUMMYFUNCTION("IF(A957="""","""",TEXTJOIN(CHAR(10),TRUE,FILTER('Tổng hợp 75 trang đích'!$B$2:$B$3400,'Tổng hợp 75 trang đích'!$I$2:$I$3400=A957)))"),"")</f>
        <v/>
      </c>
      <c r="D957" s="20"/>
      <c r="E957" s="20"/>
      <c r="F957" s="20"/>
      <c r="G957" s="20"/>
      <c r="H957" s="20"/>
      <c r="I957" s="20"/>
      <c r="J957" s="20"/>
      <c r="K957" s="20"/>
      <c r="L957" s="20"/>
      <c r="M957" s="20"/>
      <c r="N957" s="20"/>
      <c r="O957" s="20"/>
      <c r="P957" s="20"/>
      <c r="Q957" s="20"/>
      <c r="R957" s="20"/>
      <c r="S957" s="20"/>
      <c r="T957" s="20"/>
      <c r="U957" s="20"/>
      <c r="V957" s="20"/>
      <c r="W957" s="20"/>
      <c r="X957" s="20"/>
    </row>
    <row r="958">
      <c r="A958" s="20"/>
      <c r="B958" s="28"/>
      <c r="C958" s="20" t="str">
        <f>IFERROR(__xludf.DUMMYFUNCTION("IF(A958="""","""",TEXTJOIN(CHAR(10),TRUE,FILTER('Tổng hợp 75 trang đích'!$B$2:$B$3400,'Tổng hợp 75 trang đích'!$I$2:$I$3400=A958)))"),"")</f>
        <v/>
      </c>
      <c r="D958" s="20"/>
      <c r="E958" s="20"/>
      <c r="F958" s="20"/>
      <c r="G958" s="20"/>
      <c r="H958" s="20"/>
      <c r="I958" s="20"/>
      <c r="J958" s="20"/>
      <c r="K958" s="20"/>
      <c r="L958" s="20"/>
      <c r="M958" s="20"/>
      <c r="N958" s="20"/>
      <c r="O958" s="20"/>
      <c r="P958" s="20"/>
      <c r="Q958" s="20"/>
      <c r="R958" s="20"/>
      <c r="S958" s="20"/>
      <c r="T958" s="20"/>
      <c r="U958" s="20"/>
      <c r="V958" s="20"/>
      <c r="W958" s="20"/>
      <c r="X958" s="20"/>
    </row>
    <row r="959">
      <c r="A959" s="20"/>
      <c r="B959" s="28"/>
      <c r="C959" s="20" t="str">
        <f>IFERROR(__xludf.DUMMYFUNCTION("IF(A959="""","""",TEXTJOIN(CHAR(10),TRUE,FILTER('Tổng hợp 75 trang đích'!$B$2:$B$3400,'Tổng hợp 75 trang đích'!$I$2:$I$3400=A959)))"),"")</f>
        <v/>
      </c>
      <c r="D959" s="20"/>
      <c r="E959" s="20"/>
      <c r="F959" s="20"/>
      <c r="G959" s="20"/>
      <c r="H959" s="20"/>
      <c r="I959" s="20"/>
      <c r="J959" s="20"/>
      <c r="K959" s="20"/>
      <c r="L959" s="20"/>
      <c r="M959" s="20"/>
      <c r="N959" s="20"/>
      <c r="O959" s="20"/>
      <c r="P959" s="20"/>
      <c r="Q959" s="20"/>
      <c r="R959" s="20"/>
      <c r="S959" s="20"/>
      <c r="T959" s="20"/>
      <c r="U959" s="20"/>
      <c r="V959" s="20"/>
      <c r="W959" s="20"/>
      <c r="X959" s="20"/>
    </row>
    <row r="960">
      <c r="A960" s="20"/>
      <c r="B960" s="28"/>
      <c r="C960" s="20" t="str">
        <f>IFERROR(__xludf.DUMMYFUNCTION("IF(A960="""","""",TEXTJOIN(CHAR(10),TRUE,FILTER('Tổng hợp 75 trang đích'!$B$2:$B$3400,'Tổng hợp 75 trang đích'!$I$2:$I$3400=A960)))"),"")</f>
        <v/>
      </c>
      <c r="D960" s="20"/>
      <c r="E960" s="20"/>
      <c r="F960" s="20"/>
      <c r="G960" s="20"/>
      <c r="H960" s="20"/>
      <c r="I960" s="20"/>
      <c r="J960" s="20"/>
      <c r="K960" s="20"/>
      <c r="L960" s="20"/>
      <c r="M960" s="20"/>
      <c r="N960" s="20"/>
      <c r="O960" s="20"/>
      <c r="P960" s="20"/>
      <c r="Q960" s="20"/>
      <c r="R960" s="20"/>
      <c r="S960" s="20"/>
      <c r="T960" s="20"/>
      <c r="U960" s="20"/>
      <c r="V960" s="20"/>
      <c r="W960" s="20"/>
      <c r="X960" s="20"/>
    </row>
    <row r="961">
      <c r="A961" s="20"/>
      <c r="B961" s="28"/>
      <c r="C961" s="20" t="str">
        <f>IFERROR(__xludf.DUMMYFUNCTION("IF(A961="""","""",TEXTJOIN(CHAR(10),TRUE,FILTER('Tổng hợp 75 trang đích'!$B$2:$B$3400,'Tổng hợp 75 trang đích'!$I$2:$I$3400=A961)))"),"")</f>
        <v/>
      </c>
      <c r="D961" s="20"/>
      <c r="E961" s="20"/>
      <c r="F961" s="20"/>
      <c r="G961" s="20"/>
      <c r="H961" s="20"/>
      <c r="I961" s="20"/>
      <c r="J961" s="20"/>
      <c r="K961" s="20"/>
      <c r="L961" s="20"/>
      <c r="M961" s="20"/>
      <c r="N961" s="20"/>
      <c r="O961" s="20"/>
      <c r="P961" s="20"/>
      <c r="Q961" s="20"/>
      <c r="R961" s="20"/>
      <c r="S961" s="20"/>
      <c r="T961" s="20"/>
      <c r="U961" s="20"/>
      <c r="V961" s="20"/>
      <c r="W961" s="20"/>
      <c r="X961" s="20"/>
    </row>
    <row r="962">
      <c r="A962" s="20"/>
      <c r="B962" s="28"/>
      <c r="C962" s="20" t="str">
        <f>IFERROR(__xludf.DUMMYFUNCTION("IF(A962="""","""",TEXTJOIN(CHAR(10),TRUE,FILTER('Tổng hợp 75 trang đích'!$B$2:$B$3400,'Tổng hợp 75 trang đích'!$I$2:$I$3400=A962)))"),"")</f>
        <v/>
      </c>
      <c r="D962" s="20"/>
      <c r="E962" s="20"/>
      <c r="F962" s="20"/>
      <c r="G962" s="20"/>
      <c r="H962" s="20"/>
      <c r="I962" s="20"/>
      <c r="J962" s="20"/>
      <c r="K962" s="20"/>
      <c r="L962" s="20"/>
      <c r="M962" s="20"/>
      <c r="N962" s="20"/>
      <c r="O962" s="20"/>
      <c r="P962" s="20"/>
      <c r="Q962" s="20"/>
      <c r="R962" s="20"/>
      <c r="S962" s="20"/>
      <c r="T962" s="20"/>
      <c r="U962" s="20"/>
      <c r="V962" s="20"/>
      <c r="W962" s="20"/>
      <c r="X962" s="20"/>
    </row>
    <row r="963">
      <c r="A963" s="20"/>
      <c r="B963" s="28"/>
      <c r="C963" s="20" t="str">
        <f>IFERROR(__xludf.DUMMYFUNCTION("IF(A963="""","""",TEXTJOIN(CHAR(10),TRUE,FILTER('Tổng hợp 75 trang đích'!$B$2:$B$3400,'Tổng hợp 75 trang đích'!$I$2:$I$3400=A963)))"),"")</f>
        <v/>
      </c>
      <c r="D963" s="20"/>
      <c r="E963" s="20"/>
      <c r="F963" s="20"/>
      <c r="G963" s="20"/>
      <c r="H963" s="20"/>
      <c r="I963" s="20"/>
      <c r="J963" s="20"/>
      <c r="K963" s="20"/>
      <c r="L963" s="20"/>
      <c r="M963" s="20"/>
      <c r="N963" s="20"/>
      <c r="O963" s="20"/>
      <c r="P963" s="20"/>
      <c r="Q963" s="20"/>
      <c r="R963" s="20"/>
      <c r="S963" s="20"/>
      <c r="T963" s="20"/>
      <c r="U963" s="20"/>
      <c r="V963" s="20"/>
      <c r="W963" s="20"/>
      <c r="X963" s="20"/>
    </row>
    <row r="964">
      <c r="A964" s="20"/>
      <c r="B964" s="28"/>
      <c r="C964" s="20" t="str">
        <f>IFERROR(__xludf.DUMMYFUNCTION("IF(A964="""","""",TEXTJOIN(CHAR(10),TRUE,FILTER('Tổng hợp 75 trang đích'!$B$2:$B$3400,'Tổng hợp 75 trang đích'!$I$2:$I$3400=A964)))"),"")</f>
        <v/>
      </c>
      <c r="D964" s="20"/>
      <c r="E964" s="20"/>
      <c r="F964" s="20"/>
      <c r="G964" s="20"/>
      <c r="H964" s="20"/>
      <c r="I964" s="20"/>
      <c r="J964" s="20"/>
      <c r="K964" s="20"/>
      <c r="L964" s="20"/>
      <c r="M964" s="20"/>
      <c r="N964" s="20"/>
      <c r="O964" s="20"/>
      <c r="P964" s="20"/>
      <c r="Q964" s="20"/>
      <c r="R964" s="20"/>
      <c r="S964" s="20"/>
      <c r="T964" s="20"/>
      <c r="U964" s="20"/>
      <c r="V964" s="20"/>
      <c r="W964" s="20"/>
      <c r="X964" s="20"/>
    </row>
    <row r="965">
      <c r="A965" s="20"/>
      <c r="B965" s="28"/>
      <c r="C965" s="20" t="str">
        <f>IFERROR(__xludf.DUMMYFUNCTION("IF(A965="""","""",TEXTJOIN(CHAR(10),TRUE,FILTER('Tổng hợp 75 trang đích'!$B$2:$B$3400,'Tổng hợp 75 trang đích'!$I$2:$I$3400=A965)))"),"")</f>
        <v/>
      </c>
      <c r="D965" s="20"/>
      <c r="E965" s="20"/>
      <c r="F965" s="20"/>
      <c r="G965" s="20"/>
      <c r="H965" s="20"/>
      <c r="I965" s="20"/>
      <c r="J965" s="20"/>
      <c r="K965" s="20"/>
      <c r="L965" s="20"/>
      <c r="M965" s="20"/>
      <c r="N965" s="20"/>
      <c r="O965" s="20"/>
      <c r="P965" s="20"/>
      <c r="Q965" s="20"/>
      <c r="R965" s="20"/>
      <c r="S965" s="20"/>
      <c r="T965" s="20"/>
      <c r="U965" s="20"/>
      <c r="V965" s="20"/>
      <c r="W965" s="20"/>
      <c r="X965" s="20"/>
    </row>
    <row r="966">
      <c r="A966" s="20"/>
      <c r="B966" s="28"/>
      <c r="C966" s="20" t="str">
        <f>IFERROR(__xludf.DUMMYFUNCTION("IF(A966="""","""",TEXTJOIN(CHAR(10),TRUE,FILTER('Tổng hợp 75 trang đích'!$B$2:$B$3400,'Tổng hợp 75 trang đích'!$I$2:$I$3400=A966)))"),"")</f>
        <v/>
      </c>
      <c r="D966" s="20"/>
      <c r="E966" s="20"/>
      <c r="F966" s="20"/>
      <c r="G966" s="20"/>
      <c r="H966" s="20"/>
      <c r="I966" s="20"/>
      <c r="J966" s="20"/>
      <c r="K966" s="20"/>
      <c r="L966" s="20"/>
      <c r="M966" s="20"/>
      <c r="N966" s="20"/>
      <c r="O966" s="20"/>
      <c r="P966" s="20"/>
      <c r="Q966" s="20"/>
      <c r="R966" s="20"/>
      <c r="S966" s="20"/>
      <c r="T966" s="20"/>
      <c r="U966" s="20"/>
      <c r="V966" s="20"/>
      <c r="W966" s="20"/>
      <c r="X966" s="20"/>
    </row>
    <row r="967">
      <c r="A967" s="20"/>
      <c r="B967" s="28"/>
      <c r="C967" s="20" t="str">
        <f>IFERROR(__xludf.DUMMYFUNCTION("IF(A967="""","""",TEXTJOIN(CHAR(10),TRUE,FILTER('Tổng hợp 75 trang đích'!$B$2:$B$3400,'Tổng hợp 75 trang đích'!$I$2:$I$3400=A967)))"),"")</f>
        <v/>
      </c>
      <c r="D967" s="20"/>
      <c r="E967" s="20"/>
      <c r="F967" s="20"/>
      <c r="G967" s="20"/>
      <c r="H967" s="20"/>
      <c r="I967" s="20"/>
      <c r="J967" s="20"/>
      <c r="K967" s="20"/>
      <c r="L967" s="20"/>
      <c r="M967" s="20"/>
      <c r="N967" s="20"/>
      <c r="O967" s="20"/>
      <c r="P967" s="20"/>
      <c r="Q967" s="20"/>
      <c r="R967" s="20"/>
      <c r="S967" s="20"/>
      <c r="T967" s="20"/>
      <c r="U967" s="20"/>
      <c r="V967" s="20"/>
      <c r="W967" s="20"/>
      <c r="X967" s="20"/>
    </row>
    <row r="968">
      <c r="A968" s="20"/>
      <c r="B968" s="28"/>
      <c r="C968" s="20" t="str">
        <f>IFERROR(__xludf.DUMMYFUNCTION("IF(A968="""","""",TEXTJOIN(CHAR(10),TRUE,FILTER('Tổng hợp 75 trang đích'!$B$2:$B$3400,'Tổng hợp 75 trang đích'!$I$2:$I$3400=A968)))"),"")</f>
        <v/>
      </c>
      <c r="D968" s="20"/>
      <c r="E968" s="20"/>
      <c r="F968" s="20"/>
      <c r="G968" s="20"/>
      <c r="H968" s="20"/>
      <c r="I968" s="20"/>
      <c r="J968" s="20"/>
      <c r="K968" s="20"/>
      <c r="L968" s="20"/>
      <c r="M968" s="20"/>
      <c r="N968" s="20"/>
      <c r="O968" s="20"/>
      <c r="P968" s="20"/>
      <c r="Q968" s="20"/>
      <c r="R968" s="20"/>
      <c r="S968" s="20"/>
      <c r="T968" s="20"/>
      <c r="U968" s="20"/>
      <c r="V968" s="20"/>
      <c r="W968" s="20"/>
      <c r="X968" s="20"/>
    </row>
    <row r="969">
      <c r="A969" s="20"/>
      <c r="B969" s="28"/>
      <c r="C969" s="20" t="str">
        <f>IFERROR(__xludf.DUMMYFUNCTION("IF(A969="""","""",TEXTJOIN(CHAR(10),TRUE,FILTER('Tổng hợp 75 trang đích'!$B$2:$B$3400,'Tổng hợp 75 trang đích'!$I$2:$I$3400=A969)))"),"")</f>
        <v/>
      </c>
      <c r="D969" s="20"/>
      <c r="E969" s="20"/>
      <c r="F969" s="20"/>
      <c r="G969" s="20"/>
      <c r="H969" s="20"/>
      <c r="I969" s="20"/>
      <c r="J969" s="20"/>
      <c r="K969" s="20"/>
      <c r="L969" s="20"/>
      <c r="M969" s="20"/>
      <c r="N969" s="20"/>
      <c r="O969" s="20"/>
      <c r="P969" s="20"/>
      <c r="Q969" s="20"/>
      <c r="R969" s="20"/>
      <c r="S969" s="20"/>
      <c r="T969" s="20"/>
      <c r="U969" s="20"/>
      <c r="V969" s="20"/>
      <c r="W969" s="20"/>
      <c r="X969" s="20"/>
    </row>
    <row r="970">
      <c r="A970" s="20"/>
      <c r="B970" s="28"/>
      <c r="C970" s="20" t="str">
        <f>IFERROR(__xludf.DUMMYFUNCTION("IF(A970="""","""",TEXTJOIN(CHAR(10),TRUE,FILTER('Tổng hợp 75 trang đích'!$B$2:$B$3400,'Tổng hợp 75 trang đích'!$I$2:$I$3400=A970)))"),"")</f>
        <v/>
      </c>
      <c r="D970" s="20"/>
      <c r="E970" s="20"/>
      <c r="F970" s="20"/>
      <c r="G970" s="20"/>
      <c r="H970" s="20"/>
      <c r="I970" s="20"/>
      <c r="J970" s="20"/>
      <c r="K970" s="20"/>
      <c r="L970" s="20"/>
      <c r="M970" s="20"/>
      <c r="N970" s="20"/>
      <c r="O970" s="20"/>
      <c r="P970" s="20"/>
      <c r="Q970" s="20"/>
      <c r="R970" s="20"/>
      <c r="S970" s="20"/>
      <c r="T970" s="20"/>
      <c r="U970" s="20"/>
      <c r="V970" s="20"/>
      <c r="W970" s="20"/>
      <c r="X970" s="20"/>
    </row>
    <row r="971">
      <c r="A971" s="20"/>
      <c r="B971" s="28"/>
      <c r="C971" s="20" t="str">
        <f>IFERROR(__xludf.DUMMYFUNCTION("IF(A971="""","""",TEXTJOIN(CHAR(10),TRUE,FILTER('Tổng hợp 75 trang đích'!$B$2:$B$3400,'Tổng hợp 75 trang đích'!$I$2:$I$3400=A971)))"),"")</f>
        <v/>
      </c>
      <c r="D971" s="20"/>
      <c r="E971" s="20"/>
      <c r="F971" s="20"/>
      <c r="G971" s="20"/>
      <c r="H971" s="20"/>
      <c r="I971" s="20"/>
      <c r="J971" s="20"/>
      <c r="K971" s="20"/>
      <c r="L971" s="20"/>
      <c r="M971" s="20"/>
      <c r="N971" s="20"/>
      <c r="O971" s="20"/>
      <c r="P971" s="20"/>
      <c r="Q971" s="20"/>
      <c r="R971" s="20"/>
      <c r="S971" s="20"/>
      <c r="T971" s="20"/>
      <c r="U971" s="20"/>
      <c r="V971" s="20"/>
      <c r="W971" s="20"/>
      <c r="X971" s="20"/>
    </row>
    <row r="972">
      <c r="A972" s="20"/>
      <c r="B972" s="28"/>
      <c r="C972" s="20" t="str">
        <f>IFERROR(__xludf.DUMMYFUNCTION("IF(A972="""","""",TEXTJOIN(CHAR(10),TRUE,FILTER('Tổng hợp 75 trang đích'!$B$2:$B$3400,'Tổng hợp 75 trang đích'!$I$2:$I$3400=A972)))"),"")</f>
        <v/>
      </c>
      <c r="D972" s="20"/>
      <c r="E972" s="20"/>
      <c r="F972" s="20"/>
      <c r="G972" s="20"/>
      <c r="H972" s="20"/>
      <c r="I972" s="20"/>
      <c r="J972" s="20"/>
      <c r="K972" s="20"/>
      <c r="L972" s="20"/>
      <c r="M972" s="20"/>
      <c r="N972" s="20"/>
      <c r="O972" s="20"/>
      <c r="P972" s="20"/>
      <c r="Q972" s="20"/>
      <c r="R972" s="20"/>
      <c r="S972" s="20"/>
      <c r="T972" s="20"/>
      <c r="U972" s="20"/>
      <c r="V972" s="20"/>
      <c r="W972" s="20"/>
      <c r="X972" s="20"/>
    </row>
    <row r="973">
      <c r="A973" s="20"/>
      <c r="B973" s="28"/>
      <c r="C973" s="20" t="str">
        <f>IFERROR(__xludf.DUMMYFUNCTION("IF(A973="""","""",TEXTJOIN(CHAR(10),TRUE,FILTER('Tổng hợp 75 trang đích'!$B$2:$B$3400,'Tổng hợp 75 trang đích'!$I$2:$I$3400=A973)))"),"")</f>
        <v/>
      </c>
      <c r="D973" s="20"/>
      <c r="E973" s="20"/>
      <c r="F973" s="20"/>
      <c r="G973" s="20"/>
      <c r="H973" s="20"/>
      <c r="I973" s="20"/>
      <c r="J973" s="20"/>
      <c r="K973" s="20"/>
      <c r="L973" s="20"/>
      <c r="M973" s="20"/>
      <c r="N973" s="20"/>
      <c r="O973" s="20"/>
      <c r="P973" s="20"/>
      <c r="Q973" s="20"/>
      <c r="R973" s="20"/>
      <c r="S973" s="20"/>
      <c r="T973" s="20"/>
      <c r="U973" s="20"/>
      <c r="V973" s="20"/>
      <c r="W973" s="20"/>
      <c r="X973" s="20"/>
    </row>
    <row r="974">
      <c r="A974" s="20"/>
      <c r="B974" s="28"/>
      <c r="C974" s="20" t="str">
        <f>IFERROR(__xludf.DUMMYFUNCTION("IF(A974="""","""",TEXTJOIN(CHAR(10),TRUE,FILTER('Tổng hợp 75 trang đích'!$B$2:$B$3400,'Tổng hợp 75 trang đích'!$I$2:$I$3400=A974)))"),"")</f>
        <v/>
      </c>
      <c r="D974" s="20"/>
      <c r="E974" s="20"/>
      <c r="F974" s="20"/>
      <c r="G974" s="20"/>
      <c r="H974" s="20"/>
      <c r="I974" s="20"/>
      <c r="J974" s="20"/>
      <c r="K974" s="20"/>
      <c r="L974" s="20"/>
      <c r="M974" s="20"/>
      <c r="N974" s="20"/>
      <c r="O974" s="20"/>
      <c r="P974" s="20"/>
      <c r="Q974" s="20"/>
      <c r="R974" s="20"/>
      <c r="S974" s="20"/>
      <c r="T974" s="20"/>
      <c r="U974" s="20"/>
      <c r="V974" s="20"/>
      <c r="W974" s="20"/>
      <c r="X974" s="20"/>
    </row>
    <row r="975">
      <c r="A975" s="20"/>
      <c r="B975" s="28"/>
      <c r="C975" s="20" t="str">
        <f>IFERROR(__xludf.DUMMYFUNCTION("IF(A975="""","""",TEXTJOIN(CHAR(10),TRUE,FILTER('Tổng hợp 75 trang đích'!$B$2:$B$3400,'Tổng hợp 75 trang đích'!$I$2:$I$3400=A975)))"),"")</f>
        <v/>
      </c>
      <c r="D975" s="20"/>
      <c r="E975" s="20"/>
      <c r="F975" s="20"/>
      <c r="G975" s="20"/>
      <c r="H975" s="20"/>
      <c r="I975" s="20"/>
      <c r="J975" s="20"/>
      <c r="K975" s="20"/>
      <c r="L975" s="20"/>
      <c r="M975" s="20"/>
      <c r="N975" s="20"/>
      <c r="O975" s="20"/>
      <c r="P975" s="20"/>
      <c r="Q975" s="20"/>
      <c r="R975" s="20"/>
      <c r="S975" s="20"/>
      <c r="T975" s="20"/>
      <c r="U975" s="20"/>
      <c r="V975" s="20"/>
      <c r="W975" s="20"/>
      <c r="X975" s="20"/>
    </row>
    <row r="976">
      <c r="A976" s="20"/>
      <c r="B976" s="28"/>
      <c r="C976" s="20" t="str">
        <f>IFERROR(__xludf.DUMMYFUNCTION("IF(A976="""","""",TEXTJOIN(CHAR(10),TRUE,FILTER('Tổng hợp 75 trang đích'!$B$2:$B$3400,'Tổng hợp 75 trang đích'!$I$2:$I$3400=A976)))"),"")</f>
        <v/>
      </c>
      <c r="D976" s="20"/>
      <c r="E976" s="20"/>
      <c r="F976" s="20"/>
      <c r="G976" s="20"/>
      <c r="H976" s="20"/>
      <c r="I976" s="20"/>
      <c r="J976" s="20"/>
      <c r="K976" s="20"/>
      <c r="L976" s="20"/>
      <c r="M976" s="20"/>
      <c r="N976" s="20"/>
      <c r="O976" s="20"/>
      <c r="P976" s="20"/>
      <c r="Q976" s="20"/>
      <c r="R976" s="20"/>
      <c r="S976" s="20"/>
      <c r="T976" s="20"/>
      <c r="U976" s="20"/>
      <c r="V976" s="20"/>
      <c r="W976" s="20"/>
      <c r="X976" s="20"/>
    </row>
    <row r="977">
      <c r="A977" s="20"/>
      <c r="B977" s="28"/>
      <c r="C977" s="20" t="str">
        <f>IFERROR(__xludf.DUMMYFUNCTION("IF(A977="""","""",TEXTJOIN(CHAR(10),TRUE,FILTER('Tổng hợp 75 trang đích'!$B$2:$B$3400,'Tổng hợp 75 trang đích'!$I$2:$I$3400=A977)))"),"")</f>
        <v/>
      </c>
      <c r="D977" s="20"/>
      <c r="E977" s="20"/>
      <c r="F977" s="20"/>
      <c r="G977" s="20"/>
      <c r="H977" s="20"/>
      <c r="I977" s="20"/>
      <c r="J977" s="20"/>
      <c r="K977" s="20"/>
      <c r="L977" s="20"/>
      <c r="M977" s="20"/>
      <c r="N977" s="20"/>
      <c r="O977" s="20"/>
      <c r="P977" s="20"/>
      <c r="Q977" s="20"/>
      <c r="R977" s="20"/>
      <c r="S977" s="20"/>
      <c r="T977" s="20"/>
      <c r="U977" s="20"/>
      <c r="V977" s="20"/>
      <c r="W977" s="20"/>
      <c r="X977" s="20"/>
    </row>
    <row r="978">
      <c r="A978" s="20"/>
      <c r="B978" s="28"/>
      <c r="C978" s="20" t="str">
        <f>IFERROR(__xludf.DUMMYFUNCTION("IF(A978="""","""",TEXTJOIN(CHAR(10),TRUE,FILTER('Tổng hợp 75 trang đích'!$B$2:$B$3400,'Tổng hợp 75 trang đích'!$I$2:$I$3400=A978)))"),"")</f>
        <v/>
      </c>
      <c r="D978" s="20"/>
      <c r="E978" s="20"/>
      <c r="F978" s="20"/>
      <c r="G978" s="20"/>
      <c r="H978" s="20"/>
      <c r="I978" s="20"/>
      <c r="J978" s="20"/>
      <c r="K978" s="20"/>
      <c r="L978" s="20"/>
      <c r="M978" s="20"/>
      <c r="N978" s="20"/>
      <c r="O978" s="20"/>
      <c r="P978" s="20"/>
      <c r="Q978" s="20"/>
      <c r="R978" s="20"/>
      <c r="S978" s="20"/>
      <c r="T978" s="20"/>
      <c r="U978" s="20"/>
      <c r="V978" s="20"/>
      <c r="W978" s="20"/>
      <c r="X978" s="20"/>
    </row>
    <row r="979">
      <c r="A979" s="20"/>
      <c r="B979" s="28"/>
      <c r="C979" s="20" t="str">
        <f>IFERROR(__xludf.DUMMYFUNCTION("IF(A979="""","""",TEXTJOIN(CHAR(10),TRUE,FILTER('Tổng hợp 75 trang đích'!$B$2:$B$3400,'Tổng hợp 75 trang đích'!$I$2:$I$3400=A979)))"),"")</f>
        <v/>
      </c>
      <c r="D979" s="20"/>
      <c r="E979" s="20"/>
      <c r="F979" s="20"/>
      <c r="G979" s="20"/>
      <c r="H979" s="20"/>
      <c r="I979" s="20"/>
      <c r="J979" s="20"/>
      <c r="K979" s="20"/>
      <c r="L979" s="20"/>
      <c r="M979" s="20"/>
      <c r="N979" s="20"/>
      <c r="O979" s="20"/>
      <c r="P979" s="20"/>
      <c r="Q979" s="20"/>
      <c r="R979" s="20"/>
      <c r="S979" s="20"/>
      <c r="T979" s="20"/>
      <c r="U979" s="20"/>
      <c r="V979" s="20"/>
      <c r="W979" s="20"/>
      <c r="X979" s="20"/>
    </row>
    <row r="980">
      <c r="A980" s="20"/>
      <c r="B980" s="28"/>
      <c r="C980" s="20" t="str">
        <f>IFERROR(__xludf.DUMMYFUNCTION("IF(A980="""","""",TEXTJOIN(CHAR(10),TRUE,FILTER('Tổng hợp 75 trang đích'!$B$2:$B$3400,'Tổng hợp 75 trang đích'!$I$2:$I$3400=A980)))"),"")</f>
        <v/>
      </c>
      <c r="D980" s="20"/>
      <c r="E980" s="20"/>
      <c r="F980" s="20"/>
      <c r="G980" s="20"/>
      <c r="H980" s="20"/>
      <c r="I980" s="20"/>
      <c r="J980" s="20"/>
      <c r="K980" s="20"/>
      <c r="L980" s="20"/>
      <c r="M980" s="20"/>
      <c r="N980" s="20"/>
      <c r="O980" s="20"/>
      <c r="P980" s="20"/>
      <c r="Q980" s="20"/>
      <c r="R980" s="20"/>
      <c r="S980" s="20"/>
      <c r="T980" s="20"/>
      <c r="U980" s="20"/>
      <c r="V980" s="20"/>
      <c r="W980" s="20"/>
      <c r="X980" s="20"/>
    </row>
    <row r="981">
      <c r="A981" s="20"/>
      <c r="B981" s="28"/>
      <c r="C981" s="20" t="str">
        <f>IFERROR(__xludf.DUMMYFUNCTION("IF(A981="""","""",TEXTJOIN(CHAR(10),TRUE,FILTER('Tổng hợp 75 trang đích'!$B$2:$B$3400,'Tổng hợp 75 trang đích'!$I$2:$I$3400=A981)))"),"")</f>
        <v/>
      </c>
      <c r="D981" s="20"/>
      <c r="E981" s="20"/>
      <c r="F981" s="20"/>
      <c r="G981" s="20"/>
      <c r="H981" s="20"/>
      <c r="I981" s="20"/>
      <c r="J981" s="20"/>
      <c r="K981" s="20"/>
      <c r="L981" s="20"/>
      <c r="M981" s="20"/>
      <c r="N981" s="20"/>
      <c r="O981" s="20"/>
      <c r="P981" s="20"/>
      <c r="Q981" s="20"/>
      <c r="R981" s="20"/>
      <c r="S981" s="20"/>
      <c r="T981" s="20"/>
      <c r="U981" s="20"/>
      <c r="V981" s="20"/>
      <c r="W981" s="20"/>
      <c r="X981" s="20"/>
    </row>
    <row r="982">
      <c r="A982" s="20"/>
      <c r="B982" s="28"/>
      <c r="C982" s="20" t="str">
        <f>IFERROR(__xludf.DUMMYFUNCTION("IF(A982="""","""",TEXTJOIN(CHAR(10),TRUE,FILTER('Tổng hợp 75 trang đích'!$B$2:$B$3400,'Tổng hợp 75 trang đích'!$I$2:$I$3400=A982)))"),"")</f>
        <v/>
      </c>
      <c r="D982" s="20"/>
      <c r="E982" s="20"/>
      <c r="F982" s="20"/>
      <c r="G982" s="20"/>
      <c r="H982" s="20"/>
      <c r="I982" s="20"/>
      <c r="J982" s="20"/>
      <c r="K982" s="20"/>
      <c r="L982" s="20"/>
      <c r="M982" s="20"/>
      <c r="N982" s="20"/>
      <c r="O982" s="20"/>
      <c r="P982" s="20"/>
      <c r="Q982" s="20"/>
      <c r="R982" s="20"/>
      <c r="S982" s="20"/>
      <c r="T982" s="20"/>
      <c r="U982" s="20"/>
      <c r="V982" s="20"/>
      <c r="W982" s="20"/>
      <c r="X982" s="20"/>
    </row>
    <row r="983">
      <c r="A983" s="20"/>
      <c r="B983" s="28"/>
      <c r="C983" s="20" t="str">
        <f>IFERROR(__xludf.DUMMYFUNCTION("IF(A983="""","""",TEXTJOIN(CHAR(10),TRUE,FILTER('Tổng hợp 75 trang đích'!$B$2:$B$3400,'Tổng hợp 75 trang đích'!$I$2:$I$3400=A983)))"),"")</f>
        <v/>
      </c>
      <c r="D983" s="20"/>
      <c r="E983" s="20"/>
      <c r="F983" s="20"/>
      <c r="G983" s="20"/>
      <c r="H983" s="20"/>
      <c r="I983" s="20"/>
      <c r="J983" s="20"/>
      <c r="K983" s="20"/>
      <c r="L983" s="20"/>
      <c r="M983" s="20"/>
      <c r="N983" s="20"/>
      <c r="O983" s="20"/>
      <c r="P983" s="20"/>
      <c r="Q983" s="20"/>
      <c r="R983" s="20"/>
      <c r="S983" s="20"/>
      <c r="T983" s="20"/>
      <c r="U983" s="20"/>
      <c r="V983" s="20"/>
      <c r="W983" s="20"/>
      <c r="X983" s="20"/>
    </row>
    <row r="984">
      <c r="A984" s="20"/>
      <c r="B984" s="28"/>
      <c r="C984" s="20" t="str">
        <f>IFERROR(__xludf.DUMMYFUNCTION("IF(A984="""","""",TEXTJOIN(CHAR(10),TRUE,FILTER('Tổng hợp 75 trang đích'!$B$2:$B$3400,'Tổng hợp 75 trang đích'!$I$2:$I$3400=A984)))"),"")</f>
        <v/>
      </c>
      <c r="D984" s="20"/>
      <c r="E984" s="20"/>
      <c r="F984" s="20"/>
      <c r="G984" s="20"/>
      <c r="H984" s="20"/>
      <c r="I984" s="20"/>
      <c r="J984" s="20"/>
      <c r="K984" s="20"/>
      <c r="L984" s="20"/>
      <c r="M984" s="20"/>
      <c r="N984" s="20"/>
      <c r="O984" s="20"/>
      <c r="P984" s="20"/>
      <c r="Q984" s="20"/>
      <c r="R984" s="20"/>
      <c r="S984" s="20"/>
      <c r="T984" s="20"/>
      <c r="U984" s="20"/>
      <c r="V984" s="20"/>
      <c r="W984" s="20"/>
      <c r="X984" s="20"/>
    </row>
    <row r="985">
      <c r="A985" s="20"/>
      <c r="B985" s="28"/>
      <c r="C985" s="20" t="str">
        <f>IFERROR(__xludf.DUMMYFUNCTION("IF(A985="""","""",TEXTJOIN(CHAR(10),TRUE,FILTER('Tổng hợp 75 trang đích'!$B$2:$B$3400,'Tổng hợp 75 trang đích'!$I$2:$I$3400=A985)))"),"")</f>
        <v/>
      </c>
      <c r="D985" s="20"/>
      <c r="E985" s="20"/>
      <c r="F985" s="20"/>
      <c r="G985" s="20"/>
      <c r="H985" s="20"/>
      <c r="I985" s="20"/>
      <c r="J985" s="20"/>
      <c r="K985" s="20"/>
      <c r="L985" s="20"/>
      <c r="M985" s="20"/>
      <c r="N985" s="20"/>
      <c r="O985" s="20"/>
      <c r="P985" s="20"/>
      <c r="Q985" s="20"/>
      <c r="R985" s="20"/>
      <c r="S985" s="20"/>
      <c r="T985" s="20"/>
      <c r="U985" s="20"/>
      <c r="V985" s="20"/>
      <c r="W985" s="20"/>
      <c r="X985" s="20"/>
    </row>
    <row r="986">
      <c r="A986" s="20"/>
      <c r="B986" s="28"/>
      <c r="C986" s="20" t="str">
        <f>IFERROR(__xludf.DUMMYFUNCTION("IF(A986="""","""",TEXTJOIN(CHAR(10),TRUE,FILTER('Tổng hợp 75 trang đích'!$B$2:$B$3400,'Tổng hợp 75 trang đích'!$I$2:$I$3400=A986)))"),"")</f>
        <v/>
      </c>
      <c r="D986" s="20"/>
      <c r="E986" s="20"/>
      <c r="F986" s="20"/>
      <c r="G986" s="20"/>
      <c r="H986" s="20"/>
      <c r="I986" s="20"/>
      <c r="J986" s="20"/>
      <c r="K986" s="20"/>
      <c r="L986" s="20"/>
      <c r="M986" s="20"/>
      <c r="N986" s="20"/>
      <c r="O986" s="20"/>
      <c r="P986" s="20"/>
      <c r="Q986" s="20"/>
      <c r="R986" s="20"/>
      <c r="S986" s="20"/>
      <c r="T986" s="20"/>
      <c r="U986" s="20"/>
      <c r="V986" s="20"/>
      <c r="W986" s="20"/>
      <c r="X986" s="20"/>
    </row>
    <row r="987">
      <c r="A987" s="20"/>
      <c r="B987" s="28"/>
      <c r="C987" s="20" t="str">
        <f>IFERROR(__xludf.DUMMYFUNCTION("IF(A987="""","""",TEXTJOIN(CHAR(10),TRUE,FILTER('Tổng hợp 75 trang đích'!$B$2:$B$3400,'Tổng hợp 75 trang đích'!$I$2:$I$3400=A987)))"),"")</f>
        <v/>
      </c>
      <c r="D987" s="20"/>
      <c r="E987" s="20"/>
      <c r="F987" s="20"/>
      <c r="G987" s="20"/>
      <c r="H987" s="20"/>
      <c r="I987" s="20"/>
      <c r="J987" s="20"/>
      <c r="K987" s="20"/>
      <c r="L987" s="20"/>
      <c r="M987" s="20"/>
      <c r="N987" s="20"/>
      <c r="O987" s="20"/>
      <c r="P987" s="20"/>
      <c r="Q987" s="20"/>
      <c r="R987" s="20"/>
      <c r="S987" s="20"/>
      <c r="T987" s="20"/>
      <c r="U987" s="20"/>
      <c r="V987" s="20"/>
      <c r="W987" s="20"/>
      <c r="X987" s="20"/>
    </row>
    <row r="988">
      <c r="A988" s="20"/>
      <c r="B988" s="28"/>
      <c r="C988" s="20" t="str">
        <f>IFERROR(__xludf.DUMMYFUNCTION("IF(A988="""","""",TEXTJOIN(CHAR(10),TRUE,FILTER('Tổng hợp 75 trang đích'!$B$2:$B$3400,'Tổng hợp 75 trang đích'!$I$2:$I$3400=A988)))"),"")</f>
        <v/>
      </c>
      <c r="D988" s="20"/>
      <c r="E988" s="20"/>
      <c r="F988" s="20"/>
      <c r="G988" s="20"/>
      <c r="H988" s="20"/>
      <c r="I988" s="20"/>
      <c r="J988" s="20"/>
      <c r="K988" s="20"/>
      <c r="L988" s="20"/>
      <c r="M988" s="20"/>
      <c r="N988" s="20"/>
      <c r="O988" s="20"/>
      <c r="P988" s="20"/>
      <c r="Q988" s="20"/>
      <c r="R988" s="20"/>
      <c r="S988" s="20"/>
      <c r="T988" s="20"/>
      <c r="U988" s="20"/>
      <c r="V988" s="20"/>
      <c r="W988" s="20"/>
      <c r="X988" s="20"/>
    </row>
    <row r="989">
      <c r="A989" s="20"/>
      <c r="B989" s="28"/>
      <c r="C989" s="20" t="str">
        <f>IFERROR(__xludf.DUMMYFUNCTION("IF(A989="""","""",TEXTJOIN(CHAR(10),TRUE,FILTER('Tổng hợp 75 trang đích'!$B$2:$B$3400,'Tổng hợp 75 trang đích'!$I$2:$I$3400=A989)))"),"")</f>
        <v/>
      </c>
      <c r="D989" s="20"/>
      <c r="E989" s="20"/>
      <c r="F989" s="20"/>
      <c r="G989" s="20"/>
      <c r="H989" s="20"/>
      <c r="I989" s="20"/>
      <c r="J989" s="20"/>
      <c r="K989" s="20"/>
      <c r="L989" s="20"/>
      <c r="M989" s="20"/>
      <c r="N989" s="20"/>
      <c r="O989" s="20"/>
      <c r="P989" s="20"/>
      <c r="Q989" s="20"/>
      <c r="R989" s="20"/>
      <c r="S989" s="20"/>
      <c r="T989" s="20"/>
      <c r="U989" s="20"/>
      <c r="V989" s="20"/>
      <c r="W989" s="20"/>
      <c r="X989" s="20"/>
    </row>
    <row r="990">
      <c r="A990" s="20"/>
      <c r="B990" s="28"/>
      <c r="C990" s="20" t="str">
        <f>IFERROR(__xludf.DUMMYFUNCTION("IF(A990="""","""",TEXTJOIN(CHAR(10),TRUE,FILTER('Tổng hợp 75 trang đích'!$B$2:$B$3400,'Tổng hợp 75 trang đích'!$I$2:$I$3400=A990)))"),"")</f>
        <v/>
      </c>
      <c r="D990" s="20"/>
      <c r="E990" s="20"/>
      <c r="F990" s="20"/>
      <c r="G990" s="20"/>
      <c r="H990" s="20"/>
      <c r="I990" s="20"/>
      <c r="J990" s="20"/>
      <c r="K990" s="20"/>
      <c r="L990" s="20"/>
      <c r="M990" s="20"/>
      <c r="N990" s="20"/>
      <c r="O990" s="20"/>
      <c r="P990" s="20"/>
      <c r="Q990" s="20"/>
      <c r="R990" s="20"/>
      <c r="S990" s="20"/>
      <c r="T990" s="20"/>
      <c r="U990" s="20"/>
      <c r="V990" s="20"/>
      <c r="W990" s="20"/>
      <c r="X990" s="20"/>
    </row>
    <row r="991">
      <c r="A991" s="20"/>
      <c r="B991" s="28"/>
      <c r="C991" s="20" t="str">
        <f>IFERROR(__xludf.DUMMYFUNCTION("IF(A991="""","""",TEXTJOIN(CHAR(10),TRUE,FILTER('Tổng hợp 75 trang đích'!$B$2:$B$3400,'Tổng hợp 75 trang đích'!$I$2:$I$3400=A991)))"),"")</f>
        <v/>
      </c>
      <c r="D991" s="20"/>
      <c r="E991" s="20"/>
      <c r="F991" s="20"/>
      <c r="G991" s="20"/>
      <c r="H991" s="20"/>
      <c r="I991" s="20"/>
      <c r="J991" s="20"/>
      <c r="K991" s="20"/>
      <c r="L991" s="20"/>
      <c r="M991" s="20"/>
      <c r="N991" s="20"/>
      <c r="O991" s="20"/>
      <c r="P991" s="20"/>
      <c r="Q991" s="20"/>
      <c r="R991" s="20"/>
      <c r="S991" s="20"/>
      <c r="T991" s="20"/>
      <c r="U991" s="20"/>
      <c r="V991" s="20"/>
      <c r="W991" s="20"/>
      <c r="X991" s="20"/>
    </row>
    <row r="992">
      <c r="A992" s="20"/>
      <c r="B992" s="28"/>
      <c r="C992" s="20" t="str">
        <f>IFERROR(__xludf.DUMMYFUNCTION("IF(A992="""","""",TEXTJOIN(CHAR(10),TRUE,FILTER('Tổng hợp 75 trang đích'!$B$2:$B$3400,'Tổng hợp 75 trang đích'!$I$2:$I$3400=A992)))"),"")</f>
        <v/>
      </c>
      <c r="D992" s="20"/>
      <c r="E992" s="20"/>
      <c r="F992" s="20"/>
      <c r="G992" s="20"/>
      <c r="H992" s="20"/>
      <c r="I992" s="20"/>
      <c r="J992" s="20"/>
      <c r="K992" s="20"/>
      <c r="L992" s="20"/>
      <c r="M992" s="20"/>
      <c r="N992" s="20"/>
      <c r="O992" s="20"/>
      <c r="P992" s="20"/>
      <c r="Q992" s="20"/>
      <c r="R992" s="20"/>
      <c r="S992" s="20"/>
      <c r="T992" s="20"/>
      <c r="U992" s="20"/>
      <c r="V992" s="20"/>
      <c r="W992" s="20"/>
      <c r="X992" s="20"/>
    </row>
    <row r="993">
      <c r="A993" s="20"/>
      <c r="B993" s="28"/>
      <c r="C993" s="20" t="str">
        <f>IFERROR(__xludf.DUMMYFUNCTION("IF(A993="""","""",TEXTJOIN(CHAR(10),TRUE,FILTER('Tổng hợp 75 trang đích'!$B$2:$B$3400,'Tổng hợp 75 trang đích'!$I$2:$I$3400=A993)))"),"")</f>
        <v/>
      </c>
      <c r="D993" s="20"/>
      <c r="E993" s="20"/>
      <c r="F993" s="20"/>
      <c r="G993" s="20"/>
      <c r="H993" s="20"/>
      <c r="I993" s="20"/>
      <c r="J993" s="20"/>
      <c r="K993" s="20"/>
      <c r="L993" s="20"/>
      <c r="M993" s="20"/>
      <c r="N993" s="20"/>
      <c r="O993" s="20"/>
      <c r="P993" s="20"/>
      <c r="Q993" s="20"/>
      <c r="R993" s="20"/>
      <c r="S993" s="20"/>
      <c r="T993" s="20"/>
      <c r="U993" s="20"/>
      <c r="V993" s="20"/>
      <c r="W993" s="20"/>
      <c r="X993" s="20"/>
    </row>
    <row r="994">
      <c r="A994" s="20"/>
      <c r="B994" s="28"/>
      <c r="C994" s="20" t="str">
        <f>IFERROR(__xludf.DUMMYFUNCTION("IF(A994="""","""",TEXTJOIN(CHAR(10),TRUE,FILTER('Tổng hợp 75 trang đích'!$B$2:$B$3400,'Tổng hợp 75 trang đích'!$I$2:$I$3400=A994)))"),"")</f>
        <v/>
      </c>
      <c r="D994" s="20"/>
      <c r="E994" s="20"/>
      <c r="F994" s="20"/>
      <c r="G994" s="20"/>
      <c r="H994" s="20"/>
      <c r="I994" s="20"/>
      <c r="J994" s="20"/>
      <c r="K994" s="20"/>
      <c r="L994" s="20"/>
      <c r="M994" s="20"/>
      <c r="N994" s="20"/>
      <c r="O994" s="20"/>
      <c r="P994" s="20"/>
      <c r="Q994" s="20"/>
      <c r="R994" s="20"/>
      <c r="S994" s="20"/>
      <c r="T994" s="20"/>
      <c r="U994" s="20"/>
      <c r="V994" s="20"/>
      <c r="W994" s="20"/>
      <c r="X994" s="20"/>
    </row>
    <row r="995">
      <c r="A995" s="20"/>
      <c r="B995" s="28"/>
      <c r="C995" s="20" t="str">
        <f>IFERROR(__xludf.DUMMYFUNCTION("IF(A995="""","""",TEXTJOIN(CHAR(10),TRUE,FILTER('Tổng hợp 75 trang đích'!$B$2:$B$3400,'Tổng hợp 75 trang đích'!$I$2:$I$3400=A995)))"),"")</f>
        <v/>
      </c>
      <c r="D995" s="20"/>
      <c r="E995" s="20"/>
      <c r="F995" s="20"/>
      <c r="G995" s="20"/>
      <c r="H995" s="20"/>
      <c r="I995" s="20"/>
      <c r="J995" s="20"/>
      <c r="K995" s="20"/>
      <c r="L995" s="20"/>
      <c r="M995" s="20"/>
      <c r="N995" s="20"/>
      <c r="O995" s="20"/>
      <c r="P995" s="20"/>
      <c r="Q995" s="20"/>
      <c r="R995" s="20"/>
      <c r="S995" s="20"/>
      <c r="T995" s="20"/>
      <c r="U995" s="20"/>
      <c r="V995" s="20"/>
      <c r="W995" s="20"/>
      <c r="X995" s="20"/>
    </row>
    <row r="996">
      <c r="A996" s="20"/>
      <c r="B996" s="28"/>
      <c r="C996" s="20" t="str">
        <f>IFERROR(__xludf.DUMMYFUNCTION("IF(A996="""","""",TEXTJOIN(CHAR(10),TRUE,FILTER('Tổng hợp 75 trang đích'!$B$2:$B$3400,'Tổng hợp 75 trang đích'!$I$2:$I$3400=A996)))"),"")</f>
        <v/>
      </c>
      <c r="D996" s="20"/>
      <c r="E996" s="20"/>
      <c r="F996" s="20"/>
      <c r="G996" s="20"/>
      <c r="H996" s="20"/>
      <c r="I996" s="20"/>
      <c r="J996" s="20"/>
      <c r="K996" s="20"/>
      <c r="L996" s="20"/>
      <c r="M996" s="20"/>
      <c r="N996" s="20"/>
      <c r="O996" s="20"/>
      <c r="P996" s="20"/>
      <c r="Q996" s="20"/>
      <c r="R996" s="20"/>
      <c r="S996" s="20"/>
      <c r="T996" s="20"/>
      <c r="U996" s="20"/>
      <c r="V996" s="20"/>
      <c r="W996" s="20"/>
      <c r="X996" s="20"/>
    </row>
    <row r="997">
      <c r="A997" s="20"/>
      <c r="B997" s="28"/>
      <c r="C997" s="20" t="str">
        <f>IFERROR(__xludf.DUMMYFUNCTION("IF(A997="""","""",TEXTJOIN(CHAR(10),TRUE,FILTER('Tổng hợp 75 trang đích'!$B$2:$B$3400,'Tổng hợp 75 trang đích'!$I$2:$I$3400=A997)))"),"")</f>
        <v/>
      </c>
      <c r="D997" s="20"/>
      <c r="E997" s="20"/>
      <c r="F997" s="20"/>
      <c r="G997" s="20"/>
      <c r="H997" s="20"/>
      <c r="I997" s="20"/>
      <c r="J997" s="20"/>
      <c r="K997" s="20"/>
      <c r="L997" s="20"/>
      <c r="M997" s="20"/>
      <c r="N997" s="20"/>
      <c r="O997" s="20"/>
      <c r="P997" s="20"/>
      <c r="Q997" s="20"/>
      <c r="R997" s="20"/>
      <c r="S997" s="20"/>
      <c r="T997" s="20"/>
      <c r="U997" s="20"/>
      <c r="V997" s="20"/>
      <c r="W997" s="20"/>
      <c r="X997" s="20"/>
    </row>
    <row r="998">
      <c r="A998" s="20"/>
      <c r="B998" s="28"/>
      <c r="C998" s="20" t="str">
        <f>IFERROR(__xludf.DUMMYFUNCTION("IF(A998="""","""",TEXTJOIN(CHAR(10),TRUE,FILTER('Tổng hợp 75 trang đích'!$B$2:$B$3400,'Tổng hợp 75 trang đích'!$I$2:$I$3400=A998)))"),"")</f>
        <v/>
      </c>
      <c r="D998" s="20"/>
      <c r="E998" s="20"/>
      <c r="F998" s="20"/>
      <c r="G998" s="20"/>
      <c r="H998" s="20"/>
      <c r="I998" s="20"/>
      <c r="J998" s="20"/>
      <c r="K998" s="20"/>
      <c r="L998" s="20"/>
      <c r="M998" s="20"/>
      <c r="N998" s="20"/>
      <c r="O998" s="20"/>
      <c r="P998" s="20"/>
      <c r="Q998" s="20"/>
      <c r="R998" s="20"/>
      <c r="S998" s="20"/>
      <c r="T998" s="20"/>
      <c r="U998" s="20"/>
      <c r="V998" s="20"/>
      <c r="W998" s="20"/>
      <c r="X998" s="20"/>
    </row>
    <row r="999">
      <c r="A999" s="20"/>
      <c r="B999" s="28"/>
      <c r="C999" s="20" t="str">
        <f>IFERROR(__xludf.DUMMYFUNCTION("IF(A999="""","""",TEXTJOIN(CHAR(10),TRUE,FILTER('Tổng hợp 75 trang đích'!$B$2:$B$3400,'Tổng hợp 75 trang đích'!$I$2:$I$3400=A999)))"),"")</f>
        <v/>
      </c>
      <c r="D999" s="20"/>
      <c r="E999" s="20"/>
      <c r="F999" s="20"/>
      <c r="G999" s="20"/>
      <c r="H999" s="20"/>
      <c r="I999" s="20"/>
      <c r="J999" s="20"/>
      <c r="K999" s="20"/>
      <c r="L999" s="20"/>
      <c r="M999" s="20"/>
      <c r="N999" s="20"/>
      <c r="O999" s="20"/>
      <c r="P999" s="20"/>
      <c r="Q999" s="20"/>
      <c r="R999" s="20"/>
      <c r="S999" s="20"/>
      <c r="T999" s="20"/>
      <c r="U999" s="20"/>
      <c r="V999" s="20"/>
      <c r="W999" s="20"/>
      <c r="X999" s="20"/>
    </row>
    <row r="1000">
      <c r="A1000" s="20"/>
      <c r="B1000" s="28"/>
      <c r="C1000" s="20" t="str">
        <f>IFERROR(__xludf.DUMMYFUNCTION("IF(A1000="""","""",TEXTJOIN(CHAR(10),TRUE,FILTER('Tổng hợp 75 trang đích'!$B$2:$B$3400,'Tổng hợp 75 trang đích'!$I$2:$I$3400=A1000)))"),"")</f>
        <v/>
      </c>
      <c r="D1000" s="20"/>
      <c r="E1000" s="20"/>
      <c r="F1000" s="20"/>
      <c r="G1000" s="20"/>
      <c r="H1000" s="20"/>
      <c r="I1000" s="20"/>
      <c r="J1000" s="20"/>
      <c r="K1000" s="20"/>
      <c r="L1000" s="20"/>
      <c r="M1000" s="20"/>
      <c r="N1000" s="20"/>
      <c r="O1000" s="20"/>
      <c r="P1000" s="20"/>
      <c r="Q1000" s="20"/>
      <c r="R1000" s="20"/>
      <c r="S1000" s="20"/>
      <c r="T1000" s="20"/>
      <c r="U1000" s="20"/>
      <c r="V1000" s="20"/>
      <c r="W1000" s="20"/>
      <c r="X1000" s="20"/>
    </row>
  </sheetData>
  <autoFilter ref="$A$1:$C$1000"/>
  <hyperlinks>
    <hyperlink r:id="rId1" ref="A3"/>
    <hyperlink r:id="rId2" ref="A4"/>
    <hyperlink r:id="rId3" ref="A5"/>
    <hyperlink r:id="rId4" ref="A6"/>
    <hyperlink r:id="rId5" ref="A7"/>
    <hyperlink r:id="rId6" ref="A8"/>
    <hyperlink r:id="rId7" ref="A9"/>
    <hyperlink r:id="rId8" ref="A10"/>
    <hyperlink r:id="rId9" ref="A11"/>
    <hyperlink r:id="rId10" ref="A12"/>
    <hyperlink r:id="rId11" ref="A13"/>
    <hyperlink r:id="rId12" ref="A14"/>
    <hyperlink r:id="rId13" ref="A15"/>
    <hyperlink r:id="rId14" ref="A16"/>
    <hyperlink r:id="rId15" ref="A17"/>
    <hyperlink r:id="rId16" ref="A18"/>
    <hyperlink r:id="rId17" ref="A19"/>
    <hyperlink r:id="rId18" ref="A20"/>
    <hyperlink r:id="rId19" ref="A21"/>
    <hyperlink r:id="rId20" ref="A22"/>
    <hyperlink r:id="rId21" ref="A23"/>
    <hyperlink r:id="rId22" ref="A24"/>
    <hyperlink r:id="rId23" ref="A25"/>
    <hyperlink r:id="rId24" ref="A26"/>
    <hyperlink r:id="rId25" ref="A27"/>
    <hyperlink r:id="rId26" ref="A28"/>
    <hyperlink r:id="rId27" ref="A29"/>
    <hyperlink r:id="rId28" ref="A30"/>
    <hyperlink r:id="rId29" ref="A31"/>
    <hyperlink r:id="rId30" ref="A32"/>
    <hyperlink r:id="rId31" ref="A33"/>
    <hyperlink r:id="rId32" ref="A34"/>
    <hyperlink r:id="rId33" ref="A35"/>
    <hyperlink r:id="rId34" ref="A36"/>
    <hyperlink r:id="rId35" ref="A37"/>
    <hyperlink r:id="rId36" ref="A38"/>
    <hyperlink r:id="rId37" ref="A39"/>
    <hyperlink r:id="rId38" ref="A40"/>
    <hyperlink r:id="rId39" ref="A41"/>
    <hyperlink r:id="rId40" ref="A42"/>
    <hyperlink r:id="rId41" ref="A43"/>
    <hyperlink r:id="rId42" ref="A44"/>
    <hyperlink r:id="rId43" ref="A45"/>
    <hyperlink r:id="rId44" ref="A46"/>
    <hyperlink r:id="rId45" ref="A47"/>
    <hyperlink r:id="rId46" ref="A48"/>
    <hyperlink r:id="rId47" ref="A49"/>
    <hyperlink r:id="rId48" ref="A50"/>
    <hyperlink r:id="rId49" ref="A51"/>
    <hyperlink r:id="rId50" ref="A52"/>
    <hyperlink r:id="rId51" ref="A53"/>
    <hyperlink r:id="rId52" ref="A54"/>
    <hyperlink r:id="rId53" ref="A55"/>
    <hyperlink r:id="rId54" ref="A56"/>
    <hyperlink r:id="rId55" ref="A57"/>
    <hyperlink r:id="rId56" ref="A58"/>
    <hyperlink r:id="rId57" ref="A59"/>
    <hyperlink r:id="rId58" ref="A60"/>
    <hyperlink r:id="rId59" ref="A61"/>
    <hyperlink r:id="rId60" ref="A62"/>
    <hyperlink r:id="rId61" ref="A63"/>
    <hyperlink r:id="rId62" ref="A64"/>
    <hyperlink r:id="rId63" ref="A65"/>
    <hyperlink r:id="rId64" ref="A66"/>
    <hyperlink r:id="rId65" ref="A67"/>
    <hyperlink r:id="rId66" ref="A68"/>
    <hyperlink r:id="rId67" ref="A69"/>
    <hyperlink r:id="rId68" ref="A70"/>
    <hyperlink r:id="rId69" ref="A71"/>
    <hyperlink r:id="rId70" ref="A72"/>
    <hyperlink r:id="rId71" ref="A73"/>
    <hyperlink r:id="rId72" ref="A74"/>
    <hyperlink r:id="rId73" ref="A75"/>
    <hyperlink r:id="rId74" ref="A76"/>
    <hyperlink r:id="rId75" ref="A77"/>
    <hyperlink r:id="rId76" ref="A78"/>
    <hyperlink r:id="rId77" ref="A79"/>
    <hyperlink r:id="rId78" ref="A80"/>
    <hyperlink r:id="rId79" ref="A81"/>
    <hyperlink r:id="rId80" ref="A82"/>
    <hyperlink r:id="rId81" ref="A83"/>
    <hyperlink r:id="rId82" ref="A84"/>
    <hyperlink r:id="rId83" ref="A85"/>
    <hyperlink r:id="rId84" ref="A86"/>
    <hyperlink r:id="rId85" ref="A87"/>
    <hyperlink r:id="rId86" ref="A88"/>
    <hyperlink r:id="rId87" ref="A89"/>
    <hyperlink r:id="rId88" ref="A90"/>
    <hyperlink r:id="rId89" ref="A91"/>
    <hyperlink r:id="rId90" ref="A92"/>
    <hyperlink r:id="rId91" ref="A93"/>
    <hyperlink r:id="rId92" ref="A94"/>
    <hyperlink r:id="rId93" ref="A95"/>
    <hyperlink r:id="rId94" ref="A96"/>
    <hyperlink r:id="rId95" ref="A97"/>
    <hyperlink r:id="rId96" ref="A98"/>
    <hyperlink r:id="rId97" ref="A99"/>
    <hyperlink r:id="rId98" ref="A100"/>
    <hyperlink r:id="rId99" ref="A101"/>
    <hyperlink r:id="rId100" ref="A102"/>
    <hyperlink r:id="rId101" ref="A103"/>
    <hyperlink r:id="rId102" ref="A104"/>
    <hyperlink r:id="rId103" ref="A105"/>
    <hyperlink r:id="rId104" ref="A106"/>
    <hyperlink r:id="rId105" ref="A107"/>
    <hyperlink r:id="rId106" ref="A108"/>
    <hyperlink r:id="rId107" ref="A109"/>
    <hyperlink r:id="rId108" ref="A110"/>
    <hyperlink r:id="rId109" ref="A111"/>
    <hyperlink r:id="rId110" ref="A112"/>
    <hyperlink r:id="rId111" ref="A113"/>
    <hyperlink r:id="rId112" ref="A114"/>
    <hyperlink r:id="rId113" ref="A115"/>
    <hyperlink r:id="rId114" ref="A116"/>
    <hyperlink r:id="rId115" ref="A117"/>
    <hyperlink r:id="rId116" ref="A118"/>
    <hyperlink r:id="rId117" ref="A119"/>
    <hyperlink r:id="rId118" ref="A120"/>
    <hyperlink r:id="rId119" ref="A121"/>
    <hyperlink r:id="rId120" ref="A122"/>
    <hyperlink r:id="rId121" ref="A123"/>
    <hyperlink r:id="rId122" ref="A124"/>
    <hyperlink r:id="rId123" ref="A125"/>
    <hyperlink r:id="rId124" ref="A126"/>
    <hyperlink r:id="rId125" ref="A127"/>
    <hyperlink r:id="rId126" ref="A128"/>
    <hyperlink r:id="rId127" ref="A129"/>
    <hyperlink r:id="rId128" ref="A130"/>
    <hyperlink r:id="rId129" ref="A131"/>
    <hyperlink r:id="rId130" ref="A132"/>
    <hyperlink r:id="rId131" ref="A133"/>
    <hyperlink r:id="rId132" ref="A134"/>
    <hyperlink r:id="rId133" ref="A135"/>
    <hyperlink r:id="rId134" ref="A136"/>
    <hyperlink r:id="rId135" ref="A137"/>
    <hyperlink r:id="rId136" ref="A138"/>
    <hyperlink r:id="rId137" ref="A139"/>
    <hyperlink r:id="rId138" ref="A140"/>
    <hyperlink r:id="rId139" ref="A141"/>
    <hyperlink r:id="rId140" ref="A142"/>
    <hyperlink r:id="rId141" ref="A143"/>
    <hyperlink r:id="rId142" ref="A144"/>
    <hyperlink r:id="rId143" ref="A145"/>
    <hyperlink r:id="rId144" ref="A146"/>
    <hyperlink r:id="rId145" ref="A147"/>
    <hyperlink r:id="rId146" ref="A148"/>
    <hyperlink r:id="rId147" ref="A149"/>
    <hyperlink r:id="rId148" ref="A150"/>
    <hyperlink r:id="rId149" ref="A151"/>
    <hyperlink r:id="rId150" ref="A152"/>
    <hyperlink r:id="rId151" ref="A153"/>
    <hyperlink r:id="rId152" ref="A154"/>
    <hyperlink r:id="rId153" ref="A155"/>
    <hyperlink r:id="rId154" ref="A156"/>
    <hyperlink r:id="rId155" ref="A157"/>
    <hyperlink r:id="rId156" ref="A158"/>
    <hyperlink r:id="rId157" ref="A159"/>
    <hyperlink r:id="rId158" ref="A160"/>
    <hyperlink r:id="rId159" ref="A161"/>
    <hyperlink r:id="rId160" ref="A162"/>
    <hyperlink r:id="rId161" ref="A163"/>
    <hyperlink r:id="rId162" ref="A164"/>
    <hyperlink r:id="rId163" ref="A165"/>
    <hyperlink r:id="rId164" ref="A166"/>
    <hyperlink r:id="rId165" ref="A167"/>
    <hyperlink r:id="rId166" ref="A168"/>
    <hyperlink r:id="rId167" ref="A169"/>
    <hyperlink r:id="rId168" ref="A170"/>
    <hyperlink r:id="rId169" ref="A171"/>
    <hyperlink r:id="rId170" ref="A172"/>
    <hyperlink r:id="rId171" ref="A173"/>
    <hyperlink r:id="rId172" ref="A174"/>
    <hyperlink r:id="rId173" ref="A175"/>
    <hyperlink r:id="rId174" ref="A176"/>
    <hyperlink r:id="rId175" ref="A177"/>
    <hyperlink r:id="rId176" ref="A178"/>
    <hyperlink r:id="rId177" ref="A179"/>
    <hyperlink r:id="rId178" ref="A180"/>
    <hyperlink r:id="rId179" ref="A181"/>
    <hyperlink r:id="rId180" ref="A182"/>
    <hyperlink r:id="rId181" ref="A183"/>
    <hyperlink r:id="rId182" ref="A184"/>
    <hyperlink r:id="rId183" ref="A185"/>
    <hyperlink r:id="rId184" ref="A186"/>
    <hyperlink r:id="rId185" ref="A187"/>
    <hyperlink r:id="rId186" ref="A188"/>
    <hyperlink r:id="rId187" ref="A189"/>
    <hyperlink r:id="rId188" ref="A190"/>
    <hyperlink r:id="rId189" ref="A191"/>
    <hyperlink r:id="rId190" ref="A192"/>
    <hyperlink r:id="rId191" ref="A193"/>
    <hyperlink r:id="rId192" ref="A194"/>
    <hyperlink r:id="rId193" ref="A195"/>
    <hyperlink r:id="rId194" ref="A196"/>
    <hyperlink r:id="rId195" ref="A197"/>
    <hyperlink r:id="rId196" ref="A198"/>
    <hyperlink r:id="rId197" ref="A199"/>
    <hyperlink r:id="rId198" ref="A200"/>
    <hyperlink r:id="rId199" ref="A201"/>
    <hyperlink r:id="rId200" ref="A202"/>
    <hyperlink r:id="rId201" ref="A203"/>
    <hyperlink r:id="rId202" ref="A204"/>
    <hyperlink r:id="rId203" ref="A205"/>
    <hyperlink r:id="rId204" ref="A206"/>
    <hyperlink r:id="rId205" ref="A207"/>
    <hyperlink r:id="rId206" ref="A208"/>
    <hyperlink r:id="rId207" ref="A209"/>
    <hyperlink r:id="rId208" ref="A210"/>
    <hyperlink r:id="rId209" ref="A211"/>
    <hyperlink r:id="rId210" ref="A212"/>
    <hyperlink r:id="rId211" ref="A213"/>
    <hyperlink r:id="rId212" ref="A214"/>
    <hyperlink r:id="rId213" ref="A215"/>
    <hyperlink r:id="rId214" ref="A216"/>
    <hyperlink r:id="rId215" ref="A217"/>
    <hyperlink r:id="rId216" ref="A218"/>
    <hyperlink r:id="rId217" ref="A219"/>
    <hyperlink r:id="rId218" ref="A220"/>
    <hyperlink r:id="rId219" ref="A221"/>
    <hyperlink r:id="rId220" ref="A222"/>
    <hyperlink r:id="rId221" ref="A223"/>
    <hyperlink r:id="rId222" ref="A224"/>
    <hyperlink r:id="rId223" ref="A225"/>
    <hyperlink r:id="rId224" ref="A226"/>
    <hyperlink r:id="rId225" ref="A227"/>
    <hyperlink r:id="rId226" ref="A228"/>
    <hyperlink r:id="rId227" ref="A229"/>
    <hyperlink r:id="rId228" ref="A230"/>
    <hyperlink r:id="rId229" ref="A231"/>
    <hyperlink r:id="rId230" ref="A232"/>
    <hyperlink r:id="rId231" ref="A233"/>
    <hyperlink r:id="rId232" ref="A234"/>
    <hyperlink r:id="rId233" ref="A235"/>
    <hyperlink r:id="rId234" ref="A236"/>
    <hyperlink r:id="rId235" ref="A237"/>
    <hyperlink r:id="rId236" ref="A238"/>
    <hyperlink r:id="rId237" ref="A239"/>
    <hyperlink r:id="rId238" ref="A240"/>
    <hyperlink r:id="rId239" ref="A241"/>
    <hyperlink r:id="rId240" ref="A242"/>
    <hyperlink r:id="rId241" ref="A243"/>
    <hyperlink r:id="rId242" ref="A244"/>
    <hyperlink r:id="rId243" ref="A245"/>
    <hyperlink r:id="rId244" ref="A246"/>
    <hyperlink r:id="rId245" ref="A247"/>
    <hyperlink r:id="rId246" ref="A248"/>
    <hyperlink r:id="rId247" ref="A249"/>
    <hyperlink r:id="rId248" ref="A250"/>
    <hyperlink r:id="rId249" ref="A251"/>
    <hyperlink r:id="rId250" ref="A252"/>
    <hyperlink r:id="rId251" ref="A253"/>
    <hyperlink r:id="rId252" ref="A254"/>
    <hyperlink r:id="rId253" ref="A255"/>
    <hyperlink r:id="rId254" ref="A256"/>
    <hyperlink r:id="rId255" ref="A257"/>
    <hyperlink r:id="rId256" ref="A258"/>
    <hyperlink r:id="rId257" ref="A259"/>
    <hyperlink r:id="rId258" ref="A260"/>
    <hyperlink r:id="rId259" ref="A261"/>
    <hyperlink r:id="rId260" ref="A262"/>
    <hyperlink r:id="rId261" ref="A263"/>
    <hyperlink r:id="rId262" ref="A264"/>
    <hyperlink r:id="rId263" ref="A265"/>
    <hyperlink r:id="rId264" ref="A266"/>
    <hyperlink r:id="rId265" ref="A267"/>
    <hyperlink r:id="rId266" ref="A268"/>
    <hyperlink r:id="rId267" ref="A269"/>
    <hyperlink r:id="rId268" ref="A270"/>
    <hyperlink r:id="rId269" ref="A271"/>
    <hyperlink r:id="rId270" ref="A272"/>
    <hyperlink r:id="rId271" ref="A273"/>
    <hyperlink r:id="rId272" ref="A274"/>
    <hyperlink r:id="rId273" ref="A275"/>
    <hyperlink r:id="rId274" ref="A276"/>
    <hyperlink r:id="rId275" ref="A277"/>
    <hyperlink r:id="rId276" ref="A278"/>
    <hyperlink r:id="rId277" ref="A279"/>
    <hyperlink r:id="rId278" ref="A280"/>
    <hyperlink r:id="rId279" ref="A281"/>
    <hyperlink r:id="rId280" ref="A282"/>
    <hyperlink r:id="rId281" ref="A283"/>
    <hyperlink r:id="rId282" ref="A284"/>
    <hyperlink r:id="rId283" ref="A285"/>
    <hyperlink r:id="rId284" ref="A286"/>
    <hyperlink r:id="rId285" ref="A287"/>
    <hyperlink r:id="rId286" ref="A288"/>
    <hyperlink r:id="rId287" ref="A289"/>
    <hyperlink r:id="rId288" ref="A290"/>
    <hyperlink r:id="rId289" ref="A291"/>
    <hyperlink r:id="rId290" ref="A292"/>
    <hyperlink r:id="rId291" ref="A293"/>
    <hyperlink r:id="rId292" ref="A294"/>
    <hyperlink r:id="rId293" ref="A295"/>
    <hyperlink r:id="rId294" ref="A296"/>
    <hyperlink r:id="rId295" ref="A297"/>
    <hyperlink r:id="rId296" ref="A298"/>
    <hyperlink r:id="rId297" ref="A299"/>
    <hyperlink r:id="rId298" ref="A300"/>
    <hyperlink r:id="rId299" ref="A301"/>
    <hyperlink r:id="rId300" ref="A302"/>
    <hyperlink r:id="rId301" ref="A303"/>
    <hyperlink r:id="rId302" ref="A304"/>
    <hyperlink r:id="rId303" ref="A305"/>
    <hyperlink r:id="rId304" ref="A306"/>
    <hyperlink r:id="rId305" ref="A307"/>
    <hyperlink r:id="rId306" ref="A308"/>
    <hyperlink r:id="rId307" ref="A309"/>
    <hyperlink r:id="rId308" ref="A310"/>
    <hyperlink r:id="rId309" ref="A311"/>
    <hyperlink r:id="rId310" ref="A312"/>
    <hyperlink r:id="rId311" ref="A313"/>
    <hyperlink r:id="rId312" ref="A314"/>
    <hyperlink r:id="rId313" ref="A315"/>
    <hyperlink r:id="rId314" ref="A316"/>
    <hyperlink r:id="rId315" ref="A317"/>
    <hyperlink r:id="rId316" ref="A318"/>
    <hyperlink r:id="rId317" ref="A319"/>
    <hyperlink r:id="rId318" ref="A320"/>
    <hyperlink r:id="rId319" ref="A321"/>
    <hyperlink r:id="rId320" ref="A322"/>
    <hyperlink r:id="rId321" ref="A323"/>
    <hyperlink r:id="rId322" ref="A324"/>
    <hyperlink r:id="rId323" ref="A325"/>
    <hyperlink r:id="rId324" ref="A326"/>
    <hyperlink r:id="rId325" ref="A327"/>
    <hyperlink r:id="rId326" ref="A328"/>
    <hyperlink r:id="rId327" ref="A329"/>
    <hyperlink r:id="rId328" ref="A330"/>
    <hyperlink r:id="rId329" ref="A331"/>
    <hyperlink r:id="rId330" ref="A332"/>
    <hyperlink r:id="rId331" ref="A333"/>
    <hyperlink r:id="rId332" ref="A334"/>
    <hyperlink r:id="rId333" ref="A335"/>
    <hyperlink r:id="rId334" ref="A336"/>
    <hyperlink r:id="rId335" ref="A337"/>
    <hyperlink r:id="rId336" ref="A338"/>
    <hyperlink r:id="rId337" ref="A339"/>
    <hyperlink r:id="rId338" ref="A340"/>
    <hyperlink r:id="rId339" ref="A341"/>
    <hyperlink r:id="rId340" ref="A342"/>
    <hyperlink r:id="rId341" ref="A343"/>
    <hyperlink r:id="rId342" ref="A344"/>
    <hyperlink r:id="rId343" ref="A345"/>
    <hyperlink r:id="rId344" ref="A346"/>
    <hyperlink r:id="rId345" ref="A347"/>
    <hyperlink r:id="rId346" ref="A348"/>
    <hyperlink r:id="rId347" ref="A349"/>
    <hyperlink r:id="rId348" ref="A350"/>
    <hyperlink r:id="rId349" ref="A351"/>
    <hyperlink r:id="rId350" ref="A352"/>
    <hyperlink r:id="rId351" ref="A353"/>
    <hyperlink r:id="rId352" ref="A354"/>
    <hyperlink r:id="rId353" ref="A355"/>
    <hyperlink r:id="rId354" ref="A356"/>
    <hyperlink r:id="rId355" ref="A357"/>
    <hyperlink r:id="rId356" ref="A358"/>
    <hyperlink r:id="rId357" ref="A359"/>
    <hyperlink r:id="rId358" ref="A360"/>
    <hyperlink r:id="rId359" ref="A361"/>
    <hyperlink r:id="rId360" ref="A362"/>
    <hyperlink r:id="rId361" ref="A363"/>
    <hyperlink r:id="rId362" ref="A364"/>
    <hyperlink r:id="rId363" ref="A365"/>
    <hyperlink r:id="rId364" ref="A366"/>
    <hyperlink r:id="rId365" ref="A367"/>
    <hyperlink r:id="rId366" ref="A368"/>
    <hyperlink r:id="rId367" ref="A369"/>
    <hyperlink r:id="rId368" ref="A370"/>
    <hyperlink r:id="rId369" ref="A371"/>
    <hyperlink r:id="rId370" ref="A372"/>
    <hyperlink r:id="rId371" ref="A373"/>
    <hyperlink r:id="rId372" ref="A374"/>
    <hyperlink r:id="rId373" ref="A375"/>
    <hyperlink r:id="rId374" ref="A376"/>
    <hyperlink r:id="rId375" ref="A377"/>
    <hyperlink r:id="rId376" ref="A378"/>
    <hyperlink r:id="rId377" ref="A379"/>
    <hyperlink r:id="rId378" ref="A380"/>
    <hyperlink r:id="rId379" ref="A381"/>
    <hyperlink r:id="rId380" ref="A382"/>
    <hyperlink r:id="rId381" ref="A383"/>
    <hyperlink r:id="rId382" ref="A384"/>
    <hyperlink r:id="rId383" ref="A385"/>
    <hyperlink r:id="rId384" ref="A386"/>
    <hyperlink r:id="rId385" ref="A387"/>
    <hyperlink r:id="rId386" ref="A388"/>
    <hyperlink r:id="rId387" ref="A389"/>
    <hyperlink r:id="rId388" ref="A390"/>
    <hyperlink r:id="rId389" ref="A391"/>
    <hyperlink r:id="rId390" ref="A392"/>
    <hyperlink r:id="rId391" ref="A393"/>
    <hyperlink r:id="rId392" ref="A394"/>
    <hyperlink r:id="rId393" ref="A395"/>
    <hyperlink r:id="rId394" ref="A396"/>
    <hyperlink r:id="rId395" ref="A397"/>
    <hyperlink r:id="rId396" ref="A398"/>
    <hyperlink r:id="rId397" ref="A399"/>
    <hyperlink r:id="rId398" ref="A400"/>
    <hyperlink r:id="rId399" ref="A401"/>
    <hyperlink r:id="rId400" ref="A402"/>
    <hyperlink r:id="rId401" ref="A403"/>
    <hyperlink r:id="rId402" ref="A404"/>
    <hyperlink r:id="rId403" ref="A405"/>
    <hyperlink r:id="rId404" ref="A406"/>
    <hyperlink r:id="rId405" ref="A407"/>
    <hyperlink r:id="rId406" ref="A408"/>
    <hyperlink r:id="rId407" ref="A409"/>
    <hyperlink r:id="rId408" ref="A410"/>
    <hyperlink r:id="rId409" ref="A411"/>
    <hyperlink r:id="rId410" ref="A412"/>
    <hyperlink r:id="rId411" ref="A413"/>
    <hyperlink r:id="rId412" ref="A414"/>
    <hyperlink r:id="rId413" ref="A415"/>
    <hyperlink r:id="rId414" ref="A416"/>
    <hyperlink r:id="rId415" ref="A417"/>
    <hyperlink r:id="rId416" ref="A418"/>
    <hyperlink r:id="rId417" ref="A419"/>
    <hyperlink r:id="rId418" ref="A420"/>
    <hyperlink r:id="rId419" ref="A421"/>
    <hyperlink r:id="rId420" ref="A422"/>
    <hyperlink r:id="rId421" ref="A423"/>
    <hyperlink r:id="rId422" ref="A424"/>
    <hyperlink r:id="rId423" ref="A425"/>
    <hyperlink r:id="rId424" ref="A426"/>
    <hyperlink r:id="rId425" ref="A427"/>
    <hyperlink r:id="rId426" ref="A428"/>
    <hyperlink r:id="rId427" ref="A429"/>
    <hyperlink r:id="rId428" ref="A430"/>
    <hyperlink r:id="rId429" ref="A431"/>
    <hyperlink r:id="rId430" ref="A432"/>
    <hyperlink r:id="rId431" ref="A433"/>
    <hyperlink r:id="rId432" ref="A434"/>
    <hyperlink r:id="rId433" ref="A435"/>
    <hyperlink r:id="rId434" ref="A436"/>
    <hyperlink r:id="rId435" ref="A437"/>
    <hyperlink r:id="rId436" ref="A438"/>
    <hyperlink r:id="rId437" ref="A439"/>
    <hyperlink r:id="rId438" ref="A440"/>
    <hyperlink r:id="rId439" ref="A441"/>
    <hyperlink r:id="rId440" ref="A442"/>
    <hyperlink r:id="rId441" ref="A443"/>
    <hyperlink r:id="rId442" ref="A444"/>
    <hyperlink r:id="rId443" ref="A445"/>
    <hyperlink r:id="rId444" ref="A446"/>
    <hyperlink r:id="rId445" ref="A447"/>
    <hyperlink r:id="rId446" ref="A448"/>
    <hyperlink r:id="rId447" ref="A449"/>
    <hyperlink r:id="rId448" ref="A450"/>
    <hyperlink r:id="rId449" ref="A451"/>
    <hyperlink r:id="rId450" ref="A452"/>
    <hyperlink r:id="rId451" ref="A453"/>
    <hyperlink r:id="rId452" ref="A454"/>
    <hyperlink r:id="rId453" ref="A455"/>
    <hyperlink r:id="rId454" ref="A456"/>
    <hyperlink r:id="rId455" ref="A457"/>
    <hyperlink r:id="rId456" ref="A458"/>
    <hyperlink r:id="rId457" ref="A459"/>
    <hyperlink r:id="rId458" ref="A460"/>
    <hyperlink r:id="rId459" ref="A461"/>
    <hyperlink r:id="rId460" ref="A462"/>
    <hyperlink r:id="rId461" ref="A463"/>
    <hyperlink r:id="rId462" ref="A464"/>
    <hyperlink r:id="rId463" ref="A465"/>
    <hyperlink r:id="rId464" ref="A466"/>
    <hyperlink r:id="rId465" ref="A467"/>
    <hyperlink r:id="rId466" ref="A468"/>
    <hyperlink r:id="rId467" ref="A469"/>
    <hyperlink r:id="rId468" ref="A470"/>
    <hyperlink r:id="rId469" ref="A471"/>
    <hyperlink r:id="rId470" ref="A472"/>
    <hyperlink r:id="rId471" ref="A473"/>
    <hyperlink r:id="rId472" ref="A474"/>
    <hyperlink r:id="rId473" ref="A475"/>
    <hyperlink r:id="rId474" ref="A476"/>
    <hyperlink r:id="rId475" ref="A477"/>
    <hyperlink r:id="rId476" ref="A478"/>
    <hyperlink r:id="rId477" ref="A479"/>
    <hyperlink r:id="rId478" ref="A480"/>
    <hyperlink r:id="rId479" ref="A481"/>
    <hyperlink r:id="rId480" ref="A482"/>
    <hyperlink r:id="rId481" ref="A483"/>
    <hyperlink r:id="rId482" ref="A484"/>
    <hyperlink r:id="rId483" ref="A485"/>
    <hyperlink r:id="rId484" ref="A486"/>
    <hyperlink r:id="rId485" ref="A487"/>
    <hyperlink r:id="rId486" ref="A488"/>
    <hyperlink r:id="rId487" ref="A489"/>
    <hyperlink r:id="rId488" ref="A490"/>
    <hyperlink r:id="rId489" ref="A491"/>
    <hyperlink r:id="rId490" ref="A492"/>
    <hyperlink r:id="rId491" ref="A493"/>
    <hyperlink r:id="rId492" ref="A494"/>
    <hyperlink r:id="rId493" ref="A495"/>
    <hyperlink r:id="rId494" ref="A496"/>
    <hyperlink r:id="rId495" ref="A497"/>
    <hyperlink r:id="rId496" ref="A498"/>
    <hyperlink r:id="rId497" ref="A499"/>
    <hyperlink r:id="rId498" ref="A500"/>
    <hyperlink r:id="rId499" ref="A501"/>
    <hyperlink r:id="rId500" ref="A502"/>
    <hyperlink r:id="rId501" ref="A503"/>
    <hyperlink r:id="rId502" ref="A504"/>
    <hyperlink r:id="rId503" ref="A505"/>
    <hyperlink r:id="rId504" ref="A506"/>
    <hyperlink r:id="rId505" ref="A507"/>
    <hyperlink r:id="rId506" ref="A508"/>
    <hyperlink r:id="rId507" ref="A509"/>
    <hyperlink r:id="rId508" ref="A510"/>
    <hyperlink r:id="rId509" ref="A511"/>
    <hyperlink r:id="rId510" ref="A512"/>
    <hyperlink r:id="rId511" ref="A513"/>
    <hyperlink r:id="rId512" ref="A514"/>
    <hyperlink r:id="rId513" ref="A515"/>
    <hyperlink r:id="rId514" ref="A516"/>
    <hyperlink r:id="rId515" ref="A517"/>
    <hyperlink r:id="rId516" ref="A518"/>
    <hyperlink r:id="rId517" ref="A519"/>
    <hyperlink r:id="rId518" ref="A520"/>
    <hyperlink r:id="rId519" ref="A521"/>
    <hyperlink r:id="rId520" ref="A522"/>
    <hyperlink r:id="rId521" ref="A523"/>
    <hyperlink r:id="rId522" ref="A524"/>
    <hyperlink r:id="rId523" ref="A525"/>
    <hyperlink r:id="rId524" ref="A526"/>
    <hyperlink r:id="rId525" ref="A527"/>
    <hyperlink r:id="rId526" ref="A528"/>
    <hyperlink r:id="rId527" ref="A529"/>
    <hyperlink r:id="rId528" ref="A530"/>
    <hyperlink r:id="rId529" ref="A531"/>
    <hyperlink r:id="rId530" ref="A532"/>
    <hyperlink r:id="rId531" ref="A533"/>
    <hyperlink r:id="rId532" ref="A534"/>
    <hyperlink r:id="rId533" ref="A535"/>
    <hyperlink r:id="rId534" ref="A536"/>
    <hyperlink r:id="rId535" ref="A537"/>
    <hyperlink r:id="rId536" ref="A538"/>
    <hyperlink r:id="rId537" ref="A539"/>
    <hyperlink r:id="rId538" ref="A540"/>
    <hyperlink r:id="rId539" ref="A541"/>
    <hyperlink r:id="rId540" ref="A542"/>
    <hyperlink r:id="rId541" ref="A543"/>
    <hyperlink r:id="rId542" ref="A544"/>
    <hyperlink r:id="rId543" ref="A545"/>
    <hyperlink r:id="rId544" ref="A546"/>
    <hyperlink r:id="rId545" ref="A547"/>
    <hyperlink r:id="rId546" ref="A548"/>
    <hyperlink r:id="rId547" ref="A549"/>
    <hyperlink r:id="rId548" ref="A550"/>
    <hyperlink r:id="rId549" ref="A551"/>
    <hyperlink r:id="rId550" ref="A552"/>
    <hyperlink r:id="rId551" ref="A553"/>
    <hyperlink r:id="rId552" ref="A554"/>
    <hyperlink r:id="rId553" ref="A555"/>
    <hyperlink r:id="rId554" ref="A556"/>
    <hyperlink r:id="rId555" ref="A557"/>
    <hyperlink r:id="rId556" ref="A558"/>
    <hyperlink r:id="rId557" ref="A559"/>
    <hyperlink r:id="rId558" ref="A560"/>
    <hyperlink r:id="rId559" ref="A561"/>
    <hyperlink r:id="rId560" ref="A562"/>
    <hyperlink r:id="rId561" ref="A563"/>
    <hyperlink r:id="rId562" ref="A564"/>
    <hyperlink r:id="rId563" ref="A565"/>
    <hyperlink r:id="rId564" ref="A566"/>
    <hyperlink r:id="rId565" ref="A567"/>
    <hyperlink r:id="rId566" ref="A568"/>
    <hyperlink r:id="rId567" ref="A569"/>
    <hyperlink r:id="rId568" ref="A570"/>
    <hyperlink r:id="rId569" ref="A571"/>
    <hyperlink r:id="rId570" ref="A572"/>
    <hyperlink r:id="rId571" ref="A573"/>
    <hyperlink r:id="rId572" ref="A574"/>
    <hyperlink r:id="rId573" ref="A575"/>
    <hyperlink r:id="rId574" ref="A576"/>
    <hyperlink r:id="rId575" ref="A577"/>
    <hyperlink r:id="rId576" ref="A578"/>
    <hyperlink r:id="rId577" ref="A579"/>
    <hyperlink r:id="rId578" ref="A580"/>
    <hyperlink r:id="rId579" ref="A581"/>
    <hyperlink r:id="rId580" ref="A582"/>
    <hyperlink r:id="rId581" ref="A583"/>
    <hyperlink r:id="rId582" ref="A584"/>
    <hyperlink r:id="rId583" ref="A585"/>
    <hyperlink r:id="rId584" ref="A586"/>
    <hyperlink r:id="rId585" ref="A587"/>
    <hyperlink r:id="rId586" ref="A588"/>
    <hyperlink r:id="rId587" ref="A589"/>
    <hyperlink r:id="rId588" ref="A590"/>
    <hyperlink r:id="rId589" ref="A591"/>
    <hyperlink r:id="rId590" ref="A592"/>
    <hyperlink r:id="rId591" ref="A593"/>
    <hyperlink r:id="rId592" ref="A594"/>
    <hyperlink r:id="rId593" ref="A595"/>
    <hyperlink r:id="rId594" ref="A596"/>
    <hyperlink r:id="rId595" ref="A597"/>
    <hyperlink r:id="rId596" ref="A598"/>
    <hyperlink r:id="rId597" ref="A599"/>
    <hyperlink r:id="rId598" ref="A600"/>
    <hyperlink r:id="rId599" ref="A601"/>
    <hyperlink r:id="rId600" ref="A602"/>
    <hyperlink r:id="rId601" ref="A603"/>
    <hyperlink r:id="rId602" ref="A604"/>
    <hyperlink r:id="rId603" ref="A605"/>
    <hyperlink r:id="rId604" ref="A606"/>
    <hyperlink r:id="rId605" ref="A607"/>
    <hyperlink r:id="rId606" ref="A608"/>
    <hyperlink r:id="rId607" ref="A609"/>
    <hyperlink r:id="rId608" ref="A610"/>
    <hyperlink r:id="rId609" ref="A611"/>
    <hyperlink r:id="rId610" ref="A612"/>
    <hyperlink r:id="rId611" ref="A613"/>
    <hyperlink r:id="rId612" ref="A614"/>
    <hyperlink r:id="rId613" ref="A615"/>
    <hyperlink r:id="rId614" ref="A616"/>
    <hyperlink r:id="rId615" ref="A617"/>
    <hyperlink r:id="rId616" ref="A618"/>
    <hyperlink r:id="rId617" ref="A619"/>
    <hyperlink r:id="rId618" ref="A620"/>
    <hyperlink r:id="rId619" ref="A621"/>
    <hyperlink r:id="rId620" ref="A622"/>
    <hyperlink r:id="rId621" ref="A623"/>
    <hyperlink r:id="rId622" ref="A624"/>
    <hyperlink r:id="rId623" ref="A625"/>
    <hyperlink r:id="rId624" ref="A626"/>
    <hyperlink r:id="rId625" ref="A627"/>
    <hyperlink r:id="rId626" ref="A628"/>
    <hyperlink r:id="rId627" ref="A629"/>
    <hyperlink r:id="rId628" ref="A630"/>
    <hyperlink r:id="rId629" ref="A631"/>
    <hyperlink r:id="rId630" ref="A632"/>
    <hyperlink r:id="rId631" ref="A633"/>
    <hyperlink r:id="rId632" ref="A634"/>
    <hyperlink r:id="rId633" ref="A635"/>
    <hyperlink r:id="rId634" ref="A636"/>
    <hyperlink r:id="rId635" ref="A637"/>
    <hyperlink r:id="rId636" ref="A638"/>
    <hyperlink r:id="rId637" ref="A639"/>
    <hyperlink r:id="rId638" ref="A640"/>
    <hyperlink r:id="rId639" ref="A641"/>
    <hyperlink r:id="rId640" ref="A642"/>
    <hyperlink r:id="rId641" ref="A643"/>
    <hyperlink r:id="rId642" ref="A644"/>
    <hyperlink r:id="rId643" ref="A645"/>
    <hyperlink r:id="rId644" ref="A646"/>
    <hyperlink r:id="rId645" ref="A647"/>
    <hyperlink r:id="rId646" ref="A648"/>
    <hyperlink r:id="rId647" ref="A649"/>
    <hyperlink r:id="rId648" ref="A650"/>
    <hyperlink r:id="rId649" ref="A651"/>
    <hyperlink r:id="rId650" ref="A652"/>
    <hyperlink r:id="rId651" ref="A653"/>
    <hyperlink r:id="rId652" ref="A654"/>
    <hyperlink r:id="rId653" ref="A655"/>
    <hyperlink r:id="rId654" ref="A656"/>
    <hyperlink r:id="rId655" ref="A657"/>
    <hyperlink r:id="rId656" ref="A658"/>
    <hyperlink r:id="rId657" ref="A659"/>
    <hyperlink r:id="rId658" ref="A660"/>
    <hyperlink r:id="rId659" ref="A661"/>
    <hyperlink r:id="rId660" ref="A662"/>
    <hyperlink r:id="rId661" ref="A663"/>
    <hyperlink r:id="rId662" ref="A664"/>
    <hyperlink r:id="rId663" ref="A665"/>
    <hyperlink r:id="rId664" ref="A666"/>
    <hyperlink r:id="rId665" ref="A667"/>
    <hyperlink r:id="rId666" ref="A668"/>
    <hyperlink r:id="rId667" ref="A669"/>
    <hyperlink r:id="rId668" ref="A670"/>
    <hyperlink r:id="rId669" ref="A671"/>
    <hyperlink r:id="rId670" ref="A672"/>
    <hyperlink r:id="rId671" ref="A673"/>
    <hyperlink r:id="rId672" ref="A674"/>
    <hyperlink r:id="rId673" ref="A675"/>
    <hyperlink r:id="rId674" ref="A676"/>
    <hyperlink r:id="rId675" ref="A677"/>
    <hyperlink r:id="rId676" ref="A678"/>
    <hyperlink r:id="rId677" ref="A679"/>
    <hyperlink r:id="rId678" ref="A680"/>
    <hyperlink r:id="rId679" ref="A681"/>
    <hyperlink r:id="rId680" ref="A682"/>
    <hyperlink r:id="rId681" ref="A683"/>
    <hyperlink r:id="rId682" ref="A684"/>
    <hyperlink r:id="rId683" ref="A685"/>
    <hyperlink r:id="rId684" ref="A686"/>
    <hyperlink r:id="rId685" ref="A687"/>
    <hyperlink r:id="rId686" ref="A688"/>
    <hyperlink r:id="rId687" ref="A689"/>
    <hyperlink r:id="rId688" ref="A690"/>
    <hyperlink r:id="rId689" ref="A691"/>
    <hyperlink r:id="rId690" ref="A692"/>
    <hyperlink r:id="rId691" ref="A693"/>
    <hyperlink r:id="rId692" ref="A694"/>
    <hyperlink r:id="rId693" ref="A695"/>
    <hyperlink r:id="rId694" ref="A696"/>
    <hyperlink r:id="rId695" ref="A697"/>
    <hyperlink r:id="rId696" ref="A698"/>
    <hyperlink r:id="rId697" ref="A699"/>
    <hyperlink r:id="rId698" ref="A700"/>
    <hyperlink r:id="rId699" ref="A701"/>
    <hyperlink r:id="rId700" ref="A702"/>
    <hyperlink r:id="rId701" ref="A703"/>
    <hyperlink r:id="rId702" ref="A704"/>
    <hyperlink r:id="rId703" ref="A705"/>
    <hyperlink r:id="rId704" ref="A706"/>
    <hyperlink r:id="rId705" ref="A707"/>
    <hyperlink r:id="rId706" ref="A708"/>
    <hyperlink r:id="rId707" ref="A709"/>
    <hyperlink r:id="rId708" ref="A710"/>
    <hyperlink r:id="rId709" ref="A711"/>
    <hyperlink r:id="rId710" ref="A712"/>
    <hyperlink r:id="rId711" ref="A713"/>
    <hyperlink r:id="rId712" ref="A714"/>
    <hyperlink r:id="rId713" ref="A715"/>
    <hyperlink r:id="rId714" ref="A716"/>
    <hyperlink r:id="rId715" ref="A717"/>
    <hyperlink r:id="rId716" ref="A718"/>
    <hyperlink r:id="rId717" ref="A719"/>
    <hyperlink r:id="rId718" ref="A720"/>
    <hyperlink r:id="rId719" ref="A721"/>
    <hyperlink r:id="rId720" ref="A722"/>
    <hyperlink r:id="rId721" ref="A723"/>
    <hyperlink r:id="rId722" ref="A724"/>
    <hyperlink r:id="rId723" ref="A725"/>
    <hyperlink r:id="rId724" ref="A726"/>
    <hyperlink r:id="rId725" ref="A727"/>
    <hyperlink r:id="rId726" ref="A728"/>
    <hyperlink r:id="rId727" ref="A729"/>
    <hyperlink r:id="rId728" ref="A730"/>
    <hyperlink r:id="rId729" ref="A731"/>
    <hyperlink r:id="rId730" ref="A732"/>
    <hyperlink r:id="rId731" ref="A733"/>
    <hyperlink r:id="rId732" ref="A734"/>
    <hyperlink r:id="rId733" ref="A735"/>
    <hyperlink r:id="rId734" ref="A736"/>
    <hyperlink r:id="rId735" ref="A737"/>
    <hyperlink r:id="rId736" ref="A738"/>
    <hyperlink r:id="rId737" ref="A739"/>
    <hyperlink r:id="rId738" ref="A740"/>
    <hyperlink r:id="rId739" ref="A741"/>
    <hyperlink r:id="rId740" ref="A742"/>
    <hyperlink r:id="rId741" ref="A743"/>
    <hyperlink r:id="rId742" ref="A744"/>
    <hyperlink r:id="rId743" ref="A745"/>
    <hyperlink r:id="rId744" ref="A746"/>
    <hyperlink r:id="rId745" ref="A747"/>
    <hyperlink r:id="rId746" ref="A748"/>
    <hyperlink r:id="rId747" ref="A749"/>
    <hyperlink r:id="rId748" ref="A750"/>
    <hyperlink r:id="rId749" ref="A751"/>
    <hyperlink r:id="rId750" ref="A752"/>
    <hyperlink r:id="rId751" ref="A753"/>
    <hyperlink r:id="rId752" ref="A754"/>
    <hyperlink r:id="rId753" ref="A755"/>
    <hyperlink r:id="rId754" ref="A756"/>
    <hyperlink r:id="rId755" ref="A757"/>
    <hyperlink r:id="rId756" ref="A758"/>
    <hyperlink r:id="rId757" ref="A759"/>
    <hyperlink r:id="rId758" ref="A760"/>
    <hyperlink r:id="rId759" ref="A761"/>
    <hyperlink r:id="rId760" ref="A762"/>
    <hyperlink r:id="rId761" ref="A763"/>
    <hyperlink r:id="rId762" ref="A764"/>
    <hyperlink r:id="rId763" ref="A765"/>
    <hyperlink r:id="rId764" ref="A766"/>
    <hyperlink r:id="rId765" ref="A767"/>
  </hyperlinks>
  <drawing r:id="rId76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
    <col customWidth="1" min="2" max="2" width="71.88"/>
    <col customWidth="1" min="3" max="3" width="16.38"/>
    <col customWidth="1" min="4" max="4" width="27.0"/>
    <col customWidth="1" min="5" max="5" width="35.5"/>
    <col customWidth="1" min="6" max="6" width="44.38"/>
  </cols>
  <sheetData>
    <row r="1">
      <c r="A1" s="38" t="s">
        <v>6</v>
      </c>
      <c r="B1" s="9" t="s">
        <v>6158</v>
      </c>
      <c r="C1" s="38" t="s">
        <v>6159</v>
      </c>
      <c r="D1" s="38" t="s">
        <v>6160</v>
      </c>
      <c r="E1" s="9" t="s">
        <v>168</v>
      </c>
      <c r="F1" s="9" t="s">
        <v>6161</v>
      </c>
    </row>
    <row r="2">
      <c r="A2" s="38">
        <v>1.0</v>
      </c>
      <c r="B2" s="39" t="s">
        <v>50</v>
      </c>
      <c r="C2" s="38">
        <v>0.0</v>
      </c>
      <c r="D2" s="38">
        <v>0.0</v>
      </c>
    </row>
    <row r="3">
      <c r="A3" s="38">
        <v>2.0</v>
      </c>
      <c r="B3" s="39" t="s">
        <v>218</v>
      </c>
      <c r="C3" s="38">
        <v>0.0</v>
      </c>
      <c r="D3" s="38">
        <v>0.0</v>
      </c>
    </row>
    <row r="4">
      <c r="A4" s="38">
        <v>3.0</v>
      </c>
      <c r="B4" s="39" t="s">
        <v>222</v>
      </c>
      <c r="C4" s="38">
        <v>0.0</v>
      </c>
      <c r="D4" s="38">
        <v>0.0</v>
      </c>
    </row>
    <row r="5">
      <c r="A5" s="38">
        <v>4.0</v>
      </c>
      <c r="B5" s="39" t="s">
        <v>270</v>
      </c>
      <c r="C5" s="38">
        <v>0.0</v>
      </c>
      <c r="D5" s="38">
        <v>0.0</v>
      </c>
    </row>
    <row r="6">
      <c r="A6" s="38">
        <v>5.0</v>
      </c>
      <c r="B6" s="39" t="s">
        <v>240</v>
      </c>
      <c r="C6" s="38">
        <v>0.0</v>
      </c>
      <c r="D6" s="38">
        <v>0.0</v>
      </c>
    </row>
    <row r="7">
      <c r="A7" s="38">
        <v>6.0</v>
      </c>
      <c r="B7" s="39" t="s">
        <v>593</v>
      </c>
      <c r="C7" s="38">
        <v>0.0</v>
      </c>
      <c r="D7" s="38">
        <v>0.0</v>
      </c>
    </row>
    <row r="8">
      <c r="A8" s="38">
        <v>7.0</v>
      </c>
      <c r="B8" s="39" t="s">
        <v>701</v>
      </c>
      <c r="C8" s="38">
        <v>0.0</v>
      </c>
      <c r="D8" s="38">
        <v>0.0</v>
      </c>
    </row>
    <row r="9">
      <c r="A9" s="38">
        <v>8.0</v>
      </c>
      <c r="B9" s="39" t="s">
        <v>561</v>
      </c>
      <c r="C9" s="38">
        <v>0.0</v>
      </c>
      <c r="D9" s="38">
        <v>0.0</v>
      </c>
    </row>
    <row r="10">
      <c r="A10" s="38">
        <v>9.0</v>
      </c>
      <c r="B10" s="39" t="s">
        <v>341</v>
      </c>
      <c r="C10" s="38">
        <v>0.0</v>
      </c>
      <c r="D10" s="38">
        <v>0.0</v>
      </c>
    </row>
    <row r="11">
      <c r="A11" s="38">
        <v>10.0</v>
      </c>
      <c r="B11" s="39" t="s">
        <v>1225</v>
      </c>
      <c r="C11" s="38">
        <v>0.0</v>
      </c>
      <c r="D11" s="38">
        <v>0.0</v>
      </c>
    </row>
    <row r="12">
      <c r="A12" s="38">
        <v>11.0</v>
      </c>
      <c r="B12" s="39" t="s">
        <v>962</v>
      </c>
      <c r="C12" s="38">
        <v>0.0</v>
      </c>
      <c r="D12" s="38">
        <v>0.0</v>
      </c>
    </row>
    <row r="13">
      <c r="A13" s="38">
        <v>12.0</v>
      </c>
      <c r="B13" s="39" t="s">
        <v>375</v>
      </c>
      <c r="C13" s="38">
        <v>0.0</v>
      </c>
      <c r="D13" s="38">
        <v>0.0</v>
      </c>
    </row>
    <row r="14">
      <c r="A14" s="38">
        <v>13.0</v>
      </c>
      <c r="B14" s="39" t="s">
        <v>1520</v>
      </c>
      <c r="C14" s="38">
        <v>0.0</v>
      </c>
      <c r="D14" s="38">
        <v>0.0</v>
      </c>
    </row>
    <row r="15">
      <c r="A15" s="38">
        <v>14.0</v>
      </c>
      <c r="B15" s="39" t="s">
        <v>1597</v>
      </c>
      <c r="C15" s="38">
        <v>0.0</v>
      </c>
      <c r="D15" s="38">
        <v>0.0</v>
      </c>
    </row>
    <row r="16">
      <c r="A16" s="38">
        <v>15.0</v>
      </c>
      <c r="B16" s="39" t="s">
        <v>1663</v>
      </c>
      <c r="C16" s="38">
        <v>0.0</v>
      </c>
      <c r="D16" s="38">
        <v>0.0</v>
      </c>
    </row>
    <row r="17">
      <c r="A17" s="38">
        <v>16.0</v>
      </c>
      <c r="B17" s="39" t="s">
        <v>1741</v>
      </c>
      <c r="C17" s="38">
        <v>0.0</v>
      </c>
      <c r="D17" s="38">
        <v>0.0</v>
      </c>
    </row>
    <row r="18">
      <c r="A18" s="38">
        <v>17.0</v>
      </c>
      <c r="B18" s="39" t="s">
        <v>1608</v>
      </c>
      <c r="C18" s="38">
        <v>1.0</v>
      </c>
      <c r="D18" s="38">
        <v>1.0</v>
      </c>
      <c r="E18" s="9" t="s">
        <v>6163</v>
      </c>
      <c r="F18" s="39" t="s">
        <v>1597</v>
      </c>
    </row>
    <row r="19">
      <c r="A19" s="38">
        <v>18.0</v>
      </c>
      <c r="B19" s="39" t="s">
        <v>1618</v>
      </c>
      <c r="C19" s="38">
        <v>0.0</v>
      </c>
      <c r="D19" s="38">
        <v>0.0</v>
      </c>
    </row>
    <row r="20">
      <c r="A20" s="38">
        <v>19.0</v>
      </c>
      <c r="B20" s="39" t="s">
        <v>1297</v>
      </c>
      <c r="C20" s="38">
        <v>0.0</v>
      </c>
      <c r="D20" s="38">
        <v>0.0</v>
      </c>
    </row>
    <row r="21">
      <c r="A21" s="38">
        <v>20.0</v>
      </c>
      <c r="B21" s="39" t="s">
        <v>2008</v>
      </c>
      <c r="C21" s="38">
        <v>0.0</v>
      </c>
      <c r="D21" s="38">
        <v>0.0</v>
      </c>
    </row>
    <row r="22">
      <c r="A22" s="38">
        <v>21.0</v>
      </c>
      <c r="B22" s="39" t="s">
        <v>1545</v>
      </c>
      <c r="C22" s="38">
        <v>0.0</v>
      </c>
      <c r="D22" s="38">
        <v>0.0</v>
      </c>
    </row>
    <row r="23">
      <c r="A23" s="38">
        <v>22.0</v>
      </c>
      <c r="B23" s="39" t="s">
        <v>391</v>
      </c>
      <c r="C23" s="38">
        <v>0.0</v>
      </c>
      <c r="D23" s="38">
        <v>0.0</v>
      </c>
    </row>
    <row r="24">
      <c r="A24" s="38">
        <v>23.0</v>
      </c>
      <c r="B24" s="39" t="s">
        <v>2195</v>
      </c>
      <c r="C24" s="38">
        <v>0.0</v>
      </c>
      <c r="D24" s="38">
        <v>0.0</v>
      </c>
    </row>
    <row r="25">
      <c r="A25" s="38">
        <v>24.0</v>
      </c>
      <c r="B25" s="39" t="s">
        <v>350</v>
      </c>
      <c r="C25" s="38">
        <v>0.0</v>
      </c>
      <c r="D25" s="38">
        <v>0.0</v>
      </c>
    </row>
    <row r="26">
      <c r="A26" s="38">
        <v>25.0</v>
      </c>
      <c r="B26" s="39" t="s">
        <v>1966</v>
      </c>
      <c r="C26" s="38">
        <v>0.0</v>
      </c>
      <c r="D26" s="38">
        <v>0.0</v>
      </c>
    </row>
    <row r="27">
      <c r="A27" s="38">
        <v>26.0</v>
      </c>
      <c r="B27" s="39" t="s">
        <v>1905</v>
      </c>
      <c r="C27" s="38">
        <v>0.0</v>
      </c>
      <c r="D27" s="38">
        <v>0.0</v>
      </c>
    </row>
    <row r="28">
      <c r="A28" s="38">
        <v>27.0</v>
      </c>
      <c r="B28" s="39" t="s">
        <v>433</v>
      </c>
      <c r="C28" s="38">
        <v>0.0</v>
      </c>
      <c r="D28" s="38">
        <v>0.0</v>
      </c>
    </row>
    <row r="29">
      <c r="A29" s="38">
        <v>28.0</v>
      </c>
      <c r="B29" s="39" t="s">
        <v>2091</v>
      </c>
      <c r="C29" s="38">
        <v>0.0</v>
      </c>
      <c r="D29" s="38">
        <v>0.0</v>
      </c>
    </row>
    <row r="30">
      <c r="A30" s="38">
        <v>29.0</v>
      </c>
      <c r="B30" s="39" t="s">
        <v>2570</v>
      </c>
      <c r="C30" s="38">
        <v>0.0</v>
      </c>
      <c r="D30" s="38">
        <v>0.0</v>
      </c>
    </row>
    <row r="31">
      <c r="A31" s="38">
        <v>30.0</v>
      </c>
      <c r="B31" s="39" t="s">
        <v>1860</v>
      </c>
      <c r="C31" s="38">
        <v>0.0</v>
      </c>
      <c r="D31" s="38">
        <v>0.0</v>
      </c>
    </row>
    <row r="32">
      <c r="A32" s="38">
        <v>31.0</v>
      </c>
      <c r="B32" s="39" t="s">
        <v>3155</v>
      </c>
      <c r="C32" s="38">
        <v>0.0</v>
      </c>
      <c r="D32" s="38">
        <v>0.0</v>
      </c>
    </row>
    <row r="33">
      <c r="A33" s="38">
        <v>32.0</v>
      </c>
      <c r="B33" s="39" t="s">
        <v>2466</v>
      </c>
      <c r="C33" s="38">
        <v>0.0</v>
      </c>
      <c r="D33" s="38">
        <v>0.0</v>
      </c>
    </row>
    <row r="34">
      <c r="A34" s="38">
        <v>33.0</v>
      </c>
      <c r="B34" s="39" t="s">
        <v>2663</v>
      </c>
      <c r="C34" s="38">
        <v>0.0</v>
      </c>
      <c r="D34" s="38">
        <v>0.0</v>
      </c>
    </row>
    <row r="35">
      <c r="A35" s="38">
        <v>34.0</v>
      </c>
      <c r="B35" s="39" t="s">
        <v>2515</v>
      </c>
      <c r="C35" s="38">
        <v>0.0</v>
      </c>
      <c r="D35" s="38">
        <v>0.0</v>
      </c>
    </row>
    <row r="36">
      <c r="A36" s="38">
        <v>35.0</v>
      </c>
      <c r="B36" s="39" t="s">
        <v>1997</v>
      </c>
      <c r="C36" s="38">
        <v>0.0</v>
      </c>
      <c r="D36" s="38">
        <v>0.0</v>
      </c>
    </row>
    <row r="37">
      <c r="A37" s="38">
        <v>36.0</v>
      </c>
      <c r="B37" s="39" t="s">
        <v>3408</v>
      </c>
      <c r="C37" s="38">
        <v>0.0</v>
      </c>
      <c r="D37" s="38">
        <v>0.0</v>
      </c>
    </row>
    <row r="38">
      <c r="A38" s="38">
        <v>37.0</v>
      </c>
      <c r="B38" s="39" t="s">
        <v>1722</v>
      </c>
      <c r="C38" s="38">
        <v>0.0</v>
      </c>
      <c r="D38" s="38">
        <v>0.0</v>
      </c>
    </row>
    <row r="39">
      <c r="A39" s="38">
        <v>38.0</v>
      </c>
      <c r="B39" s="39" t="s">
        <v>2957</v>
      </c>
      <c r="C39" s="38">
        <v>0.0</v>
      </c>
      <c r="D39" s="38">
        <v>0.0</v>
      </c>
    </row>
    <row r="40">
      <c r="A40" s="38">
        <v>39.0</v>
      </c>
      <c r="B40" s="39" t="s">
        <v>3586</v>
      </c>
      <c r="C40" s="38">
        <v>0.0</v>
      </c>
      <c r="D40" s="38">
        <v>0.0</v>
      </c>
    </row>
    <row r="41">
      <c r="A41" s="38">
        <v>40.0</v>
      </c>
      <c r="B41" s="39" t="s">
        <v>3676</v>
      </c>
      <c r="C41" s="38">
        <v>0.0</v>
      </c>
      <c r="D41" s="38">
        <v>0.0</v>
      </c>
    </row>
    <row r="42">
      <c r="A42" s="38">
        <v>41.0</v>
      </c>
      <c r="B42" s="39" t="s">
        <v>2949</v>
      </c>
      <c r="C42" s="38">
        <v>0.0</v>
      </c>
      <c r="D42" s="38">
        <v>0.0</v>
      </c>
    </row>
    <row r="43">
      <c r="A43" s="38">
        <v>42.0</v>
      </c>
      <c r="B43" s="39" t="s">
        <v>3592</v>
      </c>
      <c r="C43" s="38">
        <v>0.0</v>
      </c>
      <c r="D43" s="38">
        <v>0.0</v>
      </c>
    </row>
    <row r="44">
      <c r="A44" s="38">
        <v>43.0</v>
      </c>
      <c r="B44" s="39" t="s">
        <v>919</v>
      </c>
      <c r="C44" s="38">
        <v>0.0</v>
      </c>
      <c r="D44" s="38">
        <v>0.0</v>
      </c>
    </row>
    <row r="45">
      <c r="A45" s="38">
        <v>44.0</v>
      </c>
      <c r="B45" s="39" t="s">
        <v>3565</v>
      </c>
      <c r="C45" s="38">
        <v>0.0</v>
      </c>
      <c r="D45" s="38">
        <v>0.0</v>
      </c>
    </row>
    <row r="46">
      <c r="A46" s="38">
        <v>45.0</v>
      </c>
      <c r="B46" s="39" t="s">
        <v>3764</v>
      </c>
      <c r="C46" s="38">
        <v>0.0</v>
      </c>
      <c r="D46" s="38">
        <v>0.0</v>
      </c>
    </row>
    <row r="47">
      <c r="A47" s="38">
        <v>46.0</v>
      </c>
      <c r="B47" s="39" t="s">
        <v>3646</v>
      </c>
      <c r="C47" s="38">
        <v>0.0</v>
      </c>
      <c r="D47" s="38">
        <v>0.0</v>
      </c>
    </row>
    <row r="48">
      <c r="A48" s="38">
        <v>47.0</v>
      </c>
      <c r="B48" s="39" t="s">
        <v>3580</v>
      </c>
      <c r="C48" s="38">
        <v>0.0</v>
      </c>
      <c r="D48" s="38">
        <v>0.0</v>
      </c>
    </row>
    <row r="49">
      <c r="A49" s="38">
        <v>48.0</v>
      </c>
      <c r="B49" s="39" t="s">
        <v>3574</v>
      </c>
      <c r="C49" s="38">
        <v>0.0</v>
      </c>
      <c r="D49" s="38">
        <v>0.0</v>
      </c>
    </row>
    <row r="50">
      <c r="A50" s="38">
        <v>49.0</v>
      </c>
      <c r="B50" s="39" t="s">
        <v>3616</v>
      </c>
      <c r="C50" s="38">
        <v>0.0</v>
      </c>
      <c r="D50" s="38">
        <v>0.0</v>
      </c>
    </row>
    <row r="51">
      <c r="A51" s="38">
        <v>50.0</v>
      </c>
      <c r="B51" s="39" t="s">
        <v>2895</v>
      </c>
      <c r="C51" s="38">
        <v>0.0</v>
      </c>
      <c r="D51" s="38">
        <v>0.0</v>
      </c>
    </row>
    <row r="52">
      <c r="A52" s="38">
        <v>51.0</v>
      </c>
      <c r="B52" s="39" t="s">
        <v>4121</v>
      </c>
      <c r="C52" s="38">
        <v>0.0</v>
      </c>
      <c r="D52" s="38">
        <v>0.0</v>
      </c>
    </row>
    <row r="53">
      <c r="A53" s="38">
        <v>52.0</v>
      </c>
      <c r="B53" s="39" t="s">
        <v>314</v>
      </c>
      <c r="C53" s="38">
        <v>0.0</v>
      </c>
      <c r="D53" s="38">
        <v>0.0</v>
      </c>
    </row>
    <row r="54">
      <c r="A54" s="38">
        <v>53.0</v>
      </c>
      <c r="B54" s="39" t="s">
        <v>4257</v>
      </c>
      <c r="C54" s="38">
        <v>0.0</v>
      </c>
      <c r="D54" s="38">
        <v>0.0</v>
      </c>
    </row>
    <row r="55">
      <c r="A55" s="38">
        <v>54.0</v>
      </c>
      <c r="B55" s="39" t="s">
        <v>2236</v>
      </c>
      <c r="C55" s="38">
        <v>0.0</v>
      </c>
      <c r="D55" s="38">
        <v>0.0</v>
      </c>
    </row>
    <row r="56">
      <c r="A56" s="38">
        <v>55.0</v>
      </c>
      <c r="B56" s="39" t="s">
        <v>1643</v>
      </c>
      <c r="C56" s="38">
        <v>0.0</v>
      </c>
      <c r="D56" s="38">
        <v>0.0</v>
      </c>
    </row>
    <row r="57">
      <c r="A57" s="38">
        <v>56.0</v>
      </c>
      <c r="B57" s="39" t="s">
        <v>738</v>
      </c>
      <c r="C57" s="38">
        <v>0.0</v>
      </c>
      <c r="D57" s="38">
        <v>0.0</v>
      </c>
    </row>
    <row r="58">
      <c r="A58" s="38">
        <v>57.0</v>
      </c>
      <c r="B58" s="39" t="s">
        <v>94</v>
      </c>
      <c r="C58" s="38">
        <v>0.0</v>
      </c>
      <c r="D58" s="38">
        <v>0.0</v>
      </c>
    </row>
    <row r="59">
      <c r="A59" s="38">
        <v>58.0</v>
      </c>
      <c r="B59" s="39" t="s">
        <v>68</v>
      </c>
      <c r="C59" s="38">
        <v>0.0</v>
      </c>
      <c r="D59" s="38">
        <v>0.0</v>
      </c>
    </row>
    <row r="60">
      <c r="A60" s="38">
        <v>59.0</v>
      </c>
      <c r="B60" s="39" t="s">
        <v>4576</v>
      </c>
      <c r="C60" s="38">
        <v>0.0</v>
      </c>
      <c r="D60" s="38">
        <v>0.0</v>
      </c>
    </row>
    <row r="61">
      <c r="A61" s="38">
        <v>60.0</v>
      </c>
      <c r="B61" s="39" t="s">
        <v>1714</v>
      </c>
      <c r="C61" s="38">
        <v>0.0</v>
      </c>
      <c r="D61" s="38">
        <v>0.0</v>
      </c>
    </row>
    <row r="62">
      <c r="A62" s="38">
        <v>61.0</v>
      </c>
      <c r="B62" s="39" t="s">
        <v>1716</v>
      </c>
      <c r="C62" s="38">
        <v>0.0</v>
      </c>
      <c r="D62" s="38">
        <v>0.0</v>
      </c>
    </row>
    <row r="63">
      <c r="A63" s="38">
        <v>62.0</v>
      </c>
      <c r="B63" s="39" t="s">
        <v>2424</v>
      </c>
      <c r="C63" s="38">
        <v>0.0</v>
      </c>
      <c r="D63" s="38">
        <v>0.0</v>
      </c>
    </row>
    <row r="64">
      <c r="A64" s="38">
        <v>63.0</v>
      </c>
      <c r="B64" s="39" t="s">
        <v>3498</v>
      </c>
      <c r="C64" s="38">
        <v>0.0</v>
      </c>
      <c r="D64" s="38">
        <v>0.0</v>
      </c>
    </row>
    <row r="65">
      <c r="A65" s="38">
        <v>64.0</v>
      </c>
      <c r="B65" s="39" t="s">
        <v>2072</v>
      </c>
      <c r="C65" s="38">
        <v>0.0</v>
      </c>
      <c r="D65" s="38">
        <v>0.0</v>
      </c>
    </row>
    <row r="66">
      <c r="A66" s="38">
        <v>65.0</v>
      </c>
      <c r="B66" s="39" t="s">
        <v>4911</v>
      </c>
      <c r="C66" s="38">
        <v>0.0</v>
      </c>
      <c r="D66" s="38">
        <v>0.0</v>
      </c>
    </row>
    <row r="67">
      <c r="A67" s="38">
        <v>66.0</v>
      </c>
      <c r="B67" s="39" t="s">
        <v>5322</v>
      </c>
      <c r="C67" s="38">
        <v>0.0</v>
      </c>
      <c r="D67" s="38">
        <v>0.0</v>
      </c>
    </row>
    <row r="68">
      <c r="A68" s="38">
        <v>67.0</v>
      </c>
      <c r="B68" s="39" t="s">
        <v>5448</v>
      </c>
      <c r="C68" s="38">
        <v>0.0</v>
      </c>
      <c r="D68" s="38">
        <v>0.0</v>
      </c>
    </row>
    <row r="69">
      <c r="A69" s="38">
        <v>68.0</v>
      </c>
      <c r="B69" s="39" t="s">
        <v>1293</v>
      </c>
      <c r="C69" s="38">
        <v>0.0</v>
      </c>
      <c r="D69" s="38">
        <v>0.0</v>
      </c>
    </row>
    <row r="70">
      <c r="A70" s="38">
        <v>69.0</v>
      </c>
      <c r="B70" s="39" t="s">
        <v>1738</v>
      </c>
      <c r="C70" s="38">
        <v>0.0</v>
      </c>
      <c r="D70" s="38">
        <v>0.0</v>
      </c>
    </row>
    <row r="71">
      <c r="A71" s="38">
        <v>70.0</v>
      </c>
      <c r="B71" s="39" t="s">
        <v>5194</v>
      </c>
      <c r="C71" s="38">
        <v>0.0</v>
      </c>
      <c r="D71" s="38">
        <v>0.0</v>
      </c>
    </row>
    <row r="72">
      <c r="A72" s="38">
        <v>71.0</v>
      </c>
      <c r="B72" s="39" t="s">
        <v>2508</v>
      </c>
      <c r="C72" s="38">
        <v>0.0</v>
      </c>
      <c r="D72" s="38">
        <v>0.0</v>
      </c>
    </row>
    <row r="73">
      <c r="A73" s="38">
        <v>72.0</v>
      </c>
      <c r="B73" s="39" t="s">
        <v>160</v>
      </c>
      <c r="C73" s="38">
        <v>0.0</v>
      </c>
      <c r="D73" s="38">
        <v>0.0</v>
      </c>
    </row>
    <row r="74">
      <c r="A74" s="38">
        <v>73.0</v>
      </c>
      <c r="B74" s="39" t="s">
        <v>2513</v>
      </c>
      <c r="C74" s="38">
        <v>0.0</v>
      </c>
      <c r="D74" s="38">
        <v>0.0</v>
      </c>
    </row>
    <row r="75">
      <c r="A75" s="38">
        <v>74.0</v>
      </c>
      <c r="B75" s="39" t="s">
        <v>2539</v>
      </c>
      <c r="C75" s="38">
        <v>0.0</v>
      </c>
      <c r="D75" s="38">
        <v>0.0</v>
      </c>
    </row>
    <row r="76">
      <c r="A76" s="38">
        <v>75.0</v>
      </c>
      <c r="B76" s="39" t="s">
        <v>5315</v>
      </c>
      <c r="C76" s="38">
        <v>0.0</v>
      </c>
      <c r="D76" s="38">
        <v>0.0</v>
      </c>
    </row>
    <row r="77">
      <c r="A77" s="40"/>
      <c r="C77" s="40"/>
      <c r="D77" s="40"/>
    </row>
    <row r="78">
      <c r="A78" s="40"/>
      <c r="B78" s="9" t="s">
        <v>6206</v>
      </c>
      <c r="C78" s="38">
        <v>1.0</v>
      </c>
      <c r="D78" s="40"/>
    </row>
    <row r="79">
      <c r="A79" s="40"/>
      <c r="B79" s="9" t="s">
        <v>6207</v>
      </c>
      <c r="C79" s="38">
        <v>74.0</v>
      </c>
      <c r="D79" s="40"/>
    </row>
    <row r="80">
      <c r="A80" s="40"/>
      <c r="B80" s="9" t="s">
        <v>6208</v>
      </c>
      <c r="C80" s="38">
        <v>1.0</v>
      </c>
      <c r="D80" s="40"/>
    </row>
    <row r="81">
      <c r="A81" s="40"/>
      <c r="C81" s="40"/>
      <c r="D81" s="40"/>
    </row>
    <row r="82">
      <c r="A82" s="40"/>
      <c r="C82" s="40"/>
      <c r="D82" s="40"/>
    </row>
    <row r="83">
      <c r="A83" s="40"/>
      <c r="C83" s="40"/>
      <c r="D83" s="40"/>
    </row>
    <row r="84">
      <c r="A84" s="40"/>
      <c r="C84" s="40"/>
      <c r="D84" s="40"/>
    </row>
    <row r="85">
      <c r="A85" s="40"/>
      <c r="C85" s="40"/>
      <c r="D85" s="40"/>
    </row>
    <row r="86">
      <c r="A86" s="40"/>
      <c r="C86" s="40"/>
      <c r="D86" s="40"/>
    </row>
    <row r="87">
      <c r="A87" s="40"/>
      <c r="C87" s="40"/>
      <c r="D87" s="40"/>
    </row>
    <row r="88">
      <c r="A88" s="40"/>
      <c r="C88" s="40"/>
      <c r="D88" s="40"/>
    </row>
    <row r="89">
      <c r="A89" s="40"/>
      <c r="C89" s="40"/>
      <c r="D89" s="40"/>
    </row>
    <row r="90">
      <c r="A90" s="40"/>
      <c r="C90" s="40"/>
      <c r="D90" s="40"/>
    </row>
    <row r="91">
      <c r="A91" s="40"/>
      <c r="C91" s="40"/>
      <c r="D91" s="40"/>
    </row>
    <row r="92">
      <c r="A92" s="40"/>
      <c r="C92" s="40"/>
      <c r="D92" s="40"/>
    </row>
    <row r="93">
      <c r="A93" s="40"/>
      <c r="C93" s="40"/>
      <c r="D93" s="40"/>
    </row>
    <row r="94">
      <c r="A94" s="40"/>
      <c r="C94" s="40"/>
      <c r="D94" s="40"/>
    </row>
    <row r="95">
      <c r="A95" s="40"/>
      <c r="C95" s="40"/>
      <c r="D95" s="40"/>
    </row>
    <row r="96">
      <c r="A96" s="40"/>
      <c r="C96" s="40"/>
      <c r="D96" s="40"/>
    </row>
    <row r="97">
      <c r="A97" s="40"/>
      <c r="C97" s="40"/>
      <c r="D97" s="40"/>
    </row>
    <row r="98">
      <c r="A98" s="40"/>
      <c r="C98" s="40"/>
      <c r="D98" s="40"/>
    </row>
    <row r="99">
      <c r="A99" s="40"/>
      <c r="C99" s="40"/>
      <c r="D99" s="40"/>
    </row>
    <row r="100">
      <c r="A100" s="40"/>
      <c r="C100" s="40"/>
      <c r="D100" s="40"/>
    </row>
    <row r="101">
      <c r="A101" s="40"/>
      <c r="C101" s="40"/>
      <c r="D101" s="40"/>
    </row>
    <row r="102">
      <c r="A102" s="40"/>
      <c r="C102" s="40"/>
      <c r="D102" s="40"/>
    </row>
    <row r="103">
      <c r="A103" s="40"/>
      <c r="C103" s="40"/>
      <c r="D103" s="40"/>
    </row>
    <row r="104">
      <c r="A104" s="40"/>
      <c r="C104" s="40"/>
      <c r="D104" s="40"/>
    </row>
    <row r="105">
      <c r="A105" s="40"/>
      <c r="C105" s="40"/>
      <c r="D105" s="40"/>
    </row>
    <row r="106">
      <c r="A106" s="40"/>
      <c r="C106" s="40"/>
      <c r="D106" s="40"/>
    </row>
    <row r="107">
      <c r="A107" s="40"/>
      <c r="C107" s="40"/>
      <c r="D107" s="40"/>
    </row>
    <row r="108">
      <c r="A108" s="40"/>
      <c r="C108" s="40"/>
      <c r="D108" s="40"/>
    </row>
    <row r="109">
      <c r="A109" s="40"/>
      <c r="C109" s="40"/>
      <c r="D109" s="40"/>
    </row>
    <row r="110">
      <c r="A110" s="40"/>
      <c r="C110" s="40"/>
      <c r="D110" s="40"/>
    </row>
    <row r="111">
      <c r="A111" s="40"/>
      <c r="C111" s="40"/>
      <c r="D111" s="40"/>
    </row>
    <row r="112">
      <c r="A112" s="40"/>
      <c r="C112" s="40"/>
      <c r="D112" s="40"/>
    </row>
    <row r="113">
      <c r="A113" s="40"/>
      <c r="C113" s="40"/>
      <c r="D113" s="40"/>
    </row>
    <row r="114">
      <c r="A114" s="40"/>
      <c r="C114" s="40"/>
      <c r="D114" s="40"/>
    </row>
    <row r="115">
      <c r="A115" s="40"/>
      <c r="C115" s="40"/>
      <c r="D115" s="40"/>
    </row>
    <row r="116">
      <c r="A116" s="40"/>
      <c r="C116" s="40"/>
      <c r="D116" s="40"/>
    </row>
    <row r="117">
      <c r="A117" s="40"/>
      <c r="C117" s="40"/>
      <c r="D117" s="40"/>
    </row>
    <row r="118">
      <c r="A118" s="40"/>
      <c r="C118" s="40"/>
      <c r="D118" s="40"/>
    </row>
    <row r="119">
      <c r="A119" s="40"/>
      <c r="C119" s="40"/>
      <c r="D119" s="40"/>
    </row>
    <row r="120">
      <c r="A120" s="40"/>
      <c r="C120" s="40"/>
      <c r="D120" s="40"/>
    </row>
    <row r="121">
      <c r="A121" s="40"/>
      <c r="C121" s="40"/>
      <c r="D121" s="40"/>
    </row>
    <row r="122">
      <c r="A122" s="40"/>
      <c r="C122" s="40"/>
      <c r="D122" s="40"/>
    </row>
    <row r="123">
      <c r="A123" s="40"/>
      <c r="C123" s="40"/>
      <c r="D123" s="40"/>
    </row>
    <row r="124">
      <c r="A124" s="40"/>
      <c r="C124" s="40"/>
      <c r="D124" s="40"/>
    </row>
    <row r="125">
      <c r="A125" s="40"/>
      <c r="C125" s="40"/>
      <c r="D125" s="40"/>
    </row>
    <row r="126">
      <c r="A126" s="40"/>
      <c r="C126" s="40"/>
      <c r="D126" s="40"/>
    </row>
    <row r="127">
      <c r="A127" s="40"/>
      <c r="C127" s="40"/>
      <c r="D127" s="40"/>
    </row>
    <row r="128">
      <c r="A128" s="40"/>
      <c r="C128" s="40"/>
      <c r="D128" s="40"/>
    </row>
    <row r="129">
      <c r="A129" s="40"/>
      <c r="C129" s="40"/>
      <c r="D129" s="40"/>
    </row>
    <row r="130">
      <c r="A130" s="40"/>
      <c r="C130" s="40"/>
      <c r="D130" s="40"/>
    </row>
    <row r="131">
      <c r="A131" s="40"/>
      <c r="C131" s="40"/>
      <c r="D131" s="40"/>
    </row>
    <row r="132">
      <c r="A132" s="40"/>
      <c r="C132" s="40"/>
      <c r="D132" s="40"/>
    </row>
    <row r="133">
      <c r="A133" s="40"/>
      <c r="C133" s="40"/>
      <c r="D133" s="40"/>
    </row>
    <row r="134">
      <c r="A134" s="40"/>
      <c r="C134" s="40"/>
      <c r="D134" s="40"/>
    </row>
    <row r="135">
      <c r="A135" s="40"/>
      <c r="C135" s="40"/>
      <c r="D135" s="40"/>
    </row>
    <row r="136">
      <c r="A136" s="40"/>
      <c r="C136" s="40"/>
      <c r="D136" s="40"/>
    </row>
    <row r="137">
      <c r="A137" s="40"/>
      <c r="C137" s="40"/>
      <c r="D137" s="40"/>
    </row>
    <row r="138">
      <c r="A138" s="40"/>
      <c r="C138" s="40"/>
      <c r="D138" s="40"/>
    </row>
    <row r="139">
      <c r="A139" s="40"/>
      <c r="C139" s="40"/>
      <c r="D139" s="40"/>
    </row>
    <row r="140">
      <c r="A140" s="40"/>
      <c r="C140" s="40"/>
      <c r="D140" s="40"/>
    </row>
    <row r="141">
      <c r="A141" s="40"/>
      <c r="C141" s="40"/>
      <c r="D141" s="40"/>
    </row>
    <row r="142">
      <c r="A142" s="40"/>
      <c r="C142" s="40"/>
      <c r="D142" s="40"/>
    </row>
    <row r="143">
      <c r="A143" s="40"/>
      <c r="C143" s="40"/>
      <c r="D143" s="40"/>
    </row>
    <row r="144">
      <c r="A144" s="40"/>
      <c r="C144" s="40"/>
      <c r="D144" s="40"/>
    </row>
    <row r="145">
      <c r="A145" s="40"/>
      <c r="C145" s="40"/>
      <c r="D145" s="40"/>
    </row>
    <row r="146">
      <c r="A146" s="40"/>
      <c r="C146" s="40"/>
      <c r="D146" s="40"/>
    </row>
    <row r="147">
      <c r="A147" s="40"/>
      <c r="C147" s="40"/>
      <c r="D147" s="40"/>
    </row>
    <row r="148">
      <c r="A148" s="40"/>
      <c r="C148" s="40"/>
      <c r="D148" s="40"/>
    </row>
    <row r="149">
      <c r="A149" s="40"/>
      <c r="C149" s="40"/>
      <c r="D149" s="40"/>
    </row>
    <row r="150">
      <c r="A150" s="40"/>
      <c r="C150" s="40"/>
      <c r="D150" s="40"/>
    </row>
    <row r="151">
      <c r="A151" s="40"/>
      <c r="C151" s="40"/>
      <c r="D151" s="40"/>
    </row>
    <row r="152">
      <c r="A152" s="40"/>
      <c r="C152" s="40"/>
      <c r="D152" s="40"/>
    </row>
    <row r="153">
      <c r="A153" s="40"/>
      <c r="C153" s="40"/>
      <c r="D153" s="40"/>
    </row>
    <row r="154">
      <c r="A154" s="40"/>
      <c r="C154" s="40"/>
      <c r="D154" s="40"/>
    </row>
    <row r="155">
      <c r="A155" s="40"/>
      <c r="C155" s="40"/>
      <c r="D155" s="40"/>
    </row>
    <row r="156">
      <c r="A156" s="40"/>
      <c r="C156" s="40"/>
      <c r="D156" s="40"/>
    </row>
    <row r="157">
      <c r="A157" s="40"/>
      <c r="C157" s="40"/>
      <c r="D157" s="40"/>
    </row>
    <row r="158">
      <c r="A158" s="40"/>
      <c r="C158" s="40"/>
      <c r="D158" s="40"/>
    </row>
    <row r="159">
      <c r="A159" s="40"/>
      <c r="C159" s="40"/>
      <c r="D159" s="40"/>
    </row>
    <row r="160">
      <c r="A160" s="40"/>
      <c r="C160" s="40"/>
      <c r="D160" s="40"/>
    </row>
    <row r="161">
      <c r="A161" s="40"/>
      <c r="C161" s="40"/>
      <c r="D161" s="40"/>
    </row>
    <row r="162">
      <c r="A162" s="40"/>
      <c r="C162" s="40"/>
      <c r="D162" s="40"/>
    </row>
    <row r="163">
      <c r="A163" s="40"/>
      <c r="C163" s="40"/>
      <c r="D163" s="40"/>
    </row>
    <row r="164">
      <c r="A164" s="40"/>
      <c r="C164" s="40"/>
      <c r="D164" s="40"/>
    </row>
    <row r="165">
      <c r="A165" s="40"/>
      <c r="C165" s="40"/>
      <c r="D165" s="40"/>
    </row>
    <row r="166">
      <c r="A166" s="40"/>
      <c r="C166" s="40"/>
      <c r="D166" s="40"/>
    </row>
    <row r="167">
      <c r="A167" s="40"/>
      <c r="C167" s="40"/>
      <c r="D167" s="40"/>
    </row>
    <row r="168">
      <c r="A168" s="40"/>
      <c r="C168" s="40"/>
      <c r="D168" s="40"/>
    </row>
    <row r="169">
      <c r="A169" s="40"/>
      <c r="C169" s="40"/>
      <c r="D169" s="40"/>
    </row>
    <row r="170">
      <c r="A170" s="40"/>
      <c r="C170" s="40"/>
      <c r="D170" s="40"/>
    </row>
    <row r="171">
      <c r="A171" s="40"/>
      <c r="C171" s="40"/>
      <c r="D171" s="40"/>
    </row>
    <row r="172">
      <c r="A172" s="40"/>
      <c r="C172" s="40"/>
      <c r="D172" s="40"/>
    </row>
    <row r="173">
      <c r="A173" s="40"/>
      <c r="C173" s="40"/>
      <c r="D173" s="40"/>
    </row>
    <row r="174">
      <c r="A174" s="40"/>
      <c r="C174" s="40"/>
      <c r="D174" s="40"/>
    </row>
    <row r="175">
      <c r="A175" s="40"/>
      <c r="C175" s="40"/>
      <c r="D175" s="40"/>
    </row>
    <row r="176">
      <c r="A176" s="40"/>
      <c r="C176" s="40"/>
      <c r="D176" s="40"/>
    </row>
    <row r="177">
      <c r="A177" s="40"/>
      <c r="C177" s="40"/>
      <c r="D177" s="40"/>
    </row>
    <row r="178">
      <c r="A178" s="40"/>
      <c r="C178" s="40"/>
      <c r="D178" s="40"/>
    </row>
    <row r="179">
      <c r="A179" s="40"/>
      <c r="C179" s="40"/>
      <c r="D179" s="40"/>
    </row>
    <row r="180">
      <c r="A180" s="40"/>
      <c r="C180" s="40"/>
      <c r="D180" s="40"/>
    </row>
    <row r="181">
      <c r="A181" s="40"/>
      <c r="C181" s="40"/>
      <c r="D181" s="40"/>
    </row>
    <row r="182">
      <c r="A182" s="40"/>
      <c r="C182" s="40"/>
      <c r="D182" s="40"/>
    </row>
    <row r="183">
      <c r="A183" s="40"/>
      <c r="C183" s="40"/>
      <c r="D183" s="40"/>
    </row>
    <row r="184">
      <c r="A184" s="40"/>
      <c r="C184" s="40"/>
      <c r="D184" s="40"/>
    </row>
    <row r="185">
      <c r="A185" s="40"/>
      <c r="C185" s="40"/>
      <c r="D185" s="40"/>
    </row>
    <row r="186">
      <c r="A186" s="40"/>
      <c r="C186" s="40"/>
      <c r="D186" s="40"/>
    </row>
    <row r="187">
      <c r="A187" s="40"/>
      <c r="C187" s="40"/>
      <c r="D187" s="40"/>
    </row>
    <row r="188">
      <c r="A188" s="40"/>
      <c r="C188" s="40"/>
      <c r="D188" s="40"/>
    </row>
    <row r="189">
      <c r="A189" s="40"/>
      <c r="C189" s="40"/>
      <c r="D189" s="40"/>
    </row>
    <row r="190">
      <c r="A190" s="40"/>
      <c r="C190" s="40"/>
      <c r="D190" s="40"/>
    </row>
    <row r="191">
      <c r="A191" s="40"/>
      <c r="C191" s="40"/>
      <c r="D191" s="40"/>
    </row>
    <row r="192">
      <c r="A192" s="40"/>
      <c r="C192" s="40"/>
      <c r="D192" s="40"/>
    </row>
    <row r="193">
      <c r="A193" s="40"/>
      <c r="C193" s="40"/>
      <c r="D193" s="40"/>
    </row>
    <row r="194">
      <c r="A194" s="40"/>
      <c r="C194" s="40"/>
      <c r="D194" s="40"/>
    </row>
    <row r="195">
      <c r="A195" s="40"/>
      <c r="C195" s="40"/>
      <c r="D195" s="40"/>
    </row>
    <row r="196">
      <c r="A196" s="40"/>
      <c r="C196" s="40"/>
      <c r="D196" s="40"/>
    </row>
    <row r="197">
      <c r="A197" s="40"/>
      <c r="C197" s="40"/>
      <c r="D197" s="40"/>
    </row>
    <row r="198">
      <c r="A198" s="40"/>
      <c r="C198" s="40"/>
      <c r="D198" s="40"/>
    </row>
    <row r="199">
      <c r="A199" s="40"/>
      <c r="C199" s="40"/>
      <c r="D199" s="40"/>
    </row>
    <row r="200">
      <c r="A200" s="40"/>
      <c r="C200" s="40"/>
      <c r="D200" s="40"/>
    </row>
    <row r="201">
      <c r="A201" s="40"/>
      <c r="C201" s="40"/>
      <c r="D201" s="40"/>
    </row>
    <row r="202">
      <c r="A202" s="40"/>
      <c r="C202" s="40"/>
      <c r="D202" s="40"/>
    </row>
    <row r="203">
      <c r="A203" s="40"/>
      <c r="C203" s="40"/>
      <c r="D203" s="40"/>
    </row>
    <row r="204">
      <c r="A204" s="40"/>
      <c r="C204" s="40"/>
      <c r="D204" s="40"/>
    </row>
    <row r="205">
      <c r="A205" s="40"/>
      <c r="C205" s="40"/>
      <c r="D205" s="40"/>
    </row>
    <row r="206">
      <c r="A206" s="40"/>
      <c r="C206" s="40"/>
      <c r="D206" s="40"/>
    </row>
    <row r="207">
      <c r="A207" s="40"/>
      <c r="C207" s="40"/>
      <c r="D207" s="40"/>
    </row>
    <row r="208">
      <c r="A208" s="40"/>
      <c r="C208" s="40"/>
      <c r="D208" s="40"/>
    </row>
    <row r="209">
      <c r="A209" s="40"/>
      <c r="C209" s="40"/>
      <c r="D209" s="40"/>
    </row>
    <row r="210">
      <c r="A210" s="40"/>
      <c r="C210" s="40"/>
      <c r="D210" s="40"/>
    </row>
    <row r="211">
      <c r="A211" s="40"/>
      <c r="C211" s="40"/>
      <c r="D211" s="40"/>
    </row>
    <row r="212">
      <c r="A212" s="40"/>
      <c r="C212" s="40"/>
      <c r="D212" s="40"/>
    </row>
    <row r="213">
      <c r="A213" s="40"/>
      <c r="C213" s="40"/>
      <c r="D213" s="40"/>
    </row>
    <row r="214">
      <c r="A214" s="40"/>
      <c r="C214" s="40"/>
      <c r="D214" s="40"/>
    </row>
    <row r="215">
      <c r="A215" s="40"/>
      <c r="C215" s="40"/>
      <c r="D215" s="40"/>
    </row>
    <row r="216">
      <c r="A216" s="40"/>
      <c r="C216" s="40"/>
      <c r="D216" s="40"/>
    </row>
    <row r="217">
      <c r="A217" s="40"/>
      <c r="C217" s="40"/>
      <c r="D217" s="40"/>
    </row>
    <row r="218">
      <c r="A218" s="40"/>
      <c r="C218" s="40"/>
      <c r="D218" s="40"/>
    </row>
    <row r="219">
      <c r="A219" s="40"/>
      <c r="C219" s="40"/>
      <c r="D219" s="40"/>
    </row>
    <row r="220">
      <c r="A220" s="40"/>
      <c r="C220" s="40"/>
      <c r="D220" s="40"/>
    </row>
    <row r="221">
      <c r="A221" s="40"/>
      <c r="C221" s="40"/>
      <c r="D221" s="40"/>
    </row>
    <row r="222">
      <c r="A222" s="40"/>
      <c r="C222" s="40"/>
      <c r="D222" s="40"/>
    </row>
    <row r="223">
      <c r="A223" s="40"/>
      <c r="C223" s="40"/>
      <c r="D223" s="40"/>
    </row>
    <row r="224">
      <c r="A224" s="40"/>
      <c r="C224" s="40"/>
      <c r="D224" s="40"/>
    </row>
    <row r="225">
      <c r="A225" s="40"/>
      <c r="C225" s="40"/>
      <c r="D225" s="40"/>
    </row>
    <row r="226">
      <c r="A226" s="40"/>
      <c r="C226" s="40"/>
      <c r="D226" s="40"/>
    </row>
    <row r="227">
      <c r="A227" s="40"/>
      <c r="C227" s="40"/>
      <c r="D227" s="40"/>
    </row>
    <row r="228">
      <c r="A228" s="40"/>
      <c r="C228" s="40"/>
      <c r="D228" s="40"/>
    </row>
    <row r="229">
      <c r="A229" s="40"/>
      <c r="C229" s="40"/>
      <c r="D229" s="40"/>
    </row>
    <row r="230">
      <c r="A230" s="40"/>
      <c r="C230" s="40"/>
      <c r="D230" s="40"/>
    </row>
    <row r="231">
      <c r="A231" s="40"/>
      <c r="C231" s="40"/>
      <c r="D231" s="40"/>
    </row>
    <row r="232">
      <c r="A232" s="40"/>
      <c r="C232" s="40"/>
      <c r="D232" s="40"/>
    </row>
    <row r="233">
      <c r="A233" s="40"/>
      <c r="C233" s="40"/>
      <c r="D233" s="40"/>
    </row>
    <row r="234">
      <c r="A234" s="40"/>
      <c r="C234" s="40"/>
      <c r="D234" s="40"/>
    </row>
    <row r="235">
      <c r="A235" s="40"/>
      <c r="C235" s="40"/>
      <c r="D235" s="40"/>
    </row>
    <row r="236">
      <c r="A236" s="40"/>
      <c r="C236" s="40"/>
      <c r="D236" s="40"/>
    </row>
    <row r="237">
      <c r="A237" s="40"/>
      <c r="C237" s="40"/>
      <c r="D237" s="40"/>
    </row>
    <row r="238">
      <c r="A238" s="40"/>
      <c r="C238" s="40"/>
      <c r="D238" s="40"/>
    </row>
    <row r="239">
      <c r="A239" s="40"/>
      <c r="C239" s="40"/>
      <c r="D239" s="40"/>
    </row>
    <row r="240">
      <c r="A240" s="40"/>
      <c r="C240" s="40"/>
      <c r="D240" s="40"/>
    </row>
    <row r="241">
      <c r="A241" s="40"/>
      <c r="C241" s="40"/>
      <c r="D241" s="40"/>
    </row>
    <row r="242">
      <c r="A242" s="40"/>
      <c r="C242" s="40"/>
      <c r="D242" s="40"/>
    </row>
    <row r="243">
      <c r="A243" s="40"/>
      <c r="C243" s="40"/>
      <c r="D243" s="40"/>
    </row>
    <row r="244">
      <c r="A244" s="40"/>
      <c r="C244" s="40"/>
      <c r="D244" s="40"/>
    </row>
    <row r="245">
      <c r="A245" s="40"/>
      <c r="C245" s="40"/>
      <c r="D245" s="40"/>
    </row>
    <row r="246">
      <c r="A246" s="40"/>
      <c r="C246" s="40"/>
      <c r="D246" s="40"/>
    </row>
    <row r="247">
      <c r="A247" s="40"/>
      <c r="C247" s="40"/>
      <c r="D247" s="40"/>
    </row>
    <row r="248">
      <c r="A248" s="40"/>
      <c r="C248" s="40"/>
      <c r="D248" s="40"/>
    </row>
    <row r="249">
      <c r="A249" s="40"/>
      <c r="C249" s="40"/>
      <c r="D249" s="40"/>
    </row>
    <row r="250">
      <c r="A250" s="40"/>
      <c r="C250" s="40"/>
      <c r="D250" s="40"/>
    </row>
    <row r="251">
      <c r="A251" s="40"/>
      <c r="C251" s="40"/>
      <c r="D251" s="40"/>
    </row>
    <row r="252">
      <c r="A252" s="40"/>
      <c r="C252" s="40"/>
      <c r="D252" s="40"/>
    </row>
    <row r="253">
      <c r="A253" s="40"/>
      <c r="C253" s="40"/>
      <c r="D253" s="40"/>
    </row>
    <row r="254">
      <c r="A254" s="40"/>
      <c r="C254" s="40"/>
      <c r="D254" s="40"/>
    </row>
    <row r="255">
      <c r="A255" s="40"/>
      <c r="C255" s="40"/>
      <c r="D255" s="40"/>
    </row>
    <row r="256">
      <c r="A256" s="40"/>
      <c r="C256" s="40"/>
      <c r="D256" s="40"/>
    </row>
    <row r="257">
      <c r="A257" s="40"/>
      <c r="C257" s="40"/>
      <c r="D257" s="40"/>
    </row>
    <row r="258">
      <c r="A258" s="40"/>
      <c r="C258" s="40"/>
      <c r="D258" s="40"/>
    </row>
    <row r="259">
      <c r="A259" s="40"/>
      <c r="C259" s="40"/>
      <c r="D259" s="40"/>
    </row>
    <row r="260">
      <c r="A260" s="40"/>
      <c r="C260" s="40"/>
      <c r="D260" s="40"/>
    </row>
    <row r="261">
      <c r="A261" s="40"/>
      <c r="C261" s="40"/>
      <c r="D261" s="40"/>
    </row>
    <row r="262">
      <c r="A262" s="40"/>
      <c r="C262" s="40"/>
      <c r="D262" s="40"/>
    </row>
    <row r="263">
      <c r="A263" s="40"/>
      <c r="C263" s="40"/>
      <c r="D263" s="40"/>
    </row>
    <row r="264">
      <c r="A264" s="40"/>
      <c r="C264" s="40"/>
      <c r="D264" s="40"/>
    </row>
    <row r="265">
      <c r="A265" s="40"/>
      <c r="C265" s="40"/>
      <c r="D265" s="40"/>
    </row>
    <row r="266">
      <c r="A266" s="40"/>
      <c r="C266" s="40"/>
      <c r="D266" s="40"/>
    </row>
    <row r="267">
      <c r="A267" s="40"/>
      <c r="C267" s="40"/>
      <c r="D267" s="40"/>
    </row>
    <row r="268">
      <c r="A268" s="40"/>
      <c r="C268" s="40"/>
      <c r="D268" s="40"/>
    </row>
    <row r="269">
      <c r="A269" s="40"/>
      <c r="C269" s="40"/>
      <c r="D269" s="40"/>
    </row>
    <row r="270">
      <c r="A270" s="40"/>
      <c r="C270" s="40"/>
      <c r="D270" s="40"/>
    </row>
    <row r="271">
      <c r="A271" s="40"/>
      <c r="C271" s="40"/>
      <c r="D271" s="40"/>
    </row>
    <row r="272">
      <c r="A272" s="40"/>
      <c r="C272" s="40"/>
      <c r="D272" s="40"/>
    </row>
    <row r="273">
      <c r="A273" s="40"/>
      <c r="C273" s="40"/>
      <c r="D273" s="40"/>
    </row>
    <row r="274">
      <c r="A274" s="40"/>
      <c r="C274" s="40"/>
      <c r="D274" s="40"/>
    </row>
    <row r="275">
      <c r="A275" s="40"/>
      <c r="C275" s="40"/>
      <c r="D275" s="40"/>
    </row>
    <row r="276">
      <c r="A276" s="40"/>
      <c r="C276" s="40"/>
      <c r="D276" s="40"/>
    </row>
    <row r="277">
      <c r="A277" s="40"/>
      <c r="C277" s="40"/>
      <c r="D277" s="40"/>
    </row>
    <row r="278">
      <c r="A278" s="40"/>
      <c r="C278" s="40"/>
      <c r="D278" s="40"/>
    </row>
    <row r="279">
      <c r="A279" s="40"/>
      <c r="C279" s="40"/>
      <c r="D279" s="40"/>
    </row>
    <row r="280">
      <c r="A280" s="40"/>
      <c r="C280" s="40"/>
      <c r="D280" s="40"/>
    </row>
    <row r="281">
      <c r="A281" s="40"/>
      <c r="C281" s="40"/>
      <c r="D281" s="40"/>
    </row>
    <row r="282">
      <c r="A282" s="40"/>
      <c r="C282" s="40"/>
      <c r="D282" s="40"/>
    </row>
    <row r="283">
      <c r="A283" s="40"/>
      <c r="C283" s="40"/>
      <c r="D283" s="40"/>
    </row>
    <row r="284">
      <c r="A284" s="40"/>
      <c r="C284" s="40"/>
      <c r="D284" s="40"/>
    </row>
    <row r="285">
      <c r="A285" s="40"/>
      <c r="C285" s="40"/>
      <c r="D285" s="40"/>
    </row>
    <row r="286">
      <c r="A286" s="40"/>
      <c r="C286" s="40"/>
      <c r="D286" s="40"/>
    </row>
    <row r="287">
      <c r="A287" s="40"/>
      <c r="C287" s="40"/>
      <c r="D287" s="40"/>
    </row>
    <row r="288">
      <c r="A288" s="40"/>
      <c r="C288" s="40"/>
      <c r="D288" s="40"/>
    </row>
    <row r="289">
      <c r="A289" s="40"/>
      <c r="C289" s="40"/>
      <c r="D289" s="40"/>
    </row>
    <row r="290">
      <c r="A290" s="40"/>
      <c r="C290" s="40"/>
      <c r="D290" s="40"/>
    </row>
    <row r="291">
      <c r="A291" s="40"/>
      <c r="C291" s="40"/>
      <c r="D291" s="40"/>
    </row>
    <row r="292">
      <c r="A292" s="40"/>
      <c r="C292" s="40"/>
      <c r="D292" s="40"/>
    </row>
    <row r="293">
      <c r="A293" s="40"/>
      <c r="C293" s="40"/>
      <c r="D293" s="40"/>
    </row>
    <row r="294">
      <c r="A294" s="40"/>
      <c r="C294" s="40"/>
      <c r="D294" s="40"/>
    </row>
    <row r="295">
      <c r="A295" s="40"/>
      <c r="C295" s="40"/>
      <c r="D295" s="40"/>
    </row>
    <row r="296">
      <c r="A296" s="40"/>
      <c r="C296" s="40"/>
      <c r="D296" s="40"/>
    </row>
    <row r="297">
      <c r="A297" s="40"/>
      <c r="C297" s="40"/>
      <c r="D297" s="40"/>
    </row>
    <row r="298">
      <c r="A298" s="40"/>
      <c r="C298" s="40"/>
      <c r="D298" s="40"/>
    </row>
    <row r="299">
      <c r="A299" s="40"/>
      <c r="C299" s="40"/>
      <c r="D299" s="40"/>
    </row>
    <row r="300">
      <c r="A300" s="40"/>
      <c r="C300" s="40"/>
      <c r="D300" s="40"/>
    </row>
    <row r="301">
      <c r="A301" s="40"/>
      <c r="C301" s="40"/>
      <c r="D301" s="40"/>
    </row>
    <row r="302">
      <c r="A302" s="40"/>
      <c r="C302" s="40"/>
      <c r="D302" s="40"/>
    </row>
    <row r="303">
      <c r="A303" s="40"/>
      <c r="C303" s="40"/>
      <c r="D303" s="40"/>
    </row>
    <row r="304">
      <c r="A304" s="40"/>
      <c r="C304" s="40"/>
      <c r="D304" s="40"/>
    </row>
    <row r="305">
      <c r="A305" s="40"/>
      <c r="C305" s="40"/>
      <c r="D305" s="40"/>
    </row>
    <row r="306">
      <c r="A306" s="40"/>
      <c r="C306" s="40"/>
      <c r="D306" s="40"/>
    </row>
    <row r="307">
      <c r="A307" s="40"/>
      <c r="C307" s="40"/>
      <c r="D307" s="40"/>
    </row>
    <row r="308">
      <c r="A308" s="40"/>
      <c r="C308" s="40"/>
      <c r="D308" s="40"/>
    </row>
    <row r="309">
      <c r="A309" s="40"/>
      <c r="C309" s="40"/>
      <c r="D309" s="40"/>
    </row>
    <row r="310">
      <c r="A310" s="40"/>
      <c r="C310" s="40"/>
      <c r="D310" s="40"/>
    </row>
    <row r="311">
      <c r="A311" s="40"/>
      <c r="C311" s="40"/>
      <c r="D311" s="40"/>
    </row>
    <row r="312">
      <c r="A312" s="40"/>
      <c r="C312" s="40"/>
      <c r="D312" s="40"/>
    </row>
    <row r="313">
      <c r="A313" s="40"/>
      <c r="C313" s="40"/>
      <c r="D313" s="40"/>
    </row>
    <row r="314">
      <c r="A314" s="40"/>
      <c r="C314" s="40"/>
      <c r="D314" s="40"/>
    </row>
    <row r="315">
      <c r="A315" s="40"/>
      <c r="C315" s="40"/>
      <c r="D315" s="40"/>
    </row>
    <row r="316">
      <c r="A316" s="40"/>
      <c r="C316" s="40"/>
      <c r="D316" s="40"/>
    </row>
    <row r="317">
      <c r="A317" s="40"/>
      <c r="C317" s="40"/>
      <c r="D317" s="40"/>
    </row>
    <row r="318">
      <c r="A318" s="40"/>
      <c r="C318" s="40"/>
      <c r="D318" s="40"/>
    </row>
    <row r="319">
      <c r="A319" s="40"/>
      <c r="C319" s="40"/>
      <c r="D319" s="40"/>
    </row>
    <row r="320">
      <c r="A320" s="40"/>
      <c r="C320" s="40"/>
      <c r="D320" s="40"/>
    </row>
    <row r="321">
      <c r="A321" s="40"/>
      <c r="C321" s="40"/>
      <c r="D321" s="40"/>
    </row>
    <row r="322">
      <c r="A322" s="40"/>
      <c r="C322" s="40"/>
      <c r="D322" s="40"/>
    </row>
    <row r="323">
      <c r="A323" s="40"/>
      <c r="C323" s="40"/>
      <c r="D323" s="40"/>
    </row>
    <row r="324">
      <c r="A324" s="40"/>
      <c r="C324" s="40"/>
      <c r="D324" s="40"/>
    </row>
    <row r="325">
      <c r="A325" s="40"/>
      <c r="C325" s="40"/>
      <c r="D325" s="40"/>
    </row>
    <row r="326">
      <c r="A326" s="40"/>
      <c r="C326" s="40"/>
      <c r="D326" s="40"/>
    </row>
    <row r="327">
      <c r="A327" s="40"/>
      <c r="C327" s="40"/>
      <c r="D327" s="40"/>
    </row>
    <row r="328">
      <c r="A328" s="40"/>
      <c r="C328" s="40"/>
      <c r="D328" s="40"/>
    </row>
    <row r="329">
      <c r="A329" s="40"/>
      <c r="C329" s="40"/>
      <c r="D329" s="40"/>
    </row>
    <row r="330">
      <c r="A330" s="40"/>
      <c r="C330" s="40"/>
      <c r="D330" s="40"/>
    </row>
    <row r="331">
      <c r="A331" s="40"/>
      <c r="C331" s="40"/>
      <c r="D331" s="40"/>
    </row>
    <row r="332">
      <c r="A332" s="40"/>
      <c r="C332" s="40"/>
      <c r="D332" s="40"/>
    </row>
    <row r="333">
      <c r="A333" s="40"/>
      <c r="C333" s="40"/>
      <c r="D333" s="40"/>
    </row>
    <row r="334">
      <c r="A334" s="40"/>
      <c r="C334" s="40"/>
      <c r="D334" s="40"/>
    </row>
    <row r="335">
      <c r="A335" s="40"/>
      <c r="C335" s="40"/>
      <c r="D335" s="40"/>
    </row>
    <row r="336">
      <c r="A336" s="40"/>
      <c r="C336" s="40"/>
      <c r="D336" s="40"/>
    </row>
    <row r="337">
      <c r="A337" s="40"/>
      <c r="C337" s="40"/>
      <c r="D337" s="40"/>
    </row>
    <row r="338">
      <c r="A338" s="40"/>
      <c r="C338" s="40"/>
      <c r="D338" s="40"/>
    </row>
    <row r="339">
      <c r="A339" s="40"/>
      <c r="C339" s="40"/>
      <c r="D339" s="40"/>
    </row>
    <row r="340">
      <c r="A340" s="40"/>
      <c r="C340" s="40"/>
      <c r="D340" s="40"/>
    </row>
    <row r="341">
      <c r="A341" s="40"/>
      <c r="C341" s="40"/>
      <c r="D341" s="40"/>
    </row>
    <row r="342">
      <c r="A342" s="40"/>
      <c r="C342" s="40"/>
      <c r="D342" s="40"/>
    </row>
    <row r="343">
      <c r="A343" s="40"/>
      <c r="C343" s="40"/>
      <c r="D343" s="40"/>
    </row>
    <row r="344">
      <c r="A344" s="40"/>
      <c r="C344" s="40"/>
      <c r="D344" s="40"/>
    </row>
    <row r="345">
      <c r="A345" s="40"/>
      <c r="C345" s="40"/>
      <c r="D345" s="40"/>
    </row>
    <row r="346">
      <c r="A346" s="40"/>
      <c r="C346" s="40"/>
      <c r="D346" s="40"/>
    </row>
    <row r="347">
      <c r="A347" s="40"/>
      <c r="C347" s="40"/>
      <c r="D347" s="40"/>
    </row>
    <row r="348">
      <c r="A348" s="40"/>
      <c r="C348" s="40"/>
      <c r="D348" s="40"/>
    </row>
    <row r="349">
      <c r="A349" s="40"/>
      <c r="C349" s="40"/>
      <c r="D349" s="40"/>
    </row>
    <row r="350">
      <c r="A350" s="40"/>
      <c r="C350" s="40"/>
      <c r="D350" s="40"/>
    </row>
    <row r="351">
      <c r="A351" s="40"/>
      <c r="C351" s="40"/>
      <c r="D351" s="40"/>
    </row>
    <row r="352">
      <c r="A352" s="40"/>
      <c r="C352" s="40"/>
      <c r="D352" s="40"/>
    </row>
    <row r="353">
      <c r="A353" s="40"/>
      <c r="C353" s="40"/>
      <c r="D353" s="40"/>
    </row>
    <row r="354">
      <c r="A354" s="40"/>
      <c r="C354" s="40"/>
      <c r="D354" s="40"/>
    </row>
    <row r="355">
      <c r="A355" s="40"/>
      <c r="C355" s="40"/>
      <c r="D355" s="40"/>
    </row>
    <row r="356">
      <c r="A356" s="40"/>
      <c r="C356" s="40"/>
      <c r="D356" s="40"/>
    </row>
    <row r="357">
      <c r="A357" s="40"/>
      <c r="C357" s="40"/>
      <c r="D357" s="40"/>
    </row>
    <row r="358">
      <c r="A358" s="40"/>
      <c r="C358" s="40"/>
      <c r="D358" s="40"/>
    </row>
    <row r="359">
      <c r="A359" s="40"/>
      <c r="C359" s="40"/>
      <c r="D359" s="40"/>
    </row>
    <row r="360">
      <c r="A360" s="40"/>
      <c r="C360" s="40"/>
      <c r="D360" s="40"/>
    </row>
    <row r="361">
      <c r="A361" s="40"/>
      <c r="C361" s="40"/>
      <c r="D361" s="40"/>
    </row>
    <row r="362">
      <c r="A362" s="40"/>
      <c r="C362" s="40"/>
      <c r="D362" s="40"/>
    </row>
    <row r="363">
      <c r="A363" s="40"/>
      <c r="C363" s="40"/>
      <c r="D363" s="40"/>
    </row>
    <row r="364">
      <c r="A364" s="40"/>
      <c r="C364" s="40"/>
      <c r="D364" s="40"/>
    </row>
    <row r="365">
      <c r="A365" s="40"/>
      <c r="C365" s="40"/>
      <c r="D365" s="40"/>
    </row>
    <row r="366">
      <c r="A366" s="40"/>
      <c r="C366" s="40"/>
      <c r="D366" s="40"/>
    </row>
    <row r="367">
      <c r="A367" s="40"/>
      <c r="C367" s="40"/>
      <c r="D367" s="40"/>
    </row>
    <row r="368">
      <c r="A368" s="40"/>
      <c r="C368" s="40"/>
      <c r="D368" s="40"/>
    </row>
    <row r="369">
      <c r="A369" s="40"/>
      <c r="C369" s="40"/>
      <c r="D369" s="40"/>
    </row>
    <row r="370">
      <c r="A370" s="40"/>
      <c r="C370" s="40"/>
      <c r="D370" s="40"/>
    </row>
    <row r="371">
      <c r="A371" s="40"/>
      <c r="C371" s="40"/>
      <c r="D371" s="40"/>
    </row>
    <row r="372">
      <c r="A372" s="40"/>
      <c r="C372" s="40"/>
      <c r="D372" s="40"/>
    </row>
    <row r="373">
      <c r="A373" s="40"/>
      <c r="C373" s="40"/>
      <c r="D373" s="40"/>
    </row>
    <row r="374">
      <c r="A374" s="40"/>
      <c r="C374" s="40"/>
      <c r="D374" s="40"/>
    </row>
    <row r="375">
      <c r="A375" s="40"/>
      <c r="C375" s="40"/>
      <c r="D375" s="40"/>
    </row>
    <row r="376">
      <c r="A376" s="40"/>
      <c r="C376" s="40"/>
      <c r="D376" s="40"/>
    </row>
    <row r="377">
      <c r="A377" s="40"/>
      <c r="C377" s="40"/>
      <c r="D377" s="40"/>
    </row>
    <row r="378">
      <c r="A378" s="40"/>
      <c r="C378" s="40"/>
      <c r="D378" s="40"/>
    </row>
    <row r="379">
      <c r="A379" s="40"/>
      <c r="C379" s="40"/>
      <c r="D379" s="40"/>
    </row>
    <row r="380">
      <c r="A380" s="40"/>
      <c r="C380" s="40"/>
      <c r="D380" s="40"/>
    </row>
    <row r="381">
      <c r="A381" s="40"/>
      <c r="C381" s="40"/>
      <c r="D381" s="40"/>
    </row>
    <row r="382">
      <c r="A382" s="40"/>
      <c r="C382" s="40"/>
      <c r="D382" s="40"/>
    </row>
    <row r="383">
      <c r="A383" s="40"/>
      <c r="C383" s="40"/>
      <c r="D383" s="40"/>
    </row>
    <row r="384">
      <c r="A384" s="40"/>
      <c r="C384" s="40"/>
      <c r="D384" s="40"/>
    </row>
    <row r="385">
      <c r="A385" s="40"/>
      <c r="C385" s="40"/>
      <c r="D385" s="40"/>
    </row>
    <row r="386">
      <c r="A386" s="40"/>
      <c r="C386" s="40"/>
      <c r="D386" s="40"/>
    </row>
    <row r="387">
      <c r="A387" s="40"/>
      <c r="C387" s="40"/>
      <c r="D387" s="40"/>
    </row>
    <row r="388">
      <c r="A388" s="40"/>
      <c r="C388" s="40"/>
      <c r="D388" s="40"/>
    </row>
    <row r="389">
      <c r="A389" s="40"/>
      <c r="C389" s="40"/>
      <c r="D389" s="40"/>
    </row>
    <row r="390">
      <c r="A390" s="40"/>
      <c r="C390" s="40"/>
      <c r="D390" s="40"/>
    </row>
    <row r="391">
      <c r="A391" s="40"/>
      <c r="C391" s="40"/>
      <c r="D391" s="40"/>
    </row>
    <row r="392">
      <c r="A392" s="40"/>
      <c r="C392" s="40"/>
      <c r="D392" s="40"/>
    </row>
    <row r="393">
      <c r="A393" s="40"/>
      <c r="C393" s="40"/>
      <c r="D393" s="40"/>
    </row>
    <row r="394">
      <c r="A394" s="40"/>
      <c r="C394" s="40"/>
      <c r="D394" s="40"/>
    </row>
    <row r="395">
      <c r="A395" s="40"/>
      <c r="C395" s="40"/>
      <c r="D395" s="40"/>
    </row>
    <row r="396">
      <c r="A396" s="40"/>
      <c r="C396" s="40"/>
      <c r="D396" s="40"/>
    </row>
    <row r="397">
      <c r="A397" s="40"/>
      <c r="C397" s="40"/>
      <c r="D397" s="40"/>
    </row>
    <row r="398">
      <c r="A398" s="40"/>
      <c r="C398" s="40"/>
      <c r="D398" s="40"/>
    </row>
    <row r="399">
      <c r="A399" s="40"/>
      <c r="C399" s="40"/>
      <c r="D399" s="40"/>
    </row>
    <row r="400">
      <c r="A400" s="40"/>
      <c r="C400" s="40"/>
      <c r="D400" s="40"/>
    </row>
    <row r="401">
      <c r="A401" s="40"/>
      <c r="C401" s="40"/>
      <c r="D401" s="40"/>
    </row>
    <row r="402">
      <c r="A402" s="40"/>
      <c r="C402" s="40"/>
      <c r="D402" s="40"/>
    </row>
    <row r="403">
      <c r="A403" s="40"/>
      <c r="C403" s="40"/>
      <c r="D403" s="40"/>
    </row>
    <row r="404">
      <c r="A404" s="40"/>
      <c r="C404" s="40"/>
      <c r="D404" s="40"/>
    </row>
    <row r="405">
      <c r="A405" s="40"/>
      <c r="C405" s="40"/>
      <c r="D405" s="40"/>
    </row>
    <row r="406">
      <c r="A406" s="40"/>
      <c r="C406" s="40"/>
      <c r="D406" s="40"/>
    </row>
    <row r="407">
      <c r="A407" s="40"/>
      <c r="C407" s="40"/>
      <c r="D407" s="40"/>
    </row>
    <row r="408">
      <c r="A408" s="40"/>
      <c r="C408" s="40"/>
      <c r="D408" s="40"/>
    </row>
    <row r="409">
      <c r="A409" s="40"/>
      <c r="C409" s="40"/>
      <c r="D409" s="40"/>
    </row>
    <row r="410">
      <c r="A410" s="40"/>
      <c r="C410" s="40"/>
      <c r="D410" s="40"/>
    </row>
    <row r="411">
      <c r="A411" s="40"/>
      <c r="C411" s="40"/>
      <c r="D411" s="40"/>
    </row>
    <row r="412">
      <c r="A412" s="40"/>
      <c r="C412" s="40"/>
      <c r="D412" s="40"/>
    </row>
    <row r="413">
      <c r="A413" s="40"/>
      <c r="C413" s="40"/>
      <c r="D413" s="40"/>
    </row>
    <row r="414">
      <c r="A414" s="40"/>
      <c r="C414" s="40"/>
      <c r="D414" s="40"/>
    </row>
    <row r="415">
      <c r="A415" s="40"/>
      <c r="C415" s="40"/>
      <c r="D415" s="40"/>
    </row>
    <row r="416">
      <c r="A416" s="40"/>
      <c r="C416" s="40"/>
      <c r="D416" s="40"/>
    </row>
    <row r="417">
      <c r="A417" s="40"/>
      <c r="C417" s="40"/>
      <c r="D417" s="40"/>
    </row>
    <row r="418">
      <c r="A418" s="40"/>
      <c r="C418" s="40"/>
      <c r="D418" s="40"/>
    </row>
    <row r="419">
      <c r="A419" s="40"/>
      <c r="C419" s="40"/>
      <c r="D419" s="40"/>
    </row>
    <row r="420">
      <c r="A420" s="40"/>
      <c r="C420" s="40"/>
      <c r="D420" s="40"/>
    </row>
    <row r="421">
      <c r="A421" s="40"/>
      <c r="C421" s="40"/>
      <c r="D421" s="40"/>
    </row>
    <row r="422">
      <c r="A422" s="40"/>
      <c r="C422" s="40"/>
      <c r="D422" s="40"/>
    </row>
    <row r="423">
      <c r="A423" s="40"/>
      <c r="C423" s="40"/>
      <c r="D423" s="40"/>
    </row>
    <row r="424">
      <c r="A424" s="40"/>
      <c r="C424" s="40"/>
      <c r="D424" s="40"/>
    </row>
    <row r="425">
      <c r="A425" s="40"/>
      <c r="C425" s="40"/>
      <c r="D425" s="40"/>
    </row>
    <row r="426">
      <c r="A426" s="40"/>
      <c r="C426" s="40"/>
      <c r="D426" s="40"/>
    </row>
    <row r="427">
      <c r="A427" s="40"/>
      <c r="C427" s="40"/>
      <c r="D427" s="40"/>
    </row>
    <row r="428">
      <c r="A428" s="40"/>
      <c r="C428" s="40"/>
      <c r="D428" s="40"/>
    </row>
    <row r="429">
      <c r="A429" s="40"/>
      <c r="C429" s="40"/>
      <c r="D429" s="40"/>
    </row>
    <row r="430">
      <c r="A430" s="40"/>
      <c r="C430" s="40"/>
      <c r="D430" s="40"/>
    </row>
    <row r="431">
      <c r="A431" s="40"/>
      <c r="C431" s="40"/>
      <c r="D431" s="40"/>
    </row>
    <row r="432">
      <c r="A432" s="40"/>
      <c r="C432" s="40"/>
      <c r="D432" s="40"/>
    </row>
    <row r="433">
      <c r="A433" s="40"/>
      <c r="C433" s="40"/>
      <c r="D433" s="40"/>
    </row>
    <row r="434">
      <c r="A434" s="40"/>
      <c r="C434" s="40"/>
      <c r="D434" s="40"/>
    </row>
    <row r="435">
      <c r="A435" s="40"/>
      <c r="C435" s="40"/>
      <c r="D435" s="40"/>
    </row>
    <row r="436">
      <c r="A436" s="40"/>
      <c r="C436" s="40"/>
      <c r="D436" s="40"/>
    </row>
    <row r="437">
      <c r="A437" s="40"/>
      <c r="C437" s="40"/>
      <c r="D437" s="40"/>
    </row>
    <row r="438">
      <c r="A438" s="40"/>
      <c r="C438" s="40"/>
      <c r="D438" s="40"/>
    </row>
    <row r="439">
      <c r="A439" s="40"/>
      <c r="C439" s="40"/>
      <c r="D439" s="40"/>
    </row>
    <row r="440">
      <c r="A440" s="40"/>
      <c r="C440" s="40"/>
      <c r="D440" s="40"/>
    </row>
    <row r="441">
      <c r="A441" s="40"/>
      <c r="C441" s="40"/>
      <c r="D441" s="40"/>
    </row>
    <row r="442">
      <c r="A442" s="40"/>
      <c r="C442" s="40"/>
      <c r="D442" s="40"/>
    </row>
    <row r="443">
      <c r="A443" s="40"/>
      <c r="C443" s="40"/>
      <c r="D443" s="40"/>
    </row>
    <row r="444">
      <c r="A444" s="40"/>
      <c r="C444" s="40"/>
      <c r="D444" s="40"/>
    </row>
    <row r="445">
      <c r="A445" s="40"/>
      <c r="C445" s="40"/>
      <c r="D445" s="40"/>
    </row>
    <row r="446">
      <c r="A446" s="40"/>
      <c r="C446" s="40"/>
      <c r="D446" s="40"/>
    </row>
    <row r="447">
      <c r="A447" s="40"/>
      <c r="C447" s="40"/>
      <c r="D447" s="40"/>
    </row>
    <row r="448">
      <c r="A448" s="40"/>
      <c r="C448" s="40"/>
      <c r="D448" s="40"/>
    </row>
    <row r="449">
      <c r="A449" s="40"/>
      <c r="C449" s="40"/>
      <c r="D449" s="40"/>
    </row>
    <row r="450">
      <c r="A450" s="40"/>
      <c r="C450" s="40"/>
      <c r="D450" s="40"/>
    </row>
    <row r="451">
      <c r="A451" s="40"/>
      <c r="C451" s="40"/>
      <c r="D451" s="40"/>
    </row>
    <row r="452">
      <c r="A452" s="40"/>
      <c r="C452" s="40"/>
      <c r="D452" s="40"/>
    </row>
    <row r="453">
      <c r="A453" s="40"/>
      <c r="C453" s="40"/>
      <c r="D453" s="40"/>
    </row>
    <row r="454">
      <c r="A454" s="40"/>
      <c r="C454" s="40"/>
      <c r="D454" s="40"/>
    </row>
    <row r="455">
      <c r="A455" s="40"/>
      <c r="C455" s="40"/>
      <c r="D455" s="40"/>
    </row>
    <row r="456">
      <c r="A456" s="40"/>
      <c r="C456" s="40"/>
      <c r="D456" s="40"/>
    </row>
    <row r="457">
      <c r="A457" s="40"/>
      <c r="C457" s="40"/>
      <c r="D457" s="40"/>
    </row>
    <row r="458">
      <c r="A458" s="40"/>
      <c r="C458" s="40"/>
      <c r="D458" s="40"/>
    </row>
    <row r="459">
      <c r="A459" s="40"/>
      <c r="C459" s="40"/>
      <c r="D459" s="40"/>
    </row>
    <row r="460">
      <c r="A460" s="40"/>
      <c r="C460" s="40"/>
      <c r="D460" s="40"/>
    </row>
    <row r="461">
      <c r="A461" s="40"/>
      <c r="C461" s="40"/>
      <c r="D461" s="40"/>
    </row>
    <row r="462">
      <c r="A462" s="40"/>
      <c r="C462" s="40"/>
      <c r="D462" s="40"/>
    </row>
    <row r="463">
      <c r="A463" s="40"/>
      <c r="C463" s="40"/>
      <c r="D463" s="40"/>
    </row>
    <row r="464">
      <c r="A464" s="40"/>
      <c r="C464" s="40"/>
      <c r="D464" s="40"/>
    </row>
    <row r="465">
      <c r="A465" s="40"/>
      <c r="C465" s="40"/>
      <c r="D465" s="40"/>
    </row>
    <row r="466">
      <c r="A466" s="40"/>
      <c r="C466" s="40"/>
      <c r="D466" s="40"/>
    </row>
    <row r="467">
      <c r="A467" s="40"/>
      <c r="C467" s="40"/>
      <c r="D467" s="40"/>
    </row>
    <row r="468">
      <c r="A468" s="40"/>
      <c r="C468" s="40"/>
      <c r="D468" s="40"/>
    </row>
    <row r="469">
      <c r="A469" s="40"/>
      <c r="C469" s="40"/>
      <c r="D469" s="40"/>
    </row>
    <row r="470">
      <c r="A470" s="40"/>
      <c r="C470" s="40"/>
      <c r="D470" s="40"/>
    </row>
    <row r="471">
      <c r="A471" s="40"/>
      <c r="C471" s="40"/>
      <c r="D471" s="40"/>
    </row>
    <row r="472">
      <c r="A472" s="40"/>
      <c r="C472" s="40"/>
      <c r="D472" s="40"/>
    </row>
    <row r="473">
      <c r="A473" s="40"/>
      <c r="C473" s="40"/>
      <c r="D473" s="40"/>
    </row>
    <row r="474">
      <c r="A474" s="40"/>
      <c r="C474" s="40"/>
      <c r="D474" s="40"/>
    </row>
    <row r="475">
      <c r="A475" s="40"/>
      <c r="C475" s="40"/>
      <c r="D475" s="40"/>
    </row>
    <row r="476">
      <c r="A476" s="40"/>
      <c r="C476" s="40"/>
      <c r="D476" s="40"/>
    </row>
    <row r="477">
      <c r="A477" s="40"/>
      <c r="C477" s="40"/>
      <c r="D477" s="40"/>
    </row>
    <row r="478">
      <c r="A478" s="40"/>
      <c r="C478" s="40"/>
      <c r="D478" s="40"/>
    </row>
    <row r="479">
      <c r="A479" s="40"/>
      <c r="C479" s="40"/>
      <c r="D479" s="40"/>
    </row>
    <row r="480">
      <c r="A480" s="40"/>
      <c r="C480" s="40"/>
      <c r="D480" s="40"/>
    </row>
    <row r="481">
      <c r="A481" s="40"/>
      <c r="C481" s="40"/>
      <c r="D481" s="40"/>
    </row>
    <row r="482">
      <c r="A482" s="40"/>
      <c r="C482" s="40"/>
      <c r="D482" s="40"/>
    </row>
    <row r="483">
      <c r="A483" s="40"/>
      <c r="C483" s="40"/>
      <c r="D483" s="40"/>
    </row>
    <row r="484">
      <c r="A484" s="40"/>
      <c r="C484" s="40"/>
      <c r="D484" s="40"/>
    </row>
    <row r="485">
      <c r="A485" s="40"/>
      <c r="C485" s="40"/>
      <c r="D485" s="40"/>
    </row>
    <row r="486">
      <c r="A486" s="40"/>
      <c r="C486" s="40"/>
      <c r="D486" s="40"/>
    </row>
    <row r="487">
      <c r="A487" s="40"/>
      <c r="C487" s="40"/>
      <c r="D487" s="40"/>
    </row>
    <row r="488">
      <c r="A488" s="40"/>
      <c r="C488" s="40"/>
      <c r="D488" s="40"/>
    </row>
    <row r="489">
      <c r="A489" s="40"/>
      <c r="C489" s="40"/>
      <c r="D489" s="40"/>
    </row>
    <row r="490">
      <c r="A490" s="40"/>
      <c r="C490" s="40"/>
      <c r="D490" s="40"/>
    </row>
    <row r="491">
      <c r="A491" s="40"/>
      <c r="C491" s="40"/>
      <c r="D491" s="40"/>
    </row>
    <row r="492">
      <c r="A492" s="40"/>
      <c r="C492" s="40"/>
      <c r="D492" s="40"/>
    </row>
    <row r="493">
      <c r="A493" s="40"/>
      <c r="C493" s="40"/>
      <c r="D493" s="40"/>
    </row>
    <row r="494">
      <c r="A494" s="40"/>
      <c r="C494" s="40"/>
      <c r="D494" s="40"/>
    </row>
    <row r="495">
      <c r="A495" s="40"/>
      <c r="C495" s="40"/>
      <c r="D495" s="40"/>
    </row>
    <row r="496">
      <c r="A496" s="40"/>
      <c r="C496" s="40"/>
      <c r="D496" s="40"/>
    </row>
    <row r="497">
      <c r="A497" s="40"/>
      <c r="C497" s="40"/>
      <c r="D497" s="40"/>
    </row>
    <row r="498">
      <c r="A498" s="40"/>
      <c r="C498" s="40"/>
      <c r="D498" s="40"/>
    </row>
    <row r="499">
      <c r="A499" s="40"/>
      <c r="C499" s="40"/>
      <c r="D499" s="40"/>
    </row>
    <row r="500">
      <c r="A500" s="40"/>
      <c r="C500" s="40"/>
      <c r="D500" s="40"/>
    </row>
    <row r="501">
      <c r="A501" s="40"/>
      <c r="C501" s="40"/>
      <c r="D501" s="40"/>
    </row>
    <row r="502">
      <c r="A502" s="40"/>
      <c r="C502" s="40"/>
      <c r="D502" s="40"/>
    </row>
    <row r="503">
      <c r="A503" s="40"/>
      <c r="C503" s="40"/>
      <c r="D503" s="40"/>
    </row>
    <row r="504">
      <c r="A504" s="40"/>
      <c r="C504" s="40"/>
      <c r="D504" s="40"/>
    </row>
    <row r="505">
      <c r="A505" s="40"/>
      <c r="C505" s="40"/>
      <c r="D505" s="40"/>
    </row>
    <row r="506">
      <c r="A506" s="40"/>
      <c r="C506" s="40"/>
      <c r="D506" s="40"/>
    </row>
    <row r="507">
      <c r="A507" s="40"/>
      <c r="C507" s="40"/>
      <c r="D507" s="40"/>
    </row>
    <row r="508">
      <c r="A508" s="40"/>
      <c r="C508" s="40"/>
      <c r="D508" s="40"/>
    </row>
    <row r="509">
      <c r="A509" s="40"/>
      <c r="C509" s="40"/>
      <c r="D509" s="40"/>
    </row>
    <row r="510">
      <c r="A510" s="40"/>
      <c r="C510" s="40"/>
      <c r="D510" s="40"/>
    </row>
    <row r="511">
      <c r="A511" s="40"/>
      <c r="C511" s="40"/>
      <c r="D511" s="40"/>
    </row>
    <row r="512">
      <c r="A512" s="40"/>
      <c r="C512" s="40"/>
      <c r="D512" s="40"/>
    </row>
    <row r="513">
      <c r="A513" s="40"/>
      <c r="C513" s="40"/>
      <c r="D513" s="40"/>
    </row>
    <row r="514">
      <c r="A514" s="40"/>
      <c r="C514" s="40"/>
      <c r="D514" s="40"/>
    </row>
    <row r="515">
      <c r="A515" s="40"/>
      <c r="C515" s="40"/>
      <c r="D515" s="40"/>
    </row>
    <row r="516">
      <c r="A516" s="40"/>
      <c r="C516" s="40"/>
      <c r="D516" s="40"/>
    </row>
    <row r="517">
      <c r="A517" s="40"/>
      <c r="C517" s="40"/>
      <c r="D517" s="40"/>
    </row>
    <row r="518">
      <c r="A518" s="40"/>
      <c r="C518" s="40"/>
      <c r="D518" s="40"/>
    </row>
    <row r="519">
      <c r="A519" s="40"/>
      <c r="C519" s="40"/>
      <c r="D519" s="40"/>
    </row>
    <row r="520">
      <c r="A520" s="40"/>
      <c r="C520" s="40"/>
      <c r="D520" s="40"/>
    </row>
    <row r="521">
      <c r="A521" s="40"/>
      <c r="C521" s="40"/>
      <c r="D521" s="40"/>
    </row>
    <row r="522">
      <c r="A522" s="40"/>
      <c r="C522" s="40"/>
      <c r="D522" s="40"/>
    </row>
    <row r="523">
      <c r="A523" s="40"/>
      <c r="C523" s="40"/>
      <c r="D523" s="40"/>
    </row>
    <row r="524">
      <c r="A524" s="40"/>
      <c r="C524" s="40"/>
      <c r="D524" s="40"/>
    </row>
    <row r="525">
      <c r="A525" s="40"/>
      <c r="C525" s="40"/>
      <c r="D525" s="40"/>
    </row>
    <row r="526">
      <c r="A526" s="40"/>
      <c r="C526" s="40"/>
      <c r="D526" s="40"/>
    </row>
    <row r="527">
      <c r="A527" s="40"/>
      <c r="C527" s="40"/>
      <c r="D527" s="40"/>
    </row>
    <row r="528">
      <c r="A528" s="40"/>
      <c r="C528" s="40"/>
      <c r="D528" s="40"/>
    </row>
    <row r="529">
      <c r="A529" s="40"/>
      <c r="C529" s="40"/>
      <c r="D529" s="40"/>
    </row>
    <row r="530">
      <c r="A530" s="40"/>
      <c r="C530" s="40"/>
      <c r="D530" s="40"/>
    </row>
    <row r="531">
      <c r="A531" s="40"/>
      <c r="C531" s="40"/>
      <c r="D531" s="40"/>
    </row>
    <row r="532">
      <c r="A532" s="40"/>
      <c r="C532" s="40"/>
      <c r="D532" s="40"/>
    </row>
    <row r="533">
      <c r="A533" s="40"/>
      <c r="C533" s="40"/>
      <c r="D533" s="40"/>
    </row>
    <row r="534">
      <c r="A534" s="40"/>
      <c r="C534" s="40"/>
      <c r="D534" s="40"/>
    </row>
    <row r="535">
      <c r="A535" s="40"/>
      <c r="C535" s="40"/>
      <c r="D535" s="40"/>
    </row>
    <row r="536">
      <c r="A536" s="40"/>
      <c r="C536" s="40"/>
      <c r="D536" s="40"/>
    </row>
    <row r="537">
      <c r="A537" s="40"/>
      <c r="C537" s="40"/>
      <c r="D537" s="40"/>
    </row>
    <row r="538">
      <c r="A538" s="40"/>
      <c r="C538" s="40"/>
      <c r="D538" s="40"/>
    </row>
    <row r="539">
      <c r="A539" s="40"/>
      <c r="C539" s="40"/>
      <c r="D539" s="40"/>
    </row>
    <row r="540">
      <c r="A540" s="40"/>
      <c r="C540" s="40"/>
      <c r="D540" s="40"/>
    </row>
    <row r="541">
      <c r="A541" s="40"/>
      <c r="C541" s="40"/>
      <c r="D541" s="40"/>
    </row>
    <row r="542">
      <c r="A542" s="40"/>
      <c r="C542" s="40"/>
      <c r="D542" s="40"/>
    </row>
    <row r="543">
      <c r="A543" s="40"/>
      <c r="C543" s="40"/>
      <c r="D543" s="40"/>
    </row>
    <row r="544">
      <c r="A544" s="40"/>
      <c r="C544" s="40"/>
      <c r="D544" s="40"/>
    </row>
    <row r="545">
      <c r="A545" s="40"/>
      <c r="C545" s="40"/>
      <c r="D545" s="40"/>
    </row>
    <row r="546">
      <c r="A546" s="40"/>
      <c r="C546" s="40"/>
      <c r="D546" s="40"/>
    </row>
    <row r="547">
      <c r="A547" s="40"/>
      <c r="C547" s="40"/>
      <c r="D547" s="40"/>
    </row>
    <row r="548">
      <c r="A548" s="40"/>
      <c r="C548" s="40"/>
      <c r="D548" s="40"/>
    </row>
    <row r="549">
      <c r="A549" s="40"/>
      <c r="C549" s="40"/>
      <c r="D549" s="40"/>
    </row>
    <row r="550">
      <c r="A550" s="40"/>
      <c r="C550" s="40"/>
      <c r="D550" s="40"/>
    </row>
    <row r="551">
      <c r="A551" s="40"/>
      <c r="C551" s="40"/>
      <c r="D551" s="40"/>
    </row>
    <row r="552">
      <c r="A552" s="40"/>
      <c r="C552" s="40"/>
      <c r="D552" s="40"/>
    </row>
    <row r="553">
      <c r="A553" s="40"/>
      <c r="C553" s="40"/>
      <c r="D553" s="40"/>
    </row>
    <row r="554">
      <c r="A554" s="40"/>
      <c r="C554" s="40"/>
      <c r="D554" s="40"/>
    </row>
    <row r="555">
      <c r="A555" s="40"/>
      <c r="C555" s="40"/>
      <c r="D555" s="40"/>
    </row>
    <row r="556">
      <c r="A556" s="40"/>
      <c r="C556" s="40"/>
      <c r="D556" s="40"/>
    </row>
    <row r="557">
      <c r="A557" s="40"/>
      <c r="C557" s="40"/>
      <c r="D557" s="40"/>
    </row>
    <row r="558">
      <c r="A558" s="40"/>
      <c r="C558" s="40"/>
      <c r="D558" s="40"/>
    </row>
    <row r="559">
      <c r="A559" s="40"/>
      <c r="C559" s="40"/>
      <c r="D559" s="40"/>
    </row>
    <row r="560">
      <c r="A560" s="40"/>
      <c r="C560" s="40"/>
      <c r="D560" s="40"/>
    </row>
    <row r="561">
      <c r="A561" s="40"/>
      <c r="C561" s="40"/>
      <c r="D561" s="40"/>
    </row>
    <row r="562">
      <c r="A562" s="40"/>
      <c r="C562" s="40"/>
      <c r="D562" s="40"/>
    </row>
    <row r="563">
      <c r="A563" s="40"/>
      <c r="C563" s="40"/>
      <c r="D563" s="40"/>
    </row>
    <row r="564">
      <c r="A564" s="40"/>
      <c r="C564" s="40"/>
      <c r="D564" s="40"/>
    </row>
    <row r="565">
      <c r="A565" s="40"/>
      <c r="C565" s="40"/>
      <c r="D565" s="40"/>
    </row>
    <row r="566">
      <c r="A566" s="40"/>
      <c r="C566" s="40"/>
      <c r="D566" s="40"/>
    </row>
    <row r="567">
      <c r="A567" s="40"/>
      <c r="C567" s="40"/>
      <c r="D567" s="40"/>
    </row>
    <row r="568">
      <c r="A568" s="40"/>
      <c r="C568" s="40"/>
      <c r="D568" s="40"/>
    </row>
    <row r="569">
      <c r="A569" s="40"/>
      <c r="C569" s="40"/>
      <c r="D569" s="40"/>
    </row>
    <row r="570">
      <c r="A570" s="40"/>
      <c r="C570" s="40"/>
      <c r="D570" s="40"/>
    </row>
    <row r="571">
      <c r="A571" s="40"/>
      <c r="C571" s="40"/>
      <c r="D571" s="40"/>
    </row>
    <row r="572">
      <c r="A572" s="40"/>
      <c r="C572" s="40"/>
      <c r="D572" s="40"/>
    </row>
    <row r="573">
      <c r="A573" s="40"/>
      <c r="C573" s="40"/>
      <c r="D573" s="40"/>
    </row>
    <row r="574">
      <c r="A574" s="40"/>
      <c r="C574" s="40"/>
      <c r="D574" s="40"/>
    </row>
    <row r="575">
      <c r="A575" s="40"/>
      <c r="C575" s="40"/>
      <c r="D575" s="40"/>
    </row>
    <row r="576">
      <c r="A576" s="40"/>
      <c r="C576" s="40"/>
      <c r="D576" s="40"/>
    </row>
    <row r="577">
      <c r="A577" s="40"/>
      <c r="C577" s="40"/>
      <c r="D577" s="40"/>
    </row>
    <row r="578">
      <c r="A578" s="40"/>
      <c r="C578" s="40"/>
      <c r="D578" s="40"/>
    </row>
    <row r="579">
      <c r="A579" s="40"/>
      <c r="C579" s="40"/>
      <c r="D579" s="40"/>
    </row>
    <row r="580">
      <c r="A580" s="40"/>
      <c r="C580" s="40"/>
      <c r="D580" s="40"/>
    </row>
    <row r="581">
      <c r="A581" s="40"/>
      <c r="C581" s="40"/>
      <c r="D581" s="40"/>
    </row>
    <row r="582">
      <c r="A582" s="40"/>
      <c r="C582" s="40"/>
      <c r="D582" s="40"/>
    </row>
    <row r="583">
      <c r="A583" s="40"/>
      <c r="C583" s="40"/>
      <c r="D583" s="40"/>
    </row>
    <row r="584">
      <c r="A584" s="40"/>
      <c r="C584" s="40"/>
      <c r="D584" s="40"/>
    </row>
    <row r="585">
      <c r="A585" s="40"/>
      <c r="C585" s="40"/>
      <c r="D585" s="40"/>
    </row>
    <row r="586">
      <c r="A586" s="40"/>
      <c r="C586" s="40"/>
      <c r="D586" s="40"/>
    </row>
    <row r="587">
      <c r="A587" s="40"/>
      <c r="C587" s="40"/>
      <c r="D587" s="40"/>
    </row>
    <row r="588">
      <c r="A588" s="40"/>
      <c r="C588" s="40"/>
      <c r="D588" s="40"/>
    </row>
    <row r="589">
      <c r="A589" s="40"/>
      <c r="C589" s="40"/>
      <c r="D589" s="40"/>
    </row>
    <row r="590">
      <c r="A590" s="40"/>
      <c r="C590" s="40"/>
      <c r="D590" s="40"/>
    </row>
    <row r="591">
      <c r="A591" s="40"/>
      <c r="C591" s="40"/>
      <c r="D591" s="40"/>
    </row>
    <row r="592">
      <c r="A592" s="40"/>
      <c r="C592" s="40"/>
      <c r="D592" s="40"/>
    </row>
    <row r="593">
      <c r="A593" s="40"/>
      <c r="C593" s="40"/>
      <c r="D593" s="40"/>
    </row>
    <row r="594">
      <c r="A594" s="40"/>
      <c r="C594" s="40"/>
      <c r="D594" s="40"/>
    </row>
    <row r="595">
      <c r="A595" s="40"/>
      <c r="C595" s="40"/>
      <c r="D595" s="40"/>
    </row>
    <row r="596">
      <c r="A596" s="40"/>
      <c r="C596" s="40"/>
      <c r="D596" s="40"/>
    </row>
    <row r="597">
      <c r="A597" s="40"/>
      <c r="C597" s="40"/>
      <c r="D597" s="40"/>
    </row>
    <row r="598">
      <c r="A598" s="40"/>
      <c r="C598" s="40"/>
      <c r="D598" s="40"/>
    </row>
    <row r="599">
      <c r="A599" s="40"/>
      <c r="C599" s="40"/>
      <c r="D599" s="40"/>
    </row>
    <row r="600">
      <c r="A600" s="40"/>
      <c r="C600" s="40"/>
      <c r="D600" s="40"/>
    </row>
    <row r="601">
      <c r="A601" s="40"/>
      <c r="C601" s="40"/>
      <c r="D601" s="40"/>
    </row>
    <row r="602">
      <c r="A602" s="40"/>
      <c r="C602" s="40"/>
      <c r="D602" s="40"/>
    </row>
    <row r="603">
      <c r="A603" s="40"/>
      <c r="C603" s="40"/>
      <c r="D603" s="40"/>
    </row>
    <row r="604">
      <c r="A604" s="40"/>
      <c r="C604" s="40"/>
      <c r="D604" s="40"/>
    </row>
    <row r="605">
      <c r="A605" s="40"/>
      <c r="C605" s="40"/>
      <c r="D605" s="40"/>
    </row>
    <row r="606">
      <c r="A606" s="40"/>
      <c r="C606" s="40"/>
      <c r="D606" s="40"/>
    </row>
    <row r="607">
      <c r="A607" s="40"/>
      <c r="C607" s="40"/>
      <c r="D607" s="40"/>
    </row>
    <row r="608">
      <c r="A608" s="40"/>
      <c r="C608" s="40"/>
      <c r="D608" s="40"/>
    </row>
    <row r="609">
      <c r="A609" s="40"/>
      <c r="C609" s="40"/>
      <c r="D609" s="40"/>
    </row>
    <row r="610">
      <c r="A610" s="40"/>
      <c r="C610" s="40"/>
      <c r="D610" s="40"/>
    </row>
    <row r="611">
      <c r="A611" s="40"/>
      <c r="C611" s="40"/>
      <c r="D611" s="40"/>
    </row>
    <row r="612">
      <c r="A612" s="40"/>
      <c r="C612" s="40"/>
      <c r="D612" s="40"/>
    </row>
    <row r="613">
      <c r="A613" s="40"/>
      <c r="C613" s="40"/>
      <c r="D613" s="40"/>
    </row>
    <row r="614">
      <c r="A614" s="40"/>
      <c r="C614" s="40"/>
      <c r="D614" s="40"/>
    </row>
    <row r="615">
      <c r="A615" s="40"/>
      <c r="C615" s="40"/>
      <c r="D615" s="40"/>
    </row>
    <row r="616">
      <c r="A616" s="40"/>
      <c r="C616" s="40"/>
      <c r="D616" s="40"/>
    </row>
    <row r="617">
      <c r="A617" s="40"/>
      <c r="C617" s="40"/>
      <c r="D617" s="40"/>
    </row>
    <row r="618">
      <c r="A618" s="40"/>
      <c r="C618" s="40"/>
      <c r="D618" s="40"/>
    </row>
    <row r="619">
      <c r="A619" s="40"/>
      <c r="C619" s="40"/>
      <c r="D619" s="40"/>
    </row>
    <row r="620">
      <c r="A620" s="40"/>
      <c r="C620" s="40"/>
      <c r="D620" s="40"/>
    </row>
    <row r="621">
      <c r="A621" s="40"/>
      <c r="C621" s="40"/>
      <c r="D621" s="40"/>
    </row>
    <row r="622">
      <c r="A622" s="40"/>
      <c r="C622" s="40"/>
      <c r="D622" s="40"/>
    </row>
    <row r="623">
      <c r="A623" s="40"/>
      <c r="C623" s="40"/>
      <c r="D623" s="40"/>
    </row>
    <row r="624">
      <c r="A624" s="40"/>
      <c r="C624" s="40"/>
      <c r="D624" s="40"/>
    </row>
    <row r="625">
      <c r="A625" s="40"/>
      <c r="C625" s="40"/>
      <c r="D625" s="40"/>
    </row>
    <row r="626">
      <c r="A626" s="40"/>
      <c r="C626" s="40"/>
      <c r="D626" s="40"/>
    </row>
    <row r="627">
      <c r="A627" s="40"/>
      <c r="C627" s="40"/>
      <c r="D627" s="40"/>
    </row>
    <row r="628">
      <c r="A628" s="40"/>
      <c r="C628" s="40"/>
      <c r="D628" s="40"/>
    </row>
    <row r="629">
      <c r="A629" s="40"/>
      <c r="C629" s="40"/>
      <c r="D629" s="40"/>
    </row>
    <row r="630">
      <c r="A630" s="40"/>
      <c r="C630" s="40"/>
      <c r="D630" s="40"/>
    </row>
    <row r="631">
      <c r="A631" s="40"/>
      <c r="C631" s="40"/>
      <c r="D631" s="40"/>
    </row>
    <row r="632">
      <c r="A632" s="40"/>
      <c r="C632" s="40"/>
      <c r="D632" s="40"/>
    </row>
    <row r="633">
      <c r="A633" s="40"/>
      <c r="C633" s="40"/>
      <c r="D633" s="40"/>
    </row>
    <row r="634">
      <c r="A634" s="40"/>
      <c r="C634" s="40"/>
      <c r="D634" s="40"/>
    </row>
    <row r="635">
      <c r="A635" s="40"/>
      <c r="C635" s="40"/>
      <c r="D635" s="40"/>
    </row>
    <row r="636">
      <c r="A636" s="40"/>
      <c r="C636" s="40"/>
      <c r="D636" s="40"/>
    </row>
    <row r="637">
      <c r="A637" s="40"/>
      <c r="C637" s="40"/>
      <c r="D637" s="40"/>
    </row>
    <row r="638">
      <c r="A638" s="40"/>
      <c r="C638" s="40"/>
      <c r="D638" s="40"/>
    </row>
    <row r="639">
      <c r="A639" s="40"/>
      <c r="C639" s="40"/>
      <c r="D639" s="40"/>
    </row>
    <row r="640">
      <c r="A640" s="40"/>
      <c r="C640" s="40"/>
      <c r="D640" s="40"/>
    </row>
    <row r="641">
      <c r="A641" s="40"/>
      <c r="C641" s="40"/>
      <c r="D641" s="40"/>
    </row>
    <row r="642">
      <c r="A642" s="40"/>
      <c r="C642" s="40"/>
      <c r="D642" s="40"/>
    </row>
    <row r="643">
      <c r="A643" s="40"/>
      <c r="C643" s="40"/>
      <c r="D643" s="40"/>
    </row>
    <row r="644">
      <c r="A644" s="40"/>
      <c r="C644" s="40"/>
      <c r="D644" s="40"/>
    </row>
    <row r="645">
      <c r="A645" s="40"/>
      <c r="C645" s="40"/>
      <c r="D645" s="40"/>
    </row>
    <row r="646">
      <c r="A646" s="40"/>
      <c r="C646" s="40"/>
      <c r="D646" s="40"/>
    </row>
    <row r="647">
      <c r="A647" s="40"/>
      <c r="C647" s="40"/>
      <c r="D647" s="40"/>
    </row>
    <row r="648">
      <c r="A648" s="40"/>
      <c r="C648" s="40"/>
      <c r="D648" s="40"/>
    </row>
    <row r="649">
      <c r="A649" s="40"/>
      <c r="C649" s="40"/>
      <c r="D649" s="40"/>
    </row>
    <row r="650">
      <c r="A650" s="40"/>
      <c r="C650" s="40"/>
      <c r="D650" s="40"/>
    </row>
    <row r="651">
      <c r="A651" s="40"/>
      <c r="C651" s="40"/>
      <c r="D651" s="40"/>
    </row>
    <row r="652">
      <c r="A652" s="40"/>
      <c r="C652" s="40"/>
      <c r="D652" s="40"/>
    </row>
    <row r="653">
      <c r="A653" s="40"/>
      <c r="C653" s="40"/>
      <c r="D653" s="40"/>
    </row>
    <row r="654">
      <c r="A654" s="40"/>
      <c r="C654" s="40"/>
      <c r="D654" s="40"/>
    </row>
    <row r="655">
      <c r="A655" s="40"/>
      <c r="C655" s="40"/>
      <c r="D655" s="40"/>
    </row>
    <row r="656">
      <c r="A656" s="40"/>
      <c r="C656" s="40"/>
      <c r="D656" s="40"/>
    </row>
    <row r="657">
      <c r="A657" s="40"/>
      <c r="C657" s="40"/>
      <c r="D657" s="40"/>
    </row>
    <row r="658">
      <c r="A658" s="40"/>
      <c r="C658" s="40"/>
      <c r="D658" s="40"/>
    </row>
    <row r="659">
      <c r="A659" s="40"/>
      <c r="C659" s="40"/>
      <c r="D659" s="40"/>
    </row>
    <row r="660">
      <c r="A660" s="40"/>
      <c r="C660" s="40"/>
      <c r="D660" s="40"/>
    </row>
    <row r="661">
      <c r="A661" s="40"/>
      <c r="C661" s="40"/>
      <c r="D661" s="40"/>
    </row>
    <row r="662">
      <c r="A662" s="40"/>
      <c r="C662" s="40"/>
      <c r="D662" s="40"/>
    </row>
    <row r="663">
      <c r="A663" s="40"/>
      <c r="C663" s="40"/>
      <c r="D663" s="40"/>
    </row>
    <row r="664">
      <c r="A664" s="40"/>
      <c r="C664" s="40"/>
      <c r="D664" s="40"/>
    </row>
    <row r="665">
      <c r="A665" s="40"/>
      <c r="C665" s="40"/>
      <c r="D665" s="40"/>
    </row>
    <row r="666">
      <c r="A666" s="40"/>
      <c r="C666" s="40"/>
      <c r="D666" s="40"/>
    </row>
    <row r="667">
      <c r="A667" s="40"/>
      <c r="C667" s="40"/>
      <c r="D667" s="40"/>
    </row>
    <row r="668">
      <c r="A668" s="40"/>
      <c r="C668" s="40"/>
      <c r="D668" s="40"/>
    </row>
    <row r="669">
      <c r="A669" s="40"/>
      <c r="C669" s="40"/>
      <c r="D669" s="40"/>
    </row>
    <row r="670">
      <c r="A670" s="40"/>
      <c r="C670" s="40"/>
      <c r="D670" s="40"/>
    </row>
    <row r="671">
      <c r="A671" s="40"/>
      <c r="C671" s="40"/>
      <c r="D671" s="40"/>
    </row>
    <row r="672">
      <c r="A672" s="40"/>
      <c r="C672" s="40"/>
      <c r="D672" s="40"/>
    </row>
    <row r="673">
      <c r="A673" s="40"/>
      <c r="C673" s="40"/>
      <c r="D673" s="40"/>
    </row>
    <row r="674">
      <c r="A674" s="40"/>
      <c r="C674" s="40"/>
      <c r="D674" s="40"/>
    </row>
    <row r="675">
      <c r="A675" s="40"/>
      <c r="C675" s="40"/>
      <c r="D675" s="40"/>
    </row>
    <row r="676">
      <c r="A676" s="40"/>
      <c r="C676" s="40"/>
      <c r="D676" s="40"/>
    </row>
    <row r="677">
      <c r="A677" s="40"/>
      <c r="C677" s="40"/>
      <c r="D677" s="40"/>
    </row>
    <row r="678">
      <c r="A678" s="40"/>
      <c r="C678" s="40"/>
      <c r="D678" s="40"/>
    </row>
    <row r="679">
      <c r="A679" s="40"/>
      <c r="C679" s="40"/>
      <c r="D679" s="40"/>
    </row>
    <row r="680">
      <c r="A680" s="40"/>
      <c r="C680" s="40"/>
      <c r="D680" s="40"/>
    </row>
    <row r="681">
      <c r="A681" s="40"/>
      <c r="C681" s="40"/>
      <c r="D681" s="40"/>
    </row>
    <row r="682">
      <c r="A682" s="40"/>
      <c r="C682" s="40"/>
      <c r="D682" s="40"/>
    </row>
    <row r="683">
      <c r="A683" s="40"/>
      <c r="C683" s="40"/>
      <c r="D683" s="40"/>
    </row>
    <row r="684">
      <c r="A684" s="40"/>
      <c r="C684" s="40"/>
      <c r="D684" s="40"/>
    </row>
    <row r="685">
      <c r="A685" s="40"/>
      <c r="C685" s="40"/>
      <c r="D685" s="40"/>
    </row>
    <row r="686">
      <c r="A686" s="40"/>
      <c r="C686" s="40"/>
      <c r="D686" s="40"/>
    </row>
    <row r="687">
      <c r="A687" s="40"/>
      <c r="C687" s="40"/>
      <c r="D687" s="40"/>
    </row>
    <row r="688">
      <c r="A688" s="40"/>
      <c r="C688" s="40"/>
      <c r="D688" s="40"/>
    </row>
    <row r="689">
      <c r="A689" s="40"/>
      <c r="C689" s="40"/>
      <c r="D689" s="40"/>
    </row>
    <row r="690">
      <c r="A690" s="40"/>
      <c r="C690" s="40"/>
      <c r="D690" s="40"/>
    </row>
    <row r="691">
      <c r="A691" s="40"/>
      <c r="C691" s="40"/>
      <c r="D691" s="40"/>
    </row>
    <row r="692">
      <c r="A692" s="40"/>
      <c r="C692" s="40"/>
      <c r="D692" s="40"/>
    </row>
    <row r="693">
      <c r="A693" s="40"/>
      <c r="C693" s="40"/>
      <c r="D693" s="40"/>
    </row>
    <row r="694">
      <c r="A694" s="40"/>
      <c r="C694" s="40"/>
      <c r="D694" s="40"/>
    </row>
    <row r="695">
      <c r="A695" s="40"/>
      <c r="C695" s="40"/>
      <c r="D695" s="40"/>
    </row>
    <row r="696">
      <c r="A696" s="40"/>
      <c r="C696" s="40"/>
      <c r="D696" s="40"/>
    </row>
    <row r="697">
      <c r="A697" s="40"/>
      <c r="C697" s="40"/>
      <c r="D697" s="40"/>
    </row>
    <row r="698">
      <c r="A698" s="40"/>
      <c r="C698" s="40"/>
      <c r="D698" s="40"/>
    </row>
    <row r="699">
      <c r="A699" s="40"/>
      <c r="C699" s="40"/>
      <c r="D699" s="40"/>
    </row>
    <row r="700">
      <c r="A700" s="40"/>
      <c r="C700" s="40"/>
      <c r="D700" s="40"/>
    </row>
    <row r="701">
      <c r="A701" s="40"/>
      <c r="C701" s="40"/>
      <c r="D701" s="40"/>
    </row>
    <row r="702">
      <c r="A702" s="40"/>
      <c r="C702" s="40"/>
      <c r="D702" s="40"/>
    </row>
    <row r="703">
      <c r="A703" s="40"/>
      <c r="C703" s="40"/>
      <c r="D703" s="40"/>
    </row>
    <row r="704">
      <c r="A704" s="40"/>
      <c r="C704" s="40"/>
      <c r="D704" s="40"/>
    </row>
    <row r="705">
      <c r="A705" s="40"/>
      <c r="C705" s="40"/>
      <c r="D705" s="40"/>
    </row>
    <row r="706">
      <c r="A706" s="40"/>
      <c r="C706" s="40"/>
      <c r="D706" s="40"/>
    </row>
    <row r="707">
      <c r="A707" s="40"/>
      <c r="C707" s="40"/>
      <c r="D707" s="40"/>
    </row>
    <row r="708">
      <c r="A708" s="40"/>
      <c r="C708" s="40"/>
      <c r="D708" s="40"/>
    </row>
    <row r="709">
      <c r="A709" s="40"/>
      <c r="C709" s="40"/>
      <c r="D709" s="40"/>
    </row>
    <row r="710">
      <c r="A710" s="40"/>
      <c r="C710" s="40"/>
      <c r="D710" s="40"/>
    </row>
    <row r="711">
      <c r="A711" s="40"/>
      <c r="C711" s="40"/>
      <c r="D711" s="40"/>
    </row>
    <row r="712">
      <c r="A712" s="40"/>
      <c r="C712" s="40"/>
      <c r="D712" s="40"/>
    </row>
    <row r="713">
      <c r="A713" s="40"/>
      <c r="C713" s="40"/>
      <c r="D713" s="40"/>
    </row>
    <row r="714">
      <c r="A714" s="40"/>
      <c r="C714" s="40"/>
      <c r="D714" s="40"/>
    </row>
    <row r="715">
      <c r="A715" s="40"/>
      <c r="C715" s="40"/>
      <c r="D715" s="40"/>
    </row>
    <row r="716">
      <c r="A716" s="40"/>
      <c r="C716" s="40"/>
      <c r="D716" s="40"/>
    </row>
    <row r="717">
      <c r="A717" s="40"/>
      <c r="C717" s="40"/>
      <c r="D717" s="40"/>
    </row>
    <row r="718">
      <c r="A718" s="40"/>
      <c r="C718" s="40"/>
      <c r="D718" s="40"/>
    </row>
    <row r="719">
      <c r="A719" s="40"/>
      <c r="C719" s="40"/>
      <c r="D719" s="40"/>
    </row>
    <row r="720">
      <c r="A720" s="40"/>
      <c r="C720" s="40"/>
      <c r="D720" s="40"/>
    </row>
    <row r="721">
      <c r="A721" s="40"/>
      <c r="C721" s="40"/>
      <c r="D721" s="40"/>
    </row>
    <row r="722">
      <c r="A722" s="40"/>
      <c r="C722" s="40"/>
      <c r="D722" s="40"/>
    </row>
    <row r="723">
      <c r="A723" s="40"/>
      <c r="C723" s="40"/>
      <c r="D723" s="40"/>
    </row>
    <row r="724">
      <c r="A724" s="40"/>
      <c r="C724" s="40"/>
      <c r="D724" s="40"/>
    </row>
    <row r="725">
      <c r="A725" s="40"/>
      <c r="C725" s="40"/>
      <c r="D725" s="40"/>
    </row>
    <row r="726">
      <c r="A726" s="40"/>
      <c r="C726" s="40"/>
      <c r="D726" s="40"/>
    </row>
    <row r="727">
      <c r="A727" s="40"/>
      <c r="C727" s="40"/>
      <c r="D727" s="40"/>
    </row>
    <row r="728">
      <c r="A728" s="40"/>
      <c r="C728" s="40"/>
      <c r="D728" s="40"/>
    </row>
    <row r="729">
      <c r="A729" s="40"/>
      <c r="C729" s="40"/>
      <c r="D729" s="40"/>
    </row>
    <row r="730">
      <c r="A730" s="40"/>
      <c r="C730" s="40"/>
      <c r="D730" s="40"/>
    </row>
    <row r="731">
      <c r="A731" s="40"/>
      <c r="C731" s="40"/>
      <c r="D731" s="40"/>
    </row>
    <row r="732">
      <c r="A732" s="40"/>
      <c r="C732" s="40"/>
      <c r="D732" s="40"/>
    </row>
    <row r="733">
      <c r="A733" s="40"/>
      <c r="C733" s="40"/>
      <c r="D733" s="40"/>
    </row>
    <row r="734">
      <c r="A734" s="40"/>
      <c r="C734" s="40"/>
      <c r="D734" s="40"/>
    </row>
    <row r="735">
      <c r="A735" s="40"/>
      <c r="C735" s="40"/>
      <c r="D735" s="40"/>
    </row>
    <row r="736">
      <c r="A736" s="40"/>
      <c r="C736" s="40"/>
      <c r="D736" s="40"/>
    </row>
    <row r="737">
      <c r="A737" s="40"/>
      <c r="C737" s="40"/>
      <c r="D737" s="40"/>
    </row>
    <row r="738">
      <c r="A738" s="40"/>
      <c r="C738" s="40"/>
      <c r="D738" s="40"/>
    </row>
    <row r="739">
      <c r="A739" s="40"/>
      <c r="C739" s="40"/>
      <c r="D739" s="40"/>
    </row>
    <row r="740">
      <c r="A740" s="40"/>
      <c r="C740" s="40"/>
      <c r="D740" s="40"/>
    </row>
    <row r="741">
      <c r="A741" s="40"/>
      <c r="C741" s="40"/>
      <c r="D741" s="40"/>
    </row>
    <row r="742">
      <c r="A742" s="40"/>
      <c r="C742" s="40"/>
      <c r="D742" s="40"/>
    </row>
    <row r="743">
      <c r="A743" s="40"/>
      <c r="C743" s="40"/>
      <c r="D743" s="40"/>
    </row>
    <row r="744">
      <c r="A744" s="40"/>
      <c r="C744" s="40"/>
      <c r="D744" s="40"/>
    </row>
    <row r="745">
      <c r="A745" s="40"/>
      <c r="C745" s="40"/>
      <c r="D745" s="40"/>
    </row>
    <row r="746">
      <c r="A746" s="40"/>
      <c r="C746" s="40"/>
      <c r="D746" s="40"/>
    </row>
    <row r="747">
      <c r="A747" s="40"/>
      <c r="C747" s="40"/>
      <c r="D747" s="40"/>
    </row>
    <row r="748">
      <c r="A748" s="40"/>
      <c r="C748" s="40"/>
      <c r="D748" s="40"/>
    </row>
    <row r="749">
      <c r="A749" s="40"/>
      <c r="C749" s="40"/>
      <c r="D749" s="40"/>
    </row>
    <row r="750">
      <c r="A750" s="40"/>
      <c r="C750" s="40"/>
      <c r="D750" s="40"/>
    </row>
    <row r="751">
      <c r="A751" s="40"/>
      <c r="C751" s="40"/>
      <c r="D751" s="40"/>
    </row>
    <row r="752">
      <c r="A752" s="40"/>
      <c r="C752" s="40"/>
      <c r="D752" s="40"/>
    </row>
    <row r="753">
      <c r="A753" s="40"/>
      <c r="C753" s="40"/>
      <c r="D753" s="40"/>
    </row>
    <row r="754">
      <c r="A754" s="40"/>
      <c r="C754" s="40"/>
      <c r="D754" s="40"/>
    </row>
    <row r="755">
      <c r="A755" s="40"/>
      <c r="C755" s="40"/>
      <c r="D755" s="40"/>
    </row>
    <row r="756">
      <c r="A756" s="40"/>
      <c r="C756" s="40"/>
      <c r="D756" s="40"/>
    </row>
    <row r="757">
      <c r="A757" s="40"/>
      <c r="C757" s="40"/>
      <c r="D757" s="40"/>
    </row>
    <row r="758">
      <c r="A758" s="40"/>
      <c r="C758" s="40"/>
      <c r="D758" s="40"/>
    </row>
    <row r="759">
      <c r="A759" s="40"/>
      <c r="C759" s="40"/>
      <c r="D759" s="40"/>
    </row>
    <row r="760">
      <c r="A760" s="40"/>
      <c r="C760" s="40"/>
      <c r="D760" s="40"/>
    </row>
    <row r="761">
      <c r="A761" s="40"/>
      <c r="C761" s="40"/>
      <c r="D761" s="40"/>
    </row>
    <row r="762">
      <c r="A762" s="40"/>
      <c r="C762" s="40"/>
      <c r="D762" s="40"/>
    </row>
    <row r="763">
      <c r="A763" s="40"/>
      <c r="C763" s="40"/>
      <c r="D763" s="40"/>
    </row>
    <row r="764">
      <c r="A764" s="40"/>
      <c r="C764" s="40"/>
      <c r="D764" s="40"/>
    </row>
    <row r="765">
      <c r="A765" s="40"/>
      <c r="C765" s="40"/>
      <c r="D765" s="40"/>
    </row>
    <row r="766">
      <c r="A766" s="40"/>
      <c r="C766" s="40"/>
      <c r="D766" s="40"/>
    </row>
    <row r="767">
      <c r="A767" s="40"/>
      <c r="C767" s="40"/>
      <c r="D767" s="40"/>
    </row>
    <row r="768">
      <c r="A768" s="40"/>
      <c r="C768" s="40"/>
      <c r="D768" s="40"/>
    </row>
    <row r="769">
      <c r="A769" s="40"/>
      <c r="C769" s="40"/>
      <c r="D769" s="40"/>
    </row>
    <row r="770">
      <c r="A770" s="40"/>
      <c r="C770" s="40"/>
      <c r="D770" s="40"/>
    </row>
    <row r="771">
      <c r="A771" s="40"/>
      <c r="C771" s="40"/>
      <c r="D771" s="40"/>
    </row>
    <row r="772">
      <c r="A772" s="40"/>
      <c r="C772" s="40"/>
      <c r="D772" s="40"/>
    </row>
    <row r="773">
      <c r="A773" s="40"/>
      <c r="C773" s="40"/>
      <c r="D773" s="40"/>
    </row>
    <row r="774">
      <c r="A774" s="40"/>
      <c r="C774" s="40"/>
      <c r="D774" s="40"/>
    </row>
    <row r="775">
      <c r="A775" s="40"/>
      <c r="C775" s="40"/>
      <c r="D775" s="40"/>
    </row>
    <row r="776">
      <c r="A776" s="40"/>
      <c r="C776" s="40"/>
      <c r="D776" s="40"/>
    </row>
    <row r="777">
      <c r="A777" s="40"/>
      <c r="C777" s="40"/>
      <c r="D777" s="40"/>
    </row>
    <row r="778">
      <c r="A778" s="40"/>
      <c r="C778" s="40"/>
      <c r="D778" s="40"/>
    </row>
    <row r="779">
      <c r="A779" s="40"/>
      <c r="C779" s="40"/>
      <c r="D779" s="40"/>
    </row>
    <row r="780">
      <c r="A780" s="40"/>
      <c r="C780" s="40"/>
      <c r="D780" s="40"/>
    </row>
    <row r="781">
      <c r="A781" s="40"/>
      <c r="C781" s="40"/>
      <c r="D781" s="40"/>
    </row>
    <row r="782">
      <c r="A782" s="40"/>
      <c r="C782" s="40"/>
      <c r="D782" s="40"/>
    </row>
    <row r="783">
      <c r="A783" s="40"/>
      <c r="C783" s="40"/>
      <c r="D783" s="40"/>
    </row>
    <row r="784">
      <c r="A784" s="40"/>
      <c r="C784" s="40"/>
      <c r="D784" s="40"/>
    </row>
    <row r="785">
      <c r="A785" s="40"/>
      <c r="C785" s="40"/>
      <c r="D785" s="40"/>
    </row>
    <row r="786">
      <c r="A786" s="40"/>
      <c r="C786" s="40"/>
      <c r="D786" s="40"/>
    </row>
    <row r="787">
      <c r="A787" s="40"/>
      <c r="C787" s="40"/>
      <c r="D787" s="40"/>
    </row>
    <row r="788">
      <c r="A788" s="40"/>
      <c r="C788" s="40"/>
      <c r="D788" s="40"/>
    </row>
    <row r="789">
      <c r="A789" s="40"/>
      <c r="C789" s="40"/>
      <c r="D789" s="40"/>
    </row>
    <row r="790">
      <c r="A790" s="40"/>
      <c r="C790" s="40"/>
      <c r="D790" s="40"/>
    </row>
    <row r="791">
      <c r="A791" s="40"/>
      <c r="C791" s="40"/>
      <c r="D791" s="40"/>
    </row>
    <row r="792">
      <c r="A792" s="40"/>
      <c r="C792" s="40"/>
      <c r="D792" s="40"/>
    </row>
    <row r="793">
      <c r="A793" s="40"/>
      <c r="C793" s="40"/>
      <c r="D793" s="40"/>
    </row>
    <row r="794">
      <c r="A794" s="40"/>
      <c r="C794" s="40"/>
      <c r="D794" s="40"/>
    </row>
    <row r="795">
      <c r="A795" s="40"/>
      <c r="C795" s="40"/>
      <c r="D795" s="40"/>
    </row>
    <row r="796">
      <c r="A796" s="40"/>
      <c r="C796" s="40"/>
      <c r="D796" s="40"/>
    </row>
    <row r="797">
      <c r="A797" s="40"/>
      <c r="C797" s="40"/>
      <c r="D797" s="40"/>
    </row>
    <row r="798">
      <c r="A798" s="40"/>
      <c r="C798" s="40"/>
      <c r="D798" s="40"/>
    </row>
    <row r="799">
      <c r="A799" s="40"/>
      <c r="C799" s="40"/>
      <c r="D799" s="40"/>
    </row>
    <row r="800">
      <c r="A800" s="40"/>
      <c r="C800" s="40"/>
      <c r="D800" s="40"/>
    </row>
    <row r="801">
      <c r="A801" s="40"/>
      <c r="C801" s="40"/>
      <c r="D801" s="40"/>
    </row>
    <row r="802">
      <c r="A802" s="40"/>
      <c r="C802" s="40"/>
      <c r="D802" s="40"/>
    </row>
    <row r="803">
      <c r="A803" s="40"/>
      <c r="C803" s="40"/>
      <c r="D803" s="40"/>
    </row>
    <row r="804">
      <c r="A804" s="40"/>
      <c r="C804" s="40"/>
      <c r="D804" s="40"/>
    </row>
    <row r="805">
      <c r="A805" s="40"/>
      <c r="C805" s="40"/>
      <c r="D805" s="40"/>
    </row>
    <row r="806">
      <c r="A806" s="40"/>
      <c r="C806" s="40"/>
      <c r="D806" s="40"/>
    </row>
    <row r="807">
      <c r="A807" s="40"/>
      <c r="C807" s="40"/>
      <c r="D807" s="40"/>
    </row>
    <row r="808">
      <c r="A808" s="40"/>
      <c r="C808" s="40"/>
      <c r="D808" s="40"/>
    </row>
    <row r="809">
      <c r="A809" s="40"/>
      <c r="C809" s="40"/>
      <c r="D809" s="40"/>
    </row>
    <row r="810">
      <c r="A810" s="40"/>
      <c r="C810" s="40"/>
      <c r="D810" s="40"/>
    </row>
    <row r="811">
      <c r="A811" s="40"/>
      <c r="C811" s="40"/>
      <c r="D811" s="40"/>
    </row>
    <row r="812">
      <c r="A812" s="40"/>
      <c r="C812" s="40"/>
      <c r="D812" s="40"/>
    </row>
    <row r="813">
      <c r="A813" s="40"/>
      <c r="C813" s="40"/>
      <c r="D813" s="40"/>
    </row>
    <row r="814">
      <c r="A814" s="40"/>
      <c r="C814" s="40"/>
      <c r="D814" s="40"/>
    </row>
    <row r="815">
      <c r="A815" s="40"/>
      <c r="C815" s="40"/>
      <c r="D815" s="40"/>
    </row>
    <row r="816">
      <c r="A816" s="40"/>
      <c r="C816" s="40"/>
      <c r="D816" s="40"/>
    </row>
    <row r="817">
      <c r="A817" s="40"/>
      <c r="C817" s="40"/>
      <c r="D817" s="40"/>
    </row>
    <row r="818">
      <c r="A818" s="40"/>
      <c r="C818" s="40"/>
      <c r="D818" s="40"/>
    </row>
    <row r="819">
      <c r="A819" s="40"/>
      <c r="C819" s="40"/>
      <c r="D819" s="40"/>
    </row>
    <row r="820">
      <c r="A820" s="40"/>
      <c r="C820" s="40"/>
      <c r="D820" s="40"/>
    </row>
    <row r="821">
      <c r="A821" s="40"/>
      <c r="C821" s="40"/>
      <c r="D821" s="40"/>
    </row>
    <row r="822">
      <c r="A822" s="40"/>
      <c r="C822" s="40"/>
      <c r="D822" s="40"/>
    </row>
    <row r="823">
      <c r="A823" s="40"/>
      <c r="C823" s="40"/>
      <c r="D823" s="40"/>
    </row>
    <row r="824">
      <c r="A824" s="40"/>
      <c r="C824" s="40"/>
      <c r="D824" s="40"/>
    </row>
    <row r="825">
      <c r="A825" s="40"/>
      <c r="C825" s="40"/>
      <c r="D825" s="40"/>
    </row>
    <row r="826">
      <c r="A826" s="40"/>
      <c r="C826" s="40"/>
      <c r="D826" s="40"/>
    </row>
    <row r="827">
      <c r="A827" s="40"/>
      <c r="C827" s="40"/>
      <c r="D827" s="40"/>
    </row>
    <row r="828">
      <c r="A828" s="40"/>
      <c r="C828" s="40"/>
      <c r="D828" s="40"/>
    </row>
    <row r="829">
      <c r="A829" s="40"/>
      <c r="C829" s="40"/>
      <c r="D829" s="40"/>
    </row>
    <row r="830">
      <c r="A830" s="40"/>
      <c r="C830" s="40"/>
      <c r="D830" s="40"/>
    </row>
    <row r="831">
      <c r="A831" s="40"/>
      <c r="C831" s="40"/>
      <c r="D831" s="40"/>
    </row>
    <row r="832">
      <c r="A832" s="40"/>
      <c r="C832" s="40"/>
      <c r="D832" s="40"/>
    </row>
    <row r="833">
      <c r="A833" s="40"/>
      <c r="C833" s="40"/>
      <c r="D833" s="40"/>
    </row>
    <row r="834">
      <c r="A834" s="40"/>
      <c r="C834" s="40"/>
      <c r="D834" s="40"/>
    </row>
    <row r="835">
      <c r="A835" s="40"/>
      <c r="C835" s="40"/>
      <c r="D835" s="40"/>
    </row>
    <row r="836">
      <c r="A836" s="40"/>
      <c r="C836" s="40"/>
      <c r="D836" s="40"/>
    </row>
    <row r="837">
      <c r="A837" s="40"/>
      <c r="C837" s="40"/>
      <c r="D837" s="40"/>
    </row>
    <row r="838">
      <c r="A838" s="40"/>
      <c r="C838" s="40"/>
      <c r="D838" s="40"/>
    </row>
    <row r="839">
      <c r="A839" s="40"/>
      <c r="C839" s="40"/>
      <c r="D839" s="40"/>
    </row>
    <row r="840">
      <c r="A840" s="40"/>
      <c r="C840" s="40"/>
      <c r="D840" s="40"/>
    </row>
    <row r="841">
      <c r="A841" s="40"/>
      <c r="C841" s="40"/>
      <c r="D841" s="40"/>
    </row>
    <row r="842">
      <c r="A842" s="40"/>
      <c r="C842" s="40"/>
      <c r="D842" s="40"/>
    </row>
    <row r="843">
      <c r="A843" s="40"/>
      <c r="C843" s="40"/>
      <c r="D843" s="40"/>
    </row>
    <row r="844">
      <c r="A844" s="40"/>
      <c r="C844" s="40"/>
      <c r="D844" s="40"/>
    </row>
    <row r="845">
      <c r="A845" s="40"/>
      <c r="C845" s="40"/>
      <c r="D845" s="40"/>
    </row>
    <row r="846">
      <c r="A846" s="40"/>
      <c r="C846" s="40"/>
      <c r="D846" s="40"/>
    </row>
    <row r="847">
      <c r="A847" s="40"/>
      <c r="C847" s="40"/>
      <c r="D847" s="40"/>
    </row>
    <row r="848">
      <c r="A848" s="40"/>
      <c r="C848" s="40"/>
      <c r="D848" s="40"/>
    </row>
    <row r="849">
      <c r="A849" s="40"/>
      <c r="C849" s="40"/>
      <c r="D849" s="40"/>
    </row>
    <row r="850">
      <c r="A850" s="40"/>
      <c r="C850" s="40"/>
      <c r="D850" s="40"/>
    </row>
    <row r="851">
      <c r="A851" s="40"/>
      <c r="C851" s="40"/>
      <c r="D851" s="40"/>
    </row>
    <row r="852">
      <c r="A852" s="40"/>
      <c r="C852" s="40"/>
      <c r="D852" s="40"/>
    </row>
    <row r="853">
      <c r="A853" s="40"/>
      <c r="C853" s="40"/>
      <c r="D853" s="40"/>
    </row>
    <row r="854">
      <c r="A854" s="40"/>
      <c r="C854" s="40"/>
      <c r="D854" s="40"/>
    </row>
    <row r="855">
      <c r="A855" s="40"/>
      <c r="C855" s="40"/>
      <c r="D855" s="40"/>
    </row>
    <row r="856">
      <c r="A856" s="40"/>
      <c r="C856" s="40"/>
      <c r="D856" s="40"/>
    </row>
    <row r="857">
      <c r="A857" s="40"/>
      <c r="C857" s="40"/>
      <c r="D857" s="40"/>
    </row>
    <row r="858">
      <c r="A858" s="40"/>
      <c r="C858" s="40"/>
      <c r="D858" s="40"/>
    </row>
    <row r="859">
      <c r="A859" s="40"/>
      <c r="C859" s="40"/>
      <c r="D859" s="40"/>
    </row>
    <row r="860">
      <c r="A860" s="40"/>
      <c r="C860" s="40"/>
      <c r="D860" s="40"/>
    </row>
    <row r="861">
      <c r="A861" s="40"/>
      <c r="C861" s="40"/>
      <c r="D861" s="40"/>
    </row>
    <row r="862">
      <c r="A862" s="40"/>
      <c r="C862" s="40"/>
      <c r="D862" s="40"/>
    </row>
    <row r="863">
      <c r="A863" s="40"/>
      <c r="C863" s="40"/>
      <c r="D863" s="40"/>
    </row>
    <row r="864">
      <c r="A864" s="40"/>
      <c r="C864" s="40"/>
      <c r="D864" s="40"/>
    </row>
    <row r="865">
      <c r="A865" s="40"/>
      <c r="C865" s="40"/>
      <c r="D865" s="40"/>
    </row>
    <row r="866">
      <c r="A866" s="40"/>
      <c r="C866" s="40"/>
      <c r="D866" s="40"/>
    </row>
    <row r="867">
      <c r="A867" s="40"/>
      <c r="C867" s="40"/>
      <c r="D867" s="40"/>
    </row>
    <row r="868">
      <c r="A868" s="40"/>
      <c r="C868" s="40"/>
      <c r="D868" s="40"/>
    </row>
    <row r="869">
      <c r="A869" s="40"/>
      <c r="C869" s="40"/>
      <c r="D869" s="40"/>
    </row>
    <row r="870">
      <c r="A870" s="40"/>
      <c r="C870" s="40"/>
      <c r="D870" s="40"/>
    </row>
    <row r="871">
      <c r="A871" s="40"/>
      <c r="C871" s="40"/>
      <c r="D871" s="40"/>
    </row>
    <row r="872">
      <c r="A872" s="40"/>
      <c r="C872" s="40"/>
      <c r="D872" s="40"/>
    </row>
    <row r="873">
      <c r="A873" s="40"/>
      <c r="C873" s="40"/>
      <c r="D873" s="40"/>
    </row>
    <row r="874">
      <c r="A874" s="40"/>
      <c r="C874" s="40"/>
      <c r="D874" s="40"/>
    </row>
    <row r="875">
      <c r="A875" s="40"/>
      <c r="C875" s="40"/>
      <c r="D875" s="40"/>
    </row>
    <row r="876">
      <c r="A876" s="40"/>
      <c r="C876" s="40"/>
      <c r="D876" s="40"/>
    </row>
    <row r="877">
      <c r="A877" s="40"/>
      <c r="C877" s="40"/>
      <c r="D877" s="40"/>
    </row>
    <row r="878">
      <c r="A878" s="40"/>
      <c r="C878" s="40"/>
      <c r="D878" s="40"/>
    </row>
    <row r="879">
      <c r="A879" s="40"/>
      <c r="C879" s="40"/>
      <c r="D879" s="40"/>
    </row>
    <row r="880">
      <c r="A880" s="40"/>
      <c r="C880" s="40"/>
      <c r="D880" s="40"/>
    </row>
    <row r="881">
      <c r="A881" s="40"/>
      <c r="C881" s="40"/>
      <c r="D881" s="40"/>
    </row>
    <row r="882">
      <c r="A882" s="40"/>
      <c r="C882" s="40"/>
      <c r="D882" s="40"/>
    </row>
    <row r="883">
      <c r="A883" s="40"/>
      <c r="C883" s="40"/>
      <c r="D883" s="40"/>
    </row>
    <row r="884">
      <c r="A884" s="40"/>
      <c r="C884" s="40"/>
      <c r="D884" s="40"/>
    </row>
    <row r="885">
      <c r="A885" s="40"/>
      <c r="C885" s="40"/>
      <c r="D885" s="40"/>
    </row>
    <row r="886">
      <c r="A886" s="40"/>
      <c r="C886" s="40"/>
      <c r="D886" s="40"/>
    </row>
    <row r="887">
      <c r="A887" s="40"/>
      <c r="C887" s="40"/>
      <c r="D887" s="40"/>
    </row>
    <row r="888">
      <c r="A888" s="40"/>
      <c r="C888" s="40"/>
      <c r="D888" s="40"/>
    </row>
    <row r="889">
      <c r="A889" s="40"/>
      <c r="C889" s="40"/>
      <c r="D889" s="40"/>
    </row>
    <row r="890">
      <c r="A890" s="40"/>
      <c r="C890" s="40"/>
      <c r="D890" s="40"/>
    </row>
    <row r="891">
      <c r="A891" s="40"/>
      <c r="C891" s="40"/>
      <c r="D891" s="40"/>
    </row>
    <row r="892">
      <c r="A892" s="40"/>
      <c r="C892" s="40"/>
      <c r="D892" s="40"/>
    </row>
    <row r="893">
      <c r="A893" s="40"/>
      <c r="C893" s="40"/>
      <c r="D893" s="40"/>
    </row>
    <row r="894">
      <c r="A894" s="40"/>
      <c r="C894" s="40"/>
      <c r="D894" s="40"/>
    </row>
    <row r="895">
      <c r="A895" s="40"/>
      <c r="C895" s="40"/>
      <c r="D895" s="40"/>
    </row>
    <row r="896">
      <c r="A896" s="40"/>
      <c r="C896" s="40"/>
      <c r="D896" s="40"/>
    </row>
    <row r="897">
      <c r="A897" s="40"/>
      <c r="C897" s="40"/>
      <c r="D897" s="40"/>
    </row>
    <row r="898">
      <c r="A898" s="40"/>
      <c r="C898" s="40"/>
      <c r="D898" s="40"/>
    </row>
    <row r="899">
      <c r="A899" s="40"/>
      <c r="C899" s="40"/>
      <c r="D899" s="40"/>
    </row>
    <row r="900">
      <c r="A900" s="40"/>
      <c r="C900" s="40"/>
      <c r="D900" s="40"/>
    </row>
    <row r="901">
      <c r="A901" s="40"/>
      <c r="C901" s="40"/>
      <c r="D901" s="40"/>
    </row>
    <row r="902">
      <c r="A902" s="40"/>
      <c r="C902" s="40"/>
      <c r="D902" s="40"/>
    </row>
    <row r="903">
      <c r="A903" s="40"/>
      <c r="C903" s="40"/>
      <c r="D903" s="40"/>
    </row>
    <row r="904">
      <c r="A904" s="40"/>
      <c r="C904" s="40"/>
      <c r="D904" s="40"/>
    </row>
    <row r="905">
      <c r="A905" s="40"/>
      <c r="C905" s="40"/>
      <c r="D905" s="40"/>
    </row>
    <row r="906">
      <c r="A906" s="40"/>
      <c r="C906" s="40"/>
      <c r="D906" s="40"/>
    </row>
    <row r="907">
      <c r="A907" s="40"/>
      <c r="C907" s="40"/>
      <c r="D907" s="40"/>
    </row>
    <row r="908">
      <c r="A908" s="40"/>
      <c r="C908" s="40"/>
      <c r="D908" s="40"/>
    </row>
    <row r="909">
      <c r="A909" s="40"/>
      <c r="C909" s="40"/>
      <c r="D909" s="40"/>
    </row>
    <row r="910">
      <c r="A910" s="40"/>
      <c r="C910" s="40"/>
      <c r="D910" s="40"/>
    </row>
    <row r="911">
      <c r="A911" s="40"/>
      <c r="C911" s="40"/>
      <c r="D911" s="40"/>
    </row>
    <row r="912">
      <c r="A912" s="40"/>
      <c r="C912" s="40"/>
      <c r="D912" s="40"/>
    </row>
    <row r="913">
      <c r="A913" s="40"/>
      <c r="C913" s="40"/>
      <c r="D913" s="40"/>
    </row>
    <row r="914">
      <c r="A914" s="40"/>
      <c r="C914" s="40"/>
      <c r="D914" s="40"/>
    </row>
    <row r="915">
      <c r="A915" s="40"/>
      <c r="C915" s="40"/>
      <c r="D915" s="40"/>
    </row>
    <row r="916">
      <c r="A916" s="40"/>
      <c r="C916" s="40"/>
      <c r="D916" s="40"/>
    </row>
    <row r="917">
      <c r="A917" s="40"/>
      <c r="C917" s="40"/>
      <c r="D917" s="40"/>
    </row>
    <row r="918">
      <c r="A918" s="40"/>
      <c r="C918" s="40"/>
      <c r="D918" s="40"/>
    </row>
    <row r="919">
      <c r="A919" s="40"/>
      <c r="C919" s="40"/>
      <c r="D919" s="40"/>
    </row>
    <row r="920">
      <c r="A920" s="40"/>
      <c r="C920" s="40"/>
      <c r="D920" s="40"/>
    </row>
    <row r="921">
      <c r="A921" s="40"/>
      <c r="C921" s="40"/>
      <c r="D921" s="40"/>
    </row>
    <row r="922">
      <c r="A922" s="40"/>
      <c r="C922" s="40"/>
      <c r="D922" s="40"/>
    </row>
    <row r="923">
      <c r="A923" s="40"/>
      <c r="C923" s="40"/>
      <c r="D923" s="40"/>
    </row>
    <row r="924">
      <c r="A924" s="40"/>
      <c r="C924" s="40"/>
      <c r="D924" s="40"/>
    </row>
    <row r="925">
      <c r="A925" s="40"/>
      <c r="C925" s="40"/>
      <c r="D925" s="40"/>
    </row>
    <row r="926">
      <c r="A926" s="40"/>
      <c r="C926" s="40"/>
      <c r="D926" s="40"/>
    </row>
    <row r="927">
      <c r="A927" s="40"/>
      <c r="C927" s="40"/>
      <c r="D927" s="40"/>
    </row>
    <row r="928">
      <c r="A928" s="40"/>
      <c r="C928" s="40"/>
      <c r="D928" s="40"/>
    </row>
    <row r="929">
      <c r="A929" s="40"/>
      <c r="C929" s="40"/>
      <c r="D929" s="40"/>
    </row>
    <row r="930">
      <c r="A930" s="40"/>
      <c r="C930" s="40"/>
      <c r="D930" s="40"/>
    </row>
    <row r="931">
      <c r="A931" s="40"/>
      <c r="C931" s="40"/>
      <c r="D931" s="40"/>
    </row>
    <row r="932">
      <c r="A932" s="40"/>
      <c r="C932" s="40"/>
      <c r="D932" s="40"/>
    </row>
    <row r="933">
      <c r="A933" s="40"/>
      <c r="C933" s="40"/>
      <c r="D933" s="40"/>
    </row>
    <row r="934">
      <c r="A934" s="40"/>
      <c r="C934" s="40"/>
      <c r="D934" s="40"/>
    </row>
    <row r="935">
      <c r="A935" s="40"/>
      <c r="C935" s="40"/>
      <c r="D935" s="40"/>
    </row>
    <row r="936">
      <c r="A936" s="40"/>
      <c r="C936" s="40"/>
      <c r="D936" s="40"/>
    </row>
    <row r="937">
      <c r="A937" s="40"/>
      <c r="C937" s="40"/>
      <c r="D937" s="40"/>
    </row>
    <row r="938">
      <c r="A938" s="40"/>
      <c r="C938" s="40"/>
      <c r="D938" s="40"/>
    </row>
    <row r="939">
      <c r="A939" s="40"/>
      <c r="C939" s="40"/>
      <c r="D939" s="40"/>
    </row>
    <row r="940">
      <c r="A940" s="40"/>
      <c r="C940" s="40"/>
      <c r="D940" s="40"/>
    </row>
    <row r="941">
      <c r="A941" s="40"/>
      <c r="C941" s="40"/>
      <c r="D941" s="40"/>
    </row>
    <row r="942">
      <c r="A942" s="40"/>
      <c r="C942" s="40"/>
      <c r="D942" s="40"/>
    </row>
    <row r="943">
      <c r="A943" s="40"/>
      <c r="C943" s="40"/>
      <c r="D943" s="40"/>
    </row>
    <row r="944">
      <c r="A944" s="40"/>
      <c r="C944" s="40"/>
      <c r="D944" s="40"/>
    </row>
    <row r="945">
      <c r="A945" s="40"/>
      <c r="C945" s="40"/>
      <c r="D945" s="40"/>
    </row>
    <row r="946">
      <c r="A946" s="40"/>
      <c r="C946" s="40"/>
      <c r="D946" s="40"/>
    </row>
    <row r="947">
      <c r="A947" s="40"/>
      <c r="C947" s="40"/>
      <c r="D947" s="40"/>
    </row>
    <row r="948">
      <c r="A948" s="40"/>
      <c r="C948" s="40"/>
      <c r="D948" s="40"/>
    </row>
    <row r="949">
      <c r="A949" s="40"/>
      <c r="C949" s="40"/>
      <c r="D949" s="40"/>
    </row>
    <row r="950">
      <c r="A950" s="40"/>
      <c r="C950" s="40"/>
      <c r="D950" s="40"/>
    </row>
    <row r="951">
      <c r="A951" s="40"/>
      <c r="C951" s="40"/>
      <c r="D951" s="40"/>
    </row>
    <row r="952">
      <c r="A952" s="40"/>
      <c r="C952" s="40"/>
      <c r="D952" s="40"/>
    </row>
    <row r="953">
      <c r="A953" s="40"/>
      <c r="C953" s="40"/>
      <c r="D953" s="40"/>
    </row>
    <row r="954">
      <c r="A954" s="40"/>
      <c r="C954" s="40"/>
      <c r="D954" s="40"/>
    </row>
    <row r="955">
      <c r="A955" s="40"/>
      <c r="C955" s="40"/>
      <c r="D955" s="40"/>
    </row>
    <row r="956">
      <c r="A956" s="40"/>
      <c r="C956" s="40"/>
      <c r="D956" s="40"/>
    </row>
    <row r="957">
      <c r="A957" s="40"/>
      <c r="C957" s="40"/>
      <c r="D957" s="40"/>
    </row>
    <row r="958">
      <c r="A958" s="40"/>
      <c r="C958" s="40"/>
      <c r="D958" s="40"/>
    </row>
    <row r="959">
      <c r="A959" s="40"/>
      <c r="C959" s="40"/>
      <c r="D959" s="40"/>
    </row>
    <row r="960">
      <c r="A960" s="40"/>
      <c r="C960" s="40"/>
      <c r="D960" s="40"/>
    </row>
    <row r="961">
      <c r="A961" s="40"/>
      <c r="C961" s="40"/>
      <c r="D961" s="40"/>
    </row>
    <row r="962">
      <c r="A962" s="40"/>
      <c r="C962" s="40"/>
      <c r="D962" s="40"/>
    </row>
    <row r="963">
      <c r="A963" s="40"/>
      <c r="C963" s="40"/>
      <c r="D963" s="40"/>
    </row>
    <row r="964">
      <c r="A964" s="40"/>
      <c r="C964" s="40"/>
      <c r="D964" s="40"/>
    </row>
    <row r="965">
      <c r="A965" s="40"/>
      <c r="C965" s="40"/>
      <c r="D965" s="40"/>
    </row>
    <row r="966">
      <c r="A966" s="40"/>
      <c r="C966" s="40"/>
      <c r="D966" s="40"/>
    </row>
    <row r="967">
      <c r="A967" s="40"/>
      <c r="C967" s="40"/>
      <c r="D967" s="40"/>
    </row>
    <row r="968">
      <c r="A968" s="40"/>
      <c r="C968" s="40"/>
      <c r="D968" s="40"/>
    </row>
    <row r="969">
      <c r="A969" s="40"/>
      <c r="C969" s="40"/>
      <c r="D969" s="40"/>
    </row>
    <row r="970">
      <c r="A970" s="40"/>
      <c r="C970" s="40"/>
      <c r="D970" s="40"/>
    </row>
    <row r="971">
      <c r="A971" s="40"/>
      <c r="C971" s="40"/>
      <c r="D971" s="40"/>
    </row>
    <row r="972">
      <c r="A972" s="40"/>
      <c r="C972" s="40"/>
      <c r="D972" s="40"/>
    </row>
    <row r="973">
      <c r="A973" s="40"/>
      <c r="C973" s="40"/>
      <c r="D973" s="40"/>
    </row>
    <row r="974">
      <c r="A974" s="40"/>
      <c r="C974" s="40"/>
      <c r="D974" s="40"/>
    </row>
    <row r="975">
      <c r="A975" s="40"/>
      <c r="C975" s="40"/>
      <c r="D975" s="40"/>
    </row>
    <row r="976">
      <c r="A976" s="40"/>
      <c r="C976" s="40"/>
      <c r="D976" s="40"/>
    </row>
    <row r="977">
      <c r="A977" s="40"/>
      <c r="C977" s="40"/>
      <c r="D977" s="40"/>
    </row>
    <row r="978">
      <c r="A978" s="40"/>
      <c r="C978" s="40"/>
      <c r="D978" s="40"/>
    </row>
    <row r="979">
      <c r="A979" s="40"/>
      <c r="C979" s="40"/>
      <c r="D979" s="40"/>
    </row>
    <row r="980">
      <c r="A980" s="40"/>
      <c r="C980" s="40"/>
      <c r="D980" s="40"/>
    </row>
    <row r="981">
      <c r="A981" s="40"/>
      <c r="C981" s="40"/>
      <c r="D981" s="40"/>
    </row>
    <row r="982">
      <c r="A982" s="40"/>
      <c r="C982" s="40"/>
      <c r="D982" s="40"/>
    </row>
    <row r="983">
      <c r="A983" s="40"/>
      <c r="C983" s="40"/>
      <c r="D983" s="40"/>
    </row>
    <row r="984">
      <c r="A984" s="40"/>
      <c r="C984" s="40"/>
      <c r="D984" s="40"/>
    </row>
    <row r="985">
      <c r="A985" s="40"/>
      <c r="C985" s="40"/>
      <c r="D985" s="40"/>
    </row>
    <row r="986">
      <c r="A986" s="40"/>
      <c r="C986" s="40"/>
      <c r="D986" s="40"/>
    </row>
    <row r="987">
      <c r="A987" s="40"/>
      <c r="C987" s="40"/>
      <c r="D987" s="40"/>
    </row>
    <row r="988">
      <c r="A988" s="40"/>
      <c r="C988" s="40"/>
      <c r="D988" s="40"/>
    </row>
    <row r="989">
      <c r="A989" s="40"/>
      <c r="C989" s="40"/>
      <c r="D989" s="40"/>
    </row>
    <row r="990">
      <c r="A990" s="40"/>
      <c r="C990" s="40"/>
      <c r="D990" s="40"/>
    </row>
    <row r="991">
      <c r="A991" s="40"/>
      <c r="C991" s="40"/>
      <c r="D991" s="40"/>
    </row>
    <row r="992">
      <c r="A992" s="40"/>
      <c r="C992" s="40"/>
      <c r="D992" s="40"/>
    </row>
    <row r="993">
      <c r="A993" s="40"/>
      <c r="C993" s="40"/>
      <c r="D993" s="40"/>
    </row>
    <row r="994">
      <c r="A994" s="40"/>
      <c r="C994" s="40"/>
      <c r="D994" s="40"/>
    </row>
    <row r="995">
      <c r="A995" s="40"/>
      <c r="C995" s="40"/>
      <c r="D995" s="40"/>
    </row>
    <row r="996">
      <c r="A996" s="40"/>
      <c r="C996" s="40"/>
      <c r="D996" s="40"/>
    </row>
    <row r="997">
      <c r="A997" s="40"/>
      <c r="C997" s="40"/>
      <c r="D997" s="40"/>
    </row>
    <row r="998">
      <c r="A998" s="40"/>
      <c r="C998" s="40"/>
      <c r="D998" s="40"/>
    </row>
    <row r="999">
      <c r="A999" s="40"/>
      <c r="C999" s="40"/>
      <c r="D999" s="40"/>
    </row>
    <row r="1000">
      <c r="A1000" s="40"/>
      <c r="C1000" s="40"/>
      <c r="D1000" s="40"/>
    </row>
  </sheetData>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F18"/>
    <hyperlink r:id="rId19" ref="B19"/>
    <hyperlink r:id="rId20" ref="B20"/>
    <hyperlink r:id="rId21" ref="B21"/>
    <hyperlink r:id="rId22" ref="B22"/>
    <hyperlink r:id="rId23" ref="B23"/>
    <hyperlink r:id="rId24" ref="B24"/>
    <hyperlink r:id="rId25" ref="B25"/>
    <hyperlink r:id="rId26" ref="B26"/>
    <hyperlink r:id="rId27" ref="B27"/>
    <hyperlink r:id="rId28" ref="B28"/>
    <hyperlink r:id="rId29" ref="B29"/>
    <hyperlink r:id="rId30" ref="B30"/>
    <hyperlink r:id="rId31" ref="B31"/>
    <hyperlink r:id="rId32" ref="B32"/>
    <hyperlink r:id="rId33" ref="B33"/>
    <hyperlink r:id="rId34" ref="B34"/>
    <hyperlink r:id="rId35" ref="B35"/>
    <hyperlink r:id="rId36" ref="B36"/>
    <hyperlink r:id="rId37" ref="B37"/>
    <hyperlink r:id="rId38" ref="B38"/>
    <hyperlink r:id="rId39" ref="B39"/>
    <hyperlink r:id="rId40" ref="B40"/>
    <hyperlink r:id="rId41" ref="B41"/>
    <hyperlink r:id="rId42" ref="B42"/>
    <hyperlink r:id="rId43" ref="B43"/>
    <hyperlink r:id="rId44" ref="B44"/>
    <hyperlink r:id="rId45" ref="B45"/>
    <hyperlink r:id="rId46" ref="B46"/>
    <hyperlink r:id="rId47" ref="B47"/>
    <hyperlink r:id="rId48" ref="B48"/>
    <hyperlink r:id="rId49" ref="B49"/>
    <hyperlink r:id="rId50" ref="B50"/>
    <hyperlink r:id="rId51" ref="B51"/>
    <hyperlink r:id="rId52" ref="B52"/>
    <hyperlink r:id="rId53" ref="B53"/>
    <hyperlink r:id="rId54" ref="B54"/>
    <hyperlink r:id="rId55" ref="B55"/>
    <hyperlink r:id="rId56" ref="B56"/>
    <hyperlink r:id="rId57" ref="B57"/>
    <hyperlink r:id="rId58" ref="B58"/>
    <hyperlink r:id="rId59" ref="B59"/>
    <hyperlink r:id="rId60" ref="B60"/>
    <hyperlink r:id="rId61" ref="B61"/>
    <hyperlink r:id="rId62" ref="B62"/>
    <hyperlink r:id="rId63" ref="B63"/>
    <hyperlink r:id="rId64" ref="B64"/>
    <hyperlink r:id="rId65" ref="B65"/>
    <hyperlink r:id="rId66" ref="B66"/>
    <hyperlink r:id="rId67" ref="B67"/>
    <hyperlink r:id="rId68" ref="B68"/>
    <hyperlink r:id="rId69" ref="B69"/>
    <hyperlink r:id="rId70" ref="B70"/>
    <hyperlink r:id="rId71" ref="B71"/>
    <hyperlink r:id="rId72" ref="B72"/>
    <hyperlink r:id="rId73" ref="B73"/>
    <hyperlink r:id="rId74" ref="B74"/>
    <hyperlink r:id="rId75" ref="B75"/>
    <hyperlink r:id="rId76" ref="B76"/>
  </hyperlinks>
  <drawing r:id="rId7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0.0"/>
    <col customWidth="1" min="2" max="2" width="34.63"/>
    <col customWidth="1" min="3" max="3" width="20.5"/>
  </cols>
  <sheetData>
    <row r="1">
      <c r="A1" s="41" t="s">
        <v>6240</v>
      </c>
      <c r="B1" s="41" t="s">
        <v>6241</v>
      </c>
      <c r="C1" s="38"/>
    </row>
    <row r="2">
      <c r="A2" s="39" t="s">
        <v>1714</v>
      </c>
      <c r="B2" s="9" t="s">
        <v>4643</v>
      </c>
      <c r="C2" s="38"/>
    </row>
    <row r="3">
      <c r="A3" s="39" t="s">
        <v>1714</v>
      </c>
      <c r="B3" s="9" t="s">
        <v>4892</v>
      </c>
      <c r="C3" s="40"/>
    </row>
    <row r="4">
      <c r="A4" s="39" t="s">
        <v>1714</v>
      </c>
      <c r="B4" s="9" t="s">
        <v>4899</v>
      </c>
      <c r="C4" s="40"/>
    </row>
    <row r="5">
      <c r="A5" s="39" t="s">
        <v>1714</v>
      </c>
      <c r="B5" s="9" t="s">
        <v>4641</v>
      </c>
      <c r="C5" s="40"/>
    </row>
    <row r="6">
      <c r="A6" s="39" t="s">
        <v>1714</v>
      </c>
      <c r="B6" s="9" t="s">
        <v>4643</v>
      </c>
      <c r="C6" s="40"/>
    </row>
    <row r="7">
      <c r="A7" s="39" t="s">
        <v>1714</v>
      </c>
      <c r="B7" s="9" t="s">
        <v>4892</v>
      </c>
      <c r="C7" s="40"/>
    </row>
    <row r="8">
      <c r="A8" s="39" t="s">
        <v>1714</v>
      </c>
      <c r="B8" s="9" t="s">
        <v>4899</v>
      </c>
      <c r="C8" s="40"/>
    </row>
    <row r="9">
      <c r="A9" s="39" t="s">
        <v>1714</v>
      </c>
      <c r="B9" s="9" t="s">
        <v>4641</v>
      </c>
      <c r="C9" s="40"/>
    </row>
    <row r="10">
      <c r="A10" s="39" t="s">
        <v>1714</v>
      </c>
      <c r="B10" s="9" t="s">
        <v>4643</v>
      </c>
      <c r="C10" s="40"/>
    </row>
    <row r="11">
      <c r="A11" s="39" t="s">
        <v>1714</v>
      </c>
      <c r="B11" s="9" t="s">
        <v>4652</v>
      </c>
      <c r="C11" s="40"/>
    </row>
    <row r="12">
      <c r="A12" s="39" t="s">
        <v>1714</v>
      </c>
      <c r="B12" s="9" t="s">
        <v>4643</v>
      </c>
      <c r="C12" s="40"/>
    </row>
    <row r="13">
      <c r="A13" s="39" t="s">
        <v>1714</v>
      </c>
      <c r="B13" s="9" t="s">
        <v>4647</v>
      </c>
      <c r="C13" s="40"/>
    </row>
    <row r="14">
      <c r="A14" s="39" t="s">
        <v>1714</v>
      </c>
      <c r="B14" s="9" t="s">
        <v>4643</v>
      </c>
      <c r="C14" s="40"/>
    </row>
    <row r="15">
      <c r="A15" s="39" t="s">
        <v>1714</v>
      </c>
      <c r="B15" s="9" t="s">
        <v>4906</v>
      </c>
      <c r="C15" s="40"/>
    </row>
    <row r="16">
      <c r="A16" s="39" t="s">
        <v>2091</v>
      </c>
      <c r="B16" s="9" t="s">
        <v>2972</v>
      </c>
      <c r="C16" s="40"/>
    </row>
    <row r="17">
      <c r="A17" s="39" t="s">
        <v>2091</v>
      </c>
      <c r="B17" s="9" t="s">
        <v>2491</v>
      </c>
      <c r="C17" s="40"/>
    </row>
    <row r="18">
      <c r="A18" s="39" t="s">
        <v>2091</v>
      </c>
      <c r="B18" s="9" t="s">
        <v>2487</v>
      </c>
      <c r="C18" s="40"/>
    </row>
    <row r="19">
      <c r="A19" s="39" t="s">
        <v>2091</v>
      </c>
      <c r="B19" s="9" t="s">
        <v>2483</v>
      </c>
      <c r="C19" s="40"/>
    </row>
    <row r="20">
      <c r="A20" s="39" t="s">
        <v>2091</v>
      </c>
      <c r="B20" s="9" t="s">
        <v>2972</v>
      </c>
      <c r="C20" s="40"/>
    </row>
    <row r="21">
      <c r="A21" s="39" t="s">
        <v>1293</v>
      </c>
      <c r="B21" s="9" t="s">
        <v>5587</v>
      </c>
      <c r="C21" s="40"/>
    </row>
    <row r="22">
      <c r="A22" s="39" t="s">
        <v>1293</v>
      </c>
      <c r="B22" s="9" t="s">
        <v>5546</v>
      </c>
      <c r="C22" s="40"/>
    </row>
    <row r="23">
      <c r="A23" s="39" t="s">
        <v>1293</v>
      </c>
      <c r="B23" s="9" t="s">
        <v>5589</v>
      </c>
      <c r="C23" s="40"/>
    </row>
    <row r="24">
      <c r="A24" s="39" t="s">
        <v>1293</v>
      </c>
      <c r="B24" s="9" t="s">
        <v>5811</v>
      </c>
      <c r="C24" s="40"/>
    </row>
    <row r="25">
      <c r="A25" s="39" t="s">
        <v>1293</v>
      </c>
      <c r="B25" s="9" t="s">
        <v>5546</v>
      </c>
      <c r="C25" s="40"/>
    </row>
    <row r="26">
      <c r="A26" s="39" t="s">
        <v>1293</v>
      </c>
      <c r="B26" s="9" t="s">
        <v>5811</v>
      </c>
      <c r="C26" s="40"/>
    </row>
    <row r="27">
      <c r="A27" s="39" t="s">
        <v>1293</v>
      </c>
      <c r="B27" s="9" t="s">
        <v>5589</v>
      </c>
      <c r="C27" s="40"/>
    </row>
    <row r="28">
      <c r="A28" s="39" t="s">
        <v>1293</v>
      </c>
      <c r="B28" s="9" t="s">
        <v>5810</v>
      </c>
      <c r="C28" s="40"/>
    </row>
    <row r="29">
      <c r="A29" s="39" t="s">
        <v>1293</v>
      </c>
      <c r="B29" s="9" t="s">
        <v>5543</v>
      </c>
      <c r="C29" s="40"/>
    </row>
    <row r="30">
      <c r="A30" s="39" t="s">
        <v>1293</v>
      </c>
      <c r="B30" s="9" t="s">
        <v>5540</v>
      </c>
      <c r="C30" s="40"/>
    </row>
    <row r="31">
      <c r="A31" s="39" t="s">
        <v>1293</v>
      </c>
      <c r="B31" s="9" t="s">
        <v>5543</v>
      </c>
      <c r="C31" s="40"/>
    </row>
    <row r="32">
      <c r="A32" s="39" t="s">
        <v>1293</v>
      </c>
      <c r="B32" s="9" t="s">
        <v>5540</v>
      </c>
      <c r="C32" s="40"/>
    </row>
    <row r="33">
      <c r="A33" s="39" t="s">
        <v>1293</v>
      </c>
      <c r="B33" s="9" t="s">
        <v>5539</v>
      </c>
      <c r="C33" s="40"/>
    </row>
    <row r="34">
      <c r="A34" s="39" t="s">
        <v>1293</v>
      </c>
      <c r="B34" s="9" t="s">
        <v>5541</v>
      </c>
      <c r="C34" s="40"/>
    </row>
    <row r="35">
      <c r="A35" s="39" t="s">
        <v>1293</v>
      </c>
      <c r="B35" s="9" t="s">
        <v>5541</v>
      </c>
      <c r="C35" s="40"/>
    </row>
    <row r="36">
      <c r="A36" s="39" t="s">
        <v>1716</v>
      </c>
      <c r="B36" s="9" t="s">
        <v>5017</v>
      </c>
      <c r="C36" s="40"/>
    </row>
    <row r="37">
      <c r="A37" s="39" t="s">
        <v>1716</v>
      </c>
      <c r="B37" s="9" t="s">
        <v>4976</v>
      </c>
      <c r="C37" s="40"/>
    </row>
    <row r="38">
      <c r="A38" s="39" t="s">
        <v>1716</v>
      </c>
      <c r="B38" s="9" t="s">
        <v>4990</v>
      </c>
      <c r="C38" s="40"/>
    </row>
    <row r="39">
      <c r="A39" s="39" t="s">
        <v>1716</v>
      </c>
      <c r="B39" s="9" t="s">
        <v>4980</v>
      </c>
      <c r="C39" s="40"/>
    </row>
    <row r="40">
      <c r="A40" s="39" t="s">
        <v>1716</v>
      </c>
      <c r="B40" s="9" t="s">
        <v>4976</v>
      </c>
      <c r="C40" s="40"/>
    </row>
    <row r="41">
      <c r="A41" s="39" t="s">
        <v>1716</v>
      </c>
      <c r="B41" s="9" t="s">
        <v>4990</v>
      </c>
      <c r="C41" s="40"/>
    </row>
    <row r="42">
      <c r="A42" s="39" t="s">
        <v>1716</v>
      </c>
      <c r="B42" s="9" t="s">
        <v>4980</v>
      </c>
      <c r="C42" s="40"/>
    </row>
    <row r="43">
      <c r="A43" s="39" t="s">
        <v>1716</v>
      </c>
      <c r="B43" s="9" t="s">
        <v>4990</v>
      </c>
      <c r="C43" s="40"/>
    </row>
    <row r="44">
      <c r="A44" s="39" t="s">
        <v>5322</v>
      </c>
      <c r="B44" s="9" t="s">
        <v>5323</v>
      </c>
      <c r="C44" s="40"/>
    </row>
    <row r="45">
      <c r="A45" s="39" t="s">
        <v>5322</v>
      </c>
      <c r="B45" s="9" t="s">
        <v>5324</v>
      </c>
      <c r="C45" s="40"/>
    </row>
    <row r="46">
      <c r="A46" s="39" t="s">
        <v>5322</v>
      </c>
      <c r="B46" s="9" t="s">
        <v>5327</v>
      </c>
      <c r="C46" s="40"/>
    </row>
    <row r="47">
      <c r="A47" s="39" t="s">
        <v>218</v>
      </c>
      <c r="B47" s="9" t="s">
        <v>349</v>
      </c>
      <c r="C47" s="40"/>
    </row>
    <row r="48">
      <c r="A48" s="39" t="s">
        <v>218</v>
      </c>
      <c r="B48" s="9" t="s">
        <v>358</v>
      </c>
      <c r="C48" s="40"/>
    </row>
    <row r="49">
      <c r="A49" s="39" t="s">
        <v>218</v>
      </c>
      <c r="B49" s="9" t="s">
        <v>219</v>
      </c>
      <c r="C49" s="40"/>
    </row>
    <row r="50">
      <c r="A50" s="39" t="s">
        <v>1738</v>
      </c>
      <c r="B50" s="9" t="s">
        <v>5816</v>
      </c>
      <c r="C50" s="40"/>
    </row>
    <row r="51">
      <c r="A51" s="39" t="s">
        <v>1738</v>
      </c>
      <c r="B51" s="9" t="s">
        <v>5853</v>
      </c>
      <c r="C51" s="40"/>
    </row>
    <row r="52">
      <c r="A52" s="39" t="s">
        <v>1738</v>
      </c>
      <c r="B52" s="9" t="s">
        <v>5813</v>
      </c>
      <c r="C52" s="40"/>
    </row>
    <row r="53">
      <c r="A53" s="39" t="s">
        <v>1738</v>
      </c>
      <c r="B53" s="9" t="s">
        <v>5815</v>
      </c>
      <c r="C53" s="40"/>
    </row>
    <row r="54">
      <c r="A54" s="39" t="s">
        <v>1738</v>
      </c>
      <c r="B54" s="9" t="s">
        <v>5814</v>
      </c>
      <c r="C54" s="40"/>
    </row>
    <row r="55">
      <c r="A55" s="39" t="s">
        <v>1738</v>
      </c>
      <c r="B55" s="9" t="s">
        <v>5853</v>
      </c>
      <c r="C55" s="40"/>
    </row>
    <row r="56">
      <c r="A56" s="39" t="s">
        <v>5194</v>
      </c>
      <c r="B56" s="9" t="s">
        <v>5907</v>
      </c>
      <c r="C56" s="40"/>
    </row>
    <row r="57">
      <c r="A57" s="39" t="s">
        <v>5194</v>
      </c>
      <c r="B57" s="9" t="s">
        <v>5873</v>
      </c>
      <c r="C57" s="40"/>
    </row>
    <row r="58">
      <c r="A58" s="39" t="s">
        <v>5194</v>
      </c>
      <c r="B58" s="9" t="s">
        <v>5898</v>
      </c>
      <c r="C58" s="40"/>
    </row>
    <row r="59">
      <c r="A59" s="39" t="s">
        <v>5194</v>
      </c>
      <c r="B59" s="9" t="s">
        <v>5924</v>
      </c>
      <c r="C59" s="40"/>
    </row>
    <row r="60">
      <c r="A60" s="39" t="s">
        <v>270</v>
      </c>
      <c r="B60" s="9" t="s">
        <v>829</v>
      </c>
      <c r="C60" s="40"/>
    </row>
    <row r="61">
      <c r="A61" s="39" t="s">
        <v>270</v>
      </c>
      <c r="B61" s="9" t="s">
        <v>924</v>
      </c>
      <c r="C61" s="40"/>
    </row>
    <row r="62">
      <c r="A62" s="39" t="s">
        <v>2570</v>
      </c>
      <c r="B62" s="9" t="s">
        <v>2984</v>
      </c>
      <c r="C62" s="40"/>
    </row>
    <row r="63">
      <c r="A63" s="39" t="s">
        <v>2570</v>
      </c>
      <c r="B63" s="9" t="s">
        <v>2993</v>
      </c>
      <c r="C63" s="40"/>
    </row>
    <row r="64">
      <c r="A64" s="39" t="s">
        <v>314</v>
      </c>
      <c r="B64" s="9" t="s">
        <v>4183</v>
      </c>
      <c r="C64" s="40"/>
    </row>
    <row r="65">
      <c r="A65" s="39" t="s">
        <v>314</v>
      </c>
      <c r="B65" s="9" t="s">
        <v>4198</v>
      </c>
      <c r="C65" s="40"/>
    </row>
    <row r="66">
      <c r="A66" s="39" t="s">
        <v>962</v>
      </c>
      <c r="B66" s="9" t="s">
        <v>1325</v>
      </c>
      <c r="C66" s="40"/>
    </row>
    <row r="67">
      <c r="A67" s="39" t="s">
        <v>962</v>
      </c>
      <c r="B67" s="9" t="s">
        <v>1407</v>
      </c>
      <c r="C67" s="40"/>
    </row>
    <row r="68">
      <c r="A68" s="39" t="s">
        <v>375</v>
      </c>
      <c r="B68" s="9" t="s">
        <v>1441</v>
      </c>
      <c r="C68" s="40"/>
    </row>
    <row r="69">
      <c r="A69" s="39" t="s">
        <v>375</v>
      </c>
      <c r="B69" s="9" t="s">
        <v>1518</v>
      </c>
      <c r="C69" s="40"/>
    </row>
    <row r="70">
      <c r="A70" s="39" t="s">
        <v>94</v>
      </c>
      <c r="B70" s="9" t="s">
        <v>4448</v>
      </c>
      <c r="C70" s="40"/>
    </row>
    <row r="71">
      <c r="A71" s="39" t="s">
        <v>94</v>
      </c>
      <c r="B71" s="9" t="s">
        <v>4442</v>
      </c>
      <c r="C71" s="40"/>
    </row>
    <row r="72">
      <c r="A72" s="39" t="s">
        <v>222</v>
      </c>
      <c r="B72" s="9" t="s">
        <v>750</v>
      </c>
      <c r="C72" s="40"/>
    </row>
    <row r="73">
      <c r="A73" s="39" t="s">
        <v>222</v>
      </c>
      <c r="B73" s="9" t="s">
        <v>743</v>
      </c>
      <c r="C73" s="40"/>
    </row>
    <row r="74">
      <c r="A74" s="39" t="s">
        <v>1225</v>
      </c>
      <c r="B74" s="9" t="s">
        <v>1235</v>
      </c>
      <c r="C74" s="40"/>
    </row>
    <row r="75">
      <c r="A75" s="39" t="s">
        <v>1225</v>
      </c>
      <c r="B75" s="9" t="s">
        <v>1248</v>
      </c>
      <c r="C75" s="40"/>
    </row>
    <row r="76">
      <c r="A76" s="39" t="s">
        <v>1225</v>
      </c>
      <c r="B76" s="9" t="s">
        <v>1226</v>
      </c>
      <c r="C76" s="40"/>
    </row>
    <row r="77">
      <c r="A77" s="39" t="s">
        <v>1225</v>
      </c>
      <c r="B77" s="9" t="s">
        <v>1230</v>
      </c>
      <c r="C77" s="40"/>
    </row>
    <row r="78">
      <c r="A78" s="39" t="s">
        <v>1597</v>
      </c>
      <c r="B78" s="9" t="s">
        <v>1600</v>
      </c>
      <c r="C78" s="40"/>
    </row>
    <row r="79">
      <c r="A79" s="39" t="s">
        <v>1597</v>
      </c>
      <c r="B79" s="9" t="s">
        <v>1598</v>
      </c>
      <c r="C79" s="40"/>
    </row>
    <row r="80">
      <c r="A80" s="39" t="s">
        <v>1520</v>
      </c>
      <c r="B80" s="9" t="s">
        <v>1525</v>
      </c>
      <c r="C80" s="40"/>
    </row>
    <row r="81">
      <c r="A81" s="39" t="s">
        <v>1520</v>
      </c>
      <c r="B81" s="9" t="s">
        <v>1521</v>
      </c>
      <c r="C81" s="40"/>
    </row>
    <row r="82">
      <c r="C82" s="40"/>
    </row>
    <row r="83">
      <c r="C83" s="40"/>
    </row>
    <row r="84">
      <c r="C84" s="40"/>
    </row>
    <row r="85">
      <c r="C85" s="40"/>
    </row>
    <row r="86">
      <c r="C86" s="40"/>
    </row>
    <row r="87">
      <c r="C87" s="40"/>
    </row>
    <row r="88">
      <c r="C88" s="40"/>
    </row>
    <row r="89">
      <c r="C89" s="40"/>
    </row>
    <row r="90">
      <c r="C90" s="40"/>
    </row>
    <row r="91">
      <c r="C91" s="40"/>
    </row>
    <row r="92">
      <c r="C92" s="40"/>
    </row>
    <row r="93">
      <c r="C93" s="40"/>
    </row>
    <row r="94">
      <c r="C94" s="40"/>
    </row>
    <row r="95">
      <c r="C95" s="40"/>
    </row>
    <row r="96">
      <c r="C96" s="40"/>
    </row>
    <row r="97">
      <c r="C97" s="40"/>
    </row>
    <row r="98">
      <c r="C98" s="40"/>
    </row>
    <row r="99">
      <c r="C99" s="40"/>
    </row>
    <row r="100">
      <c r="C100" s="40"/>
    </row>
    <row r="101">
      <c r="C101" s="40"/>
    </row>
    <row r="102">
      <c r="C102" s="40"/>
    </row>
    <row r="103">
      <c r="C103" s="40"/>
    </row>
    <row r="104">
      <c r="C104" s="40"/>
    </row>
    <row r="105">
      <c r="C105" s="40"/>
    </row>
    <row r="106">
      <c r="C106" s="40"/>
    </row>
    <row r="107">
      <c r="C107" s="40"/>
    </row>
    <row r="108">
      <c r="C108" s="40"/>
    </row>
    <row r="109">
      <c r="C109" s="40"/>
    </row>
    <row r="110">
      <c r="C110" s="40"/>
    </row>
    <row r="111">
      <c r="C111" s="40"/>
    </row>
    <row r="112">
      <c r="C112" s="40"/>
    </row>
    <row r="113">
      <c r="C113" s="40"/>
    </row>
    <row r="114">
      <c r="C114" s="40"/>
    </row>
    <row r="115">
      <c r="C115" s="40"/>
    </row>
    <row r="116">
      <c r="C116" s="40"/>
    </row>
    <row r="117">
      <c r="C117" s="40"/>
    </row>
    <row r="118">
      <c r="C118" s="40"/>
    </row>
    <row r="119">
      <c r="C119" s="40"/>
    </row>
    <row r="120">
      <c r="C120" s="40"/>
    </row>
    <row r="121">
      <c r="C121" s="40"/>
    </row>
    <row r="122">
      <c r="C122" s="40"/>
    </row>
    <row r="123">
      <c r="C123" s="40"/>
    </row>
    <row r="124">
      <c r="C124" s="40"/>
    </row>
    <row r="125">
      <c r="C125" s="40"/>
    </row>
    <row r="126">
      <c r="C126" s="40"/>
    </row>
    <row r="127">
      <c r="C127" s="40"/>
    </row>
    <row r="128">
      <c r="C128" s="40"/>
    </row>
    <row r="129">
      <c r="C129" s="40"/>
    </row>
    <row r="130">
      <c r="C130" s="40"/>
    </row>
    <row r="131">
      <c r="C131" s="40"/>
    </row>
    <row r="132">
      <c r="C132" s="40"/>
    </row>
    <row r="133">
      <c r="C133" s="40"/>
    </row>
    <row r="134">
      <c r="C134" s="40"/>
    </row>
    <row r="135">
      <c r="C135" s="40"/>
    </row>
    <row r="136">
      <c r="C136" s="40"/>
    </row>
    <row r="137">
      <c r="C137" s="40"/>
    </row>
    <row r="138">
      <c r="C138" s="40"/>
    </row>
    <row r="139">
      <c r="C139" s="40"/>
    </row>
    <row r="140">
      <c r="C140" s="40"/>
    </row>
    <row r="141">
      <c r="C141" s="40"/>
    </row>
    <row r="142">
      <c r="C142" s="40"/>
    </row>
    <row r="143">
      <c r="C143" s="40"/>
    </row>
    <row r="144">
      <c r="C144" s="40"/>
    </row>
    <row r="145">
      <c r="C145" s="40"/>
    </row>
    <row r="146">
      <c r="C146" s="40"/>
    </row>
    <row r="147">
      <c r="C147" s="40"/>
    </row>
    <row r="148">
      <c r="C148" s="40"/>
    </row>
    <row r="149">
      <c r="C149" s="40"/>
    </row>
    <row r="150">
      <c r="C150" s="40"/>
    </row>
    <row r="151">
      <c r="C151" s="40"/>
    </row>
    <row r="152">
      <c r="C152" s="40"/>
    </row>
    <row r="153">
      <c r="C153" s="40"/>
    </row>
    <row r="154">
      <c r="C154" s="40"/>
    </row>
    <row r="155">
      <c r="C155" s="40"/>
    </row>
    <row r="156">
      <c r="C156" s="40"/>
    </row>
    <row r="157">
      <c r="C157" s="40"/>
    </row>
    <row r="158">
      <c r="C158" s="40"/>
    </row>
    <row r="159">
      <c r="C159" s="40"/>
    </row>
    <row r="160">
      <c r="C160" s="40"/>
    </row>
    <row r="161">
      <c r="C161" s="40"/>
    </row>
    <row r="162">
      <c r="C162" s="40"/>
    </row>
    <row r="163">
      <c r="C163" s="40"/>
    </row>
    <row r="164">
      <c r="C164" s="40"/>
    </row>
    <row r="165">
      <c r="C165" s="40"/>
    </row>
    <row r="166">
      <c r="C166" s="40"/>
    </row>
    <row r="167">
      <c r="C167" s="40"/>
    </row>
    <row r="168">
      <c r="C168" s="40"/>
    </row>
    <row r="169">
      <c r="C169" s="40"/>
    </row>
    <row r="170">
      <c r="C170" s="40"/>
    </row>
    <row r="171">
      <c r="C171" s="40"/>
    </row>
    <row r="172">
      <c r="C172" s="40"/>
    </row>
    <row r="173">
      <c r="C173" s="40"/>
    </row>
    <row r="174">
      <c r="C174" s="40"/>
    </row>
    <row r="175">
      <c r="C175" s="40"/>
    </row>
    <row r="176">
      <c r="C176" s="40"/>
    </row>
    <row r="177">
      <c r="C177" s="40"/>
    </row>
    <row r="178">
      <c r="C178" s="40"/>
    </row>
    <row r="179">
      <c r="C179" s="40"/>
    </row>
    <row r="180">
      <c r="C180" s="40"/>
    </row>
    <row r="181">
      <c r="C181" s="40"/>
    </row>
    <row r="182">
      <c r="C182" s="40"/>
    </row>
    <row r="183">
      <c r="C183" s="40"/>
    </row>
    <row r="184">
      <c r="C184" s="40"/>
    </row>
    <row r="185">
      <c r="C185" s="40"/>
    </row>
    <row r="186">
      <c r="C186" s="40"/>
    </row>
    <row r="187">
      <c r="C187" s="40"/>
    </row>
    <row r="188">
      <c r="C188" s="40"/>
    </row>
    <row r="189">
      <c r="C189" s="40"/>
    </row>
    <row r="190">
      <c r="C190" s="40"/>
    </row>
    <row r="191">
      <c r="C191" s="40"/>
    </row>
    <row r="192">
      <c r="C192" s="40"/>
    </row>
    <row r="193">
      <c r="C193" s="40"/>
    </row>
    <row r="194">
      <c r="C194" s="40"/>
    </row>
    <row r="195">
      <c r="C195" s="40"/>
    </row>
    <row r="196">
      <c r="C196" s="40"/>
    </row>
    <row r="197">
      <c r="C197" s="40"/>
    </row>
    <row r="198">
      <c r="C198" s="40"/>
    </row>
    <row r="199">
      <c r="C199" s="40"/>
    </row>
    <row r="200">
      <c r="C200" s="40"/>
    </row>
    <row r="201">
      <c r="C201" s="40"/>
    </row>
    <row r="202">
      <c r="C202" s="40"/>
    </row>
    <row r="203">
      <c r="C203" s="40"/>
    </row>
    <row r="204">
      <c r="C204" s="40"/>
    </row>
    <row r="205">
      <c r="C205" s="40"/>
    </row>
    <row r="206">
      <c r="C206" s="40"/>
    </row>
    <row r="207">
      <c r="C207" s="40"/>
    </row>
    <row r="208">
      <c r="C208" s="40"/>
    </row>
    <row r="209">
      <c r="C209" s="40"/>
    </row>
    <row r="210">
      <c r="C210" s="40"/>
    </row>
    <row r="211">
      <c r="C211" s="40"/>
    </row>
    <row r="212">
      <c r="C212" s="40"/>
    </row>
    <row r="213">
      <c r="C213" s="40"/>
    </row>
    <row r="214">
      <c r="C214" s="40"/>
    </row>
    <row r="215">
      <c r="C215" s="40"/>
    </row>
    <row r="216">
      <c r="C216" s="40"/>
    </row>
    <row r="217">
      <c r="C217" s="40"/>
    </row>
    <row r="218">
      <c r="C218" s="40"/>
    </row>
    <row r="219">
      <c r="C219" s="40"/>
    </row>
    <row r="220">
      <c r="C220" s="40"/>
    </row>
    <row r="221">
      <c r="C221" s="40"/>
    </row>
    <row r="222">
      <c r="C222" s="40"/>
    </row>
    <row r="223">
      <c r="C223" s="40"/>
    </row>
    <row r="224">
      <c r="C224" s="40"/>
    </row>
    <row r="225">
      <c r="C225" s="40"/>
    </row>
    <row r="226">
      <c r="C226" s="40"/>
    </row>
    <row r="227">
      <c r="C227" s="40"/>
    </row>
    <row r="228">
      <c r="C228" s="40"/>
    </row>
    <row r="229">
      <c r="C229" s="40"/>
    </row>
    <row r="230">
      <c r="C230" s="40"/>
    </row>
    <row r="231">
      <c r="C231" s="40"/>
    </row>
    <row r="232">
      <c r="C232" s="40"/>
    </row>
    <row r="233">
      <c r="C233" s="40"/>
    </row>
    <row r="234">
      <c r="C234" s="40"/>
    </row>
    <row r="235">
      <c r="C235" s="40"/>
    </row>
    <row r="236">
      <c r="C236" s="40"/>
    </row>
    <row r="237">
      <c r="C237" s="40"/>
    </row>
    <row r="238">
      <c r="C238" s="40"/>
    </row>
    <row r="239">
      <c r="C239" s="40"/>
    </row>
    <row r="240">
      <c r="C240" s="40"/>
    </row>
    <row r="241">
      <c r="C241" s="40"/>
    </row>
    <row r="242">
      <c r="C242" s="40"/>
    </row>
    <row r="243">
      <c r="C243" s="40"/>
    </row>
    <row r="244">
      <c r="C244" s="40"/>
    </row>
    <row r="245">
      <c r="C245" s="40"/>
    </row>
    <row r="246">
      <c r="C246" s="40"/>
    </row>
    <row r="247">
      <c r="C247" s="40"/>
    </row>
    <row r="248">
      <c r="C248" s="40"/>
    </row>
    <row r="249">
      <c r="C249" s="40"/>
    </row>
    <row r="250">
      <c r="C250" s="40"/>
    </row>
    <row r="251">
      <c r="C251" s="40"/>
    </row>
    <row r="252">
      <c r="C252" s="40"/>
    </row>
    <row r="253">
      <c r="C253" s="40"/>
    </row>
    <row r="254">
      <c r="C254" s="40"/>
    </row>
    <row r="255">
      <c r="C255" s="40"/>
    </row>
    <row r="256">
      <c r="C256" s="40"/>
    </row>
    <row r="257">
      <c r="C257" s="40"/>
    </row>
    <row r="258">
      <c r="C258" s="40"/>
    </row>
    <row r="259">
      <c r="C259" s="40"/>
    </row>
    <row r="260">
      <c r="C260" s="40"/>
    </row>
    <row r="261">
      <c r="C261" s="40"/>
    </row>
    <row r="262">
      <c r="C262" s="40"/>
    </row>
    <row r="263">
      <c r="C263" s="40"/>
    </row>
    <row r="264">
      <c r="C264" s="40"/>
    </row>
    <row r="265">
      <c r="C265" s="40"/>
    </row>
    <row r="266">
      <c r="C266" s="40"/>
    </row>
    <row r="267">
      <c r="C267" s="40"/>
    </row>
    <row r="268">
      <c r="C268" s="40"/>
    </row>
    <row r="269">
      <c r="C269" s="40"/>
    </row>
    <row r="270">
      <c r="C270" s="40"/>
    </row>
    <row r="271">
      <c r="C271" s="40"/>
    </row>
    <row r="272">
      <c r="C272" s="40"/>
    </row>
    <row r="273">
      <c r="C273" s="40"/>
    </row>
    <row r="274">
      <c r="C274" s="40"/>
    </row>
    <row r="275">
      <c r="C275" s="40"/>
    </row>
    <row r="276">
      <c r="C276" s="40"/>
    </row>
    <row r="277">
      <c r="C277" s="40"/>
    </row>
    <row r="278">
      <c r="C278" s="40"/>
    </row>
    <row r="279">
      <c r="C279" s="40"/>
    </row>
    <row r="280">
      <c r="C280" s="40"/>
    </row>
    <row r="281">
      <c r="C281" s="40"/>
    </row>
    <row r="282">
      <c r="C282" s="40"/>
    </row>
    <row r="283">
      <c r="C283" s="40"/>
    </row>
    <row r="284">
      <c r="C284" s="40"/>
    </row>
    <row r="285">
      <c r="C285" s="40"/>
    </row>
    <row r="286">
      <c r="C286" s="40"/>
    </row>
    <row r="287">
      <c r="C287" s="40"/>
    </row>
    <row r="288">
      <c r="C288" s="40"/>
    </row>
    <row r="289">
      <c r="C289" s="40"/>
    </row>
    <row r="290">
      <c r="C290" s="40"/>
    </row>
    <row r="291">
      <c r="C291" s="40"/>
    </row>
    <row r="292">
      <c r="C292" s="40"/>
    </row>
    <row r="293">
      <c r="C293" s="40"/>
    </row>
    <row r="294">
      <c r="C294" s="40"/>
    </row>
    <row r="295">
      <c r="C295" s="40"/>
    </row>
    <row r="296">
      <c r="C296" s="40"/>
    </row>
    <row r="297">
      <c r="C297" s="40"/>
    </row>
    <row r="298">
      <c r="C298" s="40"/>
    </row>
    <row r="299">
      <c r="C299" s="40"/>
    </row>
    <row r="300">
      <c r="C300" s="40"/>
    </row>
    <row r="301">
      <c r="C301" s="40"/>
    </row>
    <row r="302">
      <c r="C302" s="40"/>
    </row>
    <row r="303">
      <c r="C303" s="40"/>
    </row>
    <row r="304">
      <c r="C304" s="40"/>
    </row>
    <row r="305">
      <c r="C305" s="40"/>
    </row>
    <row r="306">
      <c r="C306" s="40"/>
    </row>
    <row r="307">
      <c r="C307" s="40"/>
    </row>
    <row r="308">
      <c r="C308" s="40"/>
    </row>
    <row r="309">
      <c r="C309" s="40"/>
    </row>
    <row r="310">
      <c r="C310" s="40"/>
    </row>
    <row r="311">
      <c r="C311" s="40"/>
    </row>
    <row r="312">
      <c r="C312" s="40"/>
    </row>
    <row r="313">
      <c r="C313" s="40"/>
    </row>
    <row r="314">
      <c r="C314" s="40"/>
    </row>
    <row r="315">
      <c r="C315" s="40"/>
    </row>
    <row r="316">
      <c r="C316" s="40"/>
    </row>
    <row r="317">
      <c r="C317" s="40"/>
    </row>
    <row r="318">
      <c r="C318" s="40"/>
    </row>
    <row r="319">
      <c r="C319" s="40"/>
    </row>
    <row r="320">
      <c r="C320" s="40"/>
    </row>
    <row r="321">
      <c r="C321" s="40"/>
    </row>
    <row r="322">
      <c r="C322" s="40"/>
    </row>
    <row r="323">
      <c r="C323" s="40"/>
    </row>
    <row r="324">
      <c r="C324" s="40"/>
    </row>
    <row r="325">
      <c r="C325" s="40"/>
    </row>
    <row r="326">
      <c r="C326" s="40"/>
    </row>
    <row r="327">
      <c r="C327" s="40"/>
    </row>
    <row r="328">
      <c r="C328" s="40"/>
    </row>
    <row r="329">
      <c r="C329" s="40"/>
    </row>
    <row r="330">
      <c r="C330" s="40"/>
    </row>
    <row r="331">
      <c r="C331" s="40"/>
    </row>
    <row r="332">
      <c r="C332" s="40"/>
    </row>
    <row r="333">
      <c r="C333" s="40"/>
    </row>
    <row r="334">
      <c r="C334" s="40"/>
    </row>
    <row r="335">
      <c r="C335" s="40"/>
    </row>
    <row r="336">
      <c r="C336" s="40"/>
    </row>
    <row r="337">
      <c r="C337" s="40"/>
    </row>
    <row r="338">
      <c r="C338" s="40"/>
    </row>
    <row r="339">
      <c r="C339" s="40"/>
    </row>
    <row r="340">
      <c r="C340" s="40"/>
    </row>
    <row r="341">
      <c r="C341" s="40"/>
    </row>
    <row r="342">
      <c r="C342" s="40"/>
    </row>
    <row r="343">
      <c r="C343" s="40"/>
    </row>
    <row r="344">
      <c r="C344" s="40"/>
    </row>
    <row r="345">
      <c r="C345" s="40"/>
    </row>
    <row r="346">
      <c r="C346" s="40"/>
    </row>
    <row r="347">
      <c r="C347" s="40"/>
    </row>
    <row r="348">
      <c r="C348" s="40"/>
    </row>
    <row r="349">
      <c r="C349" s="40"/>
    </row>
    <row r="350">
      <c r="C350" s="40"/>
    </row>
    <row r="351">
      <c r="C351" s="40"/>
    </row>
    <row r="352">
      <c r="C352" s="40"/>
    </row>
    <row r="353">
      <c r="C353" s="40"/>
    </row>
    <row r="354">
      <c r="C354" s="40"/>
    </row>
    <row r="355">
      <c r="C355" s="40"/>
    </row>
    <row r="356">
      <c r="C356" s="40"/>
    </row>
    <row r="357">
      <c r="C357" s="40"/>
    </row>
    <row r="358">
      <c r="C358" s="40"/>
    </row>
    <row r="359">
      <c r="C359" s="40"/>
    </row>
    <row r="360">
      <c r="C360" s="40"/>
    </row>
    <row r="361">
      <c r="C361" s="40"/>
    </row>
    <row r="362">
      <c r="C362" s="40"/>
    </row>
    <row r="363">
      <c r="C363" s="40"/>
    </row>
    <row r="364">
      <c r="C364" s="40"/>
    </row>
    <row r="365">
      <c r="C365" s="40"/>
    </row>
    <row r="366">
      <c r="C366" s="40"/>
    </row>
    <row r="367">
      <c r="C367" s="40"/>
    </row>
    <row r="368">
      <c r="C368" s="40"/>
    </row>
    <row r="369">
      <c r="C369" s="40"/>
    </row>
    <row r="370">
      <c r="C370" s="40"/>
    </row>
    <row r="371">
      <c r="C371" s="40"/>
    </row>
    <row r="372">
      <c r="C372" s="40"/>
    </row>
    <row r="373">
      <c r="C373" s="40"/>
    </row>
    <row r="374">
      <c r="C374" s="40"/>
    </row>
    <row r="375">
      <c r="C375" s="40"/>
    </row>
    <row r="376">
      <c r="C376" s="40"/>
    </row>
    <row r="377">
      <c r="C377" s="40"/>
    </row>
    <row r="378">
      <c r="C378" s="40"/>
    </row>
    <row r="379">
      <c r="C379" s="40"/>
    </row>
    <row r="380">
      <c r="C380" s="40"/>
    </row>
    <row r="381">
      <c r="C381" s="40"/>
    </row>
    <row r="382">
      <c r="C382" s="40"/>
    </row>
    <row r="383">
      <c r="C383" s="40"/>
    </row>
    <row r="384">
      <c r="C384" s="40"/>
    </row>
    <row r="385">
      <c r="C385" s="40"/>
    </row>
    <row r="386">
      <c r="C386" s="40"/>
    </row>
    <row r="387">
      <c r="C387" s="40"/>
    </row>
    <row r="388">
      <c r="C388" s="40"/>
    </row>
    <row r="389">
      <c r="C389" s="40"/>
    </row>
    <row r="390">
      <c r="C390" s="40"/>
    </row>
    <row r="391">
      <c r="C391" s="40"/>
    </row>
    <row r="392">
      <c r="C392" s="40"/>
    </row>
    <row r="393">
      <c r="C393" s="40"/>
    </row>
    <row r="394">
      <c r="C394" s="40"/>
    </row>
    <row r="395">
      <c r="C395" s="40"/>
    </row>
    <row r="396">
      <c r="C396" s="40"/>
    </row>
    <row r="397">
      <c r="C397" s="40"/>
    </row>
    <row r="398">
      <c r="C398" s="40"/>
    </row>
    <row r="399">
      <c r="C399" s="40"/>
    </row>
    <row r="400">
      <c r="C400" s="40"/>
    </row>
    <row r="401">
      <c r="C401" s="40"/>
    </row>
    <row r="402">
      <c r="C402" s="40"/>
    </row>
    <row r="403">
      <c r="C403" s="40"/>
    </row>
    <row r="404">
      <c r="C404" s="40"/>
    </row>
    <row r="405">
      <c r="C405" s="40"/>
    </row>
    <row r="406">
      <c r="C406" s="40"/>
    </row>
    <row r="407">
      <c r="C407" s="40"/>
    </row>
    <row r="408">
      <c r="C408" s="40"/>
    </row>
    <row r="409">
      <c r="C409" s="40"/>
    </row>
    <row r="410">
      <c r="C410" s="40"/>
    </row>
    <row r="411">
      <c r="C411" s="40"/>
    </row>
    <row r="412">
      <c r="C412" s="40"/>
    </row>
    <row r="413">
      <c r="C413" s="40"/>
    </row>
    <row r="414">
      <c r="C414" s="40"/>
    </row>
    <row r="415">
      <c r="C415" s="40"/>
    </row>
    <row r="416">
      <c r="C416" s="40"/>
    </row>
    <row r="417">
      <c r="C417" s="40"/>
    </row>
    <row r="418">
      <c r="C418" s="40"/>
    </row>
    <row r="419">
      <c r="C419" s="40"/>
    </row>
    <row r="420">
      <c r="C420" s="40"/>
    </row>
    <row r="421">
      <c r="C421" s="40"/>
    </row>
    <row r="422">
      <c r="C422" s="40"/>
    </row>
    <row r="423">
      <c r="C423" s="40"/>
    </row>
    <row r="424">
      <c r="C424" s="40"/>
    </row>
    <row r="425">
      <c r="C425" s="40"/>
    </row>
    <row r="426">
      <c r="C426" s="40"/>
    </row>
    <row r="427">
      <c r="C427" s="40"/>
    </row>
    <row r="428">
      <c r="C428" s="40"/>
    </row>
    <row r="429">
      <c r="C429" s="40"/>
    </row>
    <row r="430">
      <c r="C430" s="40"/>
    </row>
    <row r="431">
      <c r="C431" s="40"/>
    </row>
    <row r="432">
      <c r="C432" s="40"/>
    </row>
    <row r="433">
      <c r="C433" s="40"/>
    </row>
    <row r="434">
      <c r="C434" s="40"/>
    </row>
    <row r="435">
      <c r="C435" s="40"/>
    </row>
    <row r="436">
      <c r="C436" s="40"/>
    </row>
    <row r="437">
      <c r="C437" s="40"/>
    </row>
    <row r="438">
      <c r="C438" s="40"/>
    </row>
    <row r="439">
      <c r="C439" s="40"/>
    </row>
    <row r="440">
      <c r="C440" s="40"/>
    </row>
    <row r="441">
      <c r="C441" s="40"/>
    </row>
    <row r="442">
      <c r="C442" s="40"/>
    </row>
    <row r="443">
      <c r="C443" s="40"/>
    </row>
    <row r="444">
      <c r="C444" s="40"/>
    </row>
    <row r="445">
      <c r="C445" s="40"/>
    </row>
    <row r="446">
      <c r="C446" s="40"/>
    </row>
    <row r="447">
      <c r="C447" s="40"/>
    </row>
    <row r="448">
      <c r="C448" s="40"/>
    </row>
    <row r="449">
      <c r="C449" s="40"/>
    </row>
    <row r="450">
      <c r="C450" s="40"/>
    </row>
    <row r="451">
      <c r="C451" s="40"/>
    </row>
    <row r="452">
      <c r="C452" s="40"/>
    </row>
    <row r="453">
      <c r="C453" s="40"/>
    </row>
    <row r="454">
      <c r="C454" s="40"/>
    </row>
    <row r="455">
      <c r="C455" s="40"/>
    </row>
    <row r="456">
      <c r="C456" s="40"/>
    </row>
    <row r="457">
      <c r="C457" s="40"/>
    </row>
    <row r="458">
      <c r="C458" s="40"/>
    </row>
    <row r="459">
      <c r="C459" s="40"/>
    </row>
    <row r="460">
      <c r="C460" s="40"/>
    </row>
    <row r="461">
      <c r="C461" s="40"/>
    </row>
    <row r="462">
      <c r="C462" s="40"/>
    </row>
    <row r="463">
      <c r="C463" s="40"/>
    </row>
    <row r="464">
      <c r="C464" s="40"/>
    </row>
    <row r="465">
      <c r="C465" s="40"/>
    </row>
    <row r="466">
      <c r="C466" s="40"/>
    </row>
    <row r="467">
      <c r="C467" s="40"/>
    </row>
    <row r="468">
      <c r="C468" s="40"/>
    </row>
    <row r="469">
      <c r="C469" s="40"/>
    </row>
    <row r="470">
      <c r="C470" s="40"/>
    </row>
    <row r="471">
      <c r="C471" s="40"/>
    </row>
    <row r="472">
      <c r="C472" s="40"/>
    </row>
    <row r="473">
      <c r="C473" s="40"/>
    </row>
    <row r="474">
      <c r="C474" s="40"/>
    </row>
    <row r="475">
      <c r="C475" s="40"/>
    </row>
    <row r="476">
      <c r="C476" s="40"/>
    </row>
    <row r="477">
      <c r="C477" s="40"/>
    </row>
    <row r="478">
      <c r="C478" s="40"/>
    </row>
    <row r="479">
      <c r="C479" s="40"/>
    </row>
    <row r="480">
      <c r="C480" s="40"/>
    </row>
    <row r="481">
      <c r="C481" s="40"/>
    </row>
    <row r="482">
      <c r="C482" s="40"/>
    </row>
    <row r="483">
      <c r="C483" s="40"/>
    </row>
    <row r="484">
      <c r="C484" s="40"/>
    </row>
    <row r="485">
      <c r="C485" s="40"/>
    </row>
    <row r="486">
      <c r="C486" s="40"/>
    </row>
    <row r="487">
      <c r="C487" s="40"/>
    </row>
    <row r="488">
      <c r="C488" s="40"/>
    </row>
    <row r="489">
      <c r="C489" s="40"/>
    </row>
    <row r="490">
      <c r="C490" s="40"/>
    </row>
    <row r="491">
      <c r="C491" s="40"/>
    </row>
    <row r="492">
      <c r="C492" s="40"/>
    </row>
    <row r="493">
      <c r="C493" s="40"/>
    </row>
    <row r="494">
      <c r="C494" s="40"/>
    </row>
    <row r="495">
      <c r="C495" s="40"/>
    </row>
    <row r="496">
      <c r="C496" s="40"/>
    </row>
    <row r="497">
      <c r="C497" s="40"/>
    </row>
    <row r="498">
      <c r="C498" s="40"/>
    </row>
    <row r="499">
      <c r="C499" s="40"/>
    </row>
    <row r="500">
      <c r="C500" s="40"/>
    </row>
    <row r="501">
      <c r="C501" s="40"/>
    </row>
    <row r="502">
      <c r="C502" s="40"/>
    </row>
    <row r="503">
      <c r="C503" s="40"/>
    </row>
    <row r="504">
      <c r="C504" s="40"/>
    </row>
    <row r="505">
      <c r="C505" s="40"/>
    </row>
    <row r="506">
      <c r="C506" s="40"/>
    </row>
    <row r="507">
      <c r="C507" s="40"/>
    </row>
    <row r="508">
      <c r="C508" s="40"/>
    </row>
    <row r="509">
      <c r="C509" s="40"/>
    </row>
    <row r="510">
      <c r="C510" s="40"/>
    </row>
    <row r="511">
      <c r="C511" s="40"/>
    </row>
    <row r="512">
      <c r="C512" s="40"/>
    </row>
    <row r="513">
      <c r="C513" s="40"/>
    </row>
    <row r="514">
      <c r="C514" s="40"/>
    </row>
    <row r="515">
      <c r="C515" s="40"/>
    </row>
    <row r="516">
      <c r="C516" s="40"/>
    </row>
    <row r="517">
      <c r="C517" s="40"/>
    </row>
    <row r="518">
      <c r="C518" s="40"/>
    </row>
    <row r="519">
      <c r="C519" s="40"/>
    </row>
    <row r="520">
      <c r="C520" s="40"/>
    </row>
    <row r="521">
      <c r="C521" s="40"/>
    </row>
    <row r="522">
      <c r="C522" s="40"/>
    </row>
    <row r="523">
      <c r="C523" s="40"/>
    </row>
    <row r="524">
      <c r="C524" s="40"/>
    </row>
    <row r="525">
      <c r="C525" s="40"/>
    </row>
    <row r="526">
      <c r="C526" s="40"/>
    </row>
    <row r="527">
      <c r="C527" s="40"/>
    </row>
    <row r="528">
      <c r="C528" s="40"/>
    </row>
    <row r="529">
      <c r="C529" s="40"/>
    </row>
    <row r="530">
      <c r="C530" s="40"/>
    </row>
    <row r="531">
      <c r="C531" s="40"/>
    </row>
    <row r="532">
      <c r="C532" s="40"/>
    </row>
    <row r="533">
      <c r="C533" s="40"/>
    </row>
    <row r="534">
      <c r="C534" s="40"/>
    </row>
    <row r="535">
      <c r="C535" s="40"/>
    </row>
    <row r="536">
      <c r="C536" s="40"/>
    </row>
    <row r="537">
      <c r="C537" s="40"/>
    </row>
    <row r="538">
      <c r="C538" s="40"/>
    </row>
    <row r="539">
      <c r="C539" s="40"/>
    </row>
    <row r="540">
      <c r="C540" s="40"/>
    </row>
    <row r="541">
      <c r="C541" s="40"/>
    </row>
    <row r="542">
      <c r="C542" s="40"/>
    </row>
    <row r="543">
      <c r="C543" s="40"/>
    </row>
    <row r="544">
      <c r="C544" s="40"/>
    </row>
    <row r="545">
      <c r="C545" s="40"/>
    </row>
    <row r="546">
      <c r="C546" s="40"/>
    </row>
    <row r="547">
      <c r="C547" s="40"/>
    </row>
    <row r="548">
      <c r="C548" s="40"/>
    </row>
    <row r="549">
      <c r="C549" s="40"/>
    </row>
    <row r="550">
      <c r="C550" s="40"/>
    </row>
    <row r="551">
      <c r="C551" s="40"/>
    </row>
    <row r="552">
      <c r="C552" s="40"/>
    </row>
    <row r="553">
      <c r="C553" s="40"/>
    </row>
    <row r="554">
      <c r="C554" s="40"/>
    </row>
    <row r="555">
      <c r="C555" s="40"/>
    </row>
    <row r="556">
      <c r="C556" s="40"/>
    </row>
    <row r="557">
      <c r="C557" s="40"/>
    </row>
    <row r="558">
      <c r="C558" s="40"/>
    </row>
    <row r="559">
      <c r="C559" s="40"/>
    </row>
    <row r="560">
      <c r="C560" s="40"/>
    </row>
    <row r="561">
      <c r="C561" s="40"/>
    </row>
    <row r="562">
      <c r="C562" s="40"/>
    </row>
    <row r="563">
      <c r="C563" s="40"/>
    </row>
    <row r="564">
      <c r="C564" s="40"/>
    </row>
    <row r="565">
      <c r="C565" s="40"/>
    </row>
    <row r="566">
      <c r="C566" s="40"/>
    </row>
    <row r="567">
      <c r="C567" s="40"/>
    </row>
    <row r="568">
      <c r="C568" s="40"/>
    </row>
    <row r="569">
      <c r="C569" s="40"/>
    </row>
    <row r="570">
      <c r="C570" s="40"/>
    </row>
    <row r="571">
      <c r="C571" s="40"/>
    </row>
    <row r="572">
      <c r="C572" s="40"/>
    </row>
    <row r="573">
      <c r="C573" s="40"/>
    </row>
    <row r="574">
      <c r="C574" s="40"/>
    </row>
    <row r="575">
      <c r="C575" s="40"/>
    </row>
    <row r="576">
      <c r="C576" s="40"/>
    </row>
    <row r="577">
      <c r="C577" s="40"/>
    </row>
    <row r="578">
      <c r="C578" s="40"/>
    </row>
    <row r="579">
      <c r="C579" s="40"/>
    </row>
    <row r="580">
      <c r="C580" s="40"/>
    </row>
    <row r="581">
      <c r="C581" s="40"/>
    </row>
    <row r="582">
      <c r="C582" s="40"/>
    </row>
    <row r="583">
      <c r="C583" s="40"/>
    </row>
    <row r="584">
      <c r="C584" s="40"/>
    </row>
    <row r="585">
      <c r="C585" s="40"/>
    </row>
    <row r="586">
      <c r="C586" s="40"/>
    </row>
    <row r="587">
      <c r="C587" s="40"/>
    </row>
    <row r="588">
      <c r="C588" s="40"/>
    </row>
    <row r="589">
      <c r="C589" s="40"/>
    </row>
    <row r="590">
      <c r="C590" s="40"/>
    </row>
    <row r="591">
      <c r="C591" s="40"/>
    </row>
    <row r="592">
      <c r="C592" s="40"/>
    </row>
    <row r="593">
      <c r="C593" s="40"/>
    </row>
    <row r="594">
      <c r="C594" s="40"/>
    </row>
    <row r="595">
      <c r="C595" s="40"/>
    </row>
    <row r="596">
      <c r="C596" s="40"/>
    </row>
    <row r="597">
      <c r="C597" s="40"/>
    </row>
    <row r="598">
      <c r="C598" s="40"/>
    </row>
    <row r="599">
      <c r="C599" s="40"/>
    </row>
    <row r="600">
      <c r="C600" s="40"/>
    </row>
    <row r="601">
      <c r="C601" s="40"/>
    </row>
    <row r="602">
      <c r="C602" s="40"/>
    </row>
    <row r="603">
      <c r="C603" s="40"/>
    </row>
    <row r="604">
      <c r="C604" s="40"/>
    </row>
    <row r="605">
      <c r="C605" s="40"/>
    </row>
    <row r="606">
      <c r="C606" s="40"/>
    </row>
    <row r="607">
      <c r="C607" s="40"/>
    </row>
    <row r="608">
      <c r="C608" s="40"/>
    </row>
    <row r="609">
      <c r="C609" s="40"/>
    </row>
    <row r="610">
      <c r="C610" s="40"/>
    </row>
    <row r="611">
      <c r="C611" s="40"/>
    </row>
    <row r="612">
      <c r="C612" s="40"/>
    </row>
    <row r="613">
      <c r="C613" s="40"/>
    </row>
    <row r="614">
      <c r="C614" s="40"/>
    </row>
    <row r="615">
      <c r="C615" s="40"/>
    </row>
    <row r="616">
      <c r="C616" s="40"/>
    </row>
    <row r="617">
      <c r="C617" s="40"/>
    </row>
    <row r="618">
      <c r="C618" s="40"/>
    </row>
    <row r="619">
      <c r="C619" s="40"/>
    </row>
    <row r="620">
      <c r="C620" s="40"/>
    </row>
    <row r="621">
      <c r="C621" s="40"/>
    </row>
    <row r="622">
      <c r="C622" s="40"/>
    </row>
    <row r="623">
      <c r="C623" s="40"/>
    </row>
    <row r="624">
      <c r="C624" s="40"/>
    </row>
    <row r="625">
      <c r="C625" s="40"/>
    </row>
    <row r="626">
      <c r="C626" s="40"/>
    </row>
    <row r="627">
      <c r="C627" s="40"/>
    </row>
    <row r="628">
      <c r="C628" s="40"/>
    </row>
    <row r="629">
      <c r="C629" s="40"/>
    </row>
    <row r="630">
      <c r="C630" s="40"/>
    </row>
    <row r="631">
      <c r="C631" s="40"/>
    </row>
    <row r="632">
      <c r="C632" s="40"/>
    </row>
    <row r="633">
      <c r="C633" s="40"/>
    </row>
    <row r="634">
      <c r="C634" s="40"/>
    </row>
    <row r="635">
      <c r="C635" s="40"/>
    </row>
    <row r="636">
      <c r="C636" s="40"/>
    </row>
    <row r="637">
      <c r="C637" s="40"/>
    </row>
    <row r="638">
      <c r="C638" s="40"/>
    </row>
    <row r="639">
      <c r="C639" s="40"/>
    </row>
    <row r="640">
      <c r="C640" s="40"/>
    </row>
    <row r="641">
      <c r="C641" s="40"/>
    </row>
    <row r="642">
      <c r="C642" s="40"/>
    </row>
    <row r="643">
      <c r="C643" s="40"/>
    </row>
    <row r="644">
      <c r="C644" s="40"/>
    </row>
    <row r="645">
      <c r="C645" s="40"/>
    </row>
    <row r="646">
      <c r="C646" s="40"/>
    </row>
    <row r="647">
      <c r="C647" s="40"/>
    </row>
    <row r="648">
      <c r="C648" s="40"/>
    </row>
    <row r="649">
      <c r="C649" s="40"/>
    </row>
    <row r="650">
      <c r="C650" s="40"/>
    </row>
    <row r="651">
      <c r="C651" s="40"/>
    </row>
    <row r="652">
      <c r="C652" s="40"/>
    </row>
    <row r="653">
      <c r="C653" s="40"/>
    </row>
    <row r="654">
      <c r="C654" s="40"/>
    </row>
    <row r="655">
      <c r="C655" s="40"/>
    </row>
    <row r="656">
      <c r="C656" s="40"/>
    </row>
    <row r="657">
      <c r="C657" s="40"/>
    </row>
    <row r="658">
      <c r="C658" s="40"/>
    </row>
    <row r="659">
      <c r="C659" s="40"/>
    </row>
    <row r="660">
      <c r="C660" s="40"/>
    </row>
    <row r="661">
      <c r="C661" s="40"/>
    </row>
    <row r="662">
      <c r="C662" s="40"/>
    </row>
    <row r="663">
      <c r="C663" s="40"/>
    </row>
    <row r="664">
      <c r="C664" s="40"/>
    </row>
    <row r="665">
      <c r="C665" s="40"/>
    </row>
    <row r="666">
      <c r="C666" s="40"/>
    </row>
    <row r="667">
      <c r="C667" s="40"/>
    </row>
    <row r="668">
      <c r="C668" s="40"/>
    </row>
    <row r="669">
      <c r="C669" s="40"/>
    </row>
    <row r="670">
      <c r="C670" s="40"/>
    </row>
    <row r="671">
      <c r="C671" s="40"/>
    </row>
    <row r="672">
      <c r="C672" s="40"/>
    </row>
    <row r="673">
      <c r="C673" s="40"/>
    </row>
    <row r="674">
      <c r="C674" s="40"/>
    </row>
    <row r="675">
      <c r="C675" s="40"/>
    </row>
    <row r="676">
      <c r="C676" s="40"/>
    </row>
    <row r="677">
      <c r="C677" s="40"/>
    </row>
    <row r="678">
      <c r="C678" s="40"/>
    </row>
    <row r="679">
      <c r="C679" s="40"/>
    </row>
    <row r="680">
      <c r="C680" s="40"/>
    </row>
    <row r="681">
      <c r="C681" s="40"/>
    </row>
    <row r="682">
      <c r="C682" s="40"/>
    </row>
    <row r="683">
      <c r="C683" s="40"/>
    </row>
    <row r="684">
      <c r="C684" s="40"/>
    </row>
    <row r="685">
      <c r="C685" s="40"/>
    </row>
    <row r="686">
      <c r="C686" s="40"/>
    </row>
    <row r="687">
      <c r="C687" s="40"/>
    </row>
    <row r="688">
      <c r="C688" s="40"/>
    </row>
    <row r="689">
      <c r="C689" s="40"/>
    </row>
    <row r="690">
      <c r="C690" s="40"/>
    </row>
    <row r="691">
      <c r="C691" s="40"/>
    </row>
    <row r="692">
      <c r="C692" s="40"/>
    </row>
    <row r="693">
      <c r="C693" s="40"/>
    </row>
    <row r="694">
      <c r="C694" s="40"/>
    </row>
    <row r="695">
      <c r="C695" s="40"/>
    </row>
    <row r="696">
      <c r="C696" s="40"/>
    </row>
    <row r="697">
      <c r="C697" s="40"/>
    </row>
    <row r="698">
      <c r="C698" s="40"/>
    </row>
    <row r="699">
      <c r="C699" s="40"/>
    </row>
    <row r="700">
      <c r="C700" s="40"/>
    </row>
    <row r="701">
      <c r="C701" s="40"/>
    </row>
    <row r="702">
      <c r="C702" s="40"/>
    </row>
    <row r="703">
      <c r="C703" s="40"/>
    </row>
    <row r="704">
      <c r="C704" s="40"/>
    </row>
    <row r="705">
      <c r="C705" s="40"/>
    </row>
    <row r="706">
      <c r="C706" s="40"/>
    </row>
    <row r="707">
      <c r="C707" s="40"/>
    </row>
    <row r="708">
      <c r="C708" s="40"/>
    </row>
    <row r="709">
      <c r="C709" s="40"/>
    </row>
    <row r="710">
      <c r="C710" s="40"/>
    </row>
    <row r="711">
      <c r="C711" s="40"/>
    </row>
    <row r="712">
      <c r="C712" s="40"/>
    </row>
    <row r="713">
      <c r="C713" s="40"/>
    </row>
    <row r="714">
      <c r="C714" s="40"/>
    </row>
    <row r="715">
      <c r="C715" s="40"/>
    </row>
    <row r="716">
      <c r="C716" s="40"/>
    </row>
    <row r="717">
      <c r="C717" s="40"/>
    </row>
    <row r="718">
      <c r="C718" s="40"/>
    </row>
    <row r="719">
      <c r="C719" s="40"/>
    </row>
    <row r="720">
      <c r="C720" s="40"/>
    </row>
    <row r="721">
      <c r="C721" s="40"/>
    </row>
    <row r="722">
      <c r="C722" s="40"/>
    </row>
    <row r="723">
      <c r="C723" s="40"/>
    </row>
    <row r="724">
      <c r="C724" s="40"/>
    </row>
    <row r="725">
      <c r="C725" s="40"/>
    </row>
    <row r="726">
      <c r="C726" s="40"/>
    </row>
    <row r="727">
      <c r="C727" s="40"/>
    </row>
    <row r="728">
      <c r="C728" s="40"/>
    </row>
    <row r="729">
      <c r="C729" s="40"/>
    </row>
    <row r="730">
      <c r="C730" s="40"/>
    </row>
    <row r="731">
      <c r="C731" s="40"/>
    </row>
    <row r="732">
      <c r="C732" s="40"/>
    </row>
    <row r="733">
      <c r="C733" s="40"/>
    </row>
    <row r="734">
      <c r="C734" s="40"/>
    </row>
    <row r="735">
      <c r="C735" s="40"/>
    </row>
    <row r="736">
      <c r="C736" s="40"/>
    </row>
    <row r="737">
      <c r="C737" s="40"/>
    </row>
    <row r="738">
      <c r="C738" s="40"/>
    </row>
    <row r="739">
      <c r="C739" s="40"/>
    </row>
    <row r="740">
      <c r="C740" s="40"/>
    </row>
    <row r="741">
      <c r="C741" s="40"/>
    </row>
    <row r="742">
      <c r="C742" s="40"/>
    </row>
    <row r="743">
      <c r="C743" s="40"/>
    </row>
    <row r="744">
      <c r="C744" s="40"/>
    </row>
    <row r="745">
      <c r="C745" s="40"/>
    </row>
    <row r="746">
      <c r="C746" s="40"/>
    </row>
    <row r="747">
      <c r="C747" s="40"/>
    </row>
    <row r="748">
      <c r="C748" s="40"/>
    </row>
    <row r="749">
      <c r="C749" s="40"/>
    </row>
    <row r="750">
      <c r="C750" s="40"/>
    </row>
    <row r="751">
      <c r="C751" s="40"/>
    </row>
    <row r="752">
      <c r="C752" s="40"/>
    </row>
    <row r="753">
      <c r="C753" s="40"/>
    </row>
    <row r="754">
      <c r="C754" s="40"/>
    </row>
    <row r="755">
      <c r="C755" s="40"/>
    </row>
    <row r="756">
      <c r="C756" s="40"/>
    </row>
    <row r="757">
      <c r="C757" s="40"/>
    </row>
    <row r="758">
      <c r="C758" s="40"/>
    </row>
    <row r="759">
      <c r="C759" s="40"/>
    </row>
    <row r="760">
      <c r="C760" s="40"/>
    </row>
    <row r="761">
      <c r="C761" s="40"/>
    </row>
    <row r="762">
      <c r="C762" s="40"/>
    </row>
    <row r="763">
      <c r="C763" s="40"/>
    </row>
    <row r="764">
      <c r="C764" s="40"/>
    </row>
    <row r="765">
      <c r="C765" s="40"/>
    </row>
    <row r="766">
      <c r="C766" s="40"/>
    </row>
    <row r="767">
      <c r="C767" s="40"/>
    </row>
    <row r="768">
      <c r="C768" s="40"/>
    </row>
    <row r="769">
      <c r="C769" s="40"/>
    </row>
    <row r="770">
      <c r="C770" s="40"/>
    </row>
    <row r="771">
      <c r="C771" s="40"/>
    </row>
    <row r="772">
      <c r="C772" s="40"/>
    </row>
    <row r="773">
      <c r="C773" s="40"/>
    </row>
    <row r="774">
      <c r="C774" s="40"/>
    </row>
    <row r="775">
      <c r="C775" s="40"/>
    </row>
    <row r="776">
      <c r="C776" s="40"/>
    </row>
    <row r="777">
      <c r="C777" s="40"/>
    </row>
    <row r="778">
      <c r="C778" s="40"/>
    </row>
    <row r="779">
      <c r="C779" s="40"/>
    </row>
    <row r="780">
      <c r="C780" s="40"/>
    </row>
    <row r="781">
      <c r="C781" s="40"/>
    </row>
    <row r="782">
      <c r="C782" s="40"/>
    </row>
    <row r="783">
      <c r="C783" s="40"/>
    </row>
    <row r="784">
      <c r="C784" s="40"/>
    </row>
    <row r="785">
      <c r="C785" s="40"/>
    </row>
    <row r="786">
      <c r="C786" s="40"/>
    </row>
    <row r="787">
      <c r="C787" s="40"/>
    </row>
    <row r="788">
      <c r="C788" s="40"/>
    </row>
    <row r="789">
      <c r="C789" s="40"/>
    </row>
    <row r="790">
      <c r="C790" s="40"/>
    </row>
    <row r="791">
      <c r="C791" s="40"/>
    </row>
    <row r="792">
      <c r="C792" s="40"/>
    </row>
    <row r="793">
      <c r="C793" s="40"/>
    </row>
    <row r="794">
      <c r="C794" s="40"/>
    </row>
    <row r="795">
      <c r="C795" s="40"/>
    </row>
    <row r="796">
      <c r="C796" s="40"/>
    </row>
    <row r="797">
      <c r="C797" s="40"/>
    </row>
    <row r="798">
      <c r="C798" s="40"/>
    </row>
    <row r="799">
      <c r="C799" s="40"/>
    </row>
    <row r="800">
      <c r="C800" s="40"/>
    </row>
    <row r="801">
      <c r="C801" s="40"/>
    </row>
    <row r="802">
      <c r="C802" s="40"/>
    </row>
    <row r="803">
      <c r="C803" s="40"/>
    </row>
    <row r="804">
      <c r="C804" s="40"/>
    </row>
    <row r="805">
      <c r="C805" s="40"/>
    </row>
    <row r="806">
      <c r="C806" s="40"/>
    </row>
    <row r="807">
      <c r="C807" s="40"/>
    </row>
    <row r="808">
      <c r="C808" s="40"/>
    </row>
    <row r="809">
      <c r="C809" s="40"/>
    </row>
    <row r="810">
      <c r="C810" s="40"/>
    </row>
    <row r="811">
      <c r="C811" s="40"/>
    </row>
    <row r="812">
      <c r="C812" s="40"/>
    </row>
    <row r="813">
      <c r="C813" s="40"/>
    </row>
    <row r="814">
      <c r="C814" s="40"/>
    </row>
    <row r="815">
      <c r="C815" s="40"/>
    </row>
    <row r="816">
      <c r="C816" s="40"/>
    </row>
    <row r="817">
      <c r="C817" s="40"/>
    </row>
    <row r="818">
      <c r="C818" s="40"/>
    </row>
    <row r="819">
      <c r="C819" s="40"/>
    </row>
    <row r="820">
      <c r="C820" s="40"/>
    </row>
    <row r="821">
      <c r="C821" s="40"/>
    </row>
    <row r="822">
      <c r="C822" s="40"/>
    </row>
    <row r="823">
      <c r="C823" s="40"/>
    </row>
    <row r="824">
      <c r="C824" s="40"/>
    </row>
    <row r="825">
      <c r="C825" s="40"/>
    </row>
    <row r="826">
      <c r="C826" s="40"/>
    </row>
    <row r="827">
      <c r="C827" s="40"/>
    </row>
    <row r="828">
      <c r="C828" s="40"/>
    </row>
    <row r="829">
      <c r="C829" s="40"/>
    </row>
    <row r="830">
      <c r="C830" s="40"/>
    </row>
    <row r="831">
      <c r="C831" s="40"/>
    </row>
    <row r="832">
      <c r="C832" s="40"/>
    </row>
    <row r="833">
      <c r="C833" s="40"/>
    </row>
    <row r="834">
      <c r="C834" s="40"/>
    </row>
    <row r="835">
      <c r="C835" s="40"/>
    </row>
    <row r="836">
      <c r="C836" s="40"/>
    </row>
    <row r="837">
      <c r="C837" s="40"/>
    </row>
    <row r="838">
      <c r="C838" s="40"/>
    </row>
    <row r="839">
      <c r="C839" s="40"/>
    </row>
    <row r="840">
      <c r="C840" s="40"/>
    </row>
    <row r="841">
      <c r="C841" s="40"/>
    </row>
    <row r="842">
      <c r="C842" s="40"/>
    </row>
    <row r="843">
      <c r="C843" s="40"/>
    </row>
    <row r="844">
      <c r="C844" s="40"/>
    </row>
    <row r="845">
      <c r="C845" s="40"/>
    </row>
    <row r="846">
      <c r="C846" s="40"/>
    </row>
    <row r="847">
      <c r="C847" s="40"/>
    </row>
    <row r="848">
      <c r="C848" s="40"/>
    </row>
    <row r="849">
      <c r="C849" s="40"/>
    </row>
    <row r="850">
      <c r="C850" s="40"/>
    </row>
    <row r="851">
      <c r="C851" s="40"/>
    </row>
    <row r="852">
      <c r="C852" s="40"/>
    </row>
    <row r="853">
      <c r="C853" s="40"/>
    </row>
    <row r="854">
      <c r="C854" s="40"/>
    </row>
    <row r="855">
      <c r="C855" s="40"/>
    </row>
    <row r="856">
      <c r="C856" s="40"/>
    </row>
    <row r="857">
      <c r="C857" s="40"/>
    </row>
    <row r="858">
      <c r="C858" s="40"/>
    </row>
    <row r="859">
      <c r="C859" s="40"/>
    </row>
    <row r="860">
      <c r="C860" s="40"/>
    </row>
    <row r="861">
      <c r="C861" s="40"/>
    </row>
    <row r="862">
      <c r="C862" s="40"/>
    </row>
    <row r="863">
      <c r="C863" s="40"/>
    </row>
    <row r="864">
      <c r="C864" s="40"/>
    </row>
    <row r="865">
      <c r="C865" s="40"/>
    </row>
    <row r="866">
      <c r="C866" s="40"/>
    </row>
    <row r="867">
      <c r="C867" s="40"/>
    </row>
    <row r="868">
      <c r="C868" s="40"/>
    </row>
    <row r="869">
      <c r="C869" s="40"/>
    </row>
    <row r="870">
      <c r="C870" s="40"/>
    </row>
    <row r="871">
      <c r="C871" s="40"/>
    </row>
    <row r="872">
      <c r="C872" s="40"/>
    </row>
    <row r="873">
      <c r="C873" s="40"/>
    </row>
    <row r="874">
      <c r="C874" s="40"/>
    </row>
    <row r="875">
      <c r="C875" s="40"/>
    </row>
    <row r="876">
      <c r="C876" s="40"/>
    </row>
    <row r="877">
      <c r="C877" s="40"/>
    </row>
    <row r="878">
      <c r="C878" s="40"/>
    </row>
    <row r="879">
      <c r="C879" s="40"/>
    </row>
    <row r="880">
      <c r="C880" s="40"/>
    </row>
    <row r="881">
      <c r="C881" s="40"/>
    </row>
    <row r="882">
      <c r="C882" s="40"/>
    </row>
    <row r="883">
      <c r="C883" s="40"/>
    </row>
    <row r="884">
      <c r="C884" s="40"/>
    </row>
    <row r="885">
      <c r="C885" s="40"/>
    </row>
    <row r="886">
      <c r="C886" s="40"/>
    </row>
    <row r="887">
      <c r="C887" s="40"/>
    </row>
    <row r="888">
      <c r="C888" s="40"/>
    </row>
    <row r="889">
      <c r="C889" s="40"/>
    </row>
    <row r="890">
      <c r="C890" s="40"/>
    </row>
    <row r="891">
      <c r="C891" s="40"/>
    </row>
    <row r="892">
      <c r="C892" s="40"/>
    </row>
    <row r="893">
      <c r="C893" s="40"/>
    </row>
    <row r="894">
      <c r="C894" s="40"/>
    </row>
    <row r="895">
      <c r="C895" s="40"/>
    </row>
    <row r="896">
      <c r="C896" s="40"/>
    </row>
    <row r="897">
      <c r="C897" s="40"/>
    </row>
    <row r="898">
      <c r="C898" s="40"/>
    </row>
    <row r="899">
      <c r="C899" s="40"/>
    </row>
    <row r="900">
      <c r="C900" s="40"/>
    </row>
    <row r="901">
      <c r="C901" s="40"/>
    </row>
    <row r="902">
      <c r="C902" s="40"/>
    </row>
    <row r="903">
      <c r="C903" s="40"/>
    </row>
    <row r="904">
      <c r="C904" s="40"/>
    </row>
    <row r="905">
      <c r="C905" s="40"/>
    </row>
    <row r="906">
      <c r="C906" s="40"/>
    </row>
    <row r="907">
      <c r="C907" s="40"/>
    </row>
    <row r="908">
      <c r="C908" s="40"/>
    </row>
    <row r="909">
      <c r="C909" s="40"/>
    </row>
    <row r="910">
      <c r="C910" s="40"/>
    </row>
    <row r="911">
      <c r="C911" s="40"/>
    </row>
    <row r="912">
      <c r="C912" s="40"/>
    </row>
    <row r="913">
      <c r="C913" s="40"/>
    </row>
    <row r="914">
      <c r="C914" s="40"/>
    </row>
    <row r="915">
      <c r="C915" s="40"/>
    </row>
    <row r="916">
      <c r="C916" s="40"/>
    </row>
    <row r="917">
      <c r="C917" s="40"/>
    </row>
    <row r="918">
      <c r="C918" s="40"/>
    </row>
    <row r="919">
      <c r="C919" s="40"/>
    </row>
    <row r="920">
      <c r="C920" s="40"/>
    </row>
    <row r="921">
      <c r="C921" s="40"/>
    </row>
    <row r="922">
      <c r="C922" s="40"/>
    </row>
    <row r="923">
      <c r="C923" s="40"/>
    </row>
    <row r="924">
      <c r="C924" s="40"/>
    </row>
    <row r="925">
      <c r="C925" s="40"/>
    </row>
    <row r="926">
      <c r="C926" s="40"/>
    </row>
    <row r="927">
      <c r="C927" s="40"/>
    </row>
    <row r="928">
      <c r="C928" s="40"/>
    </row>
    <row r="929">
      <c r="C929" s="40"/>
    </row>
    <row r="930">
      <c r="C930" s="40"/>
    </row>
    <row r="931">
      <c r="C931" s="40"/>
    </row>
    <row r="932">
      <c r="C932" s="40"/>
    </row>
    <row r="933">
      <c r="C933" s="40"/>
    </row>
    <row r="934">
      <c r="C934" s="40"/>
    </row>
    <row r="935">
      <c r="C935" s="40"/>
    </row>
    <row r="936">
      <c r="C936" s="40"/>
    </row>
    <row r="937">
      <c r="C937" s="40"/>
    </row>
    <row r="938">
      <c r="C938" s="40"/>
    </row>
    <row r="939">
      <c r="C939" s="40"/>
    </row>
    <row r="940">
      <c r="C940" s="40"/>
    </row>
    <row r="941">
      <c r="C941" s="40"/>
    </row>
    <row r="942">
      <c r="C942" s="40"/>
    </row>
    <row r="943">
      <c r="C943" s="40"/>
    </row>
    <row r="944">
      <c r="C944" s="40"/>
    </row>
    <row r="945">
      <c r="C945" s="40"/>
    </row>
    <row r="946">
      <c r="C946" s="40"/>
    </row>
    <row r="947">
      <c r="C947" s="40"/>
    </row>
    <row r="948">
      <c r="C948" s="40"/>
    </row>
    <row r="949">
      <c r="C949" s="40"/>
    </row>
    <row r="950">
      <c r="C950" s="40"/>
    </row>
    <row r="951">
      <c r="C951" s="40"/>
    </row>
    <row r="952">
      <c r="C952" s="40"/>
    </row>
    <row r="953">
      <c r="C953" s="40"/>
    </row>
    <row r="954">
      <c r="C954" s="40"/>
    </row>
    <row r="955">
      <c r="C955" s="40"/>
    </row>
    <row r="956">
      <c r="C956" s="40"/>
    </row>
    <row r="957">
      <c r="C957" s="40"/>
    </row>
    <row r="958">
      <c r="C958" s="40"/>
    </row>
    <row r="959">
      <c r="C959" s="40"/>
    </row>
    <row r="960">
      <c r="C960" s="40"/>
    </row>
    <row r="961">
      <c r="C961" s="40"/>
    </row>
    <row r="962">
      <c r="C962" s="40"/>
    </row>
    <row r="963">
      <c r="C963" s="40"/>
    </row>
    <row r="964">
      <c r="C964" s="40"/>
    </row>
    <row r="965">
      <c r="C965" s="40"/>
    </row>
    <row r="966">
      <c r="C966" s="40"/>
    </row>
    <row r="967">
      <c r="C967" s="40"/>
    </row>
    <row r="968">
      <c r="C968" s="40"/>
    </row>
    <row r="969">
      <c r="C969" s="40"/>
    </row>
    <row r="970">
      <c r="C970" s="40"/>
    </row>
    <row r="971">
      <c r="C971" s="40"/>
    </row>
    <row r="972">
      <c r="C972" s="40"/>
    </row>
    <row r="973">
      <c r="C973" s="40"/>
    </row>
    <row r="974">
      <c r="C974" s="40"/>
    </row>
    <row r="975">
      <c r="C975" s="40"/>
    </row>
    <row r="976">
      <c r="C976" s="40"/>
    </row>
    <row r="977">
      <c r="C977" s="40"/>
    </row>
    <row r="978">
      <c r="C978" s="40"/>
    </row>
    <row r="979">
      <c r="C979" s="40"/>
    </row>
    <row r="980">
      <c r="C980" s="40"/>
    </row>
    <row r="981">
      <c r="C981" s="40"/>
    </row>
    <row r="982">
      <c r="C982" s="40"/>
    </row>
    <row r="983">
      <c r="C983" s="40"/>
    </row>
    <row r="984">
      <c r="C984" s="40"/>
    </row>
    <row r="985">
      <c r="C985" s="40"/>
    </row>
    <row r="986">
      <c r="C986" s="40"/>
    </row>
    <row r="987">
      <c r="C987" s="40"/>
    </row>
    <row r="988">
      <c r="C988" s="40"/>
    </row>
    <row r="989">
      <c r="C989" s="40"/>
    </row>
    <row r="990">
      <c r="C990" s="40"/>
    </row>
    <row r="991">
      <c r="C991" s="40"/>
    </row>
    <row r="992">
      <c r="C992" s="40"/>
    </row>
    <row r="993">
      <c r="C993" s="40"/>
    </row>
    <row r="994">
      <c r="C994" s="40"/>
    </row>
    <row r="995">
      <c r="C995" s="40"/>
    </row>
    <row r="996">
      <c r="C996" s="40"/>
    </row>
    <row r="997">
      <c r="C997" s="40"/>
    </row>
    <row r="998">
      <c r="C998" s="40"/>
    </row>
    <row r="999">
      <c r="C999" s="40"/>
    </row>
    <row r="1000">
      <c r="C1000" s="40"/>
    </row>
    <row r="1001">
      <c r="C1001" s="40"/>
    </row>
  </sheetData>
  <autoFilter ref="$A$1:$T$81"/>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s>
  <drawing r:id="rId8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55.25"/>
    <col customWidth="1" min="3" max="3" width="13.88"/>
    <col customWidth="1" min="4" max="4" width="72.13"/>
    <col customWidth="1" min="5" max="5" width="15.13"/>
    <col customWidth="1" min="6" max="6" width="41.38"/>
    <col customWidth="1" min="7" max="9" width="21.38"/>
    <col customWidth="1" min="10" max="10" width="27.63"/>
    <col customWidth="1" min="11" max="11" width="41.38"/>
  </cols>
  <sheetData>
    <row r="1">
      <c r="A1" s="3" t="s">
        <v>6</v>
      </c>
      <c r="B1" s="3" t="s">
        <v>6248</v>
      </c>
      <c r="C1" s="3" t="s">
        <v>26</v>
      </c>
      <c r="D1" s="3" t="s">
        <v>6249</v>
      </c>
      <c r="E1" s="3" t="s">
        <v>170</v>
      </c>
      <c r="F1" s="3" t="s">
        <v>172</v>
      </c>
      <c r="G1" s="3" t="s">
        <v>6250</v>
      </c>
      <c r="H1" s="3" t="s">
        <v>6251</v>
      </c>
      <c r="I1" s="3" t="s">
        <v>6252</v>
      </c>
      <c r="J1" s="3" t="s">
        <v>6253</v>
      </c>
      <c r="K1" s="3" t="s">
        <v>182</v>
      </c>
      <c r="L1" s="20"/>
      <c r="M1" s="20"/>
      <c r="N1" s="20"/>
      <c r="O1" s="20"/>
      <c r="P1" s="20"/>
      <c r="Q1" s="20"/>
      <c r="R1" s="20"/>
      <c r="S1" s="20"/>
      <c r="T1" s="20"/>
      <c r="U1" s="20"/>
      <c r="V1" s="20"/>
      <c r="W1" s="20"/>
      <c r="X1" s="20"/>
      <c r="Y1" s="20"/>
      <c r="Z1" s="20"/>
    </row>
    <row r="2">
      <c r="A2" s="21">
        <v>1.0</v>
      </c>
      <c r="B2" s="42" t="s">
        <v>50</v>
      </c>
      <c r="C2" s="43" t="s">
        <v>196</v>
      </c>
      <c r="D2" s="42" t="s">
        <v>1690</v>
      </c>
      <c r="E2" s="22" t="s">
        <v>57</v>
      </c>
      <c r="F2" s="22" t="s">
        <v>6254</v>
      </c>
      <c r="G2" s="22" t="s">
        <v>6255</v>
      </c>
      <c r="H2" s="22" t="s">
        <v>6255</v>
      </c>
      <c r="I2" s="22" t="s">
        <v>415</v>
      </c>
      <c r="J2" s="22" t="s">
        <v>51</v>
      </c>
      <c r="K2" s="22" t="s">
        <v>6256</v>
      </c>
      <c r="L2" s="20"/>
      <c r="M2" s="20"/>
      <c r="N2" s="20"/>
      <c r="O2" s="20"/>
      <c r="P2" s="20"/>
      <c r="Q2" s="20"/>
      <c r="R2" s="20"/>
      <c r="S2" s="20"/>
      <c r="T2" s="20"/>
      <c r="U2" s="20"/>
      <c r="V2" s="20"/>
      <c r="W2" s="20"/>
      <c r="X2" s="20"/>
      <c r="Y2" s="20"/>
      <c r="Z2" s="20"/>
    </row>
    <row r="3">
      <c r="A3" s="21">
        <v>1.0</v>
      </c>
      <c r="B3" s="42" t="s">
        <v>50</v>
      </c>
      <c r="C3" s="43" t="s">
        <v>196</v>
      </c>
      <c r="D3" s="42" t="s">
        <v>4512</v>
      </c>
      <c r="E3" s="22" t="s">
        <v>57</v>
      </c>
      <c r="F3" s="22" t="s">
        <v>6257</v>
      </c>
      <c r="G3" s="22" t="s">
        <v>6255</v>
      </c>
      <c r="H3" s="22" t="s">
        <v>6255</v>
      </c>
      <c r="I3" s="22" t="s">
        <v>415</v>
      </c>
      <c r="J3" s="22" t="s">
        <v>59</v>
      </c>
      <c r="K3" s="22" t="s">
        <v>6256</v>
      </c>
      <c r="L3" s="20"/>
      <c r="M3" s="20"/>
      <c r="N3" s="20"/>
      <c r="O3" s="20"/>
      <c r="P3" s="20"/>
      <c r="Q3" s="20"/>
      <c r="R3" s="20"/>
      <c r="S3" s="20"/>
      <c r="T3" s="20"/>
      <c r="U3" s="20"/>
      <c r="V3" s="20"/>
      <c r="W3" s="20"/>
      <c r="X3" s="20"/>
      <c r="Y3" s="20"/>
      <c r="Z3" s="20"/>
    </row>
    <row r="4">
      <c r="A4" s="21">
        <v>1.0</v>
      </c>
      <c r="B4" s="42" t="s">
        <v>50</v>
      </c>
      <c r="C4" s="43" t="s">
        <v>196</v>
      </c>
      <c r="D4" s="42" t="s">
        <v>60</v>
      </c>
      <c r="E4" s="22" t="s">
        <v>57</v>
      </c>
      <c r="F4" s="22" t="s">
        <v>6259</v>
      </c>
      <c r="G4" s="22" t="s">
        <v>6255</v>
      </c>
      <c r="H4" s="22" t="s">
        <v>6255</v>
      </c>
      <c r="I4" s="22" t="s">
        <v>415</v>
      </c>
      <c r="J4" s="22" t="s">
        <v>84</v>
      </c>
      <c r="K4" s="22" t="s">
        <v>6256</v>
      </c>
      <c r="L4" s="20"/>
      <c r="M4" s="20"/>
      <c r="N4" s="20"/>
      <c r="O4" s="20"/>
      <c r="P4" s="20"/>
      <c r="Q4" s="20"/>
      <c r="R4" s="20"/>
      <c r="S4" s="20"/>
      <c r="T4" s="20"/>
      <c r="U4" s="20"/>
      <c r="V4" s="20"/>
      <c r="W4" s="20"/>
      <c r="X4" s="20"/>
      <c r="Y4" s="20"/>
      <c r="Z4" s="20"/>
    </row>
    <row r="5">
      <c r="A5" s="21">
        <v>1.0</v>
      </c>
      <c r="B5" s="42" t="s">
        <v>50</v>
      </c>
      <c r="C5" s="43" t="s">
        <v>196</v>
      </c>
      <c r="D5" s="42" t="s">
        <v>53</v>
      </c>
      <c r="E5" s="22" t="s">
        <v>57</v>
      </c>
      <c r="F5" s="22" t="s">
        <v>6263</v>
      </c>
      <c r="G5" s="22" t="s">
        <v>6255</v>
      </c>
      <c r="H5" s="22" t="s">
        <v>6255</v>
      </c>
      <c r="I5" s="22" t="s">
        <v>415</v>
      </c>
      <c r="J5" s="22" t="s">
        <v>123</v>
      </c>
      <c r="K5" s="22" t="s">
        <v>6256</v>
      </c>
      <c r="L5" s="20"/>
      <c r="M5" s="20"/>
      <c r="N5" s="20"/>
      <c r="O5" s="20"/>
      <c r="P5" s="20"/>
      <c r="Q5" s="20"/>
      <c r="R5" s="20"/>
      <c r="S5" s="20"/>
      <c r="T5" s="20"/>
      <c r="U5" s="20"/>
      <c r="V5" s="20"/>
      <c r="W5" s="20"/>
      <c r="X5" s="20"/>
      <c r="Y5" s="20"/>
      <c r="Z5" s="20"/>
    </row>
    <row r="6">
      <c r="A6" s="21">
        <v>1.0</v>
      </c>
      <c r="B6" s="42" t="s">
        <v>50</v>
      </c>
      <c r="C6" s="43" t="s">
        <v>196</v>
      </c>
      <c r="D6" s="42" t="s">
        <v>64</v>
      </c>
      <c r="E6" s="22" t="s">
        <v>67</v>
      </c>
      <c r="F6" s="22" t="s">
        <v>6267</v>
      </c>
      <c r="G6" s="22" t="s">
        <v>6255</v>
      </c>
      <c r="H6" s="22" t="s">
        <v>6255</v>
      </c>
      <c r="I6" s="22" t="s">
        <v>415</v>
      </c>
      <c r="J6" s="22" t="s">
        <v>51</v>
      </c>
      <c r="K6" s="22" t="s">
        <v>6256</v>
      </c>
      <c r="L6" s="20"/>
      <c r="M6" s="20"/>
      <c r="N6" s="20"/>
      <c r="O6" s="20"/>
      <c r="P6" s="20"/>
      <c r="Q6" s="20"/>
      <c r="R6" s="20"/>
      <c r="S6" s="20"/>
      <c r="T6" s="20"/>
      <c r="U6" s="20"/>
      <c r="V6" s="20"/>
      <c r="W6" s="20"/>
      <c r="X6" s="20"/>
      <c r="Y6" s="20"/>
      <c r="Z6" s="20"/>
    </row>
    <row r="7">
      <c r="A7" s="21">
        <v>2.0</v>
      </c>
      <c r="B7" s="42" t="s">
        <v>218</v>
      </c>
      <c r="C7" s="43" t="s">
        <v>487</v>
      </c>
      <c r="D7" s="42" t="s">
        <v>744</v>
      </c>
      <c r="E7" s="22" t="s">
        <v>57</v>
      </c>
      <c r="F7" s="22" t="s">
        <v>6268</v>
      </c>
      <c r="G7" s="22" t="s">
        <v>6255</v>
      </c>
      <c r="H7" s="22" t="s">
        <v>6255</v>
      </c>
      <c r="I7" s="22" t="s">
        <v>415</v>
      </c>
      <c r="J7" s="22" t="s">
        <v>869</v>
      </c>
      <c r="K7" s="22" t="s">
        <v>6269</v>
      </c>
      <c r="L7" s="20"/>
      <c r="M7" s="20"/>
      <c r="N7" s="20"/>
      <c r="O7" s="20"/>
      <c r="P7" s="20"/>
      <c r="Q7" s="20"/>
      <c r="R7" s="20"/>
      <c r="S7" s="20"/>
      <c r="T7" s="20"/>
      <c r="U7" s="20"/>
      <c r="V7" s="20"/>
      <c r="W7" s="20"/>
      <c r="X7" s="20"/>
      <c r="Y7" s="20"/>
      <c r="Z7" s="20"/>
    </row>
    <row r="8">
      <c r="A8" s="21">
        <v>2.0</v>
      </c>
      <c r="B8" s="42" t="s">
        <v>218</v>
      </c>
      <c r="C8" s="43" t="s">
        <v>487</v>
      </c>
      <c r="D8" s="42" t="s">
        <v>222</v>
      </c>
      <c r="E8" s="22" t="s">
        <v>67</v>
      </c>
      <c r="F8" s="22" t="s">
        <v>6270</v>
      </c>
      <c r="G8" s="22" t="s">
        <v>6255</v>
      </c>
      <c r="H8" s="22" t="s">
        <v>6255</v>
      </c>
      <c r="I8" s="22" t="s">
        <v>415</v>
      </c>
      <c r="J8" s="22" t="s">
        <v>219</v>
      </c>
      <c r="K8" s="22" t="s">
        <v>6256</v>
      </c>
      <c r="L8" s="20"/>
      <c r="M8" s="20"/>
      <c r="N8" s="20"/>
      <c r="O8" s="20"/>
      <c r="P8" s="20"/>
      <c r="Q8" s="20"/>
      <c r="R8" s="20"/>
      <c r="S8" s="20"/>
      <c r="T8" s="20"/>
      <c r="U8" s="20"/>
      <c r="V8" s="20"/>
      <c r="W8" s="20"/>
      <c r="X8" s="20"/>
      <c r="Y8" s="20"/>
      <c r="Z8" s="20"/>
    </row>
    <row r="9">
      <c r="A9" s="21">
        <v>3.0</v>
      </c>
      <c r="B9" s="42" t="s">
        <v>222</v>
      </c>
      <c r="C9" s="43" t="s">
        <v>487</v>
      </c>
      <c r="D9" s="42" t="s">
        <v>744</v>
      </c>
      <c r="E9" s="22" t="s">
        <v>57</v>
      </c>
      <c r="F9" s="22" t="s">
        <v>6272</v>
      </c>
      <c r="G9" s="22" t="s">
        <v>6255</v>
      </c>
      <c r="H9" s="22" t="s">
        <v>6255</v>
      </c>
      <c r="I9" s="22" t="s">
        <v>415</v>
      </c>
      <c r="J9" s="22" t="s">
        <v>1517</v>
      </c>
      <c r="K9" s="22" t="s">
        <v>6269</v>
      </c>
      <c r="L9" s="20"/>
      <c r="M9" s="20"/>
      <c r="N9" s="20"/>
      <c r="O9" s="20"/>
      <c r="P9" s="20"/>
      <c r="Q9" s="20"/>
      <c r="R9" s="20"/>
      <c r="S9" s="20"/>
      <c r="T9" s="20"/>
      <c r="U9" s="20"/>
      <c r="V9" s="20"/>
      <c r="W9" s="20"/>
      <c r="X9" s="20"/>
      <c r="Y9" s="20"/>
      <c r="Z9" s="20"/>
    </row>
    <row r="10">
      <c r="A10" s="21">
        <v>3.0</v>
      </c>
      <c r="B10" s="42" t="s">
        <v>222</v>
      </c>
      <c r="C10" s="43" t="s">
        <v>487</v>
      </c>
      <c r="D10" s="42" t="s">
        <v>746</v>
      </c>
      <c r="E10" s="22" t="s">
        <v>57</v>
      </c>
      <c r="F10" s="22" t="s">
        <v>6273</v>
      </c>
      <c r="G10" s="22" t="s">
        <v>6255</v>
      </c>
      <c r="H10" s="22" t="s">
        <v>6255</v>
      </c>
      <c r="I10" s="22" t="s">
        <v>415</v>
      </c>
      <c r="J10" s="22" t="s">
        <v>6274</v>
      </c>
      <c r="K10" s="22" t="s">
        <v>6275</v>
      </c>
      <c r="L10" s="20"/>
      <c r="M10" s="20"/>
      <c r="N10" s="20"/>
      <c r="O10" s="20"/>
      <c r="P10" s="20"/>
      <c r="Q10" s="20"/>
      <c r="R10" s="20"/>
      <c r="S10" s="20"/>
      <c r="T10" s="20"/>
      <c r="U10" s="20"/>
      <c r="V10" s="20"/>
      <c r="W10" s="20"/>
      <c r="X10" s="20"/>
      <c r="Y10" s="20"/>
      <c r="Z10" s="20"/>
    </row>
    <row r="11">
      <c r="A11" s="21">
        <v>3.0</v>
      </c>
      <c r="B11" s="42" t="s">
        <v>222</v>
      </c>
      <c r="C11" s="43" t="s">
        <v>487</v>
      </c>
      <c r="D11" s="42" t="s">
        <v>367</v>
      </c>
      <c r="E11" s="22" t="s">
        <v>57</v>
      </c>
      <c r="F11" s="22" t="s">
        <v>6277</v>
      </c>
      <c r="G11" s="22" t="s">
        <v>6255</v>
      </c>
      <c r="H11" s="22" t="s">
        <v>6255</v>
      </c>
      <c r="I11" s="22" t="s">
        <v>415</v>
      </c>
      <c r="J11" s="22" t="s">
        <v>6278</v>
      </c>
      <c r="K11" s="22" t="s">
        <v>6279</v>
      </c>
      <c r="L11" s="20"/>
      <c r="M11" s="20"/>
      <c r="N11" s="20"/>
      <c r="O11" s="20"/>
      <c r="P11" s="20"/>
      <c r="Q11" s="20"/>
      <c r="R11" s="20"/>
      <c r="S11" s="20"/>
      <c r="T11" s="20"/>
      <c r="U11" s="20"/>
      <c r="V11" s="20"/>
      <c r="W11" s="20"/>
      <c r="X11" s="20"/>
      <c r="Y11" s="20"/>
      <c r="Z11" s="20"/>
    </row>
    <row r="12">
      <c r="A12" s="21">
        <v>3.0</v>
      </c>
      <c r="B12" s="42" t="s">
        <v>222</v>
      </c>
      <c r="C12" s="43" t="s">
        <v>487</v>
      </c>
      <c r="D12" s="42" t="s">
        <v>557</v>
      </c>
      <c r="E12" s="22" t="s">
        <v>67</v>
      </c>
      <c r="F12" s="22" t="s">
        <v>6284</v>
      </c>
      <c r="G12" s="22" t="s">
        <v>6255</v>
      </c>
      <c r="H12" s="22" t="s">
        <v>6255</v>
      </c>
      <c r="I12" s="22" t="s">
        <v>415</v>
      </c>
      <c r="J12" s="22" t="s">
        <v>1517</v>
      </c>
      <c r="K12" s="22" t="s">
        <v>6275</v>
      </c>
      <c r="L12" s="20"/>
      <c r="M12" s="20"/>
      <c r="N12" s="20"/>
      <c r="O12" s="20"/>
      <c r="P12" s="20"/>
      <c r="Q12" s="20"/>
      <c r="R12" s="20"/>
      <c r="S12" s="20"/>
      <c r="T12" s="20"/>
      <c r="U12" s="20"/>
      <c r="V12" s="20"/>
      <c r="W12" s="20"/>
      <c r="X12" s="20"/>
      <c r="Y12" s="20"/>
      <c r="Z12" s="20"/>
    </row>
    <row r="13">
      <c r="A13" s="21">
        <v>3.0</v>
      </c>
      <c r="B13" s="42" t="s">
        <v>222</v>
      </c>
      <c r="C13" s="43" t="s">
        <v>487</v>
      </c>
      <c r="D13" s="42" t="s">
        <v>274</v>
      </c>
      <c r="E13" s="22" t="s">
        <v>67</v>
      </c>
      <c r="F13" s="22" t="s">
        <v>6286</v>
      </c>
      <c r="G13" s="22" t="s">
        <v>6255</v>
      </c>
      <c r="H13" s="22" t="s">
        <v>6255</v>
      </c>
      <c r="I13" s="22" t="s">
        <v>415</v>
      </c>
      <c r="J13" s="22" t="s">
        <v>6274</v>
      </c>
      <c r="K13" s="22" t="s">
        <v>6256</v>
      </c>
      <c r="L13" s="20"/>
      <c r="M13" s="20"/>
      <c r="N13" s="20"/>
      <c r="O13" s="20"/>
      <c r="P13" s="20"/>
      <c r="Q13" s="20"/>
      <c r="R13" s="20"/>
      <c r="S13" s="20"/>
      <c r="T13" s="20"/>
      <c r="U13" s="20"/>
      <c r="V13" s="20"/>
      <c r="W13" s="20"/>
      <c r="X13" s="20"/>
      <c r="Y13" s="20"/>
      <c r="Z13" s="20"/>
    </row>
    <row r="14">
      <c r="A14" s="21">
        <v>4.0</v>
      </c>
      <c r="B14" s="42" t="s">
        <v>270</v>
      </c>
      <c r="C14" s="43" t="s">
        <v>487</v>
      </c>
      <c r="D14" s="42" t="s">
        <v>541</v>
      </c>
      <c r="E14" s="22" t="s">
        <v>57</v>
      </c>
      <c r="F14" s="22" t="s">
        <v>6287</v>
      </c>
      <c r="G14" s="22" t="s">
        <v>6255</v>
      </c>
      <c r="H14" s="22" t="s">
        <v>6255</v>
      </c>
      <c r="I14" s="22" t="s">
        <v>415</v>
      </c>
      <c r="J14" s="22" t="s">
        <v>829</v>
      </c>
      <c r="K14" s="22" t="s">
        <v>6279</v>
      </c>
      <c r="L14" s="20"/>
      <c r="M14" s="20"/>
      <c r="N14" s="20"/>
      <c r="O14" s="20"/>
      <c r="P14" s="20"/>
      <c r="Q14" s="20"/>
      <c r="R14" s="20"/>
      <c r="S14" s="20"/>
      <c r="T14" s="20"/>
      <c r="U14" s="20"/>
      <c r="V14" s="20"/>
      <c r="W14" s="20"/>
      <c r="X14" s="20"/>
      <c r="Y14" s="20"/>
      <c r="Z14" s="20"/>
    </row>
    <row r="15">
      <c r="A15" s="21">
        <v>4.0</v>
      </c>
      <c r="B15" s="42" t="s">
        <v>270</v>
      </c>
      <c r="C15" s="43" t="s">
        <v>487</v>
      </c>
      <c r="D15" s="42" t="s">
        <v>308</v>
      </c>
      <c r="E15" s="22" t="s">
        <v>57</v>
      </c>
      <c r="F15" s="22" t="s">
        <v>6288</v>
      </c>
      <c r="G15" s="22" t="s">
        <v>6255</v>
      </c>
      <c r="H15" s="22" t="s">
        <v>6255</v>
      </c>
      <c r="I15" s="22" t="s">
        <v>415</v>
      </c>
      <c r="J15" s="22" t="s">
        <v>6289</v>
      </c>
      <c r="K15" s="22" t="s">
        <v>6279</v>
      </c>
      <c r="L15" s="20"/>
      <c r="M15" s="20"/>
      <c r="N15" s="20"/>
      <c r="O15" s="20"/>
      <c r="P15" s="20"/>
      <c r="Q15" s="20"/>
      <c r="R15" s="20"/>
      <c r="S15" s="20"/>
      <c r="T15" s="20"/>
      <c r="U15" s="20"/>
      <c r="V15" s="20"/>
      <c r="W15" s="20"/>
      <c r="X15" s="20"/>
      <c r="Y15" s="20"/>
      <c r="Z15" s="20"/>
    </row>
    <row r="16">
      <c r="A16" s="21">
        <v>4.0</v>
      </c>
      <c r="B16" s="42" t="s">
        <v>270</v>
      </c>
      <c r="C16" s="43" t="s">
        <v>487</v>
      </c>
      <c r="D16" s="42" t="s">
        <v>720</v>
      </c>
      <c r="E16" s="22" t="s">
        <v>57</v>
      </c>
      <c r="F16" s="22" t="s">
        <v>6290</v>
      </c>
      <c r="G16" s="22" t="s">
        <v>6255</v>
      </c>
      <c r="H16" s="22" t="s">
        <v>6255</v>
      </c>
      <c r="I16" s="22" t="s">
        <v>415</v>
      </c>
      <c r="J16" s="22" t="s">
        <v>6291</v>
      </c>
      <c r="K16" s="22" t="s">
        <v>6256</v>
      </c>
      <c r="L16" s="20"/>
      <c r="M16" s="20"/>
      <c r="N16" s="20"/>
      <c r="O16" s="20"/>
      <c r="P16" s="20"/>
      <c r="Q16" s="20"/>
      <c r="R16" s="20"/>
      <c r="S16" s="20"/>
      <c r="T16" s="20"/>
      <c r="U16" s="20"/>
      <c r="V16" s="20"/>
      <c r="W16" s="20"/>
      <c r="X16" s="20"/>
      <c r="Y16" s="20"/>
      <c r="Z16" s="20"/>
    </row>
    <row r="17">
      <c r="A17" s="21">
        <v>4.0</v>
      </c>
      <c r="B17" s="42" t="s">
        <v>270</v>
      </c>
      <c r="C17" s="43" t="s">
        <v>487</v>
      </c>
      <c r="D17" s="42" t="s">
        <v>833</v>
      </c>
      <c r="E17" s="22" t="s">
        <v>67</v>
      </c>
      <c r="F17" s="22" t="s">
        <v>6292</v>
      </c>
      <c r="G17" s="22" t="s">
        <v>6255</v>
      </c>
      <c r="H17" s="22" t="s">
        <v>6255</v>
      </c>
      <c r="I17" s="22" t="s">
        <v>415</v>
      </c>
      <c r="J17" s="22" t="s">
        <v>829</v>
      </c>
      <c r="K17" s="22" t="s">
        <v>6256</v>
      </c>
      <c r="L17" s="20"/>
      <c r="M17" s="20"/>
      <c r="N17" s="20"/>
      <c r="O17" s="20"/>
      <c r="P17" s="20"/>
      <c r="Q17" s="20"/>
      <c r="R17" s="20"/>
      <c r="S17" s="20"/>
      <c r="T17" s="20"/>
      <c r="U17" s="20"/>
      <c r="V17" s="20"/>
      <c r="W17" s="20"/>
      <c r="X17" s="20"/>
      <c r="Y17" s="20"/>
      <c r="Z17" s="20"/>
    </row>
    <row r="18">
      <c r="A18" s="21">
        <v>4.0</v>
      </c>
      <c r="B18" s="42" t="s">
        <v>270</v>
      </c>
      <c r="C18" s="43" t="s">
        <v>487</v>
      </c>
      <c r="D18" s="42" t="s">
        <v>716</v>
      </c>
      <c r="E18" s="22" t="s">
        <v>67</v>
      </c>
      <c r="F18" s="22" t="s">
        <v>6293</v>
      </c>
      <c r="G18" s="22" t="s">
        <v>6255</v>
      </c>
      <c r="H18" s="22" t="s">
        <v>6255</v>
      </c>
      <c r="I18" s="22" t="s">
        <v>415</v>
      </c>
      <c r="J18" s="22" t="s">
        <v>6289</v>
      </c>
      <c r="K18" s="22" t="s">
        <v>6279</v>
      </c>
      <c r="L18" s="20"/>
      <c r="M18" s="20"/>
      <c r="N18" s="20"/>
      <c r="O18" s="20"/>
      <c r="P18" s="20"/>
      <c r="Q18" s="20"/>
      <c r="R18" s="20"/>
      <c r="S18" s="20"/>
      <c r="T18" s="20"/>
      <c r="U18" s="20"/>
      <c r="V18" s="20"/>
      <c r="W18" s="20"/>
      <c r="X18" s="20"/>
      <c r="Y18" s="20"/>
      <c r="Z18" s="20"/>
    </row>
    <row r="19">
      <c r="A19" s="21">
        <v>5.0</v>
      </c>
      <c r="B19" s="42" t="s">
        <v>240</v>
      </c>
      <c r="C19" s="43" t="s">
        <v>487</v>
      </c>
      <c r="D19" s="42" t="s">
        <v>586</v>
      </c>
      <c r="E19" s="22" t="s">
        <v>57</v>
      </c>
      <c r="F19" s="22" t="s">
        <v>6295</v>
      </c>
      <c r="G19" s="22" t="s">
        <v>6255</v>
      </c>
      <c r="H19" s="22" t="s">
        <v>6255</v>
      </c>
      <c r="I19" s="22" t="s">
        <v>415</v>
      </c>
      <c r="J19" s="22" t="s">
        <v>936</v>
      </c>
      <c r="K19" s="22" t="s">
        <v>6279</v>
      </c>
      <c r="L19" s="20"/>
      <c r="M19" s="20"/>
      <c r="N19" s="20"/>
      <c r="O19" s="20"/>
      <c r="P19" s="20"/>
      <c r="Q19" s="20"/>
      <c r="R19" s="20"/>
      <c r="S19" s="20"/>
      <c r="T19" s="20"/>
      <c r="U19" s="20"/>
      <c r="V19" s="20"/>
      <c r="W19" s="20"/>
      <c r="X19" s="20"/>
      <c r="Y19" s="20"/>
      <c r="Z19" s="20"/>
    </row>
    <row r="20">
      <c r="A20" s="21">
        <v>5.0</v>
      </c>
      <c r="B20" s="42" t="s">
        <v>240</v>
      </c>
      <c r="C20" s="43" t="s">
        <v>487</v>
      </c>
      <c r="D20" s="42" t="s">
        <v>716</v>
      </c>
      <c r="E20" s="22" t="s">
        <v>57</v>
      </c>
      <c r="F20" s="22" t="s">
        <v>6297</v>
      </c>
      <c r="G20" s="22" t="s">
        <v>6255</v>
      </c>
      <c r="H20" s="22" t="s">
        <v>6255</v>
      </c>
      <c r="I20" s="22" t="s">
        <v>415</v>
      </c>
      <c r="J20" s="22" t="s">
        <v>934</v>
      </c>
      <c r="K20" s="22" t="s">
        <v>6279</v>
      </c>
      <c r="L20" s="20"/>
      <c r="M20" s="20"/>
      <c r="N20" s="20"/>
      <c r="O20" s="20"/>
      <c r="P20" s="20"/>
      <c r="Q20" s="20"/>
      <c r="R20" s="20"/>
      <c r="S20" s="20"/>
      <c r="T20" s="20"/>
      <c r="U20" s="20"/>
      <c r="V20" s="20"/>
      <c r="W20" s="20"/>
      <c r="X20" s="20"/>
      <c r="Y20" s="20"/>
      <c r="Z20" s="20"/>
    </row>
    <row r="21">
      <c r="A21" s="21">
        <v>5.0</v>
      </c>
      <c r="B21" s="42" t="s">
        <v>240</v>
      </c>
      <c r="C21" s="43" t="s">
        <v>487</v>
      </c>
      <c r="D21" s="42" t="s">
        <v>703</v>
      </c>
      <c r="E21" s="22" t="s">
        <v>67</v>
      </c>
      <c r="F21" s="22" t="s">
        <v>6301</v>
      </c>
      <c r="G21" s="22" t="s">
        <v>6255</v>
      </c>
      <c r="H21" s="22" t="s">
        <v>6255</v>
      </c>
      <c r="I21" s="22" t="s">
        <v>415</v>
      </c>
      <c r="J21" s="22" t="s">
        <v>983</v>
      </c>
      <c r="K21" s="22" t="s">
        <v>6256</v>
      </c>
      <c r="L21" s="20"/>
      <c r="M21" s="20"/>
      <c r="N21" s="20"/>
      <c r="O21" s="20"/>
      <c r="P21" s="20"/>
      <c r="Q21" s="20"/>
      <c r="R21" s="20"/>
      <c r="S21" s="20"/>
      <c r="T21" s="20"/>
      <c r="U21" s="20"/>
      <c r="V21" s="20"/>
      <c r="W21" s="20"/>
      <c r="X21" s="20"/>
      <c r="Y21" s="20"/>
      <c r="Z21" s="20"/>
    </row>
    <row r="22">
      <c r="A22" s="21">
        <v>5.0</v>
      </c>
      <c r="B22" s="42" t="s">
        <v>240</v>
      </c>
      <c r="C22" s="43" t="s">
        <v>487</v>
      </c>
      <c r="D22" s="42" t="s">
        <v>265</v>
      </c>
      <c r="E22" s="22" t="s">
        <v>67</v>
      </c>
      <c r="F22" s="22" t="s">
        <v>6304</v>
      </c>
      <c r="G22" s="22" t="s">
        <v>6255</v>
      </c>
      <c r="H22" s="22" t="s">
        <v>6255</v>
      </c>
      <c r="I22" s="22" t="s">
        <v>415</v>
      </c>
      <c r="J22" s="22" t="s">
        <v>936</v>
      </c>
      <c r="K22" s="22" t="s">
        <v>6279</v>
      </c>
      <c r="L22" s="20"/>
      <c r="M22" s="20"/>
      <c r="N22" s="20"/>
      <c r="O22" s="20"/>
      <c r="P22" s="20"/>
      <c r="Q22" s="20"/>
      <c r="R22" s="20"/>
      <c r="S22" s="20"/>
      <c r="T22" s="20"/>
      <c r="U22" s="20"/>
      <c r="V22" s="20"/>
      <c r="W22" s="20"/>
      <c r="X22" s="20"/>
      <c r="Y22" s="20"/>
      <c r="Z22" s="20"/>
    </row>
    <row r="23">
      <c r="A23" s="21">
        <v>6.0</v>
      </c>
      <c r="B23" s="42" t="s">
        <v>593</v>
      </c>
      <c r="C23" s="43" t="s">
        <v>487</v>
      </c>
      <c r="D23" s="42" t="s">
        <v>296</v>
      </c>
      <c r="E23" s="22" t="s">
        <v>57</v>
      </c>
      <c r="F23" s="22" t="s">
        <v>6306</v>
      </c>
      <c r="G23" s="22" t="s">
        <v>6255</v>
      </c>
      <c r="H23" s="22" t="s">
        <v>6255</v>
      </c>
      <c r="I23" s="22" t="s">
        <v>415</v>
      </c>
      <c r="J23" s="22" t="s">
        <v>990</v>
      </c>
      <c r="K23" s="22" t="s">
        <v>6256</v>
      </c>
      <c r="L23" s="20"/>
      <c r="M23" s="20"/>
      <c r="N23" s="20"/>
      <c r="O23" s="20"/>
      <c r="P23" s="20"/>
      <c r="Q23" s="20"/>
      <c r="R23" s="20"/>
      <c r="S23" s="20"/>
      <c r="T23" s="20"/>
      <c r="U23" s="20"/>
      <c r="V23" s="20"/>
      <c r="W23" s="20"/>
      <c r="X23" s="20"/>
      <c r="Y23" s="20"/>
      <c r="Z23" s="20"/>
    </row>
    <row r="24">
      <c r="A24" s="21">
        <v>6.0</v>
      </c>
      <c r="B24" s="42" t="s">
        <v>593</v>
      </c>
      <c r="C24" s="43" t="s">
        <v>487</v>
      </c>
      <c r="D24" s="42" t="s">
        <v>247</v>
      </c>
      <c r="E24" s="22" t="s">
        <v>57</v>
      </c>
      <c r="F24" s="22" t="s">
        <v>6307</v>
      </c>
      <c r="G24" s="22" t="s">
        <v>6255</v>
      </c>
      <c r="H24" s="22" t="s">
        <v>6255</v>
      </c>
      <c r="I24" s="22" t="s">
        <v>415</v>
      </c>
      <c r="J24" s="22" t="s">
        <v>994</v>
      </c>
      <c r="K24" s="22" t="s">
        <v>6308</v>
      </c>
      <c r="L24" s="20"/>
      <c r="M24" s="20"/>
      <c r="N24" s="20"/>
      <c r="O24" s="20"/>
      <c r="P24" s="20"/>
      <c r="Q24" s="20"/>
      <c r="R24" s="20"/>
      <c r="S24" s="20"/>
      <c r="T24" s="20"/>
      <c r="U24" s="20"/>
      <c r="V24" s="20"/>
      <c r="W24" s="20"/>
      <c r="X24" s="20"/>
      <c r="Y24" s="20"/>
      <c r="Z24" s="20"/>
    </row>
    <row r="25">
      <c r="A25" s="21">
        <v>6.0</v>
      </c>
      <c r="B25" s="42" t="s">
        <v>593</v>
      </c>
      <c r="C25" s="43" t="s">
        <v>487</v>
      </c>
      <c r="D25" s="42" t="s">
        <v>308</v>
      </c>
      <c r="E25" s="22" t="s">
        <v>67</v>
      </c>
      <c r="F25" s="22" t="s">
        <v>6309</v>
      </c>
      <c r="G25" s="22" t="s">
        <v>6255</v>
      </c>
      <c r="H25" s="22" t="s">
        <v>6255</v>
      </c>
      <c r="I25" s="22" t="s">
        <v>415</v>
      </c>
      <c r="J25" s="22" t="s">
        <v>1031</v>
      </c>
      <c r="K25" s="22" t="s">
        <v>6279</v>
      </c>
      <c r="L25" s="20"/>
      <c r="M25" s="20"/>
      <c r="N25" s="20"/>
      <c r="O25" s="20"/>
      <c r="P25" s="20"/>
      <c r="Q25" s="20"/>
      <c r="R25" s="20"/>
      <c r="S25" s="20"/>
      <c r="T25" s="20"/>
      <c r="U25" s="20"/>
      <c r="V25" s="20"/>
      <c r="W25" s="20"/>
      <c r="X25" s="20"/>
      <c r="Y25" s="20"/>
      <c r="Z25" s="20"/>
    </row>
    <row r="26">
      <c r="A26" s="21">
        <v>6.0</v>
      </c>
      <c r="B26" s="42" t="s">
        <v>593</v>
      </c>
      <c r="C26" s="43" t="s">
        <v>487</v>
      </c>
      <c r="D26" s="42" t="s">
        <v>586</v>
      </c>
      <c r="E26" s="22" t="s">
        <v>67</v>
      </c>
      <c r="F26" s="22" t="s">
        <v>6310</v>
      </c>
      <c r="G26" s="22" t="s">
        <v>6255</v>
      </c>
      <c r="H26" s="22" t="s">
        <v>6255</v>
      </c>
      <c r="I26" s="22" t="s">
        <v>415</v>
      </c>
      <c r="J26" s="22" t="s">
        <v>990</v>
      </c>
      <c r="K26" s="22" t="s">
        <v>6279</v>
      </c>
      <c r="L26" s="20"/>
      <c r="M26" s="20"/>
      <c r="N26" s="20"/>
      <c r="O26" s="20"/>
      <c r="P26" s="20"/>
      <c r="Q26" s="20"/>
      <c r="R26" s="20"/>
      <c r="S26" s="20"/>
      <c r="T26" s="20"/>
      <c r="U26" s="20"/>
      <c r="V26" s="20"/>
      <c r="W26" s="20"/>
      <c r="X26" s="20"/>
      <c r="Y26" s="20"/>
      <c r="Z26" s="20"/>
    </row>
    <row r="27">
      <c r="A27" s="21">
        <v>6.0</v>
      </c>
      <c r="B27" s="42" t="s">
        <v>593</v>
      </c>
      <c r="C27" s="43" t="s">
        <v>487</v>
      </c>
      <c r="D27" s="42" t="s">
        <v>257</v>
      </c>
      <c r="E27" s="22" t="s">
        <v>67</v>
      </c>
      <c r="F27" s="22" t="s">
        <v>6311</v>
      </c>
      <c r="G27" s="22" t="s">
        <v>6255</v>
      </c>
      <c r="H27" s="22" t="s">
        <v>6255</v>
      </c>
      <c r="I27" s="22" t="s">
        <v>415</v>
      </c>
      <c r="J27" s="22" t="s">
        <v>994</v>
      </c>
      <c r="K27" s="22" t="s">
        <v>6256</v>
      </c>
      <c r="L27" s="20"/>
      <c r="M27" s="20"/>
      <c r="N27" s="20"/>
      <c r="O27" s="20"/>
      <c r="P27" s="20"/>
      <c r="Q27" s="20"/>
      <c r="R27" s="20"/>
      <c r="S27" s="20"/>
      <c r="T27" s="20"/>
      <c r="U27" s="20"/>
      <c r="V27" s="20"/>
      <c r="W27" s="20"/>
      <c r="X27" s="20"/>
      <c r="Y27" s="20"/>
      <c r="Z27" s="20"/>
    </row>
    <row r="28">
      <c r="A28" s="21">
        <v>7.0</v>
      </c>
      <c r="B28" s="42" t="s">
        <v>701</v>
      </c>
      <c r="C28" s="43" t="s">
        <v>487</v>
      </c>
      <c r="D28" s="42" t="s">
        <v>278</v>
      </c>
      <c r="E28" s="22" t="s">
        <v>57</v>
      </c>
      <c r="F28" s="22" t="s">
        <v>6312</v>
      </c>
      <c r="G28" s="22" t="s">
        <v>6255</v>
      </c>
      <c r="H28" s="22" t="s">
        <v>6255</v>
      </c>
      <c r="I28" s="22" t="s">
        <v>415</v>
      </c>
      <c r="J28" s="22" t="s">
        <v>1059</v>
      </c>
      <c r="K28" s="22" t="s">
        <v>6256</v>
      </c>
      <c r="L28" s="20"/>
      <c r="M28" s="20"/>
      <c r="N28" s="20"/>
      <c r="O28" s="20"/>
      <c r="P28" s="20"/>
      <c r="Q28" s="20"/>
      <c r="R28" s="20"/>
      <c r="S28" s="20"/>
      <c r="T28" s="20"/>
      <c r="U28" s="20"/>
      <c r="V28" s="20"/>
      <c r="W28" s="20"/>
      <c r="X28" s="20"/>
      <c r="Y28" s="20"/>
      <c r="Z28" s="20"/>
    </row>
    <row r="29">
      <c r="A29" s="21">
        <v>7.0</v>
      </c>
      <c r="B29" s="42" t="s">
        <v>701</v>
      </c>
      <c r="C29" s="43" t="s">
        <v>487</v>
      </c>
      <c r="D29" s="42" t="s">
        <v>632</v>
      </c>
      <c r="E29" s="22" t="s">
        <v>57</v>
      </c>
      <c r="F29" s="22" t="s">
        <v>6314</v>
      </c>
      <c r="G29" s="22" t="s">
        <v>6255</v>
      </c>
      <c r="H29" s="22" t="s">
        <v>6255</v>
      </c>
      <c r="I29" s="22" t="s">
        <v>415</v>
      </c>
      <c r="J29" s="22" t="s">
        <v>1052</v>
      </c>
      <c r="K29" s="22" t="s">
        <v>6256</v>
      </c>
      <c r="L29" s="20"/>
      <c r="M29" s="20"/>
      <c r="N29" s="20"/>
      <c r="O29" s="20"/>
      <c r="P29" s="20"/>
      <c r="Q29" s="20"/>
      <c r="R29" s="20"/>
      <c r="S29" s="20"/>
      <c r="T29" s="20"/>
      <c r="U29" s="20"/>
      <c r="V29" s="20"/>
      <c r="W29" s="20"/>
      <c r="X29" s="20"/>
      <c r="Y29" s="20"/>
      <c r="Z29" s="20"/>
    </row>
    <row r="30">
      <c r="A30" s="21">
        <v>7.0</v>
      </c>
      <c r="B30" s="42" t="s">
        <v>701</v>
      </c>
      <c r="C30" s="43" t="s">
        <v>487</v>
      </c>
      <c r="D30" s="42" t="s">
        <v>530</v>
      </c>
      <c r="E30" s="22" t="s">
        <v>57</v>
      </c>
      <c r="F30" s="22" t="s">
        <v>6316</v>
      </c>
      <c r="G30" s="22" t="s">
        <v>6255</v>
      </c>
      <c r="H30" s="22" t="s">
        <v>6255</v>
      </c>
      <c r="I30" s="22" t="s">
        <v>415</v>
      </c>
      <c r="J30" s="22" t="s">
        <v>1071</v>
      </c>
      <c r="K30" s="22" t="s">
        <v>6256</v>
      </c>
      <c r="L30" s="20"/>
      <c r="M30" s="20"/>
      <c r="N30" s="20"/>
      <c r="O30" s="20"/>
      <c r="P30" s="20"/>
      <c r="Q30" s="20"/>
      <c r="R30" s="20"/>
      <c r="S30" s="20"/>
      <c r="T30" s="20"/>
      <c r="U30" s="20"/>
      <c r="V30" s="20"/>
      <c r="W30" s="20"/>
      <c r="X30" s="20"/>
      <c r="Y30" s="20"/>
      <c r="Z30" s="20"/>
    </row>
    <row r="31">
      <c r="A31" s="21">
        <v>7.0</v>
      </c>
      <c r="B31" s="42" t="s">
        <v>701</v>
      </c>
      <c r="C31" s="43" t="s">
        <v>487</v>
      </c>
      <c r="D31" s="42" t="s">
        <v>612</v>
      </c>
      <c r="E31" s="22" t="s">
        <v>67</v>
      </c>
      <c r="F31" s="22" t="s">
        <v>6317</v>
      </c>
      <c r="G31" s="22" t="s">
        <v>6255</v>
      </c>
      <c r="H31" s="22" t="s">
        <v>6255</v>
      </c>
      <c r="I31" s="22" t="s">
        <v>415</v>
      </c>
      <c r="J31" s="22" t="s">
        <v>1059</v>
      </c>
      <c r="K31" s="22" t="s">
        <v>6308</v>
      </c>
      <c r="L31" s="20"/>
      <c r="M31" s="20"/>
      <c r="N31" s="20"/>
      <c r="O31" s="20"/>
      <c r="P31" s="20"/>
      <c r="Q31" s="20"/>
      <c r="R31" s="20"/>
      <c r="S31" s="20"/>
      <c r="T31" s="20"/>
      <c r="U31" s="20"/>
      <c r="V31" s="20"/>
      <c r="W31" s="20"/>
      <c r="X31" s="20"/>
      <c r="Y31" s="20"/>
      <c r="Z31" s="20"/>
    </row>
    <row r="32">
      <c r="A32" s="21">
        <v>8.0</v>
      </c>
      <c r="B32" s="42" t="s">
        <v>561</v>
      </c>
      <c r="C32" s="43" t="s">
        <v>487</v>
      </c>
      <c r="D32" s="42" t="s">
        <v>728</v>
      </c>
      <c r="E32" s="22" t="s">
        <v>57</v>
      </c>
      <c r="F32" s="22" t="s">
        <v>6318</v>
      </c>
      <c r="G32" s="22" t="s">
        <v>6255</v>
      </c>
      <c r="H32" s="22" t="s">
        <v>6255</v>
      </c>
      <c r="I32" s="22" t="s">
        <v>415</v>
      </c>
      <c r="J32" s="22" t="s">
        <v>1096</v>
      </c>
      <c r="K32" s="20"/>
      <c r="L32" s="20"/>
      <c r="M32" s="20"/>
      <c r="N32" s="20"/>
      <c r="O32" s="20"/>
      <c r="P32" s="20"/>
      <c r="Q32" s="20"/>
      <c r="R32" s="20"/>
      <c r="S32" s="20"/>
      <c r="T32" s="20"/>
      <c r="U32" s="20"/>
      <c r="V32" s="20"/>
      <c r="W32" s="20"/>
      <c r="X32" s="20"/>
      <c r="Y32" s="20"/>
      <c r="Z32" s="20"/>
    </row>
    <row r="33">
      <c r="A33" s="21">
        <v>8.0</v>
      </c>
      <c r="B33" s="42" t="s">
        <v>561</v>
      </c>
      <c r="C33" s="43" t="s">
        <v>487</v>
      </c>
      <c r="D33" s="42" t="s">
        <v>723</v>
      </c>
      <c r="E33" s="22" t="s">
        <v>57</v>
      </c>
      <c r="F33" s="22" t="s">
        <v>6319</v>
      </c>
      <c r="G33" s="22" t="s">
        <v>6255</v>
      </c>
      <c r="H33" s="22" t="s">
        <v>6255</v>
      </c>
      <c r="I33" s="22" t="s">
        <v>415</v>
      </c>
      <c r="J33" s="22" t="s">
        <v>1094</v>
      </c>
      <c r="K33" s="22" t="s">
        <v>6256</v>
      </c>
      <c r="L33" s="20"/>
      <c r="M33" s="20"/>
      <c r="N33" s="20"/>
      <c r="O33" s="20"/>
      <c r="P33" s="20"/>
      <c r="Q33" s="20"/>
      <c r="R33" s="20"/>
      <c r="S33" s="20"/>
      <c r="T33" s="20"/>
      <c r="U33" s="20"/>
      <c r="V33" s="20"/>
      <c r="W33" s="20"/>
      <c r="X33" s="20"/>
      <c r="Y33" s="20"/>
      <c r="Z33" s="20"/>
    </row>
    <row r="34">
      <c r="A34" s="21">
        <v>8.0</v>
      </c>
      <c r="B34" s="42" t="s">
        <v>561</v>
      </c>
      <c r="C34" s="43" t="s">
        <v>487</v>
      </c>
      <c r="D34" s="42" t="s">
        <v>737</v>
      </c>
      <c r="E34" s="22" t="s">
        <v>57</v>
      </c>
      <c r="F34" s="22" t="s">
        <v>6320</v>
      </c>
      <c r="G34" s="22" t="s">
        <v>6255</v>
      </c>
      <c r="H34" s="22" t="s">
        <v>6255</v>
      </c>
      <c r="I34" s="22" t="s">
        <v>415</v>
      </c>
      <c r="J34" s="22" t="s">
        <v>1096</v>
      </c>
      <c r="K34" s="22" t="s">
        <v>6256</v>
      </c>
      <c r="L34" s="20"/>
      <c r="M34" s="20"/>
      <c r="N34" s="20"/>
      <c r="O34" s="20"/>
      <c r="P34" s="20"/>
      <c r="Q34" s="20"/>
      <c r="R34" s="20"/>
      <c r="S34" s="20"/>
      <c r="T34" s="20"/>
      <c r="U34" s="20"/>
      <c r="V34" s="20"/>
      <c r="W34" s="20"/>
      <c r="X34" s="20"/>
      <c r="Y34" s="20"/>
      <c r="Z34" s="20"/>
    </row>
    <row r="35">
      <c r="A35" s="21">
        <v>8.0</v>
      </c>
      <c r="B35" s="42" t="s">
        <v>561</v>
      </c>
      <c r="C35" s="43" t="s">
        <v>487</v>
      </c>
      <c r="D35" s="42" t="s">
        <v>605</v>
      </c>
      <c r="E35" s="22" t="s">
        <v>67</v>
      </c>
      <c r="F35" s="22" t="s">
        <v>6321</v>
      </c>
      <c r="G35" s="22" t="s">
        <v>6255</v>
      </c>
      <c r="H35" s="22" t="s">
        <v>6255</v>
      </c>
      <c r="I35" s="22" t="s">
        <v>415</v>
      </c>
      <c r="J35" s="22" t="s">
        <v>1094</v>
      </c>
      <c r="K35" s="22" t="s">
        <v>6322</v>
      </c>
      <c r="L35" s="20"/>
      <c r="M35" s="20"/>
      <c r="N35" s="20"/>
      <c r="O35" s="20"/>
      <c r="P35" s="20"/>
      <c r="Q35" s="20"/>
      <c r="R35" s="20"/>
      <c r="S35" s="20"/>
      <c r="T35" s="20"/>
      <c r="U35" s="20"/>
      <c r="V35" s="20"/>
      <c r="W35" s="20"/>
      <c r="X35" s="20"/>
      <c r="Y35" s="20"/>
      <c r="Z35" s="20"/>
    </row>
    <row r="36">
      <c r="A36" s="21">
        <v>9.0</v>
      </c>
      <c r="B36" s="42" t="s">
        <v>341</v>
      </c>
      <c r="C36" s="43" t="s">
        <v>487</v>
      </c>
      <c r="D36" s="42" t="s">
        <v>541</v>
      </c>
      <c r="E36" s="22" t="s">
        <v>57</v>
      </c>
      <c r="F36" s="22" t="s">
        <v>6323</v>
      </c>
      <c r="G36" s="22" t="s">
        <v>6255</v>
      </c>
      <c r="H36" s="22" t="s">
        <v>6255</v>
      </c>
      <c r="I36" s="22" t="s">
        <v>415</v>
      </c>
      <c r="J36" s="22" t="s">
        <v>1177</v>
      </c>
      <c r="K36" s="22" t="s">
        <v>6279</v>
      </c>
      <c r="L36" s="20"/>
      <c r="M36" s="20"/>
      <c r="N36" s="20"/>
      <c r="O36" s="20"/>
      <c r="P36" s="20"/>
      <c r="Q36" s="20"/>
      <c r="R36" s="20"/>
      <c r="S36" s="20"/>
      <c r="T36" s="20"/>
      <c r="U36" s="20"/>
      <c r="V36" s="20"/>
      <c r="W36" s="20"/>
      <c r="X36" s="20"/>
      <c r="Y36" s="20"/>
      <c r="Z36" s="20"/>
    </row>
    <row r="37">
      <c r="A37" s="21">
        <v>9.0</v>
      </c>
      <c r="B37" s="42" t="s">
        <v>341</v>
      </c>
      <c r="C37" s="43" t="s">
        <v>487</v>
      </c>
      <c r="D37" s="42" t="s">
        <v>851</v>
      </c>
      <c r="E37" s="22" t="s">
        <v>57</v>
      </c>
      <c r="F37" s="22" t="s">
        <v>6324</v>
      </c>
      <c r="G37" s="22" t="s">
        <v>6255</v>
      </c>
      <c r="H37" s="22" t="s">
        <v>6255</v>
      </c>
      <c r="I37" s="22" t="s">
        <v>415</v>
      </c>
      <c r="J37" s="22" t="s">
        <v>1180</v>
      </c>
      <c r="K37" s="22" t="s">
        <v>6256</v>
      </c>
      <c r="L37" s="20"/>
      <c r="M37" s="20"/>
      <c r="N37" s="20"/>
      <c r="O37" s="20"/>
      <c r="P37" s="20"/>
      <c r="Q37" s="20"/>
      <c r="R37" s="20"/>
      <c r="S37" s="20"/>
      <c r="T37" s="20"/>
      <c r="U37" s="20"/>
      <c r="V37" s="20"/>
      <c r="W37" s="20"/>
      <c r="X37" s="20"/>
      <c r="Y37" s="20"/>
      <c r="Z37" s="20"/>
    </row>
    <row r="38">
      <c r="A38" s="21">
        <v>9.0</v>
      </c>
      <c r="B38" s="42" t="s">
        <v>341</v>
      </c>
      <c r="C38" s="43" t="s">
        <v>487</v>
      </c>
      <c r="D38" s="42" t="s">
        <v>860</v>
      </c>
      <c r="E38" s="22" t="s">
        <v>67</v>
      </c>
      <c r="F38" s="22" t="s">
        <v>6325</v>
      </c>
      <c r="G38" s="22" t="s">
        <v>6255</v>
      </c>
      <c r="H38" s="22" t="s">
        <v>6255</v>
      </c>
      <c r="I38" s="22" t="s">
        <v>415</v>
      </c>
      <c r="J38" s="22" t="s">
        <v>1205</v>
      </c>
      <c r="K38" s="22" t="s">
        <v>6256</v>
      </c>
      <c r="L38" s="20"/>
      <c r="M38" s="20"/>
      <c r="N38" s="20"/>
      <c r="O38" s="20"/>
      <c r="P38" s="20"/>
      <c r="Q38" s="20"/>
      <c r="R38" s="20"/>
      <c r="S38" s="20"/>
      <c r="T38" s="20"/>
      <c r="U38" s="20"/>
      <c r="V38" s="20"/>
      <c r="W38" s="20"/>
      <c r="X38" s="20"/>
      <c r="Y38" s="20"/>
      <c r="Z38" s="20"/>
    </row>
    <row r="39">
      <c r="A39" s="21">
        <v>9.0</v>
      </c>
      <c r="B39" s="42" t="s">
        <v>341</v>
      </c>
      <c r="C39" s="43" t="s">
        <v>487</v>
      </c>
      <c r="D39" s="42" t="s">
        <v>6326</v>
      </c>
      <c r="E39" s="22" t="s">
        <v>67</v>
      </c>
      <c r="F39" s="22" t="s">
        <v>6327</v>
      </c>
      <c r="G39" s="22" t="s">
        <v>6255</v>
      </c>
      <c r="H39" s="22" t="s">
        <v>6255</v>
      </c>
      <c r="I39" s="22" t="s">
        <v>415</v>
      </c>
      <c r="J39" s="22" t="s">
        <v>1177</v>
      </c>
      <c r="K39" s="22" t="s">
        <v>6256</v>
      </c>
      <c r="L39" s="20"/>
      <c r="M39" s="20"/>
      <c r="N39" s="20"/>
      <c r="O39" s="20"/>
      <c r="P39" s="20"/>
      <c r="Q39" s="20"/>
      <c r="R39" s="20"/>
      <c r="S39" s="20"/>
      <c r="T39" s="20"/>
      <c r="U39" s="20"/>
      <c r="V39" s="20"/>
      <c r="W39" s="20"/>
      <c r="X39" s="20"/>
      <c r="Y39" s="20"/>
      <c r="Z39" s="20"/>
    </row>
    <row r="40">
      <c r="A40" s="21">
        <v>10.0</v>
      </c>
      <c r="B40" s="42" t="s">
        <v>1225</v>
      </c>
      <c r="C40" s="43" t="s">
        <v>1564</v>
      </c>
      <c r="D40" s="42" t="s">
        <v>1236</v>
      </c>
      <c r="E40" s="22" t="s">
        <v>57</v>
      </c>
      <c r="F40" s="22" t="s">
        <v>6328</v>
      </c>
      <c r="G40" s="22" t="s">
        <v>6255</v>
      </c>
      <c r="H40" s="22" t="s">
        <v>6255</v>
      </c>
      <c r="I40" s="22" t="s">
        <v>415</v>
      </c>
      <c r="J40" s="22" t="s">
        <v>2877</v>
      </c>
      <c r="K40" s="22" t="s">
        <v>6256</v>
      </c>
      <c r="L40" s="20"/>
      <c r="M40" s="20"/>
      <c r="N40" s="20"/>
      <c r="O40" s="20"/>
      <c r="P40" s="20"/>
      <c r="Q40" s="20"/>
      <c r="R40" s="20"/>
      <c r="S40" s="20"/>
      <c r="T40" s="20"/>
      <c r="U40" s="20"/>
      <c r="V40" s="20"/>
      <c r="W40" s="20"/>
      <c r="X40" s="20"/>
      <c r="Y40" s="20"/>
      <c r="Z40" s="20"/>
    </row>
    <row r="41">
      <c r="A41" s="21">
        <v>10.0</v>
      </c>
      <c r="B41" s="42" t="s">
        <v>1225</v>
      </c>
      <c r="C41" s="43" t="s">
        <v>1564</v>
      </c>
      <c r="D41" s="42" t="s">
        <v>1228</v>
      </c>
      <c r="E41" s="22" t="s">
        <v>57</v>
      </c>
      <c r="F41" s="22" t="s">
        <v>6329</v>
      </c>
      <c r="G41" s="22" t="s">
        <v>6255</v>
      </c>
      <c r="H41" s="22" t="s">
        <v>6255</v>
      </c>
      <c r="I41" s="22" t="s">
        <v>415</v>
      </c>
      <c r="J41" s="22" t="s">
        <v>6330</v>
      </c>
      <c r="K41" s="22" t="s">
        <v>6256</v>
      </c>
      <c r="L41" s="20"/>
      <c r="M41" s="20"/>
      <c r="N41" s="20"/>
      <c r="O41" s="20"/>
      <c r="P41" s="20"/>
      <c r="Q41" s="20"/>
      <c r="R41" s="20"/>
      <c r="S41" s="20"/>
      <c r="T41" s="20"/>
      <c r="U41" s="20"/>
      <c r="V41" s="20"/>
      <c r="W41" s="20"/>
      <c r="X41" s="20"/>
      <c r="Y41" s="20"/>
      <c r="Z41" s="20"/>
    </row>
    <row r="42">
      <c r="A42" s="21">
        <v>10.0</v>
      </c>
      <c r="B42" s="42" t="s">
        <v>1225</v>
      </c>
      <c r="C42" s="43" t="s">
        <v>1564</v>
      </c>
      <c r="D42" s="42" t="s">
        <v>1232</v>
      </c>
      <c r="E42" s="22" t="s">
        <v>57</v>
      </c>
      <c r="F42" s="22" t="s">
        <v>6331</v>
      </c>
      <c r="G42" s="22" t="s">
        <v>6255</v>
      </c>
      <c r="H42" s="22" t="s">
        <v>6255</v>
      </c>
      <c r="I42" s="22" t="s">
        <v>415</v>
      </c>
      <c r="J42" s="22" t="s">
        <v>6332</v>
      </c>
      <c r="K42" s="22" t="s">
        <v>6256</v>
      </c>
      <c r="L42" s="20"/>
      <c r="M42" s="20"/>
      <c r="N42" s="20"/>
      <c r="O42" s="20"/>
      <c r="P42" s="20"/>
      <c r="Q42" s="20"/>
      <c r="R42" s="20"/>
      <c r="S42" s="20"/>
      <c r="T42" s="20"/>
      <c r="U42" s="20"/>
      <c r="V42" s="20"/>
      <c r="W42" s="20"/>
      <c r="X42" s="20"/>
      <c r="Y42" s="20"/>
      <c r="Z42" s="20"/>
    </row>
    <row r="43">
      <c r="A43" s="21">
        <v>10.0</v>
      </c>
      <c r="B43" s="42" t="s">
        <v>1225</v>
      </c>
      <c r="C43" s="43" t="s">
        <v>1564</v>
      </c>
      <c r="D43" s="42" t="s">
        <v>1240</v>
      </c>
      <c r="E43" s="22" t="s">
        <v>67</v>
      </c>
      <c r="F43" s="22" t="s">
        <v>6333</v>
      </c>
      <c r="G43" s="22" t="s">
        <v>6255</v>
      </c>
      <c r="H43" s="22" t="s">
        <v>6255</v>
      </c>
      <c r="I43" s="22" t="s">
        <v>415</v>
      </c>
      <c r="J43" s="22" t="s">
        <v>2877</v>
      </c>
      <c r="K43" s="22" t="s">
        <v>6256</v>
      </c>
      <c r="L43" s="20"/>
      <c r="M43" s="20"/>
      <c r="N43" s="20"/>
      <c r="O43" s="20"/>
      <c r="P43" s="20"/>
      <c r="Q43" s="20"/>
      <c r="R43" s="20"/>
      <c r="S43" s="20"/>
      <c r="T43" s="20"/>
      <c r="U43" s="20"/>
      <c r="V43" s="20"/>
      <c r="W43" s="20"/>
      <c r="X43" s="20"/>
      <c r="Y43" s="20"/>
      <c r="Z43" s="20"/>
    </row>
    <row r="44">
      <c r="A44" s="21">
        <v>10.0</v>
      </c>
      <c r="B44" s="42" t="s">
        <v>1225</v>
      </c>
      <c r="C44" s="43" t="s">
        <v>1564</v>
      </c>
      <c r="D44" s="42" t="s">
        <v>1244</v>
      </c>
      <c r="E44" s="22" t="s">
        <v>67</v>
      </c>
      <c r="F44" s="22" t="s">
        <v>6334</v>
      </c>
      <c r="G44" s="22" t="s">
        <v>6255</v>
      </c>
      <c r="H44" s="22" t="s">
        <v>6255</v>
      </c>
      <c r="I44" s="22" t="s">
        <v>415</v>
      </c>
      <c r="J44" s="22" t="s">
        <v>6330</v>
      </c>
      <c r="K44" s="22" t="s">
        <v>6256</v>
      </c>
      <c r="L44" s="20"/>
      <c r="M44" s="20"/>
      <c r="N44" s="20"/>
      <c r="O44" s="20"/>
      <c r="P44" s="20"/>
      <c r="Q44" s="20"/>
      <c r="R44" s="20"/>
      <c r="S44" s="20"/>
      <c r="T44" s="20"/>
      <c r="U44" s="20"/>
      <c r="V44" s="20"/>
      <c r="W44" s="20"/>
      <c r="X44" s="20"/>
      <c r="Y44" s="20"/>
      <c r="Z44" s="20"/>
    </row>
    <row r="45">
      <c r="A45" s="21">
        <v>11.0</v>
      </c>
      <c r="B45" s="42" t="s">
        <v>962</v>
      </c>
      <c r="C45" s="43" t="s">
        <v>1564</v>
      </c>
      <c r="D45" s="42" t="s">
        <v>947</v>
      </c>
      <c r="E45" s="22" t="s">
        <v>57</v>
      </c>
      <c r="F45" s="22" t="s">
        <v>6335</v>
      </c>
      <c r="G45" s="22" t="s">
        <v>6255</v>
      </c>
      <c r="H45" s="22" t="s">
        <v>6255</v>
      </c>
      <c r="I45" s="22" t="s">
        <v>415</v>
      </c>
      <c r="J45" s="22" t="s">
        <v>3073</v>
      </c>
      <c r="K45" s="22" t="s">
        <v>6256</v>
      </c>
      <c r="L45" s="20"/>
      <c r="M45" s="20"/>
      <c r="N45" s="20"/>
      <c r="O45" s="20"/>
      <c r="P45" s="20"/>
      <c r="Q45" s="20"/>
      <c r="R45" s="20"/>
      <c r="S45" s="20"/>
      <c r="T45" s="20"/>
      <c r="U45" s="20"/>
      <c r="V45" s="20"/>
      <c r="W45" s="20"/>
      <c r="X45" s="20"/>
      <c r="Y45" s="20"/>
      <c r="Z45" s="20"/>
    </row>
    <row r="46">
      <c r="A46" s="21">
        <v>11.0</v>
      </c>
      <c r="B46" s="42" t="s">
        <v>962</v>
      </c>
      <c r="C46" s="43" t="s">
        <v>1564</v>
      </c>
      <c r="D46" s="42" t="s">
        <v>1048</v>
      </c>
      <c r="E46" s="22" t="s">
        <v>57</v>
      </c>
      <c r="F46" s="22" t="s">
        <v>6336</v>
      </c>
      <c r="G46" s="22" t="s">
        <v>6255</v>
      </c>
      <c r="H46" s="22" t="s">
        <v>6255</v>
      </c>
      <c r="I46" s="22" t="s">
        <v>415</v>
      </c>
      <c r="J46" s="22" t="s">
        <v>6337</v>
      </c>
      <c r="K46" s="22" t="s">
        <v>6256</v>
      </c>
      <c r="L46" s="20"/>
      <c r="M46" s="20"/>
      <c r="N46" s="20"/>
      <c r="O46" s="20"/>
      <c r="P46" s="20"/>
      <c r="Q46" s="20"/>
      <c r="R46" s="20"/>
      <c r="S46" s="20"/>
      <c r="T46" s="20"/>
      <c r="U46" s="20"/>
      <c r="V46" s="20"/>
      <c r="W46" s="20"/>
      <c r="X46" s="20"/>
      <c r="Y46" s="20"/>
      <c r="Z46" s="20"/>
    </row>
    <row r="47">
      <c r="A47" s="21">
        <v>11.0</v>
      </c>
      <c r="B47" s="42" t="s">
        <v>962</v>
      </c>
      <c r="C47" s="43" t="s">
        <v>1564</v>
      </c>
      <c r="D47" s="42" t="s">
        <v>1268</v>
      </c>
      <c r="E47" s="22" t="s">
        <v>57</v>
      </c>
      <c r="F47" s="22" t="s">
        <v>6338</v>
      </c>
      <c r="G47" s="22" t="s">
        <v>6255</v>
      </c>
      <c r="H47" s="22" t="s">
        <v>6255</v>
      </c>
      <c r="I47" s="22" t="s">
        <v>415</v>
      </c>
      <c r="J47" s="22" t="s">
        <v>6339</v>
      </c>
      <c r="K47" s="22" t="s">
        <v>6256</v>
      </c>
      <c r="L47" s="20"/>
      <c r="M47" s="20"/>
      <c r="N47" s="20"/>
      <c r="O47" s="20"/>
      <c r="P47" s="20"/>
      <c r="Q47" s="20"/>
      <c r="R47" s="20"/>
      <c r="S47" s="20"/>
      <c r="T47" s="20"/>
      <c r="U47" s="20"/>
      <c r="V47" s="20"/>
      <c r="W47" s="20"/>
      <c r="X47" s="20"/>
      <c r="Y47" s="20"/>
      <c r="Z47" s="20"/>
    </row>
    <row r="48">
      <c r="A48" s="21">
        <v>11.0</v>
      </c>
      <c r="B48" s="42" t="s">
        <v>962</v>
      </c>
      <c r="C48" s="43" t="s">
        <v>1564</v>
      </c>
      <c r="D48" s="42" t="s">
        <v>1285</v>
      </c>
      <c r="E48" s="22" t="s">
        <v>67</v>
      </c>
      <c r="F48" s="22" t="s">
        <v>6340</v>
      </c>
      <c r="G48" s="22" t="s">
        <v>6255</v>
      </c>
      <c r="H48" s="22" t="s">
        <v>6255</v>
      </c>
      <c r="I48" s="22" t="s">
        <v>415</v>
      </c>
      <c r="J48" s="22" t="s">
        <v>3073</v>
      </c>
      <c r="K48" s="22" t="s">
        <v>6256</v>
      </c>
      <c r="L48" s="20"/>
      <c r="M48" s="20"/>
      <c r="N48" s="20"/>
      <c r="O48" s="20"/>
      <c r="P48" s="20"/>
      <c r="Q48" s="20"/>
      <c r="R48" s="20"/>
      <c r="S48" s="20"/>
      <c r="T48" s="20"/>
      <c r="U48" s="20"/>
      <c r="V48" s="20"/>
      <c r="W48" s="20"/>
      <c r="X48" s="20"/>
      <c r="Y48" s="20"/>
      <c r="Z48" s="20"/>
    </row>
    <row r="49">
      <c r="A49" s="21">
        <v>11.0</v>
      </c>
      <c r="B49" s="42" t="s">
        <v>962</v>
      </c>
      <c r="C49" s="43" t="s">
        <v>1564</v>
      </c>
      <c r="D49" s="42" t="s">
        <v>1139</v>
      </c>
      <c r="E49" s="22" t="s">
        <v>67</v>
      </c>
      <c r="F49" s="22" t="s">
        <v>6341</v>
      </c>
      <c r="G49" s="22" t="s">
        <v>6255</v>
      </c>
      <c r="H49" s="22" t="s">
        <v>6255</v>
      </c>
      <c r="I49" s="22" t="s">
        <v>415</v>
      </c>
      <c r="J49" s="22" t="s">
        <v>6337</v>
      </c>
      <c r="K49" s="22" t="s">
        <v>6279</v>
      </c>
      <c r="L49" s="20"/>
      <c r="M49" s="20"/>
      <c r="N49" s="20"/>
      <c r="O49" s="20"/>
      <c r="P49" s="20"/>
      <c r="Q49" s="20"/>
      <c r="R49" s="20"/>
      <c r="S49" s="20"/>
      <c r="T49" s="20"/>
      <c r="U49" s="20"/>
      <c r="V49" s="20"/>
      <c r="W49" s="20"/>
      <c r="X49" s="20"/>
      <c r="Y49" s="20"/>
      <c r="Z49" s="20"/>
    </row>
    <row r="50">
      <c r="A50" s="21">
        <v>12.0</v>
      </c>
      <c r="B50" s="42" t="s">
        <v>375</v>
      </c>
      <c r="C50" s="43" t="s">
        <v>1564</v>
      </c>
      <c r="D50" s="42" t="s">
        <v>746</v>
      </c>
      <c r="E50" s="22" t="s">
        <v>57</v>
      </c>
      <c r="F50" s="22" t="s">
        <v>6342</v>
      </c>
      <c r="G50" s="22" t="s">
        <v>6255</v>
      </c>
      <c r="H50" s="22" t="s">
        <v>6255</v>
      </c>
      <c r="I50" s="22" t="s">
        <v>415</v>
      </c>
      <c r="J50" s="22" t="s">
        <v>3275</v>
      </c>
      <c r="K50" s="22" t="s">
        <v>6275</v>
      </c>
      <c r="L50" s="20"/>
      <c r="M50" s="20"/>
      <c r="N50" s="20"/>
      <c r="O50" s="20"/>
      <c r="P50" s="20"/>
      <c r="Q50" s="20"/>
      <c r="R50" s="20"/>
      <c r="S50" s="20"/>
      <c r="T50" s="20"/>
      <c r="U50" s="20"/>
      <c r="V50" s="20"/>
      <c r="W50" s="20"/>
      <c r="X50" s="20"/>
      <c r="Y50" s="20"/>
      <c r="Z50" s="20"/>
    </row>
    <row r="51">
      <c r="A51" s="21">
        <v>12.0</v>
      </c>
      <c r="B51" s="42" t="s">
        <v>375</v>
      </c>
      <c r="C51" s="43" t="s">
        <v>1564</v>
      </c>
      <c r="D51" s="42" t="s">
        <v>557</v>
      </c>
      <c r="E51" s="22" t="s">
        <v>57</v>
      </c>
      <c r="F51" s="22" t="s">
        <v>6343</v>
      </c>
      <c r="G51" s="22" t="s">
        <v>6255</v>
      </c>
      <c r="H51" s="22" t="s">
        <v>6255</v>
      </c>
      <c r="I51" s="22" t="s">
        <v>415</v>
      </c>
      <c r="J51" s="22" t="s">
        <v>6344</v>
      </c>
      <c r="K51" s="22" t="s">
        <v>6275</v>
      </c>
      <c r="L51" s="20"/>
      <c r="M51" s="20"/>
      <c r="N51" s="20"/>
      <c r="O51" s="20"/>
      <c r="P51" s="20"/>
      <c r="Q51" s="20"/>
      <c r="R51" s="20"/>
      <c r="S51" s="20"/>
      <c r="T51" s="20"/>
      <c r="U51" s="20"/>
      <c r="V51" s="20"/>
      <c r="W51" s="20"/>
      <c r="X51" s="20"/>
      <c r="Y51" s="20"/>
      <c r="Z51" s="20"/>
    </row>
    <row r="52">
      <c r="A52" s="21">
        <v>12.0</v>
      </c>
      <c r="B52" s="42" t="s">
        <v>375</v>
      </c>
      <c r="C52" s="43" t="s">
        <v>1564</v>
      </c>
      <c r="D52" s="42" t="s">
        <v>734</v>
      </c>
      <c r="E52" s="22" t="s">
        <v>67</v>
      </c>
      <c r="F52" s="22" t="s">
        <v>6345</v>
      </c>
      <c r="G52" s="22" t="s">
        <v>6255</v>
      </c>
      <c r="H52" s="22" t="s">
        <v>6255</v>
      </c>
      <c r="I52" s="22" t="s">
        <v>415</v>
      </c>
      <c r="J52" s="22" t="s">
        <v>6346</v>
      </c>
      <c r="K52" s="22" t="s">
        <v>6322</v>
      </c>
      <c r="L52" s="20"/>
      <c r="M52" s="20"/>
      <c r="N52" s="20"/>
      <c r="O52" s="20"/>
      <c r="P52" s="20"/>
      <c r="Q52" s="20"/>
      <c r="R52" s="20"/>
      <c r="S52" s="20"/>
      <c r="T52" s="20"/>
      <c r="U52" s="20"/>
      <c r="V52" s="20"/>
      <c r="W52" s="20"/>
      <c r="X52" s="20"/>
      <c r="Y52" s="20"/>
      <c r="Z52" s="20"/>
    </row>
    <row r="53">
      <c r="A53" s="21">
        <v>13.0</v>
      </c>
      <c r="B53" s="42" t="s">
        <v>1520</v>
      </c>
      <c r="C53" s="43" t="s">
        <v>1564</v>
      </c>
      <c r="D53" s="42" t="s">
        <v>1522</v>
      </c>
      <c r="E53" s="22" t="s">
        <v>57</v>
      </c>
      <c r="F53" s="22" t="s">
        <v>6347</v>
      </c>
      <c r="G53" s="22" t="s">
        <v>6255</v>
      </c>
      <c r="H53" s="22" t="s">
        <v>6255</v>
      </c>
      <c r="I53" s="22" t="s">
        <v>415</v>
      </c>
      <c r="J53" s="22" t="s">
        <v>3347</v>
      </c>
      <c r="K53" s="22" t="s">
        <v>6256</v>
      </c>
      <c r="L53" s="20"/>
      <c r="M53" s="20"/>
      <c r="N53" s="20"/>
      <c r="O53" s="20"/>
      <c r="P53" s="20"/>
      <c r="Q53" s="20"/>
      <c r="R53" s="20"/>
      <c r="S53" s="20"/>
      <c r="T53" s="20"/>
      <c r="U53" s="20"/>
      <c r="V53" s="20"/>
      <c r="W53" s="20"/>
      <c r="X53" s="20"/>
      <c r="Y53" s="20"/>
      <c r="Z53" s="20"/>
    </row>
    <row r="54">
      <c r="A54" s="21">
        <v>13.0</v>
      </c>
      <c r="B54" s="42" t="s">
        <v>1520</v>
      </c>
      <c r="C54" s="43" t="s">
        <v>1564</v>
      </c>
      <c r="D54" s="42" t="s">
        <v>1526</v>
      </c>
      <c r="E54" s="22" t="s">
        <v>57</v>
      </c>
      <c r="F54" s="22" t="s">
        <v>6348</v>
      </c>
      <c r="G54" s="22" t="s">
        <v>6255</v>
      </c>
      <c r="H54" s="22" t="s">
        <v>6255</v>
      </c>
      <c r="I54" s="22" t="s">
        <v>415</v>
      </c>
      <c r="J54" s="22" t="s">
        <v>6349</v>
      </c>
      <c r="K54" s="22" t="s">
        <v>6256</v>
      </c>
      <c r="L54" s="20"/>
      <c r="M54" s="20"/>
      <c r="N54" s="20"/>
      <c r="O54" s="20"/>
      <c r="P54" s="20"/>
      <c r="Q54" s="20"/>
      <c r="R54" s="20"/>
      <c r="S54" s="20"/>
      <c r="T54" s="20"/>
      <c r="U54" s="20"/>
      <c r="V54" s="20"/>
      <c r="W54" s="20"/>
      <c r="X54" s="20"/>
      <c r="Y54" s="20"/>
      <c r="Z54" s="20"/>
    </row>
    <row r="55">
      <c r="A55" s="21">
        <v>13.0</v>
      </c>
      <c r="B55" s="42" t="s">
        <v>1520</v>
      </c>
      <c r="C55" s="43" t="s">
        <v>1564</v>
      </c>
      <c r="D55" s="42" t="s">
        <v>1534</v>
      </c>
      <c r="E55" s="22" t="s">
        <v>67</v>
      </c>
      <c r="F55" s="22" t="s">
        <v>6350</v>
      </c>
      <c r="G55" s="22" t="s">
        <v>6255</v>
      </c>
      <c r="H55" s="22" t="s">
        <v>6255</v>
      </c>
      <c r="I55" s="22" t="s">
        <v>415</v>
      </c>
      <c r="J55" s="22" t="s">
        <v>6351</v>
      </c>
      <c r="K55" s="22" t="s">
        <v>6279</v>
      </c>
      <c r="L55" s="20"/>
      <c r="M55" s="20"/>
      <c r="N55" s="20"/>
      <c r="O55" s="20"/>
      <c r="P55" s="20"/>
      <c r="Q55" s="20"/>
      <c r="R55" s="20"/>
      <c r="S55" s="20"/>
      <c r="T55" s="20"/>
      <c r="U55" s="20"/>
      <c r="V55" s="20"/>
      <c r="W55" s="20"/>
      <c r="X55" s="20"/>
      <c r="Y55" s="20"/>
      <c r="Z55" s="20"/>
    </row>
    <row r="56">
      <c r="A56" s="21">
        <v>13.0</v>
      </c>
      <c r="B56" s="42" t="s">
        <v>1520</v>
      </c>
      <c r="C56" s="43" t="s">
        <v>1564</v>
      </c>
      <c r="D56" s="42" t="s">
        <v>1530</v>
      </c>
      <c r="E56" s="22" t="s">
        <v>67</v>
      </c>
      <c r="F56" s="22" t="s">
        <v>6352</v>
      </c>
      <c r="G56" s="22" t="s">
        <v>6255</v>
      </c>
      <c r="H56" s="22" t="s">
        <v>6255</v>
      </c>
      <c r="I56" s="22" t="s">
        <v>415</v>
      </c>
      <c r="J56" s="22" t="s">
        <v>3347</v>
      </c>
      <c r="K56" s="22" t="s">
        <v>6256</v>
      </c>
      <c r="L56" s="20"/>
      <c r="M56" s="20"/>
      <c r="N56" s="20"/>
      <c r="O56" s="20"/>
      <c r="P56" s="20"/>
      <c r="Q56" s="20"/>
      <c r="R56" s="20"/>
      <c r="S56" s="20"/>
      <c r="T56" s="20"/>
      <c r="U56" s="20"/>
      <c r="V56" s="20"/>
      <c r="W56" s="20"/>
      <c r="X56" s="20"/>
      <c r="Y56" s="20"/>
      <c r="Z56" s="20"/>
    </row>
    <row r="57">
      <c r="A57" s="21">
        <v>13.0</v>
      </c>
      <c r="B57" s="42" t="s">
        <v>1520</v>
      </c>
      <c r="C57" s="43" t="s">
        <v>1564</v>
      </c>
      <c r="D57" s="42" t="s">
        <v>733</v>
      </c>
      <c r="E57" s="22" t="s">
        <v>67</v>
      </c>
      <c r="F57" s="22" t="s">
        <v>6353</v>
      </c>
      <c r="G57" s="22" t="s">
        <v>6255</v>
      </c>
      <c r="H57" s="22" t="s">
        <v>6255</v>
      </c>
      <c r="I57" s="22" t="s">
        <v>415</v>
      </c>
      <c r="J57" s="22" t="s">
        <v>6349</v>
      </c>
      <c r="K57" s="22" t="s">
        <v>6256</v>
      </c>
      <c r="L57" s="20"/>
      <c r="M57" s="20"/>
      <c r="N57" s="20"/>
      <c r="O57" s="20"/>
      <c r="P57" s="20"/>
      <c r="Q57" s="20"/>
      <c r="R57" s="20"/>
      <c r="S57" s="20"/>
      <c r="T57" s="20"/>
      <c r="U57" s="20"/>
      <c r="V57" s="20"/>
      <c r="W57" s="20"/>
      <c r="X57" s="20"/>
      <c r="Y57" s="20"/>
      <c r="Z57" s="20"/>
    </row>
    <row r="58">
      <c r="A58" s="21">
        <v>14.0</v>
      </c>
      <c r="B58" s="42" t="s">
        <v>1597</v>
      </c>
      <c r="C58" s="43" t="s">
        <v>1564</v>
      </c>
      <c r="D58" s="42" t="s">
        <v>85</v>
      </c>
      <c r="E58" s="22" t="s">
        <v>57</v>
      </c>
      <c r="F58" s="22" t="s">
        <v>6354</v>
      </c>
      <c r="G58" s="22" t="s">
        <v>6255</v>
      </c>
      <c r="H58" s="22" t="s">
        <v>6255</v>
      </c>
      <c r="I58" s="22" t="s">
        <v>415</v>
      </c>
      <c r="J58" s="22" t="s">
        <v>3512</v>
      </c>
      <c r="K58" s="22" t="s">
        <v>6256</v>
      </c>
      <c r="L58" s="20"/>
      <c r="M58" s="20"/>
      <c r="N58" s="20"/>
      <c r="O58" s="20"/>
      <c r="P58" s="20"/>
      <c r="Q58" s="20"/>
      <c r="R58" s="20"/>
      <c r="S58" s="20"/>
      <c r="T58" s="20"/>
      <c r="U58" s="20"/>
      <c r="V58" s="20"/>
      <c r="W58" s="20"/>
      <c r="X58" s="20"/>
      <c r="Y58" s="20"/>
      <c r="Z58" s="20"/>
    </row>
    <row r="59">
      <c r="A59" s="21">
        <v>14.0</v>
      </c>
      <c r="B59" s="42" t="s">
        <v>1597</v>
      </c>
      <c r="C59" s="43" t="s">
        <v>1564</v>
      </c>
      <c r="D59" s="42" t="s">
        <v>2796</v>
      </c>
      <c r="E59" s="22" t="s">
        <v>57</v>
      </c>
      <c r="F59" s="22" t="s">
        <v>6355</v>
      </c>
      <c r="G59" s="22" t="s">
        <v>6255</v>
      </c>
      <c r="H59" s="22" t="s">
        <v>6255</v>
      </c>
      <c r="I59" s="22" t="s">
        <v>415</v>
      </c>
      <c r="J59" s="22" t="s">
        <v>1598</v>
      </c>
      <c r="K59" s="22" t="s">
        <v>6256</v>
      </c>
      <c r="L59" s="20"/>
      <c r="M59" s="20"/>
      <c r="N59" s="20"/>
      <c r="O59" s="20"/>
      <c r="P59" s="20"/>
      <c r="Q59" s="20"/>
      <c r="R59" s="20"/>
      <c r="S59" s="20"/>
      <c r="T59" s="20"/>
      <c r="U59" s="20"/>
      <c r="V59" s="20"/>
      <c r="W59" s="20"/>
      <c r="X59" s="20"/>
      <c r="Y59" s="20"/>
      <c r="Z59" s="20"/>
    </row>
    <row r="60">
      <c r="A60" s="21">
        <v>14.0</v>
      </c>
      <c r="B60" s="42" t="s">
        <v>1597</v>
      </c>
      <c r="C60" s="43" t="s">
        <v>1564</v>
      </c>
      <c r="D60" s="42" t="s">
        <v>1437</v>
      </c>
      <c r="E60" s="22" t="s">
        <v>57</v>
      </c>
      <c r="F60" s="22" t="s">
        <v>6356</v>
      </c>
      <c r="G60" s="22" t="s">
        <v>6255</v>
      </c>
      <c r="H60" s="22" t="s">
        <v>6255</v>
      </c>
      <c r="I60" s="22" t="s">
        <v>415</v>
      </c>
      <c r="J60" s="22" t="s">
        <v>6357</v>
      </c>
      <c r="K60" s="22" t="s">
        <v>6256</v>
      </c>
      <c r="L60" s="20"/>
      <c r="M60" s="20"/>
      <c r="N60" s="20"/>
      <c r="O60" s="20"/>
      <c r="P60" s="20"/>
      <c r="Q60" s="20"/>
      <c r="R60" s="20"/>
      <c r="S60" s="20"/>
      <c r="T60" s="20"/>
      <c r="U60" s="20"/>
      <c r="V60" s="20"/>
      <c r="W60" s="20"/>
      <c r="X60" s="20"/>
      <c r="Y60" s="20"/>
      <c r="Z60" s="20"/>
    </row>
    <row r="61">
      <c r="A61" s="21">
        <v>14.0</v>
      </c>
      <c r="B61" s="42" t="s">
        <v>1597</v>
      </c>
      <c r="C61" s="43" t="s">
        <v>1564</v>
      </c>
      <c r="D61" s="42" t="s">
        <v>1426</v>
      </c>
      <c r="E61" s="22" t="s">
        <v>57</v>
      </c>
      <c r="F61" s="22" t="s">
        <v>6358</v>
      </c>
      <c r="G61" s="22" t="s">
        <v>6255</v>
      </c>
      <c r="H61" s="22" t="s">
        <v>6255</v>
      </c>
      <c r="I61" s="22" t="s">
        <v>415</v>
      </c>
      <c r="J61" s="22" t="s">
        <v>3512</v>
      </c>
      <c r="K61" s="22" t="s">
        <v>6256</v>
      </c>
      <c r="L61" s="20"/>
      <c r="M61" s="20"/>
      <c r="N61" s="20"/>
      <c r="O61" s="20"/>
      <c r="P61" s="20"/>
      <c r="Q61" s="20"/>
      <c r="R61" s="20"/>
      <c r="S61" s="20"/>
      <c r="T61" s="20"/>
      <c r="U61" s="20"/>
      <c r="V61" s="20"/>
      <c r="W61" s="20"/>
      <c r="X61" s="20"/>
      <c r="Y61" s="20"/>
      <c r="Z61" s="20"/>
    </row>
    <row r="62">
      <c r="A62" s="21">
        <v>14.0</v>
      </c>
      <c r="B62" s="42" t="s">
        <v>1597</v>
      </c>
      <c r="C62" s="43" t="s">
        <v>1564</v>
      </c>
      <c r="D62" s="42" t="s">
        <v>1574</v>
      </c>
      <c r="E62" s="22" t="s">
        <v>67</v>
      </c>
      <c r="F62" s="22" t="s">
        <v>6359</v>
      </c>
      <c r="G62" s="22" t="s">
        <v>6255</v>
      </c>
      <c r="H62" s="22" t="s">
        <v>6255</v>
      </c>
      <c r="I62" s="22" t="s">
        <v>415</v>
      </c>
      <c r="J62" s="22" t="s">
        <v>1598</v>
      </c>
      <c r="K62" s="22" t="s">
        <v>6256</v>
      </c>
      <c r="L62" s="20"/>
      <c r="M62" s="20"/>
      <c r="N62" s="20"/>
      <c r="O62" s="20"/>
      <c r="P62" s="20"/>
      <c r="Q62" s="20"/>
      <c r="R62" s="20"/>
      <c r="S62" s="20"/>
      <c r="T62" s="20"/>
      <c r="U62" s="20"/>
      <c r="V62" s="20"/>
      <c r="W62" s="20"/>
      <c r="X62" s="20"/>
      <c r="Y62" s="20"/>
      <c r="Z62" s="20"/>
    </row>
    <row r="63">
      <c r="A63" s="21">
        <v>15.0</v>
      </c>
      <c r="B63" s="42" t="s">
        <v>1663</v>
      </c>
      <c r="C63" s="43" t="s">
        <v>1564</v>
      </c>
      <c r="D63" s="42" t="s">
        <v>1405</v>
      </c>
      <c r="E63" s="22" t="s">
        <v>57</v>
      </c>
      <c r="F63" s="22" t="s">
        <v>6360</v>
      </c>
      <c r="G63" s="22" t="s">
        <v>6255</v>
      </c>
      <c r="H63" s="22" t="s">
        <v>6255</v>
      </c>
      <c r="I63" s="22" t="s">
        <v>415</v>
      </c>
      <c r="J63" s="22" t="s">
        <v>1674</v>
      </c>
      <c r="K63" s="22" t="s">
        <v>6256</v>
      </c>
      <c r="L63" s="20"/>
      <c r="M63" s="20"/>
      <c r="N63" s="20"/>
      <c r="O63" s="20"/>
      <c r="P63" s="20"/>
      <c r="Q63" s="20"/>
      <c r="R63" s="20"/>
      <c r="S63" s="20"/>
      <c r="T63" s="20"/>
      <c r="U63" s="20"/>
      <c r="V63" s="20"/>
      <c r="W63" s="20"/>
      <c r="X63" s="20"/>
      <c r="Y63" s="20"/>
      <c r="Z63" s="20"/>
    </row>
    <row r="64">
      <c r="A64" s="21">
        <v>15.0</v>
      </c>
      <c r="B64" s="42" t="s">
        <v>1663</v>
      </c>
      <c r="C64" s="43" t="s">
        <v>1564</v>
      </c>
      <c r="D64" s="42" t="s">
        <v>1665</v>
      </c>
      <c r="E64" s="22" t="s">
        <v>57</v>
      </c>
      <c r="F64" s="22" t="s">
        <v>6361</v>
      </c>
      <c r="G64" s="22" t="s">
        <v>6255</v>
      </c>
      <c r="H64" s="22" t="s">
        <v>6255</v>
      </c>
      <c r="I64" s="22" t="s">
        <v>415</v>
      </c>
      <c r="J64" s="22" t="s">
        <v>1664</v>
      </c>
      <c r="K64" s="22" t="s">
        <v>6256</v>
      </c>
      <c r="L64" s="20"/>
      <c r="M64" s="20"/>
      <c r="N64" s="20"/>
      <c r="O64" s="20"/>
      <c r="P64" s="20"/>
      <c r="Q64" s="20"/>
      <c r="R64" s="20"/>
      <c r="S64" s="20"/>
      <c r="T64" s="20"/>
      <c r="U64" s="20"/>
      <c r="V64" s="20"/>
      <c r="W64" s="20"/>
      <c r="X64" s="20"/>
      <c r="Y64" s="20"/>
      <c r="Z64" s="20"/>
    </row>
    <row r="65">
      <c r="A65" s="21">
        <v>15.0</v>
      </c>
      <c r="B65" s="42" t="s">
        <v>1663</v>
      </c>
      <c r="C65" s="43" t="s">
        <v>1564</v>
      </c>
      <c r="D65" s="42" t="s">
        <v>1649</v>
      </c>
      <c r="E65" s="22" t="s">
        <v>67</v>
      </c>
      <c r="F65" s="22" t="s">
        <v>6362</v>
      </c>
      <c r="G65" s="22" t="s">
        <v>6255</v>
      </c>
      <c r="H65" s="22" t="s">
        <v>6255</v>
      </c>
      <c r="I65" s="22" t="s">
        <v>415</v>
      </c>
      <c r="J65" s="22" t="s">
        <v>1674</v>
      </c>
      <c r="K65" s="22" t="s">
        <v>6256</v>
      </c>
      <c r="L65" s="20"/>
      <c r="M65" s="20"/>
      <c r="N65" s="20"/>
      <c r="O65" s="20"/>
      <c r="P65" s="20"/>
      <c r="Q65" s="20"/>
      <c r="R65" s="20"/>
      <c r="S65" s="20"/>
      <c r="T65" s="20"/>
      <c r="U65" s="20"/>
      <c r="V65" s="20"/>
      <c r="W65" s="20"/>
      <c r="X65" s="20"/>
      <c r="Y65" s="20"/>
      <c r="Z65" s="20"/>
    </row>
    <row r="66">
      <c r="A66" s="21">
        <v>16.0</v>
      </c>
      <c r="B66" s="42" t="s">
        <v>1741</v>
      </c>
      <c r="C66" s="43" t="s">
        <v>1564</v>
      </c>
      <c r="D66" s="42" t="s">
        <v>1563</v>
      </c>
      <c r="E66" s="22" t="s">
        <v>57</v>
      </c>
      <c r="F66" s="22" t="s">
        <v>6363</v>
      </c>
      <c r="G66" s="22" t="s">
        <v>6255</v>
      </c>
      <c r="H66" s="22" t="s">
        <v>6255</v>
      </c>
      <c r="I66" s="22" t="s">
        <v>415</v>
      </c>
      <c r="J66" s="22" t="s">
        <v>1749</v>
      </c>
      <c r="K66" s="22" t="s">
        <v>6256</v>
      </c>
      <c r="L66" s="20"/>
      <c r="M66" s="20"/>
      <c r="N66" s="20"/>
      <c r="O66" s="20"/>
      <c r="P66" s="20"/>
      <c r="Q66" s="20"/>
      <c r="R66" s="20"/>
      <c r="S66" s="20"/>
      <c r="T66" s="20"/>
      <c r="U66" s="20"/>
      <c r="V66" s="20"/>
      <c r="W66" s="20"/>
      <c r="X66" s="20"/>
      <c r="Y66" s="20"/>
      <c r="Z66" s="20"/>
    </row>
    <row r="67">
      <c r="A67" s="21">
        <v>16.0</v>
      </c>
      <c r="B67" s="42" t="s">
        <v>1741</v>
      </c>
      <c r="C67" s="43" t="s">
        <v>1564</v>
      </c>
      <c r="D67" s="42" t="s">
        <v>2134</v>
      </c>
      <c r="E67" s="22" t="s">
        <v>57</v>
      </c>
      <c r="F67" s="22" t="s">
        <v>6364</v>
      </c>
      <c r="G67" s="22" t="s">
        <v>6255</v>
      </c>
      <c r="H67" s="22" t="s">
        <v>6255</v>
      </c>
      <c r="I67" s="22" t="s">
        <v>415</v>
      </c>
      <c r="J67" s="22" t="s">
        <v>1742</v>
      </c>
      <c r="K67" s="22" t="s">
        <v>6256</v>
      </c>
      <c r="L67" s="20"/>
      <c r="M67" s="20"/>
      <c r="N67" s="20"/>
      <c r="O67" s="20"/>
      <c r="P67" s="20"/>
      <c r="Q67" s="20"/>
      <c r="R67" s="20"/>
      <c r="S67" s="20"/>
      <c r="T67" s="20"/>
      <c r="U67" s="20"/>
      <c r="V67" s="20"/>
      <c r="W67" s="20"/>
      <c r="X67" s="20"/>
      <c r="Y67" s="20"/>
      <c r="Z67" s="20"/>
    </row>
    <row r="68">
      <c r="A68" s="21">
        <v>16.0</v>
      </c>
      <c r="B68" s="42" t="s">
        <v>1741</v>
      </c>
      <c r="C68" s="43" t="s">
        <v>1564</v>
      </c>
      <c r="D68" s="42" t="s">
        <v>1534</v>
      </c>
      <c r="E68" s="22" t="s">
        <v>57</v>
      </c>
      <c r="F68" s="22" t="s">
        <v>6365</v>
      </c>
      <c r="G68" s="22" t="s">
        <v>6255</v>
      </c>
      <c r="H68" s="22" t="s">
        <v>6255</v>
      </c>
      <c r="I68" s="22" t="s">
        <v>415</v>
      </c>
      <c r="J68" s="22" t="s">
        <v>1745</v>
      </c>
      <c r="K68" s="22" t="s">
        <v>6279</v>
      </c>
      <c r="L68" s="20"/>
      <c r="M68" s="20"/>
      <c r="N68" s="20"/>
      <c r="O68" s="20"/>
      <c r="P68" s="20"/>
      <c r="Q68" s="20"/>
      <c r="R68" s="20"/>
      <c r="S68" s="20"/>
      <c r="T68" s="20"/>
      <c r="U68" s="20"/>
      <c r="V68" s="20"/>
      <c r="W68" s="20"/>
      <c r="X68" s="20"/>
      <c r="Y68" s="20"/>
      <c r="Z68" s="20"/>
    </row>
    <row r="69">
      <c r="A69" s="21">
        <v>16.0</v>
      </c>
      <c r="B69" s="42" t="s">
        <v>1741</v>
      </c>
      <c r="C69" s="43" t="s">
        <v>1564</v>
      </c>
      <c r="D69" s="42" t="s">
        <v>1747</v>
      </c>
      <c r="E69" s="22" t="s">
        <v>57</v>
      </c>
      <c r="F69" s="22" t="s">
        <v>6366</v>
      </c>
      <c r="G69" s="22" t="s">
        <v>6255</v>
      </c>
      <c r="H69" s="22" t="s">
        <v>6255</v>
      </c>
      <c r="I69" s="22" t="s">
        <v>415</v>
      </c>
      <c r="J69" s="22" t="s">
        <v>1749</v>
      </c>
      <c r="K69" s="22" t="s">
        <v>6256</v>
      </c>
      <c r="L69" s="20"/>
      <c r="M69" s="20"/>
      <c r="N69" s="20"/>
      <c r="O69" s="20"/>
      <c r="P69" s="20"/>
      <c r="Q69" s="20"/>
      <c r="R69" s="20"/>
      <c r="S69" s="20"/>
      <c r="T69" s="20"/>
      <c r="U69" s="20"/>
      <c r="V69" s="20"/>
      <c r="W69" s="20"/>
      <c r="X69" s="20"/>
      <c r="Y69" s="20"/>
      <c r="Z69" s="20"/>
    </row>
    <row r="70">
      <c r="A70" s="21">
        <v>16.0</v>
      </c>
      <c r="B70" s="42" t="s">
        <v>1741</v>
      </c>
      <c r="C70" s="43" t="s">
        <v>1564</v>
      </c>
      <c r="D70" s="42" t="s">
        <v>1750</v>
      </c>
      <c r="E70" s="22" t="s">
        <v>67</v>
      </c>
      <c r="F70" s="22" t="s">
        <v>6367</v>
      </c>
      <c r="G70" s="22" t="s">
        <v>6255</v>
      </c>
      <c r="H70" s="22" t="s">
        <v>6255</v>
      </c>
      <c r="I70" s="22" t="s">
        <v>415</v>
      </c>
      <c r="J70" s="22" t="s">
        <v>1742</v>
      </c>
      <c r="K70" s="22" t="s">
        <v>6256</v>
      </c>
      <c r="L70" s="20"/>
      <c r="M70" s="20"/>
      <c r="N70" s="20"/>
      <c r="O70" s="20"/>
      <c r="P70" s="20"/>
      <c r="Q70" s="20"/>
      <c r="R70" s="20"/>
      <c r="S70" s="20"/>
      <c r="T70" s="20"/>
      <c r="U70" s="20"/>
      <c r="V70" s="20"/>
      <c r="W70" s="20"/>
      <c r="X70" s="20"/>
      <c r="Y70" s="20"/>
      <c r="Z70" s="20"/>
    </row>
    <row r="71">
      <c r="A71" s="21">
        <v>17.0</v>
      </c>
      <c r="B71" s="42" t="s">
        <v>1608</v>
      </c>
      <c r="C71" s="43" t="s">
        <v>1564</v>
      </c>
      <c r="D71" s="42" t="s">
        <v>1812</v>
      </c>
      <c r="E71" s="22" t="s">
        <v>57</v>
      </c>
      <c r="F71" s="22" t="s">
        <v>6368</v>
      </c>
      <c r="G71" s="22" t="s">
        <v>6255</v>
      </c>
      <c r="H71" s="22" t="s">
        <v>6255</v>
      </c>
      <c r="I71" s="22" t="s">
        <v>415</v>
      </c>
      <c r="J71" s="22" t="s">
        <v>1815</v>
      </c>
      <c r="K71" s="22" t="s">
        <v>6256</v>
      </c>
      <c r="L71" s="20"/>
      <c r="M71" s="20"/>
      <c r="N71" s="20"/>
      <c r="O71" s="20"/>
      <c r="P71" s="20"/>
      <c r="Q71" s="20"/>
      <c r="R71" s="20"/>
      <c r="S71" s="20"/>
      <c r="T71" s="20"/>
      <c r="U71" s="20"/>
      <c r="V71" s="20"/>
      <c r="W71" s="20"/>
      <c r="X71" s="20"/>
      <c r="Y71" s="20"/>
      <c r="Z71" s="20"/>
    </row>
    <row r="72">
      <c r="A72" s="21">
        <v>17.0</v>
      </c>
      <c r="B72" s="42" t="s">
        <v>1608</v>
      </c>
      <c r="C72" s="43" t="s">
        <v>1564</v>
      </c>
      <c r="D72" s="42" t="s">
        <v>1699</v>
      </c>
      <c r="E72" s="22" t="s">
        <v>57</v>
      </c>
      <c r="F72" s="22" t="s">
        <v>6369</v>
      </c>
      <c r="G72" s="22" t="s">
        <v>6255</v>
      </c>
      <c r="H72" s="22" t="s">
        <v>6255</v>
      </c>
      <c r="I72" s="22" t="s">
        <v>415</v>
      </c>
      <c r="J72" s="22" t="s">
        <v>1811</v>
      </c>
      <c r="K72" s="22" t="s">
        <v>6256</v>
      </c>
      <c r="L72" s="20"/>
      <c r="M72" s="20"/>
      <c r="N72" s="20"/>
      <c r="O72" s="20"/>
      <c r="P72" s="20"/>
      <c r="Q72" s="20"/>
      <c r="R72" s="20"/>
      <c r="S72" s="20"/>
      <c r="T72" s="20"/>
      <c r="U72" s="20"/>
      <c r="V72" s="20"/>
      <c r="W72" s="20"/>
      <c r="X72" s="20"/>
      <c r="Y72" s="20"/>
      <c r="Z72" s="20"/>
    </row>
    <row r="73">
      <c r="A73" s="21">
        <v>17.0</v>
      </c>
      <c r="B73" s="42" t="s">
        <v>1608</v>
      </c>
      <c r="C73" s="43" t="s">
        <v>1564</v>
      </c>
      <c r="D73" s="42" t="s">
        <v>1817</v>
      </c>
      <c r="E73" s="22" t="s">
        <v>67</v>
      </c>
      <c r="F73" s="22" t="s">
        <v>6370</v>
      </c>
      <c r="G73" s="22" t="s">
        <v>6255</v>
      </c>
      <c r="H73" s="22" t="s">
        <v>6255</v>
      </c>
      <c r="I73" s="22" t="s">
        <v>415</v>
      </c>
      <c r="J73" s="22" t="s">
        <v>1815</v>
      </c>
      <c r="K73" s="22" t="s">
        <v>6256</v>
      </c>
      <c r="L73" s="20"/>
      <c r="M73" s="20"/>
      <c r="N73" s="20"/>
      <c r="O73" s="20"/>
      <c r="P73" s="20"/>
      <c r="Q73" s="20"/>
      <c r="R73" s="20"/>
      <c r="S73" s="20"/>
      <c r="T73" s="20"/>
      <c r="U73" s="20"/>
      <c r="V73" s="20"/>
      <c r="W73" s="20"/>
      <c r="X73" s="20"/>
      <c r="Y73" s="20"/>
      <c r="Z73" s="20"/>
    </row>
    <row r="74">
      <c r="A74" s="21">
        <v>18.0</v>
      </c>
      <c r="B74" s="42" t="s">
        <v>1618</v>
      </c>
      <c r="C74" s="43" t="s">
        <v>1564</v>
      </c>
      <c r="D74" s="42" t="s">
        <v>1878</v>
      </c>
      <c r="E74" s="22" t="s">
        <v>57</v>
      </c>
      <c r="F74" s="22" t="s">
        <v>6371</v>
      </c>
      <c r="G74" s="22" t="s">
        <v>6255</v>
      </c>
      <c r="H74" s="22" t="s">
        <v>6255</v>
      </c>
      <c r="I74" s="22" t="s">
        <v>415</v>
      </c>
      <c r="J74" s="22" t="s">
        <v>1893</v>
      </c>
      <c r="K74" s="22" t="s">
        <v>6256</v>
      </c>
      <c r="L74" s="20"/>
      <c r="M74" s="20"/>
      <c r="N74" s="20"/>
      <c r="O74" s="20"/>
      <c r="P74" s="20"/>
      <c r="Q74" s="20"/>
      <c r="R74" s="20"/>
      <c r="S74" s="20"/>
      <c r="T74" s="20"/>
      <c r="U74" s="20"/>
      <c r="V74" s="20"/>
      <c r="W74" s="20"/>
      <c r="X74" s="20"/>
      <c r="Y74" s="20"/>
      <c r="Z74" s="20"/>
    </row>
    <row r="75">
      <c r="A75" s="21">
        <v>18.0</v>
      </c>
      <c r="B75" s="42" t="s">
        <v>1618</v>
      </c>
      <c r="C75" s="43" t="s">
        <v>1564</v>
      </c>
      <c r="D75" s="42" t="s">
        <v>4670</v>
      </c>
      <c r="E75" s="22" t="s">
        <v>57</v>
      </c>
      <c r="F75" s="22" t="s">
        <v>6372</v>
      </c>
      <c r="G75" s="22" t="s">
        <v>6255</v>
      </c>
      <c r="H75" s="22" t="s">
        <v>6255</v>
      </c>
      <c r="I75" s="22" t="s">
        <v>415</v>
      </c>
      <c r="J75" s="22" t="s">
        <v>1892</v>
      </c>
      <c r="K75" s="22" t="s">
        <v>6256</v>
      </c>
      <c r="L75" s="20"/>
      <c r="M75" s="20"/>
      <c r="N75" s="20"/>
      <c r="O75" s="20"/>
      <c r="P75" s="20"/>
      <c r="Q75" s="20"/>
      <c r="R75" s="20"/>
      <c r="S75" s="20"/>
      <c r="T75" s="20"/>
      <c r="U75" s="20"/>
      <c r="V75" s="20"/>
      <c r="W75" s="20"/>
      <c r="X75" s="20"/>
      <c r="Y75" s="20"/>
      <c r="Z75" s="20"/>
    </row>
    <row r="76">
      <c r="A76" s="21">
        <v>18.0</v>
      </c>
      <c r="B76" s="42" t="s">
        <v>1618</v>
      </c>
      <c r="C76" s="43" t="s">
        <v>1564</v>
      </c>
      <c r="D76" s="42" t="s">
        <v>1894</v>
      </c>
      <c r="E76" s="22" t="s">
        <v>67</v>
      </c>
      <c r="F76" s="22" t="s">
        <v>6373</v>
      </c>
      <c r="G76" s="22" t="s">
        <v>6255</v>
      </c>
      <c r="H76" s="22" t="s">
        <v>6255</v>
      </c>
      <c r="I76" s="22" t="s">
        <v>415</v>
      </c>
      <c r="J76" s="22" t="s">
        <v>1893</v>
      </c>
      <c r="K76" s="22" t="s">
        <v>6279</v>
      </c>
      <c r="L76" s="20"/>
      <c r="M76" s="20"/>
      <c r="N76" s="20"/>
      <c r="O76" s="20"/>
      <c r="P76" s="20"/>
      <c r="Q76" s="20"/>
      <c r="R76" s="20"/>
      <c r="S76" s="20"/>
      <c r="T76" s="20"/>
      <c r="U76" s="20"/>
      <c r="V76" s="20"/>
      <c r="W76" s="20"/>
      <c r="X76" s="20"/>
      <c r="Y76" s="20"/>
      <c r="Z76" s="20"/>
    </row>
    <row r="77">
      <c r="A77" s="21">
        <v>19.0</v>
      </c>
      <c r="B77" s="42" t="s">
        <v>1297</v>
      </c>
      <c r="C77" s="43" t="s">
        <v>1564</v>
      </c>
      <c r="D77" s="42" t="s">
        <v>1538</v>
      </c>
      <c r="E77" s="22" t="s">
        <v>57</v>
      </c>
      <c r="F77" s="22" t="s">
        <v>6374</v>
      </c>
      <c r="G77" s="22" t="s">
        <v>6255</v>
      </c>
      <c r="H77" s="22" t="s">
        <v>6255</v>
      </c>
      <c r="I77" s="22" t="s">
        <v>415</v>
      </c>
      <c r="J77" s="22" t="s">
        <v>1945</v>
      </c>
      <c r="K77" s="22" t="s">
        <v>6256</v>
      </c>
      <c r="L77" s="20"/>
      <c r="M77" s="20"/>
      <c r="N77" s="20"/>
      <c r="O77" s="20"/>
      <c r="P77" s="20"/>
      <c r="Q77" s="20"/>
      <c r="R77" s="20"/>
      <c r="S77" s="20"/>
      <c r="T77" s="20"/>
      <c r="U77" s="20"/>
      <c r="V77" s="20"/>
      <c r="W77" s="20"/>
      <c r="X77" s="20"/>
      <c r="Y77" s="20"/>
      <c r="Z77" s="20"/>
    </row>
    <row r="78">
      <c r="A78" s="21">
        <v>19.0</v>
      </c>
      <c r="B78" s="42" t="s">
        <v>1297</v>
      </c>
      <c r="C78" s="43" t="s">
        <v>1564</v>
      </c>
      <c r="D78" s="42" t="s">
        <v>1253</v>
      </c>
      <c r="E78" s="22" t="s">
        <v>57</v>
      </c>
      <c r="F78" s="22" t="s">
        <v>6375</v>
      </c>
      <c r="G78" s="22" t="s">
        <v>6255</v>
      </c>
      <c r="H78" s="22" t="s">
        <v>6255</v>
      </c>
      <c r="I78" s="22" t="s">
        <v>415</v>
      </c>
      <c r="J78" s="22" t="s">
        <v>1941</v>
      </c>
      <c r="K78" s="22" t="s">
        <v>6256</v>
      </c>
      <c r="L78" s="20"/>
      <c r="M78" s="20"/>
      <c r="N78" s="20"/>
      <c r="O78" s="20"/>
      <c r="P78" s="20"/>
      <c r="Q78" s="20"/>
      <c r="R78" s="20"/>
      <c r="S78" s="20"/>
      <c r="T78" s="20"/>
      <c r="U78" s="20"/>
      <c r="V78" s="20"/>
      <c r="W78" s="20"/>
      <c r="X78" s="20"/>
      <c r="Y78" s="20"/>
      <c r="Z78" s="20"/>
    </row>
    <row r="79">
      <c r="A79" s="21">
        <v>19.0</v>
      </c>
      <c r="B79" s="42" t="s">
        <v>1297</v>
      </c>
      <c r="C79" s="43" t="s">
        <v>1564</v>
      </c>
      <c r="D79" s="42" t="s">
        <v>1788</v>
      </c>
      <c r="E79" s="22" t="s">
        <v>67</v>
      </c>
      <c r="F79" s="22" t="s">
        <v>6376</v>
      </c>
      <c r="G79" s="22" t="s">
        <v>6255</v>
      </c>
      <c r="H79" s="22" t="s">
        <v>6255</v>
      </c>
      <c r="I79" s="22" t="s">
        <v>415</v>
      </c>
      <c r="J79" s="22" t="s">
        <v>1945</v>
      </c>
      <c r="K79" s="22" t="s">
        <v>6256</v>
      </c>
      <c r="L79" s="20"/>
      <c r="M79" s="20"/>
      <c r="N79" s="20"/>
      <c r="O79" s="20"/>
      <c r="P79" s="20"/>
      <c r="Q79" s="20"/>
      <c r="R79" s="20"/>
      <c r="S79" s="20"/>
      <c r="T79" s="20"/>
      <c r="U79" s="20"/>
      <c r="V79" s="20"/>
      <c r="W79" s="20"/>
      <c r="X79" s="20"/>
      <c r="Y79" s="20"/>
      <c r="Z79" s="20"/>
    </row>
    <row r="80">
      <c r="A80" s="21">
        <v>19.0</v>
      </c>
      <c r="B80" s="42" t="s">
        <v>1297</v>
      </c>
      <c r="C80" s="43" t="s">
        <v>1564</v>
      </c>
      <c r="D80" s="42" t="s">
        <v>327</v>
      </c>
      <c r="E80" s="22" t="s">
        <v>67</v>
      </c>
      <c r="F80" s="22" t="s">
        <v>6353</v>
      </c>
      <c r="G80" s="22" t="s">
        <v>6255</v>
      </c>
      <c r="H80" s="22" t="s">
        <v>6255</v>
      </c>
      <c r="I80" s="22" t="s">
        <v>415</v>
      </c>
      <c r="J80" s="22" t="s">
        <v>1941</v>
      </c>
      <c r="K80" s="22" t="s">
        <v>6256</v>
      </c>
      <c r="L80" s="20"/>
      <c r="M80" s="20"/>
      <c r="N80" s="20"/>
      <c r="O80" s="20"/>
      <c r="P80" s="20"/>
      <c r="Q80" s="20"/>
      <c r="R80" s="20"/>
      <c r="S80" s="20"/>
      <c r="T80" s="20"/>
      <c r="U80" s="20"/>
      <c r="V80" s="20"/>
      <c r="W80" s="20"/>
      <c r="X80" s="20"/>
      <c r="Y80" s="20"/>
      <c r="Z80" s="20"/>
    </row>
    <row r="81">
      <c r="A81" s="21">
        <v>19.0</v>
      </c>
      <c r="B81" s="42" t="s">
        <v>1297</v>
      </c>
      <c r="C81" s="43" t="s">
        <v>1564</v>
      </c>
      <c r="D81" s="42" t="s">
        <v>3051</v>
      </c>
      <c r="E81" s="22" t="s">
        <v>67</v>
      </c>
      <c r="F81" s="22" t="s">
        <v>6377</v>
      </c>
      <c r="G81" s="22" t="s">
        <v>6255</v>
      </c>
      <c r="H81" s="22" t="s">
        <v>6255</v>
      </c>
      <c r="I81" s="22" t="s">
        <v>415</v>
      </c>
      <c r="J81" s="22" t="s">
        <v>1945</v>
      </c>
      <c r="K81" s="22" t="s">
        <v>6279</v>
      </c>
      <c r="L81" s="20"/>
      <c r="M81" s="20"/>
      <c r="N81" s="20"/>
      <c r="O81" s="20"/>
      <c r="P81" s="20"/>
      <c r="Q81" s="20"/>
      <c r="R81" s="20"/>
      <c r="S81" s="20"/>
      <c r="T81" s="20"/>
      <c r="U81" s="20"/>
      <c r="V81" s="20"/>
      <c r="W81" s="20"/>
      <c r="X81" s="20"/>
      <c r="Y81" s="20"/>
      <c r="Z81" s="20"/>
    </row>
    <row r="82">
      <c r="A82" s="21">
        <v>20.0</v>
      </c>
      <c r="B82" s="42" t="s">
        <v>2008</v>
      </c>
      <c r="C82" s="43" t="s">
        <v>1564</v>
      </c>
      <c r="D82" s="42" t="s">
        <v>1463</v>
      </c>
      <c r="E82" s="22" t="s">
        <v>57</v>
      </c>
      <c r="F82" s="22" t="s">
        <v>6378</v>
      </c>
      <c r="G82" s="22" t="s">
        <v>6255</v>
      </c>
      <c r="H82" s="22" t="s">
        <v>6255</v>
      </c>
      <c r="I82" s="22" t="s">
        <v>415</v>
      </c>
      <c r="J82" s="22" t="s">
        <v>2030</v>
      </c>
      <c r="K82" s="22" t="s">
        <v>6256</v>
      </c>
      <c r="L82" s="20"/>
      <c r="M82" s="20"/>
      <c r="N82" s="20"/>
      <c r="O82" s="20"/>
      <c r="P82" s="20"/>
      <c r="Q82" s="20"/>
      <c r="R82" s="20"/>
      <c r="S82" s="20"/>
      <c r="T82" s="20"/>
      <c r="U82" s="20"/>
      <c r="V82" s="20"/>
      <c r="W82" s="20"/>
      <c r="X82" s="20"/>
      <c r="Y82" s="20"/>
      <c r="Z82" s="20"/>
    </row>
    <row r="83">
      <c r="A83" s="21">
        <v>20.0</v>
      </c>
      <c r="B83" s="42" t="s">
        <v>2008</v>
      </c>
      <c r="C83" s="43" t="s">
        <v>1564</v>
      </c>
      <c r="D83" s="42" t="s">
        <v>1012</v>
      </c>
      <c r="E83" s="22" t="s">
        <v>67</v>
      </c>
      <c r="F83" s="22" t="s">
        <v>6379</v>
      </c>
      <c r="G83" s="22" t="s">
        <v>6255</v>
      </c>
      <c r="H83" s="22" t="s">
        <v>6255</v>
      </c>
      <c r="I83" s="22" t="s">
        <v>415</v>
      </c>
      <c r="J83" s="22" t="s">
        <v>2009</v>
      </c>
      <c r="K83" s="22" t="s">
        <v>6256</v>
      </c>
      <c r="L83" s="20"/>
      <c r="M83" s="20"/>
      <c r="N83" s="20"/>
      <c r="O83" s="20"/>
      <c r="P83" s="20"/>
      <c r="Q83" s="20"/>
      <c r="R83" s="20"/>
      <c r="S83" s="20"/>
      <c r="T83" s="20"/>
      <c r="U83" s="20"/>
      <c r="V83" s="20"/>
      <c r="W83" s="20"/>
      <c r="X83" s="20"/>
      <c r="Y83" s="20"/>
      <c r="Z83" s="20"/>
    </row>
    <row r="84">
      <c r="A84" s="21">
        <v>20.0</v>
      </c>
      <c r="B84" s="42" t="s">
        <v>2008</v>
      </c>
      <c r="C84" s="43" t="s">
        <v>1564</v>
      </c>
      <c r="D84" s="42" t="s">
        <v>2024</v>
      </c>
      <c r="E84" s="22" t="s">
        <v>67</v>
      </c>
      <c r="F84" s="22" t="s">
        <v>6380</v>
      </c>
      <c r="G84" s="22" t="s">
        <v>6255</v>
      </c>
      <c r="H84" s="22" t="s">
        <v>6255</v>
      </c>
      <c r="I84" s="22" t="s">
        <v>415</v>
      </c>
      <c r="J84" s="22" t="s">
        <v>2030</v>
      </c>
      <c r="K84" s="22" t="s">
        <v>6256</v>
      </c>
      <c r="L84" s="20"/>
      <c r="M84" s="20"/>
      <c r="N84" s="20"/>
      <c r="O84" s="20"/>
      <c r="P84" s="20"/>
      <c r="Q84" s="20"/>
      <c r="R84" s="20"/>
      <c r="S84" s="20"/>
      <c r="T84" s="20"/>
      <c r="U84" s="20"/>
      <c r="V84" s="20"/>
      <c r="W84" s="20"/>
      <c r="X84" s="20"/>
      <c r="Y84" s="20"/>
      <c r="Z84" s="20"/>
    </row>
    <row r="85">
      <c r="A85" s="21">
        <v>21.0</v>
      </c>
      <c r="B85" s="42" t="s">
        <v>1545</v>
      </c>
      <c r="C85" s="43" t="s">
        <v>1564</v>
      </c>
      <c r="D85" s="42" t="s">
        <v>1657</v>
      </c>
      <c r="E85" s="22" t="s">
        <v>57</v>
      </c>
      <c r="F85" s="22" t="s">
        <v>6381</v>
      </c>
      <c r="G85" s="22" t="s">
        <v>6255</v>
      </c>
      <c r="H85" s="22" t="s">
        <v>6255</v>
      </c>
      <c r="I85" s="22" t="s">
        <v>415</v>
      </c>
      <c r="J85" s="22" t="s">
        <v>2099</v>
      </c>
      <c r="K85" s="22" t="s">
        <v>6256</v>
      </c>
      <c r="L85" s="20"/>
      <c r="M85" s="20"/>
      <c r="N85" s="20"/>
      <c r="O85" s="20"/>
      <c r="P85" s="20"/>
      <c r="Q85" s="20"/>
      <c r="R85" s="20"/>
      <c r="S85" s="20"/>
      <c r="T85" s="20"/>
      <c r="U85" s="20"/>
      <c r="V85" s="20"/>
      <c r="W85" s="20"/>
      <c r="X85" s="20"/>
      <c r="Y85" s="20"/>
      <c r="Z85" s="20"/>
    </row>
    <row r="86">
      <c r="A86" s="21">
        <v>21.0</v>
      </c>
      <c r="B86" s="42" t="s">
        <v>1545</v>
      </c>
      <c r="C86" s="43" t="s">
        <v>1564</v>
      </c>
      <c r="D86" s="42" t="s">
        <v>1559</v>
      </c>
      <c r="E86" s="22" t="s">
        <v>57</v>
      </c>
      <c r="F86" s="22" t="s">
        <v>6382</v>
      </c>
      <c r="G86" s="22" t="s">
        <v>6255</v>
      </c>
      <c r="H86" s="22" t="s">
        <v>6255</v>
      </c>
      <c r="I86" s="22" t="s">
        <v>415</v>
      </c>
      <c r="J86" s="22" t="s">
        <v>2102</v>
      </c>
      <c r="K86" s="22" t="s">
        <v>6256</v>
      </c>
      <c r="L86" s="20"/>
      <c r="M86" s="20"/>
      <c r="N86" s="20"/>
      <c r="O86" s="20"/>
      <c r="P86" s="20"/>
      <c r="Q86" s="20"/>
      <c r="R86" s="20"/>
      <c r="S86" s="20"/>
      <c r="T86" s="20"/>
      <c r="U86" s="20"/>
      <c r="V86" s="20"/>
      <c r="W86" s="20"/>
      <c r="X86" s="20"/>
      <c r="Y86" s="20"/>
      <c r="Z86" s="20"/>
    </row>
    <row r="87">
      <c r="A87" s="21">
        <v>21.0</v>
      </c>
      <c r="B87" s="42" t="s">
        <v>1545</v>
      </c>
      <c r="C87" s="43" t="s">
        <v>1564</v>
      </c>
      <c r="D87" s="42" t="s">
        <v>1555</v>
      </c>
      <c r="E87" s="22" t="s">
        <v>57</v>
      </c>
      <c r="F87" s="22" t="s">
        <v>6383</v>
      </c>
      <c r="G87" s="22" t="s">
        <v>6255</v>
      </c>
      <c r="H87" s="22" t="s">
        <v>6255</v>
      </c>
      <c r="I87" s="22" t="s">
        <v>415</v>
      </c>
      <c r="J87" s="22" t="s">
        <v>2099</v>
      </c>
      <c r="K87" s="22" t="s">
        <v>6256</v>
      </c>
      <c r="L87" s="20"/>
      <c r="M87" s="20"/>
      <c r="N87" s="20"/>
      <c r="O87" s="20"/>
      <c r="P87" s="20"/>
      <c r="Q87" s="20"/>
      <c r="R87" s="20"/>
      <c r="S87" s="20"/>
      <c r="T87" s="20"/>
      <c r="U87" s="20"/>
      <c r="V87" s="20"/>
      <c r="W87" s="20"/>
      <c r="X87" s="20"/>
      <c r="Y87" s="20"/>
      <c r="Z87" s="20"/>
    </row>
    <row r="88">
      <c r="A88" s="21">
        <v>21.0</v>
      </c>
      <c r="B88" s="42" t="s">
        <v>1545</v>
      </c>
      <c r="C88" s="43" t="s">
        <v>1564</v>
      </c>
      <c r="D88" s="42" t="s">
        <v>1584</v>
      </c>
      <c r="E88" s="22" t="s">
        <v>57</v>
      </c>
      <c r="F88" s="22" t="s">
        <v>6384</v>
      </c>
      <c r="G88" s="22" t="s">
        <v>6255</v>
      </c>
      <c r="H88" s="22" t="s">
        <v>6255</v>
      </c>
      <c r="I88" s="22" t="s">
        <v>415</v>
      </c>
      <c r="J88" s="22" t="s">
        <v>2102</v>
      </c>
      <c r="K88" s="22" t="s">
        <v>6256</v>
      </c>
      <c r="L88" s="20"/>
      <c r="M88" s="20"/>
      <c r="N88" s="20"/>
      <c r="O88" s="20"/>
      <c r="P88" s="20"/>
      <c r="Q88" s="20"/>
      <c r="R88" s="20"/>
      <c r="S88" s="20"/>
      <c r="T88" s="20"/>
      <c r="U88" s="20"/>
      <c r="V88" s="20"/>
      <c r="W88" s="20"/>
      <c r="X88" s="20"/>
      <c r="Y88" s="20"/>
      <c r="Z88" s="20"/>
    </row>
    <row r="89">
      <c r="A89" s="21">
        <v>21.0</v>
      </c>
      <c r="B89" s="42" t="s">
        <v>1545</v>
      </c>
      <c r="C89" s="43" t="s">
        <v>1564</v>
      </c>
      <c r="D89" s="42" t="s">
        <v>2108</v>
      </c>
      <c r="E89" s="22" t="s">
        <v>67</v>
      </c>
      <c r="F89" s="22" t="s">
        <v>6385</v>
      </c>
      <c r="G89" s="22" t="s">
        <v>6255</v>
      </c>
      <c r="H89" s="22" t="s">
        <v>6255</v>
      </c>
      <c r="I89" s="22" t="s">
        <v>415</v>
      </c>
      <c r="J89" s="22" t="s">
        <v>2099</v>
      </c>
      <c r="K89" s="22" t="s">
        <v>6256</v>
      </c>
      <c r="L89" s="20"/>
      <c r="M89" s="20"/>
      <c r="N89" s="20"/>
      <c r="O89" s="20"/>
      <c r="P89" s="20"/>
      <c r="Q89" s="20"/>
      <c r="R89" s="20"/>
      <c r="S89" s="20"/>
      <c r="T89" s="20"/>
      <c r="U89" s="20"/>
      <c r="V89" s="20"/>
      <c r="W89" s="20"/>
      <c r="X89" s="20"/>
      <c r="Y89" s="20"/>
      <c r="Z89" s="20"/>
    </row>
    <row r="90">
      <c r="A90" s="21">
        <v>22.0</v>
      </c>
      <c r="B90" s="42" t="s">
        <v>391</v>
      </c>
      <c r="C90" s="43" t="s">
        <v>1564</v>
      </c>
      <c r="D90" s="42" t="s">
        <v>475</v>
      </c>
      <c r="E90" s="22" t="s">
        <v>57</v>
      </c>
      <c r="F90" s="22" t="s">
        <v>6386</v>
      </c>
      <c r="G90" s="22" t="s">
        <v>6255</v>
      </c>
      <c r="H90" s="22" t="s">
        <v>6255</v>
      </c>
      <c r="I90" s="22" t="s">
        <v>415</v>
      </c>
      <c r="J90" s="22" t="s">
        <v>2158</v>
      </c>
      <c r="K90" s="22" t="s">
        <v>6279</v>
      </c>
      <c r="L90" s="20"/>
      <c r="M90" s="20"/>
      <c r="N90" s="20"/>
      <c r="O90" s="20"/>
      <c r="P90" s="20"/>
      <c r="Q90" s="20"/>
      <c r="R90" s="20"/>
      <c r="S90" s="20"/>
      <c r="T90" s="20"/>
      <c r="U90" s="20"/>
      <c r="V90" s="20"/>
      <c r="W90" s="20"/>
      <c r="X90" s="20"/>
      <c r="Y90" s="20"/>
      <c r="Z90" s="20"/>
    </row>
    <row r="91">
      <c r="A91" s="21">
        <v>22.0</v>
      </c>
      <c r="B91" s="42" t="s">
        <v>391</v>
      </c>
      <c r="C91" s="43" t="s">
        <v>1564</v>
      </c>
      <c r="D91" s="42" t="s">
        <v>734</v>
      </c>
      <c r="E91" s="22" t="s">
        <v>57</v>
      </c>
      <c r="F91" s="22" t="s">
        <v>6387</v>
      </c>
      <c r="G91" s="22" t="s">
        <v>6255</v>
      </c>
      <c r="H91" s="22" t="s">
        <v>6255</v>
      </c>
      <c r="I91" s="22" t="s">
        <v>415</v>
      </c>
      <c r="J91" s="22" t="s">
        <v>2166</v>
      </c>
      <c r="K91" s="22" t="s">
        <v>6322</v>
      </c>
      <c r="L91" s="20"/>
      <c r="M91" s="20"/>
      <c r="N91" s="20"/>
      <c r="O91" s="20"/>
      <c r="P91" s="20"/>
      <c r="Q91" s="20"/>
      <c r="R91" s="20"/>
      <c r="S91" s="20"/>
      <c r="T91" s="20"/>
      <c r="U91" s="20"/>
      <c r="V91" s="20"/>
      <c r="W91" s="20"/>
      <c r="X91" s="20"/>
      <c r="Y91" s="20"/>
      <c r="Z91" s="20"/>
    </row>
    <row r="92">
      <c r="A92" s="21">
        <v>22.0</v>
      </c>
      <c r="B92" s="42" t="s">
        <v>391</v>
      </c>
      <c r="C92" s="43" t="s">
        <v>1564</v>
      </c>
      <c r="D92" s="42" t="s">
        <v>744</v>
      </c>
      <c r="E92" s="22" t="s">
        <v>67</v>
      </c>
      <c r="F92" s="22" t="s">
        <v>6388</v>
      </c>
      <c r="G92" s="22" t="s">
        <v>6255</v>
      </c>
      <c r="H92" s="22" t="s">
        <v>6255</v>
      </c>
      <c r="I92" s="22" t="s">
        <v>415</v>
      </c>
      <c r="J92" s="22" t="s">
        <v>2154</v>
      </c>
      <c r="K92" s="22" t="s">
        <v>6269</v>
      </c>
      <c r="L92" s="20"/>
      <c r="M92" s="20"/>
      <c r="N92" s="20"/>
      <c r="O92" s="20"/>
      <c r="P92" s="20"/>
      <c r="Q92" s="20"/>
      <c r="R92" s="20"/>
      <c r="S92" s="20"/>
      <c r="T92" s="20"/>
      <c r="U92" s="20"/>
      <c r="V92" s="20"/>
      <c r="W92" s="20"/>
      <c r="X92" s="20"/>
      <c r="Y92" s="20"/>
      <c r="Z92" s="20"/>
    </row>
    <row r="93">
      <c r="A93" s="21">
        <v>22.0</v>
      </c>
      <c r="B93" s="42" t="s">
        <v>391</v>
      </c>
      <c r="C93" s="43" t="s">
        <v>1564</v>
      </c>
      <c r="D93" s="42" t="s">
        <v>557</v>
      </c>
      <c r="E93" s="22" t="s">
        <v>67</v>
      </c>
      <c r="F93" s="22" t="s">
        <v>6389</v>
      </c>
      <c r="G93" s="22" t="s">
        <v>6255</v>
      </c>
      <c r="H93" s="22" t="s">
        <v>6255</v>
      </c>
      <c r="I93" s="22" t="s">
        <v>415</v>
      </c>
      <c r="J93" s="22" t="s">
        <v>2158</v>
      </c>
      <c r="K93" s="22" t="s">
        <v>6275</v>
      </c>
      <c r="L93" s="20"/>
      <c r="M93" s="20"/>
      <c r="N93" s="20"/>
      <c r="O93" s="20"/>
      <c r="P93" s="20"/>
      <c r="Q93" s="20"/>
      <c r="R93" s="20"/>
      <c r="S93" s="20"/>
      <c r="T93" s="20"/>
      <c r="U93" s="20"/>
      <c r="V93" s="20"/>
      <c r="W93" s="20"/>
      <c r="X93" s="20"/>
      <c r="Y93" s="20"/>
      <c r="Z93" s="20"/>
    </row>
    <row r="94">
      <c r="A94" s="21">
        <v>22.0</v>
      </c>
      <c r="B94" s="42" t="s">
        <v>391</v>
      </c>
      <c r="C94" s="43" t="s">
        <v>1564</v>
      </c>
      <c r="D94" s="42" t="s">
        <v>746</v>
      </c>
      <c r="E94" s="22" t="s">
        <v>67</v>
      </c>
      <c r="F94" s="22" t="s">
        <v>6390</v>
      </c>
      <c r="G94" s="22" t="s">
        <v>6255</v>
      </c>
      <c r="H94" s="22" t="s">
        <v>6255</v>
      </c>
      <c r="I94" s="22" t="s">
        <v>415</v>
      </c>
      <c r="J94" s="22" t="s">
        <v>2166</v>
      </c>
      <c r="K94" s="22" t="s">
        <v>6275</v>
      </c>
      <c r="L94" s="20"/>
      <c r="M94" s="20"/>
      <c r="N94" s="20"/>
      <c r="O94" s="20"/>
      <c r="P94" s="20"/>
      <c r="Q94" s="20"/>
      <c r="R94" s="20"/>
      <c r="S94" s="20"/>
      <c r="T94" s="20"/>
      <c r="U94" s="20"/>
      <c r="V94" s="20"/>
      <c r="W94" s="20"/>
      <c r="X94" s="20"/>
      <c r="Y94" s="20"/>
      <c r="Z94" s="20"/>
    </row>
    <row r="95">
      <c r="A95" s="21">
        <v>23.0</v>
      </c>
      <c r="B95" s="42" t="s">
        <v>2195</v>
      </c>
      <c r="C95" s="43" t="s">
        <v>1564</v>
      </c>
      <c r="D95" s="42" t="s">
        <v>1434</v>
      </c>
      <c r="E95" s="22" t="s">
        <v>57</v>
      </c>
      <c r="F95" s="22" t="s">
        <v>6391</v>
      </c>
      <c r="G95" s="22" t="s">
        <v>6255</v>
      </c>
      <c r="H95" s="22" t="s">
        <v>6255</v>
      </c>
      <c r="I95" s="22" t="s">
        <v>415</v>
      </c>
      <c r="J95" s="22" t="s">
        <v>2196</v>
      </c>
      <c r="K95" s="22" t="s">
        <v>6256</v>
      </c>
      <c r="L95" s="20"/>
      <c r="M95" s="20"/>
      <c r="N95" s="20"/>
      <c r="O95" s="20"/>
      <c r="P95" s="20"/>
      <c r="Q95" s="20"/>
      <c r="R95" s="20"/>
      <c r="S95" s="20"/>
      <c r="T95" s="20"/>
      <c r="U95" s="20"/>
      <c r="V95" s="20"/>
      <c r="W95" s="20"/>
      <c r="X95" s="20"/>
      <c r="Y95" s="20"/>
      <c r="Z95" s="20"/>
    </row>
    <row r="96">
      <c r="A96" s="21">
        <v>23.0</v>
      </c>
      <c r="B96" s="42" t="s">
        <v>2195</v>
      </c>
      <c r="C96" s="43" t="s">
        <v>1564</v>
      </c>
      <c r="D96" s="42" t="s">
        <v>6392</v>
      </c>
      <c r="E96" s="22" t="s">
        <v>57</v>
      </c>
      <c r="F96" s="22" t="s">
        <v>6393</v>
      </c>
      <c r="G96" s="22" t="s">
        <v>6255</v>
      </c>
      <c r="H96" s="22" t="s">
        <v>6255</v>
      </c>
      <c r="I96" s="22" t="s">
        <v>415</v>
      </c>
      <c r="J96" s="22" t="s">
        <v>2201</v>
      </c>
      <c r="K96" s="22" t="s">
        <v>6256</v>
      </c>
      <c r="L96" s="20"/>
      <c r="M96" s="20"/>
      <c r="N96" s="20"/>
      <c r="O96" s="20"/>
      <c r="P96" s="20"/>
      <c r="Q96" s="20"/>
      <c r="R96" s="20"/>
      <c r="S96" s="20"/>
      <c r="T96" s="20"/>
      <c r="U96" s="20"/>
      <c r="V96" s="20"/>
      <c r="W96" s="20"/>
      <c r="X96" s="20"/>
      <c r="Y96" s="20"/>
      <c r="Z96" s="20"/>
    </row>
    <row r="97">
      <c r="A97" s="21">
        <v>23.0</v>
      </c>
      <c r="B97" s="42" t="s">
        <v>2195</v>
      </c>
      <c r="C97" s="43" t="s">
        <v>1564</v>
      </c>
      <c r="D97" s="42" t="s">
        <v>1902</v>
      </c>
      <c r="E97" s="22" t="s">
        <v>57</v>
      </c>
      <c r="F97" s="22" t="s">
        <v>6394</v>
      </c>
      <c r="G97" s="22" t="s">
        <v>6255</v>
      </c>
      <c r="H97" s="22" t="s">
        <v>6255</v>
      </c>
      <c r="I97" s="22" t="s">
        <v>415</v>
      </c>
      <c r="J97" s="22" t="s">
        <v>2196</v>
      </c>
      <c r="K97" s="22" t="s">
        <v>6256</v>
      </c>
      <c r="L97" s="20"/>
      <c r="M97" s="20"/>
      <c r="N97" s="20"/>
      <c r="O97" s="20"/>
      <c r="P97" s="20"/>
      <c r="Q97" s="20"/>
      <c r="R97" s="20"/>
      <c r="S97" s="20"/>
      <c r="T97" s="20"/>
      <c r="U97" s="20"/>
      <c r="V97" s="20"/>
      <c r="W97" s="20"/>
      <c r="X97" s="20"/>
      <c r="Y97" s="20"/>
      <c r="Z97" s="20"/>
    </row>
    <row r="98">
      <c r="A98" s="21">
        <v>23.0</v>
      </c>
      <c r="B98" s="42" t="s">
        <v>2195</v>
      </c>
      <c r="C98" s="43" t="s">
        <v>1564</v>
      </c>
      <c r="D98" s="42" t="s">
        <v>2204</v>
      </c>
      <c r="E98" s="22" t="s">
        <v>67</v>
      </c>
      <c r="F98" s="22" t="s">
        <v>6395</v>
      </c>
      <c r="G98" s="22" t="s">
        <v>6255</v>
      </c>
      <c r="H98" s="22" t="s">
        <v>6255</v>
      </c>
      <c r="I98" s="22" t="s">
        <v>415</v>
      </c>
      <c r="J98" s="22" t="s">
        <v>2201</v>
      </c>
      <c r="K98" s="22" t="s">
        <v>6256</v>
      </c>
      <c r="L98" s="20"/>
      <c r="M98" s="20"/>
      <c r="N98" s="20"/>
      <c r="O98" s="20"/>
      <c r="P98" s="20"/>
      <c r="Q98" s="20"/>
      <c r="R98" s="20"/>
      <c r="S98" s="20"/>
      <c r="T98" s="20"/>
      <c r="U98" s="20"/>
      <c r="V98" s="20"/>
      <c r="W98" s="20"/>
      <c r="X98" s="20"/>
      <c r="Y98" s="20"/>
      <c r="Z98" s="20"/>
    </row>
    <row r="99">
      <c r="A99" s="21">
        <v>23.0</v>
      </c>
      <c r="B99" s="42" t="s">
        <v>2195</v>
      </c>
      <c r="C99" s="43" t="s">
        <v>1564</v>
      </c>
      <c r="D99" s="42" t="s">
        <v>1168</v>
      </c>
      <c r="E99" s="22" t="s">
        <v>67</v>
      </c>
      <c r="F99" s="22" t="s">
        <v>6396</v>
      </c>
      <c r="G99" s="22" t="s">
        <v>6255</v>
      </c>
      <c r="H99" s="22" t="s">
        <v>6255</v>
      </c>
      <c r="I99" s="22" t="s">
        <v>415</v>
      </c>
      <c r="J99" s="22" t="s">
        <v>2196</v>
      </c>
      <c r="K99" s="22" t="s">
        <v>6256</v>
      </c>
      <c r="L99" s="20"/>
      <c r="M99" s="20"/>
      <c r="N99" s="20"/>
      <c r="O99" s="20"/>
      <c r="P99" s="20"/>
      <c r="Q99" s="20"/>
      <c r="R99" s="20"/>
      <c r="S99" s="20"/>
      <c r="T99" s="20"/>
      <c r="U99" s="20"/>
      <c r="V99" s="20"/>
      <c r="W99" s="20"/>
      <c r="X99" s="20"/>
      <c r="Y99" s="20"/>
      <c r="Z99" s="20"/>
    </row>
    <row r="100">
      <c r="A100" s="21">
        <v>24.0</v>
      </c>
      <c r="B100" s="42" t="s">
        <v>350</v>
      </c>
      <c r="C100" s="43" t="s">
        <v>1564</v>
      </c>
      <c r="D100" s="42" t="s">
        <v>605</v>
      </c>
      <c r="E100" s="22" t="s">
        <v>57</v>
      </c>
      <c r="F100" s="22" t="s">
        <v>6397</v>
      </c>
      <c r="G100" s="22" t="s">
        <v>6255</v>
      </c>
      <c r="H100" s="22" t="s">
        <v>6255</v>
      </c>
      <c r="I100" s="22" t="s">
        <v>415</v>
      </c>
      <c r="J100" s="22" t="s">
        <v>1441</v>
      </c>
      <c r="K100" s="22" t="s">
        <v>6322</v>
      </c>
      <c r="L100" s="20"/>
      <c r="M100" s="20"/>
      <c r="N100" s="20"/>
      <c r="O100" s="20"/>
      <c r="P100" s="20"/>
      <c r="Q100" s="20"/>
      <c r="R100" s="20"/>
      <c r="S100" s="20"/>
      <c r="T100" s="20"/>
      <c r="U100" s="20"/>
      <c r="V100" s="20"/>
      <c r="W100" s="20"/>
      <c r="X100" s="20"/>
      <c r="Y100" s="20"/>
      <c r="Z100" s="20"/>
    </row>
    <row r="101">
      <c r="A101" s="21">
        <v>24.0</v>
      </c>
      <c r="B101" s="42" t="s">
        <v>350</v>
      </c>
      <c r="C101" s="43" t="s">
        <v>1564</v>
      </c>
      <c r="D101" s="42" t="s">
        <v>475</v>
      </c>
      <c r="E101" s="22" t="s">
        <v>67</v>
      </c>
      <c r="F101" s="22" t="s">
        <v>6398</v>
      </c>
      <c r="G101" s="22" t="s">
        <v>6255</v>
      </c>
      <c r="H101" s="22" t="s">
        <v>6255</v>
      </c>
      <c r="I101" s="22" t="s">
        <v>415</v>
      </c>
      <c r="J101" s="22" t="s">
        <v>2268</v>
      </c>
      <c r="K101" s="22" t="s">
        <v>6279</v>
      </c>
      <c r="L101" s="20"/>
      <c r="M101" s="20"/>
      <c r="N101" s="20"/>
      <c r="O101" s="20"/>
      <c r="P101" s="20"/>
      <c r="Q101" s="20"/>
      <c r="R101" s="20"/>
      <c r="S101" s="20"/>
      <c r="T101" s="20"/>
      <c r="U101" s="20"/>
      <c r="V101" s="20"/>
      <c r="W101" s="20"/>
      <c r="X101" s="20"/>
      <c r="Y101" s="20"/>
      <c r="Z101" s="20"/>
    </row>
    <row r="102">
      <c r="A102" s="21">
        <v>25.0</v>
      </c>
      <c r="B102" s="42" t="s">
        <v>1966</v>
      </c>
      <c r="C102" s="43" t="s">
        <v>1564</v>
      </c>
      <c r="D102" s="42" t="s">
        <v>1431</v>
      </c>
      <c r="E102" s="22" t="s">
        <v>57</v>
      </c>
      <c r="F102" s="22" t="s">
        <v>6399</v>
      </c>
      <c r="G102" s="22" t="s">
        <v>6255</v>
      </c>
      <c r="H102" s="22" t="s">
        <v>6255</v>
      </c>
      <c r="I102" s="22" t="s">
        <v>415</v>
      </c>
      <c r="J102" s="22" t="s">
        <v>2296</v>
      </c>
      <c r="K102" s="22" t="s">
        <v>6256</v>
      </c>
      <c r="L102" s="20"/>
      <c r="M102" s="20"/>
      <c r="N102" s="20"/>
      <c r="O102" s="20"/>
      <c r="P102" s="20"/>
      <c r="Q102" s="20"/>
      <c r="R102" s="20"/>
      <c r="S102" s="20"/>
      <c r="T102" s="20"/>
      <c r="U102" s="20"/>
      <c r="V102" s="20"/>
      <c r="W102" s="20"/>
      <c r="X102" s="20"/>
      <c r="Y102" s="20"/>
      <c r="Z102" s="20"/>
    </row>
    <row r="103">
      <c r="A103" s="21">
        <v>25.0</v>
      </c>
      <c r="B103" s="42" t="s">
        <v>1966</v>
      </c>
      <c r="C103" s="43" t="s">
        <v>1564</v>
      </c>
      <c r="D103" s="42" t="s">
        <v>1972</v>
      </c>
      <c r="E103" s="22" t="s">
        <v>57</v>
      </c>
      <c r="F103" s="22" t="s">
        <v>6400</v>
      </c>
      <c r="G103" s="22" t="s">
        <v>6255</v>
      </c>
      <c r="H103" s="22" t="s">
        <v>6255</v>
      </c>
      <c r="I103" s="22" t="s">
        <v>415</v>
      </c>
      <c r="J103" s="22" t="s">
        <v>2308</v>
      </c>
      <c r="K103" s="22" t="s">
        <v>6256</v>
      </c>
      <c r="L103" s="20"/>
      <c r="M103" s="20"/>
      <c r="N103" s="20"/>
      <c r="O103" s="20"/>
      <c r="P103" s="20"/>
      <c r="Q103" s="20"/>
      <c r="R103" s="20"/>
      <c r="S103" s="20"/>
      <c r="T103" s="20"/>
      <c r="U103" s="20"/>
      <c r="V103" s="20"/>
      <c r="W103" s="20"/>
      <c r="X103" s="20"/>
      <c r="Y103" s="20"/>
      <c r="Z103" s="20"/>
    </row>
    <row r="104">
      <c r="A104" s="21">
        <v>25.0</v>
      </c>
      <c r="B104" s="42" t="s">
        <v>1966</v>
      </c>
      <c r="C104" s="43" t="s">
        <v>1564</v>
      </c>
      <c r="D104" s="42" t="s">
        <v>1993</v>
      </c>
      <c r="E104" s="22" t="s">
        <v>57</v>
      </c>
      <c r="F104" s="22" t="s">
        <v>6401</v>
      </c>
      <c r="G104" s="22" t="s">
        <v>6255</v>
      </c>
      <c r="H104" s="22" t="s">
        <v>6255</v>
      </c>
      <c r="I104" s="22" t="s">
        <v>415</v>
      </c>
      <c r="J104" s="22" t="s">
        <v>2293</v>
      </c>
      <c r="K104" s="22" t="s">
        <v>6256</v>
      </c>
      <c r="L104" s="20"/>
      <c r="M104" s="20"/>
      <c r="N104" s="20"/>
      <c r="O104" s="20"/>
      <c r="P104" s="20"/>
      <c r="Q104" s="20"/>
      <c r="R104" s="20"/>
      <c r="S104" s="20"/>
      <c r="T104" s="20"/>
      <c r="U104" s="20"/>
      <c r="V104" s="20"/>
      <c r="W104" s="20"/>
      <c r="X104" s="20"/>
      <c r="Y104" s="20"/>
      <c r="Z104" s="20"/>
    </row>
    <row r="105">
      <c r="A105" s="21">
        <v>25.0</v>
      </c>
      <c r="B105" s="42" t="s">
        <v>1966</v>
      </c>
      <c r="C105" s="43" t="s">
        <v>1564</v>
      </c>
      <c r="D105" s="42" t="s">
        <v>2003</v>
      </c>
      <c r="E105" s="22" t="s">
        <v>67</v>
      </c>
      <c r="F105" s="22" t="s">
        <v>6402</v>
      </c>
      <c r="G105" s="22" t="s">
        <v>6255</v>
      </c>
      <c r="H105" s="22" t="s">
        <v>6255</v>
      </c>
      <c r="I105" s="22" t="s">
        <v>415</v>
      </c>
      <c r="J105" s="22" t="s">
        <v>2296</v>
      </c>
      <c r="K105" s="22" t="s">
        <v>6256</v>
      </c>
      <c r="L105" s="20"/>
      <c r="M105" s="20"/>
      <c r="N105" s="20"/>
      <c r="O105" s="20"/>
      <c r="P105" s="20"/>
      <c r="Q105" s="20"/>
      <c r="R105" s="20"/>
      <c r="S105" s="20"/>
      <c r="T105" s="20"/>
      <c r="U105" s="20"/>
      <c r="V105" s="20"/>
      <c r="W105" s="20"/>
      <c r="X105" s="20"/>
      <c r="Y105" s="20"/>
      <c r="Z105" s="20"/>
    </row>
    <row r="106">
      <c r="A106" s="21">
        <v>25.0</v>
      </c>
      <c r="B106" s="42" t="s">
        <v>1966</v>
      </c>
      <c r="C106" s="43" t="s">
        <v>1564</v>
      </c>
      <c r="D106" s="42" t="s">
        <v>3051</v>
      </c>
      <c r="E106" s="22" t="s">
        <v>67</v>
      </c>
      <c r="F106" s="22" t="s">
        <v>6403</v>
      </c>
      <c r="G106" s="22" t="s">
        <v>6255</v>
      </c>
      <c r="H106" s="22" t="s">
        <v>6255</v>
      </c>
      <c r="I106" s="22" t="s">
        <v>415</v>
      </c>
      <c r="J106" s="22" t="s">
        <v>2308</v>
      </c>
      <c r="K106" s="22" t="s">
        <v>6279</v>
      </c>
      <c r="L106" s="20"/>
      <c r="M106" s="20"/>
      <c r="N106" s="20"/>
      <c r="O106" s="20"/>
      <c r="P106" s="20"/>
      <c r="Q106" s="20"/>
      <c r="R106" s="20"/>
      <c r="S106" s="20"/>
      <c r="T106" s="20"/>
      <c r="U106" s="20"/>
      <c r="V106" s="20"/>
      <c r="W106" s="20"/>
      <c r="X106" s="20"/>
      <c r="Y106" s="20"/>
      <c r="Z106" s="20"/>
    </row>
    <row r="107">
      <c r="A107" s="21">
        <v>26.0</v>
      </c>
      <c r="B107" s="42" t="s">
        <v>1905</v>
      </c>
      <c r="C107" s="43" t="s">
        <v>1564</v>
      </c>
      <c r="D107" s="42" t="s">
        <v>1612</v>
      </c>
      <c r="E107" s="22" t="s">
        <v>57</v>
      </c>
      <c r="F107" s="22" t="s">
        <v>6404</v>
      </c>
      <c r="G107" s="22" t="s">
        <v>6255</v>
      </c>
      <c r="H107" s="22" t="s">
        <v>6255</v>
      </c>
      <c r="I107" s="22" t="s">
        <v>415</v>
      </c>
      <c r="J107" s="22" t="s">
        <v>2403</v>
      </c>
      <c r="K107" s="22" t="s">
        <v>6256</v>
      </c>
      <c r="L107" s="20"/>
      <c r="M107" s="20"/>
      <c r="N107" s="20"/>
      <c r="O107" s="20"/>
      <c r="P107" s="20"/>
      <c r="Q107" s="20"/>
      <c r="R107" s="20"/>
      <c r="S107" s="20"/>
      <c r="T107" s="20"/>
      <c r="U107" s="20"/>
      <c r="V107" s="20"/>
      <c r="W107" s="20"/>
      <c r="X107" s="20"/>
      <c r="Y107" s="20"/>
      <c r="Z107" s="20"/>
    </row>
    <row r="108">
      <c r="A108" s="21">
        <v>26.0</v>
      </c>
      <c r="B108" s="42" t="s">
        <v>1905</v>
      </c>
      <c r="C108" s="43" t="s">
        <v>1564</v>
      </c>
      <c r="D108" s="42" t="s">
        <v>1631</v>
      </c>
      <c r="E108" s="22" t="s">
        <v>57</v>
      </c>
      <c r="F108" s="22" t="s">
        <v>6405</v>
      </c>
      <c r="G108" s="22" t="s">
        <v>6255</v>
      </c>
      <c r="H108" s="22" t="s">
        <v>6255</v>
      </c>
      <c r="I108" s="22" t="s">
        <v>415</v>
      </c>
      <c r="J108" s="22" t="s">
        <v>2375</v>
      </c>
      <c r="K108" s="22" t="s">
        <v>6256</v>
      </c>
      <c r="L108" s="20"/>
      <c r="M108" s="20"/>
      <c r="N108" s="20"/>
      <c r="O108" s="20"/>
      <c r="P108" s="20"/>
      <c r="Q108" s="20"/>
      <c r="R108" s="20"/>
      <c r="S108" s="20"/>
      <c r="T108" s="20"/>
      <c r="U108" s="20"/>
      <c r="V108" s="20"/>
      <c r="W108" s="20"/>
      <c r="X108" s="20"/>
      <c r="Y108" s="20"/>
      <c r="Z108" s="20"/>
    </row>
    <row r="109">
      <c r="A109" s="21">
        <v>26.0</v>
      </c>
      <c r="B109" s="42" t="s">
        <v>1905</v>
      </c>
      <c r="C109" s="43" t="s">
        <v>1564</v>
      </c>
      <c r="D109" s="42" t="s">
        <v>1379</v>
      </c>
      <c r="E109" s="22" t="s">
        <v>57</v>
      </c>
      <c r="F109" s="22" t="s">
        <v>6406</v>
      </c>
      <c r="G109" s="22" t="s">
        <v>6255</v>
      </c>
      <c r="H109" s="22" t="s">
        <v>6255</v>
      </c>
      <c r="I109" s="22" t="s">
        <v>415</v>
      </c>
      <c r="J109" s="22" t="s">
        <v>2371</v>
      </c>
      <c r="K109" s="22" t="s">
        <v>6256</v>
      </c>
      <c r="L109" s="20"/>
      <c r="M109" s="20"/>
      <c r="N109" s="20"/>
      <c r="O109" s="20"/>
      <c r="P109" s="20"/>
      <c r="Q109" s="20"/>
      <c r="R109" s="20"/>
      <c r="S109" s="20"/>
      <c r="T109" s="20"/>
      <c r="U109" s="20"/>
      <c r="V109" s="20"/>
      <c r="W109" s="20"/>
      <c r="X109" s="20"/>
      <c r="Y109" s="20"/>
      <c r="Z109" s="20"/>
    </row>
    <row r="110">
      <c r="A110" s="21">
        <v>26.0</v>
      </c>
      <c r="B110" s="42" t="s">
        <v>1905</v>
      </c>
      <c r="C110" s="43" t="s">
        <v>1564</v>
      </c>
      <c r="D110" s="42" t="s">
        <v>2372</v>
      </c>
      <c r="E110" s="22" t="s">
        <v>57</v>
      </c>
      <c r="F110" s="22" t="s">
        <v>6407</v>
      </c>
      <c r="G110" s="22" t="s">
        <v>6255</v>
      </c>
      <c r="H110" s="22" t="s">
        <v>6255</v>
      </c>
      <c r="I110" s="22" t="s">
        <v>415</v>
      </c>
      <c r="J110" s="22" t="s">
        <v>2403</v>
      </c>
      <c r="K110" s="22" t="s">
        <v>6256</v>
      </c>
      <c r="L110" s="20"/>
      <c r="M110" s="20"/>
      <c r="N110" s="20"/>
      <c r="O110" s="20"/>
      <c r="P110" s="20"/>
      <c r="Q110" s="20"/>
      <c r="R110" s="20"/>
      <c r="S110" s="20"/>
      <c r="T110" s="20"/>
      <c r="U110" s="20"/>
      <c r="V110" s="20"/>
      <c r="W110" s="20"/>
      <c r="X110" s="20"/>
      <c r="Y110" s="20"/>
      <c r="Z110" s="20"/>
    </row>
    <row r="111">
      <c r="A111" s="21">
        <v>26.0</v>
      </c>
      <c r="B111" s="42" t="s">
        <v>1905</v>
      </c>
      <c r="C111" s="43" t="s">
        <v>1564</v>
      </c>
      <c r="D111" s="42" t="s">
        <v>1894</v>
      </c>
      <c r="E111" s="22" t="s">
        <v>67</v>
      </c>
      <c r="F111" s="22" t="s">
        <v>6408</v>
      </c>
      <c r="G111" s="22" t="s">
        <v>6255</v>
      </c>
      <c r="H111" s="22" t="s">
        <v>6255</v>
      </c>
      <c r="I111" s="22" t="s">
        <v>415</v>
      </c>
      <c r="J111" s="22" t="s">
        <v>2375</v>
      </c>
      <c r="K111" s="22" t="s">
        <v>6279</v>
      </c>
      <c r="L111" s="20"/>
      <c r="M111" s="20"/>
      <c r="N111" s="20"/>
      <c r="O111" s="20"/>
      <c r="P111" s="20"/>
      <c r="Q111" s="20"/>
      <c r="R111" s="20"/>
      <c r="S111" s="20"/>
      <c r="T111" s="20"/>
      <c r="U111" s="20"/>
      <c r="V111" s="20"/>
      <c r="W111" s="20"/>
      <c r="X111" s="20"/>
      <c r="Y111" s="20"/>
      <c r="Z111" s="20"/>
    </row>
    <row r="112">
      <c r="A112" s="21">
        <v>27.0</v>
      </c>
      <c r="B112" s="42" t="s">
        <v>433</v>
      </c>
      <c r="C112" s="43" t="s">
        <v>1564</v>
      </c>
      <c r="D112" s="42" t="s">
        <v>2414</v>
      </c>
      <c r="E112" s="22" t="s">
        <v>57</v>
      </c>
      <c r="F112" s="22" t="s">
        <v>6409</v>
      </c>
      <c r="G112" s="22" t="s">
        <v>6255</v>
      </c>
      <c r="H112" s="22" t="s">
        <v>6255</v>
      </c>
      <c r="I112" s="22" t="s">
        <v>415</v>
      </c>
      <c r="J112" s="22" t="s">
        <v>2408</v>
      </c>
      <c r="K112" s="22" t="s">
        <v>6256</v>
      </c>
      <c r="L112" s="20"/>
      <c r="M112" s="20"/>
      <c r="N112" s="20"/>
      <c r="O112" s="20"/>
      <c r="P112" s="20"/>
      <c r="Q112" s="20"/>
      <c r="R112" s="20"/>
      <c r="S112" s="20"/>
      <c r="T112" s="20"/>
      <c r="U112" s="20"/>
      <c r="V112" s="20"/>
      <c r="W112" s="20"/>
      <c r="X112" s="20"/>
      <c r="Y112" s="20"/>
      <c r="Z112" s="20"/>
    </row>
    <row r="113">
      <c r="A113" s="21">
        <v>27.0</v>
      </c>
      <c r="B113" s="42" t="s">
        <v>433</v>
      </c>
      <c r="C113" s="43" t="s">
        <v>1564</v>
      </c>
      <c r="D113" s="42" t="s">
        <v>2409</v>
      </c>
      <c r="E113" s="22" t="s">
        <v>57</v>
      </c>
      <c r="F113" s="22" t="s">
        <v>6410</v>
      </c>
      <c r="G113" s="22" t="s">
        <v>6255</v>
      </c>
      <c r="H113" s="22" t="s">
        <v>6255</v>
      </c>
      <c r="I113" s="22" t="s">
        <v>415</v>
      </c>
      <c r="J113" s="22" t="s">
        <v>2431</v>
      </c>
      <c r="K113" s="22" t="s">
        <v>6256</v>
      </c>
      <c r="L113" s="20"/>
      <c r="M113" s="20"/>
      <c r="N113" s="20"/>
      <c r="O113" s="20"/>
      <c r="P113" s="20"/>
      <c r="Q113" s="20"/>
      <c r="R113" s="20"/>
      <c r="S113" s="20"/>
      <c r="T113" s="20"/>
      <c r="U113" s="20"/>
      <c r="V113" s="20"/>
      <c r="W113" s="20"/>
      <c r="X113" s="20"/>
      <c r="Y113" s="20"/>
      <c r="Z113" s="20"/>
    </row>
    <row r="114">
      <c r="A114" s="21">
        <v>27.0</v>
      </c>
      <c r="B114" s="42" t="s">
        <v>433</v>
      </c>
      <c r="C114" s="43" t="s">
        <v>1564</v>
      </c>
      <c r="D114" s="42" t="s">
        <v>6411</v>
      </c>
      <c r="E114" s="22" t="s">
        <v>57</v>
      </c>
      <c r="F114" s="22" t="s">
        <v>6412</v>
      </c>
      <c r="G114" s="22" t="s">
        <v>6255</v>
      </c>
      <c r="H114" s="22" t="s">
        <v>6255</v>
      </c>
      <c r="I114" s="22" t="s">
        <v>415</v>
      </c>
      <c r="J114" s="22" t="s">
        <v>2413</v>
      </c>
      <c r="K114" s="22" t="s">
        <v>6256</v>
      </c>
      <c r="L114" s="20"/>
      <c r="M114" s="20"/>
      <c r="N114" s="20"/>
      <c r="O114" s="20"/>
      <c r="P114" s="20"/>
      <c r="Q114" s="20"/>
      <c r="R114" s="20"/>
      <c r="S114" s="20"/>
      <c r="T114" s="20"/>
      <c r="U114" s="20"/>
      <c r="V114" s="20"/>
      <c r="W114" s="20"/>
      <c r="X114" s="20"/>
      <c r="Y114" s="20"/>
      <c r="Z114" s="20"/>
    </row>
    <row r="115">
      <c r="A115" s="21">
        <v>27.0</v>
      </c>
      <c r="B115" s="42" t="s">
        <v>433</v>
      </c>
      <c r="C115" s="43" t="s">
        <v>1564</v>
      </c>
      <c r="D115" s="42" t="s">
        <v>1946</v>
      </c>
      <c r="E115" s="22" t="s">
        <v>67</v>
      </c>
      <c r="F115" s="22" t="s">
        <v>6413</v>
      </c>
      <c r="G115" s="22" t="s">
        <v>6255</v>
      </c>
      <c r="H115" s="22" t="s">
        <v>6255</v>
      </c>
      <c r="I115" s="22" t="s">
        <v>415</v>
      </c>
      <c r="J115" s="22" t="s">
        <v>2408</v>
      </c>
      <c r="K115" s="22" t="s">
        <v>6256</v>
      </c>
      <c r="L115" s="20"/>
      <c r="M115" s="20"/>
      <c r="N115" s="20"/>
      <c r="O115" s="20"/>
      <c r="P115" s="20"/>
      <c r="Q115" s="20"/>
      <c r="R115" s="20"/>
      <c r="S115" s="20"/>
      <c r="T115" s="20"/>
      <c r="U115" s="20"/>
      <c r="V115" s="20"/>
      <c r="W115" s="20"/>
      <c r="X115" s="20"/>
      <c r="Y115" s="20"/>
      <c r="Z115" s="20"/>
    </row>
    <row r="116">
      <c r="A116" s="21">
        <v>28.0</v>
      </c>
      <c r="B116" s="42" t="s">
        <v>2091</v>
      </c>
      <c r="C116" s="43" t="s">
        <v>3094</v>
      </c>
      <c r="D116" s="42" t="s">
        <v>2484</v>
      </c>
      <c r="E116" s="22" t="s">
        <v>57</v>
      </c>
      <c r="F116" s="22" t="s">
        <v>6414</v>
      </c>
      <c r="G116" s="22" t="s">
        <v>6255</v>
      </c>
      <c r="H116" s="22" t="s">
        <v>6255</v>
      </c>
      <c r="I116" s="22" t="s">
        <v>415</v>
      </c>
      <c r="J116" s="22" t="s">
        <v>5059</v>
      </c>
      <c r="K116" s="22" t="s">
        <v>6256</v>
      </c>
      <c r="L116" s="20"/>
      <c r="M116" s="20"/>
      <c r="N116" s="20"/>
      <c r="O116" s="20"/>
      <c r="P116" s="20"/>
      <c r="Q116" s="20"/>
      <c r="R116" s="20"/>
      <c r="S116" s="20"/>
      <c r="T116" s="20"/>
      <c r="U116" s="20"/>
      <c r="V116" s="20"/>
      <c r="W116" s="20"/>
      <c r="X116" s="20"/>
      <c r="Y116" s="20"/>
      <c r="Z116" s="20"/>
    </row>
    <row r="117">
      <c r="A117" s="21">
        <v>28.0</v>
      </c>
      <c r="B117" s="42" t="s">
        <v>2091</v>
      </c>
      <c r="C117" s="43" t="s">
        <v>3094</v>
      </c>
      <c r="D117" s="42" t="s">
        <v>2492</v>
      </c>
      <c r="E117" s="22" t="s">
        <v>57</v>
      </c>
      <c r="F117" s="22" t="s">
        <v>6415</v>
      </c>
      <c r="G117" s="22" t="s">
        <v>6255</v>
      </c>
      <c r="H117" s="22" t="s">
        <v>6255</v>
      </c>
      <c r="I117" s="22" t="s">
        <v>415</v>
      </c>
      <c r="J117" s="22" t="s">
        <v>6416</v>
      </c>
      <c r="K117" s="22" t="s">
        <v>6279</v>
      </c>
      <c r="L117" s="20"/>
      <c r="M117" s="20"/>
      <c r="N117" s="20"/>
      <c r="O117" s="20"/>
      <c r="P117" s="20"/>
      <c r="Q117" s="20"/>
      <c r="R117" s="20"/>
      <c r="S117" s="20"/>
      <c r="T117" s="20"/>
      <c r="U117" s="20"/>
      <c r="V117" s="20"/>
      <c r="W117" s="20"/>
      <c r="X117" s="20"/>
      <c r="Y117" s="20"/>
      <c r="Z117" s="20"/>
    </row>
    <row r="118">
      <c r="A118" s="21">
        <v>28.0</v>
      </c>
      <c r="B118" s="42" t="s">
        <v>2091</v>
      </c>
      <c r="C118" s="43" t="s">
        <v>3094</v>
      </c>
      <c r="D118" s="42" t="s">
        <v>2488</v>
      </c>
      <c r="E118" s="22" t="s">
        <v>57</v>
      </c>
      <c r="F118" s="22" t="s">
        <v>6417</v>
      </c>
      <c r="G118" s="22" t="s">
        <v>6255</v>
      </c>
      <c r="H118" s="22" t="s">
        <v>6255</v>
      </c>
      <c r="I118" s="22" t="s">
        <v>415</v>
      </c>
      <c r="J118" s="22" t="s">
        <v>6418</v>
      </c>
      <c r="K118" s="22" t="s">
        <v>6279</v>
      </c>
      <c r="L118" s="20"/>
      <c r="M118" s="20"/>
      <c r="N118" s="20"/>
      <c r="O118" s="20"/>
      <c r="P118" s="20"/>
      <c r="Q118" s="20"/>
      <c r="R118" s="20"/>
      <c r="S118" s="20"/>
      <c r="T118" s="20"/>
      <c r="U118" s="20"/>
      <c r="V118" s="20"/>
      <c r="W118" s="20"/>
      <c r="X118" s="20"/>
      <c r="Y118" s="20"/>
      <c r="Z118" s="20"/>
    </row>
    <row r="119">
      <c r="A119" s="21">
        <v>28.0</v>
      </c>
      <c r="B119" s="42" t="s">
        <v>2091</v>
      </c>
      <c r="C119" s="43" t="s">
        <v>3094</v>
      </c>
      <c r="D119" s="42" t="s">
        <v>2497</v>
      </c>
      <c r="E119" s="22" t="s">
        <v>67</v>
      </c>
      <c r="F119" s="22" t="s">
        <v>6419</v>
      </c>
      <c r="G119" s="22" t="s">
        <v>6255</v>
      </c>
      <c r="H119" s="22" t="s">
        <v>6255</v>
      </c>
      <c r="I119" s="22" t="s">
        <v>415</v>
      </c>
      <c r="J119" s="22" t="s">
        <v>6420</v>
      </c>
      <c r="K119" s="22" t="s">
        <v>6279</v>
      </c>
      <c r="L119" s="20"/>
      <c r="M119" s="20"/>
      <c r="N119" s="20"/>
      <c r="O119" s="20"/>
      <c r="P119" s="20"/>
      <c r="Q119" s="20"/>
      <c r="R119" s="20"/>
      <c r="S119" s="20"/>
      <c r="T119" s="20"/>
      <c r="U119" s="20"/>
      <c r="V119" s="20"/>
      <c r="W119" s="20"/>
      <c r="X119" s="20"/>
      <c r="Y119" s="20"/>
      <c r="Z119" s="20"/>
    </row>
    <row r="120">
      <c r="A120" s="21">
        <v>28.0</v>
      </c>
      <c r="B120" s="42" t="s">
        <v>2091</v>
      </c>
      <c r="C120" s="43" t="s">
        <v>3094</v>
      </c>
      <c r="D120" s="42" t="s">
        <v>2502</v>
      </c>
      <c r="E120" s="22" t="s">
        <v>67</v>
      </c>
      <c r="F120" s="22" t="s">
        <v>6421</v>
      </c>
      <c r="G120" s="22" t="s">
        <v>6255</v>
      </c>
      <c r="H120" s="22" t="s">
        <v>6255</v>
      </c>
      <c r="I120" s="22" t="s">
        <v>415</v>
      </c>
      <c r="J120" s="22" t="s">
        <v>6422</v>
      </c>
      <c r="K120" s="22" t="s">
        <v>6279</v>
      </c>
      <c r="L120" s="20"/>
      <c r="M120" s="20"/>
      <c r="N120" s="20"/>
      <c r="O120" s="20"/>
      <c r="P120" s="20"/>
      <c r="Q120" s="20"/>
      <c r="R120" s="20"/>
      <c r="S120" s="20"/>
      <c r="T120" s="20"/>
      <c r="U120" s="20"/>
      <c r="V120" s="20"/>
      <c r="W120" s="20"/>
      <c r="X120" s="20"/>
      <c r="Y120" s="20"/>
      <c r="Z120" s="20"/>
    </row>
    <row r="121">
      <c r="A121" s="21">
        <v>29.0</v>
      </c>
      <c r="B121" s="42" t="s">
        <v>2570</v>
      </c>
      <c r="C121" s="43" t="s">
        <v>3094</v>
      </c>
      <c r="D121" s="42" t="s">
        <v>2417</v>
      </c>
      <c r="E121" s="22" t="s">
        <v>57</v>
      </c>
      <c r="F121" s="22" t="s">
        <v>6423</v>
      </c>
      <c r="G121" s="22" t="s">
        <v>6255</v>
      </c>
      <c r="H121" s="22" t="s">
        <v>6255</v>
      </c>
      <c r="I121" s="22" t="s">
        <v>415</v>
      </c>
      <c r="J121" s="22" t="s">
        <v>5484</v>
      </c>
      <c r="K121" s="22" t="s">
        <v>6256</v>
      </c>
      <c r="L121" s="20"/>
      <c r="M121" s="20"/>
      <c r="N121" s="20"/>
      <c r="O121" s="20"/>
      <c r="P121" s="20"/>
      <c r="Q121" s="20"/>
      <c r="R121" s="20"/>
      <c r="S121" s="20"/>
      <c r="T121" s="20"/>
      <c r="U121" s="20"/>
      <c r="V121" s="20"/>
      <c r="W121" s="20"/>
      <c r="X121" s="20"/>
      <c r="Y121" s="20"/>
      <c r="Z121" s="20"/>
    </row>
    <row r="122">
      <c r="A122" s="21">
        <v>29.0</v>
      </c>
      <c r="B122" s="42" t="s">
        <v>2570</v>
      </c>
      <c r="C122" s="43" t="s">
        <v>3094</v>
      </c>
      <c r="D122" s="42" t="s">
        <v>2987</v>
      </c>
      <c r="E122" s="22" t="s">
        <v>57</v>
      </c>
      <c r="F122" s="22" t="s">
        <v>6424</v>
      </c>
      <c r="G122" s="22" t="s">
        <v>6255</v>
      </c>
      <c r="H122" s="22" t="s">
        <v>6255</v>
      </c>
      <c r="I122" s="22" t="s">
        <v>415</v>
      </c>
      <c r="J122" s="22" t="s">
        <v>6425</v>
      </c>
      <c r="K122" s="22" t="s">
        <v>6256</v>
      </c>
      <c r="L122" s="20"/>
      <c r="M122" s="20"/>
      <c r="N122" s="20"/>
      <c r="O122" s="20"/>
      <c r="P122" s="20"/>
      <c r="Q122" s="20"/>
      <c r="R122" s="20"/>
      <c r="S122" s="20"/>
      <c r="T122" s="20"/>
      <c r="U122" s="20"/>
      <c r="V122" s="20"/>
      <c r="W122" s="20"/>
      <c r="X122" s="20"/>
      <c r="Y122" s="20"/>
      <c r="Z122" s="20"/>
    </row>
    <row r="123">
      <c r="A123" s="21">
        <v>29.0</v>
      </c>
      <c r="B123" s="42" t="s">
        <v>2570</v>
      </c>
      <c r="C123" s="43" t="s">
        <v>3094</v>
      </c>
      <c r="D123" s="42" t="s">
        <v>2990</v>
      </c>
      <c r="E123" s="22" t="s">
        <v>57</v>
      </c>
      <c r="F123" s="22" t="s">
        <v>6426</v>
      </c>
      <c r="G123" s="22" t="s">
        <v>6255</v>
      </c>
      <c r="H123" s="22" t="s">
        <v>6255</v>
      </c>
      <c r="I123" s="22" t="s">
        <v>415</v>
      </c>
      <c r="J123" s="22" t="s">
        <v>2984</v>
      </c>
      <c r="K123" s="22" t="s">
        <v>6256</v>
      </c>
      <c r="L123" s="20"/>
      <c r="M123" s="20"/>
      <c r="N123" s="20"/>
      <c r="O123" s="20"/>
      <c r="P123" s="20"/>
      <c r="Q123" s="20"/>
      <c r="R123" s="20"/>
      <c r="S123" s="20"/>
      <c r="T123" s="20"/>
      <c r="U123" s="20"/>
      <c r="V123" s="20"/>
      <c r="W123" s="20"/>
      <c r="X123" s="20"/>
      <c r="Y123" s="20"/>
      <c r="Z123" s="20"/>
    </row>
    <row r="124">
      <c r="A124" s="21">
        <v>29.0</v>
      </c>
      <c r="B124" s="42" t="s">
        <v>2570</v>
      </c>
      <c r="C124" s="43" t="s">
        <v>3094</v>
      </c>
      <c r="D124" s="42" t="s">
        <v>2573</v>
      </c>
      <c r="E124" s="22" t="s">
        <v>67</v>
      </c>
      <c r="F124" s="22" t="s">
        <v>6428</v>
      </c>
      <c r="G124" s="22" t="s">
        <v>6255</v>
      </c>
      <c r="H124" s="22" t="s">
        <v>6255</v>
      </c>
      <c r="I124" s="22" t="s">
        <v>415</v>
      </c>
      <c r="J124" s="22" t="s">
        <v>5484</v>
      </c>
      <c r="K124" s="22" t="s">
        <v>6256</v>
      </c>
      <c r="L124" s="20"/>
      <c r="M124" s="20"/>
      <c r="N124" s="20"/>
      <c r="O124" s="20"/>
      <c r="P124" s="20"/>
      <c r="Q124" s="20"/>
      <c r="R124" s="20"/>
      <c r="S124" s="20"/>
      <c r="T124" s="20"/>
      <c r="U124" s="20"/>
      <c r="V124" s="20"/>
      <c r="W124" s="20"/>
      <c r="X124" s="20"/>
      <c r="Y124" s="20"/>
      <c r="Z124" s="20"/>
    </row>
    <row r="125">
      <c r="A125" s="21">
        <v>29.0</v>
      </c>
      <c r="B125" s="42" t="s">
        <v>2570</v>
      </c>
      <c r="C125" s="43" t="s">
        <v>3094</v>
      </c>
      <c r="D125" s="42" t="s">
        <v>3295</v>
      </c>
      <c r="E125" s="22" t="s">
        <v>67</v>
      </c>
      <c r="F125" s="22" t="s">
        <v>6429</v>
      </c>
      <c r="G125" s="22" t="s">
        <v>6255</v>
      </c>
      <c r="H125" s="22" t="s">
        <v>6255</v>
      </c>
      <c r="I125" s="22" t="s">
        <v>415</v>
      </c>
      <c r="J125" s="22" t="s">
        <v>6425</v>
      </c>
      <c r="K125" s="22" t="s">
        <v>6256</v>
      </c>
      <c r="L125" s="20"/>
      <c r="M125" s="20"/>
      <c r="N125" s="20"/>
      <c r="O125" s="20"/>
      <c r="P125" s="20"/>
      <c r="Q125" s="20"/>
      <c r="R125" s="20"/>
      <c r="S125" s="20"/>
      <c r="T125" s="20"/>
      <c r="U125" s="20"/>
      <c r="V125" s="20"/>
      <c r="W125" s="20"/>
      <c r="X125" s="20"/>
      <c r="Y125" s="20"/>
      <c r="Z125" s="20"/>
    </row>
    <row r="126">
      <c r="A126" s="21">
        <v>30.0</v>
      </c>
      <c r="B126" s="42" t="s">
        <v>1860</v>
      </c>
      <c r="C126" s="43" t="s">
        <v>3094</v>
      </c>
      <c r="D126" s="42" t="s">
        <v>1309</v>
      </c>
      <c r="E126" s="22" t="s">
        <v>57</v>
      </c>
      <c r="F126" s="22" t="s">
        <v>6430</v>
      </c>
      <c r="G126" s="22" t="s">
        <v>6255</v>
      </c>
      <c r="H126" s="22" t="s">
        <v>6255</v>
      </c>
      <c r="I126" s="22" t="s">
        <v>415</v>
      </c>
      <c r="J126" s="22" t="s">
        <v>3090</v>
      </c>
      <c r="K126" s="22" t="s">
        <v>6256</v>
      </c>
      <c r="L126" s="20"/>
      <c r="M126" s="20"/>
      <c r="N126" s="20"/>
      <c r="O126" s="20"/>
      <c r="P126" s="20"/>
      <c r="Q126" s="20"/>
      <c r="R126" s="20"/>
      <c r="S126" s="20"/>
      <c r="T126" s="20"/>
      <c r="U126" s="20"/>
      <c r="V126" s="20"/>
      <c r="W126" s="20"/>
      <c r="X126" s="20"/>
      <c r="Y126" s="20"/>
      <c r="Z126" s="20"/>
    </row>
    <row r="127">
      <c r="A127" s="21">
        <v>30.0</v>
      </c>
      <c r="B127" s="42" t="s">
        <v>1860</v>
      </c>
      <c r="C127" s="43" t="s">
        <v>3094</v>
      </c>
      <c r="D127" s="42" t="s">
        <v>2076</v>
      </c>
      <c r="E127" s="22" t="s">
        <v>57</v>
      </c>
      <c r="F127" s="22" t="s">
        <v>6431</v>
      </c>
      <c r="G127" s="22" t="s">
        <v>6255</v>
      </c>
      <c r="H127" s="22" t="s">
        <v>6255</v>
      </c>
      <c r="I127" s="22" t="s">
        <v>415</v>
      </c>
      <c r="J127" s="22" t="s">
        <v>3096</v>
      </c>
      <c r="K127" s="22" t="s">
        <v>6256</v>
      </c>
      <c r="L127" s="20"/>
      <c r="M127" s="20"/>
      <c r="N127" s="20"/>
      <c r="O127" s="20"/>
      <c r="P127" s="20"/>
      <c r="Q127" s="20"/>
      <c r="R127" s="20"/>
      <c r="S127" s="20"/>
      <c r="T127" s="20"/>
      <c r="U127" s="20"/>
      <c r="V127" s="20"/>
      <c r="W127" s="20"/>
      <c r="X127" s="20"/>
      <c r="Y127" s="20"/>
      <c r="Z127" s="20"/>
    </row>
    <row r="128">
      <c r="A128" s="21">
        <v>30.0</v>
      </c>
      <c r="B128" s="42" t="s">
        <v>1860</v>
      </c>
      <c r="C128" s="43" t="s">
        <v>3094</v>
      </c>
      <c r="D128" s="42" t="s">
        <v>3041</v>
      </c>
      <c r="E128" s="22" t="s">
        <v>57</v>
      </c>
      <c r="F128" s="22" t="s">
        <v>6432</v>
      </c>
      <c r="G128" s="22" t="s">
        <v>6255</v>
      </c>
      <c r="H128" s="22" t="s">
        <v>6255</v>
      </c>
      <c r="I128" s="22" t="s">
        <v>415</v>
      </c>
      <c r="J128" s="22" t="s">
        <v>3090</v>
      </c>
      <c r="K128" s="22" t="s">
        <v>6256</v>
      </c>
      <c r="L128" s="20"/>
      <c r="M128" s="20"/>
      <c r="N128" s="20"/>
      <c r="O128" s="20"/>
      <c r="P128" s="20"/>
      <c r="Q128" s="20"/>
      <c r="R128" s="20"/>
      <c r="S128" s="20"/>
      <c r="T128" s="20"/>
      <c r="U128" s="20"/>
      <c r="V128" s="20"/>
      <c r="W128" s="20"/>
      <c r="X128" s="20"/>
      <c r="Y128" s="20"/>
      <c r="Z128" s="20"/>
    </row>
    <row r="129">
      <c r="A129" s="21">
        <v>30.0</v>
      </c>
      <c r="B129" s="42" t="s">
        <v>1860</v>
      </c>
      <c r="C129" s="43" t="s">
        <v>3094</v>
      </c>
      <c r="D129" s="42" t="s">
        <v>1512</v>
      </c>
      <c r="E129" s="22" t="s">
        <v>57</v>
      </c>
      <c r="F129" s="22" t="s">
        <v>6433</v>
      </c>
      <c r="G129" s="22" t="s">
        <v>6255</v>
      </c>
      <c r="H129" s="22" t="s">
        <v>6255</v>
      </c>
      <c r="I129" s="22" t="s">
        <v>415</v>
      </c>
      <c r="J129" s="22" t="s">
        <v>3096</v>
      </c>
      <c r="K129" s="22" t="s">
        <v>6256</v>
      </c>
      <c r="L129" s="20"/>
      <c r="M129" s="20"/>
      <c r="N129" s="20"/>
      <c r="O129" s="20"/>
      <c r="P129" s="20"/>
      <c r="Q129" s="20"/>
      <c r="R129" s="20"/>
      <c r="S129" s="20"/>
      <c r="T129" s="20"/>
      <c r="U129" s="20"/>
      <c r="V129" s="20"/>
      <c r="W129" s="20"/>
      <c r="X129" s="20"/>
      <c r="Y129" s="20"/>
      <c r="Z129" s="20"/>
    </row>
    <row r="130">
      <c r="A130" s="21">
        <v>30.0</v>
      </c>
      <c r="B130" s="42" t="s">
        <v>1860</v>
      </c>
      <c r="C130" s="43" t="s">
        <v>3094</v>
      </c>
      <c r="D130" s="42" t="s">
        <v>1843</v>
      </c>
      <c r="E130" s="22" t="s">
        <v>67</v>
      </c>
      <c r="F130" s="22" t="s">
        <v>6434</v>
      </c>
      <c r="G130" s="22" t="s">
        <v>6255</v>
      </c>
      <c r="H130" s="22" t="s">
        <v>6255</v>
      </c>
      <c r="I130" s="22" t="s">
        <v>415</v>
      </c>
      <c r="J130" s="22" t="s">
        <v>3090</v>
      </c>
      <c r="K130" s="22" t="s">
        <v>6256</v>
      </c>
      <c r="L130" s="20"/>
      <c r="M130" s="20"/>
      <c r="N130" s="20"/>
      <c r="O130" s="20"/>
      <c r="P130" s="20"/>
      <c r="Q130" s="20"/>
      <c r="R130" s="20"/>
      <c r="S130" s="20"/>
      <c r="T130" s="20"/>
      <c r="U130" s="20"/>
      <c r="V130" s="20"/>
      <c r="W130" s="20"/>
      <c r="X130" s="20"/>
      <c r="Y130" s="20"/>
      <c r="Z130" s="20"/>
    </row>
    <row r="131">
      <c r="A131" s="21">
        <v>31.0</v>
      </c>
      <c r="B131" s="42" t="s">
        <v>3155</v>
      </c>
      <c r="C131" s="43" t="s">
        <v>3094</v>
      </c>
      <c r="D131" s="42" t="s">
        <v>2441</v>
      </c>
      <c r="E131" s="22" t="s">
        <v>57</v>
      </c>
      <c r="F131" s="22" t="s">
        <v>6435</v>
      </c>
      <c r="G131" s="22" t="s">
        <v>6255</v>
      </c>
      <c r="H131" s="22" t="s">
        <v>6255</v>
      </c>
      <c r="I131" s="22" t="s">
        <v>415</v>
      </c>
      <c r="J131" s="22" t="s">
        <v>3160</v>
      </c>
      <c r="K131" s="22" t="s">
        <v>6256</v>
      </c>
      <c r="L131" s="20"/>
      <c r="M131" s="20"/>
      <c r="N131" s="20"/>
      <c r="O131" s="20"/>
      <c r="P131" s="20"/>
      <c r="Q131" s="20"/>
      <c r="R131" s="20"/>
      <c r="S131" s="20"/>
      <c r="T131" s="20"/>
      <c r="U131" s="20"/>
      <c r="V131" s="20"/>
      <c r="W131" s="20"/>
      <c r="X131" s="20"/>
      <c r="Y131" s="20"/>
      <c r="Z131" s="20"/>
    </row>
    <row r="132">
      <c r="A132" s="21">
        <v>31.0</v>
      </c>
      <c r="B132" s="42" t="s">
        <v>3155</v>
      </c>
      <c r="C132" s="43" t="s">
        <v>3094</v>
      </c>
      <c r="D132" s="42" t="s">
        <v>1367</v>
      </c>
      <c r="E132" s="22" t="s">
        <v>57</v>
      </c>
      <c r="F132" s="22" t="s">
        <v>6436</v>
      </c>
      <c r="G132" s="22" t="s">
        <v>6255</v>
      </c>
      <c r="H132" s="22" t="s">
        <v>6255</v>
      </c>
      <c r="I132" s="22" t="s">
        <v>415</v>
      </c>
      <c r="J132" s="22" t="s">
        <v>3156</v>
      </c>
      <c r="K132" s="22" t="s">
        <v>6256</v>
      </c>
      <c r="L132" s="20"/>
      <c r="M132" s="20"/>
      <c r="N132" s="20"/>
      <c r="O132" s="20"/>
      <c r="P132" s="20"/>
      <c r="Q132" s="20"/>
      <c r="R132" s="20"/>
      <c r="S132" s="20"/>
      <c r="T132" s="20"/>
      <c r="U132" s="20"/>
      <c r="V132" s="20"/>
      <c r="W132" s="20"/>
      <c r="X132" s="20"/>
      <c r="Y132" s="20"/>
      <c r="Z132" s="20"/>
    </row>
    <row r="133">
      <c r="A133" s="21">
        <v>31.0</v>
      </c>
      <c r="B133" s="42" t="s">
        <v>3155</v>
      </c>
      <c r="C133" s="43" t="s">
        <v>3094</v>
      </c>
      <c r="D133" s="42" t="s">
        <v>2450</v>
      </c>
      <c r="E133" s="22" t="s">
        <v>67</v>
      </c>
      <c r="F133" s="22" t="s">
        <v>6437</v>
      </c>
      <c r="G133" s="22" t="s">
        <v>6255</v>
      </c>
      <c r="H133" s="22" t="s">
        <v>6255</v>
      </c>
      <c r="I133" s="22" t="s">
        <v>415</v>
      </c>
      <c r="J133" s="22" t="s">
        <v>3160</v>
      </c>
      <c r="K133" s="22" t="s">
        <v>6256</v>
      </c>
      <c r="L133" s="20"/>
      <c r="M133" s="20"/>
      <c r="N133" s="20"/>
      <c r="O133" s="20"/>
      <c r="P133" s="20"/>
      <c r="Q133" s="20"/>
      <c r="R133" s="20"/>
      <c r="S133" s="20"/>
      <c r="T133" s="20"/>
      <c r="U133" s="20"/>
      <c r="V133" s="20"/>
      <c r="W133" s="20"/>
      <c r="X133" s="20"/>
      <c r="Y133" s="20"/>
      <c r="Z133" s="20"/>
    </row>
    <row r="134">
      <c r="A134" s="21">
        <v>31.0</v>
      </c>
      <c r="B134" s="42" t="s">
        <v>3155</v>
      </c>
      <c r="C134" s="43" t="s">
        <v>3094</v>
      </c>
      <c r="D134" s="42" t="s">
        <v>2452</v>
      </c>
      <c r="E134" s="22" t="s">
        <v>67</v>
      </c>
      <c r="F134" s="22" t="s">
        <v>6438</v>
      </c>
      <c r="G134" s="22" t="s">
        <v>6255</v>
      </c>
      <c r="H134" s="22" t="s">
        <v>6255</v>
      </c>
      <c r="I134" s="22" t="s">
        <v>415</v>
      </c>
      <c r="J134" s="22" t="s">
        <v>3156</v>
      </c>
      <c r="K134" s="22" t="s">
        <v>6256</v>
      </c>
      <c r="L134" s="20"/>
      <c r="M134" s="20"/>
      <c r="N134" s="20"/>
      <c r="O134" s="20"/>
      <c r="P134" s="20"/>
      <c r="Q134" s="20"/>
      <c r="R134" s="20"/>
      <c r="S134" s="20"/>
      <c r="T134" s="20"/>
      <c r="U134" s="20"/>
      <c r="V134" s="20"/>
      <c r="W134" s="20"/>
      <c r="X134" s="20"/>
      <c r="Y134" s="20"/>
      <c r="Z134" s="20"/>
    </row>
    <row r="135">
      <c r="A135" s="21">
        <v>31.0</v>
      </c>
      <c r="B135" s="42" t="s">
        <v>3155</v>
      </c>
      <c r="C135" s="43" t="s">
        <v>3094</v>
      </c>
      <c r="D135" s="42" t="s">
        <v>150</v>
      </c>
      <c r="E135" s="22" t="s">
        <v>67</v>
      </c>
      <c r="F135" s="22" t="s">
        <v>6439</v>
      </c>
      <c r="G135" s="22" t="s">
        <v>6255</v>
      </c>
      <c r="H135" s="22" t="s">
        <v>6255</v>
      </c>
      <c r="I135" s="22" t="s">
        <v>415</v>
      </c>
      <c r="J135" s="22" t="s">
        <v>3160</v>
      </c>
      <c r="K135" s="22" t="s">
        <v>6256</v>
      </c>
      <c r="L135" s="20"/>
      <c r="M135" s="20"/>
      <c r="N135" s="20"/>
      <c r="O135" s="20"/>
      <c r="P135" s="20"/>
      <c r="Q135" s="20"/>
      <c r="R135" s="20"/>
      <c r="S135" s="20"/>
      <c r="T135" s="20"/>
      <c r="U135" s="20"/>
      <c r="V135" s="20"/>
      <c r="W135" s="20"/>
      <c r="X135" s="20"/>
      <c r="Y135" s="20"/>
      <c r="Z135" s="20"/>
    </row>
    <row r="136">
      <c r="A136" s="21">
        <v>32.0</v>
      </c>
      <c r="B136" s="42" t="s">
        <v>2466</v>
      </c>
      <c r="C136" s="43" t="s">
        <v>3094</v>
      </c>
      <c r="D136" s="42" t="s">
        <v>1139</v>
      </c>
      <c r="E136" s="22" t="s">
        <v>57</v>
      </c>
      <c r="F136" s="22" t="s">
        <v>6440</v>
      </c>
      <c r="G136" s="22" t="s">
        <v>6255</v>
      </c>
      <c r="H136" s="22" t="s">
        <v>6255</v>
      </c>
      <c r="I136" s="22" t="s">
        <v>415</v>
      </c>
      <c r="J136" s="22" t="s">
        <v>3205</v>
      </c>
      <c r="K136" s="22" t="s">
        <v>6279</v>
      </c>
      <c r="L136" s="20"/>
      <c r="M136" s="20"/>
      <c r="N136" s="20"/>
      <c r="O136" s="20"/>
      <c r="P136" s="20"/>
      <c r="Q136" s="20"/>
      <c r="R136" s="20"/>
      <c r="S136" s="20"/>
      <c r="T136" s="20"/>
      <c r="U136" s="20"/>
      <c r="V136" s="20"/>
      <c r="W136" s="20"/>
      <c r="X136" s="20"/>
      <c r="Y136" s="20"/>
      <c r="Z136" s="20"/>
    </row>
    <row r="137">
      <c r="A137" s="21">
        <v>32.0</v>
      </c>
      <c r="B137" s="42" t="s">
        <v>2466</v>
      </c>
      <c r="C137" s="43" t="s">
        <v>3094</v>
      </c>
      <c r="D137" s="42" t="s">
        <v>2068</v>
      </c>
      <c r="E137" s="22" t="s">
        <v>67</v>
      </c>
      <c r="F137" s="22" t="s">
        <v>6441</v>
      </c>
      <c r="G137" s="22" t="s">
        <v>6255</v>
      </c>
      <c r="H137" s="22" t="s">
        <v>6255</v>
      </c>
      <c r="I137" s="22" t="s">
        <v>415</v>
      </c>
      <c r="J137" s="22" t="s">
        <v>3209</v>
      </c>
      <c r="K137" s="22" t="s">
        <v>6256</v>
      </c>
      <c r="L137" s="20"/>
      <c r="M137" s="20"/>
      <c r="N137" s="20"/>
      <c r="O137" s="20"/>
      <c r="P137" s="20"/>
      <c r="Q137" s="20"/>
      <c r="R137" s="20"/>
      <c r="S137" s="20"/>
      <c r="T137" s="20"/>
      <c r="U137" s="20"/>
      <c r="V137" s="20"/>
      <c r="W137" s="20"/>
      <c r="X137" s="20"/>
      <c r="Y137" s="20"/>
      <c r="Z137" s="20"/>
    </row>
    <row r="138">
      <c r="A138" s="21">
        <v>32.0</v>
      </c>
      <c r="B138" s="42" t="s">
        <v>2466</v>
      </c>
      <c r="C138" s="43" t="s">
        <v>3094</v>
      </c>
      <c r="D138" s="42" t="s">
        <v>1693</v>
      </c>
      <c r="E138" s="22" t="s">
        <v>67</v>
      </c>
      <c r="F138" s="22" t="s">
        <v>6442</v>
      </c>
      <c r="G138" s="22" t="s">
        <v>6255</v>
      </c>
      <c r="H138" s="22" t="s">
        <v>6255</v>
      </c>
      <c r="I138" s="22" t="s">
        <v>415</v>
      </c>
      <c r="J138" s="22" t="s">
        <v>3207</v>
      </c>
      <c r="K138" s="22" t="s">
        <v>6256</v>
      </c>
      <c r="L138" s="20"/>
      <c r="M138" s="20"/>
      <c r="N138" s="20"/>
      <c r="O138" s="20"/>
      <c r="P138" s="20"/>
      <c r="Q138" s="20"/>
      <c r="R138" s="20"/>
      <c r="S138" s="20"/>
      <c r="T138" s="20"/>
      <c r="U138" s="20"/>
      <c r="V138" s="20"/>
      <c r="W138" s="20"/>
      <c r="X138" s="20"/>
      <c r="Y138" s="20"/>
      <c r="Z138" s="20"/>
    </row>
    <row r="139">
      <c r="A139" s="21">
        <v>32.0</v>
      </c>
      <c r="B139" s="42" t="s">
        <v>2466</v>
      </c>
      <c r="C139" s="43" t="s">
        <v>3094</v>
      </c>
      <c r="D139" s="42" t="s">
        <v>2427</v>
      </c>
      <c r="E139" s="22" t="s">
        <v>67</v>
      </c>
      <c r="F139" s="22" t="s">
        <v>6443</v>
      </c>
      <c r="G139" s="22" t="s">
        <v>6255</v>
      </c>
      <c r="H139" s="22" t="s">
        <v>6255</v>
      </c>
      <c r="I139" s="22" t="s">
        <v>415</v>
      </c>
      <c r="J139" s="22" t="s">
        <v>3205</v>
      </c>
      <c r="K139" s="22" t="s">
        <v>6256</v>
      </c>
      <c r="L139" s="20"/>
      <c r="M139" s="20"/>
      <c r="N139" s="20"/>
      <c r="O139" s="20"/>
      <c r="P139" s="20"/>
      <c r="Q139" s="20"/>
      <c r="R139" s="20"/>
      <c r="S139" s="20"/>
      <c r="T139" s="20"/>
      <c r="U139" s="20"/>
      <c r="V139" s="20"/>
      <c r="W139" s="20"/>
      <c r="X139" s="20"/>
      <c r="Y139" s="20"/>
      <c r="Z139" s="20"/>
    </row>
    <row r="140">
      <c r="A140" s="21">
        <v>32.0</v>
      </c>
      <c r="B140" s="42" t="s">
        <v>2466</v>
      </c>
      <c r="C140" s="43" t="s">
        <v>3094</v>
      </c>
      <c r="D140" s="42" t="s">
        <v>212</v>
      </c>
      <c r="E140" s="22" t="s">
        <v>67</v>
      </c>
      <c r="F140" s="22" t="s">
        <v>6444</v>
      </c>
      <c r="G140" s="22" t="s">
        <v>6255</v>
      </c>
      <c r="H140" s="22" t="s">
        <v>6255</v>
      </c>
      <c r="I140" s="22" t="s">
        <v>415</v>
      </c>
      <c r="J140" s="22" t="s">
        <v>3209</v>
      </c>
      <c r="K140" s="22" t="s">
        <v>6256</v>
      </c>
      <c r="L140" s="20"/>
      <c r="M140" s="20"/>
      <c r="N140" s="20"/>
      <c r="O140" s="20"/>
      <c r="P140" s="20"/>
      <c r="Q140" s="20"/>
      <c r="R140" s="20"/>
      <c r="S140" s="20"/>
      <c r="T140" s="20"/>
      <c r="U140" s="20"/>
      <c r="V140" s="20"/>
      <c r="W140" s="20"/>
      <c r="X140" s="20"/>
      <c r="Y140" s="20"/>
      <c r="Z140" s="20"/>
    </row>
    <row r="141">
      <c r="A141" s="21">
        <v>33.0</v>
      </c>
      <c r="B141" s="42" t="s">
        <v>2663</v>
      </c>
      <c r="C141" s="43" t="s">
        <v>3094</v>
      </c>
      <c r="D141" s="42" t="s">
        <v>2461</v>
      </c>
      <c r="E141" s="22" t="s">
        <v>57</v>
      </c>
      <c r="F141" s="22" t="s">
        <v>6445</v>
      </c>
      <c r="G141" s="22" t="s">
        <v>6255</v>
      </c>
      <c r="H141" s="22" t="s">
        <v>6255</v>
      </c>
      <c r="I141" s="22" t="s">
        <v>415</v>
      </c>
      <c r="J141" s="22" t="s">
        <v>3261</v>
      </c>
      <c r="K141" s="22" t="s">
        <v>6256</v>
      </c>
      <c r="L141" s="20"/>
      <c r="M141" s="20"/>
      <c r="N141" s="20"/>
      <c r="O141" s="20"/>
      <c r="P141" s="20"/>
      <c r="Q141" s="20"/>
      <c r="R141" s="20"/>
      <c r="S141" s="20"/>
      <c r="T141" s="20"/>
      <c r="U141" s="20"/>
      <c r="V141" s="20"/>
      <c r="W141" s="20"/>
      <c r="X141" s="20"/>
      <c r="Y141" s="20"/>
      <c r="Z141" s="20"/>
    </row>
    <row r="142">
      <c r="A142" s="21">
        <v>33.0</v>
      </c>
      <c r="B142" s="42" t="s">
        <v>2663</v>
      </c>
      <c r="C142" s="43" t="s">
        <v>3094</v>
      </c>
      <c r="D142" s="42" t="s">
        <v>3109</v>
      </c>
      <c r="E142" s="22" t="s">
        <v>57</v>
      </c>
      <c r="F142" s="22" t="s">
        <v>6446</v>
      </c>
      <c r="G142" s="22" t="s">
        <v>6255</v>
      </c>
      <c r="H142" s="22" t="s">
        <v>6255</v>
      </c>
      <c r="I142" s="22" t="s">
        <v>415</v>
      </c>
      <c r="J142" s="22" t="s">
        <v>3253</v>
      </c>
      <c r="K142" s="22" t="s">
        <v>6256</v>
      </c>
      <c r="L142" s="20"/>
      <c r="M142" s="20"/>
      <c r="N142" s="20"/>
      <c r="O142" s="20"/>
      <c r="P142" s="20"/>
      <c r="Q142" s="20"/>
      <c r="R142" s="20"/>
      <c r="S142" s="20"/>
      <c r="T142" s="20"/>
      <c r="U142" s="20"/>
      <c r="V142" s="20"/>
      <c r="W142" s="20"/>
      <c r="X142" s="20"/>
      <c r="Y142" s="20"/>
      <c r="Z142" s="20"/>
    </row>
    <row r="143">
      <c r="A143" s="21">
        <v>33.0</v>
      </c>
      <c r="B143" s="42" t="s">
        <v>2663</v>
      </c>
      <c r="C143" s="43" t="s">
        <v>3094</v>
      </c>
      <c r="D143" s="42" t="s">
        <v>2246</v>
      </c>
      <c r="E143" s="22" t="s">
        <v>57</v>
      </c>
      <c r="F143" s="22" t="s">
        <v>6447</v>
      </c>
      <c r="G143" s="22" t="s">
        <v>6255</v>
      </c>
      <c r="H143" s="22" t="s">
        <v>6255</v>
      </c>
      <c r="I143" s="22" t="s">
        <v>415</v>
      </c>
      <c r="J143" s="22" t="s">
        <v>3261</v>
      </c>
      <c r="K143" s="22" t="s">
        <v>6256</v>
      </c>
      <c r="L143" s="20"/>
      <c r="M143" s="20"/>
      <c r="N143" s="20"/>
      <c r="O143" s="20"/>
      <c r="P143" s="20"/>
      <c r="Q143" s="20"/>
      <c r="R143" s="20"/>
      <c r="S143" s="20"/>
      <c r="T143" s="20"/>
      <c r="U143" s="20"/>
      <c r="V143" s="20"/>
      <c r="W143" s="20"/>
      <c r="X143" s="20"/>
      <c r="Y143" s="20"/>
      <c r="Z143" s="20"/>
    </row>
    <row r="144">
      <c r="A144" s="21">
        <v>33.0</v>
      </c>
      <c r="B144" s="42" t="s">
        <v>2663</v>
      </c>
      <c r="C144" s="43" t="s">
        <v>3094</v>
      </c>
      <c r="D144" s="42" t="s">
        <v>3262</v>
      </c>
      <c r="E144" s="22" t="s">
        <v>67</v>
      </c>
      <c r="F144" s="22" t="s">
        <v>6448</v>
      </c>
      <c r="G144" s="22" t="s">
        <v>6255</v>
      </c>
      <c r="H144" s="22" t="s">
        <v>6255</v>
      </c>
      <c r="I144" s="22" t="s">
        <v>415</v>
      </c>
      <c r="J144" s="22" t="s">
        <v>3253</v>
      </c>
      <c r="K144" s="22" t="s">
        <v>6256</v>
      </c>
      <c r="L144" s="20"/>
      <c r="M144" s="20"/>
      <c r="N144" s="20"/>
      <c r="O144" s="20"/>
      <c r="P144" s="20"/>
      <c r="Q144" s="20"/>
      <c r="R144" s="20"/>
      <c r="S144" s="20"/>
      <c r="T144" s="20"/>
      <c r="U144" s="20"/>
      <c r="V144" s="20"/>
      <c r="W144" s="20"/>
      <c r="X144" s="20"/>
      <c r="Y144" s="20"/>
      <c r="Z144" s="20"/>
    </row>
    <row r="145">
      <c r="A145" s="21">
        <v>33.0</v>
      </c>
      <c r="B145" s="42" t="s">
        <v>2663</v>
      </c>
      <c r="C145" s="43" t="s">
        <v>3094</v>
      </c>
      <c r="D145" s="42" t="s">
        <v>3148</v>
      </c>
      <c r="E145" s="22" t="s">
        <v>67</v>
      </c>
      <c r="F145" s="22" t="s">
        <v>6449</v>
      </c>
      <c r="G145" s="22" t="s">
        <v>6255</v>
      </c>
      <c r="H145" s="22" t="s">
        <v>6255</v>
      </c>
      <c r="I145" s="22" t="s">
        <v>415</v>
      </c>
      <c r="J145" s="22" t="s">
        <v>3261</v>
      </c>
      <c r="K145" s="22" t="s">
        <v>6256</v>
      </c>
      <c r="L145" s="20"/>
      <c r="M145" s="20"/>
      <c r="N145" s="20"/>
      <c r="O145" s="20"/>
      <c r="P145" s="20"/>
      <c r="Q145" s="20"/>
      <c r="R145" s="20"/>
      <c r="S145" s="20"/>
      <c r="T145" s="20"/>
      <c r="U145" s="20"/>
      <c r="V145" s="20"/>
      <c r="W145" s="20"/>
      <c r="X145" s="20"/>
      <c r="Y145" s="20"/>
      <c r="Z145" s="20"/>
    </row>
    <row r="146">
      <c r="A146" s="21">
        <v>34.0</v>
      </c>
      <c r="B146" s="42" t="s">
        <v>2515</v>
      </c>
      <c r="C146" s="43" t="s">
        <v>3094</v>
      </c>
      <c r="D146" s="42" t="s">
        <v>2492</v>
      </c>
      <c r="E146" s="22" t="s">
        <v>57</v>
      </c>
      <c r="F146" s="22" t="s">
        <v>6450</v>
      </c>
      <c r="G146" s="22" t="s">
        <v>6255</v>
      </c>
      <c r="H146" s="22" t="s">
        <v>6255</v>
      </c>
      <c r="I146" s="22" t="s">
        <v>415</v>
      </c>
      <c r="J146" s="22" t="s">
        <v>3317</v>
      </c>
      <c r="K146" s="22" t="s">
        <v>6279</v>
      </c>
      <c r="L146" s="20"/>
      <c r="M146" s="20"/>
      <c r="N146" s="20"/>
      <c r="O146" s="20"/>
      <c r="P146" s="20"/>
      <c r="Q146" s="20"/>
      <c r="R146" s="20"/>
      <c r="S146" s="20"/>
      <c r="T146" s="20"/>
      <c r="U146" s="20"/>
      <c r="V146" s="20"/>
      <c r="W146" s="20"/>
      <c r="X146" s="20"/>
      <c r="Y146" s="20"/>
      <c r="Z146" s="20"/>
    </row>
    <row r="147">
      <c r="A147" s="21">
        <v>34.0</v>
      </c>
      <c r="B147" s="42" t="s">
        <v>2515</v>
      </c>
      <c r="C147" s="43" t="s">
        <v>3094</v>
      </c>
      <c r="D147" s="42" t="s">
        <v>444</v>
      </c>
      <c r="E147" s="22" t="s">
        <v>67</v>
      </c>
      <c r="F147" s="22" t="s">
        <v>6451</v>
      </c>
      <c r="G147" s="22" t="s">
        <v>6255</v>
      </c>
      <c r="H147" s="22" t="s">
        <v>6255</v>
      </c>
      <c r="I147" s="22" t="s">
        <v>415</v>
      </c>
      <c r="J147" s="22" t="s">
        <v>3315</v>
      </c>
      <c r="K147" s="22" t="s">
        <v>6279</v>
      </c>
      <c r="L147" s="20"/>
      <c r="M147" s="20"/>
      <c r="N147" s="20"/>
      <c r="O147" s="20"/>
      <c r="P147" s="20"/>
      <c r="Q147" s="20"/>
      <c r="R147" s="20"/>
      <c r="S147" s="20"/>
      <c r="T147" s="20"/>
      <c r="U147" s="20"/>
      <c r="V147" s="20"/>
      <c r="W147" s="20"/>
      <c r="X147" s="20"/>
      <c r="Y147" s="20"/>
      <c r="Z147" s="20"/>
    </row>
    <row r="148">
      <c r="A148" s="21">
        <v>34.0</v>
      </c>
      <c r="B148" s="42" t="s">
        <v>2515</v>
      </c>
      <c r="C148" s="43" t="s">
        <v>3094</v>
      </c>
      <c r="D148" s="42" t="s">
        <v>2535</v>
      </c>
      <c r="E148" s="22" t="s">
        <v>67</v>
      </c>
      <c r="F148" s="22" t="s">
        <v>6452</v>
      </c>
      <c r="G148" s="22" t="s">
        <v>6255</v>
      </c>
      <c r="H148" s="22" t="s">
        <v>6255</v>
      </c>
      <c r="I148" s="22" t="s">
        <v>415</v>
      </c>
      <c r="J148" s="22" t="s">
        <v>3317</v>
      </c>
      <c r="K148" s="22" t="s">
        <v>6279</v>
      </c>
      <c r="L148" s="20"/>
      <c r="M148" s="20"/>
      <c r="N148" s="20"/>
      <c r="O148" s="20"/>
      <c r="P148" s="20"/>
      <c r="Q148" s="20"/>
      <c r="R148" s="20"/>
      <c r="S148" s="20"/>
      <c r="T148" s="20"/>
      <c r="U148" s="20"/>
      <c r="V148" s="20"/>
      <c r="W148" s="20"/>
      <c r="X148" s="20"/>
      <c r="Y148" s="20"/>
      <c r="Z148" s="20"/>
    </row>
    <row r="149">
      <c r="A149" s="21">
        <v>35.0</v>
      </c>
      <c r="B149" s="42" t="s">
        <v>1997</v>
      </c>
      <c r="C149" s="43" t="s">
        <v>3094</v>
      </c>
      <c r="D149" s="42" t="s">
        <v>2878</v>
      </c>
      <c r="E149" s="22" t="s">
        <v>57</v>
      </c>
      <c r="F149" s="22" t="s">
        <v>6453</v>
      </c>
      <c r="G149" s="22" t="s">
        <v>6255</v>
      </c>
      <c r="H149" s="22" t="s">
        <v>6255</v>
      </c>
      <c r="I149" s="22" t="s">
        <v>415</v>
      </c>
      <c r="J149" s="22" t="s">
        <v>3383</v>
      </c>
      <c r="K149" s="22" t="s">
        <v>6256</v>
      </c>
      <c r="L149" s="20"/>
      <c r="M149" s="20"/>
      <c r="N149" s="20"/>
      <c r="O149" s="20"/>
      <c r="P149" s="20"/>
      <c r="Q149" s="20"/>
      <c r="R149" s="20"/>
      <c r="S149" s="20"/>
      <c r="T149" s="20"/>
      <c r="U149" s="20"/>
      <c r="V149" s="20"/>
      <c r="W149" s="20"/>
      <c r="X149" s="20"/>
      <c r="Y149" s="20"/>
      <c r="Z149" s="20"/>
    </row>
    <row r="150">
      <c r="A150" s="21">
        <v>35.0</v>
      </c>
      <c r="B150" s="42" t="s">
        <v>1997</v>
      </c>
      <c r="C150" s="43" t="s">
        <v>3094</v>
      </c>
      <c r="D150" s="42" t="s">
        <v>2520</v>
      </c>
      <c r="E150" s="22" t="s">
        <v>57</v>
      </c>
      <c r="F150" s="22" t="s">
        <v>6454</v>
      </c>
      <c r="G150" s="22" t="s">
        <v>6255</v>
      </c>
      <c r="H150" s="22" t="s">
        <v>6255</v>
      </c>
      <c r="I150" s="22" t="s">
        <v>415</v>
      </c>
      <c r="J150" s="22" t="s">
        <v>3370</v>
      </c>
      <c r="K150" s="22" t="s">
        <v>6256</v>
      </c>
      <c r="L150" s="20"/>
      <c r="M150" s="20"/>
      <c r="N150" s="20"/>
      <c r="O150" s="20"/>
      <c r="P150" s="20"/>
      <c r="Q150" s="20"/>
      <c r="R150" s="20"/>
      <c r="S150" s="20"/>
      <c r="T150" s="20"/>
      <c r="U150" s="20"/>
      <c r="V150" s="20"/>
      <c r="W150" s="20"/>
      <c r="X150" s="20"/>
      <c r="Y150" s="20"/>
      <c r="Z150" s="20"/>
    </row>
    <row r="151">
      <c r="A151" s="21">
        <v>35.0</v>
      </c>
      <c r="B151" s="42" t="s">
        <v>1997</v>
      </c>
      <c r="C151" s="43" t="s">
        <v>3094</v>
      </c>
      <c r="D151" s="42" t="s">
        <v>2065</v>
      </c>
      <c r="E151" s="22" t="s">
        <v>57</v>
      </c>
      <c r="F151" s="22" t="s">
        <v>6455</v>
      </c>
      <c r="G151" s="22" t="s">
        <v>6255</v>
      </c>
      <c r="H151" s="22" t="s">
        <v>6255</v>
      </c>
      <c r="I151" s="22" t="s">
        <v>415</v>
      </c>
      <c r="J151" s="22" t="s">
        <v>3380</v>
      </c>
      <c r="K151" s="22" t="s">
        <v>6256</v>
      </c>
      <c r="L151" s="20"/>
      <c r="M151" s="20"/>
      <c r="N151" s="20"/>
      <c r="O151" s="20"/>
      <c r="P151" s="20"/>
      <c r="Q151" s="20"/>
      <c r="R151" s="20"/>
      <c r="S151" s="20"/>
      <c r="T151" s="20"/>
      <c r="U151" s="20"/>
      <c r="V151" s="20"/>
      <c r="W151" s="20"/>
      <c r="X151" s="20"/>
      <c r="Y151" s="20"/>
      <c r="Z151" s="20"/>
    </row>
    <row r="152">
      <c r="A152" s="21">
        <v>35.0</v>
      </c>
      <c r="B152" s="42" t="s">
        <v>1997</v>
      </c>
      <c r="C152" s="43" t="s">
        <v>3094</v>
      </c>
      <c r="D152" s="42" t="s">
        <v>2529</v>
      </c>
      <c r="E152" s="22" t="s">
        <v>57</v>
      </c>
      <c r="F152" s="22" t="s">
        <v>6456</v>
      </c>
      <c r="G152" s="22" t="s">
        <v>6255</v>
      </c>
      <c r="H152" s="22" t="s">
        <v>6255</v>
      </c>
      <c r="I152" s="22" t="s">
        <v>415</v>
      </c>
      <c r="J152" s="22" t="s">
        <v>3383</v>
      </c>
      <c r="K152" s="22" t="s">
        <v>6269</v>
      </c>
      <c r="L152" s="20"/>
      <c r="M152" s="20"/>
      <c r="N152" s="20"/>
      <c r="O152" s="20"/>
      <c r="P152" s="20"/>
      <c r="Q152" s="20"/>
      <c r="R152" s="20"/>
      <c r="S152" s="20"/>
      <c r="T152" s="20"/>
      <c r="U152" s="20"/>
      <c r="V152" s="20"/>
      <c r="W152" s="20"/>
      <c r="X152" s="20"/>
      <c r="Y152" s="20"/>
      <c r="Z152" s="20"/>
    </row>
    <row r="153">
      <c r="A153" s="21">
        <v>35.0</v>
      </c>
      <c r="B153" s="42" t="s">
        <v>1997</v>
      </c>
      <c r="C153" s="43" t="s">
        <v>3094</v>
      </c>
      <c r="D153" s="42" t="s">
        <v>1735</v>
      </c>
      <c r="E153" s="22" t="s">
        <v>57</v>
      </c>
      <c r="F153" s="22" t="s">
        <v>6457</v>
      </c>
      <c r="G153" s="22" t="s">
        <v>6255</v>
      </c>
      <c r="H153" s="22" t="s">
        <v>6255</v>
      </c>
      <c r="I153" s="22" t="s">
        <v>415</v>
      </c>
      <c r="J153" s="22" t="s">
        <v>3370</v>
      </c>
      <c r="K153" s="22" t="s">
        <v>6256</v>
      </c>
      <c r="L153" s="20"/>
      <c r="M153" s="20"/>
      <c r="N153" s="20"/>
      <c r="O153" s="20"/>
      <c r="P153" s="20"/>
      <c r="Q153" s="20"/>
      <c r="R153" s="20"/>
      <c r="S153" s="20"/>
      <c r="T153" s="20"/>
      <c r="U153" s="20"/>
      <c r="V153" s="20"/>
      <c r="W153" s="20"/>
      <c r="X153" s="20"/>
      <c r="Y153" s="20"/>
      <c r="Z153" s="20"/>
    </row>
    <row r="154">
      <c r="A154" s="21">
        <v>36.0</v>
      </c>
      <c r="B154" s="42" t="s">
        <v>3408</v>
      </c>
      <c r="C154" s="43" t="s">
        <v>3805</v>
      </c>
      <c r="D154" s="42" t="s">
        <v>3410</v>
      </c>
      <c r="E154" s="22" t="s">
        <v>57</v>
      </c>
      <c r="F154" s="22" t="s">
        <v>6458</v>
      </c>
      <c r="G154" s="22" t="s">
        <v>6255</v>
      </c>
      <c r="H154" s="22" t="s">
        <v>6255</v>
      </c>
      <c r="I154" s="22" t="s">
        <v>415</v>
      </c>
      <c r="J154" s="22" t="s">
        <v>3463</v>
      </c>
      <c r="K154" s="22" t="s">
        <v>6256</v>
      </c>
      <c r="L154" s="20"/>
      <c r="M154" s="20"/>
      <c r="N154" s="20"/>
      <c r="O154" s="20"/>
      <c r="P154" s="20"/>
      <c r="Q154" s="20"/>
      <c r="R154" s="20"/>
      <c r="S154" s="20"/>
      <c r="T154" s="20"/>
      <c r="U154" s="20"/>
      <c r="V154" s="20"/>
      <c r="W154" s="20"/>
      <c r="X154" s="20"/>
      <c r="Y154" s="20"/>
      <c r="Z154" s="20"/>
    </row>
    <row r="155">
      <c r="A155" s="21">
        <v>36.0</v>
      </c>
      <c r="B155" s="42" t="s">
        <v>3408</v>
      </c>
      <c r="C155" s="43" t="s">
        <v>3805</v>
      </c>
      <c r="D155" s="42" t="s">
        <v>3520</v>
      </c>
      <c r="E155" s="22" t="s">
        <v>57</v>
      </c>
      <c r="F155" s="22" t="s">
        <v>6459</v>
      </c>
      <c r="G155" s="22" t="s">
        <v>6255</v>
      </c>
      <c r="H155" s="22" t="s">
        <v>6255</v>
      </c>
      <c r="I155" s="22" t="s">
        <v>415</v>
      </c>
      <c r="J155" s="22" t="s">
        <v>3409</v>
      </c>
      <c r="K155" s="22" t="s">
        <v>6256</v>
      </c>
      <c r="L155" s="20"/>
      <c r="M155" s="20"/>
      <c r="N155" s="20"/>
      <c r="O155" s="20"/>
      <c r="P155" s="20"/>
      <c r="Q155" s="20"/>
      <c r="R155" s="20"/>
      <c r="S155" s="20"/>
      <c r="T155" s="20"/>
      <c r="U155" s="20"/>
      <c r="V155" s="20"/>
      <c r="W155" s="20"/>
      <c r="X155" s="20"/>
      <c r="Y155" s="20"/>
      <c r="Z155" s="20"/>
    </row>
    <row r="156">
      <c r="A156" s="21">
        <v>36.0</v>
      </c>
      <c r="B156" s="42" t="s">
        <v>3408</v>
      </c>
      <c r="C156" s="43" t="s">
        <v>3805</v>
      </c>
      <c r="D156" s="42" t="s">
        <v>3412</v>
      </c>
      <c r="E156" s="22" t="s">
        <v>57</v>
      </c>
      <c r="F156" s="22" t="s">
        <v>6460</v>
      </c>
      <c r="G156" s="22" t="s">
        <v>6255</v>
      </c>
      <c r="H156" s="22" t="s">
        <v>6255</v>
      </c>
      <c r="I156" s="22" t="s">
        <v>415</v>
      </c>
      <c r="J156" s="22" t="s">
        <v>3463</v>
      </c>
      <c r="K156" s="22" t="s">
        <v>6256</v>
      </c>
      <c r="L156" s="20"/>
      <c r="M156" s="20"/>
      <c r="N156" s="20"/>
      <c r="O156" s="20"/>
      <c r="P156" s="20"/>
      <c r="Q156" s="20"/>
      <c r="R156" s="20"/>
      <c r="S156" s="20"/>
      <c r="T156" s="20"/>
      <c r="U156" s="20"/>
      <c r="V156" s="20"/>
      <c r="W156" s="20"/>
      <c r="X156" s="20"/>
      <c r="Y156" s="20"/>
      <c r="Z156" s="20"/>
    </row>
    <row r="157">
      <c r="A157" s="21">
        <v>36.0</v>
      </c>
      <c r="B157" s="42" t="s">
        <v>3408</v>
      </c>
      <c r="C157" s="43" t="s">
        <v>3805</v>
      </c>
      <c r="D157" s="42" t="s">
        <v>4674</v>
      </c>
      <c r="E157" s="22" t="s">
        <v>57</v>
      </c>
      <c r="F157" s="22" t="s">
        <v>6461</v>
      </c>
      <c r="G157" s="22" t="s">
        <v>6255</v>
      </c>
      <c r="H157" s="22" t="s">
        <v>6255</v>
      </c>
      <c r="I157" s="22" t="s">
        <v>415</v>
      </c>
      <c r="J157" s="22" t="s">
        <v>3409</v>
      </c>
      <c r="K157" s="22" t="s">
        <v>6256</v>
      </c>
      <c r="L157" s="20"/>
      <c r="M157" s="20"/>
      <c r="N157" s="20"/>
      <c r="O157" s="20"/>
      <c r="P157" s="20"/>
      <c r="Q157" s="20"/>
      <c r="R157" s="20"/>
      <c r="S157" s="20"/>
      <c r="T157" s="20"/>
      <c r="U157" s="20"/>
      <c r="V157" s="20"/>
      <c r="W157" s="20"/>
      <c r="X157" s="20"/>
      <c r="Y157" s="20"/>
      <c r="Z157" s="20"/>
    </row>
    <row r="158">
      <c r="A158" s="21">
        <v>36.0</v>
      </c>
      <c r="B158" s="42" t="s">
        <v>3408</v>
      </c>
      <c r="C158" s="43" t="s">
        <v>3805</v>
      </c>
      <c r="D158" s="42" t="s">
        <v>2680</v>
      </c>
      <c r="E158" s="22" t="s">
        <v>67</v>
      </c>
      <c r="F158" s="22" t="s">
        <v>6462</v>
      </c>
      <c r="G158" s="22" t="s">
        <v>6255</v>
      </c>
      <c r="H158" s="22" t="s">
        <v>6255</v>
      </c>
      <c r="I158" s="22" t="s">
        <v>415</v>
      </c>
      <c r="J158" s="22" t="s">
        <v>3463</v>
      </c>
      <c r="K158" s="22" t="s">
        <v>6256</v>
      </c>
      <c r="L158" s="20"/>
      <c r="M158" s="20"/>
      <c r="N158" s="20"/>
      <c r="O158" s="20"/>
      <c r="P158" s="20"/>
      <c r="Q158" s="20"/>
      <c r="R158" s="20"/>
      <c r="S158" s="20"/>
      <c r="T158" s="20"/>
      <c r="U158" s="20"/>
      <c r="V158" s="20"/>
      <c r="W158" s="20"/>
      <c r="X158" s="20"/>
      <c r="Y158" s="20"/>
      <c r="Z158" s="20"/>
    </row>
    <row r="159">
      <c r="A159" s="21">
        <v>37.0</v>
      </c>
      <c r="B159" s="42" t="s">
        <v>1722</v>
      </c>
      <c r="C159" s="43" t="s">
        <v>3805</v>
      </c>
      <c r="D159" s="42" t="s">
        <v>3414</v>
      </c>
      <c r="E159" s="22" t="s">
        <v>57</v>
      </c>
      <c r="F159" s="22" t="s">
        <v>6463</v>
      </c>
      <c r="G159" s="22" t="s">
        <v>6255</v>
      </c>
      <c r="H159" s="22" t="s">
        <v>6255</v>
      </c>
      <c r="I159" s="22" t="s">
        <v>415</v>
      </c>
      <c r="J159" s="22" t="s">
        <v>3513</v>
      </c>
      <c r="K159" s="22" t="s">
        <v>6256</v>
      </c>
      <c r="L159" s="20"/>
      <c r="M159" s="20"/>
      <c r="N159" s="20"/>
      <c r="O159" s="20"/>
      <c r="P159" s="20"/>
      <c r="Q159" s="20"/>
      <c r="R159" s="20"/>
      <c r="S159" s="20"/>
      <c r="T159" s="20"/>
      <c r="U159" s="20"/>
      <c r="V159" s="20"/>
      <c r="W159" s="20"/>
      <c r="X159" s="20"/>
      <c r="Y159" s="20"/>
      <c r="Z159" s="20"/>
    </row>
    <row r="160">
      <c r="A160" s="21">
        <v>37.0</v>
      </c>
      <c r="B160" s="42" t="s">
        <v>1722</v>
      </c>
      <c r="C160" s="43" t="s">
        <v>3805</v>
      </c>
      <c r="D160" s="42" t="s">
        <v>3461</v>
      </c>
      <c r="E160" s="22" t="s">
        <v>67</v>
      </c>
      <c r="F160" s="22" t="s">
        <v>6465</v>
      </c>
      <c r="G160" s="22" t="s">
        <v>6255</v>
      </c>
      <c r="H160" s="22" t="s">
        <v>6255</v>
      </c>
      <c r="I160" s="22" t="s">
        <v>415</v>
      </c>
      <c r="J160" s="22" t="s">
        <v>3482</v>
      </c>
      <c r="K160" s="22" t="s">
        <v>6256</v>
      </c>
      <c r="L160" s="20"/>
      <c r="M160" s="20"/>
      <c r="N160" s="20"/>
      <c r="O160" s="20"/>
      <c r="P160" s="20"/>
      <c r="Q160" s="20"/>
      <c r="R160" s="20"/>
      <c r="S160" s="20"/>
      <c r="T160" s="20"/>
      <c r="U160" s="20"/>
      <c r="V160" s="20"/>
      <c r="W160" s="20"/>
      <c r="X160" s="20"/>
      <c r="Y160" s="20"/>
      <c r="Z160" s="20"/>
    </row>
    <row r="161">
      <c r="A161" s="21">
        <v>37.0</v>
      </c>
      <c r="B161" s="42" t="s">
        <v>1722</v>
      </c>
      <c r="C161" s="43" t="s">
        <v>3805</v>
      </c>
      <c r="D161" s="42" t="s">
        <v>3485</v>
      </c>
      <c r="E161" s="22" t="s">
        <v>67</v>
      </c>
      <c r="F161" s="22" t="s">
        <v>6466</v>
      </c>
      <c r="G161" s="22" t="s">
        <v>6255</v>
      </c>
      <c r="H161" s="22" t="s">
        <v>6255</v>
      </c>
      <c r="I161" s="22" t="s">
        <v>415</v>
      </c>
      <c r="J161" s="22" t="s">
        <v>3479</v>
      </c>
      <c r="K161" s="22" t="s">
        <v>6256</v>
      </c>
      <c r="L161" s="20"/>
      <c r="M161" s="20"/>
      <c r="N161" s="20"/>
      <c r="O161" s="20"/>
      <c r="P161" s="20"/>
      <c r="Q161" s="20"/>
      <c r="R161" s="20"/>
      <c r="S161" s="20"/>
      <c r="T161" s="20"/>
      <c r="U161" s="20"/>
      <c r="V161" s="20"/>
      <c r="W161" s="20"/>
      <c r="X161" s="20"/>
      <c r="Y161" s="20"/>
      <c r="Z161" s="20"/>
    </row>
    <row r="162">
      <c r="A162" s="21">
        <v>37.0</v>
      </c>
      <c r="B162" s="42" t="s">
        <v>1722</v>
      </c>
      <c r="C162" s="43" t="s">
        <v>3805</v>
      </c>
      <c r="D162" s="42" t="s">
        <v>1460</v>
      </c>
      <c r="E162" s="22" t="s">
        <v>67</v>
      </c>
      <c r="F162" s="22" t="s">
        <v>6467</v>
      </c>
      <c r="G162" s="22" t="s">
        <v>6255</v>
      </c>
      <c r="H162" s="22" t="s">
        <v>6255</v>
      </c>
      <c r="I162" s="22" t="s">
        <v>415</v>
      </c>
      <c r="J162" s="22" t="s">
        <v>3513</v>
      </c>
      <c r="K162" s="22" t="s">
        <v>6256</v>
      </c>
      <c r="L162" s="20"/>
      <c r="M162" s="20"/>
      <c r="N162" s="20"/>
      <c r="O162" s="20"/>
      <c r="P162" s="20"/>
      <c r="Q162" s="20"/>
      <c r="R162" s="20"/>
      <c r="S162" s="20"/>
      <c r="T162" s="20"/>
      <c r="U162" s="20"/>
      <c r="V162" s="20"/>
      <c r="W162" s="20"/>
      <c r="X162" s="20"/>
      <c r="Y162" s="20"/>
      <c r="Z162" s="20"/>
    </row>
    <row r="163">
      <c r="A163" s="21">
        <v>38.0</v>
      </c>
      <c r="B163" s="42" t="s">
        <v>2957</v>
      </c>
      <c r="C163" s="43" t="s">
        <v>3920</v>
      </c>
      <c r="D163" s="42" t="s">
        <v>3554</v>
      </c>
      <c r="E163" s="22" t="s">
        <v>57</v>
      </c>
      <c r="F163" s="22" t="s">
        <v>6468</v>
      </c>
      <c r="G163" s="22" t="s">
        <v>6255</v>
      </c>
      <c r="H163" s="22" t="s">
        <v>6255</v>
      </c>
      <c r="I163" s="22" t="s">
        <v>415</v>
      </c>
      <c r="J163" s="22" t="s">
        <v>3557</v>
      </c>
      <c r="K163" s="22" t="s">
        <v>6256</v>
      </c>
      <c r="L163" s="20"/>
      <c r="M163" s="20"/>
      <c r="N163" s="20"/>
      <c r="O163" s="20"/>
      <c r="P163" s="20"/>
      <c r="Q163" s="20"/>
      <c r="R163" s="20"/>
      <c r="S163" s="20"/>
      <c r="T163" s="20"/>
      <c r="U163" s="20"/>
      <c r="V163" s="20"/>
      <c r="W163" s="20"/>
      <c r="X163" s="20"/>
      <c r="Y163" s="20"/>
      <c r="Z163" s="20"/>
    </row>
    <row r="164">
      <c r="A164" s="21">
        <v>38.0</v>
      </c>
      <c r="B164" s="42" t="s">
        <v>2957</v>
      </c>
      <c r="C164" s="43" t="s">
        <v>3920</v>
      </c>
      <c r="D164" s="42" t="s">
        <v>3558</v>
      </c>
      <c r="E164" s="22" t="s">
        <v>57</v>
      </c>
      <c r="F164" s="22" t="s">
        <v>6469</v>
      </c>
      <c r="G164" s="22" t="s">
        <v>6255</v>
      </c>
      <c r="H164" s="22" t="s">
        <v>6255</v>
      </c>
      <c r="I164" s="22" t="s">
        <v>415</v>
      </c>
      <c r="J164" s="22" t="s">
        <v>3552</v>
      </c>
      <c r="K164" s="22" t="s">
        <v>6256</v>
      </c>
      <c r="L164" s="20"/>
      <c r="M164" s="20"/>
      <c r="N164" s="20"/>
      <c r="O164" s="20"/>
      <c r="P164" s="20"/>
      <c r="Q164" s="20"/>
      <c r="R164" s="20"/>
      <c r="S164" s="20"/>
      <c r="T164" s="20"/>
      <c r="U164" s="20"/>
      <c r="V164" s="20"/>
      <c r="W164" s="20"/>
      <c r="X164" s="20"/>
      <c r="Y164" s="20"/>
      <c r="Z164" s="20"/>
    </row>
    <row r="165">
      <c r="A165" s="21">
        <v>38.0</v>
      </c>
      <c r="B165" s="42" t="s">
        <v>2957</v>
      </c>
      <c r="C165" s="43" t="s">
        <v>3920</v>
      </c>
      <c r="D165" s="42" t="s">
        <v>2947</v>
      </c>
      <c r="E165" s="22" t="s">
        <v>57</v>
      </c>
      <c r="F165" s="22" t="s">
        <v>6470</v>
      </c>
      <c r="G165" s="22" t="s">
        <v>6255</v>
      </c>
      <c r="H165" s="22" t="s">
        <v>6255</v>
      </c>
      <c r="I165" s="22" t="s">
        <v>415</v>
      </c>
      <c r="J165" s="22" t="s">
        <v>3557</v>
      </c>
      <c r="K165" s="22" t="s">
        <v>6256</v>
      </c>
      <c r="L165" s="20"/>
      <c r="M165" s="20"/>
      <c r="N165" s="20"/>
      <c r="O165" s="20"/>
      <c r="P165" s="20"/>
      <c r="Q165" s="20"/>
      <c r="R165" s="20"/>
      <c r="S165" s="20"/>
      <c r="T165" s="20"/>
      <c r="U165" s="20"/>
      <c r="V165" s="20"/>
      <c r="W165" s="20"/>
      <c r="X165" s="20"/>
      <c r="Y165" s="20"/>
      <c r="Z165" s="20"/>
    </row>
    <row r="166">
      <c r="A166" s="21">
        <v>38.0</v>
      </c>
      <c r="B166" s="42" t="s">
        <v>2957</v>
      </c>
      <c r="C166" s="43" t="s">
        <v>3920</v>
      </c>
      <c r="D166" s="42" t="s">
        <v>3560</v>
      </c>
      <c r="E166" s="22" t="s">
        <v>57</v>
      </c>
      <c r="F166" s="22" t="s">
        <v>6471</v>
      </c>
      <c r="G166" s="22" t="s">
        <v>6255</v>
      </c>
      <c r="H166" s="22" t="s">
        <v>6255</v>
      </c>
      <c r="I166" s="22" t="s">
        <v>415</v>
      </c>
      <c r="J166" s="22" t="s">
        <v>3552</v>
      </c>
      <c r="K166" s="22" t="s">
        <v>6256</v>
      </c>
      <c r="L166" s="20"/>
      <c r="M166" s="20"/>
      <c r="N166" s="20"/>
      <c r="O166" s="20"/>
      <c r="P166" s="20"/>
      <c r="Q166" s="20"/>
      <c r="R166" s="20"/>
      <c r="S166" s="20"/>
      <c r="T166" s="20"/>
      <c r="U166" s="20"/>
      <c r="V166" s="20"/>
      <c r="W166" s="20"/>
      <c r="X166" s="20"/>
      <c r="Y166" s="20"/>
      <c r="Z166" s="20"/>
    </row>
    <row r="167">
      <c r="A167" s="21">
        <v>39.0</v>
      </c>
      <c r="B167" s="42" t="s">
        <v>3586</v>
      </c>
      <c r="C167" s="43" t="s">
        <v>3920</v>
      </c>
      <c r="D167" s="42" t="s">
        <v>3623</v>
      </c>
      <c r="E167" s="22" t="s">
        <v>57</v>
      </c>
      <c r="F167" s="22" t="s">
        <v>6472</v>
      </c>
      <c r="G167" s="22" t="s">
        <v>6255</v>
      </c>
      <c r="H167" s="22" t="s">
        <v>6255</v>
      </c>
      <c r="I167" s="22" t="s">
        <v>415</v>
      </c>
      <c r="J167" s="22" t="s">
        <v>3659</v>
      </c>
      <c r="K167" s="22" t="s">
        <v>6279</v>
      </c>
      <c r="L167" s="20"/>
      <c r="M167" s="20"/>
      <c r="N167" s="20"/>
      <c r="O167" s="20"/>
      <c r="P167" s="20"/>
      <c r="Q167" s="20"/>
      <c r="R167" s="20"/>
      <c r="S167" s="20"/>
      <c r="T167" s="20"/>
      <c r="U167" s="20"/>
      <c r="V167" s="20"/>
      <c r="W167" s="20"/>
      <c r="X167" s="20"/>
      <c r="Y167" s="20"/>
      <c r="Z167" s="20"/>
    </row>
    <row r="168">
      <c r="A168" s="21">
        <v>39.0</v>
      </c>
      <c r="B168" s="42" t="s">
        <v>3586</v>
      </c>
      <c r="C168" s="43" t="s">
        <v>3920</v>
      </c>
      <c r="D168" s="42" t="s">
        <v>2810</v>
      </c>
      <c r="E168" s="22" t="s">
        <v>57</v>
      </c>
      <c r="F168" s="22" t="s">
        <v>6473</v>
      </c>
      <c r="G168" s="22" t="s">
        <v>6255</v>
      </c>
      <c r="H168" s="22" t="s">
        <v>6255</v>
      </c>
      <c r="I168" s="22" t="s">
        <v>415</v>
      </c>
      <c r="J168" s="22" t="s">
        <v>3649</v>
      </c>
      <c r="K168" s="22" t="s">
        <v>6279</v>
      </c>
      <c r="L168" s="20"/>
      <c r="M168" s="20"/>
      <c r="N168" s="20"/>
      <c r="O168" s="20"/>
      <c r="P168" s="20"/>
      <c r="Q168" s="20"/>
      <c r="R168" s="20"/>
      <c r="S168" s="20"/>
      <c r="T168" s="20"/>
      <c r="U168" s="20"/>
      <c r="V168" s="20"/>
      <c r="W168" s="20"/>
      <c r="X168" s="20"/>
      <c r="Y168" s="20"/>
      <c r="Z168" s="20"/>
    </row>
    <row r="169">
      <c r="A169" s="21">
        <v>39.0</v>
      </c>
      <c r="B169" s="42" t="s">
        <v>3586</v>
      </c>
      <c r="C169" s="43" t="s">
        <v>3920</v>
      </c>
      <c r="D169" s="42" t="s">
        <v>3596</v>
      </c>
      <c r="E169" s="22" t="s">
        <v>57</v>
      </c>
      <c r="F169" s="22" t="s">
        <v>6474</v>
      </c>
      <c r="G169" s="22" t="s">
        <v>6255</v>
      </c>
      <c r="H169" s="22" t="s">
        <v>6255</v>
      </c>
      <c r="I169" s="22" t="s">
        <v>415</v>
      </c>
      <c r="J169" s="22" t="s">
        <v>3622</v>
      </c>
      <c r="K169" s="22" t="s">
        <v>6256</v>
      </c>
      <c r="L169" s="20"/>
      <c r="M169" s="20"/>
      <c r="N169" s="20"/>
      <c r="O169" s="20"/>
      <c r="P169" s="20"/>
      <c r="Q169" s="20"/>
      <c r="R169" s="20"/>
      <c r="S169" s="20"/>
      <c r="T169" s="20"/>
      <c r="U169" s="20"/>
      <c r="V169" s="20"/>
      <c r="W169" s="20"/>
      <c r="X169" s="20"/>
      <c r="Y169" s="20"/>
      <c r="Z169" s="20"/>
    </row>
    <row r="170">
      <c r="A170" s="21">
        <v>39.0</v>
      </c>
      <c r="B170" s="42" t="s">
        <v>3586</v>
      </c>
      <c r="C170" s="43" t="s">
        <v>3920</v>
      </c>
      <c r="D170" s="42" t="s">
        <v>3640</v>
      </c>
      <c r="E170" s="22" t="s">
        <v>67</v>
      </c>
      <c r="F170" s="22" t="s">
        <v>6475</v>
      </c>
      <c r="G170" s="22" t="s">
        <v>6255</v>
      </c>
      <c r="H170" s="22" t="s">
        <v>6255</v>
      </c>
      <c r="I170" s="22" t="s">
        <v>415</v>
      </c>
      <c r="J170" s="22" t="s">
        <v>3659</v>
      </c>
      <c r="K170" s="22" t="s">
        <v>6256</v>
      </c>
      <c r="L170" s="20"/>
      <c r="M170" s="20"/>
      <c r="N170" s="20"/>
      <c r="O170" s="20"/>
      <c r="P170" s="20"/>
      <c r="Q170" s="20"/>
      <c r="R170" s="20"/>
      <c r="S170" s="20"/>
      <c r="T170" s="20"/>
      <c r="U170" s="20"/>
      <c r="V170" s="20"/>
      <c r="W170" s="20"/>
      <c r="X170" s="20"/>
      <c r="Y170" s="20"/>
      <c r="Z170" s="20"/>
    </row>
    <row r="171">
      <c r="A171" s="21">
        <v>39.0</v>
      </c>
      <c r="B171" s="42" t="s">
        <v>3586</v>
      </c>
      <c r="C171" s="43" t="s">
        <v>3920</v>
      </c>
      <c r="D171" s="42" t="s">
        <v>2686</v>
      </c>
      <c r="E171" s="22" t="s">
        <v>67</v>
      </c>
      <c r="F171" s="22" t="s">
        <v>6476</v>
      </c>
      <c r="G171" s="22" t="s">
        <v>6255</v>
      </c>
      <c r="H171" s="22" t="s">
        <v>6255</v>
      </c>
      <c r="I171" s="22" t="s">
        <v>415</v>
      </c>
      <c r="J171" s="22" t="s">
        <v>3649</v>
      </c>
      <c r="K171" s="22" t="s">
        <v>6279</v>
      </c>
      <c r="L171" s="20"/>
      <c r="M171" s="20"/>
      <c r="N171" s="20"/>
      <c r="O171" s="20"/>
      <c r="P171" s="20"/>
      <c r="Q171" s="20"/>
      <c r="R171" s="20"/>
      <c r="S171" s="20"/>
      <c r="T171" s="20"/>
      <c r="U171" s="20"/>
      <c r="V171" s="20"/>
      <c r="W171" s="20"/>
      <c r="X171" s="20"/>
      <c r="Y171" s="20"/>
      <c r="Z171" s="20"/>
    </row>
    <row r="172">
      <c r="A172" s="21">
        <v>40.0</v>
      </c>
      <c r="B172" s="42" t="s">
        <v>3676</v>
      </c>
      <c r="C172" s="43" t="s">
        <v>3920</v>
      </c>
      <c r="D172" s="42" t="s">
        <v>3689</v>
      </c>
      <c r="E172" s="22" t="s">
        <v>57</v>
      </c>
      <c r="F172" s="22" t="s">
        <v>6477</v>
      </c>
      <c r="G172" s="22" t="s">
        <v>6255</v>
      </c>
      <c r="H172" s="22" t="s">
        <v>6255</v>
      </c>
      <c r="I172" s="22" t="s">
        <v>415</v>
      </c>
      <c r="J172" s="22" t="s">
        <v>3684</v>
      </c>
      <c r="K172" s="22" t="s">
        <v>6279</v>
      </c>
      <c r="L172" s="20"/>
      <c r="M172" s="20"/>
      <c r="N172" s="20"/>
      <c r="O172" s="20"/>
      <c r="P172" s="20"/>
      <c r="Q172" s="20"/>
      <c r="R172" s="20"/>
      <c r="S172" s="20"/>
      <c r="T172" s="20"/>
      <c r="U172" s="20"/>
      <c r="V172" s="20"/>
      <c r="W172" s="20"/>
      <c r="X172" s="20"/>
      <c r="Y172" s="20"/>
      <c r="Z172" s="20"/>
    </row>
    <row r="173">
      <c r="A173" s="21">
        <v>40.0</v>
      </c>
      <c r="B173" s="42" t="s">
        <v>3676</v>
      </c>
      <c r="C173" s="43" t="s">
        <v>3920</v>
      </c>
      <c r="D173" s="42" t="s">
        <v>3610</v>
      </c>
      <c r="E173" s="22" t="s">
        <v>57</v>
      </c>
      <c r="F173" s="22" t="s">
        <v>6478</v>
      </c>
      <c r="G173" s="22" t="s">
        <v>6255</v>
      </c>
      <c r="H173" s="22" t="s">
        <v>6255</v>
      </c>
      <c r="I173" s="22" t="s">
        <v>415</v>
      </c>
      <c r="J173" s="22" t="s">
        <v>3686</v>
      </c>
      <c r="K173" s="22" t="s">
        <v>6269</v>
      </c>
      <c r="L173" s="20"/>
      <c r="M173" s="20"/>
      <c r="N173" s="20"/>
      <c r="O173" s="20"/>
      <c r="P173" s="20"/>
      <c r="Q173" s="20"/>
      <c r="R173" s="20"/>
      <c r="S173" s="20"/>
      <c r="T173" s="20"/>
      <c r="U173" s="20"/>
      <c r="V173" s="20"/>
      <c r="W173" s="20"/>
      <c r="X173" s="20"/>
      <c r="Y173" s="20"/>
      <c r="Z173" s="20"/>
    </row>
    <row r="174">
      <c r="A174" s="21">
        <v>40.0</v>
      </c>
      <c r="B174" s="42" t="s">
        <v>3676</v>
      </c>
      <c r="C174" s="43" t="s">
        <v>3920</v>
      </c>
      <c r="D174" s="42" t="s">
        <v>2949</v>
      </c>
      <c r="E174" s="22" t="s">
        <v>57</v>
      </c>
      <c r="F174" s="22" t="s">
        <v>6479</v>
      </c>
      <c r="G174" s="22" t="s">
        <v>6255</v>
      </c>
      <c r="H174" s="22" t="s">
        <v>6255</v>
      </c>
      <c r="I174" s="22" t="s">
        <v>415</v>
      </c>
      <c r="J174" s="22" t="s">
        <v>3684</v>
      </c>
      <c r="K174" s="22" t="s">
        <v>6279</v>
      </c>
      <c r="L174" s="20"/>
      <c r="M174" s="20"/>
      <c r="N174" s="20"/>
      <c r="O174" s="20"/>
      <c r="P174" s="20"/>
      <c r="Q174" s="20"/>
      <c r="R174" s="20"/>
      <c r="S174" s="20"/>
      <c r="T174" s="20"/>
      <c r="U174" s="20"/>
      <c r="V174" s="20"/>
      <c r="W174" s="20"/>
      <c r="X174" s="20"/>
      <c r="Y174" s="20"/>
      <c r="Z174" s="20"/>
    </row>
    <row r="175">
      <c r="A175" s="21">
        <v>40.0</v>
      </c>
      <c r="B175" s="42" t="s">
        <v>3676</v>
      </c>
      <c r="C175" s="43" t="s">
        <v>3920</v>
      </c>
      <c r="D175" s="42" t="s">
        <v>3565</v>
      </c>
      <c r="E175" s="22" t="s">
        <v>57</v>
      </c>
      <c r="F175" s="22" t="s">
        <v>6480</v>
      </c>
      <c r="G175" s="22" t="s">
        <v>6255</v>
      </c>
      <c r="H175" s="22" t="s">
        <v>6255</v>
      </c>
      <c r="I175" s="22" t="s">
        <v>415</v>
      </c>
      <c r="J175" s="22" t="s">
        <v>3686</v>
      </c>
      <c r="K175" s="22" t="s">
        <v>6279</v>
      </c>
      <c r="L175" s="20"/>
      <c r="M175" s="20"/>
      <c r="N175" s="20"/>
      <c r="O175" s="20"/>
      <c r="P175" s="20"/>
      <c r="Q175" s="20"/>
      <c r="R175" s="20"/>
      <c r="S175" s="20"/>
      <c r="T175" s="20"/>
      <c r="U175" s="20"/>
      <c r="V175" s="20"/>
      <c r="W175" s="20"/>
      <c r="X175" s="20"/>
      <c r="Y175" s="20"/>
      <c r="Z175" s="20"/>
    </row>
    <row r="176">
      <c r="A176" s="21">
        <v>41.0</v>
      </c>
      <c r="B176" s="42" t="s">
        <v>2949</v>
      </c>
      <c r="C176" s="43" t="s">
        <v>3920</v>
      </c>
      <c r="D176" s="42" t="s">
        <v>3590</v>
      </c>
      <c r="E176" s="22" t="s">
        <v>57</v>
      </c>
      <c r="F176" s="22" t="s">
        <v>6481</v>
      </c>
      <c r="G176" s="22" t="s">
        <v>6255</v>
      </c>
      <c r="H176" s="22" t="s">
        <v>6255</v>
      </c>
      <c r="I176" s="22" t="s">
        <v>415</v>
      </c>
      <c r="J176" s="22" t="s">
        <v>3740</v>
      </c>
      <c r="K176" s="22" t="s">
        <v>6279</v>
      </c>
      <c r="L176" s="20"/>
      <c r="M176" s="20"/>
      <c r="N176" s="20"/>
      <c r="O176" s="20"/>
      <c r="P176" s="20"/>
      <c r="Q176" s="20"/>
      <c r="R176" s="20"/>
      <c r="S176" s="20"/>
      <c r="T176" s="20"/>
      <c r="U176" s="20"/>
      <c r="V176" s="20"/>
      <c r="W176" s="20"/>
      <c r="X176" s="20"/>
      <c r="Y176" s="20"/>
      <c r="Z176" s="20"/>
    </row>
    <row r="177">
      <c r="A177" s="21">
        <v>41.0</v>
      </c>
      <c r="B177" s="42" t="s">
        <v>2949</v>
      </c>
      <c r="C177" s="43" t="s">
        <v>3920</v>
      </c>
      <c r="D177" s="42" t="s">
        <v>3676</v>
      </c>
      <c r="E177" s="22" t="s">
        <v>57</v>
      </c>
      <c r="F177" s="22" t="s">
        <v>6482</v>
      </c>
      <c r="G177" s="22" t="s">
        <v>6255</v>
      </c>
      <c r="H177" s="22" t="s">
        <v>6255</v>
      </c>
      <c r="I177" s="22" t="s">
        <v>415</v>
      </c>
      <c r="J177" s="22" t="s">
        <v>3737</v>
      </c>
      <c r="K177" s="22" t="s">
        <v>6279</v>
      </c>
      <c r="L177" s="20"/>
      <c r="M177" s="20"/>
      <c r="N177" s="20"/>
      <c r="O177" s="20"/>
      <c r="P177" s="20"/>
      <c r="Q177" s="20"/>
      <c r="R177" s="20"/>
      <c r="S177" s="20"/>
      <c r="T177" s="20"/>
      <c r="U177" s="20"/>
      <c r="V177" s="20"/>
      <c r="W177" s="20"/>
      <c r="X177" s="20"/>
      <c r="Y177" s="20"/>
      <c r="Z177" s="20"/>
    </row>
    <row r="178">
      <c r="A178" s="21">
        <v>41.0</v>
      </c>
      <c r="B178" s="42" t="s">
        <v>2949</v>
      </c>
      <c r="C178" s="43" t="s">
        <v>3920</v>
      </c>
      <c r="D178" s="42" t="s">
        <v>3565</v>
      </c>
      <c r="E178" s="22" t="s">
        <v>57</v>
      </c>
      <c r="F178" s="22" t="s">
        <v>6483</v>
      </c>
      <c r="G178" s="22" t="s">
        <v>6255</v>
      </c>
      <c r="H178" s="22" t="s">
        <v>6255</v>
      </c>
      <c r="I178" s="22" t="s">
        <v>415</v>
      </c>
      <c r="J178" s="22" t="s">
        <v>3740</v>
      </c>
      <c r="K178" s="22" t="s">
        <v>6279</v>
      </c>
      <c r="L178" s="20"/>
      <c r="M178" s="20"/>
      <c r="N178" s="20"/>
      <c r="O178" s="20"/>
      <c r="P178" s="20"/>
      <c r="Q178" s="20"/>
      <c r="R178" s="20"/>
      <c r="S178" s="20"/>
      <c r="T178" s="20"/>
      <c r="U178" s="20"/>
      <c r="V178" s="20"/>
      <c r="W178" s="20"/>
      <c r="X178" s="20"/>
      <c r="Y178" s="20"/>
      <c r="Z178" s="20"/>
    </row>
    <row r="179">
      <c r="A179" s="21">
        <v>41.0</v>
      </c>
      <c r="B179" s="42" t="s">
        <v>2949</v>
      </c>
      <c r="C179" s="43" t="s">
        <v>3920</v>
      </c>
      <c r="D179" s="42" t="s">
        <v>3610</v>
      </c>
      <c r="E179" s="22" t="s">
        <v>67</v>
      </c>
      <c r="F179" s="22" t="s">
        <v>6484</v>
      </c>
      <c r="G179" s="22" t="s">
        <v>6255</v>
      </c>
      <c r="H179" s="22" t="s">
        <v>6255</v>
      </c>
      <c r="I179" s="22" t="s">
        <v>415</v>
      </c>
      <c r="J179" s="22" t="s">
        <v>3737</v>
      </c>
      <c r="K179" s="22" t="s">
        <v>6269</v>
      </c>
      <c r="L179" s="20"/>
      <c r="M179" s="20"/>
      <c r="N179" s="20"/>
      <c r="O179" s="20"/>
      <c r="P179" s="20"/>
      <c r="Q179" s="20"/>
      <c r="R179" s="20"/>
      <c r="S179" s="20"/>
      <c r="T179" s="20"/>
      <c r="U179" s="20"/>
      <c r="V179" s="20"/>
      <c r="W179" s="20"/>
      <c r="X179" s="20"/>
      <c r="Y179" s="20"/>
      <c r="Z179" s="20"/>
    </row>
    <row r="180">
      <c r="A180" s="21">
        <v>42.0</v>
      </c>
      <c r="B180" s="42" t="s">
        <v>3592</v>
      </c>
      <c r="C180" s="43" t="s">
        <v>3920</v>
      </c>
      <c r="D180" s="42" t="s">
        <v>3768</v>
      </c>
      <c r="E180" s="22" t="s">
        <v>57</v>
      </c>
      <c r="F180" s="22" t="s">
        <v>6485</v>
      </c>
      <c r="G180" s="22" t="s">
        <v>6255</v>
      </c>
      <c r="H180" s="22" t="s">
        <v>6255</v>
      </c>
      <c r="I180" s="22" t="s">
        <v>415</v>
      </c>
      <c r="J180" s="22" t="s">
        <v>3775</v>
      </c>
      <c r="K180" s="22" t="s">
        <v>6279</v>
      </c>
      <c r="L180" s="20"/>
      <c r="M180" s="20"/>
      <c r="N180" s="20"/>
      <c r="O180" s="20"/>
      <c r="P180" s="20"/>
      <c r="Q180" s="20"/>
      <c r="R180" s="20"/>
      <c r="S180" s="20"/>
      <c r="T180" s="20"/>
      <c r="U180" s="20"/>
      <c r="V180" s="20"/>
      <c r="W180" s="20"/>
      <c r="X180" s="20"/>
      <c r="Y180" s="20"/>
      <c r="Z180" s="20"/>
    </row>
    <row r="181">
      <c r="A181" s="21">
        <v>42.0</v>
      </c>
      <c r="B181" s="42" t="s">
        <v>3592</v>
      </c>
      <c r="C181" s="43" t="s">
        <v>3920</v>
      </c>
      <c r="D181" s="42" t="s">
        <v>3580</v>
      </c>
      <c r="E181" s="22" t="s">
        <v>57</v>
      </c>
      <c r="F181" s="22" t="s">
        <v>6486</v>
      </c>
      <c r="G181" s="22" t="s">
        <v>6255</v>
      </c>
      <c r="H181" s="22" t="s">
        <v>6255</v>
      </c>
      <c r="I181" s="22" t="s">
        <v>415</v>
      </c>
      <c r="J181" s="22" t="s">
        <v>3767</v>
      </c>
      <c r="K181" s="22" t="s">
        <v>6256</v>
      </c>
      <c r="L181" s="20"/>
      <c r="M181" s="20"/>
      <c r="N181" s="20"/>
      <c r="O181" s="20"/>
      <c r="P181" s="20"/>
      <c r="Q181" s="20"/>
      <c r="R181" s="20"/>
      <c r="S181" s="20"/>
      <c r="T181" s="20"/>
      <c r="U181" s="20"/>
      <c r="V181" s="20"/>
      <c r="W181" s="20"/>
      <c r="X181" s="20"/>
      <c r="Y181" s="20"/>
      <c r="Z181" s="20"/>
    </row>
    <row r="182">
      <c r="A182" s="21">
        <v>42.0</v>
      </c>
      <c r="B182" s="42" t="s">
        <v>3592</v>
      </c>
      <c r="C182" s="43" t="s">
        <v>3920</v>
      </c>
      <c r="D182" s="42" t="s">
        <v>2816</v>
      </c>
      <c r="E182" s="22" t="s">
        <v>57</v>
      </c>
      <c r="F182" s="22" t="s">
        <v>6487</v>
      </c>
      <c r="G182" s="22" t="s">
        <v>6255</v>
      </c>
      <c r="H182" s="22" t="s">
        <v>6255</v>
      </c>
      <c r="I182" s="22" t="s">
        <v>415</v>
      </c>
      <c r="J182" s="22" t="s">
        <v>3775</v>
      </c>
      <c r="K182" s="22" t="s">
        <v>6279</v>
      </c>
      <c r="L182" s="20"/>
      <c r="M182" s="20"/>
      <c r="N182" s="20"/>
      <c r="O182" s="20"/>
      <c r="P182" s="20"/>
      <c r="Q182" s="20"/>
      <c r="R182" s="20"/>
      <c r="S182" s="20"/>
      <c r="T182" s="20"/>
      <c r="U182" s="20"/>
      <c r="V182" s="20"/>
      <c r="W182" s="20"/>
      <c r="X182" s="20"/>
      <c r="Y182" s="20"/>
      <c r="Z182" s="20"/>
    </row>
    <row r="183">
      <c r="A183" s="21">
        <v>42.0</v>
      </c>
      <c r="B183" s="42" t="s">
        <v>3592</v>
      </c>
      <c r="C183" s="43" t="s">
        <v>3920</v>
      </c>
      <c r="D183" s="42" t="s">
        <v>2666</v>
      </c>
      <c r="E183" s="22" t="s">
        <v>57</v>
      </c>
      <c r="F183" s="22" t="s">
        <v>6488</v>
      </c>
      <c r="G183" s="22" t="s">
        <v>6255</v>
      </c>
      <c r="H183" s="22" t="s">
        <v>6255</v>
      </c>
      <c r="I183" s="22" t="s">
        <v>415</v>
      </c>
      <c r="J183" s="22" t="s">
        <v>3767</v>
      </c>
      <c r="K183" s="22" t="s">
        <v>6279</v>
      </c>
      <c r="L183" s="20"/>
      <c r="M183" s="20"/>
      <c r="N183" s="20"/>
      <c r="O183" s="20"/>
      <c r="P183" s="20"/>
      <c r="Q183" s="20"/>
      <c r="R183" s="20"/>
      <c r="S183" s="20"/>
      <c r="T183" s="20"/>
      <c r="U183" s="20"/>
      <c r="V183" s="20"/>
      <c r="W183" s="20"/>
      <c r="X183" s="20"/>
      <c r="Y183" s="20"/>
      <c r="Z183" s="20"/>
    </row>
    <row r="184">
      <c r="A184" s="21">
        <v>42.0</v>
      </c>
      <c r="B184" s="42" t="s">
        <v>3592</v>
      </c>
      <c r="C184" s="43" t="s">
        <v>3920</v>
      </c>
      <c r="D184" s="42" t="s">
        <v>1707</v>
      </c>
      <c r="E184" s="22" t="s">
        <v>67</v>
      </c>
      <c r="F184" s="22" t="s">
        <v>6489</v>
      </c>
      <c r="G184" s="22" t="s">
        <v>6255</v>
      </c>
      <c r="H184" s="22" t="s">
        <v>6255</v>
      </c>
      <c r="I184" s="22" t="s">
        <v>415</v>
      </c>
      <c r="J184" s="22" t="s">
        <v>3775</v>
      </c>
      <c r="K184" s="22" t="s">
        <v>6269</v>
      </c>
      <c r="L184" s="20"/>
      <c r="M184" s="20"/>
      <c r="N184" s="20"/>
      <c r="O184" s="20"/>
      <c r="P184" s="20"/>
      <c r="Q184" s="20"/>
      <c r="R184" s="20"/>
      <c r="S184" s="20"/>
      <c r="T184" s="20"/>
      <c r="U184" s="20"/>
      <c r="V184" s="20"/>
      <c r="W184" s="20"/>
      <c r="X184" s="20"/>
      <c r="Y184" s="20"/>
      <c r="Z184" s="20"/>
    </row>
    <row r="185">
      <c r="A185" s="21">
        <v>43.0</v>
      </c>
      <c r="B185" s="42" t="s">
        <v>919</v>
      </c>
      <c r="C185" s="43" t="s">
        <v>3920</v>
      </c>
      <c r="D185" s="42" t="s">
        <v>3746</v>
      </c>
      <c r="E185" s="22" t="s">
        <v>57</v>
      </c>
      <c r="F185" s="22" t="s">
        <v>6490</v>
      </c>
      <c r="G185" s="22" t="s">
        <v>6255</v>
      </c>
      <c r="H185" s="22" t="s">
        <v>6255</v>
      </c>
      <c r="I185" s="22" t="s">
        <v>415</v>
      </c>
      <c r="J185" s="22" t="s">
        <v>3795</v>
      </c>
      <c r="K185" s="22" t="s">
        <v>6256</v>
      </c>
      <c r="L185" s="20"/>
      <c r="M185" s="20"/>
      <c r="N185" s="20"/>
      <c r="O185" s="20"/>
      <c r="P185" s="20"/>
      <c r="Q185" s="20"/>
      <c r="R185" s="20"/>
      <c r="S185" s="20"/>
      <c r="T185" s="20"/>
      <c r="U185" s="20"/>
      <c r="V185" s="20"/>
      <c r="W185" s="20"/>
      <c r="X185" s="20"/>
      <c r="Y185" s="20"/>
      <c r="Z185" s="20"/>
    </row>
    <row r="186">
      <c r="A186" s="21">
        <v>43.0</v>
      </c>
      <c r="B186" s="42" t="s">
        <v>919</v>
      </c>
      <c r="C186" s="43" t="s">
        <v>3920</v>
      </c>
      <c r="D186" s="42" t="s">
        <v>3598</v>
      </c>
      <c r="E186" s="22" t="s">
        <v>67</v>
      </c>
      <c r="F186" s="22" t="s">
        <v>6491</v>
      </c>
      <c r="G186" s="22" t="s">
        <v>6255</v>
      </c>
      <c r="H186" s="22" t="s">
        <v>6255</v>
      </c>
      <c r="I186" s="22" t="s">
        <v>415</v>
      </c>
      <c r="J186" s="22" t="s">
        <v>3792</v>
      </c>
      <c r="K186" s="22" t="s">
        <v>6256</v>
      </c>
      <c r="L186" s="20"/>
      <c r="M186" s="20"/>
      <c r="N186" s="20"/>
      <c r="O186" s="20"/>
      <c r="P186" s="20"/>
      <c r="Q186" s="20"/>
      <c r="R186" s="20"/>
      <c r="S186" s="20"/>
      <c r="T186" s="20"/>
      <c r="U186" s="20"/>
      <c r="V186" s="20"/>
      <c r="W186" s="20"/>
      <c r="X186" s="20"/>
      <c r="Y186" s="20"/>
      <c r="Z186" s="20"/>
    </row>
    <row r="187">
      <c r="A187" s="21">
        <v>43.0</v>
      </c>
      <c r="B187" s="42" t="s">
        <v>919</v>
      </c>
      <c r="C187" s="43" t="s">
        <v>3920</v>
      </c>
      <c r="D187" s="42" t="s">
        <v>1707</v>
      </c>
      <c r="E187" s="22" t="s">
        <v>67</v>
      </c>
      <c r="F187" s="22" t="s">
        <v>6492</v>
      </c>
      <c r="G187" s="22" t="s">
        <v>6255</v>
      </c>
      <c r="H187" s="22" t="s">
        <v>6255</v>
      </c>
      <c r="I187" s="22" t="s">
        <v>415</v>
      </c>
      <c r="J187" s="22" t="s">
        <v>3794</v>
      </c>
      <c r="K187" s="22" t="s">
        <v>6269</v>
      </c>
      <c r="L187" s="20"/>
      <c r="M187" s="20"/>
      <c r="N187" s="20"/>
      <c r="O187" s="20"/>
      <c r="P187" s="20"/>
      <c r="Q187" s="20"/>
      <c r="R187" s="20"/>
      <c r="S187" s="20"/>
      <c r="T187" s="20"/>
      <c r="U187" s="20"/>
      <c r="V187" s="20"/>
      <c r="W187" s="20"/>
      <c r="X187" s="20"/>
      <c r="Y187" s="20"/>
      <c r="Z187" s="20"/>
    </row>
    <row r="188">
      <c r="A188" s="21">
        <v>43.0</v>
      </c>
      <c r="B188" s="42" t="s">
        <v>919</v>
      </c>
      <c r="C188" s="43" t="s">
        <v>3920</v>
      </c>
      <c r="D188" s="42" t="s">
        <v>3568</v>
      </c>
      <c r="E188" s="22" t="s">
        <v>67</v>
      </c>
      <c r="F188" s="22" t="s">
        <v>6493</v>
      </c>
      <c r="G188" s="22" t="s">
        <v>6255</v>
      </c>
      <c r="H188" s="22" t="s">
        <v>6255</v>
      </c>
      <c r="I188" s="22" t="s">
        <v>415</v>
      </c>
      <c r="J188" s="22" t="s">
        <v>3795</v>
      </c>
      <c r="K188" s="22" t="s">
        <v>6269</v>
      </c>
      <c r="L188" s="20"/>
      <c r="M188" s="20"/>
      <c r="N188" s="20"/>
      <c r="O188" s="20"/>
      <c r="P188" s="20"/>
      <c r="Q188" s="20"/>
      <c r="R188" s="20"/>
      <c r="S188" s="20"/>
      <c r="T188" s="20"/>
      <c r="U188" s="20"/>
      <c r="V188" s="20"/>
      <c r="W188" s="20"/>
      <c r="X188" s="20"/>
      <c r="Y188" s="20"/>
      <c r="Z188" s="20"/>
    </row>
    <row r="189">
      <c r="A189" s="21">
        <v>44.0</v>
      </c>
      <c r="B189" s="42" t="s">
        <v>3565</v>
      </c>
      <c r="C189" s="43" t="s">
        <v>3920</v>
      </c>
      <c r="D189" s="42" t="s">
        <v>3676</v>
      </c>
      <c r="E189" s="22" t="s">
        <v>57</v>
      </c>
      <c r="F189" s="22" t="s">
        <v>6494</v>
      </c>
      <c r="G189" s="22" t="s">
        <v>6255</v>
      </c>
      <c r="H189" s="22" t="s">
        <v>6255</v>
      </c>
      <c r="I189" s="22" t="s">
        <v>415</v>
      </c>
      <c r="J189" s="22" t="s">
        <v>3816</v>
      </c>
      <c r="K189" s="22" t="s">
        <v>6279</v>
      </c>
      <c r="L189" s="20"/>
      <c r="M189" s="20"/>
      <c r="N189" s="20"/>
      <c r="O189" s="20"/>
      <c r="P189" s="20"/>
      <c r="Q189" s="20"/>
      <c r="R189" s="20"/>
      <c r="S189" s="20"/>
      <c r="T189" s="20"/>
      <c r="U189" s="20"/>
      <c r="V189" s="20"/>
      <c r="W189" s="20"/>
      <c r="X189" s="20"/>
      <c r="Y189" s="20"/>
      <c r="Z189" s="20"/>
    </row>
    <row r="190">
      <c r="A190" s="21">
        <v>44.0</v>
      </c>
      <c r="B190" s="42" t="s">
        <v>3565</v>
      </c>
      <c r="C190" s="43" t="s">
        <v>3920</v>
      </c>
      <c r="D190" s="42" t="s">
        <v>2949</v>
      </c>
      <c r="E190" s="22" t="s">
        <v>57</v>
      </c>
      <c r="F190" s="22" t="s">
        <v>6495</v>
      </c>
      <c r="G190" s="22" t="s">
        <v>6255</v>
      </c>
      <c r="H190" s="22" t="s">
        <v>6255</v>
      </c>
      <c r="I190" s="22" t="s">
        <v>415</v>
      </c>
      <c r="J190" s="22" t="s">
        <v>3818</v>
      </c>
      <c r="K190" s="22" t="s">
        <v>6279</v>
      </c>
      <c r="L190" s="20"/>
      <c r="M190" s="20"/>
      <c r="N190" s="20"/>
      <c r="O190" s="20"/>
      <c r="P190" s="20"/>
      <c r="Q190" s="20"/>
      <c r="R190" s="20"/>
      <c r="S190" s="20"/>
      <c r="T190" s="20"/>
      <c r="U190" s="20"/>
      <c r="V190" s="20"/>
      <c r="W190" s="20"/>
      <c r="X190" s="20"/>
      <c r="Y190" s="20"/>
      <c r="Z190" s="20"/>
    </row>
    <row r="191">
      <c r="A191" s="21">
        <v>44.0</v>
      </c>
      <c r="B191" s="42" t="s">
        <v>3565</v>
      </c>
      <c r="C191" s="43" t="s">
        <v>3920</v>
      </c>
      <c r="D191" s="42" t="s">
        <v>3590</v>
      </c>
      <c r="E191" s="22" t="s">
        <v>57</v>
      </c>
      <c r="F191" s="22" t="s">
        <v>6496</v>
      </c>
      <c r="G191" s="22" t="s">
        <v>6255</v>
      </c>
      <c r="H191" s="22" t="s">
        <v>6255</v>
      </c>
      <c r="I191" s="22" t="s">
        <v>415</v>
      </c>
      <c r="J191" s="22" t="s">
        <v>3816</v>
      </c>
      <c r="K191" s="22" t="s">
        <v>6279</v>
      </c>
      <c r="L191" s="20"/>
      <c r="M191" s="20"/>
      <c r="N191" s="20"/>
      <c r="O191" s="20"/>
      <c r="P191" s="20"/>
      <c r="Q191" s="20"/>
      <c r="R191" s="20"/>
      <c r="S191" s="20"/>
      <c r="T191" s="20"/>
      <c r="U191" s="20"/>
      <c r="V191" s="20"/>
      <c r="W191" s="20"/>
      <c r="X191" s="20"/>
      <c r="Y191" s="20"/>
      <c r="Z191" s="20"/>
    </row>
    <row r="192">
      <c r="A192" s="21">
        <v>44.0</v>
      </c>
      <c r="B192" s="42" t="s">
        <v>3565</v>
      </c>
      <c r="C192" s="43" t="s">
        <v>3920</v>
      </c>
      <c r="D192" s="42" t="s">
        <v>3610</v>
      </c>
      <c r="E192" s="22" t="s">
        <v>57</v>
      </c>
      <c r="F192" s="22" t="s">
        <v>6497</v>
      </c>
      <c r="G192" s="22" t="s">
        <v>6255</v>
      </c>
      <c r="H192" s="22" t="s">
        <v>6255</v>
      </c>
      <c r="I192" s="22" t="s">
        <v>415</v>
      </c>
      <c r="J192" s="22" t="s">
        <v>3818</v>
      </c>
      <c r="K192" s="22" t="s">
        <v>6269</v>
      </c>
      <c r="L192" s="20"/>
      <c r="M192" s="20"/>
      <c r="N192" s="20"/>
      <c r="O192" s="20"/>
      <c r="P192" s="20"/>
      <c r="Q192" s="20"/>
      <c r="R192" s="20"/>
      <c r="S192" s="20"/>
      <c r="T192" s="20"/>
      <c r="U192" s="20"/>
      <c r="V192" s="20"/>
      <c r="W192" s="20"/>
      <c r="X192" s="20"/>
      <c r="Y192" s="20"/>
      <c r="Z192" s="20"/>
    </row>
    <row r="193">
      <c r="A193" s="21">
        <v>44.0</v>
      </c>
      <c r="B193" s="42" t="s">
        <v>3565</v>
      </c>
      <c r="C193" s="43" t="s">
        <v>3920</v>
      </c>
      <c r="D193" s="42" t="s">
        <v>3689</v>
      </c>
      <c r="E193" s="22" t="s">
        <v>67</v>
      </c>
      <c r="F193" s="22" t="s">
        <v>6498</v>
      </c>
      <c r="G193" s="22" t="s">
        <v>6255</v>
      </c>
      <c r="H193" s="22" t="s">
        <v>6255</v>
      </c>
      <c r="I193" s="22" t="s">
        <v>415</v>
      </c>
      <c r="J193" s="22" t="s">
        <v>3816</v>
      </c>
      <c r="K193" s="22" t="s">
        <v>6279</v>
      </c>
      <c r="L193" s="20"/>
      <c r="M193" s="20"/>
      <c r="N193" s="20"/>
      <c r="O193" s="20"/>
      <c r="P193" s="20"/>
      <c r="Q193" s="20"/>
      <c r="R193" s="20"/>
      <c r="S193" s="20"/>
      <c r="T193" s="20"/>
      <c r="U193" s="20"/>
      <c r="V193" s="20"/>
      <c r="W193" s="20"/>
      <c r="X193" s="20"/>
      <c r="Y193" s="20"/>
      <c r="Z193" s="20"/>
    </row>
    <row r="194">
      <c r="A194" s="21">
        <v>45.0</v>
      </c>
      <c r="B194" s="42" t="s">
        <v>3764</v>
      </c>
      <c r="C194" s="43" t="s">
        <v>3920</v>
      </c>
      <c r="D194" s="42" t="s">
        <v>965</v>
      </c>
      <c r="E194" s="22" t="s">
        <v>57</v>
      </c>
      <c r="F194" s="22" t="s">
        <v>6499</v>
      </c>
      <c r="G194" s="22" t="s">
        <v>6255</v>
      </c>
      <c r="H194" s="22" t="s">
        <v>6255</v>
      </c>
      <c r="I194" s="22" t="s">
        <v>415</v>
      </c>
      <c r="J194" s="22" t="s">
        <v>3842</v>
      </c>
      <c r="K194" s="22" t="s">
        <v>6256</v>
      </c>
      <c r="L194" s="20"/>
      <c r="M194" s="20"/>
      <c r="N194" s="20"/>
      <c r="O194" s="20"/>
      <c r="P194" s="20"/>
      <c r="Q194" s="20"/>
      <c r="R194" s="20"/>
      <c r="S194" s="20"/>
      <c r="T194" s="20"/>
      <c r="U194" s="20"/>
      <c r="V194" s="20"/>
      <c r="W194" s="20"/>
      <c r="X194" s="20"/>
      <c r="Y194" s="20"/>
      <c r="Z194" s="20"/>
    </row>
    <row r="195">
      <c r="A195" s="21">
        <v>45.0</v>
      </c>
      <c r="B195" s="42" t="s">
        <v>3764</v>
      </c>
      <c r="C195" s="43" t="s">
        <v>3920</v>
      </c>
      <c r="D195" s="42" t="s">
        <v>3843</v>
      </c>
      <c r="E195" s="22" t="s">
        <v>57</v>
      </c>
      <c r="F195" s="22" t="s">
        <v>6500</v>
      </c>
      <c r="G195" s="22" t="s">
        <v>6255</v>
      </c>
      <c r="H195" s="22" t="s">
        <v>6255</v>
      </c>
      <c r="I195" s="22" t="s">
        <v>415</v>
      </c>
      <c r="J195" s="22" t="s">
        <v>3846</v>
      </c>
      <c r="K195" s="22" t="s">
        <v>6256</v>
      </c>
      <c r="L195" s="20"/>
      <c r="M195" s="20"/>
      <c r="N195" s="20"/>
      <c r="O195" s="20"/>
      <c r="P195" s="20"/>
      <c r="Q195" s="20"/>
      <c r="R195" s="20"/>
      <c r="S195" s="20"/>
      <c r="T195" s="20"/>
      <c r="U195" s="20"/>
      <c r="V195" s="20"/>
      <c r="W195" s="20"/>
      <c r="X195" s="20"/>
      <c r="Y195" s="20"/>
      <c r="Z195" s="20"/>
    </row>
    <row r="196">
      <c r="A196" s="21">
        <v>45.0</v>
      </c>
      <c r="B196" s="42" t="s">
        <v>3764</v>
      </c>
      <c r="C196" s="43" t="s">
        <v>3920</v>
      </c>
      <c r="D196" s="42" t="s">
        <v>3568</v>
      </c>
      <c r="E196" s="22" t="s">
        <v>67</v>
      </c>
      <c r="F196" s="22" t="s">
        <v>6501</v>
      </c>
      <c r="G196" s="22" t="s">
        <v>6255</v>
      </c>
      <c r="H196" s="22" t="s">
        <v>6255</v>
      </c>
      <c r="I196" s="22" t="s">
        <v>415</v>
      </c>
      <c r="J196" s="22" t="s">
        <v>3839</v>
      </c>
      <c r="K196" s="22" t="s">
        <v>6269</v>
      </c>
      <c r="L196" s="20"/>
      <c r="M196" s="20"/>
      <c r="N196" s="20"/>
      <c r="O196" s="20"/>
      <c r="P196" s="20"/>
      <c r="Q196" s="20"/>
      <c r="R196" s="20"/>
      <c r="S196" s="20"/>
      <c r="T196" s="20"/>
      <c r="U196" s="20"/>
      <c r="V196" s="20"/>
      <c r="W196" s="20"/>
      <c r="X196" s="20"/>
      <c r="Y196" s="20"/>
      <c r="Z196" s="20"/>
    </row>
    <row r="197">
      <c r="A197" s="21">
        <v>45.0</v>
      </c>
      <c r="B197" s="42" t="s">
        <v>3764</v>
      </c>
      <c r="C197" s="43" t="s">
        <v>3920</v>
      </c>
      <c r="D197" s="42" t="s">
        <v>2727</v>
      </c>
      <c r="E197" s="22" t="s">
        <v>67</v>
      </c>
      <c r="F197" s="22" t="s">
        <v>6502</v>
      </c>
      <c r="G197" s="22" t="s">
        <v>6255</v>
      </c>
      <c r="H197" s="22" t="s">
        <v>6255</v>
      </c>
      <c r="I197" s="22" t="s">
        <v>415</v>
      </c>
      <c r="J197" s="22" t="s">
        <v>3842</v>
      </c>
      <c r="K197" s="22" t="s">
        <v>6279</v>
      </c>
      <c r="L197" s="20"/>
      <c r="M197" s="20"/>
      <c r="N197" s="20"/>
      <c r="O197" s="20"/>
      <c r="P197" s="20"/>
      <c r="Q197" s="20"/>
      <c r="R197" s="20"/>
      <c r="S197" s="20"/>
      <c r="T197" s="20"/>
      <c r="U197" s="20"/>
      <c r="V197" s="20"/>
      <c r="W197" s="20"/>
      <c r="X197" s="20"/>
      <c r="Y197" s="20"/>
      <c r="Z197" s="20"/>
    </row>
    <row r="198">
      <c r="A198" s="21">
        <v>45.0</v>
      </c>
      <c r="B198" s="42" t="s">
        <v>3764</v>
      </c>
      <c r="C198" s="43" t="s">
        <v>3920</v>
      </c>
      <c r="D198" s="42" t="s">
        <v>3789</v>
      </c>
      <c r="E198" s="22" t="s">
        <v>67</v>
      </c>
      <c r="F198" s="22" t="s">
        <v>6503</v>
      </c>
      <c r="G198" s="22" t="s">
        <v>6255</v>
      </c>
      <c r="H198" s="22" t="s">
        <v>6255</v>
      </c>
      <c r="I198" s="22" t="s">
        <v>415</v>
      </c>
      <c r="J198" s="22" t="s">
        <v>3846</v>
      </c>
      <c r="K198" s="22" t="s">
        <v>6256</v>
      </c>
      <c r="L198" s="20"/>
      <c r="M198" s="20"/>
      <c r="N198" s="20"/>
      <c r="O198" s="20"/>
      <c r="P198" s="20"/>
      <c r="Q198" s="20"/>
      <c r="R198" s="20"/>
      <c r="S198" s="20"/>
      <c r="T198" s="20"/>
      <c r="U198" s="20"/>
      <c r="V198" s="20"/>
      <c r="W198" s="20"/>
      <c r="X198" s="20"/>
      <c r="Y198" s="20"/>
      <c r="Z198" s="20"/>
    </row>
    <row r="199">
      <c r="A199" s="21">
        <v>46.0</v>
      </c>
      <c r="B199" s="42" t="s">
        <v>3646</v>
      </c>
      <c r="C199" s="43" t="s">
        <v>3920</v>
      </c>
      <c r="D199" s="42" t="s">
        <v>3586</v>
      </c>
      <c r="E199" s="22" t="s">
        <v>57</v>
      </c>
      <c r="F199" s="22" t="s">
        <v>6504</v>
      </c>
      <c r="G199" s="22" t="s">
        <v>6255</v>
      </c>
      <c r="H199" s="22" t="s">
        <v>6255</v>
      </c>
      <c r="I199" s="22" t="s">
        <v>415</v>
      </c>
      <c r="J199" s="22" t="s">
        <v>3901</v>
      </c>
      <c r="K199" s="22" t="s">
        <v>6256</v>
      </c>
      <c r="L199" s="20"/>
      <c r="M199" s="20"/>
      <c r="N199" s="20"/>
      <c r="O199" s="20"/>
      <c r="P199" s="20"/>
      <c r="Q199" s="20"/>
      <c r="R199" s="20"/>
      <c r="S199" s="20"/>
      <c r="T199" s="20"/>
      <c r="U199" s="20"/>
      <c r="V199" s="20"/>
      <c r="W199" s="20"/>
      <c r="X199" s="20"/>
      <c r="Y199" s="20"/>
      <c r="Z199" s="20"/>
    </row>
    <row r="200">
      <c r="A200" s="21">
        <v>46.0</v>
      </c>
      <c r="B200" s="42" t="s">
        <v>3646</v>
      </c>
      <c r="C200" s="43" t="s">
        <v>3920</v>
      </c>
      <c r="D200" s="42" t="s">
        <v>6505</v>
      </c>
      <c r="E200" s="22" t="s">
        <v>67</v>
      </c>
      <c r="F200" s="22" t="s">
        <v>6506</v>
      </c>
      <c r="G200" s="22" t="s">
        <v>6255</v>
      </c>
      <c r="H200" s="22" t="s">
        <v>6255</v>
      </c>
      <c r="I200" s="22" t="s">
        <v>415</v>
      </c>
      <c r="J200" s="22" t="s">
        <v>3901</v>
      </c>
      <c r="K200" s="22" t="s">
        <v>6256</v>
      </c>
      <c r="L200" s="20"/>
      <c r="M200" s="20"/>
      <c r="N200" s="20"/>
      <c r="O200" s="20"/>
      <c r="P200" s="20"/>
      <c r="Q200" s="20"/>
      <c r="R200" s="20"/>
      <c r="S200" s="20"/>
      <c r="T200" s="20"/>
      <c r="U200" s="20"/>
      <c r="V200" s="20"/>
      <c r="W200" s="20"/>
      <c r="X200" s="20"/>
      <c r="Y200" s="20"/>
      <c r="Z200" s="20"/>
    </row>
    <row r="201">
      <c r="A201" s="21">
        <v>46.0</v>
      </c>
      <c r="B201" s="42" t="s">
        <v>3646</v>
      </c>
      <c r="C201" s="43" t="s">
        <v>3920</v>
      </c>
      <c r="D201" s="42" t="s">
        <v>3623</v>
      </c>
      <c r="E201" s="22" t="s">
        <v>67</v>
      </c>
      <c r="F201" s="22" t="s">
        <v>6507</v>
      </c>
      <c r="G201" s="22" t="s">
        <v>6255</v>
      </c>
      <c r="H201" s="22" t="s">
        <v>6255</v>
      </c>
      <c r="I201" s="22" t="s">
        <v>415</v>
      </c>
      <c r="J201" s="22" t="s">
        <v>3901</v>
      </c>
      <c r="K201" s="22" t="s">
        <v>6279</v>
      </c>
      <c r="L201" s="20"/>
      <c r="M201" s="20"/>
      <c r="N201" s="20"/>
      <c r="O201" s="20"/>
      <c r="P201" s="20"/>
      <c r="Q201" s="20"/>
      <c r="R201" s="20"/>
      <c r="S201" s="20"/>
      <c r="T201" s="20"/>
      <c r="U201" s="20"/>
      <c r="V201" s="20"/>
      <c r="W201" s="20"/>
      <c r="X201" s="20"/>
      <c r="Y201" s="20"/>
      <c r="Z201" s="20"/>
    </row>
    <row r="202">
      <c r="A202" s="21">
        <v>47.0</v>
      </c>
      <c r="B202" s="42" t="s">
        <v>3580</v>
      </c>
      <c r="C202" s="43" t="s">
        <v>3920</v>
      </c>
      <c r="D202" s="42" t="s">
        <v>3592</v>
      </c>
      <c r="E202" s="22" t="s">
        <v>57</v>
      </c>
      <c r="F202" s="22" t="s">
        <v>6508</v>
      </c>
      <c r="G202" s="22" t="s">
        <v>6255</v>
      </c>
      <c r="H202" s="22" t="s">
        <v>6255</v>
      </c>
      <c r="I202" s="22" t="s">
        <v>415</v>
      </c>
      <c r="J202" s="22" t="s">
        <v>3915</v>
      </c>
      <c r="K202" s="22" t="s">
        <v>6256</v>
      </c>
      <c r="L202" s="20"/>
      <c r="M202" s="20"/>
      <c r="N202" s="20"/>
      <c r="O202" s="20"/>
      <c r="P202" s="20"/>
      <c r="Q202" s="20"/>
      <c r="R202" s="20"/>
      <c r="S202" s="20"/>
      <c r="T202" s="20"/>
      <c r="U202" s="20"/>
      <c r="V202" s="20"/>
      <c r="W202" s="20"/>
      <c r="X202" s="20"/>
      <c r="Y202" s="20"/>
      <c r="Z202" s="20"/>
    </row>
    <row r="203">
      <c r="A203" s="21">
        <v>47.0</v>
      </c>
      <c r="B203" s="42" t="s">
        <v>3580</v>
      </c>
      <c r="C203" s="43" t="s">
        <v>3920</v>
      </c>
      <c r="D203" s="42" t="s">
        <v>3768</v>
      </c>
      <c r="E203" s="22" t="s">
        <v>57</v>
      </c>
      <c r="F203" s="22" t="s">
        <v>6509</v>
      </c>
      <c r="G203" s="22" t="s">
        <v>6255</v>
      </c>
      <c r="H203" s="22" t="s">
        <v>6255</v>
      </c>
      <c r="I203" s="22" t="s">
        <v>415</v>
      </c>
      <c r="J203" s="22" t="s">
        <v>3912</v>
      </c>
      <c r="K203" s="22" t="s">
        <v>6279</v>
      </c>
      <c r="L203" s="20"/>
      <c r="M203" s="20"/>
      <c r="N203" s="20"/>
      <c r="O203" s="20"/>
      <c r="P203" s="20"/>
      <c r="Q203" s="20"/>
      <c r="R203" s="20"/>
      <c r="S203" s="20"/>
      <c r="T203" s="20"/>
      <c r="U203" s="20"/>
      <c r="V203" s="20"/>
      <c r="W203" s="20"/>
      <c r="X203" s="20"/>
      <c r="Y203" s="20"/>
      <c r="Z203" s="20"/>
    </row>
    <row r="204">
      <c r="A204" s="21">
        <v>47.0</v>
      </c>
      <c r="B204" s="42" t="s">
        <v>3580</v>
      </c>
      <c r="C204" s="43" t="s">
        <v>3920</v>
      </c>
      <c r="D204" s="42" t="s">
        <v>2816</v>
      </c>
      <c r="E204" s="22" t="s">
        <v>57</v>
      </c>
      <c r="F204" s="22" t="s">
        <v>6510</v>
      </c>
      <c r="G204" s="22" t="s">
        <v>6255</v>
      </c>
      <c r="H204" s="22" t="s">
        <v>6255</v>
      </c>
      <c r="I204" s="22" t="s">
        <v>415</v>
      </c>
      <c r="J204" s="22" t="s">
        <v>3915</v>
      </c>
      <c r="K204" s="22" t="s">
        <v>6279</v>
      </c>
      <c r="L204" s="20"/>
      <c r="M204" s="20"/>
      <c r="N204" s="20"/>
      <c r="O204" s="20"/>
      <c r="P204" s="20"/>
      <c r="Q204" s="20"/>
      <c r="R204" s="20"/>
      <c r="S204" s="20"/>
      <c r="T204" s="20"/>
      <c r="U204" s="20"/>
      <c r="V204" s="20"/>
      <c r="W204" s="20"/>
      <c r="X204" s="20"/>
      <c r="Y204" s="20"/>
      <c r="Z204" s="20"/>
    </row>
    <row r="205">
      <c r="A205" s="21">
        <v>47.0</v>
      </c>
      <c r="B205" s="42" t="s">
        <v>3580</v>
      </c>
      <c r="C205" s="43" t="s">
        <v>3920</v>
      </c>
      <c r="D205" s="42" t="s">
        <v>2666</v>
      </c>
      <c r="E205" s="22" t="s">
        <v>67</v>
      </c>
      <c r="F205" s="22" t="s">
        <v>6511</v>
      </c>
      <c r="G205" s="22" t="s">
        <v>6255</v>
      </c>
      <c r="H205" s="22" t="s">
        <v>6255</v>
      </c>
      <c r="I205" s="22" t="s">
        <v>415</v>
      </c>
      <c r="J205" s="22" t="s">
        <v>3912</v>
      </c>
      <c r="K205" s="22" t="s">
        <v>6279</v>
      </c>
      <c r="L205" s="20"/>
      <c r="M205" s="20"/>
      <c r="N205" s="20"/>
      <c r="O205" s="20"/>
      <c r="P205" s="20"/>
      <c r="Q205" s="20"/>
      <c r="R205" s="20"/>
      <c r="S205" s="20"/>
      <c r="T205" s="20"/>
      <c r="U205" s="20"/>
      <c r="V205" s="20"/>
      <c r="W205" s="20"/>
      <c r="X205" s="20"/>
      <c r="Y205" s="20"/>
      <c r="Z205" s="20"/>
    </row>
    <row r="206">
      <c r="A206" s="21">
        <v>48.0</v>
      </c>
      <c r="B206" s="42" t="s">
        <v>3574</v>
      </c>
      <c r="C206" s="43" t="s">
        <v>3920</v>
      </c>
      <c r="D206" s="42" t="s">
        <v>1448</v>
      </c>
      <c r="E206" s="22" t="s">
        <v>57</v>
      </c>
      <c r="F206" s="22" t="s">
        <v>6512</v>
      </c>
      <c r="G206" s="22" t="s">
        <v>6255</v>
      </c>
      <c r="H206" s="22" t="s">
        <v>6255</v>
      </c>
      <c r="I206" s="22" t="s">
        <v>415</v>
      </c>
      <c r="J206" s="22" t="s">
        <v>3969</v>
      </c>
      <c r="K206" s="22" t="s">
        <v>6256</v>
      </c>
      <c r="L206" s="20"/>
      <c r="M206" s="20"/>
      <c r="N206" s="20"/>
      <c r="O206" s="20"/>
      <c r="P206" s="20"/>
      <c r="Q206" s="20"/>
      <c r="R206" s="20"/>
      <c r="S206" s="20"/>
      <c r="T206" s="20"/>
      <c r="U206" s="20"/>
      <c r="V206" s="20"/>
      <c r="W206" s="20"/>
      <c r="X206" s="20"/>
      <c r="Y206" s="20"/>
      <c r="Z206" s="20"/>
    </row>
    <row r="207">
      <c r="A207" s="21">
        <v>48.0</v>
      </c>
      <c r="B207" s="42" t="s">
        <v>3574</v>
      </c>
      <c r="C207" s="43" t="s">
        <v>3920</v>
      </c>
      <c r="D207" s="42" t="s">
        <v>3894</v>
      </c>
      <c r="E207" s="22" t="s">
        <v>57</v>
      </c>
      <c r="F207" s="22" t="s">
        <v>6513</v>
      </c>
      <c r="G207" s="22" t="s">
        <v>6255</v>
      </c>
      <c r="H207" s="22" t="s">
        <v>6255</v>
      </c>
      <c r="I207" s="22" t="s">
        <v>415</v>
      </c>
      <c r="J207" s="22" t="s">
        <v>3953</v>
      </c>
      <c r="K207" s="22" t="s">
        <v>6256</v>
      </c>
      <c r="L207" s="20"/>
      <c r="M207" s="20"/>
      <c r="N207" s="20"/>
      <c r="O207" s="20"/>
      <c r="P207" s="20"/>
      <c r="Q207" s="20"/>
      <c r="R207" s="20"/>
      <c r="S207" s="20"/>
      <c r="T207" s="20"/>
      <c r="U207" s="20"/>
      <c r="V207" s="20"/>
      <c r="W207" s="20"/>
      <c r="X207" s="20"/>
      <c r="Y207" s="20"/>
      <c r="Z207" s="20"/>
    </row>
    <row r="208">
      <c r="A208" s="21">
        <v>48.0</v>
      </c>
      <c r="B208" s="42" t="s">
        <v>3574</v>
      </c>
      <c r="C208" s="43" t="s">
        <v>3920</v>
      </c>
      <c r="D208" s="42" t="s">
        <v>2919</v>
      </c>
      <c r="E208" s="22" t="s">
        <v>57</v>
      </c>
      <c r="F208" s="22" t="s">
        <v>6514</v>
      </c>
      <c r="G208" s="22" t="s">
        <v>6255</v>
      </c>
      <c r="H208" s="22" t="s">
        <v>6255</v>
      </c>
      <c r="I208" s="22" t="s">
        <v>415</v>
      </c>
      <c r="J208" s="22" t="s">
        <v>3951</v>
      </c>
      <c r="K208" s="22" t="s">
        <v>6256</v>
      </c>
      <c r="L208" s="20"/>
      <c r="M208" s="20"/>
      <c r="N208" s="20"/>
      <c r="O208" s="20"/>
      <c r="P208" s="20"/>
      <c r="Q208" s="20"/>
      <c r="R208" s="20"/>
      <c r="S208" s="20"/>
      <c r="T208" s="20"/>
      <c r="U208" s="20"/>
      <c r="V208" s="20"/>
      <c r="W208" s="20"/>
      <c r="X208" s="20"/>
      <c r="Y208" s="20"/>
      <c r="Z208" s="20"/>
    </row>
    <row r="209">
      <c r="A209" s="21">
        <v>48.0</v>
      </c>
      <c r="B209" s="42" t="s">
        <v>3574</v>
      </c>
      <c r="C209" s="43" t="s">
        <v>3920</v>
      </c>
      <c r="D209" s="42" t="s">
        <v>2686</v>
      </c>
      <c r="E209" s="22" t="s">
        <v>57</v>
      </c>
      <c r="F209" s="22" t="s">
        <v>6515</v>
      </c>
      <c r="G209" s="22" t="s">
        <v>6255</v>
      </c>
      <c r="H209" s="22" t="s">
        <v>6255</v>
      </c>
      <c r="I209" s="22" t="s">
        <v>415</v>
      </c>
      <c r="J209" s="22" t="s">
        <v>3969</v>
      </c>
      <c r="K209" s="22" t="s">
        <v>6279</v>
      </c>
      <c r="L209" s="20"/>
      <c r="M209" s="20"/>
      <c r="N209" s="20"/>
      <c r="O209" s="20"/>
      <c r="P209" s="20"/>
      <c r="Q209" s="20"/>
      <c r="R209" s="20"/>
      <c r="S209" s="20"/>
      <c r="T209" s="20"/>
      <c r="U209" s="20"/>
      <c r="V209" s="20"/>
      <c r="W209" s="20"/>
      <c r="X209" s="20"/>
      <c r="Y209" s="20"/>
      <c r="Z209" s="20"/>
    </row>
    <row r="210">
      <c r="A210" s="21">
        <v>48.0</v>
      </c>
      <c r="B210" s="42" t="s">
        <v>3574</v>
      </c>
      <c r="C210" s="43" t="s">
        <v>3920</v>
      </c>
      <c r="D210" s="42" t="s">
        <v>1342</v>
      </c>
      <c r="E210" s="22" t="s">
        <v>57</v>
      </c>
      <c r="F210" s="22" t="s">
        <v>6516</v>
      </c>
      <c r="G210" s="22" t="s">
        <v>6255</v>
      </c>
      <c r="H210" s="22" t="s">
        <v>6255</v>
      </c>
      <c r="I210" s="22" t="s">
        <v>415</v>
      </c>
      <c r="J210" s="22" t="s">
        <v>3953</v>
      </c>
      <c r="K210" s="22" t="s">
        <v>6256</v>
      </c>
      <c r="L210" s="20"/>
      <c r="M210" s="20"/>
      <c r="N210" s="20"/>
      <c r="O210" s="20"/>
      <c r="P210" s="20"/>
      <c r="Q210" s="20"/>
      <c r="R210" s="20"/>
      <c r="S210" s="20"/>
      <c r="T210" s="20"/>
      <c r="U210" s="20"/>
      <c r="V210" s="20"/>
      <c r="W210" s="20"/>
      <c r="X210" s="20"/>
      <c r="Y210" s="20"/>
      <c r="Z210" s="20"/>
    </row>
    <row r="211">
      <c r="A211" s="21">
        <v>49.0</v>
      </c>
      <c r="B211" s="42" t="s">
        <v>3616</v>
      </c>
      <c r="C211" s="43" t="s">
        <v>3920</v>
      </c>
      <c r="D211" s="42" t="s">
        <v>2810</v>
      </c>
      <c r="E211" s="22" t="s">
        <v>57</v>
      </c>
      <c r="F211" s="22" t="s">
        <v>6517</v>
      </c>
      <c r="G211" s="22" t="s">
        <v>6255</v>
      </c>
      <c r="H211" s="22" t="s">
        <v>6255</v>
      </c>
      <c r="I211" s="22" t="s">
        <v>415</v>
      </c>
      <c r="J211" s="22" t="s">
        <v>3999</v>
      </c>
      <c r="K211" s="22" t="s">
        <v>6279</v>
      </c>
      <c r="L211" s="20"/>
      <c r="M211" s="20"/>
      <c r="N211" s="20"/>
      <c r="O211" s="20"/>
      <c r="P211" s="20"/>
      <c r="Q211" s="20"/>
      <c r="R211" s="20"/>
      <c r="S211" s="20"/>
      <c r="T211" s="20"/>
      <c r="U211" s="20"/>
      <c r="V211" s="20"/>
      <c r="W211" s="20"/>
      <c r="X211" s="20"/>
      <c r="Y211" s="20"/>
      <c r="Z211" s="20"/>
    </row>
    <row r="212">
      <c r="A212" s="21">
        <v>49.0</v>
      </c>
      <c r="B212" s="42" t="s">
        <v>3616</v>
      </c>
      <c r="C212" s="43" t="s">
        <v>3920</v>
      </c>
      <c r="D212" s="42" t="s">
        <v>3568</v>
      </c>
      <c r="E212" s="22" t="s">
        <v>57</v>
      </c>
      <c r="F212" s="22" t="s">
        <v>6518</v>
      </c>
      <c r="G212" s="22" t="s">
        <v>6255</v>
      </c>
      <c r="H212" s="22" t="s">
        <v>6255</v>
      </c>
      <c r="I212" s="22" t="s">
        <v>415</v>
      </c>
      <c r="J212" s="22" t="s">
        <v>4051</v>
      </c>
      <c r="K212" s="22" t="s">
        <v>6269</v>
      </c>
      <c r="L212" s="20"/>
      <c r="M212" s="20"/>
      <c r="N212" s="20"/>
      <c r="O212" s="20"/>
      <c r="P212" s="20"/>
      <c r="Q212" s="20"/>
      <c r="R212" s="20"/>
      <c r="S212" s="20"/>
      <c r="T212" s="20"/>
      <c r="U212" s="20"/>
      <c r="V212" s="20"/>
      <c r="W212" s="20"/>
      <c r="X212" s="20"/>
      <c r="Y212" s="20"/>
      <c r="Z212" s="20"/>
    </row>
    <row r="213">
      <c r="A213" s="21">
        <v>49.0</v>
      </c>
      <c r="B213" s="42" t="s">
        <v>3616</v>
      </c>
      <c r="C213" s="43" t="s">
        <v>3920</v>
      </c>
      <c r="D213" s="42" t="s">
        <v>1707</v>
      </c>
      <c r="E213" s="22" t="s">
        <v>67</v>
      </c>
      <c r="F213" s="22" t="s">
        <v>6519</v>
      </c>
      <c r="G213" s="22" t="s">
        <v>6255</v>
      </c>
      <c r="H213" s="22" t="s">
        <v>6255</v>
      </c>
      <c r="I213" s="22" t="s">
        <v>415</v>
      </c>
      <c r="J213" s="22" t="s">
        <v>3999</v>
      </c>
      <c r="K213" s="22" t="s">
        <v>6269</v>
      </c>
      <c r="L213" s="20"/>
      <c r="M213" s="20"/>
      <c r="N213" s="20"/>
      <c r="O213" s="20"/>
      <c r="P213" s="20"/>
      <c r="Q213" s="20"/>
      <c r="R213" s="20"/>
      <c r="S213" s="20"/>
      <c r="T213" s="20"/>
      <c r="U213" s="20"/>
      <c r="V213" s="20"/>
      <c r="W213" s="20"/>
      <c r="X213" s="20"/>
      <c r="Y213" s="20"/>
      <c r="Z213" s="20"/>
    </row>
    <row r="214">
      <c r="A214" s="21">
        <v>49.0</v>
      </c>
      <c r="B214" s="42" t="s">
        <v>3616</v>
      </c>
      <c r="C214" s="43" t="s">
        <v>3920</v>
      </c>
      <c r="D214" s="42" t="s">
        <v>2727</v>
      </c>
      <c r="E214" s="22" t="s">
        <v>67</v>
      </c>
      <c r="F214" s="22" t="s">
        <v>6520</v>
      </c>
      <c r="G214" s="22" t="s">
        <v>6255</v>
      </c>
      <c r="H214" s="22" t="s">
        <v>6255</v>
      </c>
      <c r="I214" s="22" t="s">
        <v>415</v>
      </c>
      <c r="J214" s="22" t="s">
        <v>4051</v>
      </c>
      <c r="K214" s="22" t="s">
        <v>6279</v>
      </c>
      <c r="L214" s="20"/>
      <c r="M214" s="20"/>
      <c r="N214" s="20"/>
      <c r="O214" s="20"/>
      <c r="P214" s="20"/>
      <c r="Q214" s="20"/>
      <c r="R214" s="20"/>
      <c r="S214" s="20"/>
      <c r="T214" s="20"/>
      <c r="U214" s="20"/>
      <c r="V214" s="20"/>
      <c r="W214" s="20"/>
      <c r="X214" s="20"/>
      <c r="Y214" s="20"/>
      <c r="Z214" s="20"/>
    </row>
    <row r="215">
      <c r="A215" s="21">
        <v>49.0</v>
      </c>
      <c r="B215" s="42" t="s">
        <v>3616</v>
      </c>
      <c r="C215" s="43" t="s">
        <v>3920</v>
      </c>
      <c r="D215" s="42" t="s">
        <v>3646</v>
      </c>
      <c r="E215" s="22" t="s">
        <v>67</v>
      </c>
      <c r="F215" s="22" t="s">
        <v>6521</v>
      </c>
      <c r="G215" s="22" t="s">
        <v>6255</v>
      </c>
      <c r="H215" s="22" t="s">
        <v>6255</v>
      </c>
      <c r="I215" s="22" t="s">
        <v>415</v>
      </c>
      <c r="J215" s="22" t="s">
        <v>3999</v>
      </c>
      <c r="K215" s="22" t="s">
        <v>6256</v>
      </c>
      <c r="L215" s="20"/>
      <c r="M215" s="20"/>
      <c r="N215" s="20"/>
      <c r="O215" s="20"/>
      <c r="P215" s="20"/>
      <c r="Q215" s="20"/>
      <c r="R215" s="20"/>
      <c r="S215" s="20"/>
      <c r="T215" s="20"/>
      <c r="U215" s="20"/>
      <c r="V215" s="20"/>
      <c r="W215" s="20"/>
      <c r="X215" s="20"/>
      <c r="Y215" s="20"/>
      <c r="Z215" s="20"/>
    </row>
    <row r="216">
      <c r="A216" s="21">
        <v>50.0</v>
      </c>
      <c r="B216" s="42" t="s">
        <v>2895</v>
      </c>
      <c r="C216" s="43" t="s">
        <v>4716</v>
      </c>
      <c r="D216" s="42" t="s">
        <v>4055</v>
      </c>
      <c r="E216" s="22" t="s">
        <v>57</v>
      </c>
      <c r="F216" s="22" t="s">
        <v>6522</v>
      </c>
      <c r="G216" s="22" t="s">
        <v>6255</v>
      </c>
      <c r="H216" s="22" t="s">
        <v>6255</v>
      </c>
      <c r="I216" s="22" t="s">
        <v>415</v>
      </c>
      <c r="J216" s="22" t="s">
        <v>4054</v>
      </c>
      <c r="K216" s="22" t="s">
        <v>6256</v>
      </c>
      <c r="L216" s="20"/>
      <c r="M216" s="20"/>
      <c r="N216" s="20"/>
      <c r="O216" s="20"/>
      <c r="P216" s="20"/>
      <c r="Q216" s="20"/>
      <c r="R216" s="20"/>
      <c r="S216" s="20"/>
      <c r="T216" s="20"/>
      <c r="U216" s="20"/>
      <c r="V216" s="20"/>
      <c r="W216" s="20"/>
      <c r="X216" s="20"/>
      <c r="Y216" s="20"/>
      <c r="Z216" s="20"/>
    </row>
    <row r="217">
      <c r="A217" s="21">
        <v>50.0</v>
      </c>
      <c r="B217" s="42" t="s">
        <v>2895</v>
      </c>
      <c r="C217" s="43" t="s">
        <v>4716</v>
      </c>
      <c r="D217" s="42" t="s">
        <v>5406</v>
      </c>
      <c r="E217" s="22" t="s">
        <v>57</v>
      </c>
      <c r="F217" s="22" t="s">
        <v>6523</v>
      </c>
      <c r="G217" s="22" t="s">
        <v>6255</v>
      </c>
      <c r="H217" s="22" t="s">
        <v>6255</v>
      </c>
      <c r="I217" s="22" t="s">
        <v>415</v>
      </c>
      <c r="J217" s="22" t="s">
        <v>4060</v>
      </c>
      <c r="K217" s="22" t="s">
        <v>6256</v>
      </c>
      <c r="L217" s="20"/>
      <c r="M217" s="20"/>
      <c r="N217" s="20"/>
      <c r="O217" s="20"/>
      <c r="P217" s="20"/>
      <c r="Q217" s="20"/>
      <c r="R217" s="20"/>
      <c r="S217" s="20"/>
      <c r="T217" s="20"/>
      <c r="U217" s="20"/>
      <c r="V217" s="20"/>
      <c r="W217" s="20"/>
      <c r="X217" s="20"/>
      <c r="Y217" s="20"/>
      <c r="Z217" s="20"/>
    </row>
    <row r="218">
      <c r="A218" s="21">
        <v>50.0</v>
      </c>
      <c r="B218" s="42" t="s">
        <v>2895</v>
      </c>
      <c r="C218" s="43" t="s">
        <v>4716</v>
      </c>
      <c r="D218" s="42" t="s">
        <v>2505</v>
      </c>
      <c r="E218" s="22" t="s">
        <v>57</v>
      </c>
      <c r="F218" s="22" t="s">
        <v>6524</v>
      </c>
      <c r="G218" s="22" t="s">
        <v>6255</v>
      </c>
      <c r="H218" s="22" t="s">
        <v>6255</v>
      </c>
      <c r="I218" s="22" t="s">
        <v>415</v>
      </c>
      <c r="J218" s="22" t="s">
        <v>4097</v>
      </c>
      <c r="K218" s="22" t="s">
        <v>6256</v>
      </c>
      <c r="L218" s="20"/>
      <c r="M218" s="20"/>
      <c r="N218" s="20"/>
      <c r="O218" s="20"/>
      <c r="P218" s="20"/>
      <c r="Q218" s="20"/>
      <c r="R218" s="20"/>
      <c r="S218" s="20"/>
      <c r="T218" s="20"/>
      <c r="U218" s="20"/>
      <c r="V218" s="20"/>
      <c r="W218" s="20"/>
      <c r="X218" s="20"/>
      <c r="Y218" s="20"/>
      <c r="Z218" s="20"/>
    </row>
    <row r="219">
      <c r="A219" s="21">
        <v>50.0</v>
      </c>
      <c r="B219" s="42" t="s">
        <v>2895</v>
      </c>
      <c r="C219" s="43" t="s">
        <v>4716</v>
      </c>
      <c r="D219" s="42" t="s">
        <v>4756</v>
      </c>
      <c r="E219" s="22" t="s">
        <v>57</v>
      </c>
      <c r="F219" s="22" t="s">
        <v>6526</v>
      </c>
      <c r="G219" s="22" t="s">
        <v>6255</v>
      </c>
      <c r="H219" s="22" t="s">
        <v>6255</v>
      </c>
      <c r="I219" s="22" t="s">
        <v>415</v>
      </c>
      <c r="J219" s="22" t="s">
        <v>4054</v>
      </c>
      <c r="K219" s="22" t="s">
        <v>6256</v>
      </c>
      <c r="L219" s="20"/>
      <c r="M219" s="20"/>
      <c r="N219" s="20"/>
      <c r="O219" s="20"/>
      <c r="P219" s="20"/>
      <c r="Q219" s="20"/>
      <c r="R219" s="20"/>
      <c r="S219" s="20"/>
      <c r="T219" s="20"/>
      <c r="U219" s="20"/>
      <c r="V219" s="20"/>
      <c r="W219" s="20"/>
      <c r="X219" s="20"/>
      <c r="Y219" s="20"/>
      <c r="Z219" s="20"/>
    </row>
    <row r="220">
      <c r="A220" s="21">
        <v>50.0</v>
      </c>
      <c r="B220" s="42" t="s">
        <v>2895</v>
      </c>
      <c r="C220" s="43" t="s">
        <v>4716</v>
      </c>
      <c r="D220" s="42" t="s">
        <v>107</v>
      </c>
      <c r="E220" s="22" t="s">
        <v>67</v>
      </c>
      <c r="F220" s="22" t="s">
        <v>6527</v>
      </c>
      <c r="G220" s="22" t="s">
        <v>6255</v>
      </c>
      <c r="H220" s="22" t="s">
        <v>6255</v>
      </c>
      <c r="I220" s="22" t="s">
        <v>415</v>
      </c>
      <c r="J220" s="22" t="s">
        <v>4060</v>
      </c>
      <c r="K220" s="22" t="s">
        <v>6528</v>
      </c>
      <c r="L220" s="20"/>
      <c r="M220" s="20"/>
      <c r="N220" s="20"/>
      <c r="O220" s="20"/>
      <c r="P220" s="20"/>
      <c r="Q220" s="20"/>
      <c r="R220" s="20"/>
      <c r="S220" s="20"/>
      <c r="T220" s="20"/>
      <c r="U220" s="20"/>
      <c r="V220" s="20"/>
      <c r="W220" s="20"/>
      <c r="X220" s="20"/>
      <c r="Y220" s="20"/>
      <c r="Z220" s="20"/>
    </row>
    <row r="221">
      <c r="A221" s="21">
        <v>51.0</v>
      </c>
      <c r="B221" s="42" t="s">
        <v>4121</v>
      </c>
      <c r="C221" s="43" t="s">
        <v>4781</v>
      </c>
      <c r="D221" s="42" t="s">
        <v>2741</v>
      </c>
      <c r="E221" s="22" t="s">
        <v>57</v>
      </c>
      <c r="F221" s="22" t="s">
        <v>6529</v>
      </c>
      <c r="G221" s="22" t="s">
        <v>6255</v>
      </c>
      <c r="H221" s="22" t="s">
        <v>6255</v>
      </c>
      <c r="I221" s="22" t="s">
        <v>415</v>
      </c>
      <c r="J221" s="22" t="s">
        <v>4173</v>
      </c>
      <c r="K221" s="22" t="s">
        <v>6256</v>
      </c>
      <c r="L221" s="20"/>
      <c r="M221" s="20"/>
      <c r="N221" s="20"/>
      <c r="O221" s="20"/>
      <c r="P221" s="20"/>
      <c r="Q221" s="20"/>
      <c r="R221" s="20"/>
      <c r="S221" s="20"/>
      <c r="T221" s="20"/>
      <c r="U221" s="20"/>
      <c r="V221" s="20"/>
      <c r="W221" s="20"/>
      <c r="X221" s="20"/>
      <c r="Y221" s="20"/>
      <c r="Z221" s="20"/>
    </row>
    <row r="222">
      <c r="A222" s="21">
        <v>51.0</v>
      </c>
      <c r="B222" s="42" t="s">
        <v>4121</v>
      </c>
      <c r="C222" s="43" t="s">
        <v>4781</v>
      </c>
      <c r="D222" s="42" t="s">
        <v>6530</v>
      </c>
      <c r="E222" s="22" t="s">
        <v>57</v>
      </c>
      <c r="F222" s="22" t="s">
        <v>6531</v>
      </c>
      <c r="G222" s="22" t="s">
        <v>6255</v>
      </c>
      <c r="H222" s="22" t="s">
        <v>6255</v>
      </c>
      <c r="I222" s="22" t="s">
        <v>415</v>
      </c>
      <c r="J222" s="22" t="s">
        <v>4122</v>
      </c>
      <c r="K222" s="22" t="s">
        <v>6256</v>
      </c>
      <c r="L222" s="20"/>
      <c r="M222" s="20"/>
      <c r="N222" s="20"/>
      <c r="O222" s="20"/>
      <c r="P222" s="20"/>
      <c r="Q222" s="20"/>
      <c r="R222" s="20"/>
      <c r="S222" s="20"/>
      <c r="T222" s="20"/>
      <c r="U222" s="20"/>
      <c r="V222" s="20"/>
      <c r="W222" s="20"/>
      <c r="X222" s="20"/>
      <c r="Y222" s="20"/>
      <c r="Z222" s="20"/>
    </row>
    <row r="223">
      <c r="A223" s="21">
        <v>51.0</v>
      </c>
      <c r="B223" s="42" t="s">
        <v>4121</v>
      </c>
      <c r="C223" s="43" t="s">
        <v>4781</v>
      </c>
      <c r="D223" s="42" t="s">
        <v>6532</v>
      </c>
      <c r="E223" s="22" t="s">
        <v>57</v>
      </c>
      <c r="F223" s="22" t="s">
        <v>6533</v>
      </c>
      <c r="G223" s="22" t="s">
        <v>6255</v>
      </c>
      <c r="H223" s="22" t="s">
        <v>6255</v>
      </c>
      <c r="I223" s="22" t="s">
        <v>415</v>
      </c>
      <c r="J223" s="22" t="s">
        <v>4173</v>
      </c>
      <c r="K223" s="22" t="s">
        <v>6256</v>
      </c>
      <c r="L223" s="20"/>
      <c r="M223" s="20"/>
      <c r="N223" s="20"/>
      <c r="O223" s="20"/>
      <c r="P223" s="20"/>
      <c r="Q223" s="20"/>
      <c r="R223" s="20"/>
      <c r="S223" s="20"/>
      <c r="T223" s="20"/>
      <c r="U223" s="20"/>
      <c r="V223" s="20"/>
      <c r="W223" s="20"/>
      <c r="X223" s="20"/>
      <c r="Y223" s="20"/>
      <c r="Z223" s="20"/>
    </row>
    <row r="224">
      <c r="A224" s="21">
        <v>51.0</v>
      </c>
      <c r="B224" s="42" t="s">
        <v>4121</v>
      </c>
      <c r="C224" s="43" t="s">
        <v>4781</v>
      </c>
      <c r="D224" s="42" t="s">
        <v>6534</v>
      </c>
      <c r="E224" s="22" t="s">
        <v>67</v>
      </c>
      <c r="F224" s="22" t="s">
        <v>6535</v>
      </c>
      <c r="G224" s="22" t="s">
        <v>6255</v>
      </c>
      <c r="H224" s="22" t="s">
        <v>6255</v>
      </c>
      <c r="I224" s="22" t="s">
        <v>415</v>
      </c>
      <c r="J224" s="22" t="s">
        <v>4122</v>
      </c>
      <c r="K224" s="22" t="s">
        <v>6256</v>
      </c>
      <c r="L224" s="20"/>
      <c r="M224" s="20"/>
      <c r="N224" s="20"/>
      <c r="O224" s="20"/>
      <c r="P224" s="20"/>
      <c r="Q224" s="20"/>
      <c r="R224" s="20"/>
      <c r="S224" s="20"/>
      <c r="T224" s="20"/>
      <c r="U224" s="20"/>
      <c r="V224" s="20"/>
      <c r="W224" s="20"/>
      <c r="X224" s="20"/>
      <c r="Y224" s="20"/>
      <c r="Z224" s="20"/>
    </row>
    <row r="225">
      <c r="A225" s="21">
        <v>52.0</v>
      </c>
      <c r="B225" s="42" t="s">
        <v>314</v>
      </c>
      <c r="C225" s="43" t="s">
        <v>4825</v>
      </c>
      <c r="D225" s="42" t="s">
        <v>651</v>
      </c>
      <c r="E225" s="22" t="s">
        <v>57</v>
      </c>
      <c r="F225" s="22" t="s">
        <v>6536</v>
      </c>
      <c r="G225" s="22" t="s">
        <v>6255</v>
      </c>
      <c r="H225" s="22" t="s">
        <v>6255</v>
      </c>
      <c r="I225" s="22" t="s">
        <v>415</v>
      </c>
      <c r="J225" s="22" t="s">
        <v>4198</v>
      </c>
      <c r="K225" s="22" t="s">
        <v>6256</v>
      </c>
      <c r="L225" s="20"/>
      <c r="M225" s="20"/>
      <c r="N225" s="20"/>
      <c r="O225" s="20"/>
      <c r="P225" s="20"/>
      <c r="Q225" s="20"/>
      <c r="R225" s="20"/>
      <c r="S225" s="20"/>
      <c r="T225" s="20"/>
      <c r="U225" s="20"/>
      <c r="V225" s="20"/>
      <c r="W225" s="20"/>
      <c r="X225" s="20"/>
      <c r="Y225" s="20"/>
      <c r="Z225" s="20"/>
    </row>
    <row r="226">
      <c r="A226" s="21">
        <v>52.0</v>
      </c>
      <c r="B226" s="42" t="s">
        <v>314</v>
      </c>
      <c r="C226" s="43" t="s">
        <v>4825</v>
      </c>
      <c r="D226" s="42" t="s">
        <v>320</v>
      </c>
      <c r="E226" s="22" t="s">
        <v>57</v>
      </c>
      <c r="F226" s="22" t="s">
        <v>6537</v>
      </c>
      <c r="G226" s="22" t="s">
        <v>6255</v>
      </c>
      <c r="H226" s="22" t="s">
        <v>6255</v>
      </c>
      <c r="I226" s="22" t="s">
        <v>415</v>
      </c>
      <c r="J226" s="22" t="s">
        <v>6538</v>
      </c>
      <c r="K226" s="22" t="s">
        <v>6256</v>
      </c>
      <c r="L226" s="20"/>
      <c r="M226" s="20"/>
      <c r="N226" s="20"/>
      <c r="O226" s="20"/>
      <c r="P226" s="20"/>
      <c r="Q226" s="20"/>
      <c r="R226" s="20"/>
      <c r="S226" s="20"/>
      <c r="T226" s="20"/>
      <c r="U226" s="20"/>
      <c r="V226" s="20"/>
      <c r="W226" s="20"/>
      <c r="X226" s="20"/>
      <c r="Y226" s="20"/>
      <c r="Z226" s="20"/>
    </row>
    <row r="227">
      <c r="A227" s="21">
        <v>52.0</v>
      </c>
      <c r="B227" s="42" t="s">
        <v>314</v>
      </c>
      <c r="C227" s="43" t="s">
        <v>4825</v>
      </c>
      <c r="D227" s="42" t="s">
        <v>705</v>
      </c>
      <c r="E227" s="22" t="s">
        <v>57</v>
      </c>
      <c r="F227" s="22" t="s">
        <v>6539</v>
      </c>
      <c r="G227" s="22" t="s">
        <v>6255</v>
      </c>
      <c r="H227" s="22" t="s">
        <v>6255</v>
      </c>
      <c r="I227" s="22" t="s">
        <v>415</v>
      </c>
      <c r="J227" s="22" t="s">
        <v>4183</v>
      </c>
      <c r="K227" s="22" t="s">
        <v>6256</v>
      </c>
      <c r="L227" s="20"/>
      <c r="M227" s="20"/>
      <c r="N227" s="20"/>
      <c r="O227" s="20"/>
      <c r="P227" s="20"/>
      <c r="Q227" s="20"/>
      <c r="R227" s="20"/>
      <c r="S227" s="20"/>
      <c r="T227" s="20"/>
      <c r="U227" s="20"/>
      <c r="V227" s="20"/>
      <c r="W227" s="20"/>
      <c r="X227" s="20"/>
      <c r="Y227" s="20"/>
      <c r="Z227" s="20"/>
    </row>
    <row r="228">
      <c r="A228" s="21">
        <v>52.0</v>
      </c>
      <c r="B228" s="42" t="s">
        <v>314</v>
      </c>
      <c r="C228" s="43" t="s">
        <v>4825</v>
      </c>
      <c r="D228" s="42" t="s">
        <v>535</v>
      </c>
      <c r="E228" s="22" t="s">
        <v>57</v>
      </c>
      <c r="F228" s="22" t="s">
        <v>6540</v>
      </c>
      <c r="G228" s="22" t="s">
        <v>6255</v>
      </c>
      <c r="H228" s="22" t="s">
        <v>6255</v>
      </c>
      <c r="I228" s="22" t="s">
        <v>415</v>
      </c>
      <c r="J228" s="22" t="s">
        <v>6541</v>
      </c>
      <c r="K228" s="22" t="s">
        <v>6256</v>
      </c>
      <c r="L228" s="20"/>
      <c r="M228" s="20"/>
      <c r="N228" s="20"/>
      <c r="O228" s="20"/>
      <c r="P228" s="20"/>
      <c r="Q228" s="20"/>
      <c r="R228" s="20"/>
      <c r="S228" s="20"/>
      <c r="T228" s="20"/>
      <c r="U228" s="20"/>
      <c r="V228" s="20"/>
      <c r="W228" s="20"/>
      <c r="X228" s="20"/>
      <c r="Y228" s="20"/>
      <c r="Z228" s="20"/>
    </row>
    <row r="229">
      <c r="A229" s="21">
        <v>52.0</v>
      </c>
      <c r="B229" s="42" t="s">
        <v>314</v>
      </c>
      <c r="C229" s="43" t="s">
        <v>4825</v>
      </c>
      <c r="D229" s="42" t="s">
        <v>658</v>
      </c>
      <c r="E229" s="22" t="s">
        <v>67</v>
      </c>
      <c r="F229" s="22" t="s">
        <v>6542</v>
      </c>
      <c r="G229" s="22" t="s">
        <v>6255</v>
      </c>
      <c r="H229" s="22" t="s">
        <v>6255</v>
      </c>
      <c r="I229" s="22" t="s">
        <v>415</v>
      </c>
      <c r="J229" s="22" t="s">
        <v>4198</v>
      </c>
      <c r="K229" s="22" t="s">
        <v>6308</v>
      </c>
      <c r="L229" s="20"/>
      <c r="M229" s="20"/>
      <c r="N229" s="20"/>
      <c r="O229" s="20"/>
      <c r="P229" s="20"/>
      <c r="Q229" s="20"/>
      <c r="R229" s="20"/>
      <c r="S229" s="20"/>
      <c r="T229" s="20"/>
      <c r="U229" s="20"/>
      <c r="V229" s="20"/>
      <c r="W229" s="20"/>
      <c r="X229" s="20"/>
      <c r="Y229" s="20"/>
      <c r="Z229" s="20"/>
    </row>
    <row r="230">
      <c r="A230" s="21">
        <v>53.0</v>
      </c>
      <c r="B230" s="42" t="s">
        <v>4257</v>
      </c>
      <c r="C230" s="43" t="s">
        <v>4825</v>
      </c>
      <c r="D230" s="42" t="s">
        <v>4259</v>
      </c>
      <c r="E230" s="22" t="s">
        <v>57</v>
      </c>
      <c r="F230" s="22" t="s">
        <v>6543</v>
      </c>
      <c r="G230" s="22" t="s">
        <v>6255</v>
      </c>
      <c r="H230" s="22" t="s">
        <v>6255</v>
      </c>
      <c r="I230" s="22" t="s">
        <v>415</v>
      </c>
      <c r="J230" s="22" t="s">
        <v>4263</v>
      </c>
      <c r="K230" s="22" t="s">
        <v>6256</v>
      </c>
      <c r="L230" s="20"/>
      <c r="M230" s="20"/>
      <c r="N230" s="20"/>
      <c r="O230" s="20"/>
      <c r="P230" s="20"/>
      <c r="Q230" s="20"/>
      <c r="R230" s="20"/>
      <c r="S230" s="20"/>
      <c r="T230" s="20"/>
      <c r="U230" s="20"/>
      <c r="V230" s="20"/>
      <c r="W230" s="20"/>
      <c r="X230" s="20"/>
      <c r="Y230" s="20"/>
      <c r="Z230" s="20"/>
    </row>
    <row r="231">
      <c r="A231" s="21">
        <v>53.0</v>
      </c>
      <c r="B231" s="42" t="s">
        <v>4257</v>
      </c>
      <c r="C231" s="43" t="s">
        <v>4825</v>
      </c>
      <c r="D231" s="42" t="s">
        <v>360</v>
      </c>
      <c r="E231" s="22" t="s">
        <v>57</v>
      </c>
      <c r="F231" s="22" t="s">
        <v>6544</v>
      </c>
      <c r="G231" s="22" t="s">
        <v>6255</v>
      </c>
      <c r="H231" s="22" t="s">
        <v>6255</v>
      </c>
      <c r="I231" s="22" t="s">
        <v>415</v>
      </c>
      <c r="J231" s="22" t="s">
        <v>4258</v>
      </c>
      <c r="K231" s="22" t="s">
        <v>6308</v>
      </c>
      <c r="L231" s="20"/>
      <c r="M231" s="20"/>
      <c r="N231" s="20"/>
      <c r="O231" s="20"/>
      <c r="P231" s="20"/>
      <c r="Q231" s="20"/>
      <c r="R231" s="20"/>
      <c r="S231" s="20"/>
      <c r="T231" s="20"/>
      <c r="U231" s="20"/>
      <c r="V231" s="20"/>
      <c r="W231" s="20"/>
      <c r="X231" s="20"/>
      <c r="Y231" s="20"/>
      <c r="Z231" s="20"/>
    </row>
    <row r="232">
      <c r="A232" s="21">
        <v>53.0</v>
      </c>
      <c r="B232" s="42" t="s">
        <v>4257</v>
      </c>
      <c r="C232" s="43" t="s">
        <v>4825</v>
      </c>
      <c r="D232" s="42" t="s">
        <v>706</v>
      </c>
      <c r="E232" s="22" t="s">
        <v>67</v>
      </c>
      <c r="F232" s="22" t="s">
        <v>6545</v>
      </c>
      <c r="G232" s="22" t="s">
        <v>6255</v>
      </c>
      <c r="H232" s="22" t="s">
        <v>6255</v>
      </c>
      <c r="I232" s="22" t="s">
        <v>415</v>
      </c>
      <c r="J232" s="22" t="s">
        <v>4263</v>
      </c>
      <c r="K232" s="22" t="s">
        <v>6256</v>
      </c>
      <c r="L232" s="20"/>
      <c r="M232" s="20"/>
      <c r="N232" s="20"/>
      <c r="O232" s="20"/>
      <c r="P232" s="20"/>
      <c r="Q232" s="20"/>
      <c r="R232" s="20"/>
      <c r="S232" s="20"/>
      <c r="T232" s="20"/>
      <c r="U232" s="20"/>
      <c r="V232" s="20"/>
      <c r="W232" s="20"/>
      <c r="X232" s="20"/>
      <c r="Y232" s="20"/>
      <c r="Z232" s="20"/>
    </row>
    <row r="233">
      <c r="A233" s="21">
        <v>54.0</v>
      </c>
      <c r="B233" s="42" t="s">
        <v>2236</v>
      </c>
      <c r="C233" s="43" t="s">
        <v>4825</v>
      </c>
      <c r="D233" s="42" t="s">
        <v>451</v>
      </c>
      <c r="E233" s="22" t="s">
        <v>57</v>
      </c>
      <c r="F233" s="22" t="s">
        <v>6546</v>
      </c>
      <c r="G233" s="22" t="s">
        <v>6255</v>
      </c>
      <c r="H233" s="22" t="s">
        <v>6255</v>
      </c>
      <c r="I233" s="22" t="s">
        <v>415</v>
      </c>
      <c r="J233" s="22" t="s">
        <v>4324</v>
      </c>
      <c r="K233" s="22" t="s">
        <v>6256</v>
      </c>
      <c r="L233" s="20"/>
      <c r="M233" s="20"/>
      <c r="N233" s="20"/>
      <c r="O233" s="20"/>
      <c r="P233" s="20"/>
      <c r="Q233" s="20"/>
      <c r="R233" s="20"/>
      <c r="S233" s="20"/>
      <c r="T233" s="20"/>
      <c r="U233" s="20"/>
      <c r="V233" s="20"/>
      <c r="W233" s="20"/>
      <c r="X233" s="20"/>
      <c r="Y233" s="20"/>
      <c r="Z233" s="20"/>
    </row>
    <row r="234">
      <c r="A234" s="21">
        <v>54.0</v>
      </c>
      <c r="B234" s="42" t="s">
        <v>2236</v>
      </c>
      <c r="C234" s="43" t="s">
        <v>4825</v>
      </c>
      <c r="D234" s="42" t="s">
        <v>2359</v>
      </c>
      <c r="E234" s="22" t="s">
        <v>57</v>
      </c>
      <c r="F234" s="22" t="s">
        <v>6547</v>
      </c>
      <c r="G234" s="22" t="s">
        <v>6255</v>
      </c>
      <c r="H234" s="22" t="s">
        <v>6255</v>
      </c>
      <c r="I234" s="22" t="s">
        <v>415</v>
      </c>
      <c r="J234" s="22" t="s">
        <v>4321</v>
      </c>
      <c r="K234" s="22" t="s">
        <v>6256</v>
      </c>
      <c r="L234" s="20"/>
      <c r="M234" s="20"/>
      <c r="N234" s="20"/>
      <c r="O234" s="20"/>
      <c r="P234" s="20"/>
      <c r="Q234" s="20"/>
      <c r="R234" s="20"/>
      <c r="S234" s="20"/>
      <c r="T234" s="20"/>
      <c r="U234" s="20"/>
      <c r="V234" s="20"/>
      <c r="W234" s="20"/>
      <c r="X234" s="20"/>
      <c r="Y234" s="20"/>
      <c r="Z234" s="20"/>
    </row>
    <row r="235">
      <c r="A235" s="21">
        <v>54.0</v>
      </c>
      <c r="B235" s="42" t="s">
        <v>2236</v>
      </c>
      <c r="C235" s="43" t="s">
        <v>4825</v>
      </c>
      <c r="D235" s="42" t="s">
        <v>1423</v>
      </c>
      <c r="E235" s="22" t="s">
        <v>57</v>
      </c>
      <c r="F235" s="22" t="s">
        <v>6548</v>
      </c>
      <c r="G235" s="22" t="s">
        <v>6255</v>
      </c>
      <c r="H235" s="22" t="s">
        <v>6255</v>
      </c>
      <c r="I235" s="22" t="s">
        <v>415</v>
      </c>
      <c r="J235" s="22" t="s">
        <v>4324</v>
      </c>
      <c r="K235" s="22" t="s">
        <v>6256</v>
      </c>
      <c r="L235" s="20"/>
      <c r="M235" s="20"/>
      <c r="N235" s="20"/>
      <c r="O235" s="20"/>
      <c r="P235" s="20"/>
      <c r="Q235" s="20"/>
      <c r="R235" s="20"/>
      <c r="S235" s="20"/>
      <c r="T235" s="20"/>
      <c r="U235" s="20"/>
      <c r="V235" s="20"/>
      <c r="W235" s="20"/>
      <c r="X235" s="20"/>
      <c r="Y235" s="20"/>
      <c r="Z235" s="20"/>
    </row>
    <row r="236">
      <c r="A236" s="21">
        <v>54.0</v>
      </c>
      <c r="B236" s="42" t="s">
        <v>2236</v>
      </c>
      <c r="C236" s="43" t="s">
        <v>4825</v>
      </c>
      <c r="D236" s="42" t="s">
        <v>2332</v>
      </c>
      <c r="E236" s="22" t="s">
        <v>57</v>
      </c>
      <c r="F236" s="22" t="s">
        <v>6549</v>
      </c>
      <c r="G236" s="22" t="s">
        <v>6255</v>
      </c>
      <c r="H236" s="22" t="s">
        <v>6255</v>
      </c>
      <c r="I236" s="22" t="s">
        <v>415</v>
      </c>
      <c r="J236" s="22" t="s">
        <v>4321</v>
      </c>
      <c r="K236" s="22" t="s">
        <v>6256</v>
      </c>
      <c r="L236" s="20"/>
      <c r="M236" s="20"/>
      <c r="N236" s="20"/>
      <c r="O236" s="20"/>
      <c r="P236" s="20"/>
      <c r="Q236" s="20"/>
      <c r="R236" s="20"/>
      <c r="S236" s="20"/>
      <c r="T236" s="20"/>
      <c r="U236" s="20"/>
      <c r="V236" s="20"/>
      <c r="W236" s="20"/>
      <c r="X236" s="20"/>
      <c r="Y236" s="20"/>
      <c r="Z236" s="20"/>
    </row>
    <row r="237">
      <c r="A237" s="21">
        <v>54.0</v>
      </c>
      <c r="B237" s="42" t="s">
        <v>2236</v>
      </c>
      <c r="C237" s="43" t="s">
        <v>4825</v>
      </c>
      <c r="D237" s="42" t="s">
        <v>1428</v>
      </c>
      <c r="E237" s="22" t="s">
        <v>67</v>
      </c>
      <c r="F237" s="22" t="s">
        <v>6550</v>
      </c>
      <c r="G237" s="22" t="s">
        <v>6255</v>
      </c>
      <c r="H237" s="22" t="s">
        <v>6255</v>
      </c>
      <c r="I237" s="22" t="s">
        <v>415</v>
      </c>
      <c r="J237" s="22" t="s">
        <v>4324</v>
      </c>
      <c r="K237" s="22" t="s">
        <v>6256</v>
      </c>
      <c r="L237" s="20"/>
      <c r="M237" s="20"/>
      <c r="N237" s="20"/>
      <c r="O237" s="20"/>
      <c r="P237" s="20"/>
      <c r="Q237" s="20"/>
      <c r="R237" s="20"/>
      <c r="S237" s="20"/>
      <c r="T237" s="20"/>
      <c r="U237" s="20"/>
      <c r="V237" s="20"/>
      <c r="W237" s="20"/>
      <c r="X237" s="20"/>
      <c r="Y237" s="20"/>
      <c r="Z237" s="20"/>
    </row>
    <row r="238">
      <c r="A238" s="21">
        <v>55.0</v>
      </c>
      <c r="B238" s="42" t="s">
        <v>1643</v>
      </c>
      <c r="C238" s="43" t="s">
        <v>4825</v>
      </c>
      <c r="D238" s="42" t="s">
        <v>1351</v>
      </c>
      <c r="E238" s="22" t="s">
        <v>57</v>
      </c>
      <c r="F238" s="22" t="s">
        <v>6551</v>
      </c>
      <c r="G238" s="22" t="s">
        <v>6255</v>
      </c>
      <c r="H238" s="22" t="s">
        <v>6255</v>
      </c>
      <c r="I238" s="22" t="s">
        <v>415</v>
      </c>
      <c r="J238" s="22" t="s">
        <v>4373</v>
      </c>
      <c r="K238" s="22" t="s">
        <v>6256</v>
      </c>
      <c r="L238" s="20"/>
      <c r="M238" s="20"/>
      <c r="N238" s="20"/>
      <c r="O238" s="20"/>
      <c r="P238" s="20"/>
      <c r="Q238" s="20"/>
      <c r="R238" s="20"/>
      <c r="S238" s="20"/>
      <c r="T238" s="20"/>
      <c r="U238" s="20"/>
      <c r="V238" s="20"/>
      <c r="W238" s="20"/>
      <c r="X238" s="20"/>
      <c r="Y238" s="20"/>
      <c r="Z238" s="20"/>
    </row>
    <row r="239">
      <c r="A239" s="21">
        <v>55.0</v>
      </c>
      <c r="B239" s="42" t="s">
        <v>1643</v>
      </c>
      <c r="C239" s="43" t="s">
        <v>4825</v>
      </c>
      <c r="D239" s="42" t="s">
        <v>727</v>
      </c>
      <c r="E239" s="22" t="s">
        <v>57</v>
      </c>
      <c r="F239" s="22" t="s">
        <v>6552</v>
      </c>
      <c r="G239" s="22" t="s">
        <v>6255</v>
      </c>
      <c r="H239" s="22" t="s">
        <v>6255</v>
      </c>
      <c r="I239" s="22" t="s">
        <v>415</v>
      </c>
      <c r="J239" s="22" t="s">
        <v>4386</v>
      </c>
      <c r="K239" s="22" t="s">
        <v>6256</v>
      </c>
      <c r="L239" s="20"/>
      <c r="M239" s="20"/>
      <c r="N239" s="20"/>
      <c r="O239" s="20"/>
      <c r="P239" s="20"/>
      <c r="Q239" s="20"/>
      <c r="R239" s="20"/>
      <c r="S239" s="20"/>
      <c r="T239" s="20"/>
      <c r="U239" s="20"/>
      <c r="V239" s="20"/>
      <c r="W239" s="20"/>
      <c r="X239" s="20"/>
      <c r="Y239" s="20"/>
      <c r="Z239" s="20"/>
    </row>
    <row r="240">
      <c r="A240" s="21">
        <v>55.0</v>
      </c>
      <c r="B240" s="42" t="s">
        <v>1643</v>
      </c>
      <c r="C240" s="43" t="s">
        <v>4825</v>
      </c>
      <c r="D240" s="42" t="s">
        <v>724</v>
      </c>
      <c r="E240" s="22" t="s">
        <v>57</v>
      </c>
      <c r="F240" s="22" t="s">
        <v>6553</v>
      </c>
      <c r="G240" s="22" t="s">
        <v>6255</v>
      </c>
      <c r="H240" s="22" t="s">
        <v>6255</v>
      </c>
      <c r="I240" s="22" t="s">
        <v>415</v>
      </c>
      <c r="J240" s="22" t="s">
        <v>4377</v>
      </c>
      <c r="K240" s="22" t="s">
        <v>6256</v>
      </c>
      <c r="L240" s="20"/>
      <c r="M240" s="20"/>
      <c r="N240" s="20"/>
      <c r="O240" s="20"/>
      <c r="P240" s="20"/>
      <c r="Q240" s="20"/>
      <c r="R240" s="20"/>
      <c r="S240" s="20"/>
      <c r="T240" s="20"/>
      <c r="U240" s="20"/>
      <c r="V240" s="20"/>
      <c r="W240" s="20"/>
      <c r="X240" s="20"/>
      <c r="Y240" s="20"/>
      <c r="Z240" s="20"/>
    </row>
    <row r="241">
      <c r="A241" s="21">
        <v>55.0</v>
      </c>
      <c r="B241" s="42" t="s">
        <v>1643</v>
      </c>
      <c r="C241" s="43" t="s">
        <v>4825</v>
      </c>
      <c r="D241" s="42" t="s">
        <v>283</v>
      </c>
      <c r="E241" s="22" t="s">
        <v>67</v>
      </c>
      <c r="F241" s="22" t="s">
        <v>6554</v>
      </c>
      <c r="G241" s="22" t="s">
        <v>6255</v>
      </c>
      <c r="H241" s="22" t="s">
        <v>6255</v>
      </c>
      <c r="I241" s="22" t="s">
        <v>415</v>
      </c>
      <c r="J241" s="22" t="s">
        <v>4373</v>
      </c>
      <c r="K241" s="22" t="s">
        <v>6279</v>
      </c>
      <c r="L241" s="20"/>
      <c r="M241" s="20"/>
      <c r="N241" s="20"/>
      <c r="O241" s="20"/>
      <c r="P241" s="20"/>
      <c r="Q241" s="20"/>
      <c r="R241" s="20"/>
      <c r="S241" s="20"/>
      <c r="T241" s="20"/>
      <c r="U241" s="20"/>
      <c r="V241" s="20"/>
      <c r="W241" s="20"/>
      <c r="X241" s="20"/>
      <c r="Y241" s="20"/>
      <c r="Z241" s="20"/>
    </row>
    <row r="242">
      <c r="A242" s="21">
        <v>55.0</v>
      </c>
      <c r="B242" s="42" t="s">
        <v>1643</v>
      </c>
      <c r="C242" s="43" t="s">
        <v>4825</v>
      </c>
      <c r="D242" s="42" t="s">
        <v>289</v>
      </c>
      <c r="E242" s="22" t="s">
        <v>67</v>
      </c>
      <c r="F242" s="22" t="s">
        <v>6555</v>
      </c>
      <c r="G242" s="22" t="s">
        <v>6255</v>
      </c>
      <c r="H242" s="22" t="s">
        <v>6255</v>
      </c>
      <c r="I242" s="22" t="s">
        <v>415</v>
      </c>
      <c r="J242" s="22" t="s">
        <v>4386</v>
      </c>
      <c r="K242" s="22" t="s">
        <v>6256</v>
      </c>
      <c r="L242" s="20"/>
      <c r="M242" s="20"/>
      <c r="N242" s="20"/>
      <c r="O242" s="20"/>
      <c r="P242" s="20"/>
      <c r="Q242" s="20"/>
      <c r="R242" s="20"/>
      <c r="S242" s="20"/>
      <c r="T242" s="20"/>
      <c r="U242" s="20"/>
      <c r="V242" s="20"/>
      <c r="W242" s="20"/>
      <c r="X242" s="20"/>
      <c r="Y242" s="20"/>
      <c r="Z242" s="20"/>
    </row>
    <row r="243">
      <c r="A243" s="21">
        <v>56.0</v>
      </c>
      <c r="B243" s="42" t="s">
        <v>738</v>
      </c>
      <c r="C243" s="43" t="s">
        <v>4825</v>
      </c>
      <c r="D243" s="42" t="s">
        <v>367</v>
      </c>
      <c r="E243" s="22" t="s">
        <v>57</v>
      </c>
      <c r="F243" s="22" t="s">
        <v>6556</v>
      </c>
      <c r="G243" s="22" t="s">
        <v>6255</v>
      </c>
      <c r="H243" s="22" t="s">
        <v>6255</v>
      </c>
      <c r="I243" s="22" t="s">
        <v>415</v>
      </c>
      <c r="J243" s="22" t="s">
        <v>4436</v>
      </c>
      <c r="K243" s="22" t="s">
        <v>6279</v>
      </c>
      <c r="L243" s="20"/>
      <c r="M243" s="20"/>
      <c r="N243" s="20"/>
      <c r="O243" s="20"/>
      <c r="P243" s="20"/>
      <c r="Q243" s="20"/>
      <c r="R243" s="20"/>
      <c r="S243" s="20"/>
      <c r="T243" s="20"/>
      <c r="U243" s="20"/>
      <c r="V243" s="20"/>
      <c r="W243" s="20"/>
      <c r="X243" s="20"/>
      <c r="Y243" s="20"/>
      <c r="Z243" s="20"/>
    </row>
    <row r="244">
      <c r="A244" s="21">
        <v>56.0</v>
      </c>
      <c r="B244" s="42" t="s">
        <v>738</v>
      </c>
      <c r="C244" s="43" t="s">
        <v>4825</v>
      </c>
      <c r="D244" s="42" t="s">
        <v>544</v>
      </c>
      <c r="E244" s="22" t="s">
        <v>57</v>
      </c>
      <c r="F244" s="22" t="s">
        <v>6557</v>
      </c>
      <c r="G244" s="22" t="s">
        <v>6255</v>
      </c>
      <c r="H244" s="22" t="s">
        <v>6255</v>
      </c>
      <c r="I244" s="22" t="s">
        <v>415</v>
      </c>
      <c r="J244" s="22" t="s">
        <v>4418</v>
      </c>
      <c r="K244" s="22" t="s">
        <v>6256</v>
      </c>
      <c r="L244" s="20"/>
      <c r="M244" s="20"/>
      <c r="N244" s="20"/>
      <c r="O244" s="20"/>
      <c r="P244" s="20"/>
      <c r="Q244" s="20"/>
      <c r="R244" s="20"/>
      <c r="S244" s="20"/>
      <c r="T244" s="20"/>
      <c r="U244" s="20"/>
      <c r="V244" s="20"/>
      <c r="W244" s="20"/>
      <c r="X244" s="20"/>
      <c r="Y244" s="20"/>
      <c r="Z244" s="20"/>
    </row>
    <row r="245">
      <c r="A245" s="21">
        <v>56.0</v>
      </c>
      <c r="B245" s="42" t="s">
        <v>738</v>
      </c>
      <c r="C245" s="43" t="s">
        <v>4825</v>
      </c>
      <c r="D245" s="42" t="s">
        <v>265</v>
      </c>
      <c r="E245" s="22" t="s">
        <v>57</v>
      </c>
      <c r="F245" s="22" t="s">
        <v>6558</v>
      </c>
      <c r="G245" s="22" t="s">
        <v>6255</v>
      </c>
      <c r="H245" s="22" t="s">
        <v>6255</v>
      </c>
      <c r="I245" s="22" t="s">
        <v>415</v>
      </c>
      <c r="J245" s="22" t="s">
        <v>4436</v>
      </c>
      <c r="K245" s="22" t="s">
        <v>6279</v>
      </c>
      <c r="L245" s="20"/>
      <c r="M245" s="20"/>
      <c r="N245" s="20"/>
      <c r="O245" s="20"/>
      <c r="P245" s="20"/>
      <c r="Q245" s="20"/>
      <c r="R245" s="20"/>
      <c r="S245" s="20"/>
      <c r="T245" s="20"/>
      <c r="U245" s="20"/>
      <c r="V245" s="20"/>
      <c r="W245" s="20"/>
      <c r="X245" s="20"/>
      <c r="Y245" s="20"/>
      <c r="Z245" s="20"/>
    </row>
    <row r="246">
      <c r="A246" s="21">
        <v>56.0</v>
      </c>
      <c r="B246" s="42" t="s">
        <v>738</v>
      </c>
      <c r="C246" s="43" t="s">
        <v>4825</v>
      </c>
      <c r="D246" s="42" t="s">
        <v>735</v>
      </c>
      <c r="E246" s="22" t="s">
        <v>67</v>
      </c>
      <c r="F246" s="22" t="s">
        <v>6559</v>
      </c>
      <c r="G246" s="22" t="s">
        <v>6255</v>
      </c>
      <c r="H246" s="22" t="s">
        <v>6255</v>
      </c>
      <c r="I246" s="22" t="s">
        <v>415</v>
      </c>
      <c r="J246" s="22" t="s">
        <v>4418</v>
      </c>
      <c r="K246" s="22" t="s">
        <v>6256</v>
      </c>
      <c r="L246" s="20"/>
      <c r="M246" s="20"/>
      <c r="N246" s="20"/>
      <c r="O246" s="20"/>
      <c r="P246" s="20"/>
      <c r="Q246" s="20"/>
      <c r="R246" s="20"/>
      <c r="S246" s="20"/>
      <c r="T246" s="20"/>
      <c r="U246" s="20"/>
      <c r="V246" s="20"/>
      <c r="W246" s="20"/>
      <c r="X246" s="20"/>
      <c r="Y246" s="20"/>
      <c r="Z246" s="20"/>
    </row>
    <row r="247">
      <c r="A247" s="21">
        <v>56.0</v>
      </c>
      <c r="B247" s="42" t="s">
        <v>738</v>
      </c>
      <c r="C247" s="43" t="s">
        <v>4825</v>
      </c>
      <c r="D247" s="42" t="s">
        <v>283</v>
      </c>
      <c r="E247" s="22" t="s">
        <v>67</v>
      </c>
      <c r="F247" s="22" t="s">
        <v>6560</v>
      </c>
      <c r="G247" s="22" t="s">
        <v>6255</v>
      </c>
      <c r="H247" s="22" t="s">
        <v>6255</v>
      </c>
      <c r="I247" s="22" t="s">
        <v>415</v>
      </c>
      <c r="J247" s="22" t="s">
        <v>4436</v>
      </c>
      <c r="K247" s="22" t="s">
        <v>6279</v>
      </c>
      <c r="L247" s="20"/>
      <c r="M247" s="20"/>
      <c r="N247" s="20"/>
      <c r="O247" s="20"/>
      <c r="P247" s="20"/>
      <c r="Q247" s="20"/>
      <c r="R247" s="20"/>
      <c r="S247" s="20"/>
      <c r="T247" s="20"/>
      <c r="U247" s="20"/>
      <c r="V247" s="20"/>
      <c r="W247" s="20"/>
      <c r="X247" s="20"/>
      <c r="Y247" s="20"/>
      <c r="Z247" s="20"/>
    </row>
    <row r="248">
      <c r="A248" s="21">
        <v>57.0</v>
      </c>
      <c r="B248" s="42" t="s">
        <v>94</v>
      </c>
      <c r="C248" s="43" t="s">
        <v>5061</v>
      </c>
      <c r="D248" s="42" t="s">
        <v>2545</v>
      </c>
      <c r="E248" s="22" t="s">
        <v>57</v>
      </c>
      <c r="F248" s="22" t="s">
        <v>6561</v>
      </c>
      <c r="G248" s="22" t="s">
        <v>6255</v>
      </c>
      <c r="H248" s="22" t="s">
        <v>6255</v>
      </c>
      <c r="I248" s="22" t="s">
        <v>415</v>
      </c>
      <c r="J248" s="22" t="s">
        <v>6427</v>
      </c>
      <c r="K248" s="22" t="s">
        <v>6256</v>
      </c>
      <c r="L248" s="20"/>
      <c r="M248" s="20"/>
      <c r="N248" s="20"/>
      <c r="O248" s="20"/>
      <c r="P248" s="20"/>
      <c r="Q248" s="20"/>
      <c r="R248" s="20"/>
      <c r="S248" s="20"/>
      <c r="T248" s="20"/>
      <c r="U248" s="20"/>
      <c r="V248" s="20"/>
      <c r="W248" s="20"/>
      <c r="X248" s="20"/>
      <c r="Y248" s="20"/>
      <c r="Z248" s="20"/>
    </row>
    <row r="249">
      <c r="A249" s="21">
        <v>57.0</v>
      </c>
      <c r="B249" s="42" t="s">
        <v>94</v>
      </c>
      <c r="C249" s="43" t="s">
        <v>5061</v>
      </c>
      <c r="D249" s="42" t="s">
        <v>4449</v>
      </c>
      <c r="E249" s="22" t="s">
        <v>57</v>
      </c>
      <c r="F249" s="22" t="s">
        <v>6562</v>
      </c>
      <c r="G249" s="22" t="s">
        <v>6255</v>
      </c>
      <c r="H249" s="22" t="s">
        <v>6255</v>
      </c>
      <c r="I249" s="22" t="s">
        <v>415</v>
      </c>
      <c r="J249" s="22" t="s">
        <v>4448</v>
      </c>
      <c r="K249" s="22" t="s">
        <v>6256</v>
      </c>
      <c r="L249" s="20"/>
      <c r="M249" s="20"/>
      <c r="N249" s="20"/>
      <c r="O249" s="20"/>
      <c r="P249" s="20"/>
      <c r="Q249" s="20"/>
      <c r="R249" s="20"/>
      <c r="S249" s="20"/>
      <c r="T249" s="20"/>
      <c r="U249" s="20"/>
      <c r="V249" s="20"/>
      <c r="W249" s="20"/>
      <c r="X249" s="20"/>
      <c r="Y249" s="20"/>
      <c r="Z249" s="20"/>
    </row>
    <row r="250">
      <c r="A250" s="21">
        <v>57.0</v>
      </c>
      <c r="B250" s="42" t="s">
        <v>94</v>
      </c>
      <c r="C250" s="43" t="s">
        <v>5061</v>
      </c>
      <c r="D250" s="42" t="s">
        <v>4445</v>
      </c>
      <c r="E250" s="22" t="s">
        <v>57</v>
      </c>
      <c r="F250" s="22" t="s">
        <v>6563</v>
      </c>
      <c r="G250" s="22" t="s">
        <v>6255</v>
      </c>
      <c r="H250" s="22" t="s">
        <v>6255</v>
      </c>
      <c r="I250" s="22" t="s">
        <v>415</v>
      </c>
      <c r="J250" s="22" t="s">
        <v>6564</v>
      </c>
      <c r="K250" s="22" t="s">
        <v>6256</v>
      </c>
      <c r="L250" s="20"/>
      <c r="M250" s="20"/>
      <c r="N250" s="20"/>
      <c r="O250" s="20"/>
      <c r="P250" s="20"/>
      <c r="Q250" s="20"/>
      <c r="R250" s="20"/>
      <c r="S250" s="20"/>
      <c r="T250" s="20"/>
      <c r="U250" s="20"/>
      <c r="V250" s="20"/>
      <c r="W250" s="20"/>
      <c r="X250" s="20"/>
      <c r="Y250" s="20"/>
      <c r="Z250" s="20"/>
    </row>
    <row r="251">
      <c r="A251" s="21">
        <v>57.0</v>
      </c>
      <c r="B251" s="42" t="s">
        <v>94</v>
      </c>
      <c r="C251" s="43" t="s">
        <v>5061</v>
      </c>
      <c r="D251" s="42" t="s">
        <v>4452</v>
      </c>
      <c r="E251" s="22" t="s">
        <v>57</v>
      </c>
      <c r="F251" s="22" t="s">
        <v>6565</v>
      </c>
      <c r="G251" s="22" t="s">
        <v>6255</v>
      </c>
      <c r="H251" s="22" t="s">
        <v>6255</v>
      </c>
      <c r="I251" s="22" t="s">
        <v>415</v>
      </c>
      <c r="J251" s="22" t="s">
        <v>6566</v>
      </c>
      <c r="K251" s="22" t="s">
        <v>6256</v>
      </c>
      <c r="L251" s="20"/>
      <c r="M251" s="20"/>
      <c r="N251" s="20"/>
      <c r="O251" s="20"/>
      <c r="P251" s="20"/>
      <c r="Q251" s="20"/>
      <c r="R251" s="20"/>
      <c r="S251" s="20"/>
      <c r="T251" s="20"/>
      <c r="U251" s="20"/>
      <c r="V251" s="20"/>
      <c r="W251" s="20"/>
      <c r="X251" s="20"/>
      <c r="Y251" s="20"/>
      <c r="Z251" s="20"/>
    </row>
    <row r="252">
      <c r="A252" s="21">
        <v>57.0</v>
      </c>
      <c r="B252" s="42" t="s">
        <v>94</v>
      </c>
      <c r="C252" s="43" t="s">
        <v>5061</v>
      </c>
      <c r="D252" s="42" t="s">
        <v>81</v>
      </c>
      <c r="E252" s="22" t="s">
        <v>67</v>
      </c>
      <c r="F252" s="22" t="s">
        <v>6567</v>
      </c>
      <c r="G252" s="22" t="s">
        <v>6255</v>
      </c>
      <c r="H252" s="22" t="s">
        <v>6255</v>
      </c>
      <c r="I252" s="22" t="s">
        <v>415</v>
      </c>
      <c r="J252" s="22" t="s">
        <v>6427</v>
      </c>
      <c r="K252" s="22" t="s">
        <v>6279</v>
      </c>
      <c r="L252" s="20"/>
      <c r="M252" s="20"/>
      <c r="N252" s="20"/>
      <c r="O252" s="20"/>
      <c r="P252" s="20"/>
      <c r="Q252" s="20"/>
      <c r="R252" s="20"/>
      <c r="S252" s="20"/>
      <c r="T252" s="20"/>
      <c r="U252" s="20"/>
      <c r="V252" s="20"/>
      <c r="W252" s="20"/>
      <c r="X252" s="20"/>
      <c r="Y252" s="20"/>
      <c r="Z252" s="20"/>
    </row>
    <row r="253">
      <c r="A253" s="21">
        <v>58.0</v>
      </c>
      <c r="B253" s="42" t="s">
        <v>68</v>
      </c>
      <c r="C253" s="43" t="s">
        <v>5061</v>
      </c>
      <c r="D253" s="42" t="s">
        <v>413</v>
      </c>
      <c r="E253" s="22" t="s">
        <v>57</v>
      </c>
      <c r="F253" s="22" t="s">
        <v>6568</v>
      </c>
      <c r="G253" s="22" t="s">
        <v>6255</v>
      </c>
      <c r="H253" s="22" t="s">
        <v>6255</v>
      </c>
      <c r="I253" s="22" t="s">
        <v>415</v>
      </c>
      <c r="J253" s="22" t="s">
        <v>4545</v>
      </c>
      <c r="K253" s="22" t="s">
        <v>6256</v>
      </c>
      <c r="L253" s="20"/>
      <c r="M253" s="20"/>
      <c r="N253" s="20"/>
      <c r="O253" s="20"/>
      <c r="P253" s="20"/>
      <c r="Q253" s="20"/>
      <c r="R253" s="20"/>
      <c r="S253" s="20"/>
      <c r="T253" s="20"/>
      <c r="U253" s="20"/>
      <c r="V253" s="20"/>
      <c r="W253" s="20"/>
      <c r="X253" s="20"/>
      <c r="Y253" s="20"/>
      <c r="Z253" s="20"/>
    </row>
    <row r="254">
      <c r="A254" s="21">
        <v>58.0</v>
      </c>
      <c r="B254" s="42" t="s">
        <v>68</v>
      </c>
      <c r="C254" s="43" t="s">
        <v>5061</v>
      </c>
      <c r="D254" s="42" t="s">
        <v>78</v>
      </c>
      <c r="E254" s="22" t="s">
        <v>57</v>
      </c>
      <c r="F254" s="22" t="s">
        <v>6569</v>
      </c>
      <c r="G254" s="22" t="s">
        <v>6255</v>
      </c>
      <c r="H254" s="22" t="s">
        <v>6255</v>
      </c>
      <c r="I254" s="22" t="s">
        <v>415</v>
      </c>
      <c r="J254" s="22" t="s">
        <v>4543</v>
      </c>
      <c r="K254" s="22" t="s">
        <v>6256</v>
      </c>
      <c r="L254" s="20"/>
      <c r="M254" s="20"/>
      <c r="N254" s="20"/>
      <c r="O254" s="20"/>
      <c r="P254" s="20"/>
      <c r="Q254" s="20"/>
      <c r="R254" s="20"/>
      <c r="S254" s="20"/>
      <c r="T254" s="20"/>
      <c r="U254" s="20"/>
      <c r="V254" s="20"/>
      <c r="W254" s="20"/>
      <c r="X254" s="20"/>
      <c r="Y254" s="20"/>
      <c r="Z254" s="20"/>
    </row>
    <row r="255">
      <c r="A255" s="21">
        <v>58.0</v>
      </c>
      <c r="B255" s="42" t="s">
        <v>68</v>
      </c>
      <c r="C255" s="43" t="s">
        <v>5061</v>
      </c>
      <c r="D255" s="42" t="s">
        <v>2883</v>
      </c>
      <c r="E255" s="22" t="s">
        <v>57</v>
      </c>
      <c r="F255" s="22" t="s">
        <v>6570</v>
      </c>
      <c r="G255" s="22" t="s">
        <v>6255</v>
      </c>
      <c r="H255" s="22" t="s">
        <v>6255</v>
      </c>
      <c r="I255" s="22" t="s">
        <v>415</v>
      </c>
      <c r="J255" s="22" t="s">
        <v>4546</v>
      </c>
      <c r="K255" s="22" t="s">
        <v>6256</v>
      </c>
      <c r="L255" s="20"/>
      <c r="M255" s="20"/>
      <c r="N255" s="20"/>
      <c r="O255" s="20"/>
      <c r="P255" s="20"/>
      <c r="Q255" s="20"/>
      <c r="R255" s="20"/>
      <c r="S255" s="20"/>
      <c r="T255" s="20"/>
      <c r="U255" s="20"/>
      <c r="V255" s="20"/>
      <c r="W255" s="20"/>
      <c r="X255" s="20"/>
      <c r="Y255" s="20"/>
      <c r="Z255" s="20"/>
    </row>
    <row r="256">
      <c r="A256" s="21">
        <v>58.0</v>
      </c>
      <c r="B256" s="42" t="s">
        <v>68</v>
      </c>
      <c r="C256" s="43" t="s">
        <v>5061</v>
      </c>
      <c r="D256" s="42" t="s">
        <v>1687</v>
      </c>
      <c r="E256" s="22" t="s">
        <v>57</v>
      </c>
      <c r="F256" s="22" t="s">
        <v>6571</v>
      </c>
      <c r="G256" s="22" t="s">
        <v>6255</v>
      </c>
      <c r="H256" s="22" t="s">
        <v>6255</v>
      </c>
      <c r="I256" s="22" t="s">
        <v>415</v>
      </c>
      <c r="J256" s="22" t="s">
        <v>4549</v>
      </c>
      <c r="K256" s="22" t="s">
        <v>6256</v>
      </c>
      <c r="L256" s="20"/>
      <c r="M256" s="20"/>
      <c r="N256" s="20"/>
      <c r="O256" s="20"/>
      <c r="P256" s="20"/>
      <c r="Q256" s="20"/>
      <c r="R256" s="20"/>
      <c r="S256" s="20"/>
      <c r="T256" s="20"/>
      <c r="U256" s="20"/>
      <c r="V256" s="20"/>
      <c r="W256" s="20"/>
      <c r="X256" s="20"/>
      <c r="Y256" s="20"/>
      <c r="Z256" s="20"/>
    </row>
    <row r="257">
      <c r="A257" s="21">
        <v>58.0</v>
      </c>
      <c r="B257" s="42" t="s">
        <v>68</v>
      </c>
      <c r="C257" s="43" t="s">
        <v>5061</v>
      </c>
      <c r="D257" s="42" t="s">
        <v>4112</v>
      </c>
      <c r="E257" s="22" t="s">
        <v>67</v>
      </c>
      <c r="F257" s="22" t="s">
        <v>6572</v>
      </c>
      <c r="G257" s="22" t="s">
        <v>6255</v>
      </c>
      <c r="H257" s="22" t="s">
        <v>6255</v>
      </c>
      <c r="I257" s="22" t="s">
        <v>415</v>
      </c>
      <c r="J257" s="22" t="s">
        <v>4545</v>
      </c>
      <c r="K257" s="22" t="s">
        <v>6256</v>
      </c>
      <c r="L257" s="20"/>
      <c r="M257" s="20"/>
      <c r="N257" s="20"/>
      <c r="O257" s="20"/>
      <c r="P257" s="20"/>
      <c r="Q257" s="20"/>
      <c r="R257" s="20"/>
      <c r="S257" s="20"/>
      <c r="T257" s="20"/>
      <c r="U257" s="20"/>
      <c r="V257" s="20"/>
      <c r="W257" s="20"/>
      <c r="X257" s="20"/>
      <c r="Y257" s="20"/>
      <c r="Z257" s="20"/>
    </row>
    <row r="258">
      <c r="A258" s="21">
        <v>59.0</v>
      </c>
      <c r="B258" s="42" t="s">
        <v>4576</v>
      </c>
      <c r="C258" s="43" t="s">
        <v>5061</v>
      </c>
      <c r="D258" s="42" t="s">
        <v>4526</v>
      </c>
      <c r="E258" s="22" t="s">
        <v>57</v>
      </c>
      <c r="F258" s="22" t="s">
        <v>6573</v>
      </c>
      <c r="G258" s="22" t="s">
        <v>6255</v>
      </c>
      <c r="H258" s="22" t="s">
        <v>6255</v>
      </c>
      <c r="I258" s="22" t="s">
        <v>415</v>
      </c>
      <c r="J258" s="22" t="s">
        <v>4597</v>
      </c>
      <c r="K258" s="22" t="s">
        <v>6256</v>
      </c>
      <c r="L258" s="20"/>
      <c r="M258" s="20"/>
      <c r="N258" s="20"/>
      <c r="O258" s="20"/>
      <c r="P258" s="20"/>
      <c r="Q258" s="20"/>
      <c r="R258" s="20"/>
      <c r="S258" s="20"/>
      <c r="T258" s="20"/>
      <c r="U258" s="20"/>
      <c r="V258" s="20"/>
      <c r="W258" s="20"/>
      <c r="X258" s="20"/>
      <c r="Y258" s="20"/>
      <c r="Z258" s="20"/>
    </row>
    <row r="259">
      <c r="A259" s="21">
        <v>59.0</v>
      </c>
      <c r="B259" s="42" t="s">
        <v>4576</v>
      </c>
      <c r="C259" s="43" t="s">
        <v>5061</v>
      </c>
      <c r="D259" s="42" t="s">
        <v>2804</v>
      </c>
      <c r="E259" s="22" t="s">
        <v>57</v>
      </c>
      <c r="F259" s="22" t="s">
        <v>6574</v>
      </c>
      <c r="G259" s="22" t="s">
        <v>6255</v>
      </c>
      <c r="H259" s="22" t="s">
        <v>6255</v>
      </c>
      <c r="I259" s="22" t="s">
        <v>415</v>
      </c>
      <c r="J259" s="22" t="s">
        <v>4594</v>
      </c>
      <c r="K259" s="22" t="s">
        <v>6256</v>
      </c>
      <c r="L259" s="20"/>
      <c r="M259" s="20"/>
      <c r="N259" s="20"/>
      <c r="O259" s="20"/>
      <c r="P259" s="20"/>
      <c r="Q259" s="20"/>
      <c r="R259" s="20"/>
      <c r="S259" s="20"/>
      <c r="T259" s="20"/>
      <c r="U259" s="20"/>
      <c r="V259" s="20"/>
      <c r="W259" s="20"/>
      <c r="X259" s="20"/>
      <c r="Y259" s="20"/>
      <c r="Z259" s="20"/>
    </row>
    <row r="260">
      <c r="A260" s="21">
        <v>59.0</v>
      </c>
      <c r="B260" s="42" t="s">
        <v>4576</v>
      </c>
      <c r="C260" s="43" t="s">
        <v>5061</v>
      </c>
      <c r="D260" s="42" t="s">
        <v>2787</v>
      </c>
      <c r="E260" s="22" t="s">
        <v>67</v>
      </c>
      <c r="F260" s="22" t="s">
        <v>6575</v>
      </c>
      <c r="G260" s="22" t="s">
        <v>6255</v>
      </c>
      <c r="H260" s="22" t="s">
        <v>6255</v>
      </c>
      <c r="I260" s="22" t="s">
        <v>415</v>
      </c>
      <c r="J260" s="22" t="s">
        <v>4638</v>
      </c>
      <c r="K260" s="22" t="s">
        <v>6256</v>
      </c>
      <c r="L260" s="20"/>
      <c r="M260" s="20"/>
      <c r="N260" s="20"/>
      <c r="O260" s="20"/>
      <c r="P260" s="20"/>
      <c r="Q260" s="20"/>
      <c r="R260" s="20"/>
      <c r="S260" s="20"/>
      <c r="T260" s="20"/>
      <c r="U260" s="20"/>
      <c r="V260" s="20"/>
      <c r="W260" s="20"/>
      <c r="X260" s="20"/>
      <c r="Y260" s="20"/>
      <c r="Z260" s="20"/>
    </row>
    <row r="261">
      <c r="A261" s="21">
        <v>60.0</v>
      </c>
      <c r="B261" s="42" t="s">
        <v>1714</v>
      </c>
      <c r="C261" s="43" t="s">
        <v>5270</v>
      </c>
      <c r="D261" s="42" t="s">
        <v>3528</v>
      </c>
      <c r="E261" s="22" t="s">
        <v>57</v>
      </c>
      <c r="F261" s="22" t="s">
        <v>6576</v>
      </c>
      <c r="G261" s="22" t="s">
        <v>6255</v>
      </c>
      <c r="H261" s="22" t="s">
        <v>6255</v>
      </c>
      <c r="I261" s="22" t="s">
        <v>415</v>
      </c>
      <c r="J261" s="22" t="s">
        <v>6464</v>
      </c>
      <c r="K261" s="22" t="s">
        <v>6256</v>
      </c>
      <c r="L261" s="20"/>
      <c r="M261" s="20"/>
      <c r="N261" s="20"/>
      <c r="O261" s="20"/>
      <c r="P261" s="20"/>
      <c r="Q261" s="20"/>
      <c r="R261" s="20"/>
      <c r="S261" s="20"/>
      <c r="T261" s="20"/>
      <c r="U261" s="20"/>
      <c r="V261" s="20"/>
      <c r="W261" s="20"/>
      <c r="X261" s="20"/>
      <c r="Y261" s="20"/>
      <c r="Z261" s="20"/>
    </row>
    <row r="262">
      <c r="A262" s="21">
        <v>60.0</v>
      </c>
      <c r="B262" s="42" t="s">
        <v>1714</v>
      </c>
      <c r="C262" s="43" t="s">
        <v>5270</v>
      </c>
      <c r="D262" s="42" t="s">
        <v>3453</v>
      </c>
      <c r="E262" s="22" t="s">
        <v>57</v>
      </c>
      <c r="F262" s="22" t="s">
        <v>6577</v>
      </c>
      <c r="G262" s="22" t="s">
        <v>6255</v>
      </c>
      <c r="H262" s="22" t="s">
        <v>6255</v>
      </c>
      <c r="I262" s="22" t="s">
        <v>415</v>
      </c>
      <c r="J262" s="22" t="s">
        <v>6578</v>
      </c>
      <c r="K262" s="22" t="s">
        <v>6256</v>
      </c>
      <c r="L262" s="20"/>
      <c r="M262" s="20"/>
      <c r="N262" s="20"/>
      <c r="O262" s="20"/>
      <c r="P262" s="20"/>
      <c r="Q262" s="20"/>
      <c r="R262" s="20"/>
      <c r="S262" s="20"/>
      <c r="T262" s="20"/>
      <c r="U262" s="20"/>
      <c r="V262" s="20"/>
      <c r="W262" s="20"/>
      <c r="X262" s="20"/>
      <c r="Y262" s="20"/>
      <c r="Z262" s="20"/>
    </row>
    <row r="263">
      <c r="A263" s="21">
        <v>60.0</v>
      </c>
      <c r="B263" s="42" t="s">
        <v>1714</v>
      </c>
      <c r="C263" s="43" t="s">
        <v>5270</v>
      </c>
      <c r="D263" s="42" t="s">
        <v>1159</v>
      </c>
      <c r="E263" s="22" t="s">
        <v>57</v>
      </c>
      <c r="F263" s="22" t="s">
        <v>6579</v>
      </c>
      <c r="G263" s="22" t="s">
        <v>6255</v>
      </c>
      <c r="H263" s="22" t="s">
        <v>6255</v>
      </c>
      <c r="I263" s="22" t="s">
        <v>415</v>
      </c>
      <c r="J263" s="22" t="s">
        <v>6580</v>
      </c>
      <c r="K263" s="22" t="s">
        <v>6256</v>
      </c>
      <c r="L263" s="20"/>
      <c r="M263" s="20"/>
      <c r="N263" s="20"/>
      <c r="O263" s="20"/>
      <c r="P263" s="20"/>
      <c r="Q263" s="20"/>
      <c r="R263" s="20"/>
      <c r="S263" s="20"/>
      <c r="T263" s="20"/>
      <c r="U263" s="20"/>
      <c r="V263" s="20"/>
      <c r="W263" s="20"/>
      <c r="X263" s="20"/>
      <c r="Y263" s="20"/>
      <c r="Z263" s="20"/>
    </row>
    <row r="264">
      <c r="A264" s="21">
        <v>60.0</v>
      </c>
      <c r="B264" s="42" t="s">
        <v>1714</v>
      </c>
      <c r="C264" s="43" t="s">
        <v>5270</v>
      </c>
      <c r="D264" s="42" t="s">
        <v>3059</v>
      </c>
      <c r="E264" s="22" t="s">
        <v>57</v>
      </c>
      <c r="F264" s="22" t="s">
        <v>6581</v>
      </c>
      <c r="G264" s="22" t="s">
        <v>6255</v>
      </c>
      <c r="H264" s="22" t="s">
        <v>6255</v>
      </c>
      <c r="I264" s="22" t="s">
        <v>415</v>
      </c>
      <c r="J264" s="22" t="s">
        <v>6464</v>
      </c>
      <c r="K264" s="22" t="s">
        <v>6256</v>
      </c>
      <c r="L264" s="20"/>
      <c r="M264" s="20"/>
      <c r="N264" s="20"/>
      <c r="O264" s="20"/>
      <c r="P264" s="20"/>
      <c r="Q264" s="20"/>
      <c r="R264" s="20"/>
      <c r="S264" s="20"/>
      <c r="T264" s="20"/>
      <c r="U264" s="20"/>
      <c r="V264" s="20"/>
      <c r="W264" s="20"/>
      <c r="X264" s="20"/>
      <c r="Y264" s="20"/>
      <c r="Z264" s="20"/>
    </row>
    <row r="265">
      <c r="A265" s="21">
        <v>60.0</v>
      </c>
      <c r="B265" s="42" t="s">
        <v>1714</v>
      </c>
      <c r="C265" s="43" t="s">
        <v>5270</v>
      </c>
      <c r="D265" s="42" t="s">
        <v>1255</v>
      </c>
      <c r="E265" s="22" t="s">
        <v>67</v>
      </c>
      <c r="F265" s="22" t="s">
        <v>6582</v>
      </c>
      <c r="G265" s="22" t="s">
        <v>6255</v>
      </c>
      <c r="H265" s="22" t="s">
        <v>6255</v>
      </c>
      <c r="I265" s="22" t="s">
        <v>415</v>
      </c>
      <c r="J265" s="22" t="s">
        <v>6578</v>
      </c>
      <c r="K265" s="22" t="s">
        <v>6256</v>
      </c>
      <c r="L265" s="20"/>
      <c r="M265" s="20"/>
      <c r="N265" s="20"/>
      <c r="O265" s="20"/>
      <c r="P265" s="20"/>
      <c r="Q265" s="20"/>
      <c r="R265" s="20"/>
      <c r="S265" s="20"/>
      <c r="T265" s="20"/>
      <c r="U265" s="20"/>
      <c r="V265" s="20"/>
      <c r="W265" s="20"/>
      <c r="X265" s="20"/>
      <c r="Y265" s="20"/>
      <c r="Z265" s="20"/>
    </row>
    <row r="266">
      <c r="A266" s="21">
        <v>61.0</v>
      </c>
      <c r="B266" s="42" t="s">
        <v>1716</v>
      </c>
      <c r="C266" s="43" t="s">
        <v>5270</v>
      </c>
      <c r="D266" s="42" t="s">
        <v>3505</v>
      </c>
      <c r="E266" s="22" t="s">
        <v>57</v>
      </c>
      <c r="F266" s="22" t="s">
        <v>6583</v>
      </c>
      <c r="G266" s="22" t="s">
        <v>6255</v>
      </c>
      <c r="H266" s="22" t="s">
        <v>6255</v>
      </c>
      <c r="I266" s="22" t="s">
        <v>415</v>
      </c>
      <c r="J266" s="22" t="s">
        <v>6525</v>
      </c>
      <c r="K266" s="22" t="s">
        <v>6256</v>
      </c>
      <c r="L266" s="20"/>
      <c r="M266" s="20"/>
      <c r="N266" s="20"/>
      <c r="O266" s="20"/>
      <c r="P266" s="20"/>
      <c r="Q266" s="20"/>
      <c r="R266" s="20"/>
      <c r="S266" s="20"/>
      <c r="T266" s="20"/>
      <c r="U266" s="20"/>
      <c r="V266" s="20"/>
      <c r="W266" s="20"/>
      <c r="X266" s="20"/>
      <c r="Y266" s="20"/>
      <c r="Z266" s="20"/>
    </row>
    <row r="267">
      <c r="A267" s="21">
        <v>61.0</v>
      </c>
      <c r="B267" s="42" t="s">
        <v>1716</v>
      </c>
      <c r="C267" s="43" t="s">
        <v>5270</v>
      </c>
      <c r="D267" s="42" t="s">
        <v>2657</v>
      </c>
      <c r="E267" s="22" t="s">
        <v>57</v>
      </c>
      <c r="F267" s="22" t="s">
        <v>6584</v>
      </c>
      <c r="G267" s="22" t="s">
        <v>6255</v>
      </c>
      <c r="H267" s="22" t="s">
        <v>6255</v>
      </c>
      <c r="I267" s="22" t="s">
        <v>415</v>
      </c>
      <c r="J267" s="22" t="s">
        <v>6585</v>
      </c>
      <c r="K267" s="22" t="s">
        <v>6256</v>
      </c>
      <c r="L267" s="20"/>
      <c r="M267" s="20"/>
      <c r="N267" s="20"/>
      <c r="O267" s="20"/>
      <c r="P267" s="20"/>
      <c r="Q267" s="20"/>
      <c r="R267" s="20"/>
      <c r="S267" s="20"/>
      <c r="T267" s="20"/>
      <c r="U267" s="20"/>
      <c r="V267" s="20"/>
      <c r="W267" s="20"/>
      <c r="X267" s="20"/>
      <c r="Y267" s="20"/>
      <c r="Z267" s="20"/>
    </row>
    <row r="268">
      <c r="A268" s="21">
        <v>61.0</v>
      </c>
      <c r="B268" s="42" t="s">
        <v>1716</v>
      </c>
      <c r="C268" s="43" t="s">
        <v>5270</v>
      </c>
      <c r="D268" s="42" t="s">
        <v>3450</v>
      </c>
      <c r="E268" s="22" t="s">
        <v>57</v>
      </c>
      <c r="F268" s="22" t="s">
        <v>6586</v>
      </c>
      <c r="G268" s="22" t="s">
        <v>6255</v>
      </c>
      <c r="H268" s="22" t="s">
        <v>6255</v>
      </c>
      <c r="I268" s="22" t="s">
        <v>415</v>
      </c>
      <c r="J268" s="22" t="s">
        <v>6525</v>
      </c>
      <c r="K268" s="22" t="s">
        <v>6256</v>
      </c>
      <c r="L268" s="20"/>
      <c r="M268" s="20"/>
      <c r="N268" s="20"/>
      <c r="O268" s="20"/>
      <c r="P268" s="20"/>
      <c r="Q268" s="20"/>
      <c r="R268" s="20"/>
      <c r="S268" s="20"/>
      <c r="T268" s="20"/>
      <c r="U268" s="20"/>
      <c r="V268" s="20"/>
      <c r="W268" s="20"/>
      <c r="X268" s="20"/>
      <c r="Y268" s="20"/>
      <c r="Z268" s="20"/>
    </row>
    <row r="269">
      <c r="A269" s="21">
        <v>61.0</v>
      </c>
      <c r="B269" s="42" t="s">
        <v>1716</v>
      </c>
      <c r="C269" s="43" t="s">
        <v>5270</v>
      </c>
      <c r="D269" s="42" t="s">
        <v>3033</v>
      </c>
      <c r="E269" s="22" t="s">
        <v>67</v>
      </c>
      <c r="F269" s="22" t="s">
        <v>6587</v>
      </c>
      <c r="G269" s="22" t="s">
        <v>6255</v>
      </c>
      <c r="H269" s="22" t="s">
        <v>6255</v>
      </c>
      <c r="I269" s="22" t="s">
        <v>415</v>
      </c>
      <c r="J269" s="22" t="s">
        <v>6585</v>
      </c>
      <c r="K269" s="22" t="s">
        <v>6256</v>
      </c>
      <c r="L269" s="20"/>
      <c r="M269" s="20"/>
      <c r="N269" s="20"/>
      <c r="O269" s="20"/>
      <c r="P269" s="20"/>
      <c r="Q269" s="20"/>
      <c r="R269" s="20"/>
      <c r="S269" s="20"/>
      <c r="T269" s="20"/>
      <c r="U269" s="20"/>
      <c r="V269" s="20"/>
      <c r="W269" s="20"/>
      <c r="X269" s="20"/>
      <c r="Y269" s="20"/>
      <c r="Z269" s="20"/>
    </row>
    <row r="270">
      <c r="A270" s="21">
        <v>61.0</v>
      </c>
      <c r="B270" s="42" t="s">
        <v>1716</v>
      </c>
      <c r="C270" s="43" t="s">
        <v>5270</v>
      </c>
      <c r="D270" s="42" t="s">
        <v>2793</v>
      </c>
      <c r="E270" s="22" t="s">
        <v>67</v>
      </c>
      <c r="F270" s="22" t="s">
        <v>6588</v>
      </c>
      <c r="G270" s="22" t="s">
        <v>6255</v>
      </c>
      <c r="H270" s="22" t="s">
        <v>6255</v>
      </c>
      <c r="I270" s="22" t="s">
        <v>415</v>
      </c>
      <c r="J270" s="22" t="s">
        <v>6525</v>
      </c>
      <c r="K270" s="22" t="s">
        <v>6256</v>
      </c>
      <c r="L270" s="20"/>
      <c r="M270" s="20"/>
      <c r="N270" s="20"/>
      <c r="O270" s="20"/>
      <c r="P270" s="20"/>
      <c r="Q270" s="20"/>
      <c r="R270" s="20"/>
      <c r="S270" s="20"/>
      <c r="T270" s="20"/>
      <c r="U270" s="20"/>
      <c r="V270" s="20"/>
      <c r="W270" s="20"/>
      <c r="X270" s="20"/>
      <c r="Y270" s="20"/>
      <c r="Z270" s="20"/>
    </row>
    <row r="271">
      <c r="A271" s="21">
        <v>62.0</v>
      </c>
      <c r="B271" s="42" t="s">
        <v>2424</v>
      </c>
      <c r="C271" s="43" t="s">
        <v>5270</v>
      </c>
      <c r="D271" s="42" t="s">
        <v>2759</v>
      </c>
      <c r="E271" s="22" t="s">
        <v>57</v>
      </c>
      <c r="F271" s="22" t="s">
        <v>6589</v>
      </c>
      <c r="G271" s="22" t="s">
        <v>6255</v>
      </c>
      <c r="H271" s="22" t="s">
        <v>6255</v>
      </c>
      <c r="I271" s="22" t="s">
        <v>415</v>
      </c>
      <c r="J271" s="22" t="s">
        <v>5136</v>
      </c>
      <c r="K271" s="22" t="s">
        <v>6256</v>
      </c>
      <c r="L271" s="20"/>
      <c r="M271" s="20"/>
      <c r="N271" s="20"/>
      <c r="O271" s="20"/>
      <c r="P271" s="20"/>
      <c r="Q271" s="20"/>
      <c r="R271" s="20"/>
      <c r="S271" s="20"/>
      <c r="T271" s="20"/>
      <c r="U271" s="20"/>
      <c r="V271" s="20"/>
      <c r="W271" s="20"/>
      <c r="X271" s="20"/>
      <c r="Y271" s="20"/>
      <c r="Z271" s="20"/>
    </row>
    <row r="272">
      <c r="A272" s="21">
        <v>62.0</v>
      </c>
      <c r="B272" s="42" t="s">
        <v>2424</v>
      </c>
      <c r="C272" s="43" t="s">
        <v>5270</v>
      </c>
      <c r="D272" s="42" t="s">
        <v>4952</v>
      </c>
      <c r="E272" s="22" t="s">
        <v>57</v>
      </c>
      <c r="F272" s="22" t="s">
        <v>6590</v>
      </c>
      <c r="G272" s="22" t="s">
        <v>6255</v>
      </c>
      <c r="H272" s="22" t="s">
        <v>6255</v>
      </c>
      <c r="I272" s="22" t="s">
        <v>415</v>
      </c>
      <c r="J272" s="22" t="s">
        <v>5128</v>
      </c>
      <c r="K272" s="22" t="s">
        <v>6256</v>
      </c>
      <c r="L272" s="20"/>
      <c r="M272" s="20"/>
      <c r="N272" s="20"/>
      <c r="O272" s="20"/>
      <c r="P272" s="20"/>
      <c r="Q272" s="20"/>
      <c r="R272" s="20"/>
      <c r="S272" s="20"/>
      <c r="T272" s="20"/>
      <c r="U272" s="20"/>
      <c r="V272" s="20"/>
      <c r="W272" s="20"/>
      <c r="X272" s="20"/>
      <c r="Y272" s="20"/>
      <c r="Z272" s="20"/>
    </row>
    <row r="273">
      <c r="A273" s="21">
        <v>62.0</v>
      </c>
      <c r="B273" s="42" t="s">
        <v>2424</v>
      </c>
      <c r="C273" s="43" t="s">
        <v>5270</v>
      </c>
      <c r="D273" s="42" t="s">
        <v>1884</v>
      </c>
      <c r="E273" s="22" t="s">
        <v>57</v>
      </c>
      <c r="F273" s="22" t="s">
        <v>6591</v>
      </c>
      <c r="G273" s="22" t="s">
        <v>6255</v>
      </c>
      <c r="H273" s="22" t="s">
        <v>6255</v>
      </c>
      <c r="I273" s="22" t="s">
        <v>415</v>
      </c>
      <c r="J273" s="22" t="s">
        <v>5136</v>
      </c>
      <c r="K273" s="22" t="s">
        <v>6256</v>
      </c>
      <c r="L273" s="20"/>
      <c r="M273" s="20"/>
      <c r="N273" s="20"/>
      <c r="O273" s="20"/>
      <c r="P273" s="20"/>
      <c r="Q273" s="20"/>
      <c r="R273" s="20"/>
      <c r="S273" s="20"/>
      <c r="T273" s="20"/>
      <c r="U273" s="20"/>
      <c r="V273" s="20"/>
      <c r="W273" s="20"/>
      <c r="X273" s="20"/>
      <c r="Y273" s="20"/>
      <c r="Z273" s="20"/>
    </row>
    <row r="274">
      <c r="A274" s="21">
        <v>62.0</v>
      </c>
      <c r="B274" s="42" t="s">
        <v>2424</v>
      </c>
      <c r="C274" s="43" t="s">
        <v>5270</v>
      </c>
      <c r="D274" s="42" t="s">
        <v>4934</v>
      </c>
      <c r="E274" s="22" t="s">
        <v>67</v>
      </c>
      <c r="F274" s="22" t="s">
        <v>6592</v>
      </c>
      <c r="G274" s="22" t="s">
        <v>6255</v>
      </c>
      <c r="H274" s="22" t="s">
        <v>6255</v>
      </c>
      <c r="I274" s="22" t="s">
        <v>415</v>
      </c>
      <c r="J274" s="22" t="s">
        <v>5128</v>
      </c>
      <c r="K274" s="22" t="s">
        <v>6279</v>
      </c>
      <c r="L274" s="20"/>
      <c r="M274" s="20"/>
      <c r="N274" s="20"/>
      <c r="O274" s="20"/>
      <c r="P274" s="20"/>
      <c r="Q274" s="20"/>
      <c r="R274" s="20"/>
      <c r="S274" s="20"/>
      <c r="T274" s="20"/>
      <c r="U274" s="20"/>
      <c r="V274" s="20"/>
      <c r="W274" s="20"/>
      <c r="X274" s="20"/>
      <c r="Y274" s="20"/>
      <c r="Z274" s="20"/>
    </row>
    <row r="275">
      <c r="A275" s="21">
        <v>62.0</v>
      </c>
      <c r="B275" s="42" t="s">
        <v>2424</v>
      </c>
      <c r="C275" s="43" t="s">
        <v>5270</v>
      </c>
      <c r="D275" s="42" t="s">
        <v>4694</v>
      </c>
      <c r="E275" s="22" t="s">
        <v>67</v>
      </c>
      <c r="F275" s="22" t="s">
        <v>6593</v>
      </c>
      <c r="G275" s="22" t="s">
        <v>6255</v>
      </c>
      <c r="H275" s="22" t="s">
        <v>6255</v>
      </c>
      <c r="I275" s="22" t="s">
        <v>415</v>
      </c>
      <c r="J275" s="22" t="s">
        <v>5136</v>
      </c>
      <c r="K275" s="22" t="s">
        <v>6279</v>
      </c>
      <c r="L275" s="20"/>
      <c r="M275" s="20"/>
      <c r="N275" s="20"/>
      <c r="O275" s="20"/>
      <c r="P275" s="20"/>
      <c r="Q275" s="20"/>
      <c r="R275" s="20"/>
      <c r="S275" s="20"/>
      <c r="T275" s="20"/>
      <c r="U275" s="20"/>
      <c r="V275" s="20"/>
      <c r="W275" s="20"/>
      <c r="X275" s="20"/>
      <c r="Y275" s="20"/>
      <c r="Z275" s="20"/>
    </row>
    <row r="276">
      <c r="A276" s="21">
        <v>63.0</v>
      </c>
      <c r="B276" s="42" t="s">
        <v>3498</v>
      </c>
      <c r="C276" s="43" t="s">
        <v>5270</v>
      </c>
      <c r="D276" s="42" t="s">
        <v>3339</v>
      </c>
      <c r="E276" s="22" t="s">
        <v>57</v>
      </c>
      <c r="F276" s="22" t="s">
        <v>6594</v>
      </c>
      <c r="G276" s="22" t="s">
        <v>6255</v>
      </c>
      <c r="H276" s="22" t="s">
        <v>6255</v>
      </c>
      <c r="I276" s="22" t="s">
        <v>415</v>
      </c>
      <c r="J276" s="22" t="s">
        <v>5212</v>
      </c>
      <c r="K276" s="22" t="s">
        <v>6256</v>
      </c>
      <c r="L276" s="20"/>
      <c r="M276" s="20"/>
      <c r="N276" s="20"/>
      <c r="O276" s="20"/>
      <c r="P276" s="20"/>
      <c r="Q276" s="20"/>
      <c r="R276" s="20"/>
      <c r="S276" s="20"/>
      <c r="T276" s="20"/>
      <c r="U276" s="20"/>
      <c r="V276" s="20"/>
      <c r="W276" s="20"/>
      <c r="X276" s="20"/>
      <c r="Y276" s="20"/>
      <c r="Z276" s="20"/>
    </row>
    <row r="277">
      <c r="A277" s="21">
        <v>63.0</v>
      </c>
      <c r="B277" s="42" t="s">
        <v>3498</v>
      </c>
      <c r="C277" s="43" t="s">
        <v>5270</v>
      </c>
      <c r="D277" s="42" t="s">
        <v>4966</v>
      </c>
      <c r="E277" s="22" t="s">
        <v>57</v>
      </c>
      <c r="F277" s="22" t="s">
        <v>6595</v>
      </c>
      <c r="G277" s="22" t="s">
        <v>6255</v>
      </c>
      <c r="H277" s="22" t="s">
        <v>6255</v>
      </c>
      <c r="I277" s="22" t="s">
        <v>415</v>
      </c>
      <c r="J277" s="22" t="s">
        <v>5185</v>
      </c>
      <c r="K277" s="22" t="s">
        <v>6256</v>
      </c>
      <c r="L277" s="20"/>
      <c r="M277" s="20"/>
      <c r="N277" s="20"/>
      <c r="O277" s="20"/>
      <c r="P277" s="20"/>
      <c r="Q277" s="20"/>
      <c r="R277" s="20"/>
      <c r="S277" s="20"/>
      <c r="T277" s="20"/>
      <c r="U277" s="20"/>
      <c r="V277" s="20"/>
      <c r="W277" s="20"/>
      <c r="X277" s="20"/>
      <c r="Y277" s="20"/>
      <c r="Z277" s="20"/>
    </row>
    <row r="278">
      <c r="A278" s="21">
        <v>63.0</v>
      </c>
      <c r="B278" s="42" t="s">
        <v>3498</v>
      </c>
      <c r="C278" s="43" t="s">
        <v>5270</v>
      </c>
      <c r="D278" s="42" t="s">
        <v>4934</v>
      </c>
      <c r="E278" s="22" t="s">
        <v>57</v>
      </c>
      <c r="F278" s="22" t="s">
        <v>6596</v>
      </c>
      <c r="G278" s="22" t="s">
        <v>6255</v>
      </c>
      <c r="H278" s="22" t="s">
        <v>6255</v>
      </c>
      <c r="I278" s="22" t="s">
        <v>415</v>
      </c>
      <c r="J278" s="22" t="s">
        <v>5212</v>
      </c>
      <c r="K278" s="22" t="s">
        <v>6279</v>
      </c>
      <c r="L278" s="20"/>
      <c r="M278" s="20"/>
      <c r="N278" s="20"/>
      <c r="O278" s="20"/>
      <c r="P278" s="20"/>
      <c r="Q278" s="20"/>
      <c r="R278" s="20"/>
      <c r="S278" s="20"/>
      <c r="T278" s="20"/>
      <c r="U278" s="20"/>
      <c r="V278" s="20"/>
      <c r="W278" s="20"/>
      <c r="X278" s="20"/>
      <c r="Y278" s="20"/>
      <c r="Z278" s="20"/>
    </row>
    <row r="279">
      <c r="A279" s="21">
        <v>63.0</v>
      </c>
      <c r="B279" s="42" t="s">
        <v>3498</v>
      </c>
      <c r="C279" s="43" t="s">
        <v>5270</v>
      </c>
      <c r="D279" s="42" t="s">
        <v>4694</v>
      </c>
      <c r="E279" s="22" t="s">
        <v>57</v>
      </c>
      <c r="F279" s="22" t="s">
        <v>6598</v>
      </c>
      <c r="G279" s="22" t="s">
        <v>6255</v>
      </c>
      <c r="H279" s="22" t="s">
        <v>6255</v>
      </c>
      <c r="I279" s="22" t="s">
        <v>415</v>
      </c>
      <c r="J279" s="22" t="s">
        <v>5185</v>
      </c>
      <c r="K279" s="22" t="s">
        <v>6279</v>
      </c>
      <c r="L279" s="20"/>
      <c r="M279" s="20"/>
      <c r="N279" s="20"/>
      <c r="O279" s="20"/>
      <c r="P279" s="20"/>
      <c r="Q279" s="20"/>
      <c r="R279" s="20"/>
      <c r="S279" s="20"/>
      <c r="T279" s="20"/>
      <c r="U279" s="20"/>
      <c r="V279" s="20"/>
      <c r="W279" s="20"/>
      <c r="X279" s="20"/>
      <c r="Y279" s="20"/>
      <c r="Z279" s="20"/>
    </row>
    <row r="280">
      <c r="A280" s="21">
        <v>63.0</v>
      </c>
      <c r="B280" s="42" t="s">
        <v>3498</v>
      </c>
      <c r="C280" s="43" t="s">
        <v>5270</v>
      </c>
      <c r="D280" s="42" t="s">
        <v>2385</v>
      </c>
      <c r="E280" s="22" t="s">
        <v>67</v>
      </c>
      <c r="F280" s="22" t="s">
        <v>6599</v>
      </c>
      <c r="G280" s="22" t="s">
        <v>6255</v>
      </c>
      <c r="H280" s="22" t="s">
        <v>6255</v>
      </c>
      <c r="I280" s="22" t="s">
        <v>415</v>
      </c>
      <c r="J280" s="22" t="s">
        <v>5212</v>
      </c>
      <c r="K280" s="22" t="s">
        <v>6279</v>
      </c>
      <c r="L280" s="20"/>
      <c r="M280" s="20"/>
      <c r="N280" s="20"/>
      <c r="O280" s="20"/>
      <c r="P280" s="20"/>
      <c r="Q280" s="20"/>
      <c r="R280" s="20"/>
      <c r="S280" s="20"/>
      <c r="T280" s="20"/>
      <c r="U280" s="20"/>
      <c r="V280" s="20"/>
      <c r="W280" s="20"/>
      <c r="X280" s="20"/>
      <c r="Y280" s="20"/>
      <c r="Z280" s="20"/>
    </row>
    <row r="281">
      <c r="A281" s="21">
        <v>64.0</v>
      </c>
      <c r="B281" s="42" t="s">
        <v>2072</v>
      </c>
      <c r="C281" s="43" t="s">
        <v>5270</v>
      </c>
      <c r="D281" s="42" t="s">
        <v>4034</v>
      </c>
      <c r="E281" s="22" t="s">
        <v>57</v>
      </c>
      <c r="F281" s="22" t="s">
        <v>6600</v>
      </c>
      <c r="G281" s="22" t="s">
        <v>6255</v>
      </c>
      <c r="H281" s="22" t="s">
        <v>6255</v>
      </c>
      <c r="I281" s="22" t="s">
        <v>415</v>
      </c>
      <c r="J281" s="22" t="s">
        <v>5229</v>
      </c>
      <c r="K281" s="22" t="s">
        <v>6256</v>
      </c>
      <c r="L281" s="20"/>
      <c r="M281" s="20"/>
      <c r="N281" s="20"/>
      <c r="O281" s="20"/>
      <c r="P281" s="20"/>
      <c r="Q281" s="20"/>
      <c r="R281" s="20"/>
      <c r="S281" s="20"/>
      <c r="T281" s="20"/>
      <c r="U281" s="20"/>
      <c r="V281" s="20"/>
      <c r="W281" s="20"/>
      <c r="X281" s="20"/>
      <c r="Y281" s="20"/>
      <c r="Z281" s="20"/>
    </row>
    <row r="282">
      <c r="A282" s="21">
        <v>64.0</v>
      </c>
      <c r="B282" s="42" t="s">
        <v>2072</v>
      </c>
      <c r="C282" s="43" t="s">
        <v>5270</v>
      </c>
      <c r="D282" s="42" t="s">
        <v>4929</v>
      </c>
      <c r="E282" s="22" t="s">
        <v>57</v>
      </c>
      <c r="F282" s="22" t="s">
        <v>6601</v>
      </c>
      <c r="G282" s="22" t="s">
        <v>6255</v>
      </c>
      <c r="H282" s="22" t="s">
        <v>6255</v>
      </c>
      <c r="I282" s="22" t="s">
        <v>415</v>
      </c>
      <c r="J282" s="22" t="s">
        <v>5234</v>
      </c>
      <c r="K282" s="22" t="s">
        <v>6256</v>
      </c>
      <c r="L282" s="20"/>
      <c r="M282" s="20"/>
      <c r="N282" s="20"/>
      <c r="O282" s="20"/>
      <c r="P282" s="20"/>
      <c r="Q282" s="20"/>
      <c r="R282" s="20"/>
      <c r="S282" s="20"/>
      <c r="T282" s="20"/>
      <c r="U282" s="20"/>
      <c r="V282" s="20"/>
      <c r="W282" s="20"/>
      <c r="X282" s="20"/>
      <c r="Y282" s="20"/>
      <c r="Z282" s="20"/>
    </row>
    <row r="283">
      <c r="A283" s="21">
        <v>64.0</v>
      </c>
      <c r="B283" s="42" t="s">
        <v>2072</v>
      </c>
      <c r="C283" s="43" t="s">
        <v>5270</v>
      </c>
      <c r="D283" s="42" t="s">
        <v>1487</v>
      </c>
      <c r="E283" s="22" t="s">
        <v>57</v>
      </c>
      <c r="F283" s="22" t="s">
        <v>6602</v>
      </c>
      <c r="G283" s="22" t="s">
        <v>6255</v>
      </c>
      <c r="H283" s="22" t="s">
        <v>6255</v>
      </c>
      <c r="I283" s="22" t="s">
        <v>415</v>
      </c>
      <c r="J283" s="22" t="s">
        <v>5229</v>
      </c>
      <c r="K283" s="22" t="s">
        <v>6256</v>
      </c>
      <c r="L283" s="20"/>
      <c r="M283" s="20"/>
      <c r="N283" s="20"/>
      <c r="O283" s="20"/>
      <c r="P283" s="20"/>
      <c r="Q283" s="20"/>
      <c r="R283" s="20"/>
      <c r="S283" s="20"/>
      <c r="T283" s="20"/>
      <c r="U283" s="20"/>
      <c r="V283" s="20"/>
      <c r="W283" s="20"/>
      <c r="X283" s="20"/>
      <c r="Y283" s="20"/>
      <c r="Z283" s="20"/>
    </row>
    <row r="284">
      <c r="A284" s="21">
        <v>64.0</v>
      </c>
      <c r="B284" s="42" t="s">
        <v>2072</v>
      </c>
      <c r="C284" s="43" t="s">
        <v>5270</v>
      </c>
      <c r="D284" s="42" t="s">
        <v>2039</v>
      </c>
      <c r="E284" s="22" t="s">
        <v>57</v>
      </c>
      <c r="F284" s="22" t="s">
        <v>6603</v>
      </c>
      <c r="G284" s="22" t="s">
        <v>6255</v>
      </c>
      <c r="H284" s="22" t="s">
        <v>6255</v>
      </c>
      <c r="I284" s="22" t="s">
        <v>415</v>
      </c>
      <c r="J284" s="22" t="s">
        <v>5234</v>
      </c>
      <c r="K284" s="22" t="s">
        <v>6256</v>
      </c>
      <c r="L284" s="20"/>
      <c r="M284" s="20"/>
      <c r="N284" s="20"/>
      <c r="O284" s="20"/>
      <c r="P284" s="20"/>
      <c r="Q284" s="20"/>
      <c r="R284" s="20"/>
      <c r="S284" s="20"/>
      <c r="T284" s="20"/>
      <c r="U284" s="20"/>
      <c r="V284" s="20"/>
      <c r="W284" s="20"/>
      <c r="X284" s="20"/>
      <c r="Y284" s="20"/>
      <c r="Z284" s="20"/>
    </row>
    <row r="285">
      <c r="A285" s="21">
        <v>64.0</v>
      </c>
      <c r="B285" s="42" t="s">
        <v>2072</v>
      </c>
      <c r="C285" s="43" t="s">
        <v>5270</v>
      </c>
      <c r="D285" s="42" t="s">
        <v>4688</v>
      </c>
      <c r="E285" s="22" t="s">
        <v>57</v>
      </c>
      <c r="F285" s="22" t="s">
        <v>6604</v>
      </c>
      <c r="G285" s="22" t="s">
        <v>6255</v>
      </c>
      <c r="H285" s="22" t="s">
        <v>6255</v>
      </c>
      <c r="I285" s="22" t="s">
        <v>415</v>
      </c>
      <c r="J285" s="22" t="s">
        <v>5229</v>
      </c>
      <c r="K285" s="22" t="s">
        <v>6256</v>
      </c>
      <c r="L285" s="20"/>
      <c r="M285" s="20"/>
      <c r="N285" s="20"/>
      <c r="O285" s="20"/>
      <c r="P285" s="20"/>
      <c r="Q285" s="20"/>
      <c r="R285" s="20"/>
      <c r="S285" s="20"/>
      <c r="T285" s="20"/>
      <c r="U285" s="20"/>
      <c r="V285" s="20"/>
      <c r="W285" s="20"/>
      <c r="X285" s="20"/>
      <c r="Y285" s="20"/>
      <c r="Z285" s="20"/>
    </row>
    <row r="286">
      <c r="A286" s="21">
        <v>65.0</v>
      </c>
      <c r="B286" s="42" t="s">
        <v>4911</v>
      </c>
      <c r="C286" s="43" t="s">
        <v>5270</v>
      </c>
      <c r="D286" s="42" t="s">
        <v>3471</v>
      </c>
      <c r="E286" s="22" t="s">
        <v>57</v>
      </c>
      <c r="F286" s="22" t="s">
        <v>6605</v>
      </c>
      <c r="G286" s="22" t="s">
        <v>6255</v>
      </c>
      <c r="H286" s="22" t="s">
        <v>6255</v>
      </c>
      <c r="I286" s="22" t="s">
        <v>415</v>
      </c>
      <c r="J286" s="22" t="s">
        <v>5278</v>
      </c>
      <c r="K286" s="22" t="s">
        <v>6256</v>
      </c>
      <c r="L286" s="20"/>
      <c r="M286" s="20"/>
      <c r="N286" s="20"/>
      <c r="O286" s="20"/>
      <c r="P286" s="20"/>
      <c r="Q286" s="20"/>
      <c r="R286" s="20"/>
      <c r="S286" s="20"/>
      <c r="T286" s="20"/>
      <c r="U286" s="20"/>
      <c r="V286" s="20"/>
      <c r="W286" s="20"/>
      <c r="X286" s="20"/>
      <c r="Y286" s="20"/>
      <c r="Z286" s="20"/>
    </row>
    <row r="287">
      <c r="A287" s="21">
        <v>65.0</v>
      </c>
      <c r="B287" s="42" t="s">
        <v>4911</v>
      </c>
      <c r="C287" s="43" t="s">
        <v>5270</v>
      </c>
      <c r="D287" s="42" t="s">
        <v>4664</v>
      </c>
      <c r="E287" s="22" t="s">
        <v>57</v>
      </c>
      <c r="F287" s="22" t="s">
        <v>6606</v>
      </c>
      <c r="G287" s="22" t="s">
        <v>6255</v>
      </c>
      <c r="H287" s="22" t="s">
        <v>6255</v>
      </c>
      <c r="I287" s="22" t="s">
        <v>415</v>
      </c>
      <c r="J287" s="22" t="s">
        <v>5272</v>
      </c>
      <c r="K287" s="22" t="s">
        <v>6256</v>
      </c>
      <c r="L287" s="20"/>
      <c r="M287" s="20"/>
      <c r="N287" s="20"/>
      <c r="O287" s="20"/>
      <c r="P287" s="20"/>
      <c r="Q287" s="20"/>
      <c r="R287" s="20"/>
      <c r="S287" s="20"/>
      <c r="T287" s="20"/>
      <c r="U287" s="20"/>
      <c r="V287" s="20"/>
      <c r="W287" s="20"/>
      <c r="X287" s="20"/>
      <c r="Y287" s="20"/>
      <c r="Z287" s="20"/>
    </row>
    <row r="288">
      <c r="A288" s="21">
        <v>65.0</v>
      </c>
      <c r="B288" s="42" t="s">
        <v>4911</v>
      </c>
      <c r="C288" s="43" t="s">
        <v>5270</v>
      </c>
      <c r="D288" s="42" t="s">
        <v>1677</v>
      </c>
      <c r="E288" s="22" t="s">
        <v>57</v>
      </c>
      <c r="F288" s="22" t="s">
        <v>6607</v>
      </c>
      <c r="G288" s="22" t="s">
        <v>6255</v>
      </c>
      <c r="H288" s="22" t="s">
        <v>6255</v>
      </c>
      <c r="I288" s="22" t="s">
        <v>415</v>
      </c>
      <c r="J288" s="22" t="s">
        <v>5278</v>
      </c>
      <c r="K288" s="22" t="s">
        <v>6256</v>
      </c>
      <c r="L288" s="20"/>
      <c r="M288" s="20"/>
      <c r="N288" s="20"/>
      <c r="O288" s="20"/>
      <c r="P288" s="20"/>
      <c r="Q288" s="20"/>
      <c r="R288" s="20"/>
      <c r="S288" s="20"/>
      <c r="T288" s="20"/>
      <c r="U288" s="20"/>
      <c r="V288" s="20"/>
      <c r="W288" s="20"/>
      <c r="X288" s="20"/>
      <c r="Y288" s="20"/>
      <c r="Z288" s="20"/>
    </row>
    <row r="289">
      <c r="A289" s="21">
        <v>65.0</v>
      </c>
      <c r="B289" s="42" t="s">
        <v>4911</v>
      </c>
      <c r="C289" s="43" t="s">
        <v>5270</v>
      </c>
      <c r="D289" s="42" t="s">
        <v>2262</v>
      </c>
      <c r="E289" s="22" t="s">
        <v>57</v>
      </c>
      <c r="F289" s="22" t="s">
        <v>6608</v>
      </c>
      <c r="G289" s="22" t="s">
        <v>6255</v>
      </c>
      <c r="H289" s="22" t="s">
        <v>6255</v>
      </c>
      <c r="I289" s="22" t="s">
        <v>415</v>
      </c>
      <c r="J289" s="22" t="s">
        <v>5272</v>
      </c>
      <c r="K289" s="22" t="s">
        <v>6256</v>
      </c>
      <c r="L289" s="20"/>
      <c r="M289" s="20"/>
      <c r="N289" s="20"/>
      <c r="O289" s="20"/>
      <c r="P289" s="20"/>
      <c r="Q289" s="20"/>
      <c r="R289" s="20"/>
      <c r="S289" s="20"/>
      <c r="T289" s="20"/>
      <c r="U289" s="20"/>
      <c r="V289" s="20"/>
      <c r="W289" s="20"/>
      <c r="X289" s="20"/>
      <c r="Y289" s="20"/>
      <c r="Z289" s="20"/>
    </row>
    <row r="290">
      <c r="A290" s="21">
        <v>65.0</v>
      </c>
      <c r="B290" s="42" t="s">
        <v>4911</v>
      </c>
      <c r="C290" s="43" t="s">
        <v>5270</v>
      </c>
      <c r="D290" s="42" t="s">
        <v>1669</v>
      </c>
      <c r="E290" s="22" t="s">
        <v>57</v>
      </c>
      <c r="F290" s="22" t="s">
        <v>6609</v>
      </c>
      <c r="G290" s="22" t="s">
        <v>6255</v>
      </c>
      <c r="H290" s="22" t="s">
        <v>6255</v>
      </c>
      <c r="I290" s="22" t="s">
        <v>415</v>
      </c>
      <c r="J290" s="22" t="s">
        <v>5278</v>
      </c>
      <c r="K290" s="22" t="s">
        <v>6256</v>
      </c>
      <c r="L290" s="20"/>
      <c r="M290" s="20"/>
      <c r="N290" s="20"/>
      <c r="O290" s="20"/>
      <c r="P290" s="20"/>
      <c r="Q290" s="20"/>
      <c r="R290" s="20"/>
      <c r="S290" s="20"/>
      <c r="T290" s="20"/>
      <c r="U290" s="20"/>
      <c r="V290" s="20"/>
      <c r="W290" s="20"/>
      <c r="X290" s="20"/>
      <c r="Y290" s="20"/>
      <c r="Z290" s="20"/>
    </row>
    <row r="291">
      <c r="A291" s="21">
        <v>66.0</v>
      </c>
      <c r="B291" s="42" t="s">
        <v>5322</v>
      </c>
      <c r="C291" s="43" t="s">
        <v>5854</v>
      </c>
      <c r="D291" s="42" t="s">
        <v>193</v>
      </c>
      <c r="E291" s="22" t="s">
        <v>57</v>
      </c>
      <c r="F291" s="22" t="s">
        <v>6610</v>
      </c>
      <c r="G291" s="22" t="s">
        <v>6255</v>
      </c>
      <c r="H291" s="22" t="s">
        <v>6255</v>
      </c>
      <c r="I291" s="22" t="s">
        <v>415</v>
      </c>
      <c r="J291" s="22" t="s">
        <v>6597</v>
      </c>
      <c r="K291" s="22" t="s">
        <v>6256</v>
      </c>
      <c r="L291" s="20"/>
      <c r="M291" s="20"/>
      <c r="N291" s="20"/>
      <c r="O291" s="20"/>
      <c r="P291" s="20"/>
      <c r="Q291" s="20"/>
      <c r="R291" s="20"/>
      <c r="S291" s="20"/>
      <c r="T291" s="20"/>
      <c r="U291" s="20"/>
      <c r="V291" s="20"/>
      <c r="W291" s="20"/>
      <c r="X291" s="20"/>
      <c r="Y291" s="20"/>
      <c r="Z291" s="20"/>
    </row>
    <row r="292">
      <c r="A292" s="21">
        <v>66.0</v>
      </c>
      <c r="B292" s="42" t="s">
        <v>5322</v>
      </c>
      <c r="C292" s="43" t="s">
        <v>5854</v>
      </c>
      <c r="D292" s="42" t="s">
        <v>206</v>
      </c>
      <c r="E292" s="22" t="s">
        <v>57</v>
      </c>
      <c r="F292" s="22" t="s">
        <v>6611</v>
      </c>
      <c r="G292" s="22" t="s">
        <v>6255</v>
      </c>
      <c r="H292" s="22" t="s">
        <v>6255</v>
      </c>
      <c r="I292" s="22" t="s">
        <v>415</v>
      </c>
      <c r="J292" s="22" t="s">
        <v>6612</v>
      </c>
      <c r="K292" s="22" t="s">
        <v>6256</v>
      </c>
      <c r="L292" s="20"/>
      <c r="M292" s="20"/>
      <c r="N292" s="20"/>
      <c r="O292" s="20"/>
      <c r="P292" s="20"/>
      <c r="Q292" s="20"/>
      <c r="R292" s="20"/>
      <c r="S292" s="20"/>
      <c r="T292" s="20"/>
      <c r="U292" s="20"/>
      <c r="V292" s="20"/>
      <c r="W292" s="20"/>
      <c r="X292" s="20"/>
      <c r="Y292" s="20"/>
      <c r="Z292" s="20"/>
    </row>
    <row r="293">
      <c r="A293" s="21">
        <v>66.0</v>
      </c>
      <c r="B293" s="42" t="s">
        <v>5322</v>
      </c>
      <c r="C293" s="43" t="s">
        <v>5854</v>
      </c>
      <c r="D293" s="42" t="s">
        <v>186</v>
      </c>
      <c r="E293" s="22" t="s">
        <v>57</v>
      </c>
      <c r="F293" s="22" t="s">
        <v>6613</v>
      </c>
      <c r="G293" s="22" t="s">
        <v>6255</v>
      </c>
      <c r="H293" s="22" t="s">
        <v>6255</v>
      </c>
      <c r="I293" s="22" t="s">
        <v>415</v>
      </c>
      <c r="J293" s="22" t="s">
        <v>6614</v>
      </c>
      <c r="K293" s="22" t="s">
        <v>6256</v>
      </c>
      <c r="L293" s="20"/>
      <c r="M293" s="20"/>
      <c r="N293" s="20"/>
      <c r="O293" s="20"/>
      <c r="P293" s="20"/>
      <c r="Q293" s="20"/>
      <c r="R293" s="20"/>
      <c r="S293" s="20"/>
      <c r="T293" s="20"/>
      <c r="U293" s="20"/>
      <c r="V293" s="20"/>
      <c r="W293" s="20"/>
      <c r="X293" s="20"/>
      <c r="Y293" s="20"/>
      <c r="Z293" s="20"/>
    </row>
    <row r="294">
      <c r="A294" s="21">
        <v>66.0</v>
      </c>
      <c r="B294" s="42" t="s">
        <v>5322</v>
      </c>
      <c r="C294" s="43" t="s">
        <v>5854</v>
      </c>
      <c r="D294" s="42" t="s">
        <v>81</v>
      </c>
      <c r="E294" s="22" t="s">
        <v>67</v>
      </c>
      <c r="F294" s="22" t="s">
        <v>6615</v>
      </c>
      <c r="G294" s="22" t="s">
        <v>6255</v>
      </c>
      <c r="H294" s="22" t="s">
        <v>6255</v>
      </c>
      <c r="I294" s="22" t="s">
        <v>415</v>
      </c>
      <c r="J294" s="22" t="s">
        <v>6597</v>
      </c>
      <c r="K294" s="22" t="s">
        <v>6279</v>
      </c>
      <c r="L294" s="20"/>
      <c r="M294" s="20"/>
      <c r="N294" s="20"/>
      <c r="O294" s="20"/>
      <c r="P294" s="20"/>
      <c r="Q294" s="20"/>
      <c r="R294" s="20"/>
      <c r="S294" s="20"/>
      <c r="T294" s="20"/>
      <c r="U294" s="20"/>
      <c r="V294" s="20"/>
      <c r="W294" s="20"/>
      <c r="X294" s="20"/>
      <c r="Y294" s="20"/>
      <c r="Z294" s="20"/>
    </row>
    <row r="295">
      <c r="A295" s="21">
        <v>66.0</v>
      </c>
      <c r="B295" s="42" t="s">
        <v>5322</v>
      </c>
      <c r="C295" s="43" t="s">
        <v>5854</v>
      </c>
      <c r="D295" s="42" t="s">
        <v>3054</v>
      </c>
      <c r="E295" s="22" t="s">
        <v>67</v>
      </c>
      <c r="F295" s="22" t="s">
        <v>6616</v>
      </c>
      <c r="G295" s="22" t="s">
        <v>6255</v>
      </c>
      <c r="H295" s="22" t="s">
        <v>6255</v>
      </c>
      <c r="I295" s="22" t="s">
        <v>415</v>
      </c>
      <c r="J295" s="22" t="s">
        <v>6612</v>
      </c>
      <c r="K295" s="22" t="s">
        <v>6256</v>
      </c>
      <c r="L295" s="20"/>
      <c r="M295" s="20"/>
      <c r="N295" s="20"/>
      <c r="O295" s="20"/>
      <c r="P295" s="20"/>
      <c r="Q295" s="20"/>
      <c r="R295" s="20"/>
      <c r="S295" s="20"/>
      <c r="T295" s="20"/>
      <c r="U295" s="20"/>
      <c r="V295" s="20"/>
      <c r="W295" s="20"/>
      <c r="X295" s="20"/>
      <c r="Y295" s="20"/>
      <c r="Z295" s="20"/>
    </row>
    <row r="296">
      <c r="A296" s="21">
        <v>67.0</v>
      </c>
      <c r="B296" s="42" t="s">
        <v>5448</v>
      </c>
      <c r="C296" s="43" t="s">
        <v>5854</v>
      </c>
      <c r="D296" s="42" t="s">
        <v>1376</v>
      </c>
      <c r="E296" s="22" t="s">
        <v>57</v>
      </c>
      <c r="F296" s="22" t="s">
        <v>6617</v>
      </c>
      <c r="G296" s="22" t="s">
        <v>6255</v>
      </c>
      <c r="H296" s="22" t="s">
        <v>6255</v>
      </c>
      <c r="I296" s="22" t="s">
        <v>415</v>
      </c>
      <c r="J296" s="22" t="s">
        <v>5450</v>
      </c>
      <c r="K296" s="22" t="s">
        <v>6256</v>
      </c>
      <c r="L296" s="20"/>
      <c r="M296" s="20"/>
      <c r="N296" s="20"/>
      <c r="O296" s="20"/>
      <c r="P296" s="20"/>
      <c r="Q296" s="20"/>
      <c r="R296" s="20"/>
      <c r="S296" s="20"/>
      <c r="T296" s="20"/>
      <c r="U296" s="20"/>
      <c r="V296" s="20"/>
      <c r="W296" s="20"/>
      <c r="X296" s="20"/>
      <c r="Y296" s="20"/>
      <c r="Z296" s="20"/>
    </row>
    <row r="297">
      <c r="A297" s="21">
        <v>67.0</v>
      </c>
      <c r="B297" s="42" t="s">
        <v>5448</v>
      </c>
      <c r="C297" s="43" t="s">
        <v>5854</v>
      </c>
      <c r="D297" s="42" t="s">
        <v>1217</v>
      </c>
      <c r="E297" s="22" t="s">
        <v>57</v>
      </c>
      <c r="F297" s="22" t="s">
        <v>6618</v>
      </c>
      <c r="G297" s="22" t="s">
        <v>6255</v>
      </c>
      <c r="H297" s="22" t="s">
        <v>6255</v>
      </c>
      <c r="I297" s="22" t="s">
        <v>415</v>
      </c>
      <c r="J297" s="22" t="s">
        <v>5449</v>
      </c>
      <c r="K297" s="22" t="s">
        <v>6256</v>
      </c>
      <c r="L297" s="20"/>
      <c r="M297" s="20"/>
      <c r="N297" s="20"/>
      <c r="O297" s="20"/>
      <c r="P297" s="20"/>
      <c r="Q297" s="20"/>
      <c r="R297" s="20"/>
      <c r="S297" s="20"/>
      <c r="T297" s="20"/>
      <c r="U297" s="20"/>
      <c r="V297" s="20"/>
      <c r="W297" s="20"/>
      <c r="X297" s="20"/>
      <c r="Y297" s="20"/>
      <c r="Z297" s="20"/>
    </row>
    <row r="298">
      <c r="A298" s="21">
        <v>67.0</v>
      </c>
      <c r="B298" s="42" t="s">
        <v>5448</v>
      </c>
      <c r="C298" s="43" t="s">
        <v>5854</v>
      </c>
      <c r="D298" s="42" t="s">
        <v>1952</v>
      </c>
      <c r="E298" s="22" t="s">
        <v>67</v>
      </c>
      <c r="F298" s="22" t="s">
        <v>6619</v>
      </c>
      <c r="G298" s="22" t="s">
        <v>6255</v>
      </c>
      <c r="H298" s="22" t="s">
        <v>6255</v>
      </c>
      <c r="I298" s="22" t="s">
        <v>415</v>
      </c>
      <c r="J298" s="22" t="s">
        <v>5450</v>
      </c>
      <c r="K298" s="22" t="s">
        <v>6256</v>
      </c>
      <c r="L298" s="20"/>
      <c r="M298" s="20"/>
      <c r="N298" s="20"/>
      <c r="O298" s="20"/>
      <c r="P298" s="20"/>
      <c r="Q298" s="20"/>
      <c r="R298" s="20"/>
      <c r="S298" s="20"/>
      <c r="T298" s="20"/>
      <c r="U298" s="20"/>
      <c r="V298" s="20"/>
      <c r="W298" s="20"/>
      <c r="X298" s="20"/>
      <c r="Y298" s="20"/>
      <c r="Z298" s="20"/>
    </row>
    <row r="299">
      <c r="A299" s="21">
        <v>67.0</v>
      </c>
      <c r="B299" s="42" t="s">
        <v>5448</v>
      </c>
      <c r="C299" s="43" t="s">
        <v>5854</v>
      </c>
      <c r="D299" s="42" t="s">
        <v>2385</v>
      </c>
      <c r="E299" s="22" t="s">
        <v>67</v>
      </c>
      <c r="F299" s="22" t="s">
        <v>6620</v>
      </c>
      <c r="G299" s="22" t="s">
        <v>6255</v>
      </c>
      <c r="H299" s="22" t="s">
        <v>6255</v>
      </c>
      <c r="I299" s="22" t="s">
        <v>415</v>
      </c>
      <c r="J299" s="22" t="s">
        <v>5449</v>
      </c>
      <c r="K299" s="22" t="s">
        <v>6279</v>
      </c>
      <c r="L299" s="20"/>
      <c r="M299" s="20"/>
      <c r="N299" s="20"/>
      <c r="O299" s="20"/>
      <c r="P299" s="20"/>
      <c r="Q299" s="20"/>
      <c r="R299" s="20"/>
      <c r="S299" s="20"/>
      <c r="T299" s="20"/>
      <c r="U299" s="20"/>
      <c r="V299" s="20"/>
      <c r="W299" s="20"/>
      <c r="X299" s="20"/>
      <c r="Y299" s="20"/>
      <c r="Z299" s="20"/>
    </row>
    <row r="300">
      <c r="A300" s="21">
        <v>67.0</v>
      </c>
      <c r="B300" s="42" t="s">
        <v>5448</v>
      </c>
      <c r="C300" s="43" t="s">
        <v>5854</v>
      </c>
      <c r="D300" s="42" t="s">
        <v>1174</v>
      </c>
      <c r="E300" s="22" t="s">
        <v>67</v>
      </c>
      <c r="F300" s="22" t="s">
        <v>6621</v>
      </c>
      <c r="G300" s="22" t="s">
        <v>6255</v>
      </c>
      <c r="H300" s="22" t="s">
        <v>6255</v>
      </c>
      <c r="I300" s="22" t="s">
        <v>415</v>
      </c>
      <c r="J300" s="22" t="s">
        <v>5450</v>
      </c>
      <c r="K300" s="22" t="s">
        <v>6256</v>
      </c>
      <c r="L300" s="20"/>
      <c r="M300" s="20"/>
      <c r="N300" s="20"/>
      <c r="O300" s="20"/>
      <c r="P300" s="20"/>
      <c r="Q300" s="20"/>
      <c r="R300" s="20"/>
      <c r="S300" s="20"/>
      <c r="T300" s="20"/>
      <c r="U300" s="20"/>
      <c r="V300" s="20"/>
      <c r="W300" s="20"/>
      <c r="X300" s="20"/>
      <c r="Y300" s="20"/>
      <c r="Z300" s="20"/>
    </row>
    <row r="301">
      <c r="A301" s="21">
        <v>68.0</v>
      </c>
      <c r="B301" s="42" t="s">
        <v>1293</v>
      </c>
      <c r="C301" s="43" t="s">
        <v>6164</v>
      </c>
      <c r="D301" s="42" t="s">
        <v>1509</v>
      </c>
      <c r="E301" s="22" t="s">
        <v>57</v>
      </c>
      <c r="F301" s="22" t="s">
        <v>6622</v>
      </c>
      <c r="G301" s="22" t="s">
        <v>6255</v>
      </c>
      <c r="H301" s="22" t="s">
        <v>6255</v>
      </c>
      <c r="I301" s="22" t="s">
        <v>415</v>
      </c>
      <c r="J301" s="22" t="s">
        <v>5541</v>
      </c>
      <c r="K301" s="22" t="s">
        <v>6623</v>
      </c>
      <c r="L301" s="20"/>
      <c r="M301" s="20"/>
      <c r="N301" s="20"/>
      <c r="O301" s="20"/>
      <c r="P301" s="20"/>
      <c r="Q301" s="20"/>
      <c r="R301" s="20"/>
      <c r="S301" s="20"/>
      <c r="T301" s="20"/>
      <c r="U301" s="20"/>
      <c r="V301" s="20"/>
      <c r="W301" s="20"/>
      <c r="X301" s="20"/>
      <c r="Y301" s="20"/>
      <c r="Z301" s="20"/>
    </row>
    <row r="302">
      <c r="A302" s="21">
        <v>68.0</v>
      </c>
      <c r="B302" s="42" t="s">
        <v>1293</v>
      </c>
      <c r="C302" s="43" t="s">
        <v>6164</v>
      </c>
      <c r="D302" s="42" t="s">
        <v>5372</v>
      </c>
      <c r="E302" s="22" t="s">
        <v>57</v>
      </c>
      <c r="F302" s="22" t="s">
        <v>6624</v>
      </c>
      <c r="G302" s="22" t="s">
        <v>6255</v>
      </c>
      <c r="H302" s="22" t="s">
        <v>6255</v>
      </c>
      <c r="I302" s="22" t="s">
        <v>415</v>
      </c>
      <c r="J302" s="22" t="s">
        <v>6625</v>
      </c>
      <c r="K302" s="22" t="s">
        <v>6256</v>
      </c>
      <c r="L302" s="20"/>
      <c r="M302" s="20"/>
      <c r="N302" s="20"/>
      <c r="O302" s="20"/>
      <c r="P302" s="20"/>
      <c r="Q302" s="20"/>
      <c r="R302" s="20"/>
      <c r="S302" s="20"/>
      <c r="T302" s="20"/>
      <c r="U302" s="20"/>
      <c r="V302" s="20"/>
      <c r="W302" s="20"/>
      <c r="X302" s="20"/>
      <c r="Y302" s="20"/>
      <c r="Z302" s="20"/>
    </row>
    <row r="303">
      <c r="A303" s="21">
        <v>68.0</v>
      </c>
      <c r="B303" s="42" t="s">
        <v>1293</v>
      </c>
      <c r="C303" s="43" t="s">
        <v>6164</v>
      </c>
      <c r="D303" s="42" t="s">
        <v>201</v>
      </c>
      <c r="E303" s="22" t="s">
        <v>57</v>
      </c>
      <c r="F303" s="22" t="s">
        <v>6626</v>
      </c>
      <c r="G303" s="22" t="s">
        <v>6255</v>
      </c>
      <c r="H303" s="22" t="s">
        <v>6255</v>
      </c>
      <c r="I303" s="22" t="s">
        <v>415</v>
      </c>
      <c r="J303" s="22" t="s">
        <v>6627</v>
      </c>
      <c r="K303" s="22" t="s">
        <v>6256</v>
      </c>
      <c r="L303" s="20"/>
      <c r="M303" s="20"/>
      <c r="N303" s="20"/>
      <c r="O303" s="20"/>
      <c r="P303" s="20"/>
      <c r="Q303" s="20"/>
      <c r="R303" s="20"/>
      <c r="S303" s="20"/>
      <c r="T303" s="20"/>
      <c r="U303" s="20"/>
      <c r="V303" s="20"/>
      <c r="W303" s="20"/>
      <c r="X303" s="20"/>
      <c r="Y303" s="20"/>
      <c r="Z303" s="20"/>
    </row>
    <row r="304">
      <c r="A304" s="21">
        <v>68.0</v>
      </c>
      <c r="B304" s="42" t="s">
        <v>1293</v>
      </c>
      <c r="C304" s="43" t="s">
        <v>6164</v>
      </c>
      <c r="D304" s="42" t="s">
        <v>4868</v>
      </c>
      <c r="E304" s="22" t="s">
        <v>57</v>
      </c>
      <c r="F304" s="22" t="s">
        <v>6628</v>
      </c>
      <c r="G304" s="22" t="s">
        <v>6255</v>
      </c>
      <c r="H304" s="22" t="s">
        <v>6255</v>
      </c>
      <c r="I304" s="22" t="s">
        <v>415</v>
      </c>
      <c r="J304" s="22" t="s">
        <v>5541</v>
      </c>
      <c r="K304" s="22" t="s">
        <v>6256</v>
      </c>
      <c r="L304" s="20"/>
      <c r="M304" s="20"/>
      <c r="N304" s="20"/>
      <c r="O304" s="20"/>
      <c r="P304" s="20"/>
      <c r="Q304" s="20"/>
      <c r="R304" s="20"/>
      <c r="S304" s="20"/>
      <c r="T304" s="20"/>
      <c r="U304" s="20"/>
      <c r="V304" s="20"/>
      <c r="W304" s="20"/>
      <c r="X304" s="20"/>
      <c r="Y304" s="20"/>
      <c r="Z304" s="20"/>
    </row>
    <row r="305">
      <c r="A305" s="21">
        <v>68.0</v>
      </c>
      <c r="B305" s="42" t="s">
        <v>1293</v>
      </c>
      <c r="C305" s="43" t="s">
        <v>6164</v>
      </c>
      <c r="D305" s="42" t="s">
        <v>3870</v>
      </c>
      <c r="E305" s="22" t="s">
        <v>67</v>
      </c>
      <c r="F305" s="22" t="s">
        <v>6629</v>
      </c>
      <c r="G305" s="22" t="s">
        <v>6255</v>
      </c>
      <c r="H305" s="22" t="s">
        <v>6255</v>
      </c>
      <c r="I305" s="22" t="s">
        <v>415</v>
      </c>
      <c r="J305" s="22" t="s">
        <v>6625</v>
      </c>
      <c r="K305" s="22" t="s">
        <v>6256</v>
      </c>
      <c r="L305" s="20"/>
      <c r="M305" s="20"/>
      <c r="N305" s="20"/>
      <c r="O305" s="20"/>
      <c r="P305" s="20"/>
      <c r="Q305" s="20"/>
      <c r="R305" s="20"/>
      <c r="S305" s="20"/>
      <c r="T305" s="20"/>
      <c r="U305" s="20"/>
      <c r="V305" s="20"/>
      <c r="W305" s="20"/>
      <c r="X305" s="20"/>
      <c r="Y305" s="20"/>
      <c r="Z305" s="20"/>
    </row>
    <row r="306">
      <c r="A306" s="21">
        <v>69.0</v>
      </c>
      <c r="B306" s="42" t="s">
        <v>1738</v>
      </c>
      <c r="C306" s="43" t="s">
        <v>6164</v>
      </c>
      <c r="D306" s="42" t="s">
        <v>4493</v>
      </c>
      <c r="E306" s="22" t="s">
        <v>57</v>
      </c>
      <c r="F306" s="22" t="s">
        <v>6630</v>
      </c>
      <c r="G306" s="22" t="s">
        <v>6255</v>
      </c>
      <c r="H306" s="22" t="s">
        <v>6255</v>
      </c>
      <c r="I306" s="22" t="s">
        <v>415</v>
      </c>
      <c r="J306" s="22" t="s">
        <v>5816</v>
      </c>
      <c r="K306" s="22" t="s">
        <v>6256</v>
      </c>
      <c r="L306" s="20"/>
      <c r="M306" s="20"/>
      <c r="N306" s="20"/>
      <c r="O306" s="20"/>
      <c r="P306" s="20"/>
      <c r="Q306" s="20"/>
      <c r="R306" s="20"/>
      <c r="S306" s="20"/>
      <c r="T306" s="20"/>
      <c r="U306" s="20"/>
      <c r="V306" s="20"/>
      <c r="W306" s="20"/>
      <c r="X306" s="20"/>
      <c r="Y306" s="20"/>
      <c r="Z306" s="20"/>
    </row>
    <row r="307">
      <c r="A307" s="21">
        <v>69.0</v>
      </c>
      <c r="B307" s="42" t="s">
        <v>1738</v>
      </c>
      <c r="C307" s="43" t="s">
        <v>6164</v>
      </c>
      <c r="D307" s="42" t="s">
        <v>1732</v>
      </c>
      <c r="E307" s="22" t="s">
        <v>57</v>
      </c>
      <c r="F307" s="22" t="s">
        <v>6631</v>
      </c>
      <c r="G307" s="22" t="s">
        <v>6255</v>
      </c>
      <c r="H307" s="22" t="s">
        <v>6255</v>
      </c>
      <c r="I307" s="22" t="s">
        <v>415</v>
      </c>
      <c r="J307" s="22" t="s">
        <v>6632</v>
      </c>
      <c r="K307" s="22" t="s">
        <v>6256</v>
      </c>
      <c r="L307" s="20"/>
      <c r="M307" s="20"/>
      <c r="N307" s="20"/>
      <c r="O307" s="20"/>
      <c r="P307" s="20"/>
      <c r="Q307" s="20"/>
      <c r="R307" s="20"/>
      <c r="S307" s="20"/>
      <c r="T307" s="20"/>
      <c r="U307" s="20"/>
      <c r="V307" s="20"/>
      <c r="W307" s="20"/>
      <c r="X307" s="20"/>
      <c r="Y307" s="20"/>
      <c r="Z307" s="20"/>
    </row>
    <row r="308">
      <c r="A308" s="21">
        <v>69.0</v>
      </c>
      <c r="B308" s="42" t="s">
        <v>1738</v>
      </c>
      <c r="C308" s="43" t="s">
        <v>6164</v>
      </c>
      <c r="D308" s="42" t="s">
        <v>96</v>
      </c>
      <c r="E308" s="22" t="s">
        <v>57</v>
      </c>
      <c r="F308" s="22" t="s">
        <v>6633</v>
      </c>
      <c r="G308" s="22" t="s">
        <v>6255</v>
      </c>
      <c r="H308" s="22" t="s">
        <v>6255</v>
      </c>
      <c r="I308" s="22" t="s">
        <v>415</v>
      </c>
      <c r="J308" s="22" t="s">
        <v>5816</v>
      </c>
      <c r="K308" s="22" t="s">
        <v>6279</v>
      </c>
      <c r="L308" s="20"/>
      <c r="M308" s="20"/>
      <c r="N308" s="20"/>
      <c r="O308" s="20"/>
      <c r="P308" s="20"/>
      <c r="Q308" s="20"/>
      <c r="R308" s="20"/>
      <c r="S308" s="20"/>
      <c r="T308" s="20"/>
      <c r="U308" s="20"/>
      <c r="V308" s="20"/>
      <c r="W308" s="20"/>
      <c r="X308" s="20"/>
      <c r="Y308" s="20"/>
      <c r="Z308" s="20"/>
    </row>
    <row r="309">
      <c r="A309" s="21">
        <v>69.0</v>
      </c>
      <c r="B309" s="42" t="s">
        <v>1738</v>
      </c>
      <c r="C309" s="43" t="s">
        <v>6164</v>
      </c>
      <c r="D309" s="42" t="s">
        <v>444</v>
      </c>
      <c r="E309" s="22" t="s">
        <v>67</v>
      </c>
      <c r="F309" s="22" t="s">
        <v>6634</v>
      </c>
      <c r="G309" s="22" t="s">
        <v>6255</v>
      </c>
      <c r="H309" s="22" t="s">
        <v>6255</v>
      </c>
      <c r="I309" s="22" t="s">
        <v>415</v>
      </c>
      <c r="J309" s="22" t="s">
        <v>6632</v>
      </c>
      <c r="K309" s="22" t="s">
        <v>6279</v>
      </c>
      <c r="L309" s="20"/>
      <c r="M309" s="20"/>
      <c r="N309" s="20"/>
      <c r="O309" s="20"/>
      <c r="P309" s="20"/>
      <c r="Q309" s="20"/>
      <c r="R309" s="20"/>
      <c r="S309" s="20"/>
      <c r="T309" s="20"/>
      <c r="U309" s="20"/>
      <c r="V309" s="20"/>
      <c r="W309" s="20"/>
      <c r="X309" s="20"/>
      <c r="Y309" s="20"/>
      <c r="Z309" s="20"/>
    </row>
    <row r="310">
      <c r="A310" s="21">
        <v>69.0</v>
      </c>
      <c r="B310" s="42" t="s">
        <v>1738</v>
      </c>
      <c r="C310" s="43" t="s">
        <v>6164</v>
      </c>
      <c r="D310" s="42" t="s">
        <v>4771</v>
      </c>
      <c r="E310" s="22" t="s">
        <v>67</v>
      </c>
      <c r="F310" s="22" t="s">
        <v>6635</v>
      </c>
      <c r="G310" s="22" t="s">
        <v>6255</v>
      </c>
      <c r="H310" s="22" t="s">
        <v>6255</v>
      </c>
      <c r="I310" s="22" t="s">
        <v>415</v>
      </c>
      <c r="J310" s="22" t="s">
        <v>5816</v>
      </c>
      <c r="K310" s="22" t="s">
        <v>6279</v>
      </c>
      <c r="L310" s="20"/>
      <c r="M310" s="20"/>
      <c r="N310" s="20"/>
      <c r="O310" s="20"/>
      <c r="P310" s="20"/>
      <c r="Q310" s="20"/>
      <c r="R310" s="20"/>
      <c r="S310" s="20"/>
      <c r="T310" s="20"/>
      <c r="U310" s="20"/>
      <c r="V310" s="20"/>
      <c r="W310" s="20"/>
      <c r="X310" s="20"/>
      <c r="Y310" s="20"/>
      <c r="Z310" s="20"/>
    </row>
    <row r="311">
      <c r="A311" s="21">
        <v>70.0</v>
      </c>
      <c r="B311" s="42" t="s">
        <v>5194</v>
      </c>
      <c r="C311" s="43" t="s">
        <v>6164</v>
      </c>
      <c r="D311" s="42" t="s">
        <v>2019</v>
      </c>
      <c r="E311" s="22" t="s">
        <v>57</v>
      </c>
      <c r="F311" s="22" t="s">
        <v>6636</v>
      </c>
      <c r="G311" s="22" t="s">
        <v>6255</v>
      </c>
      <c r="H311" s="22" t="s">
        <v>6255</v>
      </c>
      <c r="I311" s="22" t="s">
        <v>415</v>
      </c>
      <c r="J311" s="22" t="s">
        <v>5907</v>
      </c>
      <c r="K311" s="22" t="s">
        <v>6256</v>
      </c>
      <c r="L311" s="20"/>
      <c r="M311" s="20"/>
      <c r="N311" s="20"/>
      <c r="O311" s="20"/>
      <c r="P311" s="20"/>
      <c r="Q311" s="20"/>
      <c r="R311" s="20"/>
      <c r="S311" s="20"/>
      <c r="T311" s="20"/>
      <c r="U311" s="20"/>
      <c r="V311" s="20"/>
      <c r="W311" s="20"/>
      <c r="X311" s="20"/>
      <c r="Y311" s="20"/>
      <c r="Z311" s="20"/>
    </row>
    <row r="312">
      <c r="A312" s="21">
        <v>70.0</v>
      </c>
      <c r="B312" s="42" t="s">
        <v>5194</v>
      </c>
      <c r="C312" s="43" t="s">
        <v>6164</v>
      </c>
      <c r="D312" s="42" t="s">
        <v>109</v>
      </c>
      <c r="E312" s="22" t="s">
        <v>57</v>
      </c>
      <c r="F312" s="22" t="s">
        <v>6637</v>
      </c>
      <c r="G312" s="22" t="s">
        <v>6255</v>
      </c>
      <c r="H312" s="22" t="s">
        <v>6255</v>
      </c>
      <c r="I312" s="22" t="s">
        <v>415</v>
      </c>
      <c r="J312" s="22" t="s">
        <v>5873</v>
      </c>
      <c r="K312" s="22" t="s">
        <v>6256</v>
      </c>
      <c r="L312" s="20"/>
      <c r="M312" s="20"/>
      <c r="N312" s="20"/>
      <c r="O312" s="20"/>
      <c r="P312" s="20"/>
      <c r="Q312" s="20"/>
      <c r="R312" s="20"/>
      <c r="S312" s="20"/>
      <c r="T312" s="20"/>
      <c r="U312" s="20"/>
      <c r="V312" s="20"/>
      <c r="W312" s="20"/>
      <c r="X312" s="20"/>
      <c r="Y312" s="20"/>
      <c r="Z312" s="20"/>
    </row>
    <row r="313">
      <c r="A313" s="21">
        <v>70.0</v>
      </c>
      <c r="B313" s="42" t="s">
        <v>5194</v>
      </c>
      <c r="C313" s="43" t="s">
        <v>6164</v>
      </c>
      <c r="D313" s="42" t="s">
        <v>5408</v>
      </c>
      <c r="E313" s="22" t="s">
        <v>57</v>
      </c>
      <c r="F313" s="22" t="s">
        <v>6638</v>
      </c>
      <c r="G313" s="22" t="s">
        <v>6255</v>
      </c>
      <c r="H313" s="22" t="s">
        <v>6255</v>
      </c>
      <c r="I313" s="22" t="s">
        <v>415</v>
      </c>
      <c r="J313" s="22" t="s">
        <v>5907</v>
      </c>
      <c r="K313" s="22" t="s">
        <v>6256</v>
      </c>
      <c r="L313" s="20"/>
      <c r="M313" s="20"/>
      <c r="N313" s="20"/>
      <c r="O313" s="20"/>
      <c r="P313" s="20"/>
      <c r="Q313" s="20"/>
      <c r="R313" s="20"/>
      <c r="S313" s="20"/>
      <c r="T313" s="20"/>
      <c r="U313" s="20"/>
      <c r="V313" s="20"/>
      <c r="W313" s="20"/>
      <c r="X313" s="20"/>
      <c r="Y313" s="20"/>
      <c r="Z313" s="20"/>
    </row>
    <row r="314">
      <c r="A314" s="21">
        <v>70.0</v>
      </c>
      <c r="B314" s="42" t="s">
        <v>5194</v>
      </c>
      <c r="C314" s="43" t="s">
        <v>6164</v>
      </c>
      <c r="D314" s="42" t="s">
        <v>5386</v>
      </c>
      <c r="E314" s="22" t="s">
        <v>57</v>
      </c>
      <c r="F314" s="22" t="s">
        <v>6639</v>
      </c>
      <c r="G314" s="22" t="s">
        <v>6255</v>
      </c>
      <c r="H314" s="22" t="s">
        <v>6255</v>
      </c>
      <c r="I314" s="22" t="s">
        <v>415</v>
      </c>
      <c r="J314" s="22" t="s">
        <v>5873</v>
      </c>
      <c r="K314" s="22" t="s">
        <v>6256</v>
      </c>
      <c r="L314" s="20"/>
      <c r="M314" s="20"/>
      <c r="N314" s="20"/>
      <c r="O314" s="20"/>
      <c r="P314" s="20"/>
      <c r="Q314" s="20"/>
      <c r="R314" s="20"/>
      <c r="S314" s="20"/>
      <c r="T314" s="20"/>
      <c r="U314" s="20"/>
      <c r="V314" s="20"/>
      <c r="W314" s="20"/>
      <c r="X314" s="20"/>
      <c r="Y314" s="20"/>
      <c r="Z314" s="20"/>
    </row>
    <row r="315">
      <c r="A315" s="21">
        <v>70.0</v>
      </c>
      <c r="B315" s="42" t="s">
        <v>5194</v>
      </c>
      <c r="C315" s="43" t="s">
        <v>6164</v>
      </c>
      <c r="D315" s="42" t="s">
        <v>2551</v>
      </c>
      <c r="E315" s="22" t="s">
        <v>67</v>
      </c>
      <c r="F315" s="22" t="s">
        <v>6640</v>
      </c>
      <c r="G315" s="22" t="s">
        <v>6255</v>
      </c>
      <c r="H315" s="22" t="s">
        <v>6255</v>
      </c>
      <c r="I315" s="22" t="s">
        <v>415</v>
      </c>
      <c r="J315" s="22" t="s">
        <v>5907</v>
      </c>
      <c r="K315" s="22" t="s">
        <v>6256</v>
      </c>
      <c r="L315" s="20"/>
      <c r="M315" s="20"/>
      <c r="N315" s="20"/>
      <c r="O315" s="20"/>
      <c r="P315" s="20"/>
      <c r="Q315" s="20"/>
      <c r="R315" s="20"/>
      <c r="S315" s="20"/>
      <c r="T315" s="20"/>
      <c r="U315" s="20"/>
      <c r="V315" s="20"/>
      <c r="W315" s="20"/>
      <c r="X315" s="20"/>
      <c r="Y315" s="20"/>
      <c r="Z315" s="20"/>
    </row>
    <row r="316">
      <c r="A316" s="21">
        <v>71.0</v>
      </c>
      <c r="B316" s="42" t="s">
        <v>2508</v>
      </c>
      <c r="C316" s="43" t="s">
        <v>6164</v>
      </c>
      <c r="D316" s="42" t="s">
        <v>2523</v>
      </c>
      <c r="E316" s="22" t="s">
        <v>57</v>
      </c>
      <c r="F316" s="22" t="s">
        <v>6641</v>
      </c>
      <c r="G316" s="22" t="s">
        <v>6255</v>
      </c>
      <c r="H316" s="22" t="s">
        <v>6255</v>
      </c>
      <c r="I316" s="22" t="s">
        <v>415</v>
      </c>
      <c r="J316" s="22" t="s">
        <v>5934</v>
      </c>
      <c r="K316" s="22" t="s">
        <v>6256</v>
      </c>
      <c r="L316" s="20"/>
      <c r="M316" s="20"/>
      <c r="N316" s="20"/>
      <c r="O316" s="20"/>
      <c r="P316" s="20"/>
      <c r="Q316" s="20"/>
      <c r="R316" s="20"/>
      <c r="S316" s="20"/>
      <c r="T316" s="20"/>
      <c r="U316" s="20"/>
      <c r="V316" s="20"/>
      <c r="W316" s="20"/>
      <c r="X316" s="20"/>
      <c r="Y316" s="20"/>
      <c r="Z316" s="20"/>
    </row>
    <row r="317">
      <c r="A317" s="21">
        <v>71.0</v>
      </c>
      <c r="B317" s="42" t="s">
        <v>2508</v>
      </c>
      <c r="C317" s="43" t="s">
        <v>6164</v>
      </c>
      <c r="D317" s="42" t="s">
        <v>1162</v>
      </c>
      <c r="E317" s="22" t="s">
        <v>57</v>
      </c>
      <c r="F317" s="22" t="s">
        <v>6642</v>
      </c>
      <c r="G317" s="22" t="s">
        <v>6255</v>
      </c>
      <c r="H317" s="22" t="s">
        <v>6255</v>
      </c>
      <c r="I317" s="22" t="s">
        <v>415</v>
      </c>
      <c r="J317" s="22" t="s">
        <v>5936</v>
      </c>
      <c r="K317" s="22" t="s">
        <v>6256</v>
      </c>
      <c r="L317" s="20"/>
      <c r="M317" s="20"/>
      <c r="N317" s="20"/>
      <c r="O317" s="20"/>
      <c r="P317" s="20"/>
      <c r="Q317" s="20"/>
      <c r="R317" s="20"/>
      <c r="S317" s="20"/>
      <c r="T317" s="20"/>
      <c r="U317" s="20"/>
      <c r="V317" s="20"/>
      <c r="W317" s="20"/>
      <c r="X317" s="20"/>
      <c r="Y317" s="20"/>
      <c r="Z317" s="20"/>
    </row>
    <row r="318">
      <c r="A318" s="21">
        <v>71.0</v>
      </c>
      <c r="B318" s="42" t="s">
        <v>2508</v>
      </c>
      <c r="C318" s="43" t="s">
        <v>6164</v>
      </c>
      <c r="D318" s="42" t="s">
        <v>2564</v>
      </c>
      <c r="E318" s="22" t="s">
        <v>57</v>
      </c>
      <c r="F318" s="22" t="s">
        <v>6643</v>
      </c>
      <c r="G318" s="22" t="s">
        <v>6255</v>
      </c>
      <c r="H318" s="22" t="s">
        <v>6255</v>
      </c>
      <c r="I318" s="22" t="s">
        <v>415</v>
      </c>
      <c r="J318" s="22" t="s">
        <v>5934</v>
      </c>
      <c r="K318" s="22" t="s">
        <v>6256</v>
      </c>
      <c r="L318" s="20"/>
      <c r="M318" s="20"/>
      <c r="N318" s="20"/>
      <c r="O318" s="20"/>
      <c r="P318" s="20"/>
      <c r="Q318" s="20"/>
      <c r="R318" s="20"/>
      <c r="S318" s="20"/>
      <c r="T318" s="20"/>
      <c r="U318" s="20"/>
      <c r="V318" s="20"/>
      <c r="W318" s="20"/>
      <c r="X318" s="20"/>
      <c r="Y318" s="20"/>
      <c r="Z318" s="20"/>
    </row>
    <row r="319">
      <c r="A319" s="21">
        <v>71.0</v>
      </c>
      <c r="B319" s="42" t="s">
        <v>2508</v>
      </c>
      <c r="C319" s="43" t="s">
        <v>6164</v>
      </c>
      <c r="D319" s="42" t="s">
        <v>2535</v>
      </c>
      <c r="E319" s="22" t="s">
        <v>57</v>
      </c>
      <c r="F319" s="22" t="s">
        <v>6644</v>
      </c>
      <c r="G319" s="22" t="s">
        <v>6255</v>
      </c>
      <c r="H319" s="22" t="s">
        <v>6255</v>
      </c>
      <c r="I319" s="22" t="s">
        <v>415</v>
      </c>
      <c r="J319" s="22" t="s">
        <v>5936</v>
      </c>
      <c r="K319" s="22" t="s">
        <v>6279</v>
      </c>
      <c r="L319" s="20"/>
      <c r="M319" s="20"/>
      <c r="N319" s="20"/>
      <c r="O319" s="20"/>
      <c r="P319" s="20"/>
      <c r="Q319" s="20"/>
      <c r="R319" s="20"/>
      <c r="S319" s="20"/>
      <c r="T319" s="20"/>
      <c r="U319" s="20"/>
      <c r="V319" s="20"/>
      <c r="W319" s="20"/>
      <c r="X319" s="20"/>
      <c r="Y319" s="20"/>
      <c r="Z319" s="20"/>
    </row>
    <row r="320">
      <c r="A320" s="21">
        <v>71.0</v>
      </c>
      <c r="B320" s="42" t="s">
        <v>2508</v>
      </c>
      <c r="C320" s="43" t="s">
        <v>6164</v>
      </c>
      <c r="D320" s="42" t="s">
        <v>2502</v>
      </c>
      <c r="E320" s="22" t="s">
        <v>67</v>
      </c>
      <c r="F320" s="22" t="s">
        <v>6645</v>
      </c>
      <c r="G320" s="22" t="s">
        <v>6255</v>
      </c>
      <c r="H320" s="22" t="s">
        <v>6255</v>
      </c>
      <c r="I320" s="22" t="s">
        <v>415</v>
      </c>
      <c r="J320" s="22" t="s">
        <v>5934</v>
      </c>
      <c r="K320" s="22" t="s">
        <v>6279</v>
      </c>
      <c r="L320" s="20"/>
      <c r="M320" s="20"/>
      <c r="N320" s="20"/>
      <c r="O320" s="20"/>
      <c r="P320" s="20"/>
      <c r="Q320" s="20"/>
      <c r="R320" s="20"/>
      <c r="S320" s="20"/>
      <c r="T320" s="20"/>
      <c r="U320" s="20"/>
      <c r="V320" s="20"/>
      <c r="W320" s="20"/>
      <c r="X320" s="20"/>
      <c r="Y320" s="20"/>
      <c r="Z320" s="20"/>
    </row>
    <row r="321">
      <c r="A321" s="21">
        <v>72.0</v>
      </c>
      <c r="B321" s="42" t="s">
        <v>160</v>
      </c>
      <c r="C321" s="43" t="s">
        <v>6164</v>
      </c>
      <c r="D321" s="42" t="s">
        <v>1103</v>
      </c>
      <c r="E321" s="22" t="s">
        <v>57</v>
      </c>
      <c r="F321" s="22" t="s">
        <v>6646</v>
      </c>
      <c r="G321" s="22" t="s">
        <v>6255</v>
      </c>
      <c r="H321" s="22" t="s">
        <v>6255</v>
      </c>
      <c r="I321" s="22" t="s">
        <v>415</v>
      </c>
      <c r="J321" s="22" t="s">
        <v>5975</v>
      </c>
      <c r="K321" s="22" t="s">
        <v>6279</v>
      </c>
      <c r="L321" s="20"/>
      <c r="M321" s="20"/>
      <c r="N321" s="20"/>
      <c r="O321" s="20"/>
      <c r="P321" s="20"/>
      <c r="Q321" s="20"/>
      <c r="R321" s="20"/>
      <c r="S321" s="20"/>
      <c r="T321" s="20"/>
      <c r="U321" s="20"/>
      <c r="V321" s="20"/>
      <c r="W321" s="20"/>
      <c r="X321" s="20"/>
      <c r="Y321" s="20"/>
      <c r="Z321" s="20"/>
    </row>
    <row r="322">
      <c r="A322" s="21">
        <v>72.0</v>
      </c>
      <c r="B322" s="42" t="s">
        <v>160</v>
      </c>
      <c r="C322" s="43" t="s">
        <v>6164</v>
      </c>
      <c r="D322" s="42" t="s">
        <v>4626</v>
      </c>
      <c r="E322" s="22" t="s">
        <v>57</v>
      </c>
      <c r="F322" s="22" t="s">
        <v>6647</v>
      </c>
      <c r="G322" s="22" t="s">
        <v>6255</v>
      </c>
      <c r="H322" s="22" t="s">
        <v>6255</v>
      </c>
      <c r="I322" s="22" t="s">
        <v>415</v>
      </c>
      <c r="J322" s="22" t="s">
        <v>5975</v>
      </c>
      <c r="K322" s="22" t="s">
        <v>6256</v>
      </c>
      <c r="L322" s="20"/>
      <c r="M322" s="20"/>
      <c r="N322" s="20"/>
      <c r="O322" s="20"/>
      <c r="P322" s="20"/>
      <c r="Q322" s="20"/>
      <c r="R322" s="20"/>
      <c r="S322" s="20"/>
      <c r="T322" s="20"/>
      <c r="U322" s="20"/>
      <c r="V322" s="20"/>
      <c r="W322" s="20"/>
      <c r="X322" s="20"/>
      <c r="Y322" s="20"/>
      <c r="Z322" s="20"/>
    </row>
    <row r="323">
      <c r="A323" s="21">
        <v>72.0</v>
      </c>
      <c r="B323" s="42" t="s">
        <v>160</v>
      </c>
      <c r="C323" s="43" t="s">
        <v>6164</v>
      </c>
      <c r="D323" s="42" t="s">
        <v>1156</v>
      </c>
      <c r="E323" s="22" t="s">
        <v>57</v>
      </c>
      <c r="F323" s="22" t="s">
        <v>6648</v>
      </c>
      <c r="G323" s="22" t="s">
        <v>6255</v>
      </c>
      <c r="H323" s="22" t="s">
        <v>6255</v>
      </c>
      <c r="I323" s="22" t="s">
        <v>415</v>
      </c>
      <c r="J323" s="22" t="s">
        <v>5975</v>
      </c>
      <c r="K323" s="22" t="s">
        <v>6256</v>
      </c>
      <c r="L323" s="20"/>
      <c r="M323" s="20"/>
      <c r="N323" s="20"/>
      <c r="O323" s="20"/>
      <c r="P323" s="20"/>
      <c r="Q323" s="20"/>
      <c r="R323" s="20"/>
      <c r="S323" s="20"/>
      <c r="T323" s="20"/>
      <c r="U323" s="20"/>
      <c r="V323" s="20"/>
      <c r="W323" s="20"/>
      <c r="X323" s="20"/>
      <c r="Y323" s="20"/>
      <c r="Z323" s="20"/>
    </row>
    <row r="324">
      <c r="A324" s="21">
        <v>72.0</v>
      </c>
      <c r="B324" s="42" t="s">
        <v>160</v>
      </c>
      <c r="C324" s="43" t="s">
        <v>6164</v>
      </c>
      <c r="D324" s="42" t="s">
        <v>101</v>
      </c>
      <c r="E324" s="22" t="s">
        <v>57</v>
      </c>
      <c r="F324" s="22" t="s">
        <v>6649</v>
      </c>
      <c r="G324" s="22" t="s">
        <v>6255</v>
      </c>
      <c r="H324" s="22" t="s">
        <v>6255</v>
      </c>
      <c r="I324" s="22" t="s">
        <v>415</v>
      </c>
      <c r="J324" s="22" t="s">
        <v>5975</v>
      </c>
      <c r="K324" s="22" t="s">
        <v>6256</v>
      </c>
      <c r="L324" s="20"/>
      <c r="M324" s="20"/>
      <c r="N324" s="20"/>
      <c r="O324" s="20"/>
      <c r="P324" s="20"/>
      <c r="Q324" s="20"/>
      <c r="R324" s="20"/>
      <c r="S324" s="20"/>
      <c r="T324" s="20"/>
      <c r="U324" s="20"/>
      <c r="V324" s="20"/>
      <c r="W324" s="20"/>
      <c r="X324" s="20"/>
      <c r="Y324" s="20"/>
      <c r="Z324" s="20"/>
    </row>
    <row r="325">
      <c r="A325" s="21">
        <v>72.0</v>
      </c>
      <c r="B325" s="42" t="s">
        <v>160</v>
      </c>
      <c r="C325" s="43" t="s">
        <v>6164</v>
      </c>
      <c r="D325" s="42" t="s">
        <v>96</v>
      </c>
      <c r="E325" s="22" t="s">
        <v>57</v>
      </c>
      <c r="F325" s="22" t="s">
        <v>6650</v>
      </c>
      <c r="G325" s="22" t="s">
        <v>6255</v>
      </c>
      <c r="H325" s="22" t="s">
        <v>6255</v>
      </c>
      <c r="I325" s="22" t="s">
        <v>415</v>
      </c>
      <c r="J325" s="22" t="s">
        <v>5975</v>
      </c>
      <c r="K325" s="22" t="s">
        <v>6279</v>
      </c>
      <c r="L325" s="20"/>
      <c r="M325" s="20"/>
      <c r="N325" s="20"/>
      <c r="O325" s="20"/>
      <c r="P325" s="20"/>
      <c r="Q325" s="20"/>
      <c r="R325" s="20"/>
      <c r="S325" s="20"/>
      <c r="T325" s="20"/>
      <c r="U325" s="20"/>
      <c r="V325" s="20"/>
      <c r="W325" s="20"/>
      <c r="X325" s="20"/>
      <c r="Y325" s="20"/>
      <c r="Z325" s="20"/>
    </row>
    <row r="326">
      <c r="A326" s="21">
        <v>73.0</v>
      </c>
      <c r="B326" s="42" t="s">
        <v>2513</v>
      </c>
      <c r="C326" s="43" t="s">
        <v>6164</v>
      </c>
      <c r="D326" s="42" t="s">
        <v>2497</v>
      </c>
      <c r="E326" s="22" t="s">
        <v>57</v>
      </c>
      <c r="F326" s="22" t="s">
        <v>6651</v>
      </c>
      <c r="G326" s="22" t="s">
        <v>6255</v>
      </c>
      <c r="H326" s="22" t="s">
        <v>6255</v>
      </c>
      <c r="I326" s="22" t="s">
        <v>415</v>
      </c>
      <c r="J326" s="22" t="s">
        <v>6055</v>
      </c>
      <c r="K326" s="22" t="s">
        <v>6279</v>
      </c>
      <c r="L326" s="20"/>
      <c r="M326" s="20"/>
      <c r="N326" s="20"/>
      <c r="O326" s="20"/>
      <c r="P326" s="20"/>
      <c r="Q326" s="20"/>
      <c r="R326" s="20"/>
      <c r="S326" s="20"/>
      <c r="T326" s="20"/>
      <c r="U326" s="20"/>
      <c r="V326" s="20"/>
      <c r="W326" s="20"/>
      <c r="X326" s="20"/>
      <c r="Y326" s="20"/>
      <c r="Z326" s="20"/>
    </row>
    <row r="327">
      <c r="A327" s="21">
        <v>73.0</v>
      </c>
      <c r="B327" s="42" t="s">
        <v>2513</v>
      </c>
      <c r="C327" s="43" t="s">
        <v>6164</v>
      </c>
      <c r="D327" s="42" t="s">
        <v>2488</v>
      </c>
      <c r="E327" s="22" t="s">
        <v>57</v>
      </c>
      <c r="F327" s="22" t="s">
        <v>6652</v>
      </c>
      <c r="G327" s="22" t="s">
        <v>6255</v>
      </c>
      <c r="H327" s="22" t="s">
        <v>6255</v>
      </c>
      <c r="I327" s="22" t="s">
        <v>415</v>
      </c>
      <c r="J327" s="22" t="s">
        <v>6016</v>
      </c>
      <c r="K327" s="22" t="s">
        <v>6279</v>
      </c>
      <c r="L327" s="20"/>
      <c r="M327" s="20"/>
      <c r="N327" s="20"/>
      <c r="O327" s="20"/>
      <c r="P327" s="20"/>
      <c r="Q327" s="20"/>
      <c r="R327" s="20"/>
      <c r="S327" s="20"/>
      <c r="T327" s="20"/>
      <c r="U327" s="20"/>
      <c r="V327" s="20"/>
      <c r="W327" s="20"/>
      <c r="X327" s="20"/>
      <c r="Y327" s="20"/>
      <c r="Z327" s="20"/>
    </row>
    <row r="328">
      <c r="A328" s="21">
        <v>73.0</v>
      </c>
      <c r="B328" s="42" t="s">
        <v>2513</v>
      </c>
      <c r="C328" s="43" t="s">
        <v>6164</v>
      </c>
      <c r="D328" s="42" t="s">
        <v>2542</v>
      </c>
      <c r="E328" s="22" t="s">
        <v>67</v>
      </c>
      <c r="F328" s="22" t="s">
        <v>6653</v>
      </c>
      <c r="G328" s="22" t="s">
        <v>6255</v>
      </c>
      <c r="H328" s="22" t="s">
        <v>6255</v>
      </c>
      <c r="I328" s="22" t="s">
        <v>415</v>
      </c>
      <c r="J328" s="22" t="s">
        <v>6055</v>
      </c>
      <c r="K328" s="22" t="s">
        <v>6256</v>
      </c>
      <c r="L328" s="20"/>
      <c r="M328" s="20"/>
      <c r="N328" s="20"/>
      <c r="O328" s="20"/>
      <c r="P328" s="20"/>
      <c r="Q328" s="20"/>
      <c r="R328" s="20"/>
      <c r="S328" s="20"/>
      <c r="T328" s="20"/>
      <c r="U328" s="20"/>
      <c r="V328" s="20"/>
      <c r="W328" s="20"/>
      <c r="X328" s="20"/>
      <c r="Y328" s="20"/>
      <c r="Z328" s="20"/>
    </row>
    <row r="329">
      <c r="A329" s="21">
        <v>73.0</v>
      </c>
      <c r="B329" s="42" t="s">
        <v>2513</v>
      </c>
      <c r="C329" s="43" t="s">
        <v>6164</v>
      </c>
      <c r="D329" s="42" t="s">
        <v>2529</v>
      </c>
      <c r="E329" s="22" t="s">
        <v>67</v>
      </c>
      <c r="F329" s="22" t="s">
        <v>6654</v>
      </c>
      <c r="G329" s="22" t="s">
        <v>6255</v>
      </c>
      <c r="H329" s="22" t="s">
        <v>6255</v>
      </c>
      <c r="I329" s="22" t="s">
        <v>415</v>
      </c>
      <c r="J329" s="22" t="s">
        <v>6016</v>
      </c>
      <c r="K329" s="22" t="s">
        <v>6269</v>
      </c>
      <c r="L329" s="20"/>
      <c r="M329" s="20"/>
      <c r="N329" s="20"/>
      <c r="O329" s="20"/>
      <c r="P329" s="20"/>
      <c r="Q329" s="20"/>
      <c r="R329" s="20"/>
      <c r="S329" s="20"/>
      <c r="T329" s="20"/>
      <c r="U329" s="20"/>
      <c r="V329" s="20"/>
      <c r="W329" s="20"/>
      <c r="X329" s="20"/>
      <c r="Y329" s="20"/>
      <c r="Z329" s="20"/>
    </row>
    <row r="330">
      <c r="A330" s="21">
        <v>74.0</v>
      </c>
      <c r="B330" s="42" t="s">
        <v>2539</v>
      </c>
      <c r="C330" s="43" t="s">
        <v>6164</v>
      </c>
      <c r="D330" s="42" t="s">
        <v>3351</v>
      </c>
      <c r="E330" s="22" t="s">
        <v>57</v>
      </c>
      <c r="F330" s="22" t="s">
        <v>6655</v>
      </c>
      <c r="G330" s="22" t="s">
        <v>6255</v>
      </c>
      <c r="H330" s="22" t="s">
        <v>6255</v>
      </c>
      <c r="I330" s="22" t="s">
        <v>415</v>
      </c>
      <c r="J330" s="22" t="s">
        <v>6057</v>
      </c>
      <c r="K330" s="22" t="s">
        <v>6256</v>
      </c>
      <c r="L330" s="20"/>
      <c r="M330" s="20"/>
      <c r="N330" s="20"/>
      <c r="O330" s="20"/>
      <c r="P330" s="20"/>
      <c r="Q330" s="20"/>
      <c r="R330" s="20"/>
      <c r="S330" s="20"/>
      <c r="T330" s="20"/>
      <c r="U330" s="20"/>
      <c r="V330" s="20"/>
      <c r="W330" s="20"/>
      <c r="X330" s="20"/>
      <c r="Y330" s="20"/>
      <c r="Z330" s="20"/>
    </row>
    <row r="331">
      <c r="A331" s="21">
        <v>74.0</v>
      </c>
      <c r="B331" s="42" t="s">
        <v>2539</v>
      </c>
      <c r="C331" s="43" t="s">
        <v>6164</v>
      </c>
      <c r="D331" s="42" t="s">
        <v>4771</v>
      </c>
      <c r="E331" s="22" t="s">
        <v>57</v>
      </c>
      <c r="F331" s="22" t="s">
        <v>6656</v>
      </c>
      <c r="G331" s="22" t="s">
        <v>6255</v>
      </c>
      <c r="H331" s="22" t="s">
        <v>6255</v>
      </c>
      <c r="I331" s="22" t="s">
        <v>415</v>
      </c>
      <c r="J331" s="22" t="s">
        <v>6057</v>
      </c>
      <c r="K331" s="22" t="s">
        <v>6279</v>
      </c>
      <c r="L331" s="20"/>
      <c r="M331" s="20"/>
      <c r="N331" s="20"/>
      <c r="O331" s="20"/>
      <c r="P331" s="20"/>
      <c r="Q331" s="20"/>
      <c r="R331" s="20"/>
      <c r="S331" s="20"/>
      <c r="T331" s="20"/>
      <c r="U331" s="20"/>
      <c r="V331" s="20"/>
      <c r="W331" s="20"/>
      <c r="X331" s="20"/>
      <c r="Y331" s="20"/>
      <c r="Z331" s="20"/>
    </row>
    <row r="332">
      <c r="A332" s="21">
        <v>74.0</v>
      </c>
      <c r="B332" s="42" t="s">
        <v>2539</v>
      </c>
      <c r="C332" s="43" t="s">
        <v>6164</v>
      </c>
      <c r="D332" s="42" t="s">
        <v>2529</v>
      </c>
      <c r="E332" s="22" t="s">
        <v>67</v>
      </c>
      <c r="F332" s="22" t="s">
        <v>6657</v>
      </c>
      <c r="G332" s="22" t="s">
        <v>6255</v>
      </c>
      <c r="H332" s="22" t="s">
        <v>6255</v>
      </c>
      <c r="I332" s="22" t="s">
        <v>415</v>
      </c>
      <c r="J332" s="22" t="s">
        <v>6057</v>
      </c>
      <c r="K332" s="22" t="s">
        <v>6269</v>
      </c>
      <c r="L332" s="20"/>
      <c r="M332" s="20"/>
      <c r="N332" s="20"/>
      <c r="O332" s="20"/>
      <c r="P332" s="20"/>
      <c r="Q332" s="20"/>
      <c r="R332" s="20"/>
      <c r="S332" s="20"/>
      <c r="T332" s="20"/>
      <c r="U332" s="20"/>
      <c r="V332" s="20"/>
      <c r="W332" s="20"/>
      <c r="X332" s="20"/>
      <c r="Y332" s="20"/>
      <c r="Z332" s="20"/>
    </row>
    <row r="333">
      <c r="A333" s="21">
        <v>74.0</v>
      </c>
      <c r="B333" s="42" t="s">
        <v>2539</v>
      </c>
      <c r="C333" s="43" t="s">
        <v>6164</v>
      </c>
      <c r="D333" s="42" t="s">
        <v>1103</v>
      </c>
      <c r="E333" s="22" t="s">
        <v>67</v>
      </c>
      <c r="F333" s="22" t="s">
        <v>6658</v>
      </c>
      <c r="G333" s="22" t="s">
        <v>6255</v>
      </c>
      <c r="H333" s="22" t="s">
        <v>6255</v>
      </c>
      <c r="I333" s="22" t="s">
        <v>415</v>
      </c>
      <c r="J333" s="22" t="s">
        <v>6057</v>
      </c>
      <c r="K333" s="22" t="s">
        <v>6279</v>
      </c>
      <c r="L333" s="20"/>
      <c r="M333" s="20"/>
      <c r="N333" s="20"/>
      <c r="O333" s="20"/>
      <c r="P333" s="20"/>
      <c r="Q333" s="20"/>
      <c r="R333" s="20"/>
      <c r="S333" s="20"/>
      <c r="T333" s="20"/>
      <c r="U333" s="20"/>
      <c r="V333" s="20"/>
      <c r="W333" s="20"/>
      <c r="X333" s="20"/>
      <c r="Y333" s="20"/>
      <c r="Z333" s="20"/>
    </row>
    <row r="334">
      <c r="A334" s="21">
        <v>75.0</v>
      </c>
      <c r="B334" s="42" t="s">
        <v>5315</v>
      </c>
      <c r="C334" s="43" t="s">
        <v>6296</v>
      </c>
      <c r="D334" s="42" t="s">
        <v>5500</v>
      </c>
      <c r="E334" s="22" t="s">
        <v>57</v>
      </c>
      <c r="F334" s="22" t="s">
        <v>6659</v>
      </c>
      <c r="G334" s="22" t="s">
        <v>6255</v>
      </c>
      <c r="H334" s="22" t="s">
        <v>6255</v>
      </c>
      <c r="I334" s="22" t="s">
        <v>415</v>
      </c>
      <c r="J334" s="22" t="s">
        <v>6140</v>
      </c>
      <c r="K334" s="22" t="s">
        <v>6256</v>
      </c>
      <c r="L334" s="20"/>
      <c r="M334" s="20"/>
      <c r="N334" s="20"/>
      <c r="O334" s="20"/>
      <c r="P334" s="20"/>
      <c r="Q334" s="20"/>
      <c r="R334" s="20"/>
      <c r="S334" s="20"/>
      <c r="T334" s="20"/>
      <c r="U334" s="20"/>
      <c r="V334" s="20"/>
      <c r="W334" s="20"/>
      <c r="X334" s="20"/>
      <c r="Y334" s="20"/>
      <c r="Z334" s="20"/>
    </row>
    <row r="335">
      <c r="A335" s="21">
        <v>75.0</v>
      </c>
      <c r="B335" s="42" t="s">
        <v>5315</v>
      </c>
      <c r="C335" s="43" t="s">
        <v>6296</v>
      </c>
      <c r="D335" s="42" t="s">
        <v>5989</v>
      </c>
      <c r="E335" s="22" t="s">
        <v>57</v>
      </c>
      <c r="F335" s="22" t="s">
        <v>6660</v>
      </c>
      <c r="G335" s="22" t="s">
        <v>6255</v>
      </c>
      <c r="H335" s="22" t="s">
        <v>6255</v>
      </c>
      <c r="I335" s="22" t="s">
        <v>415</v>
      </c>
      <c r="J335" s="22" t="s">
        <v>6096</v>
      </c>
      <c r="K335" s="22" t="s">
        <v>6256</v>
      </c>
      <c r="L335" s="20"/>
      <c r="M335" s="20"/>
      <c r="N335" s="20"/>
      <c r="O335" s="20"/>
      <c r="P335" s="20"/>
      <c r="Q335" s="20"/>
      <c r="R335" s="20"/>
      <c r="S335" s="20"/>
      <c r="T335" s="20"/>
      <c r="U335" s="20"/>
      <c r="V335" s="20"/>
      <c r="W335" s="20"/>
      <c r="X335" s="20"/>
      <c r="Y335" s="20"/>
      <c r="Z335" s="20"/>
    </row>
    <row r="336">
      <c r="A336" s="21">
        <v>75.0</v>
      </c>
      <c r="B336" s="42" t="s">
        <v>5315</v>
      </c>
      <c r="C336" s="43" t="s">
        <v>6296</v>
      </c>
      <c r="D336" s="42" t="s">
        <v>1454</v>
      </c>
      <c r="E336" s="22" t="s">
        <v>57</v>
      </c>
      <c r="F336" s="22" t="s">
        <v>6661</v>
      </c>
      <c r="G336" s="22" t="s">
        <v>6255</v>
      </c>
      <c r="H336" s="22" t="s">
        <v>6255</v>
      </c>
      <c r="I336" s="22" t="s">
        <v>415</v>
      </c>
      <c r="J336" s="22" t="s">
        <v>6102</v>
      </c>
      <c r="K336" s="22" t="s">
        <v>6256</v>
      </c>
      <c r="L336" s="20"/>
      <c r="M336" s="20"/>
      <c r="N336" s="20"/>
      <c r="O336" s="20"/>
      <c r="P336" s="20"/>
      <c r="Q336" s="20"/>
      <c r="R336" s="20"/>
      <c r="S336" s="20"/>
      <c r="T336" s="20"/>
      <c r="U336" s="20"/>
      <c r="V336" s="20"/>
      <c r="W336" s="20"/>
      <c r="X336" s="20"/>
      <c r="Y336" s="20"/>
      <c r="Z336" s="20"/>
    </row>
    <row r="337">
      <c r="A337" s="21">
        <v>75.0</v>
      </c>
      <c r="B337" s="42" t="s">
        <v>5315</v>
      </c>
      <c r="C337" s="43" t="s">
        <v>6296</v>
      </c>
      <c r="D337" s="42" t="s">
        <v>1122</v>
      </c>
      <c r="E337" s="22" t="s">
        <v>57</v>
      </c>
      <c r="F337" s="22" t="s">
        <v>6662</v>
      </c>
      <c r="G337" s="22" t="s">
        <v>6255</v>
      </c>
      <c r="H337" s="22" t="s">
        <v>6255</v>
      </c>
      <c r="I337" s="22" t="s">
        <v>415</v>
      </c>
      <c r="J337" s="22" t="s">
        <v>6140</v>
      </c>
      <c r="K337" s="22" t="s">
        <v>6256</v>
      </c>
      <c r="L337" s="20"/>
      <c r="M337" s="20"/>
      <c r="N337" s="20"/>
      <c r="O337" s="20"/>
      <c r="P337" s="20"/>
      <c r="Q337" s="20"/>
      <c r="R337" s="20"/>
      <c r="S337" s="20"/>
      <c r="T337" s="20"/>
      <c r="U337" s="20"/>
      <c r="V337" s="20"/>
      <c r="W337" s="20"/>
      <c r="X337" s="20"/>
      <c r="Y337" s="20"/>
      <c r="Z337" s="20"/>
    </row>
    <row r="338">
      <c r="A338" s="21">
        <v>75.0</v>
      </c>
      <c r="B338" s="42" t="s">
        <v>5315</v>
      </c>
      <c r="C338" s="43" t="s">
        <v>6296</v>
      </c>
      <c r="D338" s="42" t="s">
        <v>6103</v>
      </c>
      <c r="E338" s="22" t="s">
        <v>57</v>
      </c>
      <c r="F338" s="22" t="s">
        <v>6663</v>
      </c>
      <c r="G338" s="22" t="s">
        <v>6255</v>
      </c>
      <c r="H338" s="22" t="s">
        <v>6255</v>
      </c>
      <c r="I338" s="22" t="s">
        <v>415</v>
      </c>
      <c r="J338" s="22" t="s">
        <v>6096</v>
      </c>
      <c r="K338" s="22" t="s">
        <v>6256</v>
      </c>
      <c r="L338" s="20"/>
      <c r="M338" s="20"/>
      <c r="N338" s="20"/>
      <c r="O338" s="20"/>
      <c r="P338" s="20"/>
      <c r="Q338" s="20"/>
      <c r="R338" s="20"/>
      <c r="S338" s="20"/>
      <c r="T338" s="20"/>
      <c r="U338" s="20"/>
      <c r="V338" s="20"/>
      <c r="W338" s="20"/>
      <c r="X338" s="20"/>
      <c r="Y338" s="20"/>
      <c r="Z338" s="20"/>
    </row>
    <row r="339">
      <c r="A339" s="28"/>
      <c r="B339" s="44"/>
      <c r="C339" s="44"/>
      <c r="D339" s="44"/>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8"/>
      <c r="B340" s="44"/>
      <c r="C340" s="44"/>
      <c r="D340" s="44"/>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8"/>
      <c r="B341" s="44"/>
      <c r="C341" s="44"/>
      <c r="D341" s="44"/>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8"/>
      <c r="B342" s="44"/>
      <c r="C342" s="44"/>
      <c r="D342" s="44"/>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8"/>
      <c r="B343" s="44"/>
      <c r="C343" s="44"/>
      <c r="D343" s="44"/>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8"/>
      <c r="B344" s="44"/>
      <c r="C344" s="44"/>
      <c r="D344" s="44"/>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8"/>
      <c r="B345" s="44"/>
      <c r="C345" s="44"/>
      <c r="D345" s="44"/>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8"/>
      <c r="B346" s="44"/>
      <c r="C346" s="44"/>
      <c r="D346" s="44"/>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8"/>
      <c r="B347" s="44"/>
      <c r="C347" s="44"/>
      <c r="D347" s="44"/>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8"/>
      <c r="B348" s="44"/>
      <c r="C348" s="44"/>
      <c r="D348" s="44"/>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8"/>
      <c r="B349" s="44"/>
      <c r="C349" s="44"/>
      <c r="D349" s="44"/>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8"/>
      <c r="B350" s="44"/>
      <c r="C350" s="44"/>
      <c r="D350" s="44"/>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8"/>
      <c r="B351" s="44"/>
      <c r="C351" s="44"/>
      <c r="D351" s="44"/>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8"/>
      <c r="B352" s="44"/>
      <c r="C352" s="44"/>
      <c r="D352" s="44"/>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8"/>
      <c r="B353" s="44"/>
      <c r="C353" s="44"/>
      <c r="D353" s="44"/>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8"/>
      <c r="B354" s="44"/>
      <c r="C354" s="44"/>
      <c r="D354" s="44"/>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8"/>
      <c r="B355" s="44"/>
      <c r="C355" s="44"/>
      <c r="D355" s="44"/>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8"/>
      <c r="B356" s="44"/>
      <c r="C356" s="44"/>
      <c r="D356" s="44"/>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8"/>
      <c r="B357" s="44"/>
      <c r="C357" s="44"/>
      <c r="D357" s="44"/>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8"/>
      <c r="B358" s="44"/>
      <c r="C358" s="44"/>
      <c r="D358" s="44"/>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8"/>
      <c r="B359" s="44"/>
      <c r="C359" s="44"/>
      <c r="D359" s="44"/>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8"/>
      <c r="B360" s="44"/>
      <c r="C360" s="44"/>
      <c r="D360" s="44"/>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8"/>
      <c r="B361" s="44"/>
      <c r="C361" s="44"/>
      <c r="D361" s="44"/>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8"/>
      <c r="B362" s="44"/>
      <c r="C362" s="44"/>
      <c r="D362" s="44"/>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8"/>
      <c r="B363" s="44"/>
      <c r="C363" s="44"/>
      <c r="D363" s="44"/>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8"/>
      <c r="B364" s="44"/>
      <c r="C364" s="44"/>
      <c r="D364" s="44"/>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8"/>
      <c r="B365" s="44"/>
      <c r="C365" s="44"/>
      <c r="D365" s="44"/>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8"/>
      <c r="B366" s="44"/>
      <c r="C366" s="44"/>
      <c r="D366" s="44"/>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8"/>
      <c r="B367" s="44"/>
      <c r="C367" s="44"/>
      <c r="D367" s="44"/>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8"/>
      <c r="B368" s="44"/>
      <c r="C368" s="44"/>
      <c r="D368" s="44"/>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8"/>
      <c r="B369" s="44"/>
      <c r="C369" s="44"/>
      <c r="D369" s="44"/>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8"/>
      <c r="B370" s="44"/>
      <c r="C370" s="44"/>
      <c r="D370" s="44"/>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8"/>
      <c r="B371" s="44"/>
      <c r="C371" s="44"/>
      <c r="D371" s="44"/>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8"/>
      <c r="B372" s="44"/>
      <c r="C372" s="44"/>
      <c r="D372" s="44"/>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8"/>
      <c r="B373" s="44"/>
      <c r="C373" s="44"/>
      <c r="D373" s="44"/>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8"/>
      <c r="B374" s="44"/>
      <c r="C374" s="44"/>
      <c r="D374" s="44"/>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8"/>
      <c r="B375" s="44"/>
      <c r="C375" s="44"/>
      <c r="D375" s="44"/>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8"/>
      <c r="B376" s="44"/>
      <c r="C376" s="44"/>
      <c r="D376" s="44"/>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8"/>
      <c r="B377" s="44"/>
      <c r="C377" s="44"/>
      <c r="D377" s="44"/>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8"/>
      <c r="B378" s="44"/>
      <c r="C378" s="44"/>
      <c r="D378" s="44"/>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8"/>
      <c r="B379" s="44"/>
      <c r="C379" s="44"/>
      <c r="D379" s="44"/>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8"/>
      <c r="B380" s="44"/>
      <c r="C380" s="44"/>
      <c r="D380" s="44"/>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8"/>
      <c r="B381" s="44"/>
      <c r="C381" s="44"/>
      <c r="D381" s="44"/>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8"/>
      <c r="B382" s="44"/>
      <c r="C382" s="44"/>
      <c r="D382" s="44"/>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8"/>
      <c r="B383" s="44"/>
      <c r="C383" s="44"/>
      <c r="D383" s="44"/>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8"/>
      <c r="B384" s="44"/>
      <c r="C384" s="44"/>
      <c r="D384" s="44"/>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8"/>
      <c r="B385" s="44"/>
      <c r="C385" s="44"/>
      <c r="D385" s="44"/>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8"/>
      <c r="B386" s="44"/>
      <c r="C386" s="44"/>
      <c r="D386" s="44"/>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8"/>
      <c r="B387" s="44"/>
      <c r="C387" s="44"/>
      <c r="D387" s="44"/>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8"/>
      <c r="B388" s="44"/>
      <c r="C388" s="44"/>
      <c r="D388" s="44"/>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8"/>
      <c r="B389" s="44"/>
      <c r="C389" s="44"/>
      <c r="D389" s="44"/>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8"/>
      <c r="B390" s="44"/>
      <c r="C390" s="44"/>
      <c r="D390" s="44"/>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8"/>
      <c r="B391" s="44"/>
      <c r="C391" s="44"/>
      <c r="D391" s="44"/>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8"/>
      <c r="B392" s="44"/>
      <c r="C392" s="44"/>
      <c r="D392" s="44"/>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8"/>
      <c r="B393" s="44"/>
      <c r="C393" s="44"/>
      <c r="D393" s="44"/>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8"/>
      <c r="B394" s="44"/>
      <c r="C394" s="44"/>
      <c r="D394" s="44"/>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8"/>
      <c r="B395" s="44"/>
      <c r="C395" s="44"/>
      <c r="D395" s="44"/>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8"/>
      <c r="B396" s="44"/>
      <c r="C396" s="44"/>
      <c r="D396" s="44"/>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8"/>
      <c r="B397" s="44"/>
      <c r="C397" s="44"/>
      <c r="D397" s="44"/>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8"/>
      <c r="B398" s="44"/>
      <c r="C398" s="44"/>
      <c r="D398" s="44"/>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8"/>
      <c r="B399" s="44"/>
      <c r="C399" s="44"/>
      <c r="D399" s="44"/>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8"/>
      <c r="B400" s="44"/>
      <c r="C400" s="44"/>
      <c r="D400" s="44"/>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8"/>
      <c r="B401" s="44"/>
      <c r="C401" s="44"/>
      <c r="D401" s="44"/>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8"/>
      <c r="B402" s="44"/>
      <c r="C402" s="44"/>
      <c r="D402" s="44"/>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8"/>
      <c r="B403" s="44"/>
      <c r="C403" s="44"/>
      <c r="D403" s="44"/>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8"/>
      <c r="B404" s="44"/>
      <c r="C404" s="44"/>
      <c r="D404" s="44"/>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8"/>
      <c r="B405" s="44"/>
      <c r="C405" s="44"/>
      <c r="D405" s="44"/>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8"/>
      <c r="B406" s="44"/>
      <c r="C406" s="44"/>
      <c r="D406" s="44"/>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8"/>
      <c r="B407" s="44"/>
      <c r="C407" s="44"/>
      <c r="D407" s="44"/>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8"/>
      <c r="B408" s="44"/>
      <c r="C408" s="44"/>
      <c r="D408" s="44"/>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8"/>
      <c r="B409" s="44"/>
      <c r="C409" s="44"/>
      <c r="D409" s="44"/>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8"/>
      <c r="B410" s="44"/>
      <c r="C410" s="44"/>
      <c r="D410" s="44"/>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8"/>
      <c r="B411" s="44"/>
      <c r="C411" s="44"/>
      <c r="D411" s="44"/>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8"/>
      <c r="B412" s="44"/>
      <c r="C412" s="44"/>
      <c r="D412" s="44"/>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8"/>
      <c r="B413" s="44"/>
      <c r="C413" s="44"/>
      <c r="D413" s="44"/>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8"/>
      <c r="B414" s="44"/>
      <c r="C414" s="44"/>
      <c r="D414" s="44"/>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8"/>
      <c r="B415" s="44"/>
      <c r="C415" s="44"/>
      <c r="D415" s="44"/>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8"/>
      <c r="B416" s="44"/>
      <c r="C416" s="44"/>
      <c r="D416" s="44"/>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8"/>
      <c r="B417" s="44"/>
      <c r="C417" s="44"/>
      <c r="D417" s="44"/>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8"/>
      <c r="B418" s="44"/>
      <c r="C418" s="44"/>
      <c r="D418" s="44"/>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8"/>
      <c r="B419" s="44"/>
      <c r="C419" s="44"/>
      <c r="D419" s="44"/>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8"/>
      <c r="B420" s="44"/>
      <c r="C420" s="44"/>
      <c r="D420" s="44"/>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8"/>
      <c r="B421" s="44"/>
      <c r="C421" s="44"/>
      <c r="D421" s="44"/>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8"/>
      <c r="B422" s="44"/>
      <c r="C422" s="44"/>
      <c r="D422" s="44"/>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8"/>
      <c r="B423" s="44"/>
      <c r="C423" s="44"/>
      <c r="D423" s="44"/>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8"/>
      <c r="B424" s="44"/>
      <c r="C424" s="44"/>
      <c r="D424" s="44"/>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8"/>
      <c r="B425" s="44"/>
      <c r="C425" s="44"/>
      <c r="D425" s="44"/>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8"/>
      <c r="B426" s="44"/>
      <c r="C426" s="44"/>
      <c r="D426" s="44"/>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8"/>
      <c r="B427" s="44"/>
      <c r="C427" s="44"/>
      <c r="D427" s="44"/>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8"/>
      <c r="B428" s="44"/>
      <c r="C428" s="44"/>
      <c r="D428" s="44"/>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8"/>
      <c r="B429" s="44"/>
      <c r="C429" s="44"/>
      <c r="D429" s="44"/>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8"/>
      <c r="B430" s="44"/>
      <c r="C430" s="44"/>
      <c r="D430" s="44"/>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8"/>
      <c r="B431" s="44"/>
      <c r="C431" s="44"/>
      <c r="D431" s="44"/>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8"/>
      <c r="B432" s="44"/>
      <c r="C432" s="44"/>
      <c r="D432" s="44"/>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8"/>
      <c r="B433" s="44"/>
      <c r="C433" s="44"/>
      <c r="D433" s="44"/>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8"/>
      <c r="B434" s="44"/>
      <c r="C434" s="44"/>
      <c r="D434" s="44"/>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8"/>
      <c r="B435" s="44"/>
      <c r="C435" s="44"/>
      <c r="D435" s="44"/>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8"/>
      <c r="B436" s="44"/>
      <c r="C436" s="44"/>
      <c r="D436" s="44"/>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8"/>
      <c r="B437" s="44"/>
      <c r="C437" s="44"/>
      <c r="D437" s="44"/>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8"/>
      <c r="B438" s="44"/>
      <c r="C438" s="44"/>
      <c r="D438" s="44"/>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8"/>
      <c r="B439" s="44"/>
      <c r="C439" s="44"/>
      <c r="D439" s="44"/>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8"/>
      <c r="B440" s="44"/>
      <c r="C440" s="44"/>
      <c r="D440" s="44"/>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8"/>
      <c r="B441" s="44"/>
      <c r="C441" s="44"/>
      <c r="D441" s="44"/>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8"/>
      <c r="B442" s="44"/>
      <c r="C442" s="44"/>
      <c r="D442" s="44"/>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8"/>
      <c r="B443" s="44"/>
      <c r="C443" s="44"/>
      <c r="D443" s="44"/>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8"/>
      <c r="B444" s="44"/>
      <c r="C444" s="44"/>
      <c r="D444" s="44"/>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8"/>
      <c r="B445" s="44"/>
      <c r="C445" s="44"/>
      <c r="D445" s="44"/>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8"/>
      <c r="B446" s="44"/>
      <c r="C446" s="44"/>
      <c r="D446" s="44"/>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8"/>
      <c r="B447" s="44"/>
      <c r="C447" s="44"/>
      <c r="D447" s="44"/>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8"/>
      <c r="B448" s="44"/>
      <c r="C448" s="44"/>
      <c r="D448" s="44"/>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8"/>
      <c r="B449" s="44"/>
      <c r="C449" s="44"/>
      <c r="D449" s="44"/>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8"/>
      <c r="B450" s="44"/>
      <c r="C450" s="44"/>
      <c r="D450" s="44"/>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8"/>
      <c r="B451" s="44"/>
      <c r="C451" s="44"/>
      <c r="D451" s="44"/>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8"/>
      <c r="B452" s="44"/>
      <c r="C452" s="44"/>
      <c r="D452" s="44"/>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8"/>
      <c r="B453" s="44"/>
      <c r="C453" s="44"/>
      <c r="D453" s="44"/>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8"/>
      <c r="B454" s="44"/>
      <c r="C454" s="44"/>
      <c r="D454" s="44"/>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8"/>
      <c r="B455" s="44"/>
      <c r="C455" s="44"/>
      <c r="D455" s="44"/>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8"/>
      <c r="B456" s="44"/>
      <c r="C456" s="44"/>
      <c r="D456" s="44"/>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8"/>
      <c r="B457" s="44"/>
      <c r="C457" s="44"/>
      <c r="D457" s="44"/>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8"/>
      <c r="B458" s="44"/>
      <c r="C458" s="44"/>
      <c r="D458" s="44"/>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8"/>
      <c r="B459" s="44"/>
      <c r="C459" s="44"/>
      <c r="D459" s="44"/>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8"/>
      <c r="B460" s="44"/>
      <c r="C460" s="44"/>
      <c r="D460" s="44"/>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8"/>
      <c r="B461" s="44"/>
      <c r="C461" s="44"/>
      <c r="D461" s="44"/>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8"/>
      <c r="B462" s="44"/>
      <c r="C462" s="44"/>
      <c r="D462" s="44"/>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8"/>
      <c r="B463" s="44"/>
      <c r="C463" s="44"/>
      <c r="D463" s="44"/>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8"/>
      <c r="B464" s="44"/>
      <c r="C464" s="44"/>
      <c r="D464" s="44"/>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8"/>
      <c r="B465" s="44"/>
      <c r="C465" s="44"/>
      <c r="D465" s="44"/>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8"/>
      <c r="B466" s="44"/>
      <c r="C466" s="44"/>
      <c r="D466" s="44"/>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8"/>
      <c r="B467" s="44"/>
      <c r="C467" s="44"/>
      <c r="D467" s="44"/>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8"/>
      <c r="B468" s="44"/>
      <c r="C468" s="44"/>
      <c r="D468" s="44"/>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8"/>
      <c r="B469" s="44"/>
      <c r="C469" s="44"/>
      <c r="D469" s="44"/>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8"/>
      <c r="B470" s="44"/>
      <c r="C470" s="44"/>
      <c r="D470" s="44"/>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8"/>
      <c r="B471" s="44"/>
      <c r="C471" s="44"/>
      <c r="D471" s="44"/>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8"/>
      <c r="B472" s="44"/>
      <c r="C472" s="44"/>
      <c r="D472" s="44"/>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8"/>
      <c r="B473" s="44"/>
      <c r="C473" s="44"/>
      <c r="D473" s="44"/>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8"/>
      <c r="B474" s="44"/>
      <c r="C474" s="44"/>
      <c r="D474" s="44"/>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8"/>
      <c r="B475" s="44"/>
      <c r="C475" s="44"/>
      <c r="D475" s="44"/>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8"/>
      <c r="B476" s="44"/>
      <c r="C476" s="44"/>
      <c r="D476" s="44"/>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8"/>
      <c r="B477" s="44"/>
      <c r="C477" s="44"/>
      <c r="D477" s="44"/>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8"/>
      <c r="B478" s="44"/>
      <c r="C478" s="44"/>
      <c r="D478" s="44"/>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8"/>
      <c r="B479" s="44"/>
      <c r="C479" s="44"/>
      <c r="D479" s="44"/>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8"/>
      <c r="B480" s="44"/>
      <c r="C480" s="44"/>
      <c r="D480" s="44"/>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8"/>
      <c r="B481" s="44"/>
      <c r="C481" s="44"/>
      <c r="D481" s="44"/>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8"/>
      <c r="B482" s="44"/>
      <c r="C482" s="44"/>
      <c r="D482" s="44"/>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8"/>
      <c r="B483" s="44"/>
      <c r="C483" s="44"/>
      <c r="D483" s="44"/>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8"/>
      <c r="B484" s="44"/>
      <c r="C484" s="44"/>
      <c r="D484" s="44"/>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8"/>
      <c r="B485" s="44"/>
      <c r="C485" s="44"/>
      <c r="D485" s="44"/>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8"/>
      <c r="B486" s="44"/>
      <c r="C486" s="44"/>
      <c r="D486" s="44"/>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8"/>
      <c r="B487" s="44"/>
      <c r="C487" s="44"/>
      <c r="D487" s="44"/>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8"/>
      <c r="B488" s="44"/>
      <c r="C488" s="44"/>
      <c r="D488" s="44"/>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8"/>
      <c r="B489" s="44"/>
      <c r="C489" s="44"/>
      <c r="D489" s="44"/>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8"/>
      <c r="B490" s="44"/>
      <c r="C490" s="44"/>
      <c r="D490" s="44"/>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8"/>
      <c r="B491" s="44"/>
      <c r="C491" s="44"/>
      <c r="D491" s="44"/>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8"/>
      <c r="B492" s="44"/>
      <c r="C492" s="44"/>
      <c r="D492" s="44"/>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8"/>
      <c r="B493" s="44"/>
      <c r="C493" s="44"/>
      <c r="D493" s="44"/>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8"/>
      <c r="B494" s="44"/>
      <c r="C494" s="44"/>
      <c r="D494" s="44"/>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8"/>
      <c r="B495" s="44"/>
      <c r="C495" s="44"/>
      <c r="D495" s="44"/>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8"/>
      <c r="B496" s="44"/>
      <c r="C496" s="44"/>
      <c r="D496" s="44"/>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8"/>
      <c r="B497" s="44"/>
      <c r="C497" s="44"/>
      <c r="D497" s="44"/>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8"/>
      <c r="B498" s="44"/>
      <c r="C498" s="44"/>
      <c r="D498" s="44"/>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8"/>
      <c r="B499" s="44"/>
      <c r="C499" s="44"/>
      <c r="D499" s="44"/>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8"/>
      <c r="B500" s="44"/>
      <c r="C500" s="44"/>
      <c r="D500" s="44"/>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8"/>
      <c r="B501" s="44"/>
      <c r="C501" s="44"/>
      <c r="D501" s="44"/>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8"/>
      <c r="B502" s="44"/>
      <c r="C502" s="44"/>
      <c r="D502" s="44"/>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8"/>
      <c r="B503" s="44"/>
      <c r="C503" s="44"/>
      <c r="D503" s="44"/>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8"/>
      <c r="B504" s="44"/>
      <c r="C504" s="44"/>
      <c r="D504" s="44"/>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8"/>
      <c r="B505" s="44"/>
      <c r="C505" s="44"/>
      <c r="D505" s="44"/>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8"/>
      <c r="B506" s="44"/>
      <c r="C506" s="44"/>
      <c r="D506" s="44"/>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8"/>
      <c r="B507" s="44"/>
      <c r="C507" s="44"/>
      <c r="D507" s="44"/>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8"/>
      <c r="B508" s="44"/>
      <c r="C508" s="44"/>
      <c r="D508" s="44"/>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8"/>
      <c r="B509" s="44"/>
      <c r="C509" s="44"/>
      <c r="D509" s="44"/>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8"/>
      <c r="B510" s="44"/>
      <c r="C510" s="44"/>
      <c r="D510" s="44"/>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8"/>
      <c r="B511" s="44"/>
      <c r="C511" s="44"/>
      <c r="D511" s="44"/>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8"/>
      <c r="B512" s="44"/>
      <c r="C512" s="44"/>
      <c r="D512" s="44"/>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8"/>
      <c r="B513" s="44"/>
      <c r="C513" s="44"/>
      <c r="D513" s="44"/>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8"/>
      <c r="B514" s="44"/>
      <c r="C514" s="44"/>
      <c r="D514" s="44"/>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8"/>
      <c r="B515" s="44"/>
      <c r="C515" s="44"/>
      <c r="D515" s="44"/>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8"/>
      <c r="B516" s="44"/>
      <c r="C516" s="44"/>
      <c r="D516" s="44"/>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8"/>
      <c r="B517" s="44"/>
      <c r="C517" s="44"/>
      <c r="D517" s="44"/>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8"/>
      <c r="B518" s="44"/>
      <c r="C518" s="44"/>
      <c r="D518" s="44"/>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8"/>
      <c r="B519" s="44"/>
      <c r="C519" s="44"/>
      <c r="D519" s="44"/>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8"/>
      <c r="B520" s="44"/>
      <c r="C520" s="44"/>
      <c r="D520" s="44"/>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8"/>
      <c r="B521" s="44"/>
      <c r="C521" s="44"/>
      <c r="D521" s="44"/>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8"/>
      <c r="B522" s="44"/>
      <c r="C522" s="44"/>
      <c r="D522" s="44"/>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8"/>
      <c r="B523" s="44"/>
      <c r="C523" s="44"/>
      <c r="D523" s="44"/>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8"/>
      <c r="B524" s="44"/>
      <c r="C524" s="44"/>
      <c r="D524" s="44"/>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8"/>
      <c r="B525" s="44"/>
      <c r="C525" s="44"/>
      <c r="D525" s="44"/>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8"/>
      <c r="B526" s="44"/>
      <c r="C526" s="44"/>
      <c r="D526" s="44"/>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8"/>
      <c r="B527" s="44"/>
      <c r="C527" s="44"/>
      <c r="D527" s="44"/>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8"/>
      <c r="B528" s="44"/>
      <c r="C528" s="44"/>
      <c r="D528" s="44"/>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8"/>
      <c r="B529" s="44"/>
      <c r="C529" s="44"/>
      <c r="D529" s="44"/>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8"/>
      <c r="B530" s="44"/>
      <c r="C530" s="44"/>
      <c r="D530" s="44"/>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8"/>
      <c r="B531" s="44"/>
      <c r="C531" s="44"/>
      <c r="D531" s="44"/>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8"/>
      <c r="B532" s="44"/>
      <c r="C532" s="44"/>
      <c r="D532" s="44"/>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8"/>
      <c r="B533" s="44"/>
      <c r="C533" s="44"/>
      <c r="D533" s="44"/>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8"/>
      <c r="B534" s="44"/>
      <c r="C534" s="44"/>
      <c r="D534" s="44"/>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8"/>
      <c r="B535" s="44"/>
      <c r="C535" s="44"/>
      <c r="D535" s="44"/>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8"/>
      <c r="B536" s="44"/>
      <c r="C536" s="44"/>
      <c r="D536" s="44"/>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8"/>
      <c r="B537" s="44"/>
      <c r="C537" s="44"/>
      <c r="D537" s="44"/>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8"/>
      <c r="B538" s="44"/>
      <c r="C538" s="44"/>
      <c r="D538" s="44"/>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8"/>
      <c r="B539" s="44"/>
      <c r="C539" s="44"/>
      <c r="D539" s="44"/>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8"/>
      <c r="B540" s="44"/>
      <c r="C540" s="44"/>
      <c r="D540" s="44"/>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8"/>
      <c r="B541" s="44"/>
      <c r="C541" s="44"/>
      <c r="D541" s="44"/>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8"/>
      <c r="B542" s="44"/>
      <c r="C542" s="44"/>
      <c r="D542" s="44"/>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8"/>
      <c r="B543" s="44"/>
      <c r="C543" s="44"/>
      <c r="D543" s="44"/>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8"/>
      <c r="B544" s="44"/>
      <c r="C544" s="44"/>
      <c r="D544" s="44"/>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8"/>
      <c r="B545" s="44"/>
      <c r="C545" s="44"/>
      <c r="D545" s="44"/>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8"/>
      <c r="B546" s="44"/>
      <c r="C546" s="44"/>
      <c r="D546" s="44"/>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8"/>
      <c r="B547" s="44"/>
      <c r="C547" s="44"/>
      <c r="D547" s="44"/>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8"/>
      <c r="B548" s="44"/>
      <c r="C548" s="44"/>
      <c r="D548" s="44"/>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8"/>
      <c r="B549" s="44"/>
      <c r="C549" s="44"/>
      <c r="D549" s="44"/>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8"/>
      <c r="B550" s="44"/>
      <c r="C550" s="44"/>
      <c r="D550" s="44"/>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8"/>
      <c r="B551" s="44"/>
      <c r="C551" s="44"/>
      <c r="D551" s="44"/>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8"/>
      <c r="B552" s="44"/>
      <c r="C552" s="44"/>
      <c r="D552" s="44"/>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8"/>
      <c r="B553" s="44"/>
      <c r="C553" s="44"/>
      <c r="D553" s="44"/>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8"/>
      <c r="B554" s="44"/>
      <c r="C554" s="44"/>
      <c r="D554" s="44"/>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8"/>
      <c r="B555" s="44"/>
      <c r="C555" s="44"/>
      <c r="D555" s="44"/>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8"/>
      <c r="B556" s="44"/>
      <c r="C556" s="44"/>
      <c r="D556" s="44"/>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8"/>
      <c r="B557" s="44"/>
      <c r="C557" s="44"/>
      <c r="D557" s="44"/>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8"/>
      <c r="B558" s="44"/>
      <c r="C558" s="44"/>
      <c r="D558" s="44"/>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8"/>
      <c r="B559" s="44"/>
      <c r="C559" s="44"/>
      <c r="D559" s="44"/>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8"/>
      <c r="B560" s="44"/>
      <c r="C560" s="44"/>
      <c r="D560" s="44"/>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8"/>
      <c r="B561" s="44"/>
      <c r="C561" s="44"/>
      <c r="D561" s="44"/>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8"/>
      <c r="B562" s="44"/>
      <c r="C562" s="44"/>
      <c r="D562" s="44"/>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8"/>
      <c r="B563" s="44"/>
      <c r="C563" s="44"/>
      <c r="D563" s="44"/>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8"/>
      <c r="B564" s="44"/>
      <c r="C564" s="44"/>
      <c r="D564" s="44"/>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8"/>
      <c r="B565" s="44"/>
      <c r="C565" s="44"/>
      <c r="D565" s="44"/>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8"/>
      <c r="B566" s="44"/>
      <c r="C566" s="44"/>
      <c r="D566" s="44"/>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8"/>
      <c r="B567" s="44"/>
      <c r="C567" s="44"/>
      <c r="D567" s="44"/>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8"/>
      <c r="B568" s="44"/>
      <c r="C568" s="44"/>
      <c r="D568" s="44"/>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8"/>
      <c r="B569" s="44"/>
      <c r="C569" s="44"/>
      <c r="D569" s="44"/>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8"/>
      <c r="B570" s="44"/>
      <c r="C570" s="44"/>
      <c r="D570" s="44"/>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8"/>
      <c r="B571" s="44"/>
      <c r="C571" s="44"/>
      <c r="D571" s="44"/>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8"/>
      <c r="B572" s="44"/>
      <c r="C572" s="44"/>
      <c r="D572" s="44"/>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8"/>
      <c r="B573" s="44"/>
      <c r="C573" s="44"/>
      <c r="D573" s="44"/>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8"/>
      <c r="B574" s="44"/>
      <c r="C574" s="44"/>
      <c r="D574" s="44"/>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8"/>
      <c r="B575" s="44"/>
      <c r="C575" s="44"/>
      <c r="D575" s="44"/>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8"/>
      <c r="B576" s="44"/>
      <c r="C576" s="44"/>
      <c r="D576" s="44"/>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8"/>
      <c r="B577" s="44"/>
      <c r="C577" s="44"/>
      <c r="D577" s="44"/>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8"/>
      <c r="B578" s="44"/>
      <c r="C578" s="44"/>
      <c r="D578" s="44"/>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8"/>
      <c r="B579" s="44"/>
      <c r="C579" s="44"/>
      <c r="D579" s="44"/>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8"/>
      <c r="B580" s="44"/>
      <c r="C580" s="44"/>
      <c r="D580" s="44"/>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8"/>
      <c r="B581" s="44"/>
      <c r="C581" s="44"/>
      <c r="D581" s="44"/>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8"/>
      <c r="B582" s="44"/>
      <c r="C582" s="44"/>
      <c r="D582" s="44"/>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8"/>
      <c r="B583" s="44"/>
      <c r="C583" s="44"/>
      <c r="D583" s="44"/>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8"/>
      <c r="B584" s="44"/>
      <c r="C584" s="44"/>
      <c r="D584" s="44"/>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8"/>
      <c r="B585" s="44"/>
      <c r="C585" s="44"/>
      <c r="D585" s="44"/>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8"/>
      <c r="B586" s="44"/>
      <c r="C586" s="44"/>
      <c r="D586" s="44"/>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8"/>
      <c r="B587" s="44"/>
      <c r="C587" s="44"/>
      <c r="D587" s="44"/>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8"/>
      <c r="B588" s="44"/>
      <c r="C588" s="44"/>
      <c r="D588" s="44"/>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8"/>
      <c r="B589" s="44"/>
      <c r="C589" s="44"/>
      <c r="D589" s="44"/>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8"/>
      <c r="B590" s="44"/>
      <c r="C590" s="44"/>
      <c r="D590" s="44"/>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8"/>
      <c r="B591" s="44"/>
      <c r="C591" s="44"/>
      <c r="D591" s="44"/>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8"/>
      <c r="B592" s="44"/>
      <c r="C592" s="44"/>
      <c r="D592" s="44"/>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8"/>
      <c r="B593" s="44"/>
      <c r="C593" s="44"/>
      <c r="D593" s="44"/>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8"/>
      <c r="B594" s="44"/>
      <c r="C594" s="44"/>
      <c r="D594" s="44"/>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8"/>
      <c r="B595" s="44"/>
      <c r="C595" s="44"/>
      <c r="D595" s="44"/>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8"/>
      <c r="B596" s="44"/>
      <c r="C596" s="44"/>
      <c r="D596" s="44"/>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8"/>
      <c r="B597" s="44"/>
      <c r="C597" s="44"/>
      <c r="D597" s="44"/>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8"/>
      <c r="B598" s="44"/>
      <c r="C598" s="44"/>
      <c r="D598" s="44"/>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8"/>
      <c r="B599" s="44"/>
      <c r="C599" s="44"/>
      <c r="D599" s="44"/>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8"/>
      <c r="B600" s="44"/>
      <c r="C600" s="44"/>
      <c r="D600" s="44"/>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8"/>
      <c r="B601" s="44"/>
      <c r="C601" s="44"/>
      <c r="D601" s="44"/>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8"/>
      <c r="B602" s="44"/>
      <c r="C602" s="44"/>
      <c r="D602" s="44"/>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8"/>
      <c r="B603" s="44"/>
      <c r="C603" s="44"/>
      <c r="D603" s="44"/>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8"/>
      <c r="B604" s="44"/>
      <c r="C604" s="44"/>
      <c r="D604" s="44"/>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8"/>
      <c r="B605" s="44"/>
      <c r="C605" s="44"/>
      <c r="D605" s="44"/>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8"/>
      <c r="B606" s="44"/>
      <c r="C606" s="44"/>
      <c r="D606" s="44"/>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8"/>
      <c r="B607" s="44"/>
      <c r="C607" s="44"/>
      <c r="D607" s="44"/>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8"/>
      <c r="B608" s="44"/>
      <c r="C608" s="44"/>
      <c r="D608" s="44"/>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8"/>
      <c r="B609" s="44"/>
      <c r="C609" s="44"/>
      <c r="D609" s="44"/>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8"/>
      <c r="B610" s="44"/>
      <c r="C610" s="44"/>
      <c r="D610" s="44"/>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8"/>
      <c r="B611" s="44"/>
      <c r="C611" s="44"/>
      <c r="D611" s="44"/>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8"/>
      <c r="B612" s="44"/>
      <c r="C612" s="44"/>
      <c r="D612" s="44"/>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8"/>
      <c r="B613" s="44"/>
      <c r="C613" s="44"/>
      <c r="D613" s="44"/>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8"/>
      <c r="B614" s="44"/>
      <c r="C614" s="44"/>
      <c r="D614" s="44"/>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8"/>
      <c r="B615" s="44"/>
      <c r="C615" s="44"/>
      <c r="D615" s="44"/>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8"/>
      <c r="B616" s="44"/>
      <c r="C616" s="44"/>
      <c r="D616" s="44"/>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8"/>
      <c r="B617" s="44"/>
      <c r="C617" s="44"/>
      <c r="D617" s="44"/>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8"/>
      <c r="B618" s="44"/>
      <c r="C618" s="44"/>
      <c r="D618" s="44"/>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8"/>
      <c r="B619" s="44"/>
      <c r="C619" s="44"/>
      <c r="D619" s="44"/>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8"/>
      <c r="B620" s="44"/>
      <c r="C620" s="44"/>
      <c r="D620" s="44"/>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8"/>
      <c r="B621" s="44"/>
      <c r="C621" s="44"/>
      <c r="D621" s="44"/>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8"/>
      <c r="B622" s="44"/>
      <c r="C622" s="44"/>
      <c r="D622" s="44"/>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8"/>
      <c r="B623" s="44"/>
      <c r="C623" s="44"/>
      <c r="D623" s="44"/>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8"/>
      <c r="B624" s="44"/>
      <c r="C624" s="44"/>
      <c r="D624" s="44"/>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8"/>
      <c r="B625" s="44"/>
      <c r="C625" s="44"/>
      <c r="D625" s="44"/>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8"/>
      <c r="B626" s="44"/>
      <c r="C626" s="44"/>
      <c r="D626" s="44"/>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8"/>
      <c r="B627" s="44"/>
      <c r="C627" s="44"/>
      <c r="D627" s="44"/>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8"/>
      <c r="B628" s="44"/>
      <c r="C628" s="44"/>
      <c r="D628" s="44"/>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8"/>
      <c r="B629" s="44"/>
      <c r="C629" s="44"/>
      <c r="D629" s="44"/>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8"/>
      <c r="B630" s="44"/>
      <c r="C630" s="44"/>
      <c r="D630" s="44"/>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8"/>
      <c r="B631" s="44"/>
      <c r="C631" s="44"/>
      <c r="D631" s="44"/>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8"/>
      <c r="B632" s="44"/>
      <c r="C632" s="44"/>
      <c r="D632" s="44"/>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8"/>
      <c r="B633" s="44"/>
      <c r="C633" s="44"/>
      <c r="D633" s="44"/>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8"/>
      <c r="B634" s="44"/>
      <c r="C634" s="44"/>
      <c r="D634" s="44"/>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8"/>
      <c r="B635" s="44"/>
      <c r="C635" s="44"/>
      <c r="D635" s="44"/>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8"/>
      <c r="B636" s="44"/>
      <c r="C636" s="44"/>
      <c r="D636" s="44"/>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8"/>
      <c r="B637" s="44"/>
      <c r="C637" s="44"/>
      <c r="D637" s="44"/>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8"/>
      <c r="B638" s="44"/>
      <c r="C638" s="44"/>
      <c r="D638" s="44"/>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8"/>
      <c r="B639" s="44"/>
      <c r="C639" s="44"/>
      <c r="D639" s="44"/>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8"/>
      <c r="B640" s="44"/>
      <c r="C640" s="44"/>
      <c r="D640" s="44"/>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8"/>
      <c r="B641" s="44"/>
      <c r="C641" s="44"/>
      <c r="D641" s="44"/>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8"/>
      <c r="B642" s="44"/>
      <c r="C642" s="44"/>
      <c r="D642" s="44"/>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8"/>
      <c r="B643" s="44"/>
      <c r="C643" s="44"/>
      <c r="D643" s="44"/>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8"/>
      <c r="B644" s="44"/>
      <c r="C644" s="44"/>
      <c r="D644" s="44"/>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8"/>
      <c r="B645" s="44"/>
      <c r="C645" s="44"/>
      <c r="D645" s="44"/>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8"/>
      <c r="B646" s="44"/>
      <c r="C646" s="44"/>
      <c r="D646" s="44"/>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8"/>
      <c r="B647" s="44"/>
      <c r="C647" s="44"/>
      <c r="D647" s="44"/>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8"/>
      <c r="B648" s="44"/>
      <c r="C648" s="44"/>
      <c r="D648" s="44"/>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8"/>
      <c r="B649" s="44"/>
      <c r="C649" s="44"/>
      <c r="D649" s="44"/>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8"/>
      <c r="B650" s="44"/>
      <c r="C650" s="44"/>
      <c r="D650" s="44"/>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8"/>
      <c r="B651" s="44"/>
      <c r="C651" s="44"/>
      <c r="D651" s="44"/>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8"/>
      <c r="B652" s="44"/>
      <c r="C652" s="44"/>
      <c r="D652" s="44"/>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8"/>
      <c r="B653" s="44"/>
      <c r="C653" s="44"/>
      <c r="D653" s="44"/>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8"/>
      <c r="B654" s="44"/>
      <c r="C654" s="44"/>
      <c r="D654" s="44"/>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8"/>
      <c r="B655" s="44"/>
      <c r="C655" s="44"/>
      <c r="D655" s="44"/>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8"/>
      <c r="B656" s="44"/>
      <c r="C656" s="44"/>
      <c r="D656" s="44"/>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8"/>
      <c r="B657" s="44"/>
      <c r="C657" s="44"/>
      <c r="D657" s="44"/>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8"/>
      <c r="B658" s="44"/>
      <c r="C658" s="44"/>
      <c r="D658" s="44"/>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8"/>
      <c r="B659" s="44"/>
      <c r="C659" s="44"/>
      <c r="D659" s="44"/>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8"/>
      <c r="B660" s="44"/>
      <c r="C660" s="44"/>
      <c r="D660" s="44"/>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8"/>
      <c r="B661" s="44"/>
      <c r="C661" s="44"/>
      <c r="D661" s="44"/>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8"/>
      <c r="B662" s="44"/>
      <c r="C662" s="44"/>
      <c r="D662" s="44"/>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8"/>
      <c r="B663" s="44"/>
      <c r="C663" s="44"/>
      <c r="D663" s="44"/>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8"/>
      <c r="B664" s="44"/>
      <c r="C664" s="44"/>
      <c r="D664" s="44"/>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8"/>
      <c r="B665" s="44"/>
      <c r="C665" s="44"/>
      <c r="D665" s="44"/>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8"/>
      <c r="B666" s="44"/>
      <c r="C666" s="44"/>
      <c r="D666" s="44"/>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8"/>
      <c r="B667" s="44"/>
      <c r="C667" s="44"/>
      <c r="D667" s="44"/>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8"/>
      <c r="B668" s="44"/>
      <c r="C668" s="44"/>
      <c r="D668" s="44"/>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8"/>
      <c r="B669" s="44"/>
      <c r="C669" s="44"/>
      <c r="D669" s="44"/>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8"/>
      <c r="B670" s="44"/>
      <c r="C670" s="44"/>
      <c r="D670" s="44"/>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8"/>
      <c r="B671" s="44"/>
      <c r="C671" s="44"/>
      <c r="D671" s="44"/>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8"/>
      <c r="B672" s="44"/>
      <c r="C672" s="44"/>
      <c r="D672" s="44"/>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8"/>
      <c r="B673" s="44"/>
      <c r="C673" s="44"/>
      <c r="D673" s="44"/>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8"/>
      <c r="B674" s="44"/>
      <c r="C674" s="44"/>
      <c r="D674" s="44"/>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8"/>
      <c r="B675" s="44"/>
      <c r="C675" s="44"/>
      <c r="D675" s="44"/>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8"/>
      <c r="B676" s="44"/>
      <c r="C676" s="44"/>
      <c r="D676" s="44"/>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8"/>
      <c r="B677" s="44"/>
      <c r="C677" s="44"/>
      <c r="D677" s="44"/>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8"/>
      <c r="B678" s="44"/>
      <c r="C678" s="44"/>
      <c r="D678" s="44"/>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8"/>
      <c r="B679" s="44"/>
      <c r="C679" s="44"/>
      <c r="D679" s="44"/>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8"/>
      <c r="B680" s="44"/>
      <c r="C680" s="44"/>
      <c r="D680" s="44"/>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8"/>
      <c r="B681" s="44"/>
      <c r="C681" s="44"/>
      <c r="D681" s="44"/>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8"/>
      <c r="B682" s="44"/>
      <c r="C682" s="44"/>
      <c r="D682" s="44"/>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8"/>
      <c r="B683" s="44"/>
      <c r="C683" s="44"/>
      <c r="D683" s="44"/>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8"/>
      <c r="B684" s="44"/>
      <c r="C684" s="44"/>
      <c r="D684" s="44"/>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8"/>
      <c r="B685" s="44"/>
      <c r="C685" s="44"/>
      <c r="D685" s="44"/>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8"/>
      <c r="B686" s="44"/>
      <c r="C686" s="44"/>
      <c r="D686" s="44"/>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8"/>
      <c r="B687" s="44"/>
      <c r="C687" s="44"/>
      <c r="D687" s="44"/>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8"/>
      <c r="B688" s="44"/>
      <c r="C688" s="44"/>
      <c r="D688" s="44"/>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8"/>
      <c r="B689" s="44"/>
      <c r="C689" s="44"/>
      <c r="D689" s="44"/>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8"/>
      <c r="B690" s="44"/>
      <c r="C690" s="44"/>
      <c r="D690" s="44"/>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8"/>
      <c r="B691" s="44"/>
      <c r="C691" s="44"/>
      <c r="D691" s="44"/>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8"/>
      <c r="B692" s="44"/>
      <c r="C692" s="44"/>
      <c r="D692" s="44"/>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8"/>
      <c r="B693" s="44"/>
      <c r="C693" s="44"/>
      <c r="D693" s="44"/>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8"/>
      <c r="B694" s="44"/>
      <c r="C694" s="44"/>
      <c r="D694" s="44"/>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8"/>
      <c r="B695" s="44"/>
      <c r="C695" s="44"/>
      <c r="D695" s="44"/>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8"/>
      <c r="B696" s="44"/>
      <c r="C696" s="44"/>
      <c r="D696" s="44"/>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8"/>
      <c r="B697" s="44"/>
      <c r="C697" s="44"/>
      <c r="D697" s="44"/>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8"/>
      <c r="B698" s="44"/>
      <c r="C698" s="44"/>
      <c r="D698" s="44"/>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8"/>
      <c r="B699" s="44"/>
      <c r="C699" s="44"/>
      <c r="D699" s="44"/>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8"/>
      <c r="B700" s="44"/>
      <c r="C700" s="44"/>
      <c r="D700" s="44"/>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8"/>
      <c r="B701" s="44"/>
      <c r="C701" s="44"/>
      <c r="D701" s="44"/>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8"/>
      <c r="B702" s="44"/>
      <c r="C702" s="44"/>
      <c r="D702" s="44"/>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8"/>
      <c r="B703" s="44"/>
      <c r="C703" s="44"/>
      <c r="D703" s="44"/>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8"/>
      <c r="B704" s="44"/>
      <c r="C704" s="44"/>
      <c r="D704" s="44"/>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8"/>
      <c r="B705" s="44"/>
      <c r="C705" s="44"/>
      <c r="D705" s="44"/>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8"/>
      <c r="B706" s="44"/>
      <c r="C706" s="44"/>
      <c r="D706" s="44"/>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8"/>
      <c r="B707" s="44"/>
      <c r="C707" s="44"/>
      <c r="D707" s="44"/>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8"/>
      <c r="B708" s="44"/>
      <c r="C708" s="44"/>
      <c r="D708" s="44"/>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8"/>
      <c r="B709" s="44"/>
      <c r="C709" s="44"/>
      <c r="D709" s="44"/>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8"/>
      <c r="B710" s="44"/>
      <c r="C710" s="44"/>
      <c r="D710" s="44"/>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8"/>
      <c r="B711" s="44"/>
      <c r="C711" s="44"/>
      <c r="D711" s="44"/>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8"/>
      <c r="B712" s="44"/>
      <c r="C712" s="44"/>
      <c r="D712" s="44"/>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8"/>
      <c r="B713" s="44"/>
      <c r="C713" s="44"/>
      <c r="D713" s="44"/>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8"/>
      <c r="B714" s="44"/>
      <c r="C714" s="44"/>
      <c r="D714" s="44"/>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8"/>
      <c r="B715" s="44"/>
      <c r="C715" s="44"/>
      <c r="D715" s="44"/>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8"/>
      <c r="B716" s="44"/>
      <c r="C716" s="44"/>
      <c r="D716" s="44"/>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8"/>
      <c r="B717" s="44"/>
      <c r="C717" s="44"/>
      <c r="D717" s="44"/>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8"/>
      <c r="B718" s="44"/>
      <c r="C718" s="44"/>
      <c r="D718" s="44"/>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8"/>
      <c r="B719" s="44"/>
      <c r="C719" s="44"/>
      <c r="D719" s="44"/>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8"/>
      <c r="B720" s="44"/>
      <c r="C720" s="44"/>
      <c r="D720" s="44"/>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8"/>
      <c r="B721" s="44"/>
      <c r="C721" s="44"/>
      <c r="D721" s="44"/>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8"/>
      <c r="B722" s="44"/>
      <c r="C722" s="44"/>
      <c r="D722" s="44"/>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8"/>
      <c r="B723" s="44"/>
      <c r="C723" s="44"/>
      <c r="D723" s="44"/>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8"/>
      <c r="B724" s="44"/>
      <c r="C724" s="44"/>
      <c r="D724" s="44"/>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8"/>
      <c r="B725" s="44"/>
      <c r="C725" s="44"/>
      <c r="D725" s="44"/>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8"/>
      <c r="B726" s="44"/>
      <c r="C726" s="44"/>
      <c r="D726" s="44"/>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8"/>
      <c r="B727" s="44"/>
      <c r="C727" s="44"/>
      <c r="D727" s="44"/>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8"/>
      <c r="B728" s="44"/>
      <c r="C728" s="44"/>
      <c r="D728" s="44"/>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8"/>
      <c r="B729" s="44"/>
      <c r="C729" s="44"/>
      <c r="D729" s="44"/>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8"/>
      <c r="B730" s="44"/>
      <c r="C730" s="44"/>
      <c r="D730" s="44"/>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8"/>
      <c r="B731" s="44"/>
      <c r="C731" s="44"/>
      <c r="D731" s="44"/>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8"/>
      <c r="B732" s="44"/>
      <c r="C732" s="44"/>
      <c r="D732" s="44"/>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8"/>
      <c r="B733" s="44"/>
      <c r="C733" s="44"/>
      <c r="D733" s="44"/>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8"/>
      <c r="B734" s="44"/>
      <c r="C734" s="44"/>
      <c r="D734" s="44"/>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8"/>
      <c r="B735" s="44"/>
      <c r="C735" s="44"/>
      <c r="D735" s="44"/>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8"/>
      <c r="B736" s="44"/>
      <c r="C736" s="44"/>
      <c r="D736" s="44"/>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8"/>
      <c r="B737" s="44"/>
      <c r="C737" s="44"/>
      <c r="D737" s="44"/>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8"/>
      <c r="B738" s="44"/>
      <c r="C738" s="44"/>
      <c r="D738" s="44"/>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8"/>
      <c r="B739" s="44"/>
      <c r="C739" s="44"/>
      <c r="D739" s="44"/>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8"/>
      <c r="B740" s="44"/>
      <c r="C740" s="44"/>
      <c r="D740" s="44"/>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8"/>
      <c r="B741" s="44"/>
      <c r="C741" s="44"/>
      <c r="D741" s="44"/>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8"/>
      <c r="B742" s="44"/>
      <c r="C742" s="44"/>
      <c r="D742" s="44"/>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8"/>
      <c r="B743" s="44"/>
      <c r="C743" s="44"/>
      <c r="D743" s="44"/>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8"/>
      <c r="B744" s="44"/>
      <c r="C744" s="44"/>
      <c r="D744" s="44"/>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8"/>
      <c r="B745" s="44"/>
      <c r="C745" s="44"/>
      <c r="D745" s="44"/>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8"/>
      <c r="B746" s="44"/>
      <c r="C746" s="44"/>
      <c r="D746" s="44"/>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8"/>
      <c r="B747" s="44"/>
      <c r="C747" s="44"/>
      <c r="D747" s="44"/>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8"/>
      <c r="B748" s="44"/>
      <c r="C748" s="44"/>
      <c r="D748" s="44"/>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8"/>
      <c r="B749" s="44"/>
      <c r="C749" s="44"/>
      <c r="D749" s="44"/>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8"/>
      <c r="B750" s="44"/>
      <c r="C750" s="44"/>
      <c r="D750" s="44"/>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8"/>
      <c r="B751" s="44"/>
      <c r="C751" s="44"/>
      <c r="D751" s="44"/>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8"/>
      <c r="B752" s="44"/>
      <c r="C752" s="44"/>
      <c r="D752" s="44"/>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8"/>
      <c r="B753" s="44"/>
      <c r="C753" s="44"/>
      <c r="D753" s="44"/>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8"/>
      <c r="B754" s="44"/>
      <c r="C754" s="44"/>
      <c r="D754" s="44"/>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8"/>
      <c r="B755" s="44"/>
      <c r="C755" s="44"/>
      <c r="D755" s="44"/>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8"/>
      <c r="B756" s="44"/>
      <c r="C756" s="44"/>
      <c r="D756" s="44"/>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8"/>
      <c r="B757" s="44"/>
      <c r="C757" s="44"/>
      <c r="D757" s="44"/>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8"/>
      <c r="B758" s="44"/>
      <c r="C758" s="44"/>
      <c r="D758" s="44"/>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8"/>
      <c r="B759" s="44"/>
      <c r="C759" s="44"/>
      <c r="D759" s="44"/>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8"/>
      <c r="B760" s="44"/>
      <c r="C760" s="44"/>
      <c r="D760" s="44"/>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8"/>
      <c r="B761" s="44"/>
      <c r="C761" s="44"/>
      <c r="D761" s="44"/>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8"/>
      <c r="B762" s="44"/>
      <c r="C762" s="44"/>
      <c r="D762" s="44"/>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8"/>
      <c r="B763" s="44"/>
      <c r="C763" s="44"/>
      <c r="D763" s="44"/>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8"/>
      <c r="B764" s="44"/>
      <c r="C764" s="44"/>
      <c r="D764" s="44"/>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8"/>
      <c r="B765" s="44"/>
      <c r="C765" s="44"/>
      <c r="D765" s="44"/>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8"/>
      <c r="B766" s="44"/>
      <c r="C766" s="44"/>
      <c r="D766" s="44"/>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8"/>
      <c r="B767" s="44"/>
      <c r="C767" s="44"/>
      <c r="D767" s="44"/>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8"/>
      <c r="B768" s="44"/>
      <c r="C768" s="44"/>
      <c r="D768" s="44"/>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8"/>
      <c r="B769" s="44"/>
      <c r="C769" s="44"/>
      <c r="D769" s="44"/>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8"/>
      <c r="B770" s="44"/>
      <c r="C770" s="44"/>
      <c r="D770" s="44"/>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8"/>
      <c r="B771" s="44"/>
      <c r="C771" s="44"/>
      <c r="D771" s="44"/>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8"/>
      <c r="B772" s="44"/>
      <c r="C772" s="44"/>
      <c r="D772" s="44"/>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8"/>
      <c r="B773" s="44"/>
      <c r="C773" s="44"/>
      <c r="D773" s="44"/>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8"/>
      <c r="B774" s="44"/>
      <c r="C774" s="44"/>
      <c r="D774" s="44"/>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8"/>
      <c r="B775" s="44"/>
      <c r="C775" s="44"/>
      <c r="D775" s="44"/>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8"/>
      <c r="B776" s="44"/>
      <c r="C776" s="44"/>
      <c r="D776" s="44"/>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8"/>
      <c r="B777" s="44"/>
      <c r="C777" s="44"/>
      <c r="D777" s="44"/>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8"/>
      <c r="B778" s="44"/>
      <c r="C778" s="44"/>
      <c r="D778" s="44"/>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8"/>
      <c r="B779" s="44"/>
      <c r="C779" s="44"/>
      <c r="D779" s="44"/>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8"/>
      <c r="B780" s="44"/>
      <c r="C780" s="44"/>
      <c r="D780" s="44"/>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8"/>
      <c r="B781" s="44"/>
      <c r="C781" s="44"/>
      <c r="D781" s="44"/>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8"/>
      <c r="B782" s="44"/>
      <c r="C782" s="44"/>
      <c r="D782" s="44"/>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8"/>
      <c r="B783" s="44"/>
      <c r="C783" s="44"/>
      <c r="D783" s="44"/>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8"/>
      <c r="B784" s="44"/>
      <c r="C784" s="44"/>
      <c r="D784" s="44"/>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8"/>
      <c r="B785" s="44"/>
      <c r="C785" s="44"/>
      <c r="D785" s="44"/>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8"/>
      <c r="B786" s="44"/>
      <c r="C786" s="44"/>
      <c r="D786" s="44"/>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8"/>
      <c r="B787" s="44"/>
      <c r="C787" s="44"/>
      <c r="D787" s="44"/>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8"/>
      <c r="B788" s="44"/>
      <c r="C788" s="44"/>
      <c r="D788" s="44"/>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8"/>
      <c r="B789" s="44"/>
      <c r="C789" s="44"/>
      <c r="D789" s="44"/>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8"/>
      <c r="B790" s="44"/>
      <c r="C790" s="44"/>
      <c r="D790" s="44"/>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8"/>
      <c r="B791" s="44"/>
      <c r="C791" s="44"/>
      <c r="D791" s="44"/>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8"/>
      <c r="B792" s="44"/>
      <c r="C792" s="44"/>
      <c r="D792" s="44"/>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8"/>
      <c r="B793" s="44"/>
      <c r="C793" s="44"/>
      <c r="D793" s="44"/>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8"/>
      <c r="B794" s="44"/>
      <c r="C794" s="44"/>
      <c r="D794" s="44"/>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8"/>
      <c r="B795" s="44"/>
      <c r="C795" s="44"/>
      <c r="D795" s="44"/>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8"/>
      <c r="B796" s="44"/>
      <c r="C796" s="44"/>
      <c r="D796" s="44"/>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8"/>
      <c r="B797" s="44"/>
      <c r="C797" s="44"/>
      <c r="D797" s="44"/>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8"/>
      <c r="B798" s="44"/>
      <c r="C798" s="44"/>
      <c r="D798" s="44"/>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8"/>
      <c r="B799" s="44"/>
      <c r="C799" s="44"/>
      <c r="D799" s="44"/>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8"/>
      <c r="B800" s="44"/>
      <c r="C800" s="44"/>
      <c r="D800" s="44"/>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8"/>
      <c r="B801" s="44"/>
      <c r="C801" s="44"/>
      <c r="D801" s="44"/>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8"/>
      <c r="B802" s="44"/>
      <c r="C802" s="44"/>
      <c r="D802" s="44"/>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8"/>
      <c r="B803" s="44"/>
      <c r="C803" s="44"/>
      <c r="D803" s="44"/>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8"/>
      <c r="B804" s="44"/>
      <c r="C804" s="44"/>
      <c r="D804" s="44"/>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8"/>
      <c r="B805" s="44"/>
      <c r="C805" s="44"/>
      <c r="D805" s="44"/>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8"/>
      <c r="B806" s="44"/>
      <c r="C806" s="44"/>
      <c r="D806" s="44"/>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8"/>
      <c r="B807" s="44"/>
      <c r="C807" s="44"/>
      <c r="D807" s="44"/>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8"/>
      <c r="B808" s="44"/>
      <c r="C808" s="44"/>
      <c r="D808" s="44"/>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8"/>
      <c r="B809" s="44"/>
      <c r="C809" s="44"/>
      <c r="D809" s="44"/>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8"/>
      <c r="B810" s="44"/>
      <c r="C810" s="44"/>
      <c r="D810" s="44"/>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8"/>
      <c r="B811" s="44"/>
      <c r="C811" s="44"/>
      <c r="D811" s="44"/>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8"/>
      <c r="B812" s="44"/>
      <c r="C812" s="44"/>
      <c r="D812" s="44"/>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8"/>
      <c r="B813" s="44"/>
      <c r="C813" s="44"/>
      <c r="D813" s="44"/>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8"/>
      <c r="B814" s="44"/>
      <c r="C814" s="44"/>
      <c r="D814" s="44"/>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8"/>
      <c r="B815" s="44"/>
      <c r="C815" s="44"/>
      <c r="D815" s="44"/>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8"/>
      <c r="B816" s="44"/>
      <c r="C816" s="44"/>
      <c r="D816" s="44"/>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8"/>
      <c r="B817" s="44"/>
      <c r="C817" s="44"/>
      <c r="D817" s="44"/>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8"/>
      <c r="B818" s="44"/>
      <c r="C818" s="44"/>
      <c r="D818" s="44"/>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8"/>
      <c r="B819" s="44"/>
      <c r="C819" s="44"/>
      <c r="D819" s="44"/>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8"/>
      <c r="B820" s="44"/>
      <c r="C820" s="44"/>
      <c r="D820" s="44"/>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8"/>
      <c r="B821" s="44"/>
      <c r="C821" s="44"/>
      <c r="D821" s="44"/>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8"/>
      <c r="B822" s="44"/>
      <c r="C822" s="44"/>
      <c r="D822" s="44"/>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8"/>
      <c r="B823" s="44"/>
      <c r="C823" s="44"/>
      <c r="D823" s="44"/>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8"/>
      <c r="B824" s="44"/>
      <c r="C824" s="44"/>
      <c r="D824" s="44"/>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8"/>
      <c r="B825" s="44"/>
      <c r="C825" s="44"/>
      <c r="D825" s="44"/>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8"/>
      <c r="B826" s="44"/>
      <c r="C826" s="44"/>
      <c r="D826" s="44"/>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8"/>
      <c r="B827" s="44"/>
      <c r="C827" s="44"/>
      <c r="D827" s="44"/>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8"/>
      <c r="B828" s="44"/>
      <c r="C828" s="44"/>
      <c r="D828" s="44"/>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8"/>
      <c r="B829" s="44"/>
      <c r="C829" s="44"/>
      <c r="D829" s="44"/>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8"/>
      <c r="B830" s="44"/>
      <c r="C830" s="44"/>
      <c r="D830" s="44"/>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8"/>
      <c r="B831" s="44"/>
      <c r="C831" s="44"/>
      <c r="D831" s="44"/>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8"/>
      <c r="B832" s="44"/>
      <c r="C832" s="44"/>
      <c r="D832" s="44"/>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8"/>
      <c r="B833" s="44"/>
      <c r="C833" s="44"/>
      <c r="D833" s="44"/>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8"/>
      <c r="B834" s="44"/>
      <c r="C834" s="44"/>
      <c r="D834" s="44"/>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8"/>
      <c r="B835" s="44"/>
      <c r="C835" s="44"/>
      <c r="D835" s="44"/>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8"/>
      <c r="B836" s="44"/>
      <c r="C836" s="44"/>
      <c r="D836" s="44"/>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8"/>
      <c r="B837" s="44"/>
      <c r="C837" s="44"/>
      <c r="D837" s="44"/>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8"/>
      <c r="B838" s="44"/>
      <c r="C838" s="44"/>
      <c r="D838" s="44"/>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8"/>
      <c r="B839" s="44"/>
      <c r="C839" s="44"/>
      <c r="D839" s="44"/>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8"/>
      <c r="B840" s="44"/>
      <c r="C840" s="44"/>
      <c r="D840" s="44"/>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8"/>
      <c r="B841" s="44"/>
      <c r="C841" s="44"/>
      <c r="D841" s="44"/>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8"/>
      <c r="B842" s="44"/>
      <c r="C842" s="44"/>
      <c r="D842" s="44"/>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8"/>
      <c r="B843" s="44"/>
      <c r="C843" s="44"/>
      <c r="D843" s="44"/>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8"/>
      <c r="B844" s="44"/>
      <c r="C844" s="44"/>
      <c r="D844" s="44"/>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8"/>
      <c r="B845" s="44"/>
      <c r="C845" s="44"/>
      <c r="D845" s="44"/>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8"/>
      <c r="B846" s="44"/>
      <c r="C846" s="44"/>
      <c r="D846" s="44"/>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8"/>
      <c r="B847" s="44"/>
      <c r="C847" s="44"/>
      <c r="D847" s="44"/>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8"/>
      <c r="B848" s="44"/>
      <c r="C848" s="44"/>
      <c r="D848" s="44"/>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8"/>
      <c r="B849" s="44"/>
      <c r="C849" s="44"/>
      <c r="D849" s="44"/>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8"/>
      <c r="B850" s="44"/>
      <c r="C850" s="44"/>
      <c r="D850" s="44"/>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8"/>
      <c r="B851" s="44"/>
      <c r="C851" s="44"/>
      <c r="D851" s="44"/>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8"/>
      <c r="B852" s="44"/>
      <c r="C852" s="44"/>
      <c r="D852" s="44"/>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8"/>
      <c r="B853" s="44"/>
      <c r="C853" s="44"/>
      <c r="D853" s="44"/>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8"/>
      <c r="B854" s="44"/>
      <c r="C854" s="44"/>
      <c r="D854" s="44"/>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8"/>
      <c r="B855" s="44"/>
      <c r="C855" s="44"/>
      <c r="D855" s="44"/>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8"/>
      <c r="B856" s="44"/>
      <c r="C856" s="44"/>
      <c r="D856" s="44"/>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8"/>
      <c r="B857" s="44"/>
      <c r="C857" s="44"/>
      <c r="D857" s="44"/>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8"/>
      <c r="B858" s="44"/>
      <c r="C858" s="44"/>
      <c r="D858" s="44"/>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8"/>
      <c r="B859" s="44"/>
      <c r="C859" s="44"/>
      <c r="D859" s="44"/>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8"/>
      <c r="B860" s="44"/>
      <c r="C860" s="44"/>
      <c r="D860" s="44"/>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8"/>
      <c r="B861" s="44"/>
      <c r="C861" s="44"/>
      <c r="D861" s="44"/>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8"/>
      <c r="B862" s="44"/>
      <c r="C862" s="44"/>
      <c r="D862" s="44"/>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8"/>
      <c r="B863" s="44"/>
      <c r="C863" s="44"/>
      <c r="D863" s="44"/>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8"/>
      <c r="B864" s="44"/>
      <c r="C864" s="44"/>
      <c r="D864" s="44"/>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8"/>
      <c r="B865" s="44"/>
      <c r="C865" s="44"/>
      <c r="D865" s="44"/>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8"/>
      <c r="B866" s="44"/>
      <c r="C866" s="44"/>
      <c r="D866" s="44"/>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8"/>
      <c r="B867" s="44"/>
      <c r="C867" s="44"/>
      <c r="D867" s="44"/>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8"/>
      <c r="B868" s="44"/>
      <c r="C868" s="44"/>
      <c r="D868" s="44"/>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8"/>
      <c r="B869" s="44"/>
      <c r="C869" s="44"/>
      <c r="D869" s="44"/>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8"/>
      <c r="B870" s="44"/>
      <c r="C870" s="44"/>
      <c r="D870" s="44"/>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8"/>
      <c r="B871" s="44"/>
      <c r="C871" s="44"/>
      <c r="D871" s="44"/>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8"/>
      <c r="B872" s="44"/>
      <c r="C872" s="44"/>
      <c r="D872" s="44"/>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8"/>
      <c r="B873" s="44"/>
      <c r="C873" s="44"/>
      <c r="D873" s="44"/>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8"/>
      <c r="B874" s="44"/>
      <c r="C874" s="44"/>
      <c r="D874" s="44"/>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8"/>
      <c r="B875" s="44"/>
      <c r="C875" s="44"/>
      <c r="D875" s="44"/>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8"/>
      <c r="B876" s="44"/>
      <c r="C876" s="44"/>
      <c r="D876" s="44"/>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8"/>
      <c r="B877" s="44"/>
      <c r="C877" s="44"/>
      <c r="D877" s="44"/>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8"/>
      <c r="B878" s="44"/>
      <c r="C878" s="44"/>
      <c r="D878" s="44"/>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8"/>
      <c r="B879" s="44"/>
      <c r="C879" s="44"/>
      <c r="D879" s="44"/>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8"/>
      <c r="B880" s="44"/>
      <c r="C880" s="44"/>
      <c r="D880" s="44"/>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8"/>
      <c r="B881" s="44"/>
      <c r="C881" s="44"/>
      <c r="D881" s="44"/>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8"/>
      <c r="B882" s="44"/>
      <c r="C882" s="44"/>
      <c r="D882" s="44"/>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8"/>
      <c r="B883" s="44"/>
      <c r="C883" s="44"/>
      <c r="D883" s="44"/>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8"/>
      <c r="B884" s="44"/>
      <c r="C884" s="44"/>
      <c r="D884" s="44"/>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8"/>
      <c r="B885" s="44"/>
      <c r="C885" s="44"/>
      <c r="D885" s="44"/>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8"/>
      <c r="B886" s="44"/>
      <c r="C886" s="44"/>
      <c r="D886" s="44"/>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8"/>
      <c r="B887" s="44"/>
      <c r="C887" s="44"/>
      <c r="D887" s="44"/>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8"/>
      <c r="B888" s="44"/>
      <c r="C888" s="44"/>
      <c r="D888" s="44"/>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8"/>
      <c r="B889" s="44"/>
      <c r="C889" s="44"/>
      <c r="D889" s="44"/>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8"/>
      <c r="B890" s="44"/>
      <c r="C890" s="44"/>
      <c r="D890" s="44"/>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8"/>
      <c r="B891" s="44"/>
      <c r="C891" s="44"/>
      <c r="D891" s="44"/>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8"/>
      <c r="B892" s="44"/>
      <c r="C892" s="44"/>
      <c r="D892" s="44"/>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8"/>
      <c r="B893" s="44"/>
      <c r="C893" s="44"/>
      <c r="D893" s="44"/>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8"/>
      <c r="B894" s="44"/>
      <c r="C894" s="44"/>
      <c r="D894" s="44"/>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8"/>
      <c r="B895" s="44"/>
      <c r="C895" s="44"/>
      <c r="D895" s="44"/>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8"/>
      <c r="B896" s="44"/>
      <c r="C896" s="44"/>
      <c r="D896" s="44"/>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8"/>
      <c r="B897" s="44"/>
      <c r="C897" s="44"/>
      <c r="D897" s="44"/>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8"/>
      <c r="B898" s="44"/>
      <c r="C898" s="44"/>
      <c r="D898" s="44"/>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8"/>
      <c r="B899" s="44"/>
      <c r="C899" s="44"/>
      <c r="D899" s="44"/>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8"/>
      <c r="B900" s="44"/>
      <c r="C900" s="44"/>
      <c r="D900" s="44"/>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8"/>
      <c r="B901" s="44"/>
      <c r="C901" s="44"/>
      <c r="D901" s="44"/>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8"/>
      <c r="B902" s="44"/>
      <c r="C902" s="44"/>
      <c r="D902" s="44"/>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8"/>
      <c r="B903" s="44"/>
      <c r="C903" s="44"/>
      <c r="D903" s="44"/>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8"/>
      <c r="B904" s="44"/>
      <c r="C904" s="44"/>
      <c r="D904" s="44"/>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8"/>
      <c r="B905" s="44"/>
      <c r="C905" s="44"/>
      <c r="D905" s="44"/>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8"/>
      <c r="B906" s="44"/>
      <c r="C906" s="44"/>
      <c r="D906" s="44"/>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8"/>
      <c r="B907" s="44"/>
      <c r="C907" s="44"/>
      <c r="D907" s="44"/>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8"/>
      <c r="B908" s="44"/>
      <c r="C908" s="44"/>
      <c r="D908" s="44"/>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8"/>
      <c r="B909" s="44"/>
      <c r="C909" s="44"/>
      <c r="D909" s="44"/>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8"/>
      <c r="B910" s="44"/>
      <c r="C910" s="44"/>
      <c r="D910" s="44"/>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8"/>
      <c r="B911" s="44"/>
      <c r="C911" s="44"/>
      <c r="D911" s="44"/>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8"/>
      <c r="B912" s="44"/>
      <c r="C912" s="44"/>
      <c r="D912" s="44"/>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8"/>
      <c r="B913" s="44"/>
      <c r="C913" s="44"/>
      <c r="D913" s="44"/>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8"/>
      <c r="B914" s="44"/>
      <c r="C914" s="44"/>
      <c r="D914" s="44"/>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8"/>
      <c r="B915" s="44"/>
      <c r="C915" s="44"/>
      <c r="D915" s="44"/>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8"/>
      <c r="B916" s="44"/>
      <c r="C916" s="44"/>
      <c r="D916" s="44"/>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8"/>
      <c r="B917" s="44"/>
      <c r="C917" s="44"/>
      <c r="D917" s="44"/>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8"/>
      <c r="B918" s="44"/>
      <c r="C918" s="44"/>
      <c r="D918" s="44"/>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8"/>
      <c r="B919" s="44"/>
      <c r="C919" s="44"/>
      <c r="D919" s="44"/>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8"/>
      <c r="B920" s="44"/>
      <c r="C920" s="44"/>
      <c r="D920" s="44"/>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8"/>
      <c r="B921" s="44"/>
      <c r="C921" s="44"/>
      <c r="D921" s="44"/>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8"/>
      <c r="B922" s="44"/>
      <c r="C922" s="44"/>
      <c r="D922" s="44"/>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8"/>
      <c r="B923" s="44"/>
      <c r="C923" s="44"/>
      <c r="D923" s="44"/>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8"/>
      <c r="B924" s="44"/>
      <c r="C924" s="44"/>
      <c r="D924" s="44"/>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8"/>
      <c r="B925" s="44"/>
      <c r="C925" s="44"/>
      <c r="D925" s="44"/>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8"/>
      <c r="B926" s="44"/>
      <c r="C926" s="44"/>
      <c r="D926" s="44"/>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8"/>
      <c r="B927" s="44"/>
      <c r="C927" s="44"/>
      <c r="D927" s="44"/>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8"/>
      <c r="B928" s="44"/>
      <c r="C928" s="44"/>
      <c r="D928" s="44"/>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8"/>
      <c r="B929" s="44"/>
      <c r="C929" s="44"/>
      <c r="D929" s="44"/>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8"/>
      <c r="B930" s="44"/>
      <c r="C930" s="44"/>
      <c r="D930" s="44"/>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8"/>
      <c r="B931" s="44"/>
      <c r="C931" s="44"/>
      <c r="D931" s="44"/>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8"/>
      <c r="B932" s="44"/>
      <c r="C932" s="44"/>
      <c r="D932" s="44"/>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8"/>
      <c r="B933" s="44"/>
      <c r="C933" s="44"/>
      <c r="D933" s="44"/>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8"/>
      <c r="B934" s="44"/>
      <c r="C934" s="44"/>
      <c r="D934" s="44"/>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8"/>
      <c r="B935" s="44"/>
      <c r="C935" s="44"/>
      <c r="D935" s="44"/>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8"/>
      <c r="B936" s="44"/>
      <c r="C936" s="44"/>
      <c r="D936" s="44"/>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8"/>
      <c r="B937" s="44"/>
      <c r="C937" s="44"/>
      <c r="D937" s="44"/>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8"/>
      <c r="B938" s="44"/>
      <c r="C938" s="44"/>
      <c r="D938" s="44"/>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8"/>
      <c r="B939" s="44"/>
      <c r="C939" s="44"/>
      <c r="D939" s="44"/>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8"/>
      <c r="B940" s="44"/>
      <c r="C940" s="44"/>
      <c r="D940" s="44"/>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8"/>
      <c r="B941" s="44"/>
      <c r="C941" s="44"/>
      <c r="D941" s="44"/>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8"/>
      <c r="B942" s="44"/>
      <c r="C942" s="44"/>
      <c r="D942" s="44"/>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8"/>
      <c r="B943" s="44"/>
      <c r="C943" s="44"/>
      <c r="D943" s="44"/>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8"/>
      <c r="B944" s="44"/>
      <c r="C944" s="44"/>
      <c r="D944" s="44"/>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8"/>
      <c r="B945" s="44"/>
      <c r="C945" s="44"/>
      <c r="D945" s="44"/>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8"/>
      <c r="B946" s="44"/>
      <c r="C946" s="44"/>
      <c r="D946" s="44"/>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8"/>
      <c r="B947" s="44"/>
      <c r="C947" s="44"/>
      <c r="D947" s="44"/>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8"/>
      <c r="B948" s="44"/>
      <c r="C948" s="44"/>
      <c r="D948" s="44"/>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8"/>
      <c r="B949" s="44"/>
      <c r="C949" s="44"/>
      <c r="D949" s="44"/>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8"/>
      <c r="B950" s="44"/>
      <c r="C950" s="44"/>
      <c r="D950" s="44"/>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8"/>
      <c r="B951" s="44"/>
      <c r="C951" s="44"/>
      <c r="D951" s="44"/>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8"/>
      <c r="B952" s="44"/>
      <c r="C952" s="44"/>
      <c r="D952" s="44"/>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8"/>
      <c r="B953" s="44"/>
      <c r="C953" s="44"/>
      <c r="D953" s="44"/>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8"/>
      <c r="B954" s="44"/>
      <c r="C954" s="44"/>
      <c r="D954" s="44"/>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8"/>
      <c r="B955" s="44"/>
      <c r="C955" s="44"/>
      <c r="D955" s="44"/>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8"/>
      <c r="B956" s="44"/>
      <c r="C956" s="44"/>
      <c r="D956" s="44"/>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8"/>
      <c r="B957" s="44"/>
      <c r="C957" s="44"/>
      <c r="D957" s="44"/>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8"/>
      <c r="B958" s="44"/>
      <c r="C958" s="44"/>
      <c r="D958" s="44"/>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8"/>
      <c r="B959" s="44"/>
      <c r="C959" s="44"/>
      <c r="D959" s="44"/>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8"/>
      <c r="B960" s="44"/>
      <c r="C960" s="44"/>
      <c r="D960" s="44"/>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8"/>
      <c r="B961" s="44"/>
      <c r="C961" s="44"/>
      <c r="D961" s="44"/>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8"/>
      <c r="B962" s="44"/>
      <c r="C962" s="44"/>
      <c r="D962" s="44"/>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8"/>
      <c r="B963" s="44"/>
      <c r="C963" s="44"/>
      <c r="D963" s="44"/>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8"/>
      <c r="B964" s="44"/>
      <c r="C964" s="44"/>
      <c r="D964" s="44"/>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8"/>
      <c r="B965" s="44"/>
      <c r="C965" s="44"/>
      <c r="D965" s="44"/>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8"/>
      <c r="B966" s="44"/>
      <c r="C966" s="44"/>
      <c r="D966" s="44"/>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8"/>
      <c r="B967" s="44"/>
      <c r="C967" s="44"/>
      <c r="D967" s="44"/>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8"/>
      <c r="B968" s="44"/>
      <c r="C968" s="44"/>
      <c r="D968" s="44"/>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8"/>
      <c r="B969" s="44"/>
      <c r="C969" s="44"/>
      <c r="D969" s="44"/>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8"/>
      <c r="B970" s="44"/>
      <c r="C970" s="44"/>
      <c r="D970" s="44"/>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8"/>
      <c r="B971" s="44"/>
      <c r="C971" s="44"/>
      <c r="D971" s="44"/>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8"/>
      <c r="B972" s="44"/>
      <c r="C972" s="44"/>
      <c r="D972" s="44"/>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8"/>
      <c r="B973" s="44"/>
      <c r="C973" s="44"/>
      <c r="D973" s="44"/>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8"/>
      <c r="B974" s="44"/>
      <c r="C974" s="44"/>
      <c r="D974" s="44"/>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8"/>
      <c r="B975" s="44"/>
      <c r="C975" s="44"/>
      <c r="D975" s="44"/>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8"/>
      <c r="B976" s="44"/>
      <c r="C976" s="44"/>
      <c r="D976" s="44"/>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8"/>
      <c r="B977" s="44"/>
      <c r="C977" s="44"/>
      <c r="D977" s="44"/>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8"/>
      <c r="B978" s="44"/>
      <c r="C978" s="44"/>
      <c r="D978" s="44"/>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8"/>
      <c r="B979" s="44"/>
      <c r="C979" s="44"/>
      <c r="D979" s="44"/>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8"/>
      <c r="B980" s="44"/>
      <c r="C980" s="44"/>
      <c r="D980" s="44"/>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8"/>
      <c r="B981" s="44"/>
      <c r="C981" s="44"/>
      <c r="D981" s="44"/>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8"/>
      <c r="B982" s="44"/>
      <c r="C982" s="44"/>
      <c r="D982" s="44"/>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8"/>
      <c r="B983" s="44"/>
      <c r="C983" s="44"/>
      <c r="D983" s="44"/>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8"/>
      <c r="B984" s="44"/>
      <c r="C984" s="44"/>
      <c r="D984" s="44"/>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8"/>
      <c r="B985" s="44"/>
      <c r="C985" s="44"/>
      <c r="D985" s="44"/>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8"/>
      <c r="B986" s="44"/>
      <c r="C986" s="44"/>
      <c r="D986" s="44"/>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8"/>
      <c r="B987" s="44"/>
      <c r="C987" s="44"/>
      <c r="D987" s="44"/>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8"/>
      <c r="B988" s="44"/>
      <c r="C988" s="44"/>
      <c r="D988" s="44"/>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8"/>
      <c r="B989" s="44"/>
      <c r="C989" s="44"/>
      <c r="D989" s="44"/>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8"/>
      <c r="B990" s="44"/>
      <c r="C990" s="44"/>
      <c r="D990" s="44"/>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8"/>
      <c r="B991" s="44"/>
      <c r="C991" s="44"/>
      <c r="D991" s="44"/>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8"/>
      <c r="B992" s="44"/>
      <c r="C992" s="44"/>
      <c r="D992" s="44"/>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8"/>
      <c r="B993" s="44"/>
      <c r="C993" s="44"/>
      <c r="D993" s="44"/>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8"/>
      <c r="B994" s="44"/>
      <c r="C994" s="44"/>
      <c r="D994" s="44"/>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8"/>
      <c r="B995" s="44"/>
      <c r="C995" s="44"/>
      <c r="D995" s="44"/>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8"/>
      <c r="B996" s="44"/>
      <c r="C996" s="44"/>
      <c r="D996" s="44"/>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8"/>
      <c r="B997" s="44"/>
      <c r="C997" s="44"/>
      <c r="D997" s="44"/>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8"/>
      <c r="B998" s="44"/>
      <c r="C998" s="44"/>
      <c r="D998" s="44"/>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8"/>
      <c r="B999" s="44"/>
      <c r="C999" s="44"/>
      <c r="D999" s="44"/>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8"/>
      <c r="B1000" s="44"/>
      <c r="C1000" s="44"/>
      <c r="D1000" s="44"/>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sheetData>
  <conditionalFormatting sqref="E2:E1000">
    <cfRule type="cellIs" dxfId="8" priority="1" stopIfTrue="1" operator="equal">
      <formula>"CÓ THỂ ĐI"</formula>
    </cfRule>
  </conditionalFormatting>
  <conditionalFormatting sqref="E2:E1000">
    <cfRule type="cellIs" dxfId="9" priority="2" stopIfTrue="1" operator="equal">
      <formula>"PHÙ HỢP CAO"</formula>
    </cfRule>
  </conditionalFormatting>
  <hyperlinks>
    <hyperlink r:id="rId1" ref="B2"/>
    <hyperlink r:id="rId2" ref="D2"/>
    <hyperlink r:id="rId3" ref="B3"/>
    <hyperlink r:id="rId4" ref="D3"/>
    <hyperlink r:id="rId5" ref="B4"/>
    <hyperlink r:id="rId6" ref="D4"/>
    <hyperlink r:id="rId7" ref="B5"/>
    <hyperlink r:id="rId8" ref="D5"/>
    <hyperlink r:id="rId9" ref="B6"/>
    <hyperlink r:id="rId10" ref="D6"/>
    <hyperlink r:id="rId11" ref="B7"/>
    <hyperlink r:id="rId12" ref="D7"/>
    <hyperlink r:id="rId13" ref="B8"/>
    <hyperlink r:id="rId14" ref="D8"/>
    <hyperlink r:id="rId15" ref="B9"/>
    <hyperlink r:id="rId16" ref="D9"/>
    <hyperlink r:id="rId17" ref="B10"/>
    <hyperlink r:id="rId18" ref="D10"/>
    <hyperlink r:id="rId19" ref="B11"/>
    <hyperlink r:id="rId20" ref="D11"/>
    <hyperlink r:id="rId21" ref="B12"/>
    <hyperlink r:id="rId22" ref="D12"/>
    <hyperlink r:id="rId23" ref="B13"/>
    <hyperlink r:id="rId24" ref="D13"/>
    <hyperlink r:id="rId25" ref="B14"/>
    <hyperlink r:id="rId26" ref="D14"/>
    <hyperlink r:id="rId27" ref="B15"/>
    <hyperlink r:id="rId28" ref="D15"/>
    <hyperlink r:id="rId29" ref="B16"/>
    <hyperlink r:id="rId30" ref="D16"/>
    <hyperlink r:id="rId31" ref="B17"/>
    <hyperlink r:id="rId32" ref="D17"/>
    <hyperlink r:id="rId33" ref="B18"/>
    <hyperlink r:id="rId34" ref="D18"/>
    <hyperlink r:id="rId35" ref="B19"/>
    <hyperlink r:id="rId36" ref="D19"/>
    <hyperlink r:id="rId37" ref="B20"/>
    <hyperlink r:id="rId38" ref="D20"/>
    <hyperlink r:id="rId39" ref="B21"/>
    <hyperlink r:id="rId40" ref="D21"/>
    <hyperlink r:id="rId41" ref="B22"/>
    <hyperlink r:id="rId42" ref="D22"/>
    <hyperlink r:id="rId43" ref="B23"/>
    <hyperlink r:id="rId44" ref="D23"/>
    <hyperlink r:id="rId45" ref="B24"/>
    <hyperlink r:id="rId46" ref="D24"/>
    <hyperlink r:id="rId47" ref="B25"/>
    <hyperlink r:id="rId48" ref="D25"/>
    <hyperlink r:id="rId49" ref="B26"/>
    <hyperlink r:id="rId50" ref="D26"/>
    <hyperlink r:id="rId51" ref="B27"/>
    <hyperlink r:id="rId52" ref="D27"/>
    <hyperlink r:id="rId53" ref="B28"/>
    <hyperlink r:id="rId54" ref="D28"/>
    <hyperlink r:id="rId55" ref="B29"/>
    <hyperlink r:id="rId56" ref="D29"/>
    <hyperlink r:id="rId57" ref="B30"/>
    <hyperlink r:id="rId58" ref="D30"/>
    <hyperlink r:id="rId59" ref="B31"/>
    <hyperlink r:id="rId60" ref="D31"/>
    <hyperlink r:id="rId61" ref="B32"/>
    <hyperlink r:id="rId62" ref="D32"/>
    <hyperlink r:id="rId63" ref="B33"/>
    <hyperlink r:id="rId64" ref="D33"/>
    <hyperlink r:id="rId65" ref="B34"/>
    <hyperlink r:id="rId66" ref="D34"/>
    <hyperlink r:id="rId67" ref="B35"/>
    <hyperlink r:id="rId68" ref="D35"/>
    <hyperlink r:id="rId69" ref="B36"/>
    <hyperlink r:id="rId70" ref="D36"/>
    <hyperlink r:id="rId71" ref="B37"/>
    <hyperlink r:id="rId72" ref="D37"/>
    <hyperlink r:id="rId73" ref="B38"/>
    <hyperlink r:id="rId74" ref="D38"/>
    <hyperlink r:id="rId75" ref="B39"/>
    <hyperlink r:id="rId76" ref="D39"/>
    <hyperlink r:id="rId77" ref="B40"/>
    <hyperlink r:id="rId78" ref="D40"/>
    <hyperlink r:id="rId79" ref="B41"/>
    <hyperlink r:id="rId80" ref="D41"/>
    <hyperlink r:id="rId81" ref="B42"/>
    <hyperlink r:id="rId82" ref="D42"/>
    <hyperlink r:id="rId83" ref="B43"/>
    <hyperlink r:id="rId84" ref="D43"/>
    <hyperlink r:id="rId85" ref="B44"/>
    <hyperlink r:id="rId86" ref="D44"/>
    <hyperlink r:id="rId87" ref="B45"/>
    <hyperlink r:id="rId88" ref="D45"/>
    <hyperlink r:id="rId89" ref="B46"/>
    <hyperlink r:id="rId90" ref="D46"/>
    <hyperlink r:id="rId91" ref="B47"/>
    <hyperlink r:id="rId92" ref="D47"/>
    <hyperlink r:id="rId93" ref="B48"/>
    <hyperlink r:id="rId94" ref="D48"/>
    <hyperlink r:id="rId95" ref="B49"/>
    <hyperlink r:id="rId96" ref="D49"/>
    <hyperlink r:id="rId97" ref="B50"/>
    <hyperlink r:id="rId98" ref="D50"/>
    <hyperlink r:id="rId99" ref="B51"/>
    <hyperlink r:id="rId100" ref="D51"/>
    <hyperlink r:id="rId101" ref="B52"/>
    <hyperlink r:id="rId102" ref="D52"/>
    <hyperlink r:id="rId103" ref="B53"/>
    <hyperlink r:id="rId104" ref="D53"/>
    <hyperlink r:id="rId105" ref="B54"/>
    <hyperlink r:id="rId106" ref="D54"/>
    <hyperlink r:id="rId107" ref="B55"/>
    <hyperlink r:id="rId108" ref="D55"/>
    <hyperlink r:id="rId109" ref="B56"/>
    <hyperlink r:id="rId110" ref="D56"/>
    <hyperlink r:id="rId111" ref="B57"/>
    <hyperlink r:id="rId112" ref="D57"/>
    <hyperlink r:id="rId113" ref="B58"/>
    <hyperlink r:id="rId114" ref="D58"/>
    <hyperlink r:id="rId115" ref="B59"/>
    <hyperlink r:id="rId116" ref="D59"/>
    <hyperlink r:id="rId117" ref="B60"/>
    <hyperlink r:id="rId118" ref="D60"/>
    <hyperlink r:id="rId119" ref="B61"/>
    <hyperlink r:id="rId120" ref="D61"/>
    <hyperlink r:id="rId121" ref="B62"/>
    <hyperlink r:id="rId122" ref="D62"/>
    <hyperlink r:id="rId123" ref="B63"/>
    <hyperlink r:id="rId124" ref="D63"/>
    <hyperlink r:id="rId125" ref="B64"/>
    <hyperlink r:id="rId126" ref="D64"/>
    <hyperlink r:id="rId127" ref="B65"/>
    <hyperlink r:id="rId128" ref="D65"/>
    <hyperlink r:id="rId129" ref="B66"/>
    <hyperlink r:id="rId130" ref="D66"/>
    <hyperlink r:id="rId131" ref="B67"/>
    <hyperlink r:id="rId132" ref="D67"/>
    <hyperlink r:id="rId133" ref="B68"/>
    <hyperlink r:id="rId134" ref="D68"/>
    <hyperlink r:id="rId135" ref="B69"/>
    <hyperlink r:id="rId136" ref="D69"/>
    <hyperlink r:id="rId137" ref="B70"/>
    <hyperlink r:id="rId138" ref="D70"/>
    <hyperlink r:id="rId139" ref="B71"/>
    <hyperlink r:id="rId140" ref="D71"/>
    <hyperlink r:id="rId141" ref="B72"/>
    <hyperlink r:id="rId142" ref="D72"/>
    <hyperlink r:id="rId143" ref="B73"/>
    <hyperlink r:id="rId144" ref="D73"/>
    <hyperlink r:id="rId145" ref="B74"/>
    <hyperlink r:id="rId146" ref="D74"/>
    <hyperlink r:id="rId147" ref="B75"/>
    <hyperlink r:id="rId148" ref="D75"/>
    <hyperlink r:id="rId149" ref="B76"/>
    <hyperlink r:id="rId150" ref="D76"/>
    <hyperlink r:id="rId151" ref="B77"/>
    <hyperlink r:id="rId152" ref="D77"/>
    <hyperlink r:id="rId153" ref="B78"/>
    <hyperlink r:id="rId154" ref="D78"/>
    <hyperlink r:id="rId155" ref="B79"/>
    <hyperlink r:id="rId156" ref="D79"/>
    <hyperlink r:id="rId157" ref="B80"/>
    <hyperlink r:id="rId158" ref="D80"/>
    <hyperlink r:id="rId159" ref="B81"/>
    <hyperlink r:id="rId160" ref="D81"/>
    <hyperlink r:id="rId161" ref="B82"/>
    <hyperlink r:id="rId162" ref="D82"/>
    <hyperlink r:id="rId163" ref="B83"/>
    <hyperlink r:id="rId164" ref="D83"/>
    <hyperlink r:id="rId165" ref="B84"/>
    <hyperlink r:id="rId166" ref="D84"/>
    <hyperlink r:id="rId167" ref="B85"/>
    <hyperlink r:id="rId168" ref="D85"/>
    <hyperlink r:id="rId169" ref="B86"/>
    <hyperlink r:id="rId170" ref="D86"/>
    <hyperlink r:id="rId171" ref="B87"/>
    <hyperlink r:id="rId172" ref="D87"/>
    <hyperlink r:id="rId173" ref="B88"/>
    <hyperlink r:id="rId174" ref="D88"/>
    <hyperlink r:id="rId175" ref="B89"/>
    <hyperlink r:id="rId176" ref="D89"/>
    <hyperlink r:id="rId177" ref="B90"/>
    <hyperlink r:id="rId178" ref="D90"/>
    <hyperlink r:id="rId179" ref="B91"/>
    <hyperlink r:id="rId180" ref="D91"/>
    <hyperlink r:id="rId181" ref="B92"/>
    <hyperlink r:id="rId182" ref="D92"/>
    <hyperlink r:id="rId183" ref="B93"/>
    <hyperlink r:id="rId184" ref="D93"/>
    <hyperlink r:id="rId185" ref="B94"/>
    <hyperlink r:id="rId186" ref="D94"/>
    <hyperlink r:id="rId187" ref="B95"/>
    <hyperlink r:id="rId188" ref="D95"/>
    <hyperlink r:id="rId189" ref="B96"/>
    <hyperlink r:id="rId190" ref="D96"/>
    <hyperlink r:id="rId191" ref="B97"/>
    <hyperlink r:id="rId192" ref="D97"/>
    <hyperlink r:id="rId193" ref="B98"/>
    <hyperlink r:id="rId194" ref="D98"/>
    <hyperlink r:id="rId195" ref="B99"/>
    <hyperlink r:id="rId196" ref="D99"/>
    <hyperlink r:id="rId197" ref="B100"/>
    <hyperlink r:id="rId198" ref="D100"/>
    <hyperlink r:id="rId199" ref="B101"/>
    <hyperlink r:id="rId200" ref="D101"/>
    <hyperlink r:id="rId201" ref="B102"/>
    <hyperlink r:id="rId202" ref="D102"/>
    <hyperlink r:id="rId203" ref="B103"/>
    <hyperlink r:id="rId204" ref="D103"/>
    <hyperlink r:id="rId205" ref="B104"/>
    <hyperlink r:id="rId206" ref="D104"/>
    <hyperlink r:id="rId207" ref="B105"/>
    <hyperlink r:id="rId208" ref="D105"/>
    <hyperlink r:id="rId209" ref="B106"/>
    <hyperlink r:id="rId210" ref="D106"/>
    <hyperlink r:id="rId211" ref="B107"/>
    <hyperlink r:id="rId212" ref="D107"/>
    <hyperlink r:id="rId213" ref="B108"/>
    <hyperlink r:id="rId214" ref="D108"/>
    <hyperlink r:id="rId215" ref="B109"/>
    <hyperlink r:id="rId216" ref="D109"/>
    <hyperlink r:id="rId217" ref="B110"/>
    <hyperlink r:id="rId218" ref="D110"/>
    <hyperlink r:id="rId219" ref="B111"/>
    <hyperlink r:id="rId220" ref="D111"/>
    <hyperlink r:id="rId221" ref="B112"/>
    <hyperlink r:id="rId222" ref="D112"/>
    <hyperlink r:id="rId223" ref="B113"/>
    <hyperlink r:id="rId224" ref="D113"/>
    <hyperlink r:id="rId225" ref="B114"/>
    <hyperlink r:id="rId226" ref="D114"/>
    <hyperlink r:id="rId227" ref="B115"/>
    <hyperlink r:id="rId228" ref="D115"/>
    <hyperlink r:id="rId229" ref="B116"/>
    <hyperlink r:id="rId230" ref="D116"/>
    <hyperlink r:id="rId231" ref="B117"/>
    <hyperlink r:id="rId232" ref="D117"/>
    <hyperlink r:id="rId233" ref="B118"/>
    <hyperlink r:id="rId234" ref="D118"/>
    <hyperlink r:id="rId235" ref="B119"/>
    <hyperlink r:id="rId236" ref="D119"/>
    <hyperlink r:id="rId237" ref="B120"/>
    <hyperlink r:id="rId238" ref="D120"/>
    <hyperlink r:id="rId239" ref="B121"/>
    <hyperlink r:id="rId240" ref="D121"/>
    <hyperlink r:id="rId241" ref="B122"/>
    <hyperlink r:id="rId242" ref="D122"/>
    <hyperlink r:id="rId243" ref="B123"/>
    <hyperlink r:id="rId244" ref="D123"/>
    <hyperlink r:id="rId245" ref="B124"/>
    <hyperlink r:id="rId246" ref="D124"/>
    <hyperlink r:id="rId247" ref="B125"/>
    <hyperlink r:id="rId248" ref="D125"/>
    <hyperlink r:id="rId249" ref="B126"/>
    <hyperlink r:id="rId250" ref="D126"/>
    <hyperlink r:id="rId251" ref="B127"/>
    <hyperlink r:id="rId252" ref="D127"/>
    <hyperlink r:id="rId253" ref="B128"/>
    <hyperlink r:id="rId254" ref="D128"/>
    <hyperlink r:id="rId255" ref="B129"/>
    <hyperlink r:id="rId256" ref="D129"/>
    <hyperlink r:id="rId257" ref="B130"/>
    <hyperlink r:id="rId258" ref="D130"/>
    <hyperlink r:id="rId259" ref="B131"/>
    <hyperlink r:id="rId260" ref="D131"/>
    <hyperlink r:id="rId261" ref="B132"/>
    <hyperlink r:id="rId262" ref="D132"/>
    <hyperlink r:id="rId263" ref="B133"/>
    <hyperlink r:id="rId264" ref="D133"/>
    <hyperlink r:id="rId265" ref="B134"/>
    <hyperlink r:id="rId266" ref="D134"/>
    <hyperlink r:id="rId267" ref="B135"/>
    <hyperlink r:id="rId268" ref="D135"/>
    <hyperlink r:id="rId269" ref="B136"/>
    <hyperlink r:id="rId270" ref="D136"/>
    <hyperlink r:id="rId271" ref="B137"/>
    <hyperlink r:id="rId272" ref="D137"/>
    <hyperlink r:id="rId273" ref="B138"/>
    <hyperlink r:id="rId274" ref="D138"/>
    <hyperlink r:id="rId275" ref="B139"/>
    <hyperlink r:id="rId276" ref="D139"/>
    <hyperlink r:id="rId277" ref="B140"/>
    <hyperlink r:id="rId278" ref="D140"/>
    <hyperlink r:id="rId279" ref="B141"/>
    <hyperlink r:id="rId280" ref="D141"/>
    <hyperlink r:id="rId281" ref="B142"/>
    <hyperlink r:id="rId282" ref="D142"/>
    <hyperlink r:id="rId283" ref="B143"/>
    <hyperlink r:id="rId284" ref="D143"/>
    <hyperlink r:id="rId285" ref="B144"/>
    <hyperlink r:id="rId286" ref="D144"/>
    <hyperlink r:id="rId287" ref="B145"/>
    <hyperlink r:id="rId288" ref="D145"/>
    <hyperlink r:id="rId289" ref="B146"/>
    <hyperlink r:id="rId290" ref="D146"/>
    <hyperlink r:id="rId291" ref="B147"/>
    <hyperlink r:id="rId292" ref="D147"/>
    <hyperlink r:id="rId293" ref="B148"/>
    <hyperlink r:id="rId294" ref="D148"/>
    <hyperlink r:id="rId295" ref="B149"/>
    <hyperlink r:id="rId296" ref="D149"/>
    <hyperlink r:id="rId297" ref="B150"/>
    <hyperlink r:id="rId298" ref="D150"/>
    <hyperlink r:id="rId299" ref="B151"/>
    <hyperlink r:id="rId300" ref="D151"/>
    <hyperlink r:id="rId301" ref="B152"/>
    <hyperlink r:id="rId302" ref="D152"/>
    <hyperlink r:id="rId303" ref="B153"/>
    <hyperlink r:id="rId304" ref="D153"/>
    <hyperlink r:id="rId305" ref="B154"/>
    <hyperlink r:id="rId306" ref="D154"/>
    <hyperlink r:id="rId307" ref="B155"/>
    <hyperlink r:id="rId308" ref="D155"/>
    <hyperlink r:id="rId309" ref="B156"/>
    <hyperlink r:id="rId310" ref="D156"/>
    <hyperlink r:id="rId311" ref="B157"/>
    <hyperlink r:id="rId312" ref="D157"/>
    <hyperlink r:id="rId313" ref="B158"/>
    <hyperlink r:id="rId314" ref="D158"/>
    <hyperlink r:id="rId315" ref="B159"/>
    <hyperlink r:id="rId316" ref="D159"/>
    <hyperlink r:id="rId317" ref="B160"/>
    <hyperlink r:id="rId318" ref="D160"/>
    <hyperlink r:id="rId319" ref="B161"/>
    <hyperlink r:id="rId320" ref="D161"/>
    <hyperlink r:id="rId321" ref="B162"/>
    <hyperlink r:id="rId322" ref="D162"/>
    <hyperlink r:id="rId323" ref="B163"/>
    <hyperlink r:id="rId324" ref="D163"/>
    <hyperlink r:id="rId325" ref="B164"/>
    <hyperlink r:id="rId326" ref="D164"/>
    <hyperlink r:id="rId327" ref="B165"/>
    <hyperlink r:id="rId328" ref="D165"/>
    <hyperlink r:id="rId329" ref="B166"/>
    <hyperlink r:id="rId330" ref="D166"/>
    <hyperlink r:id="rId331" ref="B167"/>
    <hyperlink r:id="rId332" ref="D167"/>
    <hyperlink r:id="rId333" ref="B168"/>
    <hyperlink r:id="rId334" ref="D168"/>
    <hyperlink r:id="rId335" ref="B169"/>
    <hyperlink r:id="rId336" ref="D169"/>
    <hyperlink r:id="rId337" ref="B170"/>
    <hyperlink r:id="rId338" ref="D170"/>
    <hyperlink r:id="rId339" ref="B171"/>
    <hyperlink r:id="rId340" ref="D171"/>
    <hyperlink r:id="rId341" ref="B172"/>
    <hyperlink r:id="rId342" ref="D172"/>
    <hyperlink r:id="rId343" ref="B173"/>
    <hyperlink r:id="rId344" ref="D173"/>
    <hyperlink r:id="rId345" ref="B174"/>
    <hyperlink r:id="rId346" ref="D174"/>
    <hyperlink r:id="rId347" ref="B175"/>
    <hyperlink r:id="rId348" ref="D175"/>
    <hyperlink r:id="rId349" ref="B176"/>
    <hyperlink r:id="rId350" ref="D176"/>
    <hyperlink r:id="rId351" ref="B177"/>
    <hyperlink r:id="rId352" ref="D177"/>
    <hyperlink r:id="rId353" ref="B178"/>
    <hyperlink r:id="rId354" ref="D178"/>
    <hyperlink r:id="rId355" ref="B179"/>
    <hyperlink r:id="rId356" ref="D179"/>
    <hyperlink r:id="rId357" ref="B180"/>
    <hyperlink r:id="rId358" ref="D180"/>
    <hyperlink r:id="rId359" ref="B181"/>
    <hyperlink r:id="rId360" ref="D181"/>
    <hyperlink r:id="rId361" ref="B182"/>
    <hyperlink r:id="rId362" ref="D182"/>
    <hyperlink r:id="rId363" ref="B183"/>
    <hyperlink r:id="rId364" ref="D183"/>
    <hyperlink r:id="rId365" ref="B184"/>
    <hyperlink r:id="rId366" ref="D184"/>
    <hyperlink r:id="rId367" ref="B185"/>
    <hyperlink r:id="rId368" ref="D185"/>
    <hyperlink r:id="rId369" ref="B186"/>
    <hyperlink r:id="rId370" ref="D186"/>
    <hyperlink r:id="rId371" ref="B187"/>
    <hyperlink r:id="rId372" ref="D187"/>
    <hyperlink r:id="rId373" ref="B188"/>
    <hyperlink r:id="rId374" ref="D188"/>
    <hyperlink r:id="rId375" ref="B189"/>
    <hyperlink r:id="rId376" ref="D189"/>
    <hyperlink r:id="rId377" ref="B190"/>
    <hyperlink r:id="rId378" ref="D190"/>
    <hyperlink r:id="rId379" ref="B191"/>
    <hyperlink r:id="rId380" ref="D191"/>
    <hyperlink r:id="rId381" ref="B192"/>
    <hyperlink r:id="rId382" ref="D192"/>
    <hyperlink r:id="rId383" ref="B193"/>
    <hyperlink r:id="rId384" ref="D193"/>
    <hyperlink r:id="rId385" ref="B194"/>
    <hyperlink r:id="rId386" ref="D194"/>
    <hyperlink r:id="rId387" ref="B195"/>
    <hyperlink r:id="rId388" ref="D195"/>
    <hyperlink r:id="rId389" ref="B196"/>
    <hyperlink r:id="rId390" ref="D196"/>
    <hyperlink r:id="rId391" ref="B197"/>
    <hyperlink r:id="rId392" ref="D197"/>
    <hyperlink r:id="rId393" ref="B198"/>
    <hyperlink r:id="rId394" ref="D198"/>
    <hyperlink r:id="rId395" ref="B199"/>
    <hyperlink r:id="rId396" ref="D199"/>
    <hyperlink r:id="rId397" ref="B200"/>
    <hyperlink r:id="rId398" ref="D200"/>
    <hyperlink r:id="rId399" ref="B201"/>
    <hyperlink r:id="rId400" ref="D201"/>
    <hyperlink r:id="rId401" ref="B202"/>
    <hyperlink r:id="rId402" ref="D202"/>
    <hyperlink r:id="rId403" ref="B203"/>
    <hyperlink r:id="rId404" ref="D203"/>
    <hyperlink r:id="rId405" ref="B204"/>
    <hyperlink r:id="rId406" ref="D204"/>
    <hyperlink r:id="rId407" ref="B205"/>
    <hyperlink r:id="rId408" ref="D205"/>
    <hyperlink r:id="rId409" ref="B206"/>
    <hyperlink r:id="rId410" ref="D206"/>
    <hyperlink r:id="rId411" ref="B207"/>
    <hyperlink r:id="rId412" ref="D207"/>
    <hyperlink r:id="rId413" ref="B208"/>
    <hyperlink r:id="rId414" ref="D208"/>
    <hyperlink r:id="rId415" ref="B209"/>
    <hyperlink r:id="rId416" ref="D209"/>
    <hyperlink r:id="rId417" ref="B210"/>
    <hyperlink r:id="rId418" ref="D210"/>
    <hyperlink r:id="rId419" ref="B211"/>
    <hyperlink r:id="rId420" ref="D211"/>
    <hyperlink r:id="rId421" ref="B212"/>
    <hyperlink r:id="rId422" ref="D212"/>
    <hyperlink r:id="rId423" ref="B213"/>
    <hyperlink r:id="rId424" ref="D213"/>
    <hyperlink r:id="rId425" ref="B214"/>
    <hyperlink r:id="rId426" ref="D214"/>
    <hyperlink r:id="rId427" ref="B215"/>
    <hyperlink r:id="rId428" ref="D215"/>
    <hyperlink r:id="rId429" ref="B216"/>
    <hyperlink r:id="rId430" ref="D216"/>
    <hyperlink r:id="rId431" ref="B217"/>
    <hyperlink r:id="rId432" ref="D217"/>
    <hyperlink r:id="rId433" ref="B218"/>
    <hyperlink r:id="rId434" ref="D218"/>
    <hyperlink r:id="rId435" ref="B219"/>
    <hyperlink r:id="rId436" ref="D219"/>
    <hyperlink r:id="rId437" ref="B220"/>
    <hyperlink r:id="rId438" ref="D220"/>
    <hyperlink r:id="rId439" ref="B221"/>
    <hyperlink r:id="rId440" ref="D221"/>
    <hyperlink r:id="rId441" ref="B222"/>
    <hyperlink r:id="rId442" ref="D222"/>
    <hyperlink r:id="rId443" ref="B223"/>
    <hyperlink r:id="rId444" ref="D223"/>
    <hyperlink r:id="rId445" ref="B224"/>
    <hyperlink r:id="rId446" ref="D224"/>
    <hyperlink r:id="rId447" ref="B225"/>
    <hyperlink r:id="rId448" ref="D225"/>
    <hyperlink r:id="rId449" ref="B226"/>
    <hyperlink r:id="rId450" ref="D226"/>
    <hyperlink r:id="rId451" ref="B227"/>
    <hyperlink r:id="rId452" ref="D227"/>
    <hyperlink r:id="rId453" ref="B228"/>
    <hyperlink r:id="rId454" ref="D228"/>
    <hyperlink r:id="rId455" ref="B229"/>
    <hyperlink r:id="rId456" ref="D229"/>
    <hyperlink r:id="rId457" ref="B230"/>
    <hyperlink r:id="rId458" ref="D230"/>
    <hyperlink r:id="rId459" ref="B231"/>
    <hyperlink r:id="rId460" ref="D231"/>
    <hyperlink r:id="rId461" ref="B232"/>
    <hyperlink r:id="rId462" ref="D232"/>
    <hyperlink r:id="rId463" ref="B233"/>
    <hyperlink r:id="rId464" ref="D233"/>
    <hyperlink r:id="rId465" ref="B234"/>
    <hyperlink r:id="rId466" ref="D234"/>
    <hyperlink r:id="rId467" ref="B235"/>
    <hyperlink r:id="rId468" ref="D235"/>
    <hyperlink r:id="rId469" ref="B236"/>
    <hyperlink r:id="rId470" ref="D236"/>
    <hyperlink r:id="rId471" ref="B237"/>
    <hyperlink r:id="rId472" ref="D237"/>
    <hyperlink r:id="rId473" ref="B238"/>
    <hyperlink r:id="rId474" ref="D238"/>
    <hyperlink r:id="rId475" ref="B239"/>
    <hyperlink r:id="rId476" ref="D239"/>
    <hyperlink r:id="rId477" ref="B240"/>
    <hyperlink r:id="rId478" ref="D240"/>
    <hyperlink r:id="rId479" ref="B241"/>
    <hyperlink r:id="rId480" ref="D241"/>
    <hyperlink r:id="rId481" ref="B242"/>
    <hyperlink r:id="rId482" ref="D242"/>
    <hyperlink r:id="rId483" ref="B243"/>
    <hyperlink r:id="rId484" ref="D243"/>
    <hyperlink r:id="rId485" ref="B244"/>
    <hyperlink r:id="rId486" ref="D244"/>
    <hyperlink r:id="rId487" ref="B245"/>
    <hyperlink r:id="rId488" ref="D245"/>
    <hyperlink r:id="rId489" ref="B246"/>
    <hyperlink r:id="rId490" ref="D246"/>
    <hyperlink r:id="rId491" ref="B247"/>
    <hyperlink r:id="rId492" ref="D247"/>
    <hyperlink r:id="rId493" ref="B248"/>
    <hyperlink r:id="rId494" ref="D248"/>
    <hyperlink r:id="rId495" ref="B249"/>
    <hyperlink r:id="rId496" ref="D249"/>
    <hyperlink r:id="rId497" ref="B250"/>
    <hyperlink r:id="rId498" ref="D250"/>
    <hyperlink r:id="rId499" ref="B251"/>
    <hyperlink r:id="rId500" ref="D251"/>
    <hyperlink r:id="rId501" ref="B252"/>
    <hyperlink r:id="rId502" ref="D252"/>
    <hyperlink r:id="rId503" ref="B253"/>
    <hyperlink r:id="rId504" ref="D253"/>
    <hyperlink r:id="rId505" ref="B254"/>
    <hyperlink r:id="rId506" ref="D254"/>
    <hyperlink r:id="rId507" ref="B255"/>
    <hyperlink r:id="rId508" ref="D255"/>
    <hyperlink r:id="rId509" ref="B256"/>
    <hyperlink r:id="rId510" ref="D256"/>
    <hyperlink r:id="rId511" ref="B257"/>
    <hyperlink r:id="rId512" ref="D257"/>
    <hyperlink r:id="rId513" ref="B258"/>
    <hyperlink r:id="rId514" ref="D258"/>
    <hyperlink r:id="rId515" ref="B259"/>
    <hyperlink r:id="rId516" ref="D259"/>
    <hyperlink r:id="rId517" ref="B260"/>
    <hyperlink r:id="rId518" ref="D260"/>
    <hyperlink r:id="rId519" ref="B261"/>
    <hyperlink r:id="rId520" ref="D261"/>
    <hyperlink r:id="rId521" ref="B262"/>
    <hyperlink r:id="rId522" ref="D262"/>
    <hyperlink r:id="rId523" ref="B263"/>
    <hyperlink r:id="rId524" ref="D263"/>
    <hyperlink r:id="rId525" ref="B264"/>
    <hyperlink r:id="rId526" ref="D264"/>
    <hyperlink r:id="rId527" ref="B265"/>
    <hyperlink r:id="rId528" ref="D265"/>
    <hyperlink r:id="rId529" ref="B266"/>
    <hyperlink r:id="rId530" ref="D266"/>
    <hyperlink r:id="rId531" ref="B267"/>
    <hyperlink r:id="rId532" ref="D267"/>
    <hyperlink r:id="rId533" ref="B268"/>
    <hyperlink r:id="rId534" ref="D268"/>
    <hyperlink r:id="rId535" ref="B269"/>
    <hyperlink r:id="rId536" ref="D269"/>
    <hyperlink r:id="rId537" ref="B270"/>
    <hyperlink r:id="rId538" ref="D270"/>
    <hyperlink r:id="rId539" ref="B271"/>
    <hyperlink r:id="rId540" ref="D271"/>
    <hyperlink r:id="rId541" ref="B272"/>
    <hyperlink r:id="rId542" ref="D272"/>
    <hyperlink r:id="rId543" ref="B273"/>
    <hyperlink r:id="rId544" ref="D273"/>
    <hyperlink r:id="rId545" ref="B274"/>
    <hyperlink r:id="rId546" ref="D274"/>
    <hyperlink r:id="rId547" ref="B275"/>
    <hyperlink r:id="rId548" ref="D275"/>
    <hyperlink r:id="rId549" ref="B276"/>
    <hyperlink r:id="rId550" ref="D276"/>
    <hyperlink r:id="rId551" ref="B277"/>
    <hyperlink r:id="rId552" ref="D277"/>
    <hyperlink r:id="rId553" ref="B278"/>
    <hyperlink r:id="rId554" ref="D278"/>
    <hyperlink r:id="rId555" ref="B279"/>
    <hyperlink r:id="rId556" ref="D279"/>
    <hyperlink r:id="rId557" ref="B280"/>
    <hyperlink r:id="rId558" ref="D280"/>
    <hyperlink r:id="rId559" ref="B281"/>
    <hyperlink r:id="rId560" ref="D281"/>
    <hyperlink r:id="rId561" ref="B282"/>
    <hyperlink r:id="rId562" ref="D282"/>
    <hyperlink r:id="rId563" ref="B283"/>
    <hyperlink r:id="rId564" ref="D283"/>
    <hyperlink r:id="rId565" ref="B284"/>
    <hyperlink r:id="rId566" ref="D284"/>
    <hyperlink r:id="rId567" ref="B285"/>
    <hyperlink r:id="rId568" ref="D285"/>
    <hyperlink r:id="rId569" ref="B286"/>
    <hyperlink r:id="rId570" ref="D286"/>
    <hyperlink r:id="rId571" ref="B287"/>
    <hyperlink r:id="rId572" ref="D287"/>
    <hyperlink r:id="rId573" ref="B288"/>
    <hyperlink r:id="rId574" ref="D288"/>
    <hyperlink r:id="rId575" ref="B289"/>
    <hyperlink r:id="rId576" ref="D289"/>
    <hyperlink r:id="rId577" ref="B290"/>
    <hyperlink r:id="rId578" ref="D290"/>
    <hyperlink r:id="rId579" ref="B291"/>
    <hyperlink r:id="rId580" ref="D291"/>
    <hyperlink r:id="rId581" ref="B292"/>
    <hyperlink r:id="rId582" ref="D292"/>
    <hyperlink r:id="rId583" ref="B293"/>
    <hyperlink r:id="rId584" ref="D293"/>
    <hyperlink r:id="rId585" ref="B294"/>
    <hyperlink r:id="rId586" ref="D294"/>
    <hyperlink r:id="rId587" ref="B295"/>
    <hyperlink r:id="rId588" ref="D295"/>
    <hyperlink r:id="rId589" ref="B296"/>
    <hyperlink r:id="rId590" ref="D296"/>
    <hyperlink r:id="rId591" ref="B297"/>
    <hyperlink r:id="rId592" ref="D297"/>
    <hyperlink r:id="rId593" ref="B298"/>
    <hyperlink r:id="rId594" ref="D298"/>
    <hyperlink r:id="rId595" ref="B299"/>
    <hyperlink r:id="rId596" ref="D299"/>
    <hyperlink r:id="rId597" ref="B300"/>
    <hyperlink r:id="rId598" ref="D300"/>
    <hyperlink r:id="rId599" ref="B301"/>
    <hyperlink r:id="rId600" ref="D301"/>
    <hyperlink r:id="rId601" ref="B302"/>
    <hyperlink r:id="rId602" ref="D302"/>
    <hyperlink r:id="rId603" ref="B303"/>
    <hyperlink r:id="rId604" ref="D303"/>
    <hyperlink r:id="rId605" ref="B304"/>
    <hyperlink r:id="rId606" ref="D304"/>
    <hyperlink r:id="rId607" ref="B305"/>
    <hyperlink r:id="rId608" ref="D305"/>
    <hyperlink r:id="rId609" ref="B306"/>
    <hyperlink r:id="rId610" ref="D306"/>
    <hyperlink r:id="rId611" ref="B307"/>
    <hyperlink r:id="rId612" ref="D307"/>
    <hyperlink r:id="rId613" ref="B308"/>
    <hyperlink r:id="rId614" ref="D308"/>
    <hyperlink r:id="rId615" ref="B309"/>
    <hyperlink r:id="rId616" ref="D309"/>
    <hyperlink r:id="rId617" ref="B310"/>
    <hyperlink r:id="rId618" ref="D310"/>
    <hyperlink r:id="rId619" ref="B311"/>
    <hyperlink r:id="rId620" ref="D311"/>
    <hyperlink r:id="rId621" ref="B312"/>
    <hyperlink r:id="rId622" ref="D312"/>
    <hyperlink r:id="rId623" ref="B313"/>
    <hyperlink r:id="rId624" ref="D313"/>
    <hyperlink r:id="rId625" ref="B314"/>
    <hyperlink r:id="rId626" ref="D314"/>
    <hyperlink r:id="rId627" ref="B315"/>
    <hyperlink r:id="rId628" ref="D315"/>
    <hyperlink r:id="rId629" ref="B316"/>
    <hyperlink r:id="rId630" ref="D316"/>
    <hyperlink r:id="rId631" ref="B317"/>
    <hyperlink r:id="rId632" ref="D317"/>
    <hyperlink r:id="rId633" ref="B318"/>
    <hyperlink r:id="rId634" ref="D318"/>
    <hyperlink r:id="rId635" ref="B319"/>
    <hyperlink r:id="rId636" ref="D319"/>
    <hyperlink r:id="rId637" ref="B320"/>
    <hyperlink r:id="rId638" ref="D320"/>
    <hyperlink r:id="rId639" ref="B321"/>
    <hyperlink r:id="rId640" ref="D321"/>
    <hyperlink r:id="rId641" ref="B322"/>
    <hyperlink r:id="rId642" ref="D322"/>
    <hyperlink r:id="rId643" ref="B323"/>
    <hyperlink r:id="rId644" ref="D323"/>
    <hyperlink r:id="rId645" ref="B324"/>
    <hyperlink r:id="rId646" ref="D324"/>
    <hyperlink r:id="rId647" ref="B325"/>
    <hyperlink r:id="rId648" ref="D325"/>
    <hyperlink r:id="rId649" ref="B326"/>
    <hyperlink r:id="rId650" ref="D326"/>
    <hyperlink r:id="rId651" ref="B327"/>
    <hyperlink r:id="rId652" ref="D327"/>
    <hyperlink r:id="rId653" ref="B328"/>
    <hyperlink r:id="rId654" ref="D328"/>
    <hyperlink r:id="rId655" ref="B329"/>
    <hyperlink r:id="rId656" ref="D329"/>
    <hyperlink r:id="rId657" ref="B330"/>
    <hyperlink r:id="rId658" ref="D330"/>
    <hyperlink r:id="rId659" ref="B331"/>
    <hyperlink r:id="rId660" ref="D331"/>
    <hyperlink r:id="rId661" ref="B332"/>
    <hyperlink r:id="rId662" ref="D332"/>
    <hyperlink r:id="rId663" ref="B333"/>
    <hyperlink r:id="rId664" ref="D333"/>
    <hyperlink r:id="rId665" ref="B334"/>
    <hyperlink r:id="rId666" ref="D334"/>
    <hyperlink r:id="rId667" ref="B335"/>
    <hyperlink r:id="rId668" ref="D335"/>
    <hyperlink r:id="rId669" ref="B336"/>
    <hyperlink r:id="rId670" ref="D336"/>
    <hyperlink r:id="rId671" ref="B337"/>
    <hyperlink r:id="rId672" ref="D337"/>
    <hyperlink r:id="rId673" ref="B338"/>
    <hyperlink r:id="rId674" ref="D338"/>
  </hyperlinks>
  <drawing r:id="rId675"/>
</worksheet>
</file>